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53.xml" ContentType="application/vnd.openxmlformats-officedocument.spreadsheetml.worksheet+xml"/>
  <Override PartName="/xl/worksheets/sheet42.xml" ContentType="application/vnd.openxmlformats-officedocument.spreadsheetml.worksheet+xml"/>
  <Override PartName="/xl/worksheets/sheet54.xml" ContentType="application/vnd.openxmlformats-officedocument.spreadsheetml.worksheet+xml"/>
  <Override PartName="/xl/worksheets/sheet43.xml" ContentType="application/vnd.openxmlformats-officedocument.spreadsheetml.worksheet+xml"/>
  <Override PartName="/xl/worksheets/sheet55.xml" ContentType="application/vnd.openxmlformats-officedocument.spreadsheetml.worksheet+xml"/>
  <Override PartName="/xl/worksheets/sheet44.xml" ContentType="application/vnd.openxmlformats-officedocument.spreadsheetml.worksheet+xml"/>
  <Override PartName="/xl/worksheets/sheet56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3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pec_Rack" sheetId="3" state="visible" r:id="rId5"/>
    <sheet name="Arch" sheetId="4" state="visible" r:id="rId6"/>
    <sheet name="Serving" sheetId="5" state="visible" r:id="rId7"/>
    <sheet name="Workload" sheetId="6" state="visible" r:id="rId8"/>
    <sheet name="Calib" sheetId="7" state="visible" r:id="rId9"/>
    <sheet name="Tech_Registry" sheetId="8" state="visible" r:id="rId10"/>
    <sheet name="Perf" sheetId="9" state="visible" r:id="rId11"/>
    <sheet name="Sens_Perf" sheetId="10" state="visible" r:id="rId12"/>
    <sheet name="Unit_Cost" sheetId="11" state="visible" r:id="rId13"/>
    <sheet name="DC_Cost" sheetId="12" state="visible" r:id="rId14"/>
    <sheet name="Train_In" sheetId="13" state="visible" r:id="rId15"/>
    <sheet name="Perf_Batch" sheetId="14" state="visible" r:id="rId16"/>
    <sheet name="Training" sheetId="15" state="visible" r:id="rId17"/>
    <sheet name="Sens_Train" sheetId="16" state="visible" r:id="rId18"/>
    <sheet name="Cap_In" sheetId="17" state="visible" r:id="rId19"/>
    <sheet name="Price_Frontier" sheetId="18" state="visible" r:id="rId20"/>
    <sheet name="Cache_Store" sheetId="19" state="visible" r:id="rId21"/>
    <sheet name="Fleet_1GW" sheetId="20" state="visible" r:id="rId22"/>
    <sheet name="Amortize" sheetId="21" state="visible" r:id="rId23"/>
    <sheet name="Theory_Rev" sheetId="22" state="visible" r:id="rId24"/>
    <sheet name="Sens_Rev" sheetId="23" state="visible" r:id="rId25"/>
    <sheet name="Har_In" sheetId="24" state="visible" r:id="rId26"/>
    <sheet name="Harness" sheetId="25" state="visible" r:id="rId27"/>
    <sheet name="Sens_Har" sheetId="26" state="visible" r:id="rId28"/>
    <sheet name="Alloc_In" sheetId="27" state="visible" r:id="rId29"/>
    <sheet name="Alloc" sheetId="28" state="visible" r:id="rId30"/>
    <sheet name="Perf_Prod" sheetId="29" state="visible" r:id="rId31"/>
    <sheet name="Perf_Batch_Prod" sheetId="30" state="visible" r:id="rId32"/>
    <sheet name="Training_Prod" sheetId="31" state="visible" r:id="rId33"/>
    <sheet name="Unit_Cost_Prod" sheetId="32" state="visible" r:id="rId34"/>
    <sheet name="Interface_Prod" sheetId="33" state="visible" r:id="rId35"/>
    <sheet name="Fleet_1GW_Prod" sheetId="34" state="visible" r:id="rId36"/>
    <sheet name="Amortize_Prod" sheetId="35" state="visible" r:id="rId37"/>
    <sheet name="Theory_Rev_Prod" sheetId="36" state="visible" r:id="rId38"/>
    <sheet name="Interface" sheetId="37" state="visible" r:id="rId39"/>
    <sheet name="L1" sheetId="38" state="visible" r:id="rId40"/>
    <sheet name="Load_Bearing" sheetId="39" state="visible" r:id="rId41"/>
    <sheet name="Energy" sheetId="40" state="visible" r:id="rId42"/>
    <sheet name="NonNV" sheetId="41" state="visible" r:id="rId43"/>
    <sheet name="Sensitivity" sheetId="42" state="visible" r:id="rId44"/>
    <sheet name="Checks" sheetId="43" state="visible" r:id="rId45"/>
    <sheet name="Gov_Map" sheetId="44" state="visible" r:id="rId46"/>
    <sheet name="Decisions" sheetId="45" state="visible" r:id="rId47"/>
    <sheet name="SRC_HW" sheetId="46" state="visible" r:id="rId48"/>
    <sheet name="SRC_DC" sheetId="47" state="visible" r:id="rId49"/>
    <sheet name="SRC_Model" sheetId="48" state="visible" r:id="rId50"/>
    <sheet name="SRC_Perf" sheetId="49" state="visible" r:id="rId51"/>
    <sheet name="SRC_Price" sheetId="50" state="visible" r:id="rId52"/>
    <sheet name="SRC_Cap" sheetId="51" state="visible" r:id="rId53"/>
    <sheet name="SRC_Harness" sheetId="52" state="visible" r:id="rId54"/>
    <sheet name="SRC_Demand" sheetId="53" state="visible" r:id="rId55"/>
    <sheet name="SRC_Index" sheetId="54" state="visible" r:id="rId56"/>
    <sheet name="Sources_Legacy" sheetId="55" state="visible" r:id="rId57"/>
    <sheet name="DB_Evidence" sheetId="56" state="visible" r:id="rId58"/>
  </sheets>
  <definedNames>
    <definedName function="false" hidden="false" name="AL_APIratio" vbProcedure="false">Alloc_In!$C$14</definedName>
    <definedName function="false" hidden="false" name="AL_APIratio_Hi" vbProcedure="false">Alloc_In!$E$14</definedName>
    <definedName function="false" hidden="false" name="AL_APIratio_Lo" vbProcedure="false">Alloc_In!$D$14</definedName>
    <definedName function="false" hidden="false" name="AL_BlendFree" vbProcedure="false">Alloc!$C$34</definedName>
    <definedName function="false" hidden="false" name="AL_BlendPaid" vbProcedure="false">Alloc!$C$33</definedName>
    <definedName function="false" hidden="false" name="AL_BlendPaidProd" vbProcedure="false">Alloc!$C$115</definedName>
    <definedName function="false" hidden="false" name="AL_CapFree" vbProcedure="false">Alloc!$C$30:$F$30</definedName>
    <definedName function="false" hidden="false" name="AL_CapPaid" vbProcedure="false">Alloc!$C$29:$F$29</definedName>
    <definedName function="false" hidden="false" name="AL_CapPaidProd" vbProcedure="false">Alloc!$C$114:$F$114</definedName>
    <definedName function="false" hidden="false" name="AL_D" vbProcedure="false">Alloc!$C$11</definedName>
    <definedName function="false" hidden="false" name="AL_DAPI" vbProcedure="false">Alloc!$C$5</definedName>
    <definedName function="false" hidden="false" name="AL_DChat" vbProcedure="false">Alloc!$C$6</definedName>
    <definedName function="false" hidden="false" name="AL_DChatFree" vbProcedure="false">Alloc!$C$7</definedName>
    <definedName function="false" hidden="false" name="AL_DChatPaid" vbProcedure="false">Alloc!$C$8</definedName>
    <definedName function="false" hidden="false" name="AL_DDaily" vbProcedure="false">Alloc!$C$12</definedName>
    <definedName function="false" hidden="false" name="AL_DFree" vbProcedure="false">Alloc!$C$10</definedName>
    <definedName function="false" hidden="false" name="AL_DPaid" vbProcedure="false">Alloc!$C$9</definedName>
    <definedName function="false" hidden="false" name="AL_FamGWyr" vbProcedure="false">Alloc!$F$46</definedName>
    <definedName function="false" hidden="false" name="AL_FleetBE25" vbProcedure="false">Alloc!$C$158</definedName>
    <definedName function="false" hidden="false" name="AL_FleetBE25_Hi" vbProcedure="false">Alloc!$E$158</definedName>
    <definedName function="false" hidden="false" name="AL_FleetBE25_Lo" vbProcedure="false">Alloc!$D$158</definedName>
    <definedName function="false" hidden="false" name="AL_FleetHold" vbProcedure="false">Alloc!$C$157</definedName>
    <definedName function="false" hidden="false" name="AL_FleetHold_Hi" vbProcedure="false">Alloc!$E$157</definedName>
    <definedName function="false" hidden="false" name="AL_FleetHold_Lo" vbProcedure="false">Alloc!$D$157</definedName>
    <definedName function="false" hidden="false" name="AL_FleetRev25" vbProcedure="false">Alloc!$C$156</definedName>
    <definedName function="false" hidden="false" name="AL_FreeServeShare" vbProcedure="false">Alloc!$C$72</definedName>
    <definedName function="false" hidden="false" name="AL_FreeShare" vbProcedure="false">Alloc_In!$C$16</definedName>
    <definedName function="false" hidden="false" name="AL_FreeShare_Hi" vbProcedure="false">Alloc_In!$E$16</definedName>
    <definedName function="false" hidden="false" name="AL_FreeShare_Lo" vbProcedure="false">Alloc_In!$D$16</definedName>
    <definedName function="false" hidden="false" name="AL_FreeSpendShare" vbProcedure="false">Alloc!$C$73</definedName>
    <definedName function="false" hidden="false" name="AL_g" vbProcedure="false">Alloc_In!$C$13</definedName>
    <definedName function="false" hidden="false" name="AL_GenCol" vbProcedure="false">Alloc!$C$17:$F$17</definedName>
    <definedName function="false" hidden="false" name="AL_GenOK" vbProcedure="false">Alloc!$C$26:$F$26</definedName>
    <definedName function="false" hidden="false" name="AL_GenShareOK" vbProcedure="false">Alloc!$C$31</definedName>
    <definedName function="false" hidden="false" name="AL_g_Hi" vbProcedure="false">Alloc_In!$E$13</definedName>
    <definedName function="false" hidden="false" name="AL_g_Lo" vbProcedure="false">Alloc_In!$D$13</definedName>
    <definedName function="false" hidden="false" name="AL_HoldGen" vbProcedure="false">Alloc!$C$39:$F$39</definedName>
    <definedName function="false" hidden="false" name="AL_HoldGen_Hi" vbProcedure="false">Alloc!$C$155:$F$155</definedName>
    <definedName function="false" hidden="false" name="AL_HoldGen_Lo" vbProcedure="false">Alloc!$C$154:$F$154</definedName>
    <definedName function="false" hidden="false" name="AL_HoldRD" vbProcedure="false">Alloc!$C$140</definedName>
    <definedName function="false" hidden="false" name="AL_HoldTrain" vbProcedure="false">Alloc!$C$52</definedName>
    <definedName function="false" hidden="false" name="AL_ImpliedNk" vbProcedure="false">Alloc!$C$66</definedName>
    <definedName function="false" hidden="false" name="AL_ImpliedRDGW" vbProcedure="false">Alloc!$C$65</definedName>
    <definedName function="false" hidden="false" name="AL_J8Gap" vbProcedure="false">Alloc!$C$67</definedName>
    <definedName function="false" hidden="false" name="AL_k" vbProcedure="false">Alloc_In!$C$8</definedName>
    <definedName function="false" hidden="false" name="AL_Kappa" vbProcedure="false">Alloc_In!$C$26</definedName>
    <definedName function="false" hidden="false" name="AL_Kappa_Hi" vbProcedure="false">Alloc_In!$E$26</definedName>
    <definedName function="false" hidden="false" name="AL_Kappa_Lo" vbProcedure="false">Alloc_In!$D$26</definedName>
    <definedName function="false" hidden="false" name="AL_k_Hi" vbProcedure="false">Alloc_In!$E$8</definedName>
    <definedName function="false" hidden="false" name="AL_k_Lo" vbProcedure="false">Alloc_In!$D$8</definedName>
    <definedName function="false" hidden="false" name="AL_Lab" vbProcedure="false">Alloc_In!$C$5</definedName>
    <definedName function="false" hidden="false" name="AL_MixGB200" vbProcedure="false">Alloc_In!$C$10</definedName>
    <definedName function="false" hidden="false" name="AL_MixGB200_Hi" vbProcedure="false">Alloc_In!$E$10</definedName>
    <definedName function="false" hidden="false" name="AL_MixGB200_Lo" vbProcedure="false">Alloc_In!$D$10</definedName>
    <definedName function="false" hidden="false" name="AL_MixGB300" vbProcedure="false">Alloc_In!$C$11</definedName>
    <definedName function="false" hidden="false" name="AL_MixGB300_Hi" vbProcedure="false">Alloc_In!$E$11</definedName>
    <definedName function="false" hidden="false" name="AL_MixGB300_Lo" vbProcedure="false">Alloc_In!$D$11</definedName>
    <definedName function="false" hidden="false" name="AL_MixGen" vbProcedure="false">Alloc_In!$C$9:$C$12</definedName>
    <definedName function="false" hidden="false" name="AL_MixHopper" vbProcedure="false">Alloc_In!$C$9</definedName>
    <definedName function="false" hidden="false" name="AL_MixHopper_Hi" vbProcedure="false">Alloc_In!$E$9</definedName>
    <definedName function="false" hidden="false" name="AL_MixHopper_Lo" vbProcedure="false">Alloc_In!$D$9</definedName>
    <definedName function="false" hidden="false" name="AL_MixVR200" vbProcedure="false">Alloc_In!$C$12</definedName>
    <definedName function="false" hidden="false" name="AL_MixVR200_Hi" vbProcedure="false">Alloc_In!$E$12</definedName>
    <definedName function="false" hidden="false" name="AL_MixVR200_Lo" vbProcedure="false">Alloc_In!$D$12</definedName>
    <definedName function="false" hidden="false" name="AL_Nmajor" vbProcedure="false">Alloc_In!$C$6</definedName>
    <definedName function="false" hidden="false" name="AL_Nmajor_Hi" vbProcedure="false">Alloc_In!$E$6</definedName>
    <definedName function="false" hidden="false" name="AL_Nmajor_Lo" vbProcedure="false">Alloc_In!$D$6</definedName>
    <definedName function="false" hidden="false" name="AL_Nrefresh" vbProcedure="false">Alloc_In!$C$7</definedName>
    <definedName function="false" hidden="false" name="AL_Nrefresh_Hi" vbProcedure="false">Alloc_In!$E$7</definedName>
    <definedName function="false" hidden="false" name="AL_Nrefresh_Lo" vbProcedure="false">Alloc_In!$D$7</definedName>
    <definedName function="false" hidden="false" name="AL_PriceFleet" vbProcedure="false">Alloc!$C$120</definedName>
    <definedName function="false" hidden="false" name="AL_PriceFleet25" vbProcedure="false">Alloc!$C$151</definedName>
    <definedName function="false" hidden="false" name="AL_PriceFleet25_Hi" vbProcedure="false">Alloc!$E$151</definedName>
    <definedName function="false" hidden="false" name="AL_PriceFleet25_Lo" vbProcedure="false">Alloc!$D$151</definedName>
    <definedName function="false" hidden="false" name="AL_PriceGen" vbProcedure="false">Alloc!$C$119:$F$119</definedName>
    <definedName function="false" hidden="false" name="AL_PriceGen25" vbProcedure="false">Alloc!$C$148:$F$148</definedName>
    <definedName function="false" hidden="false" name="AL_PriceGen25_Hi" vbProcedure="false">Alloc!$C$150:$F$150</definedName>
    <definedName function="false" hidden="false" name="AL_PriceGen25_Lo" vbProcedure="false">Alloc!$C$149:$F$149</definedName>
    <definedName function="false" hidden="false" name="AL_ProdRatioPaid" vbProcedure="false">Alloc!$C$116</definedName>
    <definedName function="false" hidden="false" name="AL_Q1" vbProcedure="false">Alloc!$C$56</definedName>
    <definedName function="false" hidden="false" name="AL_Q1g" vbProcedure="false">Alloc!$C$59</definedName>
    <definedName function="false" hidden="false" name="AL_Q1R2" vbProcedure="false">Alloc!$C$57</definedName>
    <definedName function="false" hidden="false" name="AL_Q1_Tok" vbProcedure="false">Alloc!$C$161</definedName>
    <definedName function="false" hidden="false" name="AL_Q2" vbProcedure="false">Alloc!$C$58</definedName>
    <definedName function="false" hidden="false" name="AL_Q2g" vbProcedure="false">Alloc!$C$60</definedName>
    <definedName function="false" hidden="false" name="AL_Q2_Tok" vbProcedure="false">Alloc!$C$162</definedName>
    <definedName function="false" hidden="false" name="AL_RDCost" vbProcedure="false">Alloc!$C$53</definedName>
    <definedName function="false" hidden="false" name="AL_RDGenOK" vbProcedure="false">Alloc!$C$133:$F$133</definedName>
    <definedName function="false" hidden="false" name="AL_RDGW" vbProcedure="false">Alloc!$C$50</definedName>
    <definedName function="false" hidden="false" name="AL_RDGWg" vbProcedure="false">Alloc!$C$51</definedName>
    <definedName function="false" hidden="false" name="AL_RDMixGB200" vbProcedure="false">Alloc_In!$C$30</definedName>
    <definedName function="false" hidden="false" name="AL_RDMixGB200_Hi" vbProcedure="false">Alloc_In!$E$30</definedName>
    <definedName function="false" hidden="false" name="AL_RDMixGB200_Lo" vbProcedure="false">Alloc_In!$D$30</definedName>
    <definedName function="false" hidden="false" name="AL_RDMixGB300" vbProcedure="false">Alloc_In!$C$31</definedName>
    <definedName function="false" hidden="false" name="AL_RDMixGB300_Hi" vbProcedure="false">Alloc_In!$E$31</definedName>
    <definedName function="false" hidden="false" name="AL_RDMixGB300_Lo" vbProcedure="false">Alloc_In!$D$31</definedName>
    <definedName function="false" hidden="false" name="AL_RDMixHopper" vbProcedure="false">Alloc_In!$C$29</definedName>
    <definedName function="false" hidden="false" name="AL_RDMixHopper_Hi" vbProcedure="false">Alloc_In!$E$29</definedName>
    <definedName function="false" hidden="false" name="AL_RDMixHopper_Lo" vbProcedure="false">Alloc_In!$D$29</definedName>
    <definedName function="false" hidden="false" name="AL_RDMixVR200" vbProcedure="false">Alloc_In!$C$32</definedName>
    <definedName function="false" hidden="false" name="AL_RDMixVR200_Hi" vbProcedure="false">Alloc_In!$E$32</definedName>
    <definedName function="false" hidden="false" name="AL_RDMixVR200_Lo" vbProcedure="false">Alloc_In!$D$32</definedName>
    <definedName function="false" hidden="false" name="AL_RDShareExcl" vbProcedure="false">Alloc!$C$135</definedName>
    <definedName function="false" hidden="false" name="AL_RDShareGen" vbProcedure="false">Alloc!$C$126:$F$126</definedName>
    <definedName function="false" hidden="false" name="AL_RDShareOK" vbProcedure="false">Alloc!$C$134</definedName>
    <definedName function="false" hidden="false" name="AL_RDWeight" vbProcedure="false">Alloc!$C$136:$F$136</definedName>
    <definedName function="false" hidden="false" name="AL_RefGWyr" vbProcedure="false">Alloc!$F$49</definedName>
    <definedName function="false" hidden="false" name="AL_RevGW25" vbProcedure="false">Alloc!$C$153:$F$153</definedName>
    <definedName function="false" hidden="false" name="AL_SensCheck" vbProcedure="false">Alloc!$X$81:$X$95</definedName>
    <definedName function="false" hidden="false" name="AL_SensCost" vbProcedure="false">Alloc!$U$81:$U$95</definedName>
    <definedName function="false" hidden="false" name="AL_SensDaily" vbProcedure="false">Alloc!$V$81:$V$95</definedName>
    <definedName function="false" hidden="false" name="AL_SensQ1" vbProcedure="false">Alloc!$S$81:$S$95</definedName>
    <definedName function="false" hidden="false" name="AL_SensQ2" vbProcedure="false">Alloc!$T$81:$T$95</definedName>
    <definedName function="false" hidden="false" name="AL_ServeGen" vbProcedure="false">Alloc!$C$38:$F$38</definedName>
    <definedName function="false" hidden="false" name="AL_ServeGW" vbProcedure="false">Alloc!$C$37</definedName>
    <definedName function="false" hidden="false" name="AL_ServeGWFree" vbProcedure="false">Alloc!$C$36</definedName>
    <definedName function="false" hidden="false" name="AL_ServeGWPaid" vbProcedure="false">Alloc!$C$35</definedName>
    <definedName function="false" hidden="false" name="AL_ServeGWSpend" vbProcedure="false">Alloc!$C$70</definedName>
    <definedName function="false" hidden="false" name="AL_ShareGen" vbProcedure="false">Alloc!$C$18:$F$18</definedName>
    <definedName function="false" hidden="false" name="AL_SpendBasis" vbProcedure="false">Alloc_In!$C$23</definedName>
    <definedName function="false" hidden="false" name="AL_SpendBasis_Hi" vbProcedure="false">Alloc_In!$E$23</definedName>
    <definedName function="false" hidden="false" name="AL_SpendBasis_Lo" vbProcedure="false">Alloc_In!$D$23</definedName>
    <definedName function="false" hidden="false" name="AL_SpendRatio" vbProcedure="false">Alloc!$C$64</definedName>
    <definedName function="false" hidden="false" name="AL_TokPerPrompt" vbProcedure="false">Alloc_In!$C$15</definedName>
    <definedName function="false" hidden="false" name="AL_TokPerPrompt_Hi" vbProcedure="false">Alloc_In!$E$15</definedName>
    <definedName function="false" hidden="false" name="AL_TokPerPrompt_Lo" vbProcedure="false">Alloc_In!$D$15</definedName>
    <definedName function="false" hidden="false" name="AL_TrainCol" vbProcedure="false">Alloc!$C$43</definedName>
    <definedName function="false" hidden="false" name="AL_TrainGen" vbProcedure="false">Alloc!$C$42</definedName>
    <definedName function="false" hidden="false" name="AL_UnavailTxt" vbProcedure="false">Alloc!$C$123</definedName>
    <definedName function="false" hidden="false" name="AL_UnservedFree" vbProcedure="false">Alloc!$C$25:$F$25</definedName>
    <definedName function="false" hidden="false" name="AL_UnservedGen" vbProcedure="false">Alloc!$C$32</definedName>
    <definedName function="false" hidden="false" name="AL_UnservedPaid" vbProcedure="false">Alloc!$C$24:$F$24</definedName>
    <definedName function="false" hidden="false" name="AL_UtilActual" vbProcedure="false">Alloc_In!$C$24</definedName>
    <definedName function="false" hidden="false" name="AL_UtilActual_Hi" vbProcedure="false">Alloc_In!$E$24</definedName>
    <definedName function="false" hidden="false" name="AL_UtilActual_Lo" vbProcedure="false">Alloc_In!$D$24</definedName>
    <definedName function="false" hidden="false" name="ARCH_ScaleGen" vbProcedure="false">Spec_Rack!$C$44:$G$44</definedName>
    <definedName function="false" hidden="false" name="ARCH_ScaleGen_Hi" vbProcedure="false">Spec_Rack!$C$46:$G$46</definedName>
    <definedName function="false" hidden="false" name="ARCH_ScaleGen_Lo" vbProcedure="false">Spec_Rack!$C$45:$G$45</definedName>
    <definedName function="false" hidden="false" name="B4_CacheHit" vbProcedure="false">Cap_In!$C$13</definedName>
    <definedName function="false" hidden="false" name="B4_CompMult" vbProcedure="false">Cap_In!$C$15</definedName>
    <definedName function="false" hidden="false" name="B4_Disc" vbProcedure="false">Cap_In!$C$12</definedName>
    <definedName function="false" hidden="false" name="B4_Disc_Hi" vbProcedure="false">Cap_In!$E$12</definedName>
    <definedName function="false" hidden="false" name="B4_Disc_Lo" vbProcedure="false">Cap_In!$D$12</definedName>
    <definedName function="false" hidden="false" name="B4_DRAMcost" vbProcedure="false">Cap_In!$C$39</definedName>
    <definedName function="false" hidden="false" name="B4_DRAMlife" vbProcedure="false">Cap_In!$C$40</definedName>
    <definedName function="false" hidden="false" name="B4_EffCache" vbProcedure="false">Price_Frontier!$C$42:$E$42</definedName>
    <definedName function="false" hidden="false" name="B4_EffIn" vbProcedure="false">Price_Frontier!$C$41:$E$41</definedName>
    <definedName function="false" hidden="false" name="B4_EffOut" vbProcedure="false">Price_Frontier!$C$44:$E$44</definedName>
    <definedName function="false" hidden="false" name="B4_EffRef" vbProcedure="false">Price_Frontier!$C$45:$E$45</definedName>
    <definedName function="false" hidden="false" name="B4_Eps" vbProcedure="false">Cap_In!$C$14</definedName>
    <definedName function="false" hidden="false" name="B4_Free" vbProcedure="false">Cap_In!$C$29</definedName>
    <definedName function="false" hidden="false" name="B4_FrontRef" vbProcedure="false">Price_Frontier!$C$46:$E$46</definedName>
    <definedName function="false" hidden="false" name="B4_Hits" vbProcedure="false">Cap_In!$C$38</definedName>
    <definedName function="false" hidden="false" name="B4_ISL" vbProcedure="false">Serving!$C$23:$E$23</definedName>
    <definedName function="false" hidden="false" name="B4_Life" vbProcedure="false">Cap_In!$C$22:$E$22</definedName>
    <definedName function="false" hidden="false" name="B4_MixFree" vbProcedure="false">Cap_In!$C$32:$E$32</definedName>
    <definedName function="false" hidden="false" name="B4_MixPaid" vbProcedure="false">Cap_In!$C$31:$E$31</definedName>
    <definedName function="false" hidden="false" name="B4_MktCache" vbProcedure="false">Cap_In!$F$46:$F$58</definedName>
    <definedName function="false" hidden="false" name="B4_MktChina" vbProcedure="false">Cap_In!$N$46:$N$58</definedName>
    <definedName function="false" hidden="false" name="B4_MktCountry" vbProcedure="false">Cap_In!$C$46:$C$58</definedName>
    <definedName function="false" hidden="false" name="B4_MktIn" vbProcedure="false">Cap_In!$E$46:$E$58</definedName>
    <definedName function="false" hidden="false" name="B4_MktIndex" vbProcedure="false">Cap_In!$I$46:$I$58</definedName>
    <definedName function="false" hidden="false" name="B4_MktModel" vbProcedure="false">Cap_In!$A$46:$A$58</definedName>
    <definedName function="false" hidden="false" name="B4_MktOpen" vbProcedure="false">Cap_In!$D$46:$D$58</definedName>
    <definedName function="false" hidden="false" name="B4_MktOut" vbProcedure="false">Cap_In!$G$46:$G$58</definedName>
    <definedName function="false" hidden="false" name="B4_MktPeak" vbProcedure="false">Cap_In!$H$46:$H$58</definedName>
    <definedName function="false" hidden="false" name="B4_MktVendor" vbProcedure="false">Cap_In!$B$46:$B$58</definedName>
    <definedName function="false" hidden="false" name="B4_OffPeak" vbProcedure="false">Cap_In!$C$18</definedName>
    <definedName function="false" hidden="false" name="B4_OSL" vbProcedure="false">Serving!$C$24:$E$24</definedName>
    <definedName function="false" hidden="false" name="B4_PeakHrs" vbProcedure="false">Cap_In!$C$17</definedName>
    <definedName function="false" hidden="false" name="B4_PeakMode" vbProcedure="false">Cap_In!$C$16</definedName>
    <definedName function="false" hidden="false" name="B4_PriceCache" vbProcedure="false">Cap_In!$C$7:$E$7</definedName>
    <definedName function="false" hidden="false" name="B4_PriceFleet" vbProcedure="false">Cap_In!$C$267:$F$267</definedName>
    <definedName function="false" hidden="false" name="B4_PriceIn" vbProcedure="false">Cap_In!$C$6:$E$6</definedName>
    <definedName function="false" hidden="false" name="B4_PriceOut" vbProcedure="false">Cap_In!$C$8:$E$8</definedName>
    <definedName function="false" hidden="false" name="B4_Retain" vbProcedure="false">Cap_In!$C$37</definedName>
    <definedName function="false" hidden="false" name="B4_Serve" vbProcedure="false">Cap_In!$C$28</definedName>
    <definedName function="false" hidden="false" name="B4_SSDcost" vbProcedure="false">Cap_In!$C$41</definedName>
    <definedName function="false" hidden="false" name="B4_SSDlife" vbProcedure="false">Cap_In!$C$42</definedName>
    <definedName function="false" hidden="false" name="B4_StoreTier" vbProcedure="false">Cap_In!$C$36</definedName>
    <definedName function="false" hidden="false" name="B5_Beta" vbProcedure="false">Har_In!$C$51</definedName>
    <definedName function="false" hidden="false" name="B5_H50" vbProcedure="false">Har_In!$C$48:$E$48</definedName>
    <definedName function="false" hidden="false" name="B5_H50Hi" vbProcedure="false">Har_In!$C$50:$E$50</definedName>
    <definedName function="false" hidden="false" name="B5_H50Lo" vbProcedure="false">Har_In!$C$49:$E$49</definedName>
    <definedName function="false" hidden="false" name="B5_PFloor" vbProcedure="false">Har_In!$C$8</definedName>
    <definedName function="false" hidden="false" name="B5_Profile" vbProcedure="false">Har_In!$C$5</definedName>
    <definedName function="false" hidden="false" name="B5_ProfileName" vbProcedure="false">Har_In!$C$6</definedName>
    <definedName function="false" hidden="false" name="B5_SelC" vbProcedure="false">Har_In!$C$39:$G$39</definedName>
    <definedName function="false" hidden="false" name="B5_SelDChi" vbProcedure="false">Har_In!$C$40:$G$40</definedName>
    <definedName function="false" hidden="false" name="B5_SelDM" vbProcedure="false">Har_In!$C$41:$G$41</definedName>
    <definedName function="false" hidden="false" name="B5_SelH" vbProcedure="false">Har_In!$C$38:$G$38</definedName>
    <definedName function="false" hidden="false" name="B5_SelHz" vbProcedure="false">Har_In!$C$43:$G$43</definedName>
    <definedName function="false" hidden="false" name="B5_SelRet" vbProcedure="false">Har_In!$C$42:$G$42</definedName>
    <definedName function="false" hidden="false" name="B5_Selrho" vbProcedure="false">Har_In!$C$37:$G$37</definedName>
    <definedName function="false" hidden="false" name="B5_SelT" vbProcedure="false">Har_In!$C$36:$G$36</definedName>
    <definedName function="false" hidden="false" name="B5_SelVendor" vbProcedure="false">Har_In!$C$44:$G$44</definedName>
    <definedName function="false" hidden="false" name="B5_SuccOvr_Astra" vbProcedure="false">Har_In!$C$57:$G$57</definedName>
    <definedName function="false" hidden="false" name="B5_SuccOvr_Luna" vbProcedure="false">Har_In!$C$55:$G$55</definedName>
    <definedName function="false" hidden="false" name="B5_SuccOvr_Sol" vbProcedure="false">Har_In!$C$56:$G$56</definedName>
    <definedName function="false" hidden="false" name="B5_TaskLen" vbProcedure="false">Har_In!$C$53:$G$53</definedName>
    <definedName function="false" hidden="false" name="B5_TaskTok" vbProcedure="false">Harness!$C$44:$G$44</definedName>
    <definedName function="false" hidden="false" name="B5_TaskTokSel" vbProcedure="false">Harness!$C$38:$G$38</definedName>
    <definedName function="false" hidden="false" name="B5_TaskTokStd" vbProcedure="false">Harness!$C$21:$G$21</definedName>
    <definedName function="false" hidden="false" name="B5_W" vbProcedure="false">Har_In!$C$7</definedName>
    <definedName function="false" hidden="false" name="CAL_BatchEtaD" vbProcedure="false">Calib!$C$156:$G$156</definedName>
    <definedName function="false" hidden="false" name="CAL_EtaD" vbProcedure="false">Calib!$C$60</definedName>
    <definedName function="false" hidden="false" name="CAL_F_Basis" vbProcedure="false">Calib!$C$21:$I$21</definedName>
    <definedName function="false" hidden="false" name="CAL_F_Eng" vbProcedure="false">Calib!$C$12:$I$12</definedName>
    <definedName function="false" hidden="false" name="CAL_F_Gen" vbProcedure="false">Calib!$C$11:$I$11</definedName>
    <definedName function="false" hidden="false" name="CAL_F_Label" vbProcedure="false">Calib!$C$20:$I$20</definedName>
    <definedName function="false" hidden="false" name="CAL_F_Meas" vbProcedure="false">Calib!$C$17:$I$17</definedName>
    <definedName function="false" hidden="false" name="CAL_F_Model" vbProcedure="false">Calib!$C$85:$I$85</definedName>
    <definedName function="false" hidden="false" name="CAL_F_Platform" vbProcedure="false">Calib!$C$19:$I$19</definedName>
    <definedName function="false" hidden="false" name="CAL_F_Ratio" vbProcedure="false">Calib!$C$86:$I$86</definedName>
    <definedName function="false" hidden="false" name="CAL_F_Speed" vbProcedure="false">Calib!$C$14:$I$14</definedName>
    <definedName function="false" hidden="false" name="CAL_H_Basis" vbProcedure="false">Calib!$C$123:$F$123</definedName>
    <definedName function="false" hidden="false" name="CAL_H_Gen" vbProcedure="false">Calib!$C$122:$F$122</definedName>
    <definedName function="false" hidden="false" name="CAL_H_Label" vbProcedure="false">Calib!$C$116:$F$116</definedName>
    <definedName function="false" hidden="false" name="CAL_H_Meas" vbProcedure="false">Calib!$C$120:$F$120</definedName>
    <definedName function="false" hidden="false" name="CAL_H_Model" vbProcedure="false">Calib!$C$148:$F$148</definedName>
    <definedName function="false" hidden="false" name="CAL_H_Platform" vbProcedure="false">Calib!$C$121:$F$121</definedName>
    <definedName function="false" hidden="false" name="CAL_H_Ratio" vbProcedure="false">Calib!$C$149:$F$149</definedName>
    <definedName function="false" hidden="false" name="CAL_H_Speed" vbProcedure="false">Calib!$C$118:$F$118</definedName>
    <definedName function="false" hidden="false" name="CAL_TlayerUs" vbProcedure="false">Calib!$C$62</definedName>
    <definedName function="false" hidden="false" name="CAP_GenGap_GB200" vbProcedure="false">Cap_In!$C$272</definedName>
    <definedName function="false" hidden="false" name="CAP_GenGap_GB200_Hi" vbProcedure="false">Cap_In!$E$272</definedName>
    <definedName function="false" hidden="false" name="CAP_GenGap_GB200_Lo" vbProcedure="false">Cap_In!$D$272</definedName>
    <definedName function="false" hidden="false" name="CAP_GenGap_GB300" vbProcedure="false">Cap_In!$C$273</definedName>
    <definedName function="false" hidden="false" name="CAP_GenGap_GB300_Hi" vbProcedure="false">Cap_In!$E$273</definedName>
    <definedName function="false" hidden="false" name="CAP_GenGap_GB300_Lo" vbProcedure="false">Cap_In!$D$273</definedName>
    <definedName function="false" hidden="false" name="CAP_GenGap_VR200" vbProcedure="false">Cap_In!$C$274</definedName>
    <definedName function="false" hidden="false" name="CAP_GenGap_VR200_Hi" vbProcedure="false">Cap_In!$E$274</definedName>
    <definedName function="false" hidden="false" name="CAP_GenGap_VR200_Lo" vbProcedure="false">Cap_In!$D$274</definedName>
    <definedName function="false" hidden="false" name="CAP_Price25Mix" vbProcedure="false">Cap_In!$C$281</definedName>
    <definedName function="false" hidden="false" name="CAP_Price25Mix_Hi" vbProcedure="false">Cap_In!$E$281</definedName>
    <definedName function="false" hidden="false" name="CAP_Price25Mix_Lo" vbProcedure="false">Cap_In!$D$281</definedName>
    <definedName function="false" hidden="false" name="CAP_Px25_Astra" vbProcedure="false">Cap_In!$C$280</definedName>
    <definedName function="false" hidden="false" name="CAP_Px25_Astra_Hi" vbProcedure="false">Cap_In!$E$280</definedName>
    <definedName function="false" hidden="false" name="CAP_Px25_Astra_Lo" vbProcedure="false">Cap_In!$D$280</definedName>
    <definedName function="false" hidden="false" name="CAP_Px25_Luna" vbProcedure="false">Cap_In!$C$278</definedName>
    <definedName function="false" hidden="false" name="CAP_Px25_Luna_Hi" vbProcedure="false">Cap_In!$E$278</definedName>
    <definedName function="false" hidden="false" name="CAP_Px25_Luna_Lo" vbProcedure="false">Cap_In!$D$278</definedName>
    <definedName function="false" hidden="false" name="CAP_Px25_Sol" vbProcedure="false">Cap_In!$C$279</definedName>
    <definedName function="false" hidden="false" name="CAP_Px25_Sol_Hi" vbProcedure="false">Cap_In!$E$279</definedName>
    <definedName function="false" hidden="false" name="CAP_Px25_Sol_Lo" vbProcedure="false">Cap_In!$D$279</definedName>
    <definedName function="false" hidden="false" name="CHK_L1Order" vbProcedure="false">Checks!$D$106</definedName>
    <definedName function="false" hidden="false" name="CHK_RDMixSum" vbProcedure="false">Checks!$D$140</definedName>
    <definedName function="false" hidden="false" name="CHK_VerifyFail" vbProcedure="false">Checks!$F$146</definedName>
    <definedName function="false" hidden="false" name="CHK_VerifyPass" vbProcedure="false">Checks!$F$145</definedName>
    <definedName function="false" hidden="false" name="CHK_VerifyTotal" vbProcedure="false">Checks!$F$144</definedName>
    <definedName function="false" hidden="false" name="CST_CtxKV" vbProcedure="false">Arch!$C$32</definedName>
    <definedName function="false" hidden="false" name="CST_Eps" vbProcedure="false">Sens_Rev!$B$18</definedName>
    <definedName function="false" hidden="false" name="CST_MainMin" vbProcedure="false">Tech_Registry!$J$17</definedName>
    <definedName function="false" hidden="false" name="CST_STMult" vbProcedure="false">Sens_Train!$C$8:$AH$8</definedName>
    <definedName function="false" hidden="false" name="CST_TokPerPromptV528" vbProcedure="false">Alloc_In!$C$25</definedName>
    <definedName function="false" hidden="false" name="CTL_GW" vbProcedure="false">Inputs!$E$5</definedName>
    <definedName function="false" hidden="false" name="CTL_Monetize" vbProcedure="false">Cap_In!$C$64</definedName>
    <definedName function="false" hidden="false" name="CTL_PowerCase" vbProcedure="false">Inputs!$E$6</definedName>
    <definedName function="false" hidden="false" name="CTL_PriceLife" vbProcedure="false">Cap_In!$C$63</definedName>
    <definedName function="false" hidden="false" name="CTL_ProdDerate" vbProcedure="false">Serving!$C$28</definedName>
    <definedName function="false" hidden="false" name="DRV_Batch" vbProcedure="false">Perf!$C$87:$Q$87</definedName>
    <definedName function="false" hidden="false" name="DRV_Bind" vbProcedure="false">Perf!$C$90:$Q$90</definedName>
    <definedName function="false" hidden="false" name="DRV_Close" vbProcedure="false">Perf!$C$116:$Q$116</definedName>
    <definedName function="false" hidden="false" name="DRV_DecTokGPU" vbProcedure="false">Perf!$C$88:$Q$88</definedName>
    <definedName function="false" hidden="false" name="DRV_FlopDec" vbProcedure="false">Perf!$C$65:$Q$65</definedName>
    <definedName function="false" hidden="false" name="DRV_FlopPre" vbProcedure="false">Perf!$C$67:$Q$67</definedName>
    <definedName function="false" hidden="false" name="DRV_Gen" vbProcedure="false">Perf!$C$4:$Q$4</definedName>
    <definedName function="false" hidden="false" name="DRV_GWTok" vbProcedure="false">Perf!$C$98:$Q$98</definedName>
    <definedName function="false" hidden="false" name="DRV_PreShare" vbProcedure="false">Perf!$C$94:$Q$94</definedName>
    <definedName function="false" hidden="false" name="DRV_PreTokGPU" vbProcedure="false">Perf!$C$75:$Q$75</definedName>
    <definedName function="false" hidden="false" name="DRV_RackTok" vbProcedure="false">Perf!$C$95:$Q$95</definedName>
    <definedName function="false" hidden="false" name="DRV_SeqBind" vbProcedure="false">Perf!$C$84:$Q$84</definedName>
    <definedName function="false" hidden="false" name="DRV_SeqMs" vbProcedure="false">Perf!$C$83:$Q$83</definedName>
    <definedName function="false" hidden="false" name="DRV_TfixMs" vbProcedure="false">Perf!$C$79:$Q$79</definedName>
    <definedName function="false" hidden="false" name="DRV_Tier" vbProcedure="false">Perf!$C$5:$Q$5</definedName>
    <definedName function="false" hidden="false" name="DRV_WeightGB" vbProcedure="false">Perf!$C$72:$Q$72</definedName>
    <definedName function="false" hidden="false" name="GOV_Errors" vbProcedure="false">Checks!$D$97</definedName>
    <definedName function="false" hidden="false" name="GOV_Info" vbProcedure="false">Checks!$D$99</definedName>
    <definedName function="false" hidden="false" name="GOV_Table" vbProcedure="false">Checks!$A$74:$D$96</definedName>
    <definedName function="false" hidden="false" name="GOV_Warnings" vbProcedure="false">Checks!$D$98</definedName>
    <definedName function="false" hidden="false" name="IDX_SrcDate" vbProcedure="false">SRC_Index!$F$5:$F$1476</definedName>
    <definedName function="false" hidden="false" name="IDX_SrcGrade" vbProcedure="false">SRC_Index!$E$5:$E$1476</definedName>
    <definedName function="false" hidden="false" name="IDX_SrcID" vbProcedure="false">SRC_Index!$A$5:$A$1476</definedName>
    <definedName function="false" hidden="false" name="IDX_SrcStat" vbProcedure="false">SRC_Index!$D$5:$D$1476</definedName>
    <definedName function="false" hidden="false" name="IFC_Conf" vbProcedure="false">Interface!$R$6:$R$328</definedName>
    <definedName function="false" hidden="false" name="IFC_Layer" vbProcedure="false">Interface!$T$6:$T$328</definedName>
    <definedName function="false" hidden="false" name="IFC_Updated" vbProcedure="false">Interface!$U$6:$U$328</definedName>
    <definedName function="false" hidden="false" name="IFC_Use" vbProcedure="false">Interface!$S$6:$S$328</definedName>
    <definedName function="false" hidden="false" name="IFW_RevGWFleetFront_100" vbProcedure="false">Interface!$C$268:$Q$268</definedName>
    <definedName function="false" hidden="false" name="IFW_RevGWFleetFront_Life" vbProcedure="false">Interface!$C$271:$Q$271</definedName>
    <definedName function="false" hidden="false" name="IFW_RevGWFleetFront_LifeSelf" vbProcedure="false">Interface!$C$328:$Q$328</definedName>
    <definedName function="false" hidden="false" name="IFW_RevGWFleetFront_Prod" vbProcedure="false">Interface!$C$270:$Q$270</definedName>
    <definedName function="false" hidden="false" name="IFW_RevGWFleetFront_Util" vbProcedure="false">Interface!$C$269:$Q$269</definedName>
    <definedName function="false" hidden="false" name="IFW_RevGWFleet_100" vbProcedure="false">Interface!$C$248:$Q$248</definedName>
    <definedName function="false" hidden="false" name="IFW_RevGWFleet_Life" vbProcedure="false">Interface!$C$251:$Q$251</definedName>
    <definedName function="false" hidden="false" name="IFW_RevGWFleet_LifeSelf" vbProcedure="false">Interface!$C$324:$Q$324</definedName>
    <definedName function="false" hidden="false" name="IFW_RevGWFleet_Prod" vbProcedure="false">Interface!$C$250:$Q$250</definedName>
    <definedName function="false" hidden="false" name="IFW_RevGWFleet_Util" vbProcedure="false">Interface!$C$249:$Q$249</definedName>
    <definedName function="false" hidden="false" name="IFW_RevGWFront_Astra_100" vbProcedure="false">Interface!$C$263:$Q$263</definedName>
    <definedName function="false" hidden="false" name="IFW_RevGWFront_Astra_Life" vbProcedure="false">Interface!$C$266:$Q$266</definedName>
    <definedName function="false" hidden="false" name="IFW_RevGWFront_Astra_LifeSelf" vbProcedure="false">Interface!$C$327:$Q$327</definedName>
    <definedName function="false" hidden="false" name="IFW_RevGWFront_Astra_Prod" vbProcedure="false">Interface!$C$265:$Q$265</definedName>
    <definedName function="false" hidden="false" name="IFW_RevGWFront_Astra_Util" vbProcedure="false">Interface!$C$264:$Q$264</definedName>
    <definedName function="false" hidden="false" name="IFW_RevGWFront_Luna_100" vbProcedure="false">Interface!$C$253:$Q$253</definedName>
    <definedName function="false" hidden="false" name="IFW_RevGWFront_Luna_Life" vbProcedure="false">Interface!$C$256:$Q$256</definedName>
    <definedName function="false" hidden="false" name="IFW_RevGWFront_Luna_LifeSelf" vbProcedure="false">Interface!$C$325:$Q$325</definedName>
    <definedName function="false" hidden="false" name="IFW_RevGWFront_Luna_Prod" vbProcedure="false">Interface!$C$255:$Q$255</definedName>
    <definedName function="false" hidden="false" name="IFW_RevGWFront_Luna_Util" vbProcedure="false">Interface!$C$254:$Q$254</definedName>
    <definedName function="false" hidden="false" name="IFW_RevGWFront_Sol_100" vbProcedure="false">Interface!$C$258:$Q$258</definedName>
    <definedName function="false" hidden="false" name="IFW_RevGWFront_Sol_Life" vbProcedure="false">Interface!$C$261:$Q$261</definedName>
    <definedName function="false" hidden="false" name="IFW_RevGWFront_Sol_LifeSelf" vbProcedure="false">Interface!$C$326:$Q$326</definedName>
    <definedName function="false" hidden="false" name="IFW_RevGWFront_Sol_Prod" vbProcedure="false">Interface!$C$260:$Q$260</definedName>
    <definedName function="false" hidden="false" name="IFW_RevGWFront_Sol_Util" vbProcedure="false">Interface!$C$259:$Q$259</definedName>
    <definedName function="false" hidden="false" name="IFW_RevGW_Astra_100" vbProcedure="false">Interface!$C$243:$Q$243</definedName>
    <definedName function="false" hidden="false" name="IFW_RevGW_Astra_Life" vbProcedure="false">Interface!$C$246:$Q$246</definedName>
    <definedName function="false" hidden="false" name="IFW_RevGW_Astra_LifeSelf" vbProcedure="false">Interface!$C$323:$Q$323</definedName>
    <definedName function="false" hidden="false" name="IFW_RevGW_Astra_Prod" vbProcedure="false">Interface!$C$245:$Q$245</definedName>
    <definedName function="false" hidden="false" name="IFW_RevGW_Astra_Util" vbProcedure="false">Interface!$C$244:$Q$244</definedName>
    <definedName function="false" hidden="false" name="IFW_RevGW_Luna_100" vbProcedure="false">Interface!$C$233:$Q$233</definedName>
    <definedName function="false" hidden="false" name="IFW_RevGW_Luna_Life" vbProcedure="false">Interface!$C$236:$Q$236</definedName>
    <definedName function="false" hidden="false" name="IFW_RevGW_Luna_LifeSelf" vbProcedure="false">Interface!$C$321:$Q$321</definedName>
    <definedName function="false" hidden="false" name="IFW_RevGW_Luna_Prod" vbProcedure="false">Interface!$C$235:$Q$235</definedName>
    <definedName function="false" hidden="false" name="IFW_RevGW_Luna_Util" vbProcedure="false">Interface!$C$234:$Q$234</definedName>
    <definedName function="false" hidden="false" name="IFW_RevGW_Sol_100" vbProcedure="false">Interface!$C$238:$Q$238</definedName>
    <definedName function="false" hidden="false" name="IFW_RevGW_Sol_Life" vbProcedure="false">Interface!$C$241:$Q$241</definedName>
    <definedName function="false" hidden="false" name="IFW_RevGW_Sol_LifeSelf" vbProcedure="false">Interface!$C$322:$Q$322</definedName>
    <definedName function="false" hidden="false" name="IFW_RevGW_Sol_Prod" vbProcedure="false">Interface!$C$240:$Q$240</definedName>
    <definedName function="false" hidden="false" name="IFW_RevGW_Sol_Util" vbProcedure="false">Interface!$C$239:$Q$239</definedName>
    <definedName function="false" hidden="false" name="IFW_TokGW_Astra_100" vbProcedure="false">Interface!$C$283:$Q$283</definedName>
    <definedName function="false" hidden="false" name="IFW_TokGW_Astra_Life" vbProcedure="false">Interface!$C$286:$Q$286</definedName>
    <definedName function="false" hidden="false" name="IFW_TokGW_Astra_Prod" vbProcedure="false">Interface!$C$285:$Q$285</definedName>
    <definedName function="false" hidden="false" name="IFW_TokGW_Astra_Util" vbProcedure="false">Interface!$C$284:$Q$284</definedName>
    <definedName function="false" hidden="false" name="IFW_TokGW_Luna_100" vbProcedure="false">Interface!$C$273:$Q$273</definedName>
    <definedName function="false" hidden="false" name="IFW_TokGW_Luna_Life" vbProcedure="false">Interface!$C$276:$Q$276</definedName>
    <definedName function="false" hidden="false" name="IFW_TokGW_Luna_Prod" vbProcedure="false">Interface!$C$275:$Q$275</definedName>
    <definedName function="false" hidden="false" name="IFW_TokGW_Luna_Util" vbProcedure="false">Interface!$C$274:$Q$274</definedName>
    <definedName function="false" hidden="false" name="IFW_TokGW_Sol_100" vbProcedure="false">Interface!$C$278:$Q$278</definedName>
    <definedName function="false" hidden="false" name="IFW_TokGW_Sol_Life" vbProcedure="false">Interface!$C$281:$Q$281</definedName>
    <definedName function="false" hidden="false" name="IFW_TokGW_Sol_Prod" vbProcedure="false">Interface!$C$280:$Q$280</definedName>
    <definedName function="false" hidden="false" name="IFW_TokGW_Sol_Util" vbProcedure="false">Interface!$C$279:$Q$279</definedName>
    <definedName function="false" hidden="false" name="IF_AllocDemand" vbProcedure="false">Interface!$C$200</definedName>
    <definedName function="false" hidden="false" name="IF_AllocImpliedNk" vbProcedure="false">Interface!$C$201</definedName>
    <definedName function="false" hidden="false" name="IF_AllocQ1" vbProcedure="false">Interface!$C$195</definedName>
    <definedName function="false" hidden="false" name="IF_AllocQ1_R2" vbProcedure="false">Interface!$C$196</definedName>
    <definedName function="false" hidden="false" name="IF_AllocQ2" vbProcedure="false">Interface!$C$197</definedName>
    <definedName function="false" hidden="false" name="IF_AllocRDGW" vbProcedure="false">Interface!$C$199</definedName>
    <definedName function="false" hidden="false" name="IF_AllocServeGW" vbProcedure="false">Interface!$C$198</definedName>
    <definedName function="false" hidden="false" name="IF_AllocServeGW_Tok" vbProcedure="false">Interface!$C$318</definedName>
    <definedName function="false" hidden="false" name="IF_AmortBU_Astra" vbProcedure="false">Interface!$C$131:$Q$131</definedName>
    <definedName function="false" hidden="false" name="IF_AmortBU_Luna" vbProcedure="false">Interface!$C$95:$Q$95</definedName>
    <definedName function="false" hidden="false" name="IF_AmortBU_Sol" vbProcedure="false">Interface!$C$113:$Q$113</definedName>
    <definedName function="false" hidden="false" name="IF_AmortDefault_Astra" vbProcedure="false">Interface!$C$134:$Q$134</definedName>
    <definedName function="false" hidden="false" name="IF_AmortDefault_Luna" vbProcedure="false">Interface!$C$98:$Q$98</definedName>
    <definedName function="false" hidden="false" name="IF_AmortDefault_Sol" vbProcedure="false">Interface!$C$116:$Q$116</definedName>
    <definedName function="false" hidden="false" name="IF_AmortRev_Astra" vbProcedure="false">Interface!$C$135:$Q$135</definedName>
    <definedName function="false" hidden="false" name="IF_AmortRev_Luna" vbProcedure="false">Interface!$C$99:$Q$99</definedName>
    <definedName function="false" hidden="false" name="IF_AmortRev_Sol" vbProcedure="false">Interface!$C$117:$Q$117</definedName>
    <definedName function="false" hidden="false" name="IF_AmortTD_Astra" vbProcedure="false">Interface!$C$132:$Q$132</definedName>
    <definedName function="false" hidden="false" name="IF_AmortTD_Luna" vbProcedure="false">Interface!$C$96:$Q$96</definedName>
    <definedName function="false" hidden="false" name="IF_AmortTD_Sol" vbProcedure="false">Interface!$C$114:$Q$114</definedName>
    <definedName function="false" hidden="false" name="IF_AvgDraw" vbProcedure="false">Interface!$C$222:$Q$222</definedName>
    <definedName function="false" hidden="false" name="IF_CacheStore_Astra" vbProcedure="false">Interface!$C$130:$Q$130</definedName>
    <definedName function="false" hidden="false" name="IF_CacheStore_Luna" vbProcedure="false">Interface!$C$94:$Q$94</definedName>
    <definedName function="false" hidden="false" name="IF_CacheStore_Sol" vbProcedure="false">Interface!$C$112:$Q$112</definedName>
    <definedName function="false" hidden="false" name="IF_CapexFacility" vbProcedure="false">Interface!$C$10:$Q$10</definedName>
    <definedName function="false" hidden="false" name="IF_CapexIT" vbProcedure="false">Interface!$C$9:$Q$9</definedName>
    <definedName function="false" hidden="false" name="IF_CapexTotal" vbProcedure="false">Interface!$C$11:$Q$11</definedName>
    <definedName function="false" hidden="false" name="IF_CostAttVR_Astra" vbProcedure="false">Interface!$C$187:$G$187</definedName>
    <definedName function="false" hidden="false" name="IF_CostAttVR_Luna" vbProcedure="false">Interface!$C$183:$G$183</definedName>
    <definedName function="false" hidden="false" name="IF_CostAttVR_Sol" vbProcedure="false">Interface!$C$185:$G$185</definedName>
    <definedName function="false" hidden="false" name="IF_CostCache_Astra" vbProcedure="false">Interface!$C$44:$Q$44</definedName>
    <definedName function="false" hidden="false" name="IF_CostCache_Luna" vbProcedure="false">Interface!$C$24:$Q$24</definedName>
    <definedName function="false" hidden="false" name="IF_CostCache_Sol" vbProcedure="false">Interface!$C$34:$Q$34</definedName>
    <definedName function="false" hidden="false" name="IF_CostDecAcct_Astra" vbProcedure="false">Interface!$C$46:$Q$46</definedName>
    <definedName function="false" hidden="false" name="IF_CostDecAcct_Luna" vbProcedure="false">Interface!$C$26:$Q$26</definedName>
    <definedName function="false" hidden="false" name="IF_CostDecAcct_Sol" vbProcedure="false">Interface!$C$36:$Q$36</definedName>
    <definedName function="false" hidden="false" name="IF_CostDec_Astra" vbProcedure="false">Interface!$C$45:$Q$45</definedName>
    <definedName function="false" hidden="false" name="IF_CostDec_Luna" vbProcedure="false">Interface!$C$25:$Q$25</definedName>
    <definedName function="false" hidden="false" name="IF_CostDec_Sol" vbProcedure="false">Interface!$C$35:$Q$35</definedName>
    <definedName function="false" hidden="false" name="IF_CostPre_Astra" vbProcedure="false">Interface!$C$43:$Q$43</definedName>
    <definedName function="false" hidden="false" name="IF_CostPre_Luna" vbProcedure="false">Interface!$C$23:$Q$23</definedName>
    <definedName function="false" hidden="false" name="IF_CostPre_Sol" vbProcedure="false">Interface!$C$33:$Q$33</definedName>
    <definedName function="false" hidden="false" name="IF_CostSuccGB_Astra" vbProcedure="false">Interface!$C$179:$G$179</definedName>
    <definedName function="false" hidden="false" name="IF_CostSuccGB_Luna" vbProcedure="false">Interface!$C$165:$G$165</definedName>
    <definedName function="false" hidden="false" name="IF_CostSuccGB_Sol" vbProcedure="false">Interface!$C$172:$G$172</definedName>
    <definedName function="false" hidden="false" name="IF_CostSuccVR_Astra" vbProcedure="false">Interface!$C$178:$G$178</definedName>
    <definedName function="false" hidden="false" name="IF_CostSuccVR_Luna" vbProcedure="false">Interface!$C$164:$G$164</definedName>
    <definedName function="false" hidden="false" name="IF_CostSuccVR_Sol" vbProcedure="false">Interface!$C$171:$G$171</definedName>
    <definedName function="false" hidden="false" name="IF_DeprFac" vbProcedure="false">Interface!$C$221:$Q$221</definedName>
    <definedName function="false" hidden="false" name="IF_DeprIT" vbProcedure="false">Interface!$C$220:$Q$220</definedName>
    <definedName function="false" hidden="false" name="IF_DeprLifeIT" vbProcedure="false">Interface!$C$219:$Q$219</definedName>
    <definedName function="false" hidden="false" name="IF_FacilityGW" vbProcedure="false">Interface!$C$8:$Q$8</definedName>
    <definedName function="false" hidden="false" name="IF_FreeShare" vbProcedure="false">Interface!$C$149</definedName>
    <definedName function="false" hidden="false" name="IF_FrontModel_Astra" vbProcedure="false">Interface!$C$128</definedName>
    <definedName function="false" hidden="false" name="IF_FrontModel_Luna" vbProcedure="false">Interface!$C$92</definedName>
    <definedName function="false" hidden="false" name="IF_FrontModel_Sol" vbProcedure="false">Interface!$C$110</definedName>
    <definedName function="false" hidden="false" name="IF_FrontRef_Astra" vbProcedure="false">Interface!$C$127</definedName>
    <definedName function="false" hidden="false" name="IF_FrontRef_Luna" vbProcedure="false">Interface!$C$91</definedName>
    <definedName function="false" hidden="false" name="IF_FrontRef_Sol" vbProcedure="false">Interface!$C$109</definedName>
    <definedName function="false" hidden="false" name="IF_FrontSuccVR" vbProcedure="false">Interface!$C$190:$G$190</definedName>
    <definedName function="false" hidden="false" name="IF_FrontSuccVRName" vbProcedure="false">Interface!$C$191:$G$191</definedName>
    <definedName function="false" hidden="false" name="IF_FrontSuccVRP" vbProcedure="false">Interface!$C$192:$G$192</definedName>
    <definedName function="false" hidden="false" name="IF_FullCostDefault_Astra" vbProcedure="false">Interface!$C$136:$Q$136</definedName>
    <definedName function="false" hidden="false" name="IF_FullCostDefault_Luna" vbProcedure="false">Interface!$C$100:$Q$100</definedName>
    <definedName function="false" hidden="false" name="IF_FullCostDefault_Sol" vbProcedure="false">Interface!$C$118:$Q$118</definedName>
    <definedName function="false" hidden="false" name="IF_FullCost_Astra" vbProcedure="false">Interface!$C$133:$Q$133</definedName>
    <definedName function="false" hidden="false" name="IF_FullCost_Astra_Prod" vbProcedure="false">Interface!$C$206:$Q$206</definedName>
    <definedName function="false" hidden="false" name="IF_FullCost_Luna" vbProcedure="false">Interface!$C$97:$Q$97</definedName>
    <definedName function="false" hidden="false" name="IF_FullCost_Luna_Prod" vbProcedure="false">Interface!$C$204:$Q$204</definedName>
    <definedName function="false" hidden="false" name="IF_FullCost_Sol" vbProcedure="false">Interface!$C$115:$Q$115</definedName>
    <definedName function="false" hidden="false" name="IF_FullCost_Sol_Prod" vbProcedure="false">Interface!$C$205:$Q$205</definedName>
    <definedName function="false" hidden="false" name="IF_GPUhrEcon" vbProcedure="false">Interface!$C$14:$Q$14</definedName>
    <definedName function="false" hidden="false" name="IF_GPUsPerGW" vbProcedure="false">Interface!$C$7:$Q$7</definedName>
    <definedName function="false" hidden="false" name="IF_HarProfile" vbProcedure="false">Interface!$C$154</definedName>
    <definedName function="false" hidden="false" name="IF_HarR_Astra" vbProcedure="false">Interface!$C$181:$G$181</definedName>
    <definedName function="false" hidden="false" name="IF_HarR_Luna" vbProcedure="false">Interface!$C$167:$G$167</definedName>
    <definedName function="false" hidden="false" name="IF_HarR_Sol" vbProcedure="false">Interface!$C$174:$G$174</definedName>
    <definedName function="false" hidden="false" name="IF_HarTokRatio" vbProcedure="false">Interface!$C$160:$G$160</definedName>
    <definedName function="false" hidden="false" name="IF_HarW" vbProcedure="false">Interface!$C$153</definedName>
    <definedName function="false" hidden="false" name="IF_HdrCost" vbProcedure="false">Interface!$C$5:$Q$5</definedName>
    <definedName function="false" hidden="false" name="IF_HdrGen" vbProcedure="false">Interface!$C$4:$Q$4</definedName>
    <definedName function="false" hidden="false" name="IF_HdrTask" vbProcedure="false">Interface!$C$152:$G$152</definedName>
    <definedName function="false" hidden="false" name="IF_HoldAcct" vbProcedure="false">Interface!$C$12:$Q$12</definedName>
    <definedName function="false" hidden="false" name="IF_HoldEcon" vbProcedure="false">Interface!$C$13:$Q$13</definedName>
    <definedName function="false" hidden="false" name="IF_HzEff_Astra" vbProcedure="false">Interface!$C$188:$G$188</definedName>
    <definedName function="false" hidden="false" name="IF_HzEff_Luna" vbProcedure="false">Interface!$C$184:$G$184</definedName>
    <definedName function="false" hidden="false" name="IF_HzEff_Sol" vbProcedure="false">Interface!$C$186:$G$186</definedName>
    <definedName function="false" hidden="false" name="IF_Life_Astra" vbProcedure="false">Interface!$C$129</definedName>
    <definedName function="false" hidden="false" name="IF_Life_Luna" vbProcedure="false">Interface!$C$93</definedName>
    <definedName function="false" hidden="false" name="IF_Life_Sol" vbProcedure="false">Interface!$C$111</definedName>
    <definedName function="false" hidden="false" name="IF_MaintFac" vbProcedure="false">Interface!$C$225:$Q$225</definedName>
    <definedName function="false" hidden="false" name="IF_MaintIT" vbProcedure="false">Interface!$C$224:$Q$224</definedName>
    <definedName function="false" hidden="false" name="IF_MaintITPost" vbProcedure="false">Interface!$C$314:$Q$314</definedName>
    <definedName function="false" hidden="false" name="IF_MaintITWarr" vbProcedure="false">Interface!$C$313:$Q$313</definedName>
    <definedName function="false" hidden="false" name="IF_OpexGW" vbProcedure="false">Interface!$C$228:$Q$228</definedName>
    <definedName function="false" hidden="false" name="IF_PFloor" vbProcedure="false">Interface!$C$189</definedName>
    <definedName function="false" hidden="false" name="IF_PostShareFLOP_Astra" vbProcedure="false">Interface!$C$74:$Q$74</definedName>
    <definedName function="false" hidden="false" name="IF_PostShareFLOP_Luna" vbProcedure="false">Interface!$C$56:$Q$56</definedName>
    <definedName function="false" hidden="false" name="IF_PostShareFLOP_Sol" vbProcedure="false">Interface!$C$65:$Q$65</definedName>
    <definedName function="false" hidden="false" name="IF_PostShareGPUh_Astra" vbProcedure="false">Interface!$C$75:$Q$75</definedName>
    <definedName function="false" hidden="false" name="IF_PostShareGPUh_Luna" vbProcedure="false">Interface!$C$57:$Q$57</definedName>
    <definedName function="false" hidden="false" name="IF_PostShareGPUh_Sol" vbProcedure="false">Interface!$C$66:$Q$66</definedName>
    <definedName function="false" hidden="false" name="IF_PowerCost" vbProcedure="false">Interface!$C$15:$Q$15</definedName>
    <definedName function="false" hidden="false" name="IF_PowerPrice" vbProcedure="false">Interface!$C$223:$Q$223</definedName>
    <definedName function="false" hidden="false" name="IF_PriceCached_Astra" vbProcedure="false">Interface!$C$123</definedName>
    <definedName function="false" hidden="false" name="IF_PriceCached_Luna" vbProcedure="false">Interface!$C$87</definedName>
    <definedName function="false" hidden="false" name="IF_PriceCached_Sol" vbProcedure="false">Interface!$C$105</definedName>
    <definedName function="false" hidden="false" name="IF_PriceFresh_Astra" vbProcedure="false">Interface!$C$122</definedName>
    <definedName function="false" hidden="false" name="IF_PriceFresh_Luna" vbProcedure="false">Interface!$C$86</definedName>
    <definedName function="false" hidden="false" name="IF_PriceFresh_Sol" vbProcedure="false">Interface!$C$104</definedName>
    <definedName function="false" hidden="false" name="IF_PriceOut_Astra" vbProcedure="false">Interface!$C$125</definedName>
    <definedName function="false" hidden="false" name="IF_PriceOut_Luna" vbProcedure="false">Interface!$C$89</definedName>
    <definedName function="false" hidden="false" name="IF_PriceOut_Sol" vbProcedure="false">Interface!$C$107</definedName>
    <definedName function="false" hidden="false" name="IF_PriceRef_Astra" vbProcedure="false">Interface!$C$126</definedName>
    <definedName function="false" hidden="false" name="IF_PriceRef_Luna" vbProcedure="false">Interface!$C$90</definedName>
    <definedName function="false" hidden="false" name="IF_PriceRef_Sol" vbProcedure="false">Interface!$C$108</definedName>
    <definedName function="false" hidden="false" name="IF_PriceThink_Astra" vbProcedure="false">Interface!$C$124</definedName>
    <definedName function="false" hidden="false" name="IF_PriceThink_Luna" vbProcedure="false">Interface!$C$88</definedName>
    <definedName function="false" hidden="false" name="IF_PriceThink_Sol" vbProcedure="false">Interface!$C$106</definedName>
    <definedName function="false" hidden="false" name="IF_ProgCost_Astra" vbProcedure="false">Interface!$C$78:$Q$78</definedName>
    <definedName function="false" hidden="false" name="IF_ProgCost_Luna" vbProcedure="false">Interface!$C$60:$Q$60</definedName>
    <definedName function="false" hidden="false" name="IF_ProgCost_Sol" vbProcedure="false">Interface!$C$69:$Q$69</definedName>
    <definedName function="false" hidden="false" name="IF_ProgGPUh_Astra" vbProcedure="false">Interface!$C$77:$Q$77</definedName>
    <definedName function="false" hidden="false" name="IF_ProgGPUh_Luna" vbProcedure="false">Interface!$C$59:$Q$59</definedName>
    <definedName function="false" hidden="false" name="IF_ProgGPUh_Sol" vbProcedure="false">Interface!$C$68:$Q$68</definedName>
    <definedName function="false" hidden="false" name="IF_ProgGWyr_Astra" vbProcedure="false">Interface!$C$79:$Q$79</definedName>
    <definedName function="false" hidden="false" name="IF_ProgGWyr_Luna" vbProcedure="false">Interface!$C$61:$Q$61</definedName>
    <definedName function="false" hidden="false" name="IF_ProgGWyr_Sol" vbProcedure="false">Interface!$C$70:$Q$70</definedName>
    <definedName function="false" hidden="false" name="IF_RacksPerGW" vbProcedure="false">Interface!$C$6:$Q$6</definedName>
    <definedName function="false" hidden="false" name="IF_RDMult" vbProcedure="false">Interface!$C$80</definedName>
    <definedName function="false" hidden="false" name="IF_RevGWFleet" vbProcedure="false">Interface!$C$143:$Q$143</definedName>
    <definedName function="false" hidden="false" name="IF_RevGWFleetFront" vbProcedure="false">Interface!$C$147:$Q$147</definedName>
    <definedName function="false" hidden="false" name="IF_RevGWFleetFront_Astra" vbProcedure="false">Interface!$C$146:$Q$146</definedName>
    <definedName function="false" hidden="false" name="IF_RevGWFleetFront_Luna" vbProcedure="false">Interface!$C$144:$Q$144</definedName>
    <definedName function="false" hidden="false" name="IF_RevGWFleetFront_Sol" vbProcedure="false">Interface!$C$145:$Q$145</definedName>
    <definedName function="false" hidden="false" name="IF_RevGWFleet_Astra" vbProcedure="false">Interface!$C$142:$Q$142</definedName>
    <definedName function="false" hidden="false" name="IF_RevGWFleet_Life" vbProcedure="false">Interface!$C$216:$Q$216</definedName>
    <definedName function="false" hidden="false" name="IF_RevGWFleet_Luna" vbProcedure="false">Interface!$C$140:$Q$140</definedName>
    <definedName function="false" hidden="false" name="IF_RevGWFleet_Prod" vbProcedure="false">Interface!$C$210:$Q$210</definedName>
    <definedName function="false" hidden="false" name="IF_RevGWFleet_Sol" vbProcedure="false">Interface!$C$141:$Q$141</definedName>
    <definedName function="false" hidden="false" name="IF_RevGWFront_Astra" vbProcedure="false">Interface!$C$138:$Q$138</definedName>
    <definedName function="false" hidden="false" name="IF_RevGWFront_Luna" vbProcedure="false">Interface!$C$102:$Q$102</definedName>
    <definedName function="false" hidden="false" name="IF_RevGWFront_Sol" vbProcedure="false">Interface!$C$120:$Q$120</definedName>
    <definedName function="false" hidden="false" name="IF_RevGW_Astra" vbProcedure="false">Interface!$C$137:$Q$137</definedName>
    <definedName function="false" hidden="false" name="IF_RevGW_Astra_Life" vbProcedure="false">Interface!$C$215:$Q$215</definedName>
    <definedName function="false" hidden="false" name="IF_RevGW_Astra_Prod" vbProcedure="false">Interface!$C$209:$Q$209</definedName>
    <definedName function="false" hidden="false" name="IF_RevGW_Luna" vbProcedure="false">Interface!$C$101:$Q$101</definedName>
    <definedName function="false" hidden="false" name="IF_RevGW_Luna_Life" vbProcedure="false">Interface!$C$213:$Q$213</definedName>
    <definedName function="false" hidden="false" name="IF_RevGW_Luna_Prod" vbProcedure="false">Interface!$C$207:$Q$207</definedName>
    <definedName function="false" hidden="false" name="IF_RevGW_Sol" vbProcedure="false">Interface!$C$119:$Q$119</definedName>
    <definedName function="false" hidden="false" name="IF_RevGW_Sol_Life" vbProcedure="false">Interface!$C$214:$Q$214</definedName>
    <definedName function="false" hidden="false" name="IF_RevGW_Sol_Prod" vbProcedure="false">Interface!$C$208:$Q$208</definedName>
    <definedName function="false" hidden="false" name="IF_RevSucc_Astra" vbProcedure="false">Interface!$C$180:$G$180</definedName>
    <definedName function="false" hidden="false" name="IF_RevSucc_Luna" vbProcedure="false">Interface!$C$166:$G$166</definedName>
    <definedName function="false" hidden="false" name="IF_RevSucc_Sol" vbProcedure="false">Interface!$C$173:$G$173</definedName>
    <definedName function="false" hidden="false" name="IF_RLMFU_Astra" vbProcedure="false">Interface!$C$76:$Q$76</definedName>
    <definedName function="false" hidden="false" name="IF_RLMFU_Luna" vbProcedure="false">Interface!$C$58:$Q$58</definedName>
    <definedName function="false" hidden="false" name="IF_RLMFU_Sol" vbProcedure="false">Interface!$C$67:$Q$67</definedName>
    <definedName function="false" hidden="false" name="IF_ServeShare" vbProcedure="false">Interface!$C$148</definedName>
    <definedName function="false" hidden="false" name="IF_StaffSW" vbProcedure="false">Interface!$C$226:$Q$226</definedName>
    <definedName function="false" hidden="false" name="IF_TaskLen" vbProcedure="false">Interface!$C$155:$G$155</definedName>
    <definedName function="false" hidden="false" name="IF_TaskSuccSel_Astra" vbProcedure="false">Interface!$C$177:$G$177</definedName>
    <definedName function="false" hidden="false" name="IF_TaskSuccSel_Luna" vbProcedure="false">Interface!$C$163:$G$163</definedName>
    <definedName function="false" hidden="false" name="IF_TaskSuccSel_Sol" vbProcedure="false">Interface!$C$170:$G$170</definedName>
    <definedName function="false" hidden="false" name="IF_TaskSucc_Astra" vbProcedure="false">Interface!$C$176:$G$176</definedName>
    <definedName function="false" hidden="false" name="IF_TaskSucc_Luna" vbProcedure="false">Interface!$C$162:$G$162</definedName>
    <definedName function="false" hidden="false" name="IF_TaskSucc_Sol" vbProcedure="false">Interface!$C$169:$G$169</definedName>
    <definedName function="false" hidden="false" name="IF_TaskTokCached" vbProcedure="false">Interface!$C$157:$G$157</definedName>
    <definedName function="false" hidden="false" name="IF_TaskTokDec" vbProcedure="false">Interface!$C$158:$G$158</definedName>
    <definedName function="false" hidden="false" name="IF_TaskTokFresh" vbProcedure="false">Interface!$C$156:$G$156</definedName>
    <definedName function="false" hidden="false" name="IF_TaskTokSel" vbProcedure="false">Interface!$C$159:$G$159</definedName>
    <definedName function="false" hidden="false" name="IF_TaxIns" vbProcedure="false">Interface!$C$227:$Q$227</definedName>
    <definedName function="false" hidden="false" name="IF_TokGW_Astra" vbProcedure="false">Interface!$C$41:$Q$41</definedName>
    <definedName function="false" hidden="false" name="IF_TokGW_Luna" vbProcedure="false">Interface!$C$21:$Q$21</definedName>
    <definedName function="false" hidden="false" name="IF_TokGW_Sol" vbProcedure="false">Interface!$C$31:$Q$31</definedName>
    <definedName function="false" hidden="false" name="IF_TokPerJ_Astra" vbProcedure="false">Interface!$C$47:$Q$47</definedName>
    <definedName function="false" hidden="false" name="IF_TokPerJ_Luna" vbProcedure="false">Interface!$C$27:$Q$27</definedName>
    <definedName function="false" hidden="false" name="IF_TokPerJ_Sol" vbProcedure="false">Interface!$C$37:$Q$37</definedName>
    <definedName function="false" hidden="false" name="IF_TokRackD_Astra" vbProcedure="false">Interface!$C$40:$Q$40</definedName>
    <definedName function="false" hidden="false" name="IF_TokRackD_Luna" vbProcedure="false">Interface!$C$20:$Q$20</definedName>
    <definedName function="false" hidden="false" name="IF_TokRackD_Sol" vbProcedure="false">Interface!$C$30:$Q$30</definedName>
    <definedName function="false" hidden="false" name="IF_TokRack_Astra" vbProcedure="false">Interface!$C$39:$Q$39</definedName>
    <definedName function="false" hidden="false" name="IF_TokRack_Luna" vbProcedure="false">Interface!$C$19:$Q$19</definedName>
    <definedName function="false" hidden="false" name="IF_TokRack_Sol" vbProcedure="false">Interface!$C$29:$Q$29</definedName>
    <definedName function="false" hidden="false" name="IF_TrainCost_Astra" vbProcedure="false">Interface!$C$73:$Q$73</definedName>
    <definedName function="false" hidden="false" name="IF_TrainCost_Luna" vbProcedure="false">Interface!$C$55:$Q$55</definedName>
    <definedName function="false" hidden="false" name="IF_TrainCost_Sol" vbProcedure="false">Interface!$C$64:$Q$64</definedName>
    <definedName function="false" hidden="false" name="IF_TrainGenAlt" vbProcedure="false">Interface!$C$82</definedName>
    <definedName function="false" hidden="false" name="IF_TrainGenAltName" vbProcedure="false">Interface!$D$82</definedName>
    <definedName function="false" hidden="false" name="IF_TrainGenDefault" vbProcedure="false">Interface!$C$81</definedName>
    <definedName function="false" hidden="false" name="IF_TrainGenDefaultName" vbProcedure="false">Interface!$D$81</definedName>
    <definedName function="false" hidden="false" name="IF_TrainGPUh_Astra" vbProcedure="false">Interface!$C$72:$Q$72</definedName>
    <definedName function="false" hidden="false" name="IF_TrainGPUh_Luna" vbProcedure="false">Interface!$C$54:$Q$54</definedName>
    <definedName function="false" hidden="false" name="IF_TrainGPUh_Sol" vbProcedure="false">Interface!$C$63:$Q$63</definedName>
    <definedName function="false" hidden="false" name="IF_Util" vbProcedure="false">Interface!$C$48</definedName>
    <definedName function="false" hidden="false" name="IF_VReq_Astra" vbProcedure="false">Interface!$C$42:$Q$42</definedName>
    <definedName function="false" hidden="false" name="IF_VReq_Luna" vbProcedure="false">Interface!$C$22:$Q$22</definedName>
    <definedName function="false" hidden="false" name="IF_VReq_Sol" vbProcedure="false">Interface!$C$32:$Q$32</definedName>
    <definedName function="false" hidden="false" name="IF_WarrantyYrs" vbProcedure="false">Interface!$C$315</definedName>
    <definedName function="false" hidden="false" name="L1_Ans1" vbProcedure="false">L1!$D$37</definedName>
    <definedName function="false" hidden="false" name="L1_Ans1_Hi" vbProcedure="false">L1!$F$37</definedName>
    <definedName function="false" hidden="false" name="L1_Ans1_Lo" vbProcedure="false">L1!$E$37</definedName>
    <definedName function="false" hidden="false" name="L1_Ans2" vbProcedure="false">L1!$D$38</definedName>
    <definedName function="false" hidden="false" name="L1_Ans2_Hi" vbProcedure="false">L1!$F$38</definedName>
    <definedName function="false" hidden="false" name="L1_Ans2_Lo" vbProcedure="false">L1!$E$38</definedName>
    <definedName function="false" hidden="false" name="L1_Ans3" vbProcedure="false">L1!$D$39</definedName>
    <definedName function="false" hidden="false" name="L1_Ans3_Hi" vbProcedure="false">L1!$F$39</definedName>
    <definedName function="false" hidden="false" name="L1_Ans3_Lo" vbProcedure="false">L1!$E$39</definedName>
    <definedName function="false" hidden="false" name="L1_Ans4" vbProcedure="false">L1!$D$40</definedName>
    <definedName function="false" hidden="false" name="L1_Ans4_Hi" vbProcedure="false">L1!$F$40</definedName>
    <definedName function="false" hidden="false" name="L1_Ans4_Lo" vbProcedure="false">L1!$E$40</definedName>
    <definedName function="false" hidden="false" name="L1_Ans5" vbProcedure="false">L1!$D$41</definedName>
    <definedName function="false" hidden="false" name="L1_Ans5_FullMargin" vbProcedure="false">L1!$D$50</definedName>
    <definedName function="false" hidden="false" name="L1_Ans5_FullMargin_Hi" vbProcedure="false">L1!$F$50</definedName>
    <definedName function="false" hidden="false" name="L1_Ans5_FullMargin_Lo" vbProcedure="false">L1!$E$50</definedName>
    <definedName function="false" hidden="false" name="L1_Ans5_GM" vbProcedure="false">L1!$D$49</definedName>
    <definedName function="false" hidden="false" name="L1_Ans5_GM_Hi" vbProcedure="false">L1!$F$49</definedName>
    <definedName function="false" hidden="false" name="L1_Ans5_GM_Lo" vbProcedure="false">L1!$E$49</definedName>
    <definedName function="false" hidden="false" name="L1_Ans5_Hi" vbProcedure="false">L1!$F$41</definedName>
    <definedName function="false" hidden="false" name="L1_Ans5_Lo" vbProcedure="false">L1!$E$41</definedName>
    <definedName function="false" hidden="false" name="L1_Ans6" vbProcedure="false">L1!$D$42</definedName>
    <definedName function="false" hidden="false" name="L1_Ans6_GPUh" vbProcedure="false">L1!$D$51</definedName>
    <definedName function="false" hidden="false" name="L1_Ans6_GPUh_Hi" vbProcedure="false">L1!$F$51</definedName>
    <definedName function="false" hidden="false" name="L1_Ans6_GPUh_Lo" vbProcedure="false">L1!$E$51</definedName>
    <definedName function="false" hidden="false" name="L1_Ans6_Hi" vbProcedure="false">L1!$F$42</definedName>
    <definedName function="false" hidden="false" name="L1_Ans6_Lo" vbProcedure="false">L1!$E$42</definedName>
    <definedName function="false" hidden="false" name="L1_Ans7" vbProcedure="false">L1!$D$43</definedName>
    <definedName function="false" hidden="false" name="L1_Ans7_Hi" vbProcedure="false">L1!$F$43</definedName>
    <definedName function="false" hidden="false" name="L1_Ans7_Lo" vbProcedure="false">L1!$E$43</definedName>
    <definedName function="false" hidden="false" name="L1_Ans8" vbProcedure="false">L1!$D$44</definedName>
    <definedName function="false" hidden="false" name="L1_Ans8_Hi" vbProcedure="false">L1!$F$44</definedName>
    <definedName function="false" hidden="false" name="L1_Ans8_Lo" vbProcedure="false">L1!$E$44</definedName>
    <definedName function="false" hidden="false" name="L1_Ans9" vbProcedure="false">L1!$D$45</definedName>
    <definedName function="false" hidden="false" name="L1_Ans9_Hi" vbProcedure="false">L1!$F$45</definedName>
    <definedName function="false" hidden="false" name="L1_Ans9_Lo" vbProcedure="false">L1!$E$45</definedName>
    <definedName function="false" hidden="false" name="L1_AstraExtTok_180B" vbProcedure="false">L1!$D$108</definedName>
    <definedName function="false" hidden="false" name="L1_AstraExtTok_180B_Hi" vbProcedure="false">L1!$F$108</definedName>
    <definedName function="false" hidden="false" name="L1_AstraExtTok_180B_Lo" vbProcedure="false">L1!$E$108</definedName>
    <definedName function="false" hidden="false" name="L1_AstraExtTok_400B" vbProcedure="false">L1!$D$109</definedName>
    <definedName function="false" hidden="false" name="L1_AstraExtTok_400B_Hi" vbProcedure="false">L1!$F$109</definedName>
    <definedName function="false" hidden="false" name="L1_AstraExtTok_400B_Lo" vbProcedure="false">L1!$E$109</definedName>
    <definedName function="false" hidden="false" name="L1_AstraExtTok_800B" vbProcedure="false">L1!$D$110</definedName>
    <definedName function="false" hidden="false" name="L1_AstraExtTok_800B_Hi" vbProcedure="false">L1!$F$110</definedName>
    <definedName function="false" hidden="false" name="L1_AstraExtTok_800B_Lo" vbProcedure="false">L1!$E$110</definedName>
    <definedName function="false" hidden="false" name="L1_AstraScale" vbProcedure="false">L1!$D$67</definedName>
    <definedName function="false" hidden="false" name="L1_AstraScale_Hi" vbProcedure="false">L1!$F$67</definedName>
    <definedName function="false" hidden="false" name="L1_AstraScale_Lo" vbProcedure="false">L1!$E$67</definedName>
    <definedName function="false" hidden="false" name="L1_CapexGW_GB200" vbProcedure="false">L1!$D$6</definedName>
    <definedName function="false" hidden="false" name="L1_CapexGW_GB200_Hi" vbProcedure="false">L1!$F$6</definedName>
    <definedName function="false" hidden="false" name="L1_CapexGW_GB200_Lo" vbProcedure="false">L1!$E$6</definedName>
    <definedName function="false" hidden="false" name="L1_CapexGW_GB300" vbProcedure="false">L1!$D$7</definedName>
    <definedName function="false" hidden="false" name="L1_CapexGW_GB300_Hi" vbProcedure="false">L1!$F$7</definedName>
    <definedName function="false" hidden="false" name="L1_CapexGW_GB300_Lo" vbProcedure="false">L1!$E$7</definedName>
    <definedName function="false" hidden="false" name="L1_CapexGW_Hopper" vbProcedure="false">L1!$D$5</definedName>
    <definedName function="false" hidden="false" name="L1_CapexGW_Hopper_Hi" vbProcedure="false">L1!$F$5</definedName>
    <definedName function="false" hidden="false" name="L1_CapexGW_Hopper_Lo" vbProcedure="false">L1!$E$5</definedName>
    <definedName function="false" hidden="false" name="L1_CapexGW_VR200" vbProcedure="false">L1!$D$8</definedName>
    <definedName function="false" hidden="false" name="L1_CapexGW_VR200_Hi" vbProcedure="false">L1!$F$8</definedName>
    <definedName function="false" hidden="false" name="L1_CapexGW_VR200_Lo" vbProcedure="false">L1!$E$8</definedName>
    <definedName function="false" hidden="false" name="L1_CapexITMW_GB300_vsIREN" vbProcedure="false">L1!$D$75</definedName>
    <definedName function="false" hidden="false" name="L1_CapexITMW_GB300_vsIREN_Hi" vbProcedure="false">L1!$F$75</definedName>
    <definedName function="false" hidden="false" name="L1_CapexITMW_GB300_vsIREN_Lo" vbProcedure="false">L1!$E$75</definedName>
    <definedName function="false" hidden="false" name="L1_CostDec_Astra_GB300" vbProcedure="false">L1!$D$24</definedName>
    <definedName function="false" hidden="false" name="L1_CostDec_Astra_GB300_Hi" vbProcedure="false">L1!$F$24</definedName>
    <definedName function="false" hidden="false" name="L1_CostDec_Astra_GB300_Lo" vbProcedure="false">L1!$E$24</definedName>
    <definedName function="false" hidden="false" name="L1_CostDec_Astra_VR200" vbProcedure="false">L1!$D$23</definedName>
    <definedName function="false" hidden="false" name="L1_CostDec_Astra_VR200_Hi" vbProcedure="false">L1!$F$23</definedName>
    <definedName function="false" hidden="false" name="L1_CostDec_Astra_VR200_Lo" vbProcedure="false">L1!$E$23</definedName>
    <definedName function="false" hidden="false" name="L1_CostDec_Luna_GB300" vbProcedure="false">L1!$D$20</definedName>
    <definedName function="false" hidden="false" name="L1_CostDec_Luna_GB300_Hi" vbProcedure="false">L1!$F$20</definedName>
    <definedName function="false" hidden="false" name="L1_CostDec_Luna_GB300_Lo" vbProcedure="false">L1!$E$20</definedName>
    <definedName function="false" hidden="false" name="L1_CostDec_Luna_VR200" vbProcedure="false">L1!$D$19</definedName>
    <definedName function="false" hidden="false" name="L1_CostDec_Luna_VR200_Hi" vbProcedure="false">L1!$F$19</definedName>
    <definedName function="false" hidden="false" name="L1_CostDec_Luna_VR200_Lo" vbProcedure="false">L1!$E$19</definedName>
    <definedName function="false" hidden="false" name="L1_CostDec_Sol_GB300" vbProcedure="false">L1!$D$22</definedName>
    <definedName function="false" hidden="false" name="L1_CostDec_Sol_GB300_Hi" vbProcedure="false">L1!$F$22</definedName>
    <definedName function="false" hidden="false" name="L1_CostDec_Sol_GB300_Lo" vbProcedure="false">L1!$E$22</definedName>
    <definedName function="false" hidden="false" name="L1_CostDec_Sol_VR200" vbProcedure="false">L1!$D$21</definedName>
    <definedName function="false" hidden="false" name="L1_CostDec_Sol_VR200_Hi" vbProcedure="false">L1!$F$21</definedName>
    <definedName function="false" hidden="false" name="L1_CostDec_Sol_VR200_Lo" vbProcedure="false">L1!$E$21</definedName>
    <definedName function="false" hidden="false" name="L1_CostTotTokIX_GB300" vbProcedure="false">L1!$D$25</definedName>
    <definedName function="false" hidden="false" name="L1_CostTotTokIX_GB300_Hi" vbProcedure="false">L1!$F$25</definedName>
    <definedName function="false" hidden="false" name="L1_CostTotTokIX_GB300_Lo" vbProcedure="false">L1!$E$25</definedName>
    <definedName function="false" hidden="false" name="L1_ExtDaily" vbProcedure="false">L1!$D$48</definedName>
    <definedName function="false" hidden="false" name="L1_ExtDaily_Hi" vbProcedure="false">L1!$F$48</definedName>
    <definedName function="false" hidden="false" name="L1_ExtDaily_Lo" vbProcedure="false">L1!$E$48</definedName>
    <definedName function="false" hidden="false" name="L1_ExtFreeShare" vbProcedure="false">L1!$D$47</definedName>
    <definedName function="false" hidden="false" name="L1_ExtFreeShare_Hi" vbProcedure="false">L1!$F$47</definedName>
    <definedName function="false" hidden="false" name="L1_ExtFreeShare_Lo" vbProcedure="false">L1!$E$47</definedName>
    <definedName function="false" hidden="false" name="L1_ExtServeGW" vbProcedure="false">L1!$D$46</definedName>
    <definedName function="false" hidden="false" name="L1_ExtServeGW_Hi" vbProcedure="false">L1!$F$46</definedName>
    <definedName function="false" hidden="false" name="L1_ExtServeGW_Lo" vbProcedure="false">L1!$E$46</definedName>
    <definedName function="false" hidden="false" name="L1_FacCapexMW" vbProcedure="false">L1!$D$10</definedName>
    <definedName function="false" hidden="false" name="L1_FacCapexMW_Hi" vbProcedure="false">L1!$F$10</definedName>
    <definedName function="false" hidden="false" name="L1_FacCapexMW_Lo" vbProcedure="false">L1!$E$10</definedName>
    <definedName function="false" hidden="false" name="L1_FinalTrainShare" vbProcedure="false">L1!$D$34</definedName>
    <definedName function="false" hidden="false" name="L1_FinalTrainShare_Hi" vbProcedure="false">L1!$F$34</definedName>
    <definedName function="false" hidden="false" name="L1_FinalTrainShare_Lo" vbProcedure="false">L1!$E$34</definedName>
    <definedName function="false" hidden="false" name="L1_FleetBreakeven" vbProcedure="false">L1!$D$52</definedName>
    <definedName function="false" hidden="false" name="L1_FleetBreakeven2025" vbProcedure="false">L1!$D$105</definedName>
    <definedName function="false" hidden="false" name="L1_FleetBreakeven2025_Hi" vbProcedure="false">L1!$F$105</definedName>
    <definedName function="false" hidden="false" name="L1_FleetBreakeven2025_Lo" vbProcedure="false">L1!$E$105</definedName>
    <definedName function="false" hidden="false" name="L1_FleetBreakeven_Hi" vbProcedure="false">L1!$F$52</definedName>
    <definedName function="false" hidden="false" name="L1_FleetBreakeven_Lo" vbProcedure="false">L1!$E$52</definedName>
    <definedName function="false" hidden="false" name="L1_FleetMargin" vbProcedure="false">L1!$D$53</definedName>
    <definedName function="false" hidden="false" name="L1_FleetMargin_Hi" vbProcedure="false">L1!$F$53</definedName>
    <definedName function="false" hidden="false" name="L1_FleetMargin_Lo" vbProcedure="false">L1!$E$53</definedName>
    <definedName function="false" hidden="false" name="L1_FleetProdRatio" vbProcedure="false">L1!$D$95</definedName>
    <definedName function="false" hidden="false" name="L1_FleetProdRatio_Hi" vbProcedure="false">L1!$F$95</definedName>
    <definedName function="false" hidden="false" name="L1_FleetProdRatio_Lo" vbProcedure="false">L1!$E$95</definedName>
    <definedName function="false" hidden="false" name="L1_GapISL" vbProcedure="false">L1!$D$72</definedName>
    <definedName function="false" hidden="false" name="L1_GapISL_Hi" vbProcedure="false">L1!$F$72</definedName>
    <definedName function="false" hidden="false" name="L1_GapISL_Lo" vbProcedure="false">L1!$E$72</definedName>
    <definedName function="false" hidden="false" name="L1_GapProduct" vbProcedure="false">L1!$D$74</definedName>
    <definedName function="false" hidden="false" name="L1_GapProduct_Hi" vbProcedure="false">L1!$F$74</definedName>
    <definedName function="false" hidden="false" name="L1_GapProduct_Lo" vbProcedure="false">L1!$E$74</definedName>
    <definedName function="false" hidden="false" name="L1_GapPrompt" vbProcedure="false">L1!$D$70</definedName>
    <definedName function="false" hidden="false" name="L1_GapPrompt_Hi" vbProcedure="false">L1!$F$70</definedName>
    <definedName function="false" hidden="false" name="L1_GapPrompt_Lo" vbProcedure="false">L1!$E$70</definedName>
    <definedName function="false" hidden="false" name="L1_GapSpendBasis" vbProcedure="false">L1!$D$71</definedName>
    <definedName function="false" hidden="false" name="L1_GapSpendBasis_Hi" vbProcedure="false">L1!$F$71</definedName>
    <definedName function="false" hidden="false" name="L1_GapSpendBasis_Lo" vbProcedure="false">L1!$E$71</definedName>
    <definedName function="false" hidden="false" name="L1_GapUnexplained" vbProcedure="false">L1!$D$111</definedName>
    <definedName function="false" hidden="false" name="L1_GapUnexplained_Hi" vbProcedure="false">L1!$F$111</definedName>
    <definedName function="false" hidden="false" name="L1_GapUnexplained_Lo" vbProcedure="false">L1!$E$111</definedName>
    <definedName function="false" hidden="false" name="L1_GapUtil" vbProcedure="false">L1!$D$73</definedName>
    <definedName function="false" hidden="false" name="L1_GapUtil_Hi" vbProcedure="false">L1!$F$73</definedName>
    <definedName function="false" hidden="false" name="L1_GapUtil_Lo" vbProcedure="false">L1!$E$73</definedName>
    <definedName function="false" hidden="false" name="L1_GenPxThr_Pay_GB200" vbProcedure="false">L1!$D$99</definedName>
    <definedName function="false" hidden="false" name="L1_GenPxThr_Pay_GB200_Hi" vbProcedure="false">L1!$F$99</definedName>
    <definedName function="false" hidden="false" name="L1_GenPxThr_Pay_GB200_Lo" vbProcedure="false">L1!$E$99</definedName>
    <definedName function="false" hidden="false" name="L1_GenPxThr_Pay_GB300" vbProcedure="false">L1!$D$100</definedName>
    <definedName function="false" hidden="false" name="L1_GenPxThr_Pay_GB300_Hi" vbProcedure="false">L1!$F$100</definedName>
    <definedName function="false" hidden="false" name="L1_GenPxThr_Pay_GB300_Lo" vbProcedure="false">L1!$E$100</definedName>
    <definedName function="false" hidden="false" name="L1_GenPxThr_Pay_VR200" vbProcedure="false">L1!$D$101</definedName>
    <definedName function="false" hidden="false" name="L1_GenPxThr_Pay_VR200_Hi" vbProcedure="false">L1!$F$101</definedName>
    <definedName function="false" hidden="false" name="L1_GenPxThr_Pay_VR200_Lo" vbProcedure="false">L1!$E$101</definedName>
    <definedName function="false" hidden="false" name="L1_GenPxThr_Rev_GB200" vbProcedure="false">L1!$D$96</definedName>
    <definedName function="false" hidden="false" name="L1_GenPxThr_Rev_GB200_Hi" vbProcedure="false">L1!$F$96</definedName>
    <definedName function="false" hidden="false" name="L1_GenPxThr_Rev_GB200_Lo" vbProcedure="false">L1!$E$96</definedName>
    <definedName function="false" hidden="false" name="L1_GenPxThr_Rev_GB300" vbProcedure="false">L1!$D$97</definedName>
    <definedName function="false" hidden="false" name="L1_GenPxThr_Rev_GB300_Hi" vbProcedure="false">L1!$F$97</definedName>
    <definedName function="false" hidden="false" name="L1_GenPxThr_Rev_GB300_Lo" vbProcedure="false">L1!$E$97</definedName>
    <definedName function="false" hidden="false" name="L1_GenPxThr_Rev_VR200" vbProcedure="false">L1!$D$98</definedName>
    <definedName function="false" hidden="false" name="L1_GenPxThr_Rev_VR200_Hi" vbProcedure="false">L1!$F$98</definedName>
    <definedName function="false" hidden="false" name="L1_GenPxThr_Rev_VR200_Lo" vbProcedure="false">L1!$E$98</definedName>
    <definedName function="false" hidden="false" name="L1_GPUhr_GB200" vbProcedure="false">L1!$D$16</definedName>
    <definedName function="false" hidden="false" name="L1_GPUhr_GB200_Hi" vbProcedure="false">L1!$F$16</definedName>
    <definedName function="false" hidden="false" name="L1_GPUhr_GB200_Lo" vbProcedure="false">L1!$E$16</definedName>
    <definedName function="false" hidden="false" name="L1_GPUhr_GB200_vsCW" vbProcedure="false">L1!$D$30</definedName>
    <definedName function="false" hidden="false" name="L1_GPUhr_GB200_vsCW_Hi" vbProcedure="false">L1!$F$30</definedName>
    <definedName function="false" hidden="false" name="L1_GPUhr_GB200_vsCW_Lo" vbProcedure="false">L1!$E$30</definedName>
    <definedName function="false" hidden="false" name="L1_GPUhr_GB300" vbProcedure="false">L1!$D$17</definedName>
    <definedName function="false" hidden="false" name="L1_GPUhr_GB300_Hi" vbProcedure="false">L1!$F$17</definedName>
    <definedName function="false" hidden="false" name="L1_GPUhr_GB300_Lo" vbProcedure="false">L1!$E$17</definedName>
    <definedName function="false" hidden="false" name="L1_GPUhr_GB300_vsBE" vbProcedure="false">L1!$D$31</definedName>
    <definedName function="false" hidden="false" name="L1_GPUhr_GB300_vsBE_Hi" vbProcedure="false">L1!$F$31</definedName>
    <definedName function="false" hidden="false" name="L1_GPUhr_GB300_vsBE_Lo" vbProcedure="false">L1!$E$31</definedName>
    <definedName function="false" hidden="false" name="L1_GPUhr_Hopper" vbProcedure="false">L1!$D$15</definedName>
    <definedName function="false" hidden="false" name="L1_GPUhr_Hopper_Hi" vbProcedure="false">L1!$F$15</definedName>
    <definedName function="false" hidden="false" name="L1_GPUhr_Hopper_Lo" vbProcedure="false">L1!$E$15</definedName>
    <definedName function="false" hidden="false" name="L1_GPUhr_VR200" vbProcedure="false">L1!$D$18</definedName>
    <definedName function="false" hidden="false" name="L1_GPUhr_VR200_Hi" vbProcedure="false">L1!$F$18</definedName>
    <definedName function="false" hidden="false" name="L1_GPUhr_VR200_Lo" vbProcedure="false">L1!$E$18</definedName>
    <definedName function="false" hidden="false" name="L1_HarVsGen_Chat" vbProcedure="false">L1!$D$61</definedName>
    <definedName function="false" hidden="false" name="L1_HarVsGen_Chat_Hi" vbProcedure="false">L1!$F$61</definedName>
    <definedName function="false" hidden="false" name="L1_HarVsGen_Chat_Lo" vbProcedure="false">L1!$E$61</definedName>
    <definedName function="false" hidden="false" name="L1_HarVsGen_Coding" vbProcedure="false">L1!$D$65</definedName>
    <definedName function="false" hidden="false" name="L1_HarVsGen_Coding_Hi" vbProcedure="false">L1!$F$65</definedName>
    <definedName function="false" hidden="false" name="L1_HarVsGen_Coding_Lo" vbProcedure="false">L1!$E$65</definedName>
    <definedName function="false" hidden="false" name="L1_HarVsGen_MultiAgent" vbProcedure="false">L1!$D$64</definedName>
    <definedName function="false" hidden="false" name="L1_HarVsGen_MultiAgent_Hi" vbProcedure="false">L1!$F$64</definedName>
    <definedName function="false" hidden="false" name="L1_HarVsGen_MultiAgent_Lo" vbProcedure="false">L1!$E$64</definedName>
    <definedName function="false" hidden="false" name="L1_HarVsGen_ReasonChat" vbProcedure="false">L1!$D$62</definedName>
    <definedName function="false" hidden="false" name="L1_HarVsGen_ReasonChat_Hi" vbProcedure="false">L1!$F$62</definedName>
    <definedName function="false" hidden="false" name="L1_HarVsGen_ReasonChat_Lo" vbProcedure="false">L1!$E$62</definedName>
    <definedName function="false" hidden="false" name="L1_HarVsGen_SingleAgent" vbProcedure="false">L1!$D$63</definedName>
    <definedName function="false" hidden="false" name="L1_HarVsGen_SingleAgent_Hi" vbProcedure="false">L1!$F$63</definedName>
    <definedName function="false" hidden="false" name="L1_HarVsGen_SingleAgent_Lo" vbProcedure="false">L1!$E$63</definedName>
    <definedName function="false" hidden="false" name="L1_HoldEconGW_GB200" vbProcedure="false">L1!$D$12</definedName>
    <definedName function="false" hidden="false" name="L1_HoldEconGW_GB200_Hi" vbProcedure="false">L1!$F$12</definedName>
    <definedName function="false" hidden="false" name="L1_HoldEconGW_GB200_Lo" vbProcedure="false">L1!$E$12</definedName>
    <definedName function="false" hidden="false" name="L1_HoldEconGW_GB300" vbProcedure="false">L1!$D$13</definedName>
    <definedName function="false" hidden="false" name="L1_HoldEconGW_GB300_Hi" vbProcedure="false">L1!$F$13</definedName>
    <definedName function="false" hidden="false" name="L1_HoldEconGW_GB300_Lo" vbProcedure="false">L1!$E$13</definedName>
    <definedName function="false" hidden="false" name="L1_HoldEconGW_Hopper" vbProcedure="false">L1!$D$11</definedName>
    <definedName function="false" hidden="false" name="L1_HoldEconGW_Hopper_Hi" vbProcedure="false">L1!$F$11</definedName>
    <definedName function="false" hidden="false" name="L1_HoldEconGW_Hopper_Lo" vbProcedure="false">L1!$E$11</definedName>
    <definedName function="false" hidden="false" name="L1_HoldEconGW_VR200" vbProcedure="false">L1!$D$14</definedName>
    <definedName function="false" hidden="false" name="L1_HoldEconGW_VR200_Hi" vbProcedure="false">L1!$F$14</definedName>
    <definedName function="false" hidden="false" name="L1_HoldEconGW_VR200_Lo" vbProcedure="false">L1!$E$14</definedName>
    <definedName function="false" hidden="false" name="L1_HoldEconMW_GB200" vbProcedure="false">L1!$D$55</definedName>
    <definedName function="false" hidden="false" name="L1_HoldEconMW_GB200_Hi" vbProcedure="false">L1!$F$55</definedName>
    <definedName function="false" hidden="false" name="L1_HoldEconMW_GB200_Lo" vbProcedure="false">L1!$E$55</definedName>
    <definedName function="false" hidden="false" name="L1_HoldEconMW_GB300" vbProcedure="false">L1!$D$56</definedName>
    <definedName function="false" hidden="false" name="L1_HoldEconMW_GB300_Hi" vbProcedure="false">L1!$F$56</definedName>
    <definedName function="false" hidden="false" name="L1_HoldEconMW_GB300_Lo" vbProcedure="false">L1!$E$56</definedName>
    <definedName function="false" hidden="false" name="L1_HoldEconMW_Hopper" vbProcedure="false">L1!$D$54</definedName>
    <definedName function="false" hidden="false" name="L1_HoldEconMW_Hopper_Hi" vbProcedure="false">L1!$F$54</definedName>
    <definedName function="false" hidden="false" name="L1_HoldEconMW_Hopper_Lo" vbProcedure="false">L1!$E$54</definedName>
    <definedName function="false" hidden="false" name="L1_HoldEconMW_VR200" vbProcedure="false">L1!$D$57</definedName>
    <definedName function="false" hidden="false" name="L1_HoldEconMW_VR200_Hi" vbProcedure="false">L1!$F$57</definedName>
    <definedName function="false" hidden="false" name="L1_HoldEconMW_VR200_Lo" vbProcedure="false">L1!$E$57</definedName>
    <definedName function="false" hidden="false" name="L1_LDemote" vbProcedure="false">L1!$D$87</definedName>
    <definedName function="false" hidden="false" name="L1_LDemote_Hi" vbProcedure="false">L1!$F$87</definedName>
    <definedName function="false" hidden="false" name="L1_LDemote_Lo" vbProcedure="false">L1!$E$87</definedName>
    <definedName function="false" hidden="false" name="L1_LPrice" vbProcedure="false">L1!$D$86</definedName>
    <definedName function="false" hidden="false" name="L1_LPrice_Hi" vbProcedure="false">L1!$F$86</definedName>
    <definedName function="false" hidden="false" name="L1_LPrice_Lo" vbProcedure="false">L1!$E$86</definedName>
    <definedName function="false" hidden="false" name="L1_LReqFleet" vbProcedure="false">L1!$D$89</definedName>
    <definedName function="false" hidden="false" name="L1_LReqFleet_Hi" vbProcedure="false">L1!$F$89</definedName>
    <definedName function="false" hidden="false" name="L1_LReqFleet_Id" vbProcedure="false">L1!$D$107</definedName>
    <definedName function="false" hidden="false" name="L1_LReqFleet_Id_Hi" vbProcedure="false">L1!$F$107</definedName>
    <definedName function="false" hidden="false" name="L1_LReqFleet_Id_Lo" vbProcedure="false">L1!$E$107</definedName>
    <definedName function="false" hidden="false" name="L1_LReqFleet_Lo" vbProcedure="false">L1!$E$89</definedName>
    <definedName function="false" hidden="false" name="L1_LReqFleet_VR200" vbProcedure="false">L1!$D$106</definedName>
    <definedName function="false" hidden="false" name="L1_LReqFleet_VR200_Hi" vbProcedure="false">L1!$F$106</definedName>
    <definedName function="false" hidden="false" name="L1_LReqFleet_VR200_Lo" vbProcedure="false">L1!$E$106</definedName>
    <definedName function="false" hidden="false" name="L1_LTotal" vbProcedure="false">L1!$D$88</definedName>
    <definedName function="false" hidden="false" name="L1_LTotal_Hi" vbProcedure="false">L1!$F$88</definedName>
    <definedName function="false" hidden="false" name="L1_LTotal_Lo" vbProcedure="false">L1!$E$88</definedName>
    <definedName function="false" hidden="false" name="L1_MAPI" vbProcedure="false">L1!$D$80</definedName>
    <definedName function="false" hidden="false" name="L1_MAPI_Anthropic" vbProcedure="false">L1!$D$85</definedName>
    <definedName function="false" hidden="false" name="L1_MAPI_Anthropic_Hi" vbProcedure="false">L1!$F$85</definedName>
    <definedName function="false" hidden="false" name="L1_MAPI_Anthropic_Lo" vbProcedure="false">L1!$E$85</definedName>
    <definedName function="false" hidden="false" name="L1_MAPI_Hi" vbProcedure="false">L1!$F$80</definedName>
    <definedName function="false" hidden="false" name="L1_MAPI_Lo" vbProcedure="false">L1!$E$80</definedName>
    <definedName function="false" hidden="false" name="L1_MFleet" vbProcedure="false">L1!$D$78</definedName>
    <definedName function="false" hidden="false" name="L1_MFleet_Hi" vbProcedure="false">L1!$F$78</definedName>
    <definedName function="false" hidden="false" name="L1_MFleet_Lo" vbProcedure="false">L1!$E$78</definedName>
    <definedName function="false" hidden="false" name="L1_MFleet_Px2026" vbProcedure="false">L1!$D$102</definedName>
    <definedName function="false" hidden="false" name="L1_MFleet_Px2026_Hi" vbProcedure="false">L1!$F$102</definedName>
    <definedName function="false" hidden="false" name="L1_MFleet_Px2026_Lo" vbProcedure="false">L1!$E$102</definedName>
    <definedName function="false" hidden="false" name="L1_MImplied" vbProcedure="false">L1!$D$76</definedName>
    <definedName function="false" hidden="false" name="L1_MImplied_Ext" vbProcedure="false">L1!$D$77</definedName>
    <definedName function="false" hidden="false" name="L1_MImplied_Ext_Hi" vbProcedure="false">L1!$F$77</definedName>
    <definedName function="false" hidden="false" name="L1_MImplied_Ext_Lo" vbProcedure="false">L1!$E$77</definedName>
    <definedName function="false" hidden="false" name="L1_MImplied_Hi" vbProcedure="false">L1!$F$76</definedName>
    <definedName function="false" hidden="false" name="L1_MImplied_Lo" vbProcedure="false">L1!$E$76</definedName>
    <definedName function="false" hidden="false" name="L1_MixFactorAPI" vbProcedure="false">L1!$D$83</definedName>
    <definedName function="false" hidden="false" name="L1_MixFactorAPI_Hi" vbProcedure="false">L1!$F$83</definedName>
    <definedName function="false" hidden="false" name="L1_MixFactorAPI_Lo" vbProcedure="false">L1!$E$83</definedName>
    <definedName function="false" hidden="false" name="L1_MSeat" vbProcedure="false">L1!$D$82</definedName>
    <definedName function="false" hidden="false" name="L1_MSeat_Hi" vbProcedure="false">L1!$F$82</definedName>
    <definedName function="false" hidden="false" name="L1_MSeat_Lo" vbProcedure="false">L1!$E$82</definedName>
    <definedName function="false" hidden="false" name="L1_MSub" vbProcedure="false">L1!$D$81</definedName>
    <definedName function="false" hidden="false" name="L1_MSub_Hi" vbProcedure="false">L1!$F$81</definedName>
    <definedName function="false" hidden="false" name="L1_MSub_Lo" vbProcedure="false">L1!$E$81</definedName>
    <definedName function="false" hidden="false" name="L1_NvContentGW_VR200" vbProcedure="false">L1!$D$9</definedName>
    <definedName function="false" hidden="false" name="L1_NvContentGW_VR200_Hi" vbProcedure="false">L1!$F$9</definedName>
    <definedName function="false" hidden="false" name="L1_NvContentGW_VR200_Lo" vbProcedure="false">L1!$E$9</definedName>
    <definedName function="false" hidden="false" name="L1_PretrainFLOP_Astra" vbProcedure="false">L1!$D$36</definedName>
    <definedName function="false" hidden="false" name="L1_PretrainFLOP_Astra_Ext" vbProcedure="false">L1!$D$66</definedName>
    <definedName function="false" hidden="false" name="L1_PretrainFLOP_Astra_Ext_Hi" vbProcedure="false">L1!$F$66</definedName>
    <definedName function="false" hidden="false" name="L1_PretrainFLOP_Astra_Ext_Lo" vbProcedure="false">L1!$E$66</definedName>
    <definedName function="false" hidden="false" name="L1_PretrainFLOP_Astra_Hi" vbProcedure="false">L1!$F$36</definedName>
    <definedName function="false" hidden="false" name="L1_PretrainFLOP_Astra_Lo" vbProcedure="false">L1!$E$36</definedName>
    <definedName function="false" hidden="false" name="L1_Price25Mix" vbProcedure="false">L1!$D$103</definedName>
    <definedName function="false" hidden="false" name="L1_Price25Mix_Hi" vbProcedure="false">L1!$F$103</definedName>
    <definedName function="false" hidden="false" name="L1_Price25Mix_Lo" vbProcedure="false">L1!$E$103</definedName>
    <definedName function="false" hidden="false" name="L1_PriceFleet25" vbProcedure="false">L1!$D$104</definedName>
    <definedName function="false" hidden="false" name="L1_PriceFleet25_Hi" vbProcedure="false">L1!$F$104</definedName>
    <definedName function="false" hidden="false" name="L1_PriceFleet25_Lo" vbProcedure="false">L1!$E$104</definedName>
    <definedName function="false" hidden="false" name="L1_PriceRealDemand" vbProcedure="false">L1!$D$92</definedName>
    <definedName function="false" hidden="false" name="L1_PriceRealDemand_Hi" vbProcedure="false">L1!$F$92</definedName>
    <definedName function="false" hidden="false" name="L1_PriceRealDemand_Lo" vbProcedure="false">L1!$E$92</definedName>
    <definedName function="false" hidden="false" name="L1_PriceRealFleet" vbProcedure="false">L1!$D$91</definedName>
    <definedName function="false" hidden="false" name="L1_PriceRealFleet_Hi" vbProcedure="false">L1!$F$91</definedName>
    <definedName function="false" hidden="false" name="L1_PriceRealFleet_Lo" vbProcedure="false">L1!$E$91</definedName>
    <definedName function="false" hidden="false" name="L1_PriceReqBE" vbProcedure="false">L1!$D$93</definedName>
    <definedName function="false" hidden="false" name="L1_PriceReqBE_Hi" vbProcedure="false">L1!$F$93</definedName>
    <definedName function="false" hidden="false" name="L1_PriceReqBE_Lo" vbProcedure="false">L1!$E$93</definedName>
    <definedName function="false" hidden="false" name="L1_PriceRho" vbProcedure="false">L1!$D$94</definedName>
    <definedName function="false" hidden="false" name="L1_PriceRho_Hi" vbProcedure="false">L1!$F$94</definedName>
    <definedName function="false" hidden="false" name="L1_PriceRho_Lo" vbProcedure="false">L1!$E$94</definedName>
    <definedName function="false" hidden="false" name="L1_RevGWFleet_OAI2025" vbProcedure="false">L1!$D$35</definedName>
    <definedName function="false" hidden="false" name="L1_RevGWFleet_OAI2025_Hi" vbProcedure="false">L1!$F$35</definedName>
    <definedName function="false" hidden="false" name="L1_RevGWFleet_OAI2025_Lo" vbProcedure="false">L1!$E$35</definedName>
    <definedName function="false" hidden="false" name="L1_RevGW_Astra_VR200" vbProcedure="false">L1!$D$28</definedName>
    <definedName function="false" hidden="false" name="L1_RevGW_Astra_VR200_Hi" vbProcedure="false">L1!$F$28</definedName>
    <definedName function="false" hidden="false" name="L1_RevGW_Astra_VR200_Lo" vbProcedure="false">L1!$E$28</definedName>
    <definedName function="false" hidden="false" name="L1_RevGW_Fleet_VR200" vbProcedure="false">L1!$D$29</definedName>
    <definedName function="false" hidden="false" name="L1_RevGW_Fleet_VR200_Hi" vbProcedure="false">L1!$F$29</definedName>
    <definedName function="false" hidden="false" name="L1_RevGW_Fleet_VR200_Lo" vbProcedure="false">L1!$E$29</definedName>
    <definedName function="false" hidden="false" name="L1_RevGW_Luna_VR200" vbProcedure="false">L1!$D$26</definedName>
    <definedName function="false" hidden="false" name="L1_RevGW_Luna_VR200_Hi" vbProcedure="false">L1!$F$26</definedName>
    <definedName function="false" hidden="false" name="L1_RevGW_Luna_VR200_Lo" vbProcedure="false">L1!$E$26</definedName>
    <definedName function="false" hidden="false" name="L1_RevGW_Sol_VR200" vbProcedure="false">L1!$D$27</definedName>
    <definedName function="false" hidden="false" name="L1_RevGW_Sol_VR200_Hi" vbProcedure="false">L1!$F$27</definedName>
    <definedName function="false" hidden="false" name="L1_RevGW_Sol_VR200_Lo" vbProcedure="false">L1!$E$27</definedName>
    <definedName function="false" hidden="false" name="L1_RLshare_Astra_VR200" vbProcedure="false">L1!$D$33</definedName>
    <definedName function="false" hidden="false" name="L1_RLshare_Astra_VR200_Hi" vbProcedure="false">L1!$F$33</definedName>
    <definedName function="false" hidden="false" name="L1_RLshare_Astra_VR200_Lo" vbProcedure="false">L1!$E$33</definedName>
    <definedName function="false" hidden="false" name="L1_RLshare_Sol_VR200" vbProcedure="false">L1!$D$32</definedName>
    <definedName function="false" hidden="false" name="L1_RLshare_Sol_VR200_Hi" vbProcedure="false">L1!$F$32</definedName>
    <definedName function="false" hidden="false" name="L1_RLshare_Sol_VR200_Lo" vbProcedure="false">L1!$E$32</definedName>
    <definedName function="false" hidden="false" name="L1_ScaleRD" vbProcedure="false">L1!$D$68</definedName>
    <definedName function="false" hidden="false" name="L1_ScaleRD_Hi" vbProcedure="false">L1!$F$68</definedName>
    <definedName function="false" hidden="false" name="L1_ScaleRD_Lo" vbProcedure="false">L1!$E$68</definedName>
    <definedName function="false" hidden="false" name="L1_ScaleServe" vbProcedure="false">L1!$D$69</definedName>
    <definedName function="false" hidden="false" name="L1_ScaleServe2000" vbProcedure="false">L1!$D$90</definedName>
    <definedName function="false" hidden="false" name="L1_ScaleServe2000_Hi" vbProcedure="false">L1!$F$90</definedName>
    <definedName function="false" hidden="false" name="L1_ScaleServe2000_Lo" vbProcedure="false">L1!$E$90</definedName>
    <definedName function="false" hidden="false" name="L1_ScaleServe_Hi" vbProcedure="false">L1!$F$69</definedName>
    <definedName function="false" hidden="false" name="L1_ScaleServe_Lo" vbProcedure="false">L1!$E$69</definedName>
    <definedName function="false" hidden="false" name="L1_TokCeiling" vbProcedure="false">L1!$D$79</definedName>
    <definedName function="false" hidden="false" name="L1_TokCeiling_Hi" vbProcedure="false">L1!$F$79</definedName>
    <definedName function="false" hidden="false" name="L1_TokCeiling_Lo" vbProcedure="false">L1!$E$79</definedName>
    <definedName function="false" hidden="false" name="L1_TokMW_Gen_ratio_GB200" vbProcedure="false">L1!$D$58</definedName>
    <definedName function="false" hidden="false" name="L1_TokMW_Gen_ratio_GB200_Hi" vbProcedure="false">L1!$F$58</definedName>
    <definedName function="false" hidden="false" name="L1_TokMW_Gen_ratio_GB200_Lo" vbProcedure="false">L1!$E$58</definedName>
    <definedName function="false" hidden="false" name="L1_TokMW_Gen_ratio_GB300" vbProcedure="false">L1!$D$59</definedName>
    <definedName function="false" hidden="false" name="L1_TokMW_Gen_ratio_GB300_Hi" vbProcedure="false">L1!$F$59</definedName>
    <definedName function="false" hidden="false" name="L1_TokMW_Gen_ratio_GB300_Lo" vbProcedure="false">L1!$E$59</definedName>
    <definedName function="false" hidden="false" name="L1_TokMW_Gen_ratio_VR200" vbProcedure="false">L1!$D$60</definedName>
    <definedName function="false" hidden="false" name="L1_TokMW_Gen_ratio_VR200_Hi" vbProcedure="false">L1!$F$60</definedName>
    <definedName function="false" hidden="false" name="L1_TokMW_Gen_ratio_VR200_Lo" vbProcedure="false">L1!$E$60</definedName>
    <definedName function="false" hidden="false" name="L1_TokPerPromptClose" vbProcedure="false">L1!$D$84</definedName>
    <definedName function="false" hidden="false" name="L1_TokPerPromptClose_Hi" vbProcedure="false">L1!$F$84</definedName>
    <definedName function="false" hidden="false" name="L1_TokPerPromptClose_Lo" vbProcedure="false">L1!$E$84</definedName>
    <definedName function="false" hidden="false" name="LB_Days" vbProcedure="false">Load_Bearing!$N$5:$N$59</definedName>
    <definedName function="false" hidden="false" name="LB_LiveCount" vbProcedure="false">Load_Bearing!$J$61</definedName>
    <definedName function="false" hidden="false" name="LB_Rows" vbProcedure="false">Load_Bearing!$A$5:$A$59</definedName>
    <definedName function="false" hidden="false" name="SRC_CAP_001" vbProcedure="false">SRC_Cap!$C$5</definedName>
    <definedName function="false" hidden="false" name="SRC_CAP_002" vbProcedure="false">SRC_Cap!$C$6</definedName>
    <definedName function="false" hidden="false" name="SRC_CAP_003" vbProcedure="false">SRC_Cap!$C$7</definedName>
    <definedName function="false" hidden="false" name="SRC_CAP_004" vbProcedure="false">SRC_Cap!$C$8</definedName>
    <definedName function="false" hidden="false" name="SRC_CAP_005" vbProcedure="false">SRC_Cap!$C$9</definedName>
    <definedName function="false" hidden="false" name="SRC_CAP_006" vbProcedure="false">SRC_Cap!$C$10</definedName>
    <definedName function="false" hidden="false" name="SRC_CAP_007" vbProcedure="false">SRC_Cap!$C$11</definedName>
    <definedName function="false" hidden="false" name="SRC_CAP_008" vbProcedure="false">SRC_Cap!$C$12</definedName>
    <definedName function="false" hidden="false" name="SRC_CAP_009" vbProcedure="false">SRC_Cap!$C$13</definedName>
    <definedName function="false" hidden="false" name="SRC_CAP_010" vbProcedure="false">SRC_Cap!$C$14</definedName>
    <definedName function="false" hidden="false" name="SRC_CAP_011" vbProcedure="false">SRC_Cap!$C$15</definedName>
    <definedName function="false" hidden="false" name="SRC_CAP_012" vbProcedure="false">SRC_Cap!$C$16</definedName>
    <definedName function="false" hidden="false" name="SRC_CAP_013" vbProcedure="false">SRC_Cap!$C$17</definedName>
    <definedName function="false" hidden="false" name="SRC_CAP_014" vbProcedure="false">SRC_Cap!$C$18</definedName>
    <definedName function="false" hidden="false" name="SRC_CAP_015" vbProcedure="false">SRC_Cap!$C$19</definedName>
    <definedName function="false" hidden="false" name="SRC_CAP_016" vbProcedure="false">SRC_Cap!$C$20</definedName>
    <definedName function="false" hidden="false" name="SRC_CAP_017" vbProcedure="false">SRC_Cap!$C$21</definedName>
    <definedName function="false" hidden="false" name="SRC_CAP_018" vbProcedure="false">SRC_Cap!$C$22</definedName>
    <definedName function="false" hidden="false" name="SRC_CAP_019" vbProcedure="false">SRC_Cap!$C$23</definedName>
    <definedName function="false" hidden="false" name="SRC_CAP_020" vbProcedure="false">SRC_Cap!$C$24</definedName>
    <definedName function="false" hidden="false" name="SRC_CAP_021" vbProcedure="false">SRC_Cap!$C$25</definedName>
    <definedName function="false" hidden="false" name="SRC_DC_001" vbProcedure="false">SRC_DC!$C$5</definedName>
    <definedName function="false" hidden="false" name="SRC_DC_001_Hi" vbProcedure="false">SRC_DC!$E$5</definedName>
    <definedName function="false" hidden="false" name="SRC_DC_001_Lo" vbProcedure="false">SRC_DC!$D$5</definedName>
    <definedName function="false" hidden="false" name="SRC_DC_002" vbProcedure="false">SRC_DC!$C$6</definedName>
    <definedName function="false" hidden="false" name="SRC_DC_003" vbProcedure="false">SRC_DC!$C$7</definedName>
    <definedName function="false" hidden="false" name="SRC_DC_004" vbProcedure="false">SRC_DC!$C$8</definedName>
    <definedName function="false" hidden="false" name="SRC_DC_004_Hi" vbProcedure="false">SRC_DC!$E$8</definedName>
    <definedName function="false" hidden="false" name="SRC_DC_004_Lo" vbProcedure="false">SRC_DC!$D$8</definedName>
    <definedName function="false" hidden="false" name="SRC_DC_005" vbProcedure="false">SRC_DC!$C$9</definedName>
    <definedName function="false" hidden="false" name="SRC_DC_006" vbProcedure="false">SRC_DC!$C$10</definedName>
    <definedName function="false" hidden="false" name="SRC_DC_007" vbProcedure="false">SRC_DC!$C$11</definedName>
    <definedName function="false" hidden="false" name="SRC_DC_008" vbProcedure="false">SRC_DC!$C$12</definedName>
    <definedName function="false" hidden="false" name="SRC_DC_009" vbProcedure="false">SRC_DC!$C$13</definedName>
    <definedName function="false" hidden="false" name="SRC_DC_010" vbProcedure="false">SRC_DC!$C$14</definedName>
    <definedName function="false" hidden="false" name="SRC_DC_010_Hi" vbProcedure="false">SRC_DC!$E$14</definedName>
    <definedName function="false" hidden="false" name="SRC_DC_010_Lo" vbProcedure="false">SRC_DC!$D$14</definedName>
    <definedName function="false" hidden="false" name="SRC_DC_011" vbProcedure="false">SRC_DC!$C$15</definedName>
    <definedName function="false" hidden="false" name="SRC_DC_012" vbProcedure="false">SRC_DC!$C$16</definedName>
    <definedName function="false" hidden="false" name="SRC_DC_013" vbProcedure="false">SRC_DC!$C$17</definedName>
    <definedName function="false" hidden="false" name="SRC_DC_014" vbProcedure="false">SRC_DC!$C$18</definedName>
    <definedName function="false" hidden="false" name="SRC_DC_015" vbProcedure="false">SRC_DC!$C$19</definedName>
    <definedName function="false" hidden="false" name="SRC_DC_016" vbProcedure="false">SRC_DC!$C$20</definedName>
    <definedName function="false" hidden="false" name="SRC_DC_017" vbProcedure="false">SRC_DC!$C$21</definedName>
    <definedName function="false" hidden="false" name="SRC_DEM_001" vbProcedure="false">SRC_Demand!$C$5</definedName>
    <definedName function="false" hidden="false" name="SRC_DEM_002" vbProcedure="false">SRC_Demand!$C$6</definedName>
    <definedName function="false" hidden="false" name="SRC_DEM_003" vbProcedure="false">SRC_Demand!$C$7</definedName>
    <definedName function="false" hidden="false" name="SRC_DEM_004" vbProcedure="false">SRC_Demand!$C$8</definedName>
    <definedName function="false" hidden="false" name="SRC_DEM_004_Hi" vbProcedure="false">SRC_Demand!$E$8</definedName>
    <definedName function="false" hidden="false" name="SRC_DEM_004_Lo" vbProcedure="false">SRC_Demand!$D$8</definedName>
    <definedName function="false" hidden="false" name="SRC_DEM_005" vbProcedure="false">SRC_Demand!$C$9</definedName>
    <definedName function="false" hidden="false" name="SRC_DEM_006" vbProcedure="false">SRC_Demand!$C$10</definedName>
    <definedName function="false" hidden="false" name="SRC_DEM_007" vbProcedure="false">SRC_Demand!$C$11</definedName>
    <definedName function="false" hidden="false" name="SRC_DEM_008" vbProcedure="false">SRC_Demand!$C$12</definedName>
    <definedName function="false" hidden="false" name="SRC_DEM_009" vbProcedure="false">SRC_Demand!$C$13</definedName>
    <definedName function="false" hidden="false" name="SRC_DEM_010" vbProcedure="false">SRC_Demand!$C$14</definedName>
    <definedName function="false" hidden="false" name="SRC_DEM_011" vbProcedure="false">SRC_Demand!$C$15</definedName>
    <definedName function="false" hidden="false" name="SRC_DEM_012" vbProcedure="false">SRC_Demand!$C$16</definedName>
    <definedName function="false" hidden="false" name="SRC_DEM_013" vbProcedure="false">SRC_Demand!$C$17</definedName>
    <definedName function="false" hidden="false" name="SRC_DEM_013_Hi" vbProcedure="false">SRC_Demand!$E$17</definedName>
    <definedName function="false" hidden="false" name="SRC_DEM_013_Lo" vbProcedure="false">SRC_Demand!$D$17</definedName>
    <definedName function="false" hidden="false" name="SRC_DEM_014" vbProcedure="false">SRC_Demand!$C$18</definedName>
    <definedName function="false" hidden="false" name="SRC_DEM_015" vbProcedure="false">SRC_Demand!$C$19</definedName>
    <definedName function="false" hidden="false" name="SRC_DEM_016" vbProcedure="false">SRC_Demand!$C$20</definedName>
    <definedName function="false" hidden="false" name="SRC_DEM_016_Hi" vbProcedure="false">SRC_Demand!$E$20</definedName>
    <definedName function="false" hidden="false" name="SRC_DEM_016_Lo" vbProcedure="false">SRC_Demand!$D$20</definedName>
    <definedName function="false" hidden="false" name="SRC_DEM_017" vbProcedure="false">SRC_Demand!$C$21</definedName>
    <definedName function="false" hidden="false" name="SRC_DEM_017_Lo" vbProcedure="false">SRC_Demand!$D$21</definedName>
    <definedName function="false" hidden="false" name="SRC_DEM_018" vbProcedure="false">SRC_Demand!$C$22</definedName>
    <definedName function="false" hidden="false" name="SRC_DEM_018_Hi" vbProcedure="false">SRC_Demand!$E$22</definedName>
    <definedName function="false" hidden="false" name="SRC_DEM_018_Lo" vbProcedure="false">SRC_Demand!$D$22</definedName>
    <definedName function="false" hidden="false" name="SRC_DEM_019" vbProcedure="false">SRC_Demand!$C$23</definedName>
    <definedName function="false" hidden="false" name="SRC_DEM_020" vbProcedure="false">SRC_Demand!$C$24</definedName>
    <definedName function="false" hidden="false" name="SRC_DEM_021" vbProcedure="false">SRC_Demand!$C$25</definedName>
    <definedName function="false" hidden="false" name="SRC_DEM_022" vbProcedure="false">SRC_Demand!$C$26</definedName>
    <definedName function="false" hidden="false" name="SRC_DEM_023" vbProcedure="false">SRC_Demand!$C$27</definedName>
    <definedName function="false" hidden="false" name="SRC_DEM_024" vbProcedure="false">SRC_Demand!$C$28</definedName>
    <definedName function="false" hidden="false" name="SRC_DEM_025" vbProcedure="false">SRC_Demand!$C$29</definedName>
    <definedName function="false" hidden="false" name="SRC_DEM_026" vbProcedure="false">SRC_Demand!$C$30</definedName>
    <definedName function="false" hidden="false" name="SRC_DEM_027" vbProcedure="false">SRC_Demand!$C$31</definedName>
    <definedName function="false" hidden="false" name="SRC_DEM_028" vbProcedure="false">SRC_Demand!$C$32</definedName>
    <definedName function="false" hidden="false" name="SRC_DEM_029" vbProcedure="false">SRC_Demand!$C$33</definedName>
    <definedName function="false" hidden="false" name="SRC_DEM_030" vbProcedure="false">SRC_Demand!$C$34</definedName>
    <definedName function="false" hidden="false" name="SRC_DEM_031" vbProcedure="false">SRC_Demand!$C$35</definedName>
    <definedName function="false" hidden="false" name="SRC_DEM_032" vbProcedure="false">SRC_Demand!$C$36</definedName>
    <definedName function="false" hidden="false" name="SRC_DEM_033" vbProcedure="false">SRC_Demand!$C$37</definedName>
    <definedName function="false" hidden="false" name="SRC_DEM_034" vbProcedure="false">SRC_Demand!$C$38</definedName>
    <definedName function="false" hidden="false" name="SRC_DEM_035" vbProcedure="false">SRC_Demand!$C$39</definedName>
    <definedName function="false" hidden="false" name="SRC_DEM_036" vbProcedure="false">SRC_Demand!$C$40</definedName>
    <definedName function="false" hidden="false" name="SRC_DEM_037" vbProcedure="false">SRC_Demand!$C$41</definedName>
    <definedName function="false" hidden="false" name="SRC_DEM_038" vbProcedure="false">SRC_Demand!$C$42</definedName>
    <definedName function="false" hidden="false" name="SRC_DEM_039" vbProcedure="false">SRC_Demand!$C$43</definedName>
    <definedName function="false" hidden="false" name="SRC_DEM_040" vbProcedure="false">SRC_Demand!$C$44</definedName>
    <definedName function="false" hidden="false" name="SRC_DEM_041" vbProcedure="false">SRC_Demand!$C$45</definedName>
    <definedName function="false" hidden="false" name="SRC_DEM_042" vbProcedure="false">SRC_Demand!$C$46</definedName>
    <definedName function="false" hidden="false" name="SRC_DEM_043" vbProcedure="false">SRC_Demand!$C$47</definedName>
    <definedName function="false" hidden="false" name="SRC_DEM_044" vbProcedure="false">SRC_Demand!$C$48</definedName>
    <definedName function="false" hidden="false" name="SRC_DEM_044_Hi" vbProcedure="false">SRC_Demand!$E$48</definedName>
    <definedName function="false" hidden="false" name="SRC_DEM_045" vbProcedure="false">SRC_Demand!$C$49</definedName>
    <definedName function="false" hidden="false" name="SRC_DEM_046" vbProcedure="false">SRC_Demand!$C$50</definedName>
    <definedName function="false" hidden="false" name="SRC_DEM_047" vbProcedure="false">SRC_Demand!$C$51</definedName>
    <definedName function="false" hidden="false" name="SRC_DEM_048" vbProcedure="false">SRC_Demand!$C$52</definedName>
    <definedName function="false" hidden="false" name="SRC_DEM_049" vbProcedure="false">SRC_Demand!$C$53</definedName>
    <definedName function="false" hidden="false" name="SRC_DEM_050" vbProcedure="false">SRC_Demand!$C$54</definedName>
    <definedName function="false" hidden="false" name="SRC_DEM_051" vbProcedure="false">SRC_Demand!$C$55</definedName>
    <definedName function="false" hidden="false" name="SRC_DEM_051_Hi" vbProcedure="false">SRC_Demand!$E$55</definedName>
    <definedName function="false" hidden="false" name="SRC_DEM_051_Lo" vbProcedure="false">SRC_Demand!$D$55</definedName>
    <definedName function="false" hidden="false" name="SRC_DEM_052" vbProcedure="false">SRC_Demand!$C$56</definedName>
    <definedName function="false" hidden="false" name="SRC_DEM_053" vbProcedure="false">SRC_Demand!$C$57</definedName>
    <definedName function="false" hidden="false" name="SRC_DEM_054" vbProcedure="false">SRC_Demand!$C$58</definedName>
    <definedName function="false" hidden="false" name="SRC_DEM_054_Hi" vbProcedure="false">SRC_Demand!$E$58</definedName>
    <definedName function="false" hidden="false" name="SRC_DEM_055" vbProcedure="false">SRC_Demand!$C$59</definedName>
    <definedName function="false" hidden="false" name="SRC_DEM_055_Hi" vbProcedure="false">SRC_Demand!$E$59</definedName>
    <definedName function="false" hidden="false" name="SRC_DEM_056" vbProcedure="false">SRC_Demand!$C$60</definedName>
    <definedName function="false" hidden="false" name="SRC_DEM_057" vbProcedure="false">SRC_Demand!$C$61</definedName>
    <definedName function="false" hidden="false" name="SRC_DEM_058" vbProcedure="false">SRC_Demand!$C$62</definedName>
    <definedName function="false" hidden="false" name="SRC_DEM_059" vbProcedure="false">SRC_Demand!$C$63</definedName>
    <definedName function="false" hidden="false" name="SRC_DEM_060" vbProcedure="false">SRC_Demand!$C$64</definedName>
    <definedName function="false" hidden="false" name="SRC_DEM_061" vbProcedure="false">SRC_Demand!$C$65</definedName>
    <definedName function="false" hidden="false" name="SRC_DEM_062" vbProcedure="false">SRC_Demand!$C$66</definedName>
    <definedName function="false" hidden="false" name="SRC_DEM_062_Hi" vbProcedure="false">SRC_Demand!$E$66</definedName>
    <definedName function="false" hidden="false" name="SRC_DEM_063" vbProcedure="false">SRC_Demand!$C$67</definedName>
    <definedName function="false" hidden="false" name="SRC_DEM_064" vbProcedure="false">SRC_Demand!$C$68</definedName>
    <definedName function="false" hidden="false" name="SRC_DEM_065" vbProcedure="false">SRC_Demand!$C$69</definedName>
    <definedName function="false" hidden="false" name="SRC_DEM_066" vbProcedure="false">SRC_Demand!$C$70</definedName>
    <definedName function="false" hidden="false" name="SRC_DEM_067" vbProcedure="false">SRC_Demand!$C$71</definedName>
    <definedName function="false" hidden="false" name="SRC_DEM_068" vbProcedure="false">SRC_Demand!$C$72</definedName>
    <definedName function="false" hidden="false" name="SRC_DEM_069" vbProcedure="false">SRC_Demand!$C$73</definedName>
    <definedName function="false" hidden="false" name="SRC_DEM_070" vbProcedure="false">SRC_Demand!$C$74</definedName>
    <definedName function="false" hidden="false" name="SRC_DEM_070_Hi" vbProcedure="false">SRC_Demand!$E$74</definedName>
    <definedName function="false" hidden="false" name="SRC_DEM_070_Lo" vbProcedure="false">SRC_Demand!$D$74</definedName>
    <definedName function="false" hidden="false" name="SRC_DEM_071" vbProcedure="false">SRC_Demand!$C$75</definedName>
    <definedName function="false" hidden="false" name="SRC_DEM_071_Hi" vbProcedure="false">SRC_Demand!$E$75</definedName>
    <definedName function="false" hidden="false" name="SRC_DEM_071_Lo" vbProcedure="false">SRC_Demand!$D$75</definedName>
    <definedName function="false" hidden="false" name="SRC_DEM_072" vbProcedure="false">SRC_Demand!$C$76</definedName>
    <definedName function="false" hidden="false" name="SRC_DEM_073" vbProcedure="false">SRC_Demand!$C$77</definedName>
    <definedName function="false" hidden="false" name="SRC_HAR_001" vbProcedure="false">SRC_Harness!$C$5</definedName>
    <definedName function="false" hidden="false" name="SRC_HAR_002" vbProcedure="false">SRC_Harness!$C$6</definedName>
    <definedName function="false" hidden="false" name="SRC_HAR_003" vbProcedure="false">SRC_Harness!$C$7</definedName>
    <definedName function="false" hidden="false" name="SRC_HAR_004" vbProcedure="false">SRC_Harness!$C$8</definedName>
    <definedName function="false" hidden="false" name="SRC_HAR_005" vbProcedure="false">SRC_Harness!$C$9</definedName>
    <definedName function="false" hidden="false" name="SRC_HAR_006" vbProcedure="false">SRC_Harness!$C$10</definedName>
    <definedName function="false" hidden="false" name="SRC_HAR_007" vbProcedure="false">SRC_Harness!$C$11</definedName>
    <definedName function="false" hidden="false" name="SRC_HAR_008" vbProcedure="false">SRC_Harness!$C$12</definedName>
    <definedName function="false" hidden="false" name="SRC_HAR_009" vbProcedure="false">SRC_Harness!$C$13</definedName>
    <definedName function="false" hidden="false" name="SRC_HAR_010" vbProcedure="false">SRC_Harness!$C$14</definedName>
    <definedName function="false" hidden="false" name="SRC_HAR_011" vbProcedure="false">SRC_Harness!$C$15</definedName>
    <definedName function="false" hidden="false" name="SRC_HAR_012" vbProcedure="false">SRC_Harness!$C$16</definedName>
    <definedName function="false" hidden="false" name="SRC_HAR_013" vbProcedure="false">SRC_Harness!$C$17</definedName>
    <definedName function="false" hidden="false" name="SRC_HAR_014" vbProcedure="false">SRC_Harness!$C$18</definedName>
    <definedName function="false" hidden="false" name="SRC_HAR_015" vbProcedure="false">SRC_Harness!$C$19</definedName>
    <definedName function="false" hidden="false" name="SRC_HAR_016" vbProcedure="false">SRC_Harness!$C$20</definedName>
    <definedName function="false" hidden="false" name="SRC_HAR_016_Hi" vbProcedure="false">SRC_Harness!$E$20</definedName>
    <definedName function="false" hidden="false" name="SRC_HAR_016_Lo" vbProcedure="false">SRC_Harness!$D$20</definedName>
    <definedName function="false" hidden="false" name="SRC_HW_001" vbProcedure="false">SRC_HW!$C$5</definedName>
    <definedName function="false" hidden="false" name="SRC_HW_002" vbProcedure="false">SRC_HW!$C$6</definedName>
    <definedName function="false" hidden="false" name="SRC_HW_003" vbProcedure="false">SRC_HW!$C$7</definedName>
    <definedName function="false" hidden="false" name="SRC_HW_003_Hi" vbProcedure="false">SRC_HW!$E$7</definedName>
    <definedName function="false" hidden="false" name="SRC_HW_003_Lo" vbProcedure="false">SRC_HW!$D$7</definedName>
    <definedName function="false" hidden="false" name="SRC_HW_004" vbProcedure="false">SRC_HW!$C$8</definedName>
    <definedName function="false" hidden="false" name="SRC_HW_004_Hi" vbProcedure="false">SRC_HW!$E$8</definedName>
    <definedName function="false" hidden="false" name="SRC_HW_004_Lo" vbProcedure="false">SRC_HW!$D$8</definedName>
    <definedName function="false" hidden="false" name="SRC_HW_005" vbProcedure="false">SRC_HW!$C$9</definedName>
    <definedName function="false" hidden="false" name="SRC_HW_005_Hi" vbProcedure="false">SRC_HW!$E$9</definedName>
    <definedName function="false" hidden="false" name="SRC_HW_005_Lo" vbProcedure="false">SRC_HW!$D$9</definedName>
    <definedName function="false" hidden="false" name="SRC_HW_006" vbProcedure="false">SRC_HW!$C$10</definedName>
    <definedName function="false" hidden="false" name="SRC_HW_006_Hi" vbProcedure="false">SRC_HW!$E$10</definedName>
    <definedName function="false" hidden="false" name="SRC_HW_006_Lo" vbProcedure="false">SRC_HW!$D$10</definedName>
    <definedName function="false" hidden="false" name="SRC_HW_007" vbProcedure="false">SRC_HW!$C$11</definedName>
    <definedName function="false" hidden="false" name="SRC_HW_007_Hi" vbProcedure="false">SRC_HW!$E$11</definedName>
    <definedName function="false" hidden="false" name="SRC_HW_007_Lo" vbProcedure="false">SRC_HW!$D$11</definedName>
    <definedName function="false" hidden="false" name="SRC_HW_008" vbProcedure="false">SRC_HW!$C$12</definedName>
    <definedName function="false" hidden="false" name="SRC_HW_008_Hi" vbProcedure="false">SRC_HW!$E$12</definedName>
    <definedName function="false" hidden="false" name="SRC_HW_008_Lo" vbProcedure="false">SRC_HW!$D$12</definedName>
    <definedName function="false" hidden="false" name="SRC_HW_009" vbProcedure="false">SRC_HW!$C$13</definedName>
    <definedName function="false" hidden="false" name="SRC_HW_009_Hi" vbProcedure="false">SRC_HW!$E$13</definedName>
    <definedName function="false" hidden="false" name="SRC_HW_009_Lo" vbProcedure="false">SRC_HW!$D$13</definedName>
    <definedName function="false" hidden="false" name="SRC_HW_010" vbProcedure="false">SRC_HW!$C$14</definedName>
    <definedName function="false" hidden="false" name="SRC_HW_011" vbProcedure="false">SRC_HW!$C$15</definedName>
    <definedName function="false" hidden="false" name="SRC_HW_012" vbProcedure="false">SRC_HW!$C$16</definedName>
    <definedName function="false" hidden="false" name="SRC_HW_013" vbProcedure="false">SRC_HW!$C$17</definedName>
    <definedName function="false" hidden="false" name="SRC_HW_014" vbProcedure="false">SRC_HW!$C$18</definedName>
    <definedName function="false" hidden="false" name="SRC_HW_015" vbProcedure="false">SRC_HW!$C$19</definedName>
    <definedName function="false" hidden="false" name="SRC_HW_016" vbProcedure="false">SRC_HW!$C$20</definedName>
    <definedName function="false" hidden="false" name="SRC_HW_017" vbProcedure="false">SRC_HW!$C$21</definedName>
    <definedName function="false" hidden="false" name="SRC_HW_018" vbProcedure="false">SRC_HW!$C$22</definedName>
    <definedName function="false" hidden="false" name="SRC_HW_019" vbProcedure="false">SRC_HW!$C$23</definedName>
    <definedName function="false" hidden="false" name="SRC_HW_020" vbProcedure="false">SRC_HW!$C$24</definedName>
    <definedName function="false" hidden="false" name="SRC_HW_021" vbProcedure="false">SRC_HW!$C$25</definedName>
    <definedName function="false" hidden="false" name="SRC_HW_022" vbProcedure="false">SRC_HW!$C$26</definedName>
    <definedName function="false" hidden="false" name="SRC_HW_023" vbProcedure="false">SRC_HW!$C$27</definedName>
    <definedName function="false" hidden="false" name="SRC_HW_024" vbProcedure="false">SRC_HW!$C$28</definedName>
    <definedName function="false" hidden="false" name="SRC_HW_025" vbProcedure="false">SRC_HW!$C$29</definedName>
    <definedName function="false" hidden="false" name="SRC_HW_026" vbProcedure="false">SRC_HW!$C$30</definedName>
    <definedName function="false" hidden="false" name="SRC_HW_027" vbProcedure="false">SRC_HW!$C$31</definedName>
    <definedName function="false" hidden="false" name="SRC_HW_028" vbProcedure="false">SRC_HW!$C$32</definedName>
    <definedName function="false" hidden="false" name="SRC_HW_029" vbProcedure="false">SRC_HW!$C$33</definedName>
    <definedName function="false" hidden="false" name="SRC_HW_030" vbProcedure="false">SRC_HW!$C$34</definedName>
    <definedName function="false" hidden="false" name="SRC_HW_031" vbProcedure="false">SRC_HW!$C$35</definedName>
    <definedName function="false" hidden="false" name="SRC_HW_032" vbProcedure="false">SRC_HW!$C$36</definedName>
    <definedName function="false" hidden="false" name="SRC_HW_033" vbProcedure="false">SRC_HW!$C$37</definedName>
    <definedName function="false" hidden="false" name="SRC_HW_034" vbProcedure="false">SRC_HW!$C$38</definedName>
    <definedName function="false" hidden="false" name="SRC_HW_035" vbProcedure="false">SRC_HW!$C$39</definedName>
    <definedName function="false" hidden="false" name="SRC_HW_035_Hi" vbProcedure="false">SRC_HW!$E$39</definedName>
    <definedName function="false" hidden="false" name="SRC_HW_035_Lo" vbProcedure="false">SRC_HW!$D$39</definedName>
    <definedName function="false" hidden="false" name="SRC_HW_036" vbProcedure="false">SRC_HW!$C$40</definedName>
    <definedName function="false" hidden="false" name="SRC_HW_037" vbProcedure="false">SRC_HW!$C$41</definedName>
    <definedName function="false" hidden="false" name="SRC_HW_038" vbProcedure="false">SRC_HW!$C$42</definedName>
    <definedName function="false" hidden="false" name="SRC_HW_039" vbProcedure="false">SRC_HW!$C$43</definedName>
    <definedName function="false" hidden="false" name="SRC_HW_040" vbProcedure="false">SRC_HW!$C$44</definedName>
    <definedName function="false" hidden="false" name="SRC_HW_041" vbProcedure="false">SRC_HW!$C$45</definedName>
    <definedName function="false" hidden="false" name="SRC_HW_042" vbProcedure="false">SRC_HW!$C$46</definedName>
    <definedName function="false" hidden="false" name="SRC_HW_043" vbProcedure="false">SRC_HW!$C$47</definedName>
    <definedName function="false" hidden="false" name="SRC_HW_044" vbProcedure="false">SRC_HW!$C$48</definedName>
    <definedName function="false" hidden="false" name="SRC_HW_045" vbProcedure="false">SRC_HW!$C$49</definedName>
    <definedName function="false" hidden="false" name="SRC_HW_046" vbProcedure="false">SRC_HW!$C$50</definedName>
    <definedName function="false" hidden="false" name="SRC_HW_047" vbProcedure="false">SRC_HW!$C$51</definedName>
    <definedName function="false" hidden="false" name="SRC_HW_048" vbProcedure="false">SRC_HW!$C$52</definedName>
    <definedName function="false" hidden="false" name="SRC_HW_049" vbProcedure="false">SRC_HW!$C$53</definedName>
    <definedName function="false" hidden="false" name="SRC_HW_050" vbProcedure="false">SRC_HW!$C$54</definedName>
    <definedName function="false" hidden="false" name="SRC_HW_051" vbProcedure="false">SRC_HW!$C$55</definedName>
    <definedName function="false" hidden="false" name="SRC_HW_052" vbProcedure="false">SRC_HW!$C$56</definedName>
    <definedName function="false" hidden="false" name="SRC_HW_053" vbProcedure="false">SRC_HW!$C$57</definedName>
    <definedName function="false" hidden="false" name="SRC_HW_054" vbProcedure="false">SRC_HW!$C$58</definedName>
    <definedName function="false" hidden="false" name="SRC_HW_055" vbProcedure="false">SRC_HW!$C$59</definedName>
    <definedName function="false" hidden="false" name="SRC_HW_056" vbProcedure="false">SRC_HW!$C$60</definedName>
    <definedName function="false" hidden="false" name="SRC_HW_057" vbProcedure="false">SRC_HW!$C$61</definedName>
    <definedName function="false" hidden="false" name="SRC_HW_058" vbProcedure="false">SRC_HW!$C$62</definedName>
    <definedName function="false" hidden="false" name="SRC_HW_059" vbProcedure="false">SRC_HW!$C$63</definedName>
    <definedName function="false" hidden="false" name="SRC_HW_060" vbProcedure="false">SRC_HW!$C$64</definedName>
    <definedName function="false" hidden="false" name="SRC_HW_061" vbProcedure="false">SRC_HW!$C$65</definedName>
    <definedName function="false" hidden="false" name="SRC_HW_062" vbProcedure="false">SRC_HW!$C$66</definedName>
    <definedName function="false" hidden="false" name="SRC_HW_063" vbProcedure="false">SRC_HW!$C$67</definedName>
    <definedName function="false" hidden="false" name="SRC_HW_064" vbProcedure="false">SRC_HW!$C$68</definedName>
    <definedName function="false" hidden="false" name="SRC_HW_065" vbProcedure="false">SRC_HW!$C$69</definedName>
    <definedName function="false" hidden="false" name="SRC_HW_066" vbProcedure="false">SRC_HW!$C$70</definedName>
    <definedName function="false" hidden="false" name="SRC_MOD_001" vbProcedure="false">SRC_Model!$C$5</definedName>
    <definedName function="false" hidden="false" name="SRC_MOD_002" vbProcedure="false">SRC_Model!$C$6</definedName>
    <definedName function="false" hidden="false" name="SRC_MOD_003" vbProcedure="false">SRC_Model!$C$7</definedName>
    <definedName function="false" hidden="false" name="SRC_MOD_004" vbProcedure="false">SRC_Model!$C$8</definedName>
    <definedName function="false" hidden="false" name="SRC_MOD_005" vbProcedure="false">SRC_Model!$C$9</definedName>
    <definedName function="false" hidden="false" name="SRC_MOD_006" vbProcedure="false">SRC_Model!$C$10</definedName>
    <definedName function="false" hidden="false" name="SRC_MOD_007" vbProcedure="false">SRC_Model!$C$11</definedName>
    <definedName function="false" hidden="false" name="SRC_MOD_008" vbProcedure="false">SRC_Model!$C$12</definedName>
    <definedName function="false" hidden="false" name="SRC_MOD_009" vbProcedure="false">SRC_Model!$C$13</definedName>
    <definedName function="false" hidden="false" name="SRC_MOD_010" vbProcedure="false">SRC_Model!$C$14</definedName>
    <definedName function="false" hidden="false" name="SRC_MOD_011" vbProcedure="false">SRC_Model!$C$15</definedName>
    <definedName function="false" hidden="false" name="SRC_MOD_012" vbProcedure="false">SRC_Model!$C$16</definedName>
    <definedName function="false" hidden="false" name="SRC_MOD_013" vbProcedure="false">SRC_Model!$C$17</definedName>
    <definedName function="false" hidden="false" name="SRC_MOD_014" vbProcedure="false">SRC_Model!$C$18</definedName>
    <definedName function="false" hidden="false" name="SRC_MOD_015" vbProcedure="false">SRC_Model!$C$19</definedName>
    <definedName function="false" hidden="false" name="SRC_MOD_016" vbProcedure="false">SRC_Model!$C$20</definedName>
    <definedName function="false" hidden="false" name="SRC_MOD_017" vbProcedure="false">SRC_Model!$C$21</definedName>
    <definedName function="false" hidden="false" name="SRC_MOD_018" vbProcedure="false">SRC_Model!$C$22</definedName>
    <definedName function="false" hidden="false" name="SRC_MOD_019" vbProcedure="false">SRC_Model!$C$23</definedName>
    <definedName function="false" hidden="false" name="SRC_MOD_020" vbProcedure="false">SRC_Model!$C$24</definedName>
    <definedName function="false" hidden="false" name="SRC_MOD_021" vbProcedure="false">SRC_Model!$C$25</definedName>
    <definedName function="false" hidden="false" name="SRC_MOD_022" vbProcedure="false">SRC_Model!$C$26</definedName>
    <definedName function="false" hidden="false" name="SRC_MOD_023" vbProcedure="false">SRC_Model!$C$27</definedName>
    <definedName function="false" hidden="false" name="SRC_MOD_024" vbProcedure="false">SRC_Model!$C$28</definedName>
    <definedName function="false" hidden="false" name="SRC_MOD_025" vbProcedure="false">SRC_Model!$C$29</definedName>
    <definedName function="false" hidden="false" name="SRC_MOD_026" vbProcedure="false">SRC_Model!$C$30</definedName>
    <definedName function="false" hidden="false" name="SRC_MOD_027" vbProcedure="false">SRC_Model!$C$31</definedName>
    <definedName function="false" hidden="false" name="SRC_MOD_028" vbProcedure="false">SRC_Model!$C$32</definedName>
    <definedName function="false" hidden="false" name="SRC_MOD_029" vbProcedure="false">SRC_Model!$C$33</definedName>
    <definedName function="false" hidden="false" name="SRC_MOD_030" vbProcedure="false">SRC_Model!$C$34</definedName>
    <definedName function="false" hidden="false" name="SRC_MOD_031" vbProcedure="false">SRC_Model!$C$35</definedName>
    <definedName function="false" hidden="false" name="SRC_MOD_032" vbProcedure="false">SRC_Model!$C$36</definedName>
    <definedName function="false" hidden="false" name="SRC_MOD_033" vbProcedure="false">SRC_Model!$C$37</definedName>
    <definedName function="false" hidden="false" name="SRC_MOD_034" vbProcedure="false">SRC_Model!$C$38</definedName>
    <definedName function="false" hidden="false" name="SRC_MOD_035" vbProcedure="false">SRC_Model!$C$39</definedName>
    <definedName function="false" hidden="false" name="SRC_MOD_036" vbProcedure="false">SRC_Model!$C$40</definedName>
    <definedName function="false" hidden="false" name="SRC_MOD_037" vbProcedure="false">SRC_Model!$C$41</definedName>
    <definedName function="false" hidden="false" name="SRC_MOD_038" vbProcedure="false">SRC_Model!$C$42</definedName>
    <definedName function="false" hidden="false" name="SRC_MOD_039" vbProcedure="false">SRC_Model!$C$43</definedName>
    <definedName function="false" hidden="false" name="SRC_MOD_040" vbProcedure="false">SRC_Model!$C$44</definedName>
    <definedName function="false" hidden="false" name="SRC_MOD_041" vbProcedure="false">SRC_Model!$C$45</definedName>
    <definedName function="false" hidden="false" name="SRC_MOD_042" vbProcedure="false">SRC_Model!$C$46</definedName>
    <definedName function="false" hidden="false" name="SRC_MOD_043" vbProcedure="false">SRC_Model!$C$47</definedName>
    <definedName function="false" hidden="false" name="SRC_MOD_044" vbProcedure="false">SRC_Model!$C$48</definedName>
    <definedName function="false" hidden="false" name="SRC_MOD_045" vbProcedure="false">SRC_Model!$C$49</definedName>
    <definedName function="false" hidden="false" name="SRC_MOD_046" vbProcedure="false">SRC_Model!$C$50</definedName>
    <definedName function="false" hidden="false" name="SRC_MOD_047" vbProcedure="false">SRC_Model!$C$51</definedName>
    <definedName function="false" hidden="false" name="SRC_MOD_048" vbProcedure="false">SRC_Model!$C$52</definedName>
    <definedName function="false" hidden="false" name="SRC_MOD_049" vbProcedure="false">SRC_Model!$C$53</definedName>
    <definedName function="false" hidden="false" name="SRC_MOD_050" vbProcedure="false">SRC_Model!$C$54</definedName>
    <definedName function="false" hidden="false" name="SRC_MOD_051" vbProcedure="false">SRC_Model!$C$55</definedName>
    <definedName function="false" hidden="false" name="SRC_MOD_052" vbProcedure="false">SRC_Model!$C$56</definedName>
    <definedName function="false" hidden="false" name="SRC_MOD_053" vbProcedure="false">SRC_Model!$C$57</definedName>
    <definedName function="false" hidden="false" name="SRC_MOD_054" vbProcedure="false">SRC_Model!$C$58</definedName>
    <definedName function="false" hidden="false" name="SRC_MOD_055" vbProcedure="false">SRC_Model!$C$59</definedName>
    <definedName function="false" hidden="false" name="SRC_MOD_055_Hi" vbProcedure="false">SRC_Model!$E$59</definedName>
    <definedName function="false" hidden="false" name="SRC_MOD_055_Lo" vbProcedure="false">SRC_Model!$D$59</definedName>
    <definedName function="false" hidden="false" name="SRC_MOD_057" vbProcedure="false">SRC_Model!$C$60</definedName>
    <definedName function="false" hidden="false" name="SRC_MOD_058" vbProcedure="false">SRC_Model!$C$61</definedName>
    <definedName function="false" hidden="false" name="SRC_MOD_059" vbProcedure="false">SRC_Model!$C$62</definedName>
    <definedName function="false" hidden="false" name="SRC_MOD_060" vbProcedure="false">SRC_Model!$C$63</definedName>
    <definedName function="false" hidden="false" name="SRC_MOD_061" vbProcedure="false">SRC_Model!$C$64</definedName>
    <definedName function="false" hidden="false" name="SRC_MOD_062" vbProcedure="false">SRC_Model!$C$65</definedName>
    <definedName function="false" hidden="false" name="SRC_PERF_001" vbProcedure="false">SRC_Perf!$C$5</definedName>
    <definedName function="false" hidden="false" name="SRC_PERF_001_ISL" vbProcedure="false">SRC_Perf!$AC$5</definedName>
    <definedName function="false" hidden="false" name="SRC_PERF_001_MTP" vbProcedure="false">SRC_Perf!$AF$5</definedName>
    <definedName function="false" hidden="false" name="SRC_PERF_001_OSL" vbProcedure="false">SRC_Perf!$AD$5</definedName>
    <definedName function="false" hidden="false" name="SRC_PERF_001_Spd" vbProcedure="false">SRC_Perf!$AE$5</definedName>
    <definedName function="false" hidden="false" name="SRC_PERF_002" vbProcedure="false">SRC_Perf!$C$6</definedName>
    <definedName function="false" hidden="false" name="SRC_PERF_002_ISL" vbProcedure="false">SRC_Perf!$AC$6</definedName>
    <definedName function="false" hidden="false" name="SRC_PERF_002_MTP" vbProcedure="false">SRC_Perf!$AF$6</definedName>
    <definedName function="false" hidden="false" name="SRC_PERF_002_OSL" vbProcedure="false">SRC_Perf!$AD$6</definedName>
    <definedName function="false" hidden="false" name="SRC_PERF_002_Spd" vbProcedure="false">SRC_Perf!$AE$6</definedName>
    <definedName function="false" hidden="false" name="SRC_PERF_003" vbProcedure="false">SRC_Perf!$C$7</definedName>
    <definedName function="false" hidden="false" name="SRC_PERF_004" vbProcedure="false">SRC_Perf!$C$8</definedName>
    <definedName function="false" hidden="false" name="SRC_PERF_004_ISL" vbProcedure="false">SRC_Perf!$AC$8</definedName>
    <definedName function="false" hidden="false" name="SRC_PERF_004_MTP" vbProcedure="false">SRC_Perf!$AF$8</definedName>
    <definedName function="false" hidden="false" name="SRC_PERF_004_OSL" vbProcedure="false">SRC_Perf!$AD$8</definedName>
    <definedName function="false" hidden="false" name="SRC_PERF_004_Spd" vbProcedure="false">SRC_Perf!$AE$8</definedName>
    <definedName function="false" hidden="false" name="SRC_PERF_005" vbProcedure="false">SRC_Perf!$C$9</definedName>
    <definedName function="false" hidden="false" name="SRC_PERF_006" vbProcedure="false">SRC_Perf!$C$10</definedName>
    <definedName function="false" hidden="false" name="SRC_PERF_007" vbProcedure="false">SRC_Perf!$C$11</definedName>
    <definedName function="false" hidden="false" name="SRC_PERF_008" vbProcedure="false">SRC_Perf!$C$12</definedName>
    <definedName function="false" hidden="false" name="SRC_PERF_009" vbProcedure="false">SRC_Perf!$C$13</definedName>
    <definedName function="false" hidden="false" name="SRC_PERF_009_ISL" vbProcedure="false">SRC_Perf!$AC$13</definedName>
    <definedName function="false" hidden="false" name="SRC_PERF_009_MTP" vbProcedure="false">SRC_Perf!$AF$13</definedName>
    <definedName function="false" hidden="false" name="SRC_PERF_009_OSL" vbProcedure="false">SRC_Perf!$AD$13</definedName>
    <definedName function="false" hidden="false" name="SRC_PERF_009_Spd" vbProcedure="false">SRC_Perf!$AE$13</definedName>
    <definedName function="false" hidden="false" name="SRC_PERF_010" vbProcedure="false">SRC_Perf!$C$14</definedName>
    <definedName function="false" hidden="false" name="SRC_PERF_010_ISL" vbProcedure="false">SRC_Perf!$AC$14</definedName>
    <definedName function="false" hidden="false" name="SRC_PERF_010_MTP" vbProcedure="false">SRC_Perf!$AF$14</definedName>
    <definedName function="false" hidden="false" name="SRC_PERF_010_OSL" vbProcedure="false">SRC_Perf!$AD$14</definedName>
    <definedName function="false" hidden="false" name="SRC_PERF_010_Spd" vbProcedure="false">SRC_Perf!$AE$14</definedName>
    <definedName function="false" hidden="false" name="SRC_PERF_011" vbProcedure="false">SRC_Perf!$C$15</definedName>
    <definedName function="false" hidden="false" name="SRC_PERF_012" vbProcedure="false">SRC_Perf!$C$16</definedName>
    <definedName function="false" hidden="false" name="SRC_PERF_013" vbProcedure="false">SRC_Perf!$C$17</definedName>
    <definedName function="false" hidden="false" name="SRC_PERF_014" vbProcedure="false">SRC_Perf!$C$18</definedName>
    <definedName function="false" hidden="false" name="SRC_PERF_014_ISL" vbProcedure="false">SRC_Perf!$AC$18</definedName>
    <definedName function="false" hidden="false" name="SRC_PERF_014_MTP" vbProcedure="false">SRC_Perf!$AF$18</definedName>
    <definedName function="false" hidden="false" name="SRC_PERF_014_OSL" vbProcedure="false">SRC_Perf!$AD$18</definedName>
    <definedName function="false" hidden="false" name="SRC_PERF_014_Spd" vbProcedure="false">SRC_Perf!$AE$18</definedName>
    <definedName function="false" hidden="false" name="SRC_PERF_015" vbProcedure="false">SRC_Perf!$C$19</definedName>
    <definedName function="false" hidden="false" name="SRC_PERF_015_ISL" vbProcedure="false">SRC_Perf!$AC$19</definedName>
    <definedName function="false" hidden="false" name="SRC_PERF_015_MTP" vbProcedure="false">SRC_Perf!$AF$19</definedName>
    <definedName function="false" hidden="false" name="SRC_PERF_015_OSL" vbProcedure="false">SRC_Perf!$AD$19</definedName>
    <definedName function="false" hidden="false" name="SRC_PERF_015_Spd" vbProcedure="false">SRC_Perf!$AE$19</definedName>
    <definedName function="false" hidden="false" name="SRC_PERF_016" vbProcedure="false">SRC_Perf!$C$20</definedName>
    <definedName function="false" hidden="false" name="SRC_PERF_017" vbProcedure="false">SRC_Perf!$C$21</definedName>
    <definedName function="false" hidden="false" name="SRC_PERF_018" vbProcedure="false">SRC_Perf!$C$22</definedName>
    <definedName function="false" hidden="false" name="SRC_PERF_019" vbProcedure="false">SRC_Perf!$C$23</definedName>
    <definedName function="false" hidden="false" name="SRC_PERF_020" vbProcedure="false">SRC_Perf!$C$24</definedName>
    <definedName function="false" hidden="false" name="SRC_PERF_020_Hi" vbProcedure="false">SRC_Perf!$E$24</definedName>
    <definedName function="false" hidden="false" name="SRC_PERF_020_Lo" vbProcedure="false">SRC_Perf!$D$24</definedName>
    <definedName function="false" hidden="false" name="SRC_PERF_021" vbProcedure="false">SRC_Perf!$C$25</definedName>
    <definedName function="false" hidden="false" name="SRC_PERF_022" vbProcedure="false">SRC_Perf!$C$26</definedName>
    <definedName function="false" hidden="false" name="SRC_PERF_022_Hi" vbProcedure="false">SRC_Perf!$E$26</definedName>
    <definedName function="false" hidden="false" name="SRC_PERF_022_Lo" vbProcedure="false">SRC_Perf!$D$26</definedName>
    <definedName function="false" hidden="false" name="SRC_PERF_023" vbProcedure="false">SRC_Perf!$C$27</definedName>
    <definedName function="false" hidden="false" name="SRC_PERF_024" vbProcedure="false">SRC_Perf!$C$28</definedName>
    <definedName function="false" hidden="false" name="SRC_PERF_025" vbProcedure="false">SRC_Perf!$C$29</definedName>
    <definedName function="false" hidden="false" name="SRC_PERF_026" vbProcedure="false">SRC_Perf!$C$30</definedName>
    <definedName function="false" hidden="false" name="SRC_PERF_027" vbProcedure="false">SRC_Perf!$C$31</definedName>
    <definedName function="false" hidden="false" name="SRC_PERF_028" vbProcedure="false">SRC_Perf!$C$32</definedName>
    <definedName function="false" hidden="false" name="SRC_PERF_029" vbProcedure="false">SRC_Perf!$C$33</definedName>
    <definedName function="false" hidden="false" name="SRC_PERF_030" vbProcedure="false">SRC_Perf!$C$34</definedName>
    <definedName function="false" hidden="false" name="SRC_PERF_031" vbProcedure="false">SRC_Perf!$C$35</definedName>
    <definedName function="false" hidden="false" name="SRC_PERF_032" vbProcedure="false">SRC_Perf!$C$36</definedName>
    <definedName function="false" hidden="false" name="SRC_PERF_033" vbProcedure="false">SRC_Perf!$C$37</definedName>
    <definedName function="false" hidden="false" name="SRC_PERF_034" vbProcedure="false">SRC_Perf!$C$38</definedName>
    <definedName function="false" hidden="false" name="SRC_PERF_035" vbProcedure="false">SRC_Perf!$C$39</definedName>
    <definedName function="false" hidden="false" name="SRC_PERF_036" vbProcedure="false">SRC_Perf!$C$40</definedName>
    <definedName function="false" hidden="false" name="SRC_PERF_036_Hi" vbProcedure="false">SRC_Perf!$E$40</definedName>
    <definedName function="false" hidden="false" name="SRC_PERF_036_Lo" vbProcedure="false">SRC_Perf!$D$40</definedName>
    <definedName function="false" hidden="false" name="SRC_PERF_037" vbProcedure="false">SRC_Perf!$C$41</definedName>
    <definedName function="false" hidden="false" name="SRC_PERF_038" vbProcedure="false">SRC_Perf!$C$42</definedName>
    <definedName function="false" hidden="false" name="SRC_PERF_039" vbProcedure="false">SRC_Perf!$C$43</definedName>
    <definedName function="false" hidden="false" name="SRC_PERF_040" vbProcedure="false">SRC_Perf!$C$44</definedName>
    <definedName function="false" hidden="false" name="SRC_PERF_041" vbProcedure="false">SRC_Perf!$C$45</definedName>
    <definedName function="false" hidden="false" name="SRC_PERF_042" vbProcedure="false">SRC_Perf!$C$46</definedName>
    <definedName function="false" hidden="false" name="SRC_PERF_043" vbProcedure="false">SRC_Perf!$C$47</definedName>
    <definedName function="false" hidden="false" name="SRC_PERF_044" vbProcedure="false">SRC_Perf!$C$48</definedName>
    <definedName function="false" hidden="false" name="SRC_PERF_045" vbProcedure="false">SRC_Perf!$C$49</definedName>
    <definedName function="false" hidden="false" name="SRC_PERF_046" vbProcedure="false">SRC_Perf!$C$50</definedName>
    <definedName function="false" hidden="false" name="SRC_PERF_046_Hi" vbProcedure="false">SRC_Perf!$E$50</definedName>
    <definedName function="false" hidden="false" name="SRC_PERF_046_Lo" vbProcedure="false">SRC_Perf!$D$50</definedName>
    <definedName function="false" hidden="false" name="SRC_PERF_047" vbProcedure="false">SRC_Perf!$C$51</definedName>
    <definedName function="false" hidden="false" name="SRC_PERF_048" vbProcedure="false">SRC_Perf!$C$52</definedName>
    <definedName function="false" hidden="false" name="SRC_PERF_049" vbProcedure="false">SRC_Perf!$C$53</definedName>
    <definedName function="false" hidden="false" name="SRC_PERF_050" vbProcedure="false">SRC_Perf!$C$54</definedName>
    <definedName function="false" hidden="false" name="SRC_PERF_051" vbProcedure="false">SRC_Perf!$C$55</definedName>
    <definedName function="false" hidden="false" name="SRC_PERF_052" vbProcedure="false">SRC_Perf!$C$56</definedName>
    <definedName function="false" hidden="false" name="SRC_PERF_053" vbProcedure="false">SRC_Perf!$C$57</definedName>
    <definedName function="false" hidden="false" name="SRC_PERF_054" vbProcedure="false">SRC_Perf!$C$58</definedName>
    <definedName function="false" hidden="false" name="SRC_PERF_055" vbProcedure="false">SRC_Perf!$C$59</definedName>
    <definedName function="false" hidden="false" name="SRC_PERF_056" vbProcedure="false">SRC_Perf!$C$60</definedName>
    <definedName function="false" hidden="false" name="SRC_PERF_057" vbProcedure="false">SRC_Perf!$C$61</definedName>
    <definedName function="false" hidden="false" name="SRC_PERF_058" vbProcedure="false">SRC_Perf!$C$62</definedName>
    <definedName function="false" hidden="false" name="SRC_PERF_059" vbProcedure="false">SRC_Perf!$C$63</definedName>
    <definedName function="false" hidden="false" name="SRC_PERF_060" vbProcedure="false">SRC_Perf!$C$64</definedName>
    <definedName function="false" hidden="false" name="SRC_PERF_061" vbProcedure="false">SRC_Perf!$C$65</definedName>
    <definedName function="false" hidden="false" name="SRC_PERF_062" vbProcedure="false">SRC_Perf!$C$66</definedName>
    <definedName function="false" hidden="false" name="SRC_PERF_063" vbProcedure="false">SRC_Perf!$C$67</definedName>
    <definedName function="false" hidden="false" name="SRC_PERF_064" vbProcedure="false">SRC_Perf!$C$68</definedName>
    <definedName function="false" hidden="false" name="SRC_PERF_065" vbProcedure="false">SRC_Perf!$C$69</definedName>
    <definedName function="false" hidden="false" name="SRC_PERF_065_Lo" vbProcedure="false">SRC_Perf!$D$69</definedName>
    <definedName function="false" hidden="false" name="SRC_PERF_066" vbProcedure="false">SRC_Perf!$C$70</definedName>
    <definedName function="false" hidden="false" name="SRC_PERF_067" vbProcedure="false">SRC_Perf!$C$71</definedName>
    <definedName function="false" hidden="false" name="SRC_PERF_068" vbProcedure="false">SRC_Perf!$C$72</definedName>
    <definedName function="false" hidden="false" name="SRC_PERF_069" vbProcedure="false">SRC_Perf!$C$73</definedName>
    <definedName function="false" hidden="false" name="SRC_PERF_070" vbProcedure="false">SRC_Perf!$C$74</definedName>
    <definedName function="false" hidden="false" name="SRC_PERF_071" vbProcedure="false">SRC_Perf!$C$75</definedName>
    <definedName function="false" hidden="false" name="SRC_PERF_072" vbProcedure="false">SRC_Perf!$C$76</definedName>
    <definedName function="false" hidden="false" name="SRC_PERF_073" vbProcedure="false">SRC_Perf!$C$77</definedName>
    <definedName function="false" hidden="false" name="SRC_PERF_074" vbProcedure="false">SRC_Perf!$C$78</definedName>
    <definedName function="false" hidden="false" name="SRC_PERF_075" vbProcedure="false">SRC_Perf!$C$79</definedName>
    <definedName function="false" hidden="false" name="SRC_PERF_076" vbProcedure="false">SRC_Perf!$C$80</definedName>
    <definedName function="false" hidden="false" name="SRC_PERF_077" vbProcedure="false">SRC_Perf!$C$81</definedName>
    <definedName function="false" hidden="false" name="SRC_PERF_078" vbProcedure="false">SRC_Perf!$C$82</definedName>
    <definedName function="false" hidden="false" name="SRC_PRC_001" vbProcedure="false">SRC_Price!$C$5</definedName>
    <definedName function="false" hidden="false" name="SRC_PRC_002" vbProcedure="false">SRC_Price!$C$6</definedName>
    <definedName function="false" hidden="false" name="SRC_PRC_003" vbProcedure="false">SRC_Price!$C$7</definedName>
    <definedName function="false" hidden="false" name="SRC_PRC_004" vbProcedure="false">SRC_Price!$C$8</definedName>
    <definedName function="false" hidden="false" name="SRC_PRC_005" vbProcedure="false">SRC_Price!$C$9</definedName>
    <definedName function="false" hidden="false" name="SRC_PRC_006" vbProcedure="false">SRC_Price!$C$10</definedName>
    <definedName function="false" hidden="false" name="SRC_PRC_007" vbProcedure="false">SRC_Price!$C$11</definedName>
    <definedName function="false" hidden="false" name="SRC_PRC_008" vbProcedure="false">SRC_Price!$C$12</definedName>
    <definedName function="false" hidden="false" name="SRC_PRC_009" vbProcedure="false">SRC_Price!$C$13</definedName>
    <definedName function="false" hidden="false" name="SRC_PRC_010" vbProcedure="false">SRC_Price!$C$14</definedName>
    <definedName function="false" hidden="false" name="SRC_PRC_011" vbProcedure="false">SRC_Price!$C$15</definedName>
    <definedName function="false" hidden="false" name="SRC_PRC_012" vbProcedure="false">SRC_Price!$C$16</definedName>
    <definedName function="false" hidden="false" name="SRC_PRC_013" vbProcedure="false">SRC_Price!$C$17</definedName>
    <definedName function="false" hidden="false" name="SRC_PRC_014" vbProcedure="false">SRC_Price!$C$18</definedName>
    <definedName function="false" hidden="false" name="SRC_PRC_015" vbProcedure="false">SRC_Price!$C$19</definedName>
    <definedName function="false" hidden="false" name="SRC_PRC_016" vbProcedure="false">SRC_Price!$C$20</definedName>
    <definedName function="false" hidden="false" name="SRC_PRC_017" vbProcedure="false">SRC_Price!$C$21</definedName>
    <definedName function="false" hidden="false" name="SRC_PRC_018" vbProcedure="false">SRC_Price!$C$22</definedName>
    <definedName function="false" hidden="false" name="SRC_PRC_019" vbProcedure="false">SRC_Price!$C$23</definedName>
    <definedName function="false" hidden="false" name="SRC_PRC_020" vbProcedure="false">SRC_Price!$C$24</definedName>
    <definedName function="false" hidden="false" name="SRC_PRC_021" vbProcedure="false">SRC_Price!$C$25</definedName>
    <definedName function="false" hidden="false" name="SRC_PRC_022" vbProcedure="false">SRC_Price!$C$26</definedName>
    <definedName function="false" hidden="false" name="SRC_PRC_023" vbProcedure="false">SRC_Price!$C$27</definedName>
    <definedName function="false" hidden="false" name="SRC_PRC_024" vbProcedure="false">SRC_Price!$C$28</definedName>
    <definedName function="false" hidden="false" name="SRC_PRC_025" vbProcedure="false">SRC_Price!$C$29</definedName>
    <definedName function="false" hidden="false" name="SRC_PRC_026" vbProcedure="false">SRC_Price!$C$30</definedName>
    <definedName function="false" hidden="false" name="SRC_PRC_027" vbProcedure="false">SRC_Price!$C$31</definedName>
    <definedName function="false" hidden="false" name="SRC_PRC_028" vbProcedure="false">SRC_Price!$C$32</definedName>
    <definedName function="false" hidden="false" name="SRC_PRC_029" vbProcedure="false">SRC_Price!$C$33</definedName>
    <definedName function="false" hidden="false" name="SRC_PRC_030" vbProcedure="false">SRC_Price!$C$34</definedName>
    <definedName function="false" hidden="false" name="SRC_PRC_031" vbProcedure="false">SRC_Price!$C$35</definedName>
    <definedName function="false" hidden="false" name="SRC_PRC_032" vbProcedure="false">SRC_Price!$C$36</definedName>
    <definedName function="false" hidden="false" name="SRC_PRC_033" vbProcedure="false">SRC_Price!$C$37</definedName>
    <definedName function="false" hidden="false" name="SRC_PRC_034" vbProcedure="false">SRC_Price!$C$38</definedName>
    <definedName function="false" hidden="false" name="SRC_PRC_035" vbProcedure="false">SRC_Price!$C$39</definedName>
    <definedName function="false" hidden="false" name="SRC_PRC_036" vbProcedure="false">SRC_Price!$C$40</definedName>
    <definedName function="false" hidden="false" name="SRC_PRC_037" vbProcedure="false">SRC_Price!$C$41</definedName>
    <definedName function="false" hidden="false" name="SRC_PRC_038" vbProcedure="false">SRC_Price!$C$42</definedName>
    <definedName function="false" hidden="false" name="SRC_PRC_039" vbProcedure="false">SRC_Price!$C$43</definedName>
    <definedName function="false" hidden="false" name="SRC_PRC_040" vbProcedure="false">SRC_Price!$C$44</definedName>
    <definedName function="false" hidden="false" name="SRC_PRC_041" vbProcedure="false">SRC_Price!$C$45</definedName>
    <definedName function="false" hidden="false" name="SRC_PRC_042" vbProcedure="false">SRC_Price!$C$46</definedName>
    <definedName function="false" hidden="false" name="SRC_PRC_043" vbProcedure="false">SRC_Price!$C$47</definedName>
    <definedName function="false" hidden="false" name="SRC_PRC_044" vbProcedure="false">SRC_Price!$C$48</definedName>
    <definedName function="false" hidden="false" name="TRN_FlopPre" vbProcedure="false">Training!$C$35:$Q$35</definedName>
    <definedName function="false" hidden="false" name="TRN_FlopTokPre" vbProcedure="false">Training!$C$34:$Q$34</definedName>
    <definedName function="false" hidden="false" name="TRN_Gen" vbProcedure="false">Training!$C$4:$Q$4</definedName>
    <definedName function="false" hidden="false" name="TRN_GPUhFinal" vbProcedure="false">Training!$C$106:$Q$106</definedName>
    <definedName function="false" hidden="false" name="TRN_GPUhPre" vbProcedure="false">Training!$C$36:$Q$36</definedName>
    <definedName function="false" hidden="false" name="TRN_GPUhProg" vbProcedure="false">Training!$C$120:$Q$120</definedName>
    <definedName function="false" hidden="false" name="TRN_GPUhRL" vbProcedure="false">Training!$C$75:$Q$75</definedName>
    <definedName function="false" hidden="false" name="TRN_GWyrProg" vbProcedure="false">Training!$C$123:$Q$123</definedName>
    <definedName function="false" hidden="false" name="TRN_InferShare" vbProcedure="false">Training!$C$114:$Q$114</definedName>
    <definedName function="false" hidden="false" name="TRN_PostShareF" vbProcedure="false">Training!$C$110:$Q$110</definedName>
    <definedName function="false" hidden="false" name="TRN_PostShareH" vbProcedure="false">Training!$C$111:$Q$111</definedName>
    <definedName function="false" hidden="false" name="TRN_RLMFU" vbProcedure="false">Training!$C$77:$Q$77</definedName>
    <definedName function="false" hidden="false" name="TRN_RLRatioF" vbProcedure="false">Training!$C$79:$Q$79</definedName>
    <definedName function="false" hidden="false" name="TRN_RLRatioH" vbProcedure="false">Training!$C$78:$Q$78</definedName>
    <definedName function="false" hidden="false" name="TRN_Tier" vbProcedure="false">Training!$C$5:$Q$5</definedName>
    <definedName function="false" hidden="false" name="TR_Acts" vbProcedure="false">Tech_Registry!$D$5:$D$16</definedName>
    <definedName function="false" hidden="false" name="TR_Adopt" vbProcedure="false">Tech_Registry!$N$5:$N$16</definedName>
    <definedName function="false" hidden="false" name="TR_Base" vbProcedure="false">Tech_Registry!$F$5:$F$16</definedName>
    <definedName function="false" hidden="false" name="TR_Check" vbProcedure="false">Tech_Registry!$T$5:$T$16</definedName>
    <definedName function="false" hidden="false" name="TR_Eff" vbProcedure="false">Tech_Registry!$P$5:$P$16</definedName>
    <definedName function="false" hidden="false" name="TR_Hi" vbProcedure="false">Tech_Registry!$G$5:$G$16</definedName>
    <definedName function="false" hidden="false" name="TR_Hook" vbProcedure="false">Tech_Registry!$C$5:$C$16</definedName>
    <definedName function="false" hidden="false" name="TR_HookCode" vbProcedure="false">Tech_Registry!$A$20:$A$30</definedName>
    <definedName function="false" hidden="false" name="TR_HookName" vbProcedure="false">Tech_Registry!$B$20:$B$30</definedName>
    <definedName function="false" hidden="false" name="TR_HookVal" vbProcedure="false">Tech_Registry!$E$20:$E$30</definedName>
    <definedName function="false" hidden="false" name="TR_ID" vbProcedure="false">Tech_Registry!$A$5:$A$16</definedName>
    <definedName function="false" hidden="false" name="TR_InBase" vbProcedure="false">Tech_Registry!$M$5:$M$16</definedName>
    <definedName function="false" hidden="false" name="TR_Labs" vbProcedure="false">Tech_Registry!$J$5:$J$16</definedName>
    <definedName function="false" hidden="false" name="TR_Lo" vbProcedure="false">Tech_Registry!$E$5:$E$16</definedName>
    <definedName function="false" hidden="false" name="TR_Main" vbProcedure="false">Tech_Registry!$K$5:$K$16</definedName>
    <definedName function="false" hidden="false" name="TR_Override" vbProcedure="false">Tech_Registry!$L$5:$L$16</definedName>
    <definedName function="false" hidden="false" name="TR_Sel" vbProcedure="false">Tech_Registry!$H$5:$H$16</definedName>
    <definedName function="false" hidden="false" name="TR_Source" vbProcedure="false">Tech_Registry!$R$5:$R$16</definedName>
    <definedName function="false" hidden="false" name="TR_Status" vbProcedure="false">Tech_Registry!$I$5:$I$16</definedName>
    <definedName function="false" hidden="false" name="TR_Switch" vbProcedure="false">Tech_Registry!$O$5:$O$16</definedName>
    <definedName function="false" hidden="false" name="TR_Tag" vbProcedure="false">Tech_Registry!$Q$5:$Q$16</definedName>
    <definedName function="false" hidden="false" name="TR_Tech" vbProcedure="false">Tech_Registry!$B$5:$B$16</definedName>
    <definedName function="false" hidden="false" name="TR_Trigger" vbProcedure="false">Tech_Registry!$S$5:$S$16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<sst xmlns="http://schemas.openxmlformats.org/spreadsheetml/2006/main" count="38941" uniqueCount="11718">
  <si>
    <r>
      <rPr>
        <b val="true"/>
        <sz val="13"/>
        <rFont val="Arial"/>
        <family val="0"/>
        <charset val="1"/>
      </rPr>
      <t xml:space="preserve">Tokenomics v10.2 — Block 1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2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5</t>
    </r>
    <r>
      <rPr>
        <b val="true"/>
        <sz val="13"/>
        <rFont val="Noto Sans CJK SC"/>
        <family val="2"/>
      </rPr>
      <t xml:space="preserve">＋</t>
    </r>
    <r>
      <rPr>
        <b val="true"/>
        <sz val="13"/>
        <rFont val="Arial"/>
        <family val="0"/>
        <charset val="1"/>
      </rPr>
      <t xml:space="preserve">6</t>
    </r>
    <r>
      <rPr>
        <b val="true"/>
        <sz val="13"/>
        <rFont val="Noto Sans CJK SC"/>
        <family val="2"/>
      </rPr>
      <t xml:space="preserve">＋第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：機架規格、每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成本、各層級產出與每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成本、訓練與研發計畫、理論營收與單價前緣、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與每成功任務成本、研發與服務算力配置（</t>
    </r>
    <r>
      <rPr>
        <b val="true"/>
        <sz val="13"/>
        <rFont val="Arial"/>
        <family val="0"/>
        <charset val="1"/>
      </rPr>
      <t xml:space="preserve">Alloc</t>
    </r>
    <r>
      <rPr>
        <b val="true"/>
        <sz val="13"/>
        <rFont val="Noto Sans CJK SC"/>
        <family val="2"/>
      </rPr>
      <t xml:space="preserve">）、</t>
    </r>
    <r>
      <rPr>
        <b val="true"/>
        <sz val="13"/>
        <rFont val="Arial"/>
        <family val="0"/>
        <charset val="1"/>
      </rPr>
      <t xml:space="preserve">L1 </t>
    </r>
    <r>
      <rPr>
        <b val="true"/>
        <sz val="13"/>
        <rFont val="Noto Sans CJK SC"/>
        <family val="2"/>
      </rPr>
      <t xml:space="preserve">常用推算值、</t>
    </r>
    <r>
      <rPr>
        <b val="true"/>
        <sz val="13"/>
        <rFont val="Arial"/>
        <family val="0"/>
        <charset val="1"/>
      </rPr>
      <t xml:space="preserve">Interface </t>
    </r>
    <r>
      <rPr>
        <b val="true"/>
        <sz val="13"/>
        <rFont val="Noto Sans CJK SC"/>
        <family val="2"/>
      </rPr>
      <t xml:space="preserve">下游介面</t>
    </r>
  </si>
  <si>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層規格來源。理論營收為理想上限；實際營收在下游模型。</t>
    </r>
  </si>
  <si>
    <t xml:space="preserve">用途</t>
  </si>
  <si>
    <r>
      <rPr>
        <sz val="10"/>
        <color rgb="FF000000"/>
        <rFont val="Noto Sans CJK SC"/>
        <family val="2"/>
      </rPr>
      <t xml:space="preserve">回答：每 </t>
    </r>
    <r>
      <rPr>
        <sz val="10"/>
        <color rgb="FF000000"/>
        <rFont val="Arial"/>
        <family val="0"/>
        <charset val="1"/>
      </rPr>
      <t xml:space="preserve">1 GW IT </t>
    </r>
    <r>
      <rPr>
        <sz val="10"/>
        <color rgb="FF000000"/>
        <rFont val="Noto Sans CJK SC"/>
        <family val="2"/>
      </rPr>
      <t xml:space="preserve">電力，各世代可容納多少機架、資本支出與持有成本（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）；各層級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下的產出與依『世代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類型』的每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）；各層級代表模型的訓練與研發計畫需要多少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小時、成本與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年，其中後訓練占多少（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）；每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的理論營收（理想上限）、含中國廠商的單價前緣、訓練攤提、快取儲存與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參考機隊（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對每個成功任務的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、成本與成功率的影響（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）。實際營收（需求、市占、訂閱方案）在下游。</t>
    </r>
  </si>
  <si>
    <t xml:space="preserve">版本</t>
  </si>
  <si>
    <r>
      <rPr>
        <sz val="10"/>
        <color rgb="FF000000"/>
        <rFont val="Arial"/>
        <family val="0"/>
        <charset val="1"/>
      </rPr>
      <t xml:space="preserve">20261016_Tokenomics_v10.2</t>
    </r>
    <r>
      <rPr>
        <sz val="10"/>
        <color rgb="FF000000"/>
        <rFont val="Noto Sans CJK SC"/>
        <family val="2"/>
      </rPr>
      <t xml:space="preserve">（次版：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校準與驗證判準，工作單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E1 Calib J </t>
    </r>
    <r>
      <rPr>
        <sz val="10"/>
        <color rgb="FF000000"/>
        <rFont val="Noto Sans CJK SC"/>
        <family val="2"/>
      </rPr>
      <t xml:space="preserve">節複本列（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DeepSeek profile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校準點 </t>
    </r>
    <r>
      <rPr>
        <sz val="10"/>
        <color rgb="FF000000"/>
        <rFont val="Arial"/>
        <family val="0"/>
        <charset val="1"/>
      </rPr>
      <t xml:space="preserve">vLLM WideEP</t>
    </r>
    <r>
      <rPr>
        <sz val="10"/>
        <color rgb="FF000000"/>
        <rFont val="Noto Sans CJK SC"/>
        <family val="2"/>
      </rPr>
      <t xml:space="preserve">；停損：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不寫入）；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改兩家量測商中位數的幾何平均（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），舊值留作情境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E3 Checks 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對照更新、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條件對齊、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上限、新增 </t>
    </r>
    <r>
      <rPr>
        <sz val="10"/>
        <color rgb="FF000000"/>
        <rFont val="Arial"/>
        <family val="0"/>
        <charset val="1"/>
      </rPr>
      <t xml:space="preserve">V15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 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標註；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v10.1</t>
    </r>
    <r>
      <rPr>
        <sz val="10"/>
        <color rgb="FF000000"/>
        <rFont val="Noto Sans CJK SC"/>
        <family val="2"/>
      </rPr>
      <t xml:space="preserve">（次版，工程類：瘦身 </t>
    </r>
    <r>
      <rPr>
        <sz val="10"/>
        <color rgb="FF000000"/>
        <rFont val="Arial"/>
        <family val="0"/>
        <charset val="1"/>
      </rPr>
      <t xml:space="preserve">4-1</t>
    </r>
    <r>
      <rPr>
        <sz val="10"/>
        <color rgb="FF000000"/>
        <rFont val="Noto Sans CJK SC"/>
        <family val="2"/>
      </rPr>
      <t xml:space="preserve">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瘦身</t>
    </r>
    <r>
      <rPr>
        <sz val="10"/>
        <color rgb="FF000000"/>
        <rFont val="Arial"/>
        <family val="0"/>
        <charset val="1"/>
      </rPr>
      <t xml:space="preserve">4.md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段）——</t>
    </r>
    <r>
      <rPr>
        <sz val="10"/>
        <color rgb="FF000000"/>
        <rFont val="Arial"/>
        <family val="0"/>
        <charset val="1"/>
      </rPr>
      <t xml:space="preserve">1-a </t>
    </r>
    <r>
      <rPr>
        <sz val="10"/>
        <color rgb="FF000000"/>
        <rFont val="Noto Sans CJK SC"/>
        <family val="2"/>
      </rPr>
      <t xml:space="preserve">刪除無人讀取的格（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頁、</t>
    </r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診斷格、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速覽列）；</t>
    </r>
    <r>
      <rPr>
        <sz val="10"/>
        <color rgb="FF000000"/>
        <rFont val="Arial"/>
        <family val="0"/>
        <charset val="1"/>
      </rPr>
      <t xml:space="preserve">1-b </t>
    </r>
    <r>
      <rPr>
        <sz val="10"/>
        <color rgb="FF000000"/>
        <rFont val="Noto Sans CJK SC"/>
        <family val="2"/>
      </rPr>
      <t xml:space="preserve">標記顯示用／未接線／複本讀取、補黃底；</t>
    </r>
    <r>
      <rPr>
        <sz val="10"/>
        <color rgb="FF000000"/>
        <rFont val="Arial"/>
        <family val="0"/>
        <charset val="1"/>
      </rPr>
      <t xml:space="preserve">1-c </t>
    </r>
    <r>
      <rPr>
        <sz val="10"/>
        <color rgb="FF000000"/>
        <rFont val="Noto Sans CJK SC"/>
        <family val="2"/>
      </rPr>
      <t xml:space="preserve">過時說明文字改引用現值；</t>
    </r>
    <r>
      <rPr>
        <sz val="10"/>
        <color rgb="FF000000"/>
        <rFont val="Arial"/>
        <family val="0"/>
        <charset val="1"/>
      </rPr>
      <t xml:space="preserve">1-d Gov_Map </t>
    </r>
    <r>
      <rPr>
        <sz val="10"/>
        <color rgb="FF000000"/>
        <rFont val="Noto Sans CJK SC"/>
        <family val="2"/>
      </rPr>
      <t xml:space="preserve">登錄整理；</t>
    </r>
    <r>
      <rPr>
        <sz val="10"/>
        <color rgb="FF000000"/>
        <rFont val="Arial"/>
        <family val="0"/>
        <charset val="1"/>
      </rPr>
      <t xml:space="preserve">1-e </t>
    </r>
    <r>
      <rPr>
        <sz val="10"/>
        <color rgb="FF000000"/>
        <rFont val="Noto Sans CJK SC"/>
        <family val="2"/>
      </rPr>
      <t xml:space="preserve">新增永久測試。所有既有具名範圍與契約名稱的值不變）。以下為 </t>
    </r>
    <r>
      <rPr>
        <sz val="10"/>
        <color rgb="FF000000"/>
        <rFont val="Arial"/>
        <family val="0"/>
        <charset val="1"/>
      </rPr>
      <t xml:space="preserve">v10.0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情境，不回流）；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性質欄、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上限檢查（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獨立驗證點、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對照；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後續標籤；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v9.0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不變）、免費占比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套到價格端（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IF_AmortRev_* </t>
    </r>
    <r>
      <rPr>
        <sz val="10"/>
        <color rgb="FF000000"/>
        <rFont val="Noto Sans CJK SC"/>
        <family val="2"/>
      </rPr>
      <t xml:space="preserve">分母改付費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後續：需求路線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241 </t>
    </r>
    <r>
      <rPr>
        <sz val="10"/>
        <color rgb="FF000000"/>
        <rFont val="Noto Sans CJK SC"/>
        <family val="2"/>
      </rPr>
      <t xml:space="preserve">列改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口徑、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改支出路線、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改回主口徑、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判讀以恆等式讀法為主；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2-3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4r1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D2 </t>
    </r>
    <r>
      <rPr>
        <sz val="10"/>
        <color rgb="FF000000"/>
        <rFont val="Noto Sans CJK SC"/>
        <family val="2"/>
      </rPr>
      <t xml:space="preserve">年度口徑與 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主口徑：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機隊損益兩平、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研發世代組合與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依研發組合加權）；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 </t>
    </r>
    <r>
      <rPr>
        <sz val="10"/>
        <color rgb="FF000000"/>
        <rFont val="Noto Sans CJK SC"/>
        <family val="2"/>
      </rPr>
      <t xml:space="preserve">改支出路線（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 Epoch </t>
    </r>
    <r>
      <rPr>
        <sz val="10"/>
        <color rgb="FF000000"/>
        <rFont val="Noto Sans CJK SC"/>
        <family val="2"/>
      </rPr>
      <t xml:space="preserve">上限標示與隱含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（主版：稽核修正第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2-2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節——世代價格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段：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節世代上市間隔 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 </t>
    </r>
    <r>
      <rPr>
        <sz val="10"/>
        <color rgb="FF000000"/>
        <rFont val="Noto Sans CJK SC"/>
        <family val="2"/>
      </rPr>
      <t xml:space="preserve">門檻列（不含價格；契約第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節改寫）、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；遺留：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乘生產折減、</t>
    </r>
    <r>
      <rPr>
        <sz val="10"/>
        <color rgb="FF000000"/>
        <rFont val="Arial"/>
        <family val="0"/>
        <charset val="1"/>
      </rPr>
      <t xml:space="preserve">Interface A231 </t>
    </r>
    <r>
      <rPr>
        <sz val="10"/>
        <color rgb="FF000000"/>
        <rFont val="Noto Sans CJK SC"/>
        <family val="2"/>
      </rPr>
      <t xml:space="preserve">標題、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改驅動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改純世代、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標記倒推；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2b </t>
    </r>
    <r>
      <rPr>
        <sz val="10"/>
        <color rgb="FF000000"/>
        <rFont val="Noto Sans CJK SC"/>
        <family val="2"/>
      </rPr>
      <t xml:space="preserve">節——</t>
    </r>
    <r>
      <rPr>
        <sz val="10"/>
        <color rgb="FF000000"/>
        <rFont val="Arial"/>
        <family val="0"/>
        <charset val="1"/>
      </rPr>
      <t xml:space="preserve">K1 </t>
    </r>
    <r>
      <rPr>
        <sz val="10"/>
        <color rgb="FF000000"/>
        <rFont val="Noto Sans CJK SC"/>
        <family val="2"/>
      </rPr>
      <t xml:space="preserve">機隊口徑單價與可達層級同口徑（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整代不可達時不轉移世代權重（文字旗標『整代不可達』）；</t>
    </r>
    <r>
      <rPr>
        <sz val="10"/>
        <color rgb="FF000000"/>
        <rFont val="Arial"/>
        <family val="0"/>
        <charset val="1"/>
      </rPr>
      <t xml:space="preserve">K3 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</t>
    </r>
    <r>
      <rPr>
        <sz val="10"/>
        <color rgb="FF000000"/>
        <rFont val="Arial"/>
        <family val="0"/>
        <charset val="1"/>
      </rPr>
      <t xml:space="preserve">J1 r1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 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AF2b-K1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段，工作單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r0——D1(c) </t>
    </r>
    <r>
      <rPr>
        <sz val="10"/>
        <color rgb="FF000000"/>
        <rFont val="Noto Sans CJK SC"/>
        <family val="2"/>
      </rPr>
      <t xml:space="preserve">模型規模倍數（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三列＋</t>
    </r>
    <r>
      <rPr>
        <sz val="10"/>
        <color rgb="FF000000"/>
        <rFont val="Arial"/>
        <family val="0"/>
        <charset val="1"/>
      </rPr>
      <t xml:space="preserve">ARCH_ScaleGen*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，乘入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系第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接進可達判斷（文字旗標『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排除不可達層級後重新正規化（新增『未服務需求占比』）；</t>
    </r>
    <r>
      <rPr>
        <sz val="10"/>
        <color rgb="FF000000"/>
        <rFont val="Arial"/>
        <family val="0"/>
        <charset val="1"/>
      </rPr>
      <t xml:space="preserve">Decisions AF2-D1c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AF2-ALLOC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（次版：稽核修正第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批輸入值，工作單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3B.md r0——D3 Alloc_In </t>
    </r>
    <r>
      <rPr>
        <sz val="10"/>
        <color rgb="FF000000"/>
        <rFont val="Noto Sans CJK SC"/>
        <family val="2"/>
      </rPr>
      <t xml:space="preserve">世代組合低／高改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</t>
    </r>
    <r>
      <rPr>
        <sz val="10"/>
        <color rgb="FF000000"/>
        <rFont val="Arial"/>
        <family val="0"/>
        <charset val="1"/>
      </rPr>
      <t xml:space="preserve">D6 Calib C67 1.5 → 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D10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D13 </t>
    </r>
    <r>
      <rPr>
        <sz val="10"/>
        <color rgb="FF000000"/>
        <rFont val="Noto Sans CJK SC"/>
        <family val="2"/>
      </rPr>
      <t xml:space="preserve">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）並於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（唯一公式修改），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區間登錄、標記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Q3 RL</t>
    </r>
    <r>
      <rPr>
        <sz val="10"/>
        <color rgb="FF000000"/>
        <rFont val="Noto Sans CJK SC"/>
        <family val="2"/>
      </rPr>
      <t xml:space="preserve">／輪數倍數只登錄區間（輪數敏感度區間 </t>
    </r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Q6 Spec_Rack C16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說明；</t>
    </r>
    <r>
      <rPr>
        <sz val="10"/>
        <color rgb="FF000000"/>
        <rFont val="Arial"/>
        <family val="0"/>
        <charset val="1"/>
      </rPr>
      <t xml:space="preserve">Decisions AF3B-D3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v6.0</t>
    </r>
    <r>
      <rPr>
        <sz val="10"/>
        <color rgb="FF000000"/>
        <rFont val="Noto Sans CJK SC"/>
        <family val="2"/>
      </rPr>
      <t xml:space="preserve">（主版：下游契約定義變更，工作單 </t>
    </r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1.md r0——D7 `_Prod` </t>
    </r>
    <r>
      <rPr>
        <sz val="10"/>
        <color rgb="FF000000"/>
        <rFont val="Noto Sans CJK SC"/>
        <family val="2"/>
      </rPr>
      <t xml:space="preserve">為重解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後的產能（</t>
    </r>
    <r>
      <rPr>
        <sz val="10"/>
        <color rgb="FF000000"/>
        <rFont val="Arial"/>
        <family val="0"/>
        <charset val="1"/>
      </rPr>
      <t xml:space="preserve">IFW_TokGW_*_Prod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下限與前緣單價改用重解後的付費產能比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`_Life` </t>
    </r>
    <r>
      <rPr>
        <sz val="10"/>
        <color rgb="FF000000"/>
        <rFont val="Noto Sans CJK SC"/>
        <family val="2"/>
      </rPr>
      <t xml:space="preserve">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為過渡別名，下一個主版刪除），</t>
    </r>
    <r>
      <rPr>
        <sz val="10"/>
        <color rgb="FF000000"/>
        <rFont val="Arial"/>
        <family val="0"/>
        <charset val="1"/>
      </rPr>
      <t xml:space="preserve">Checks Z1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恆等式；</t>
    </r>
    <r>
      <rPr>
        <sz val="10"/>
        <color rgb="FF000000"/>
        <rFont val="Arial"/>
        <family val="0"/>
        <charset val="1"/>
      </rPr>
      <t xml:space="preserve">D8 SLO </t>
    </r>
    <r>
      <rPr>
        <sz val="10"/>
        <color rgb="FF000000"/>
        <rFont val="Noto Sans CJK SC"/>
        <family val="2"/>
      </rPr>
      <t xml:space="preserve">不可達輸出文字、不輸出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消費端），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排除不可達層級並重新正規化；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回本溢價分母改為付費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上升）；</t>
    </r>
    <r>
      <rPr>
        <sz val="10"/>
        <color rgb="FF000000"/>
        <rFont val="Arial"/>
        <family val="0"/>
        <charset val="1"/>
      </rPr>
      <t xml:space="preserve">Decisions D7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D11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docs/workorders/20261015_v5.36.md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分母閉合——推論支出改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SRC_DEM_004 8.4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SRC_DEM_073 </t>
    </r>
    <r>
      <rPr>
        <sz val="10"/>
        <color rgb="FF000000"/>
        <rFont val="Noto Sans CJK SC"/>
        <family val="2"/>
      </rPr>
      <t xml:space="preserve">查核財報營業成本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 12.6 </t>
    </r>
    <r>
      <rPr>
        <sz val="10"/>
        <color rgb="FF000000"/>
        <rFont val="Noto Sans CJK SC"/>
        <family val="2"/>
      </rPr>
      <t xml:space="preserve">改為對照列；計價倍數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）取代 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；落差分解改正（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GapUtil 1.7143</t>
    </r>
    <r>
      <rPr>
        <sz val="10"/>
        <color rgb="FF000000"/>
        <rFont val="Noto Sans CJK SC"/>
        <family val="2"/>
      </rPr>
      <t xml:space="preserve">）與缺口恆等式（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E344–E365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X45–X47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AL_ServeGWSpend 1.3471 → 0.8981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7.378 → 4.919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 0.8098 → 0.7896</t>
    </r>
    <r>
      <rPr>
        <sz val="10"/>
        <color rgb="FF000000"/>
        <rFont val="Noto Sans CJK SC"/>
        <family val="2"/>
      </rPr>
      <t xml:space="preserve">；全部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不變）。以下為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docs/workorders/20261014_v5.35.md r0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序列三項修正＋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拆分——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三分營收改以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）；新增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拆分」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0.7412 × 0.867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 −0.10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</t>
    </r>
    <r>
      <rPr>
        <sz val="10"/>
        <color rgb="FF000000"/>
        <rFont val="Noto Sans CJK SC"/>
        <family val="2"/>
      </rPr>
      <t xml:space="preserve">）與回本所需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0.3645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E338–E343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X42–X44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docs/workorders/20261014_v5.34.md r0.1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細化——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分拆」（營收三分 消費訂閱／商用席次／</t>
    </r>
    <r>
      <rPr>
        <sz val="10"/>
        <color rgb="FF000000"/>
        <rFont val="Arial"/>
        <family val="0"/>
        <charset val="1"/>
      </rPr>
      <t xml:space="preserve">API × token </t>
    </r>
    <r>
      <rPr>
        <sz val="10"/>
        <color rgb="FF000000"/>
        <rFont val="Noto Sans CJK SC"/>
        <family val="2"/>
      </rPr>
      <t xml:space="preserve">三分 → </t>
    </r>
    <r>
      <rPr>
        <sz val="10"/>
        <color rgb="FF000000"/>
        <rFont val="Arial"/>
        <family val="0"/>
        <charset val="1"/>
      </rPr>
      <t xml:space="preserve">m_API 0.56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4.26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1.83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1.743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下限（方案上限讀法）；「必須為真」；</t>
    </r>
    <r>
      <rPr>
        <sz val="10"/>
        <color rgb="FF000000"/>
        <rFont val="Arial"/>
        <family val="0"/>
        <charset val="1"/>
      </rPr>
      <t xml:space="preserve">J21 Anthropic </t>
    </r>
    <r>
      <rPr>
        <sz val="10"/>
        <color rgb="FF000000"/>
        <rFont val="Noto Sans CJK SC"/>
        <family val="2"/>
      </rPr>
      <t xml:space="preserve">對照）、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帳三路線」（需求／機隊／上限、殘差、閉合解 </t>
    </r>
    <r>
      <rPr>
        <sz val="10"/>
        <color rgb="FF000000"/>
        <rFont val="Arial"/>
        <family val="0"/>
        <charset val="1"/>
      </rPr>
      <t xml:space="preserve">τ* ≈ 13,950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季度序列」（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；份額每欄各自輸入）；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L1_MAPI_Anthropic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SRC_DEM_069–071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E325–E337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X35–X41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數值全部不變；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docs/workorders/20261012_v5.33.md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#40</t>
    </r>
    <r>
      <rPr>
        <sz val="10"/>
        <color rgb="FF000000"/>
        <rFont val="Noto Sans CJK SC"/>
        <family val="2"/>
      </rPr>
      <t xml:space="preserve">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數量校準——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基準年世代組合改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）、每則提示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H7</t>
    </r>
    <r>
      <rPr>
        <sz val="10"/>
        <color rgb="FF000000"/>
        <rFont val="Noto Sans CJK SC"/>
        <family val="2"/>
      </rPr>
      <t xml:space="preserve">「機隊口徑」（支出路線服務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→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點估計與上限 → 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下限、「必須為真」三列、非文字對照）；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SRC_DEM_049–068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E302–E324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X27–X34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隨世代組合改變，其餘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不改）。以下為 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docs/workorders/20261011_v5.32.md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：變現率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追蹤——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追蹤」（隱含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兩種分母；程式代理對照列），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（區間外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X21–X26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與既有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數值不變）。以下為 </t>
    </r>
    <r>
      <rPr>
        <sz val="10"/>
        <color rgb="FF000000"/>
        <rFont val="Arial"/>
        <family val="0"/>
        <charset val="1"/>
      </rPr>
      <t xml:space="preserve">v5.31</t>
    </r>
    <r>
      <rPr>
        <sz val="10"/>
        <color rgb="FF000000"/>
        <rFont val="Noto Sans CJK SC"/>
        <family val="2"/>
      </rPr>
      <t xml:space="preserve">（判斷類，工作單 </t>
    </r>
    <r>
      <rPr>
        <sz val="10"/>
        <color rgb="FF000000"/>
        <rFont val="Arial"/>
        <family val="0"/>
        <charset val="1"/>
      </rPr>
      <t xml:space="preserve">docs/workorders/20261008_v5.31.md r1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 </t>
    </r>
    <r>
      <rPr>
        <sz val="10"/>
        <color rgb="FF000000"/>
        <rFont val="Arial"/>
        <family val="0"/>
        <charset val="1"/>
      </rPr>
      <t xml:space="preserve">PR #34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J1 GB300 </t>
    </r>
    <r>
      <rPr>
        <sz val="10"/>
        <color rgb="FF000000"/>
        <rFont val="Noto Sans CJK SC"/>
        <family val="2"/>
      </rPr>
      <t xml:space="preserve">機架價格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J3 IT </t>
    </r>
    <r>
      <rPr>
        <sz val="10"/>
        <color rgb="FF000000"/>
        <rFont val="Noto Sans CJK SC"/>
        <family val="2"/>
      </rPr>
      <t xml:space="preserve">維護改為機齡兩段（保固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年，保固期內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</t>
    </r>
    <r>
      <rPr>
        <sz val="10"/>
        <color rgb="FF000000"/>
        <rFont val="Noto Sans CJK SC"/>
        <family val="2"/>
      </rPr>
      <t xml:space="preserve">、期滿後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列改為壽命期等值費率公式（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IF_WarrantyYrs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註記；</t>
    </r>
    <r>
      <rPr>
        <sz val="10"/>
        <color rgb="FF000000"/>
        <rFont val="Arial"/>
        <family val="0"/>
        <charset val="1"/>
      </rPr>
      <t xml:space="preserve">J6 SRC_DC_014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 29.0 $M/IT MW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E263–E278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X16–X20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v5.30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X15 </t>
    </r>
    <r>
      <rPr>
        <sz val="10"/>
        <color rgb="FF000000"/>
        <rFont val="Noto Sans CJK SC"/>
        <family val="2"/>
      </rPr>
      <t xml:space="preserve">定義更正，不改任何輸入值：</t>
    </r>
    <r>
      <rPr>
        <sz val="10"/>
        <color rgb="FF000000"/>
        <rFont val="Arial"/>
        <family val="0"/>
        <charset val="1"/>
      </rPr>
      <t xml:space="preserve">(a) Interface J </t>
    </r>
    <r>
      <rPr>
        <sz val="10"/>
        <color rgb="FF000000"/>
        <rFont val="Noto Sans CJK SC"/>
        <family val="2"/>
      </rPr>
      <t xml:space="preserve">節四層瀑布改為逐層累乘、單調遞減——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產能列改線性乘法）、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改為來源比對＋單調檢查；</t>
    </r>
    <r>
      <rPr>
        <sz val="10"/>
        <color rgb="FF000000"/>
        <rFont val="Arial"/>
        <family val="0"/>
        <charset val="1"/>
      </rPr>
      <t xml:space="preserve">(b) L1_HoldEconMW_* </t>
    </r>
    <r>
      <rPr>
        <sz val="10"/>
        <color rgb="FF000000"/>
        <rFont val="Noto Sans CJK SC"/>
        <family val="2"/>
      </rPr>
      <t xml:space="preserve">改為不除以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0.0127 → 12.72 $M/MW/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(c) 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附「上限，不得作預測」（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擴充）；其餘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與模型頁數值逐格不變；</t>
    </r>
    <r>
      <rPr>
        <sz val="10"/>
        <color rgb="FF000000"/>
        <rFont val="Arial"/>
        <family val="0"/>
        <charset val="1"/>
      </rPr>
      <t xml:space="preserve">Decisions X15a–c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docs/workorders/20261008_v5.30.md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 (a)–(m)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R–U </t>
    </r>
    <r>
      <rPr>
        <sz val="10"/>
        <color rgb="FF000000"/>
        <rFont val="Noto Sans CJK SC"/>
        <family val="2"/>
      </rPr>
      <t xml:space="preserve">輸出契約欄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／口徑層／最弱輸入更新日（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；由公式自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徙出，依賴列由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反查）與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節四層瀑布 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個營收列、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對帳落差分解 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；新頁 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（高段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格清單）；</t>
    </r>
    <r>
      <rPr>
        <sz val="10"/>
        <color rgb="FF000000"/>
        <rFont val="Arial"/>
        <family val="0"/>
        <charset val="1"/>
      </rPr>
      <t xml:space="preserve">SRC_Price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X–AB </t>
    </r>
    <r>
      <rPr>
        <sz val="10"/>
        <color rgb="FF000000"/>
        <rFont val="Noto Sans CJK SC"/>
        <family val="2"/>
      </rPr>
      <t xml:space="preserve">分層欄；</t>
    </r>
    <r>
      <rPr>
        <sz val="10"/>
        <color rgb="FF000000"/>
        <rFont val="Arial"/>
        <family val="0"/>
        <charset val="1"/>
      </rPr>
      <t xml:space="preserve">Checks K </t>
    </r>
    <r>
      <rPr>
        <sz val="10"/>
        <color rgb="FF000000"/>
        <rFont val="Noto Sans CJK SC"/>
        <family val="2"/>
      </rPr>
      <t xml:space="preserve">節；判斷類：新增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（推論支出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 </t>
    </r>
    <r>
      <rPr>
        <sz val="10"/>
        <color rgb="FF000000"/>
        <rFont val="Arial"/>
        <family val="0"/>
        <charset val="1"/>
      </rPr>
      <t xml:space="preserve">12.6 $B</t>
    </r>
    <r>
      <rPr>
        <sz val="10"/>
        <color rgb="FF000000"/>
        <rFont val="Noto Sans CJK SC"/>
        <family val="2"/>
      </rPr>
      <t xml:space="preserve">，只用於支出路線服務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 8.4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，供比例類公式——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）——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ExtDaily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ExtFreeShare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IF_Alloc* </t>
    </r>
    <r>
      <rPr>
        <sz val="10"/>
        <color rgb="FF000000"/>
        <rFont val="Noto Sans CJK SC"/>
        <family val="2"/>
      </rPr>
      <t xml:space="preserve">連動改變；其餘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與模型頁數值不變；</t>
    </r>
    <r>
      <rPr>
        <sz val="10"/>
        <color rgb="FF000000"/>
        <rFont val="Arial"/>
        <family val="0"/>
        <charset val="1"/>
      </rPr>
      <t xml:space="preserve">DB_Evidence E256–E262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X14a–m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docs/workorders/20261008_v5.29.md r1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端審查 </t>
    </r>
    <r>
      <rPr>
        <sz val="10"/>
        <color rgb="FF000000"/>
        <rFont val="Arial"/>
        <family val="0"/>
        <charset val="1"/>
      </rPr>
      <t xml:space="preserve">PR #31 </t>
    </r>
    <r>
      <rPr>
        <sz val="10"/>
        <color rgb="FF000000"/>
        <rFont val="Noto Sans CJK SC"/>
        <family val="2"/>
      </rPr>
      <t xml:space="preserve">第九節）：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兩筆並列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、只有支出路線服務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改為比對含 </t>
    </r>
    <r>
      <rPr>
        <sz val="10"/>
        <color rgb="FF000000"/>
        <rFont val="Arial"/>
        <family val="0"/>
        <charset val="1"/>
      </rPr>
      <t xml:space="preserve">CTL_ProdDerate × L × 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）；反轉門檻改為 </t>
    </r>
    <r>
      <rPr>
        <sz val="10"/>
        <color rgb="FF000000"/>
        <rFont val="Arial"/>
        <family val="0"/>
        <charset val="1"/>
      </rPr>
      <t xml:space="preserve">Gov_Map AK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</t>
    </r>
    <r>
      <rPr>
        <sz val="10"/>
        <color rgb="FF000000"/>
        <rFont val="Arial"/>
        <family val="0"/>
        <charset val="1"/>
      </rPr>
      <t xml:space="preserve">Load_Bearing K </t>
    </r>
    <r>
      <rPr>
        <sz val="10"/>
        <color rgb="FF000000"/>
        <rFont val="Noto Sans CJK SC"/>
        <family val="2"/>
      </rPr>
      <t xml:space="preserve">欄以公式讀取）；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外部欄改「—」（對照改寫入讀法文字）。以下為 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外部對照——</t>
    </r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登錄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）外部對照連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訓練支出）；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查核：</t>
    </r>
    <r>
      <rPr>
        <sz val="10"/>
        <color rgb="FF000000"/>
        <rFont val="Arial"/>
        <family val="0"/>
        <charset val="1"/>
      </rPr>
      <t xml:space="preserve">Epoch 1e25 </t>
    </r>
    <r>
      <rPr>
        <sz val="10"/>
        <color rgb="FF000000"/>
        <rFont val="Noto Sans CJK SC"/>
        <family val="2"/>
      </rPr>
      <t xml:space="preserve">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架構，純證據）；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理由欄附註；</t>
    </r>
    <r>
      <rPr>
        <sz val="10"/>
        <color rgb="FF000000"/>
        <rFont val="Arial"/>
        <family val="0"/>
        <charset val="1"/>
      </rPr>
      <t xml:space="preserve">Decisions X13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docs/workorders/20261008_v5.27.md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構件」：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38–42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44–48 </t>
    </r>
    <r>
      <rPr>
        <sz val="10"/>
        <color rgb="FF000000"/>
        <rFont val="Noto Sans CJK SC"/>
        <family val="2"/>
      </rPr>
      <t xml:space="preserve">列，下游公司模型用）與加總核對列；數值與既有公式不變；工作單 </t>
    </r>
    <r>
      <rPr>
        <sz val="10"/>
        <color rgb="FF000000"/>
        <rFont val="Arial"/>
        <family val="0"/>
        <charset val="1"/>
      </rPr>
      <t xml:space="preserve">docs/workorders/20261007_v5.26.md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：證據登錄——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</t>
    </r>
    <r>
      <rPr>
        <sz val="10"/>
        <color rgb="FF000000"/>
        <rFont val="Noto Sans CJK SC"/>
        <family val="2"/>
      </rPr>
      <t xml:space="preserve">》，</t>
    </r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；純證據）、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訓練算力 </t>
    </r>
    <r>
      <rPr>
        <sz val="10"/>
        <color rgb="FF000000"/>
        <rFont val="Arial"/>
        <family val="0"/>
        <charset val="1"/>
      </rPr>
      <t xml:space="preserve">1.0001e27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DB_Evidence E247–E250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區間下限 </t>
    </r>
    <r>
      <rPr>
        <sz val="10"/>
        <color rgb="FF000000"/>
        <rFont val="Arial"/>
        <family val="0"/>
        <charset val="1"/>
      </rPr>
      <t xml:space="preserve">512→400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；模型輸入值與所有模型頁數值不變；工作單 </t>
    </r>
    <r>
      <rPr>
        <sz val="10"/>
        <color rgb="FF000000"/>
        <rFont val="Arial"/>
        <family val="0"/>
        <charset val="1"/>
      </rPr>
      <t xml:space="preserve">docs/workorders/20261007_v5.25.md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60–63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SRC_PERF_056–059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欄刪除 </t>
    </r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遺留句「（第二來源欄依 </t>
    </r>
    <r>
      <rPr>
        <sz val="10"/>
        <color rgb="FF000000"/>
        <rFont val="Arial"/>
        <family val="0"/>
        <charset val="1"/>
      </rPr>
      <t xml:space="preserve">W1 </t>
    </r>
    <r>
      <rPr>
        <sz val="10"/>
        <color rgb="FF000000"/>
        <rFont val="Noto Sans CJK SC"/>
        <family val="2"/>
      </rPr>
      <t xml:space="preserve">規則不手動填）」；數值與公式不變；工作單 </t>
    </r>
    <r>
      <rPr>
        <sz val="10"/>
        <color rgb="FF000000"/>
        <rFont val="Arial"/>
        <family val="0"/>
        <charset val="1"/>
      </rPr>
      <t xml:space="preserve">docs/workorders/20261007_v5.24.md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側新增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I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，其餘世代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乘以該倍數（訓練相關輸出數值改變，營收與服務側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Decisions 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56–63 </t>
    </r>
    <r>
      <rPr>
        <sz val="10"/>
        <color rgb="FF000000"/>
        <rFont val="Noto Sans CJK SC"/>
        <family val="2"/>
      </rPr>
      <t xml:space="preserve">列備註文字修正；工作單 </t>
    </r>
    <r>
      <rPr>
        <sz val="10"/>
        <color rgb="FF000000"/>
        <rFont val="Arial"/>
        <family val="0"/>
        <charset val="1"/>
      </rPr>
      <t xml:space="preserve">docs/workorders/20261007_v5.23.md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：新增壽命期價格係數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）與變現率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）兩個控制參數（</t>
    </r>
    <r>
      <rPr>
        <sz val="10"/>
        <color rgb="FF000000"/>
        <rFont val="Arial"/>
        <family val="0"/>
        <charset val="1"/>
      </rPr>
      <t xml:space="preserve">Cap_In G </t>
    </r>
    <r>
      <rPr>
        <sz val="10"/>
        <color rgb="FF000000"/>
        <rFont val="Noto Sans CJK SC"/>
        <family val="2"/>
      </rPr>
      <t xml:space="preserve">節，基準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節並列輸出 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（＝對應基準列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X7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（產業租金指數，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的類比證據，不建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X9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互填第二來源（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X7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X9</t>
    </r>
    <r>
      <rPr>
        <sz val="10"/>
        <color rgb="FF000000"/>
        <rFont val="Noto Sans CJK SC"/>
        <family val="2"/>
      </rPr>
      <t xml:space="preserve">；既有 </t>
    </r>
    <r>
      <rPr>
        <sz val="10"/>
        <color rgb="FF000000"/>
        <rFont val="Arial"/>
        <family val="0"/>
        <charset val="1"/>
      </rPr>
      <t xml:space="preserve">IF_RevGW_*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列數值逐格不變；工作單 </t>
    </r>
    <r>
      <rPr>
        <sz val="10"/>
        <color rgb="FF000000"/>
        <rFont val="Arial"/>
        <family val="0"/>
        <charset val="1"/>
      </rPr>
      <t xml:space="preserve">docs/workorders/20261006_v5.22.md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結案——</t>
    </r>
    <r>
      <rPr>
        <sz val="10"/>
        <color rgb="FF000000"/>
        <rFont val="Arial"/>
        <family val="0"/>
        <charset val="1"/>
      </rPr>
      <t xml:space="preserve">MLPerf Inference v6.1 </t>
    </r>
    <r>
      <rPr>
        <sz val="10"/>
        <color rgb="FF000000"/>
        <rFont val="Noto Sans CJK SC"/>
        <family val="2"/>
      </rPr>
      <t xml:space="preserve">一手結果（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repo HEAD 4bb63cd</t>
    </r>
    <r>
      <rPr>
        <sz val="10"/>
        <color rgb="FF000000"/>
        <rFont val="Noto Sans CJK SC"/>
        <family val="2"/>
      </rPr>
      <t xml:space="preserve">）寫入：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E245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 X4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與所有數值不改；</t>
    </r>
    <r>
      <rPr>
        <sz val="10"/>
        <color rgb="FF000000"/>
        <rFont val="Arial"/>
        <family val="0"/>
        <charset val="1"/>
      </rPr>
      <t xml:space="preserve">Alloc_In G7 </t>
    </r>
    <r>
      <rPr>
        <sz val="10"/>
        <color rgb="FF000000"/>
        <rFont val="Noto Sans CJK SC"/>
        <family val="2"/>
      </rPr>
      <t xml:space="preserve">備註補區間；工作單 </t>
    </r>
    <r>
      <rPr>
        <sz val="10"/>
        <color rgb="FF000000"/>
        <rFont val="Arial"/>
        <family val="0"/>
        <charset val="1"/>
      </rPr>
      <t xml:space="preserve">docs/workorders/20261006_v5.21.md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列補齊——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 </t>
    </r>
    <r>
      <rPr>
        <sz val="10"/>
        <color rgb="FF000000"/>
        <rFont val="Noto Sans CJK SC"/>
        <family val="2"/>
      </rPr>
      <t xml:space="preserve">判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 </t>
    </r>
    <r>
      <rPr>
        <sz val="10"/>
        <color rgb="FF000000"/>
        <rFont val="Noto Sans CJK SC"/>
        <family val="2"/>
      </rPr>
      <t xml:space="preserve">併入 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E7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區間上限）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DB_Evidence E244 </t>
    </r>
    <r>
      <rPr>
        <sz val="10"/>
        <color rgb="FF000000"/>
        <rFont val="Noto Sans CJK SC"/>
        <family val="2"/>
      </rPr>
      <t xml:space="preserve">記錄 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衝突證據（</t>
    </r>
    <r>
      <rPr>
        <sz val="10"/>
        <color rgb="FF000000"/>
        <rFont val="Arial"/>
        <family val="0"/>
        <charset val="1"/>
      </rPr>
      <t xml:space="preserve">F67 </t>
    </r>
    <r>
      <rPr>
        <sz val="10"/>
        <color rgb="FF000000"/>
        <rFont val="Noto Sans CJK SC"/>
        <family val="2"/>
      </rPr>
      <t xml:space="preserve">不改）；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加註攤提耦合；工作單 </t>
    </r>
    <r>
      <rPr>
        <sz val="10"/>
        <color rgb="FF000000"/>
        <rFont val="Arial"/>
        <family val="0"/>
        <charset val="1"/>
      </rPr>
      <t xml:space="preserve">docs/workorders/20261006_v5.20.md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節新增七列生產折減並列輸出 </t>
    </r>
    <r>
      <rPr>
        <sz val="10"/>
        <color rgb="FF000000"/>
        <rFont val="Arial"/>
        <family val="0"/>
        <charset val="1"/>
      </rPr>
      <t xml:space="preserve">IF_FullCost_Luna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）驅動，推導鏈以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自我檢查；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X2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數值逐格不變；工作單 </t>
    </r>
    <r>
      <rPr>
        <sz val="10"/>
        <color rgb="FF000000"/>
        <rFont val="Arial"/>
        <family val="0"/>
        <charset val="1"/>
      </rPr>
      <t xml:space="preserve">docs/workorders/20261006_v5.19.md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第一批寫入，工作單 </t>
    </r>
    <r>
      <rPr>
        <sz val="10"/>
        <color rgb="FF000000"/>
        <rFont val="Arial"/>
        <family val="0"/>
        <charset val="1"/>
      </rPr>
      <t xml:space="preserve">docs/workorders/20261005_v5.18.md r2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等級依 </t>
    </r>
    <r>
      <rPr>
        <sz val="10"/>
        <color rgb="FF000000"/>
        <rFont val="Arial"/>
        <family val="0"/>
        <charset val="1"/>
      </rPr>
      <t xml:space="preserve">S1 (a)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規則升級並登錄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C44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 C69 </t>
    </r>
    <r>
      <rPr>
        <sz val="10"/>
        <color rgb="FF000000"/>
        <rFont val="Noto Sans CJK SC"/>
        <family val="2"/>
      </rPr>
      <t xml:space="preserve">改公式；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 </t>
    </r>
    <r>
      <rPr>
        <sz val="10"/>
        <color rgb="FF000000"/>
        <rFont val="Noto Sans CJK SC"/>
        <family val="2"/>
      </rPr>
      <t xml:space="preserve">改為內插值；</t>
    </r>
    <r>
      <rPr>
        <sz val="10"/>
        <color rgb="FF000000"/>
        <rFont val="Arial"/>
        <family val="0"/>
        <charset val="1"/>
      </rPr>
      <t xml:space="preserve">Arch KV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C21 Hopper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拆為 </t>
    </r>
    <r>
      <rPr>
        <sz val="10"/>
        <color rgb="FF000000"/>
        <rFont val="Arial"/>
        <family val="0"/>
        <charset val="1"/>
      </rPr>
      <t xml:space="preserve">Flash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兩筆；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機架功率與價格、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機架功率更新；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欄改為單架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封裝並新增 </t>
    </r>
    <r>
      <rPr>
        <sz val="10"/>
        <color rgb="FF000000"/>
        <rFont val="Arial"/>
        <family val="0"/>
        <charset val="1"/>
      </rPr>
      <t xml:space="preserve">SRC_HW_061–064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區間依 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追蹤擴大；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欄改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法「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」分段；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列改述為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內部常數）。以下為 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（收尾小項：</t>
    </r>
    <r>
      <rPr>
        <sz val="10"/>
        <color rgb="FF000000"/>
        <rFont val="Arial"/>
        <family val="0"/>
        <charset val="1"/>
      </rPr>
      <t xml:space="preserve">L1!I43 </t>
    </r>
    <r>
      <rPr>
        <sz val="10"/>
        <color rgb="FF000000"/>
        <rFont val="Noto Sans CJK SC"/>
        <family val="2"/>
      </rPr>
      <t xml:space="preserve">讀法文字改為「依定義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」；數值與公式不變）。以下為 </t>
    </r>
    <r>
      <rPr>
        <sz val="10"/>
        <color rgb="FF000000"/>
        <rFont val="Arial"/>
        <family val="0"/>
        <charset val="1"/>
      </rPr>
      <t xml:space="preserve">v5.16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Answers </t>
    </r>
    <r>
      <rPr>
        <sz val="10"/>
        <color rgb="FF000000"/>
        <rFont val="Noto Sans CJK SC"/>
        <family val="2"/>
      </rPr>
      <t xml:space="preserve">修正：第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題新增理論毛利率兩列（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毛利口徑、</t>
    </r>
    <r>
      <rPr>
        <sz val="10"/>
        <color rgb="FF000000"/>
        <rFont val="Arial"/>
        <family val="0"/>
        <charset val="1"/>
      </rPr>
      <t xml:space="preserve">L1_Ans5_FullMargin </t>
    </r>
    <r>
      <rPr>
        <sz val="10"/>
        <color rgb="FF000000"/>
        <rFont val="Noto Sans CJK SC"/>
        <family val="2"/>
      </rPr>
      <t xml:space="preserve">全成本口徑；毛利口徑附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推論毛利隱含值對照）；第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題拆為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小時口徑（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）；第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題改為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前緣單價；第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題改連 </t>
    </r>
    <r>
      <rPr>
        <sz val="10"/>
        <color rgb="FF000000"/>
        <rFont val="Arial"/>
        <family val="0"/>
        <charset val="1"/>
      </rPr>
      <t xml:space="preserve">IF_HarR_Sol</t>
    </r>
    <r>
      <rPr>
        <sz val="10"/>
        <color rgb="FF000000"/>
        <rFont val="Noto Sans CJK SC"/>
        <family val="2"/>
      </rPr>
      <t xml:space="preserve">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欄位約定：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＝高，無區間時 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檢查，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）。模型頁、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不動）。以下為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6 Alloc</t>
    </r>
    <r>
      <rPr>
        <sz val="10"/>
        <color rgb="FF000000"/>
        <rFont val="Noto Sans CJK SC"/>
        <family val="2"/>
      </rPr>
      <t xml:space="preserve">：研發與服務的算力配置。新增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（輸入：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、服務世代組合、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數、免費占比；全部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，附區間，登錄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D →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→ </t>
    </r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→ 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→ </t>
    </r>
    <r>
      <rPr>
        <sz val="10"/>
        <color rgb="FF000000"/>
        <rFont val="Noto Sans CJK SC"/>
        <family val="2"/>
      </rPr>
      <t xml:space="preserve">校準反推 → 外部對照 → 敏感度表）；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Answers 9 </t>
    </r>
    <r>
      <rPr>
        <sz val="10"/>
        <color rgb="FF000000"/>
        <rFont val="Noto Sans CJK SC"/>
        <family val="2"/>
      </rPr>
      <t xml:space="preserve">題（</t>
    </r>
    <r>
      <rPr>
        <sz val="10"/>
        <color rgb="FF000000"/>
        <rFont val="Arial"/>
        <family val="0"/>
        <charset val="1"/>
      </rPr>
      <t xml:space="preserve">L1_Ans1–9</t>
    </r>
    <r>
      <rPr>
        <sz val="10"/>
        <color rgb="FF000000"/>
        <rFont val="Noto Sans CJK SC"/>
        <family val="2"/>
      </rPr>
      <t xml:space="preserve">）與外部對照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SRC_Demand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SRC_DEM_010–013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E166–E169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A10 </t>
    </r>
    <r>
      <rPr>
        <sz val="10"/>
        <color rgb="FF000000"/>
        <rFont val="Noto Sans CJK SC"/>
        <family val="2"/>
      </rPr>
      <t xml:space="preserve">並將 </t>
    </r>
    <r>
      <rPr>
        <sz val="10"/>
        <color rgb="FF000000"/>
        <rFont val="Arial"/>
        <family val="0"/>
        <charset val="1"/>
      </rPr>
      <t xml:space="preserve">A1–A8 </t>
    </r>
    <r>
      <rPr>
        <sz val="10"/>
        <color rgb="FF000000"/>
        <rFont val="Noto Sans CJK SC"/>
        <family val="2"/>
      </rPr>
      <t xml:space="preserve">狀態改為「</t>
    </r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世代組合合計、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敏感度自我檢查），計入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；既有模型頁、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既有列、既有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列的數值逐格不變）。以下為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欄加檢查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欄是否為數字：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不可達情境（生產折減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Tech_Registry T07–T09 </t>
    </r>
    <r>
      <rPr>
        <sz val="10"/>
        <color rgb="FF000000"/>
        <rFont val="Noto Sans CJK SC"/>
        <family val="2"/>
      </rPr>
      <t xml:space="preserve">開啟）下 </t>
    </r>
    <r>
      <rPr>
        <sz val="10"/>
        <color rgb="FF000000"/>
        <rFont val="Arial"/>
        <family val="0"/>
        <charset val="1"/>
      </rPr>
      <t xml:space="preserve">L1!O35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P35 </t>
    </r>
    <r>
      <rPr>
        <sz val="10"/>
        <color rgb="FF000000"/>
        <rFont val="Noto Sans CJK SC"/>
        <family val="2"/>
      </rPr>
      <t xml:space="preserve">出現錯誤值，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輪發現；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欄的比對範圍改為與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相同（最後一筆紀錄＋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列），全簿重算約減三成；基準數值不變；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v5.15</t>
    </r>
    <r>
      <rPr>
        <sz val="10"/>
        <color rgb="FF000000"/>
        <rFont val="Noto Sans CJK SC"/>
        <family val="2"/>
      </rPr>
      <t xml:space="preserve">）。以下為 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（切片二 </t>
    </r>
    <r>
      <rPr>
        <sz val="10"/>
        <color rgb="FF000000"/>
        <rFont val="Arial"/>
        <family val="0"/>
        <charset val="1"/>
      </rPr>
      <t xml:space="preserve">B–E </t>
    </r>
    <r>
      <rPr>
        <sz val="10"/>
        <color rgb="FF000000"/>
        <rFont val="Noto Sans CJK SC"/>
        <family val="2"/>
      </rPr>
      <t xml:space="preserve">包：</t>
    </r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遷入、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擴及切片二頁、模型邏輯、寫回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審閱；</t>
    </r>
    <r>
      <rPr>
        <sz val="10"/>
        <color rgb="FF000000"/>
        <rFont val="Arial"/>
        <family val="0"/>
        <charset val="1"/>
      </rPr>
      <t xml:space="preserve">v5.13 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包、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包審閱檔 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全部依建議，寫入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（原話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項確認、</t>
    </r>
    <r>
      <rPr>
        <sz val="10"/>
        <color rgb="FF000000"/>
        <rFont val="Arial"/>
        <family val="0"/>
        <charset val="1"/>
      </rPr>
      <t xml:space="preserve">CV1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4×HGX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G0-9 </t>
    </r>
    <r>
      <rPr>
        <sz val="10"/>
        <color rgb="FF000000"/>
        <rFont val="Noto Sans CJK SC"/>
        <family val="2"/>
      </rPr>
      <t xml:space="preserve">文字修正、輪數下限與快取命中區間修正）；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v5.14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21–23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KV bytes </t>
    </r>
    <r>
      <rPr>
        <sz val="10"/>
        <color rgb="FF000000"/>
        <rFont val="Noto Sans CJK SC"/>
        <family val="2"/>
      </rPr>
      <t xml:space="preserve">改公式（新增「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推導輸入」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列），</t>
    </r>
    <r>
      <rPr>
        <sz val="10"/>
        <color rgb="FF000000"/>
        <rFont val="Arial"/>
        <family val="0"/>
        <charset val="1"/>
      </rPr>
      <t xml:space="preserve">Arch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C10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V4-Flash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中國廠商旗標改公式，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的外部比對移入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列）、樣本外實測值連結 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；數值不變。</t>
    </r>
    <r>
      <rPr>
        <sz val="10"/>
        <color rgb="FF000000"/>
        <rFont val="Arial"/>
        <family val="0"/>
        <charset val="1"/>
      </rPr>
      <t xml:space="preserve">v5.13 C</t>
    </r>
    <r>
      <rPr>
        <sz val="10"/>
        <color rgb="FF000000"/>
        <rFont val="Noto Sans CJK SC"/>
        <family val="2"/>
      </rPr>
      <t xml:space="preserve">：切片二頁 </t>
    </r>
    <r>
      <rPr>
        <sz val="10"/>
        <color rgb="FF000000"/>
        <rFont val="Arial"/>
        <family val="0"/>
        <charset val="1"/>
      </rPr>
      <t xml:space="preserve">515 </t>
    </r>
    <r>
      <rPr>
        <sz val="10"/>
        <color rgb="FF000000"/>
        <rFont val="Noto Sans CJK SC"/>
        <family val="2"/>
      </rPr>
      <t xml:space="preserve">個數值藍字格登錄 </t>
    </r>
    <r>
      <rPr>
        <sz val="10"/>
        <color rgb="FF000000"/>
        <rFont val="Arial"/>
        <family val="0"/>
        <charset val="1"/>
      </rPr>
      <t xml:space="preserve">Gov_Map 129 </t>
    </r>
    <r>
      <rPr>
        <sz val="10"/>
        <color rgb="FF000000"/>
        <rFont val="Noto Sans CJK SC"/>
        <family val="2"/>
      </rPr>
      <t xml:space="preserve">列（分類、可比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、區間、理由；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審閱「</t>
    </r>
    <r>
      <rPr>
        <sz val="10"/>
        <color rgb="FF000000"/>
        <rFont val="Arial"/>
        <family val="0"/>
        <charset val="1"/>
      </rPr>
      <t xml:space="preserve">all ok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Checks E12 </t>
    </r>
    <r>
      <rPr>
        <sz val="10"/>
        <color rgb="FF000000"/>
        <rFont val="Noto Sans CJK SC"/>
        <family val="2"/>
      </rPr>
      <t xml:space="preserve">擴及全部範圍。</t>
    </r>
    <r>
      <rPr>
        <sz val="10"/>
        <color rgb="FF000000"/>
        <rFont val="Arial"/>
        <family val="0"/>
        <charset val="1"/>
      </rPr>
      <t xml:space="preserve">v5.13 B</t>
    </r>
    <r>
      <rPr>
        <sz val="10"/>
        <color rgb="FF000000"/>
        <rFont val="Noto Sans CJK SC"/>
        <family val="2"/>
      </rPr>
      <t xml:space="preserve">：新增 </t>
    </r>
    <r>
      <rPr>
        <sz val="10"/>
        <color rgb="FF000000"/>
        <rFont val="Arial"/>
        <family val="0"/>
        <charset val="1"/>
      </rPr>
      <t xml:space="preserve">SRC_Price 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 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 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 9 </t>
    </r>
    <r>
      <rPr>
        <sz val="10"/>
        <color rgb="FF000000"/>
        <rFont val="Noto Sans CJK SC"/>
        <family val="2"/>
      </rPr>
      <t xml:space="preserve">筆（</t>
    </r>
    <r>
      <rPr>
        <sz val="10"/>
        <color rgb="FF000000"/>
        <rFont val="Arial"/>
        <family val="0"/>
        <charset val="1"/>
      </rPr>
      <t xml:space="preserve">Stage 0 </t>
    </r>
    <r>
      <rPr>
        <sz val="10"/>
        <color rgb="FF000000"/>
        <rFont val="Noto Sans CJK SC"/>
        <family val="2"/>
      </rPr>
      <t xml:space="preserve">審閱的等級與立場），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一手原文補登 </t>
    </r>
    <r>
      <rPr>
        <sz val="10"/>
        <color rgb="FF000000"/>
        <rFont val="Arial"/>
        <family val="0"/>
        <charset val="1"/>
      </rPr>
      <t xml:space="preserve">SRC_Perf 11 </t>
    </r>
    <r>
      <rPr>
        <sz val="10"/>
        <color rgb="FF000000"/>
        <rFont val="Noto Sans CJK SC"/>
        <family val="2"/>
      </rPr>
      <t xml:space="preserve">筆；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75 </t>
    </r>
    <r>
      <rPr>
        <sz val="10"/>
        <color rgb="FF000000"/>
        <rFont val="Noto Sans CJK SC"/>
        <family val="2"/>
      </rPr>
      <t xml:space="preserve">格改連結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（值相等者），</t>
    </r>
    <r>
      <rPr>
        <sz val="10"/>
        <color rgb="FF000000"/>
        <rFont val="Arial"/>
        <family val="0"/>
        <charset val="1"/>
      </rPr>
      <t xml:space="preserve">Checks C9:C10</t>
    </r>
    <r>
      <rPr>
        <sz val="10"/>
        <color rgb="FF000000"/>
        <rFont val="Noto Sans CJK SC"/>
        <family val="2"/>
      </rPr>
      <t xml:space="preserve">、最終訓練占研發區間、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對帳常數改連結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；數值逐格不變。以下為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（工程基礎）：新增 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依序堆疊），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狀態與等級改為每列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次 </t>
    </r>
    <r>
      <rPr>
        <sz val="10"/>
        <color rgb="FF000000"/>
        <rFont val="Arial"/>
        <family val="0"/>
        <charset val="1"/>
      </rPr>
      <t xml:space="preserve">MATCH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各頁 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欄改以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同指標鍵比對；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E13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更名 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；公式內常數移到具名輸入格（</t>
    </r>
    <r>
      <rPr>
        <sz val="10"/>
        <color rgb="FF000000"/>
        <rFont val="Arial"/>
        <family val="0"/>
        <charset val="1"/>
      </rPr>
      <t xml:space="preserve">CST_CtxKV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CST_STMult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CST_Eps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CST_MainMin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情境倍數統一放在第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列；數值逐格不變。以下為 </t>
    </r>
    <r>
      <rPr>
        <sz val="10"/>
        <color rgb="FF000000"/>
        <rFont val="Arial"/>
        <family val="0"/>
        <charset val="1"/>
      </rPr>
      <t xml:space="preserve">v5.11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＋治理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切片一；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建第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164 </t>
    </r>
    <r>
      <rPr>
        <sz val="10"/>
        <color rgb="FF000000"/>
        <rFont val="Noto Sans CJK SC"/>
        <family val="2"/>
      </rPr>
      <t xml:space="preserve">筆），模型頁原始數據改以公式連結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（數值逐格不變），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加狀態與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欄並登錄遷移紀錄，新增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節治理檢查；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值除以 </t>
    </r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改標為設施合計；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加成功任務成本前緣的可靠度下限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節增列每次嘗試成本、有效時間範圍與前緣；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參數組，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補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不可達保護、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、機隊層級貢獻列、中國廠商旗標；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Capability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Price_Frontier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 </t>
    </r>
    <r>
      <rPr>
        <sz val="10"/>
        <color rgb="FF000000"/>
        <rFont val="Noto Sans CJK SC"/>
        <family val="2"/>
      </rPr>
      <t xml:space="preserve">加第二來源驗證與生產折減；</t>
    </r>
    <r>
      <rPr>
        <sz val="10"/>
        <color rgb="FF000000"/>
        <rFont val="Arial"/>
        <family val="0"/>
        <charset val="1"/>
      </rPr>
      <t xml:space="preserve">v5.3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回饋補具名範圍與驗證表；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，並更正 </t>
    </r>
    <r>
      <rPr>
        <sz val="10"/>
        <color rgb="FF000000"/>
        <rFont val="Arial"/>
        <family val="0"/>
        <charset val="1"/>
      </rPr>
      <t xml:space="preserve">Hopper FP8 </t>
    </r>
    <r>
      <rPr>
        <sz val="10"/>
        <color rgb="FF000000"/>
        <rFont val="Noto Sans CJK SC"/>
        <family val="2"/>
      </rPr>
      <t xml:space="preserve">峰值；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併入基準、補 </t>
    </r>
    <r>
      <rPr>
        <sz val="10"/>
        <color rgb="FF000000"/>
        <rFont val="Arial"/>
        <family val="0"/>
        <charset val="1"/>
      </rPr>
      <t xml:space="preserve">TR_ </t>
    </r>
    <r>
      <rPr>
        <sz val="10"/>
        <color rgb="FF000000"/>
        <rFont val="Noto Sans CJK SC"/>
        <family val="2"/>
      </rPr>
      <t xml:space="preserve">與訓練世代具名範圍；</t>
    </r>
    <r>
      <rPr>
        <sz val="10"/>
        <color rgb="FF000000"/>
        <rFont val="Arial"/>
        <family val="0"/>
        <charset val="1"/>
      </rPr>
      <t xml:space="preserve">v5.7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優先：輸入值由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擁有，新增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證據登錄表）。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Serving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取代。</t>
    </r>
  </si>
  <si>
    <t xml:space="preserve">電力口徑</t>
  </si>
  <si>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確認）。設施電力＝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，於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並列。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為設施合計（</t>
    </r>
    <r>
      <rPr>
        <sz val="10"/>
        <color rgb="FF000000"/>
        <rFont val="Arial"/>
        <family val="0"/>
        <charset val="1"/>
      </rPr>
      <t xml:space="preserve">Inputs!E5 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與模型頁的每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值一律除以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</si>
  <si>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資料架構（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</si>
  <si>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（所有新訊息入口）→ 擇優 → </t>
    </r>
    <r>
      <rPr>
        <sz val="10"/>
        <color rgb="FF000000"/>
        <rFont val="Arial"/>
        <family val="0"/>
        <charset val="1"/>
      </rPr>
      <t xml:space="preserve">SRC_*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層：只存原始訊息；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具名範圍）→ 模型頁（原始數據以公式連結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留在模型頁並登錄於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節（治理檢查，</t>
    </r>
    <r>
      <rPr>
        <sz val="10"/>
        <color rgb="FF000000"/>
        <rFont val="Arial"/>
        <family val="0"/>
        <charset val="1"/>
      </rPr>
      <t xml:space="preserve">ERROR </t>
    </r>
    <r>
      <rPr>
        <sz val="10"/>
        <color rgb="FF000000"/>
        <rFont val="Noto Sans CJK SC"/>
        <family val="2"/>
      </rPr>
      <t xml:space="preserve">必須為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（常用推算值，即時公式，附外部對照）／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（推算構件）→ 下游。規劃書：</t>
    </r>
    <r>
      <rPr>
        <sz val="10"/>
        <color rgb="FF000000"/>
        <rFont val="Arial"/>
        <family val="0"/>
        <charset val="1"/>
      </rPr>
      <t xml:space="preserve">repo docs/plan/Tokenomics_governance_plan.md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</si>
  <si>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擁有的治理頁（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</si>
  <si>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，以及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A–P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只在不存在時建立，之後不覆寫（</t>
    </r>
    <r>
      <rPr>
        <sz val="10"/>
        <color rgb="FF000000"/>
        <rFont val="Arial"/>
        <family val="0"/>
        <charset val="1"/>
      </rPr>
      <t xml:space="preserve">v5.13 </t>
    </r>
    <r>
      <rPr>
        <sz val="10"/>
        <color rgb="FF000000"/>
        <rFont val="Noto Sans CJK SC"/>
        <family val="2"/>
      </rPr>
      <t xml:space="preserve">起既有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頁的新紀錄只在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不存在時附加；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判斷欄的更新只在該格仍為舊值時寫入）。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每次重建：模型頁的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連結（</t>
    </r>
    <r>
      <rPr>
        <sz val="10"/>
        <color rgb="FF000000"/>
        <rFont val="Arial"/>
        <family val="0"/>
        <charset val="1"/>
      </rPr>
      <t xml:space="preserve">gov_seed.FORMULA_MAP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gov_seed2.FORMULA_MAP2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X–Z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AH </t>
    </r>
    <r>
      <rPr>
        <sz val="10"/>
        <color rgb="FF000000"/>
        <rFont val="Noto Sans CJK SC"/>
        <family val="2"/>
      </rPr>
      <t xml:space="preserve">檢查欄、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Q–AF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節，以及 </t>
    </r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IDX_ </t>
    </r>
    <r>
      <rPr>
        <sz val="10"/>
        <color rgb="FF000000"/>
        <rFont val="Noto Sans CJK SC"/>
        <family val="2"/>
      </rPr>
      <t xml:space="preserve">具名範圍；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起新輸入格的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列只在未登錄時附加。</t>
    </r>
  </si>
  <si>
    <t xml:space="preserve">工作表</t>
  </si>
  <si>
    <r>
      <rPr>
        <sz val="10"/>
        <color rgb="FF000000"/>
        <rFont val="Arial"/>
        <family val="0"/>
        <charset val="1"/>
      </rPr>
      <t xml:space="preserve">Inputs → Spec_Rack → Arch → Serving → Workload → Calib → Tech_Registry → Perf → Sens_Perf → Unit_Cost → DC_Cost → Train_In → Perf_Batch → Training → Sens_Train → Cap_In → Price_Frontier → Cache_Store → Fleet_1GW → Amortize → Theory_Rev → Sens_Rev → Har_In → Harness → Sens_Har → Alloc_In → Alloc → Perf_Prod → Perf_Batch_Prod → Training_Prod → Unit_Cost_Prod → Interface_Prod → Fleet_1GW_Prod → Amortize_Prod → Theory_Rev_Prod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v5.19 X1 </t>
    </r>
    <r>
      <rPr>
        <sz val="10"/>
        <color rgb="FF000000"/>
        <rFont val="Noto Sans CJK SC"/>
        <family val="2"/>
      </rPr>
      <t xml:space="preserve">鏡像頁）→ </t>
    </r>
    <r>
      <rPr>
        <sz val="10"/>
        <color rgb="FF000000"/>
        <rFont val="Arial"/>
        <family val="0"/>
        <charset val="1"/>
      </rPr>
      <t xml:space="preserve">Interface → 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Energy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NonNV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SRC_Harness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擁有的查找索引）、</t>
    </r>
    <r>
      <rPr>
        <sz val="10"/>
        <color rgb="FF000000"/>
        <rFont val="Arial"/>
        <family val="0"/>
        <charset val="1"/>
      </rPr>
      <t xml:space="preserve">Sources_Legacy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起凍結）、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</si>
  <si>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6 </t>
    </r>
    <r>
      <rPr>
        <b val="true"/>
        <sz val="10"/>
        <rFont val="Noto Sans CJK SC"/>
        <family val="2"/>
      </rPr>
      <t xml:space="preserve">推導（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</si>
  <si>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實驗室年度算力＝研發需求＋服務需求。需求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路線，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SRC_DEM_010 × 525,600 × </t>
    </r>
    <r>
      <rPr>
        <sz val="10"/>
        <color rgb="FF000000"/>
        <rFont val="Noto Sans CJK SC"/>
        <family val="2"/>
      </rPr>
      <t xml:space="preserve">全年平均比例；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年產能（依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層級組合與 </t>
    </r>
    <r>
      <rPr>
        <sz val="10"/>
        <color rgb="FF000000"/>
        <rFont val="Arial"/>
        <family val="0"/>
        <charset val="1"/>
      </rPr>
      <t xml:space="preserve">IF_TokGW_*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，寫法同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19–29 </t>
    </r>
    <r>
      <rPr>
        <sz val="10"/>
        <color rgb="FF000000"/>
        <rFont val="Noto Sans CJK SC"/>
        <family val="2"/>
      </rPr>
      <t xml:space="preserve">列）。研發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改版計畫），家族計畫＝</t>
    </r>
    <r>
      <rPr>
        <sz val="10"/>
        <color rgb="FF000000"/>
        <rFont val="Arial"/>
        <family val="0"/>
        <charset val="1"/>
      </rPr>
      <t xml:space="preserve">IF_ProgGWyr </t>
    </r>
    <r>
      <rPr>
        <sz val="10"/>
        <color rgb="FF000000"/>
        <rFont val="Noto Sans CJK SC"/>
        <family val="2"/>
      </rPr>
      <t xml:space="preserve">三層級合計，改版計畫＝後訓練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研發倍數換算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以各世代 </t>
    </r>
    <r>
      <rPr>
        <sz val="10"/>
        <color rgb="FF000000"/>
        <rFont val="Arial"/>
        <family val="0"/>
        <charset val="1"/>
      </rPr>
      <t xml:space="preserve">IF_HoldEcon </t>
    </r>
    <r>
      <rPr>
        <sz val="10"/>
        <color rgb="FF000000"/>
        <rFont val="Noto Sans CJK SC"/>
        <family val="2"/>
      </rPr>
      <t xml:space="preserve">加權，利用率不進入。研發占比的物理部分只給下限，實際占比由策略變數決定。隱含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不可達時回傳文字。決策 </t>
    </r>
    <r>
      <rPr>
        <sz val="10"/>
        <color rgb="FF000000"/>
        <rFont val="Arial"/>
        <family val="0"/>
        <charset val="1"/>
      </rPr>
      <t xml:space="preserve">A1–A10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Decisions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</si>
  <si>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</si>
  <si>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× </t>
    </r>
    <r>
      <rPr>
        <sz val="10"/>
        <color rgb="FF000000"/>
        <rFont val="Noto Sans CJK SC"/>
        <family val="2"/>
      </rPr>
      <t xml:space="preserve">啟用參數＋注意力 </t>
    </r>
    <r>
      <rPr>
        <sz val="10"/>
        <color rgb="FF000000"/>
        <rFont val="Arial"/>
        <family val="0"/>
        <charset val="1"/>
      </rPr>
      <t xml:space="preserve">FLOPs ×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小時＝</t>
    </r>
    <r>
      <rPr>
        <sz val="10"/>
        <color rgb="FF000000"/>
        <rFont val="Arial"/>
        <family val="0"/>
        <charset val="1"/>
      </rPr>
      <t xml:space="preserve">FLOPs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 </t>
    </r>
    <r>
      <rPr>
        <sz val="10"/>
        <color rgb="FF000000"/>
        <rFont val="Arial"/>
        <family val="0"/>
        <charset val="1"/>
      </rPr>
      <t xml:space="preserve">× MFU × goodput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、蒸餾、合成資料、評測的推論型運算以 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同公式，只換速度下限與參考任務）計價；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為推導值。研發計畫＝最終訓練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研發倍數。</t>
    </r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</si>
  <si>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</si>
  <si>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J7 </t>
    </r>
    <r>
      <rPr>
        <sz val="10"/>
        <color rgb="FF000000"/>
        <rFont val="Noto Sans CJK SC"/>
        <family val="2"/>
      </rPr>
      <t xml:space="preserve">訓練精度 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預訓練在 </t>
    </r>
    <r>
      <rPr>
        <sz val="10"/>
        <color rgb="FF000000"/>
        <rFont val="Arial"/>
        <family val="0"/>
        <charset val="1"/>
      </rPr>
      <t xml:space="preserve">Tech_Registry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Astra </t>
    </r>
    <r>
      <rPr>
        <sz val="10"/>
        <color rgb="FF000000"/>
        <rFont val="Noto Sans CJK SC"/>
        <family val="2"/>
      </rPr>
      <t xml:space="preserve">預訓練與 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一致，前沿錨點列 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J9 RL </t>
    </r>
    <r>
      <rPr>
        <sz val="10"/>
        <color rgb="FF000000"/>
        <rFont val="Noto Sans CJK SC"/>
        <family val="2"/>
      </rPr>
      <t xml:space="preserve">由下而上，基準校到 </t>
    </r>
    <r>
      <rPr>
        <sz val="10"/>
        <color rgb="FF000000"/>
        <rFont val="Arial"/>
        <family val="0"/>
        <charset val="1"/>
      </rPr>
      <t xml:space="preserve">RL÷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，家族合計、依最終訓練比例分攤；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用途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型態只列單一計畫；</t>
    </r>
    <r>
      <rPr>
        <sz val="10"/>
        <color rgb="FF000000"/>
        <rFont val="Arial"/>
        <family val="0"/>
        <charset val="1"/>
      </rPr>
      <t xml:space="preserve">J12 rollout 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為情境）；</t>
    </r>
    <r>
      <rPr>
        <sz val="10"/>
        <color rgb="FF000000"/>
        <rFont val="Arial"/>
        <family val="0"/>
        <charset val="1"/>
      </rPr>
      <t xml:space="preserve">J13 </t>
    </r>
    <r>
      <rPr>
        <sz val="10"/>
        <color rgb="FF000000"/>
        <rFont val="Noto Sans CJK SC"/>
        <family val="2"/>
      </rPr>
      <t xml:space="preserve">下游預設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並列；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主流＝至少兩家實驗室公開採用，可覆寫。</t>
    </r>
  </si>
  <si>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優先（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</si>
  <si>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藍字＝輸入，由本活頁簿擁有：要改輸入，直接改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重建 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時會先讀取所有藍字輸入，重建後依『工作表＋欄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標籤＋欄位』寫回，程式內的預設值只用於新增的輸入列。公式頁不要手改（重建時會被覆寫）。</t>
    </r>
  </si>
  <si>
    <r>
      <rPr>
        <b val="true"/>
        <sz val="10"/>
        <rFont val="Arial"/>
        <family val="0"/>
        <charset val="1"/>
      </rPr>
      <t xml:space="preserve">DB_Evidence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</si>
  <si>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證據登錄表：所有比對過的新資訊（含不採納者），記錄主張、來源、標記、對應參數、當時值、新值、判定與處理版本。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只在本頁不存在時建立。</t>
    </r>
  </si>
  <si>
    <t xml:space="preserve">Tech_Registry</t>
  </si>
  <si>
    <r>
      <rPr>
        <sz val="10"/>
        <color rgb="FF000000"/>
        <rFont val="Noto Sans CJK SC"/>
        <family val="2"/>
      </rPr>
      <t xml:space="preserve">每列＝技術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作用物理量；有效倍數＝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（倍數−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）；已在基準者不套倍數。掛鉤彙總表連到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。全部開關為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數值與 </t>
    </r>
    <r>
      <rPr>
        <sz val="10"/>
        <color rgb="FF000000"/>
        <rFont val="Arial"/>
        <family val="0"/>
        <charset val="1"/>
      </rPr>
      <t xml:space="preserve">v5.4 </t>
    </r>
    <r>
      <rPr>
        <sz val="10"/>
        <color rgb="FF000000"/>
        <rFont val="Noto Sans CJK SC"/>
        <family val="2"/>
      </rPr>
      <t xml:space="preserve">相同。</t>
    </r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</si>
  <si>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</si>
  <si>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η_p ×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÷ FLOPs/token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：每步時間＝固定延遲（權重讀取＋每層延遲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（層數＋草稿數））＋</t>
    </r>
    <r>
      <rPr>
        <sz val="10"/>
        <color rgb="FF000000"/>
        <rFont val="Arial"/>
        <family val="0"/>
        <charset val="1"/>
      </rPr>
      <t xml:space="preserve">B × </t>
    </r>
    <r>
      <rPr>
        <sz val="10"/>
        <color rgb="FF000000"/>
        <rFont val="Noto Sans CJK SC"/>
        <family val="2"/>
      </rPr>
      <t xml:space="preserve">每序列時間；在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下解出批次 </t>
    </r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，再受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容量限制。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與每層延遲由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同一前緣兩點聯立解出（</t>
    </r>
    <r>
      <rPr>
        <sz val="10"/>
        <color rgb="FF000000"/>
        <rFont val="Arial"/>
        <family val="0"/>
        <charset val="1"/>
      </rPr>
      <t xml:space="preserve">Calib</t>
    </r>
    <r>
      <rPr>
        <sz val="10"/>
        <color rgb="FF000000"/>
        <rFont val="Noto Sans CJK SC"/>
        <family val="2"/>
      </rPr>
      <t xml:space="preserve">）。</t>
    </r>
  </si>
  <si>
    <t xml:space="preserve">成本情境</t>
  </si>
  <si>
    <r>
      <rPr>
        <sz val="10"/>
        <color rgb="FF000000"/>
        <rFont val="Noto Sans CJK SC"/>
        <family val="2"/>
      </rPr>
      <t xml:space="preserve">低成本／基準／高成本為角落情境。單一變數影響看 </t>
    </r>
    <r>
      <rPr>
        <sz val="10"/>
        <color rgb="FF000000"/>
        <rFont val="Arial"/>
        <family val="0"/>
        <charset val="1"/>
      </rPr>
      <t xml:space="preserve">Sensitivity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1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Block 2</t>
    </r>
    <r>
      <rPr>
        <sz val="10"/>
        <color rgb="FF000000"/>
        <rFont val="Noto Sans CJK SC"/>
        <family val="2"/>
      </rPr>
      <t xml:space="preserve">）。</t>
    </r>
  </si>
  <si>
    <t xml:space="preserve">功率情境</t>
  </si>
  <si>
    <r>
      <rPr>
        <sz val="10"/>
        <color rgb="FF000000"/>
        <rFont val="Arial"/>
        <family val="0"/>
        <charset val="1"/>
      </rPr>
      <t xml:space="preserve">Inputs!E6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，決定每架配電設計功率與每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機架數。</t>
    </r>
  </si>
  <si>
    <t xml:space="preserve">顏色</t>
  </si>
  <si>
    <r>
      <rPr>
        <sz val="10"/>
        <color rgb="FF000000"/>
        <rFont val="Noto Sans CJK SC"/>
        <family val="2"/>
      </rPr>
      <t xml:space="preserve">藍字＝輸入；黑字＝公式；綠字＝跨頁連結；淡黃底＝關鍵輸出；亮黃底＝待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決定或情境改動。</t>
    </r>
  </si>
  <si>
    <t xml:space="preserve">來源標記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</si>
  <si>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一律給區間。</t>
    </r>
  </si>
  <si>
    <t xml:space="preserve">網站同步</t>
  </si>
  <si>
    <r>
      <rPr>
        <sz val="10"/>
        <color rgb="FF000000"/>
        <rFont val="Noto Sans CJK SC"/>
        <family val="2"/>
      </rPr>
      <t xml:space="preserve">本檔為事實來源；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以公式引擎直接計算本檔，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測試比對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全部格（新增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具名範圍見 </t>
    </r>
    <r>
      <rPr>
        <sz val="10"/>
        <color rgb="FF000000"/>
        <rFont val="Arial"/>
        <family val="0"/>
        <charset val="1"/>
      </rPr>
      <t xml:space="preserve">Interface B </t>
    </r>
    <r>
      <rPr>
        <sz val="10"/>
        <color rgb="FF000000"/>
        <rFont val="Noto Sans CJK SC"/>
        <family val="2"/>
      </rPr>
      <t xml:space="preserve">節）。</t>
    </r>
  </si>
  <si>
    <t xml:space="preserve">具名範圍</t>
  </si>
  <si>
    <r>
      <rPr>
        <sz val="10"/>
        <color rgb="FF000000"/>
        <rFont val="Arial"/>
        <family val="0"/>
        <charset val="1"/>
      </rPr>
      <t xml:space="preserve">SRC_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層原始值（值、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</t>
    </r>
    <r>
      <rPr>
        <sz val="10"/>
        <color rgb="FF000000"/>
        <rFont val="Noto Sans CJK SC"/>
        <family val="2"/>
      </rPr>
      <t xml:space="preserve">另有 </t>
    </r>
    <r>
      <rPr>
        <sz val="10"/>
        <color rgb="FF000000"/>
        <rFont val="Arial"/>
        <family val="0"/>
        <charset val="1"/>
      </rPr>
      <t xml:space="preserve">_ISL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_OSL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_Spd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_MTP</t>
    </r>
    <r>
      <rPr>
        <sz val="10"/>
        <color rgb="FF000000"/>
        <rFont val="Noto Sans CJK SC"/>
        <family val="2"/>
      </rPr>
      <t xml:space="preserve">），下游可直接引用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紀錄（</t>
    </r>
    <r>
      <rPr>
        <sz val="10"/>
        <color rgb="FF000000"/>
        <rFont val="Arial"/>
        <family val="0"/>
        <charset val="1"/>
      </rPr>
      <t xml:space="preserve">G8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</t>
    </r>
    <r>
      <rPr>
        <sz val="10"/>
        <color rgb="FF000000"/>
        <rFont val="Noto Sans CJK SC"/>
        <family val="2"/>
      </rPr>
      <t xml:space="preserve">＝第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層常用推算值（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為區間），下游可引用；</t>
    </r>
    <r>
      <rPr>
        <sz val="10"/>
        <color rgb="FF000000"/>
        <rFont val="Arial"/>
        <family val="0"/>
        <charset val="1"/>
      </rPr>
      <t xml:space="preserve">GOV_</t>
    </r>
    <r>
      <rPr>
        <sz val="10"/>
        <color rgb="FF000000"/>
        <rFont val="Noto Sans CJK SC"/>
        <family val="2"/>
      </rPr>
      <t xml:space="preserve">＝治理檢查合計（</t>
    </r>
    <r>
      <rPr>
        <sz val="10"/>
        <color rgb="FF000000"/>
        <rFont val="Arial"/>
        <family val="0"/>
        <charset val="1"/>
      </rPr>
      <t xml:space="preserve">CI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＝下游模型連結用；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DRV_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TRN_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TR_</t>
    </r>
    <r>
      <rPr>
        <sz val="10"/>
        <color rgb="FF000000"/>
        <rFont val="Noto Sans CJK SC"/>
        <family val="2"/>
      </rPr>
      <t xml:space="preserve">＝網站顯示用，下游不得連結；</t>
    </r>
    <r>
      <rPr>
        <sz val="10"/>
        <color rgb="FF000000"/>
        <rFont val="Arial"/>
        <family val="0"/>
        <charset val="1"/>
      </rPr>
      <t xml:space="preserve">B4_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B5_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Block 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公式內部引用的關鍵量（</t>
    </r>
    <r>
      <rPr>
        <sz val="10"/>
        <color rgb="FF000000"/>
        <rFont val="Arial"/>
        <family val="0"/>
        <charset val="1"/>
      </rPr>
      <t xml:space="preserve">v5.8 </t>
    </r>
    <r>
      <rPr>
        <sz val="10"/>
        <color rgb="FF000000"/>
        <rFont val="Noto Sans CJK SC"/>
        <family val="2"/>
      </rPr>
      <t xml:space="preserve">起新公式以具名範圍引用，使公式可讀），下游不得連結；</t>
    </r>
    <r>
      <rPr>
        <sz val="10"/>
        <color rgb="FF000000"/>
        <rFont val="Arial"/>
        <family val="0"/>
        <charset val="1"/>
      </rPr>
      <t xml:space="preserve">IF_HdrTask </t>
    </r>
    <r>
      <rPr>
        <sz val="10"/>
        <color rgb="FF000000"/>
        <rFont val="Noto Sans CJK SC"/>
        <family val="2"/>
      </rPr>
      <t xml:space="preserve">為顯示用表頭；</t>
    </r>
    <r>
      <rPr>
        <sz val="10"/>
        <color rgb="FF000000"/>
        <rFont val="Arial"/>
        <family val="0"/>
        <charset val="1"/>
      </rPr>
      <t xml:space="preserve">CST_</t>
    </r>
    <r>
      <rPr>
        <sz val="10"/>
        <color rgb="FF000000"/>
        <rFont val="Noto Sans CJK SC"/>
        <family val="2"/>
      </rPr>
      <t xml:space="preserve">＝原寫在公式內的常數移出後的輸入格（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IDX_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查找欄（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），兩者下游不得連結；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R–U </t>
    </r>
    <r>
      <rPr>
        <sz val="10"/>
        <color rgb="FF000000"/>
        <rFont val="Noto Sans CJK SC"/>
        <family val="2"/>
      </rPr>
      <t xml:space="preserve">輸出契約欄（</t>
    </r>
    <r>
      <rPr>
        <sz val="10"/>
        <color rgb="FF000000"/>
        <rFont val="Arial"/>
        <family val="0"/>
        <charset val="1"/>
      </rPr>
      <t xml:space="preserve">IFC_Conf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IFC_Layer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IFC_Updated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節四層瀑布（</t>
    </r>
    <r>
      <rPr>
        <sz val="10"/>
        <color rgb="FF000000"/>
        <rFont val="Arial"/>
        <family val="0"/>
        <charset val="1"/>
      </rPr>
      <t xml:space="preserve">IFW_&lt;name&gt;_100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），下游可引用；</t>
    </r>
    <r>
      <rPr>
        <sz val="10"/>
        <color rgb="FF000000"/>
        <rFont val="Arial"/>
        <family val="0"/>
        <charset val="1"/>
      </rPr>
      <t xml:space="preserve">IDX_SrcDate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審查日欄，下游不得連結。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</si>
  <si>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</si>
  <si>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Noto Sans CJK SC"/>
        <family val="2"/>
      </rPr>
      <t xml:space="preserve">理論營收＝每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參考請求混合有效單價（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能力單價倍數）。單價前緣＝能力指數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層級模型者之中，參考請求混合單價最低者（含中國廠商）。快取儲存＝</t>
    </r>
    <r>
      <rPr>
        <sz val="10"/>
        <color rgb="FF000000"/>
        <rFont val="Arial"/>
        <family val="0"/>
        <charset val="1"/>
      </rPr>
      <t xml:space="preserve">KV bytes × </t>
    </r>
    <r>
      <rPr>
        <sz val="10"/>
        <color rgb="FF000000"/>
        <rFont val="Noto Sans CJK SC"/>
        <family val="2"/>
      </rPr>
      <t xml:space="preserve">儲存層 </t>
    </r>
    <r>
      <rPr>
        <sz val="10"/>
        <color rgb="FF000000"/>
        <rFont val="Arial"/>
        <family val="0"/>
        <charset val="1"/>
      </rPr>
      <t xml:space="preserve">$/GB-hr × </t>
    </r>
    <r>
      <rPr>
        <sz val="10"/>
        <color rgb="FF000000"/>
        <rFont val="Noto Sans CJK SC"/>
        <family val="2"/>
      </rPr>
      <t xml:space="preserve">保留時間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命中次數。攤提：自下而上＝研發計畫成本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（＝回本所需溢價）；由上而下＝機隊訓練占比 </t>
    </r>
    <r>
      <rPr>
        <sz val="10"/>
        <color rgb="FF000000"/>
        <rFont val="Arial"/>
        <family val="0"/>
        <charset val="1"/>
      </rPr>
      <t xml:space="preserve">X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1−X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服務成本。</t>
    </r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</si>
  <si>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</si>
  <si>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K1 OpenAI </t>
    </r>
    <r>
      <rPr>
        <sz val="10"/>
        <color rgb="FF000000"/>
        <rFont val="Noto Sans CJK SC"/>
        <family val="2"/>
      </rPr>
      <t xml:space="preserve">單價為基準；</t>
    </r>
    <r>
      <rPr>
        <sz val="10"/>
        <color rgb="FF000000"/>
        <rFont val="Arial"/>
        <family val="0"/>
        <charset val="1"/>
      </rPr>
      <t xml:space="preserve">K2 (i) </t>
    </r>
    <r>
      <rPr>
        <sz val="10"/>
        <color rgb="FF000000"/>
        <rFont val="Noto Sans CJK SC"/>
        <family val="2"/>
      </rPr>
      <t xml:space="preserve">前緣＝同能力最低價；</t>
    </r>
    <r>
      <rPr>
        <sz val="10"/>
        <color rgb="FF000000"/>
        <rFont val="Arial"/>
        <family val="0"/>
        <charset val="1"/>
      </rPr>
      <t xml:space="preserve">K3 AA </t>
    </r>
    <r>
      <rPr>
        <sz val="10"/>
        <color rgb="FF000000"/>
        <rFont val="Noto Sans CJK SC"/>
        <family val="2"/>
      </rPr>
      <t xml:space="preserve">指數為主、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檢查；</t>
    </r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能力→單價彈性基準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＋回本溢價反解；</t>
    </r>
    <r>
      <rPr>
        <sz val="10"/>
        <color rgb="FF000000"/>
        <rFont val="Arial"/>
        <family val="0"/>
        <charset val="1"/>
      </rPr>
      <t xml:space="preserve">K5 </t>
    </r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兩種攤提並列，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起下游預設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＝由上而下總額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自下而上權重、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營收權重並列；</t>
    </r>
    <r>
      <rPr>
        <sz val="10"/>
        <color rgb="FF000000"/>
        <rFont val="Arial"/>
        <family val="0"/>
        <charset val="1"/>
      </rPr>
      <t xml:space="preserve">K7 </t>
    </r>
    <r>
      <rPr>
        <sz val="10"/>
        <color rgb="FF000000"/>
        <rFont val="Noto Sans CJK SC"/>
        <family val="2"/>
      </rPr>
      <t xml:space="preserve">機隊以 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校準；</t>
    </r>
    <r>
      <rPr>
        <sz val="10"/>
        <color rgb="FF000000"/>
        <rFont val="Arial"/>
        <family val="0"/>
        <charset val="1"/>
      </rPr>
      <t xml:space="preserve">K8 </t>
    </r>
    <r>
      <rPr>
        <sz val="10"/>
        <color rgb="FF000000"/>
        <rFont val="Noto Sans CJK SC"/>
        <family val="2"/>
      </rPr>
      <t xml:space="preserve">只計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K9 </t>
    </r>
    <r>
      <rPr>
        <sz val="10"/>
        <color rgb="FF000000"/>
        <rFont val="Noto Sans CJK SC"/>
        <family val="2"/>
      </rPr>
      <t xml:space="preserve">各世代共用 </t>
    </r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單價快照；</t>
    </r>
    <r>
      <rPr>
        <sz val="10"/>
        <color rgb="FF000000"/>
        <rFont val="Arial"/>
        <family val="0"/>
        <charset val="1"/>
      </rPr>
      <t xml:space="preserve">K10 </t>
    </r>
    <r>
      <rPr>
        <sz val="10"/>
        <color rgb="FF000000"/>
        <rFont val="Noto Sans CJK SC"/>
        <family val="2"/>
      </rPr>
      <t xml:space="preserve">快取儲存比照公開條款；</t>
    </r>
    <r>
      <rPr>
        <sz val="10"/>
        <color rgb="FF000000"/>
        <rFont val="Arial"/>
        <family val="0"/>
        <charset val="1"/>
      </rPr>
      <t xml:space="preserve">K11 </t>
    </r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、折減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暫用；</t>
    </r>
    <r>
      <rPr>
        <sz val="10"/>
        <color rgb="FF000000"/>
        <rFont val="Arial"/>
        <family val="0"/>
        <charset val="1"/>
      </rPr>
      <t xml:space="preserve">K12 </t>
    </r>
    <r>
      <rPr>
        <sz val="10"/>
        <color rgb="FF000000"/>
        <rFont val="Noto Sans CJK SC"/>
        <family val="2"/>
      </rPr>
      <t xml:space="preserve">尖峰離峰並列、前緣用時數加權；</t>
    </r>
    <r>
      <rPr>
        <sz val="10"/>
        <color rgb="FF000000"/>
        <rFont val="Arial"/>
        <family val="0"/>
        <charset val="1"/>
      </rPr>
      <t xml:space="preserve">K13 </t>
    </r>
    <r>
      <rPr>
        <sz val="10"/>
        <color rgb="FF000000"/>
        <rFont val="Noto Sans CJK SC"/>
        <family val="2"/>
      </rPr>
      <t xml:space="preserve">中國廠商全納入並標示開放權重；</t>
    </r>
    <r>
      <rPr>
        <sz val="10"/>
        <color rgb="FF000000"/>
        <rFont val="Arial"/>
        <family val="0"/>
        <charset val="1"/>
      </rPr>
      <t xml:space="preserve">K14 </t>
    </r>
    <r>
      <rPr>
        <sz val="10"/>
        <color rgb="FF000000"/>
        <rFont val="Noto Sans CJK SC"/>
        <family val="2"/>
      </rPr>
      <t xml:space="preserve">國際站美元價。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</si>
  <si>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推導</t>
    </r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</si>
  <si>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＝作用在標準任務上的參數組（輪數、思考保留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、每輪思考、歷史壓縮、快取命中、子代理、狀態保留時間）加成功率。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有效參數＝標準＋</t>
    </r>
    <r>
      <rPr>
        <sz val="10"/>
        <color rgb="FF000000"/>
        <rFont val="Arial"/>
        <family val="0"/>
        <charset val="1"/>
      </rPr>
      <t xml:space="preserve">w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選定檔案−標準），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採用比例。成功率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＋（任務長度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倍數））</t>
    </r>
    <r>
      <rPr>
        <sz val="10"/>
        <color rgb="FF000000"/>
        <rFont val="Arial"/>
        <family val="0"/>
        <charset val="1"/>
      </rPr>
      <t xml:space="preserve">^β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型）；每成功任務成本＝每次嘗試成本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。每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理論營收不受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影響。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</si>
  <si>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決策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</si>
  <si>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參數組取代單一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L2 METR </t>
    </r>
    <r>
      <rPr>
        <sz val="10"/>
        <color rgb="FF000000"/>
        <rFont val="Noto Sans CJK SC"/>
        <family val="2"/>
      </rPr>
      <t xml:space="preserve">型成功率＋覆寫欄；</t>
    </r>
    <r>
      <rPr>
        <sz val="10"/>
        <color rgb="FF000000"/>
        <rFont val="Arial"/>
        <family val="0"/>
        <charset val="1"/>
      </rPr>
      <t xml:space="preserve">L3 </t>
    </r>
    <r>
      <rPr>
        <sz val="10"/>
        <color rgb="FF000000"/>
        <rFont val="Noto Sans CJK SC"/>
        <family val="2"/>
      </rPr>
      <t xml:space="preserve">增強檔不入基準（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L4 harness </t>
    </r>
    <r>
      <rPr>
        <sz val="10"/>
        <color rgb="FF000000"/>
        <rFont val="Noto Sans CJK SC"/>
        <family val="2"/>
      </rPr>
      <t xml:space="preserve">不影響每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</t>
    </r>
    <r>
      <rPr>
        <sz val="10"/>
        <color rgb="FF000000"/>
        <rFont val="Arial"/>
        <family val="0"/>
        <charset val="1"/>
      </rPr>
      <t xml:space="preserve">L5 </t>
    </r>
    <r>
      <rPr>
        <sz val="10"/>
        <color rgb="FF000000"/>
        <rFont val="Noto Sans CJK SC"/>
        <family val="2"/>
      </rPr>
      <t xml:space="preserve">每成功任務成本＝每次嘗試 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L6 </t>
    </r>
    <r>
      <rPr>
        <sz val="10"/>
        <color rgb="FF000000"/>
        <rFont val="Noto Sans CJK SC"/>
        <family val="2"/>
      </rPr>
      <t xml:space="preserve">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成本不入第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L7 </t>
    </r>
    <r>
      <rPr>
        <sz val="10"/>
        <color rgb="FF000000"/>
        <rFont val="Noto Sans CJK SC"/>
        <family val="2"/>
      </rPr>
      <t xml:space="preserve">情境值只採中立方同條件實測；</t>
    </r>
    <r>
      <rPr>
        <sz val="10"/>
        <color rgb="FF000000"/>
        <rFont val="Arial"/>
        <family val="0"/>
        <charset val="1"/>
      </rPr>
      <t xml:space="preserve">M1 (b) </t>
    </r>
    <r>
      <rPr>
        <sz val="10"/>
        <color rgb="FF000000"/>
        <rFont val="Noto Sans CJK SC"/>
        <family val="2"/>
      </rPr>
      <t xml:space="preserve">成功任務成本前緣只比較成功率 ≥ 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）者，無合格時回傳「無合格」，不設下限的前緣列為對照。</t>
    </r>
  </si>
  <si>
    <t xml:space="preserve">來源原則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</si>
  <si>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）資料一律須有第二來源佐證並標記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；目前第二來源為 </t>
    </r>
    <r>
      <rPr>
        <sz val="10"/>
        <color rgb="FF000000"/>
        <rFont val="Arial"/>
        <family val="0"/>
        <charset val="1"/>
      </rPr>
      <t xml:space="preserve">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稽核，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提交）與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自揭（待查）。</t>
    </r>
  </si>
  <si>
    <t xml:space="preserve">未結事項</t>
  </si>
  <si>
    <r>
      <rPr>
        <sz val="10"/>
        <color rgb="FF000000"/>
        <rFont val="Arial"/>
        <family val="0"/>
        <charset val="1"/>
      </rPr>
      <t xml:space="preserve">(1) VR200 </t>
    </r>
    <r>
      <rPr>
        <sz val="10"/>
        <color rgb="FF000000"/>
        <rFont val="Noto Sans CJK SC"/>
        <family val="2"/>
      </rPr>
      <t xml:space="preserve">報價是否含網路（</t>
    </r>
    <r>
      <rPr>
        <sz val="10"/>
        <color rgb="FF000000"/>
        <rFont val="Arial"/>
        <family val="0"/>
        <charset val="1"/>
      </rPr>
      <t xml:space="preserve">S11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所有來源待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查核。</t>
    </r>
    <r>
      <rPr>
        <sz val="10"/>
        <color rgb="FF000000"/>
        <rFont val="Arial"/>
        <family val="0"/>
        <charset val="1"/>
      </rPr>
      <t xml:space="preserve">(3) Rubin Ultra </t>
    </r>
    <r>
      <rPr>
        <sz val="10"/>
        <color rgb="FF000000"/>
        <rFont val="Noto Sans CJK SC"/>
        <family val="2"/>
      </rPr>
      <t xml:space="preserve">為推估。</t>
    </r>
    <r>
      <rPr>
        <sz val="10"/>
        <color rgb="FF000000"/>
        <rFont val="Arial"/>
        <family val="0"/>
        <charset val="1"/>
      </rPr>
      <t xml:space="preserve">(4) J6 </t>
    </r>
    <r>
      <rPr>
        <sz val="10"/>
        <color rgb="FF000000"/>
        <rFont val="Noto Sans CJK SC"/>
        <family val="2"/>
      </rPr>
      <t xml:space="preserve">基準利用率暫用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、生產折減暫用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，皆待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給值。</t>
    </r>
    <r>
      <rPr>
        <sz val="10"/>
        <color rgb="FF000000"/>
        <rFont val="Arial"/>
        <family val="0"/>
        <charset val="1"/>
      </rPr>
      <t xml:space="preserve">(5) 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與每層延遲沿用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(6) </t>
    </r>
    <r>
      <rPr>
        <sz val="10"/>
        <color rgb="FF000000"/>
        <rFont val="Noto Sans CJK SC"/>
        <family val="2"/>
      </rPr>
      <t xml:space="preserve">交接錨點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屬舊軟體（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），已改為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最新前緣兩點校準。</t>
    </r>
    <r>
      <rPr>
        <sz val="10"/>
        <color rgb="FF000000"/>
        <rFont val="Arial"/>
        <family val="0"/>
        <charset val="1"/>
      </rPr>
      <t xml:space="preserve">(7) </t>
    </r>
    <r>
      <rPr>
        <sz val="10"/>
        <color rgb="FF000000"/>
        <rFont val="Noto Sans CJK SC"/>
        <family val="2"/>
      </rPr>
      <t xml:space="preserve">快取儲存成本已於 </t>
    </r>
    <r>
      <rPr>
        <sz val="10"/>
        <color rgb="FF000000"/>
        <rFont val="Arial"/>
        <family val="0"/>
        <charset val="1"/>
      </rPr>
      <t xml:space="preserve">v5.8 Cache_Store </t>
    </r>
    <r>
      <rPr>
        <sz val="10"/>
        <color rgb="FF000000"/>
        <rFont val="Noto Sans CJK SC"/>
        <family val="2"/>
      </rPr>
      <t xml:space="preserve">加入（儲存層與保留時間為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(8) Hopper </t>
    </r>
    <r>
      <rPr>
        <sz val="10"/>
        <color rgb="FF000000"/>
        <rFont val="Noto Sans CJK SC"/>
        <family val="2"/>
      </rPr>
      <t xml:space="preserve">峰值更正為 </t>
    </r>
    <r>
      <rPr>
        <sz val="10"/>
        <color rgb="FF000000"/>
        <rFont val="Arial"/>
        <family val="0"/>
        <charset val="1"/>
      </rPr>
      <t xml:space="preserve">FP8 1,979 TF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倍數同步減半以維持產出；</t>
    </r>
    <r>
      <rPr>
        <sz val="10"/>
        <color rgb="FF000000"/>
        <rFont val="Arial"/>
        <family val="0"/>
        <charset val="1"/>
      </rPr>
      <t xml:space="preserve">S30 </t>
    </r>
    <r>
      <rPr>
        <sz val="10"/>
        <color rgb="FF000000"/>
        <rFont val="Noto Sans CJK SC"/>
        <family val="2"/>
      </rPr>
      <t xml:space="preserve">口徑待查後重推。</t>
    </r>
    <r>
      <rPr>
        <sz val="10"/>
        <color rgb="FF000000"/>
        <rFont val="Arial"/>
        <family val="0"/>
        <charset val="1"/>
      </rPr>
      <t xml:space="preserve">(9) Block 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量、研發倍數皆為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，看 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(10) v5.6</t>
    </r>
    <r>
      <rPr>
        <sz val="10"/>
        <color rgb="FF000000"/>
        <rFont val="Noto Sans CJK SC"/>
        <family val="2"/>
      </rPr>
      <t xml:space="preserve">：非同步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併入基準（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RL rollout token </t>
    </r>
    <r>
      <rPr>
        <sz val="10"/>
        <color rgb="FF000000"/>
        <rFont val="Noto Sans CJK SC"/>
        <family val="2"/>
      </rPr>
      <t xml:space="preserve">重校以維持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小時錨點（</t>
    </r>
    <r>
      <rPr>
        <sz val="10"/>
        <color rgb="FF000000"/>
        <rFont val="Arial"/>
        <family val="0"/>
        <charset val="1"/>
      </rPr>
      <t xml:space="preserve">J9 (a)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(11) v5.8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下游攤提預設於 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定為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Opus 5.5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的能力指數未取得，不參與前緣；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價格為二手；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檢查未入表；</t>
    </r>
    <r>
      <rPr>
        <sz val="10"/>
        <color rgb="FF000000"/>
        <rFont val="Arial"/>
        <family val="0"/>
        <charset val="1"/>
      </rPr>
      <t xml:space="preserve">Google </t>
    </r>
    <r>
      <rPr>
        <sz val="10"/>
        <color rgb="FF000000"/>
        <rFont val="Noto Sans CJK SC"/>
        <family val="2"/>
      </rPr>
      <t xml:space="preserve">未列入候選。</t>
    </r>
    <r>
      <rPr>
        <sz val="10"/>
        <color rgb="FF000000"/>
        <rFont val="Arial"/>
        <family val="0"/>
        <charset val="1"/>
      </rPr>
      <t xml:space="preserve">(12) v5.9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尚未發布 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各層級時間範圍（以 </t>
    </r>
    <r>
      <rPr>
        <sz val="10"/>
        <color rgb="FF000000"/>
        <rFont val="Arial"/>
        <family val="0"/>
        <charset val="1"/>
      </rPr>
      <t xml:space="preserve">GPT-5.6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Mythos Preview </t>
    </r>
    <r>
      <rPr>
        <sz val="10"/>
        <color rgb="FF000000"/>
        <rFont val="Noto Sans CJK SC"/>
        <family val="2"/>
      </rPr>
      <t xml:space="preserve">類比）；任務長度為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金額衝突與 </t>
    </r>
    <r>
      <rPr>
        <sz val="10"/>
        <color rgb="FF000000"/>
        <rFont val="Arial"/>
        <family val="0"/>
        <charset val="1"/>
      </rPr>
      <t xml:space="preserve">Opus 5 harness </t>
    </r>
    <r>
      <rPr>
        <sz val="10"/>
        <color rgb="FF000000"/>
        <rFont val="Noto Sans CJK SC"/>
        <family val="2"/>
      </rPr>
      <t xml:space="preserve">歸屬待核；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用於 </t>
    </r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與非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成本延後。</t>
    </r>
  </si>
  <si>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</si>
  <si>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</t>
    </r>
    <r>
      <rPr>
        <sz val="10"/>
        <color rgb="FF000000"/>
        <rFont val="Noto Sans CJK SC"/>
        <family val="2"/>
      </rPr>
      <t xml:space="preserve">）維持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），模型的基準輸出不變。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節並列七列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輸出，以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＝區間 </t>
    </r>
    <r>
      <rPr>
        <sz val="10"/>
        <color rgb="FF000000"/>
        <rFont val="Arial"/>
        <family val="0"/>
        <charset val="1"/>
      </rPr>
      <t xml:space="preserve">0.7–1.0 </t>
    </r>
    <r>
      <rPr>
        <sz val="10"/>
        <color rgb="FF000000"/>
        <rFont val="Noto Sans CJK SC"/>
        <family val="2"/>
      </rPr>
      <t xml:space="preserve">的中點，情境值）重算：從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進入模型的兩處（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列）起，到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七個輸出列為止的公式鏈，逐格鏡像到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頁（同位置；只改兩處：鏈上參照改讀 </t>
    </r>
    <r>
      <rPr>
        <sz val="10"/>
        <color rgb="FF000000"/>
        <rFont val="Arial"/>
        <family val="0"/>
        <charset val="1"/>
      </rPr>
      <t xml:space="preserve">*_Prod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列改讀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）。右側 </t>
    </r>
    <r>
      <rPr>
        <sz val="10"/>
        <color rgb="FF000000"/>
        <rFont val="Arial"/>
        <family val="0"/>
        <charset val="1"/>
      </rPr>
      <t xml:space="preserve">S:AG </t>
    </r>
    <r>
      <rPr>
        <sz val="10"/>
        <color rgb="FF000000"/>
        <rFont val="Noto Sans CJK SC"/>
        <family val="2"/>
      </rPr>
      <t xml:space="preserve">為檢查副本（第 </t>
    </r>
    <r>
      <rPr>
        <sz val="10"/>
        <color rgb="FF000000"/>
        <rFont val="Arial"/>
        <family val="0"/>
        <charset val="1"/>
      </rPr>
      <t xml:space="preserve">50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Checks X1 </t>
    </r>
    <r>
      <rPr>
        <sz val="10"/>
        <color rgb="FF000000"/>
        <rFont val="Noto Sans CJK SC"/>
        <family val="2"/>
      </rPr>
      <t xml:space="preserve">比對七列是否等於基準列。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輸出的口徑同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節對應列；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不可達時為文字。</t>
    </r>
  </si>
  <si>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攤提耦合（</t>
    </r>
    <r>
      <rPr>
        <b val="true"/>
        <sz val="10"/>
        <rFont val="Arial"/>
        <family val="0"/>
        <charset val="1"/>
      </rPr>
      <t xml:space="preserve">v5.20 X5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</si>
  <si>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只依自身層級，可能仍為數值（</t>
    </r>
    <r>
      <rPr>
        <sz val="10"/>
        <color rgb="FF000000"/>
        <rFont val="Arial"/>
        <family val="0"/>
        <charset val="1"/>
      </rPr>
      <t xml:space="preserve">X5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維持此設計）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</si>
  <si>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</si>
  <si>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v5.26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節為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構件，供下游公司模型（</t>
    </r>
    <r>
      <rPr>
        <sz val="10"/>
        <color rgb="FF000000"/>
        <rFont val="Arial"/>
        <family val="0"/>
        <charset val="1"/>
      </rPr>
      <t xml:space="preserve">neocloud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營運成本）使用：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折舊年限，年）、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折舊）、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（廠房折舊，土地不折舊）、</t>
    </r>
    <r>
      <rPr>
        <sz val="10"/>
        <color rgb="FF000000"/>
        <rFont val="Arial"/>
        <family val="0"/>
        <charset val="1"/>
      </rPr>
      <t xml:space="preserve">IF_AvgDraw</t>
    </r>
    <r>
      <rPr>
        <sz val="10"/>
        <color rgb="FF000000"/>
        <rFont val="Noto Sans CJK SC"/>
        <family val="2"/>
      </rPr>
      <t xml:space="preserve">（平均用電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配電設計功率，</t>
    </r>
    <r>
      <rPr>
        <sz val="10"/>
        <color rgb="FF000000"/>
        <rFont val="Arial"/>
        <family val="0"/>
        <charset val="1"/>
      </rPr>
      <t xml:space="preserve">%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IF_PowerPrice</t>
    </r>
    <r>
      <rPr>
        <sz val="10"/>
        <color rgb="FF000000"/>
        <rFont val="Noto Sans CJK SC"/>
        <family val="2"/>
      </rPr>
      <t xml:space="preserve">（電價，</t>
    </r>
    <r>
      <rPr>
        <sz val="10"/>
        <color rgb="FF000000"/>
        <rFont val="Arial"/>
        <family val="0"/>
        <charset val="1"/>
      </rPr>
      <t xml:space="preserve">$/kWh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維護）、</t>
    </r>
    <r>
      <rPr>
        <sz val="10"/>
        <color rgb="FF000000"/>
        <rFont val="Arial"/>
        <family val="0"/>
        <charset val="1"/>
      </rPr>
      <t xml:space="preserve">IF_MaintFac</t>
    </r>
    <r>
      <rPr>
        <sz val="10"/>
        <color rgb="FF000000"/>
        <rFont val="Noto Sans CJK SC"/>
        <family val="2"/>
      </rPr>
      <t xml:space="preserve">（廠房維護）、</t>
    </r>
    <r>
      <rPr>
        <sz val="10"/>
        <color rgb="FF000000"/>
        <rFont val="Arial"/>
        <family val="0"/>
        <charset val="1"/>
      </rPr>
      <t xml:space="preserve">IF_StaffSW</t>
    </r>
    <r>
      <rPr>
        <sz val="10"/>
        <color rgb="FF000000"/>
        <rFont val="Noto Sans CJK SC"/>
        <family val="2"/>
      </rPr>
      <t xml:space="preserve">（人員、軟體、水與耗材）、</t>
    </r>
    <r>
      <rPr>
        <sz val="10"/>
        <color rgb="FF000000"/>
        <rFont val="Arial"/>
        <family val="0"/>
        <charset val="1"/>
      </rPr>
      <t xml:space="preserve">IF_TaxIns</t>
    </r>
    <r>
      <rPr>
        <sz val="10"/>
        <color rgb="FF000000"/>
        <rFont val="Noto Sans CJK SC"/>
        <family val="2"/>
      </rPr>
      <t xml:space="preserve">（財產稅與保險）、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（營運費用小計，不含折舊、含電費）；金額為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節末列核對）。</t>
    </r>
  </si>
  <si>
    <r>
      <rPr>
        <b val="true"/>
        <sz val="10"/>
        <rFont val="Noto Sans CJK SC"/>
        <family val="2"/>
      </rPr>
      <t xml:space="preserve">輸出契約與四層瀑布（</t>
    </r>
    <r>
      <rPr>
        <b val="true"/>
        <sz val="10"/>
        <rFont val="Arial"/>
        <family val="0"/>
        <charset val="1"/>
      </rPr>
      <t xml:space="preserve">v5.29 X14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</t>
    </r>
    <r>
      <rPr>
        <b val="true"/>
        <sz val="10"/>
        <rFont val="Noto Sans CJK SC"/>
        <family val="2"/>
      </rPr>
      <t xml:space="preserve">逐層累乘）</t>
    </r>
  </si>
  <si>
    <r>
      <rPr>
        <sz val="10"/>
        <color rgb="FF000000"/>
        <rFont val="Arial"/>
        <family val="0"/>
        <charset val="1"/>
      </rPr>
      <t xml:space="preserve">Interface 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：該列公式鏈上（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建置時反查，含所有被引用的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格中，取「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敏感度分段＝高」者的最弱標記——含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級紀錄或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 →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；含非「原始數據且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」者 → 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；其餘 →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；反查不到任何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 → 「—」（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Decision Use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映射（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基準輸入／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情境、相對比較、反轉門檻／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探索），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另附「上限，不得作預測」（</t>
    </r>
    <r>
      <rPr>
        <sz val="10"/>
        <color rgb="FF000000"/>
        <rFont val="Arial"/>
        <family val="0"/>
        <charset val="1"/>
      </rPr>
      <t xml:space="preserve">Checks K2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欄口徑層：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L×m</t>
    </r>
    <r>
      <rPr>
        <sz val="10"/>
        <color rgb="FF000000"/>
        <rFont val="Noto Sans CJK SC"/>
        <family val="2"/>
      </rPr>
      <t xml:space="preserve">，依節與標籤判定；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欄取用的高段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列對應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審查日的最大值（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欄為數值暫存，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欄列出反查到的 </t>
    </r>
    <r>
      <rPr>
        <sz val="10"/>
        <color rgb="FF000000"/>
        <rFont val="Arial"/>
        <family val="0"/>
        <charset val="1"/>
      </rPr>
      <t xml:space="preserve">GM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v5.30 X15 (a) </t>
    </r>
    <r>
      <rPr>
        <sz val="10"/>
        <color rgb="FF000000"/>
        <rFont val="Noto Sans CJK SC"/>
        <family val="2"/>
      </rPr>
      <t xml:space="preserve">起逐層累乘、單調遞減）：</t>
    </r>
    <r>
      <rPr>
        <sz val="10"/>
        <color rgb="FF000000"/>
        <rFont val="Arial"/>
        <family val="0"/>
        <charset val="1"/>
      </rPr>
      <t xml:space="preserve">_100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（營收＝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產能列與 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列為線性乘法）；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（基準列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，不含折減）與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口徑重解）保留原處作並列對照。自我檢查見 </t>
    </r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（來源比對＋單調檢查）。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每次重建的輔助欄。</t>
    </r>
  </si>
  <si>
    <r>
      <rPr>
        <b val="true"/>
        <sz val="10"/>
        <rFont val="Arial"/>
        <family val="0"/>
        <charset val="1"/>
      </rPr>
      <t xml:space="preserve">Interface I </t>
    </r>
    <r>
      <rPr>
        <b val="true"/>
        <sz val="10"/>
        <rFont val="Noto Sans CJK SC"/>
        <family val="2"/>
      </rPr>
      <t xml:space="preserve">節（續）與 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維護兩段（</t>
    </r>
    <r>
      <rPr>
        <b val="true"/>
        <sz val="10"/>
        <rFont val="Arial"/>
        <family val="0"/>
        <charset val="1"/>
      </rPr>
      <t xml:space="preserve">v5.31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</si>
  <si>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下游名稱（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開頭且非 </t>
    </r>
    <r>
      <rPr>
        <sz val="10"/>
        <color rgb="FF000000"/>
        <rFont val="Arial"/>
        <family val="0"/>
        <charset val="1"/>
      </rPr>
      <t xml:space="preserve">IF_Hdr</t>
    </r>
    <r>
      <rPr>
        <sz val="10"/>
        <color rgb="FF000000"/>
        <rFont val="Noto Sans CJK SC"/>
        <family val="2"/>
      </rPr>
      <t xml:space="preserve">）現況共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核對；歷史：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192 </t>
    </r>
    <r>
      <rPr>
        <sz val="10"/>
        <color rgb="FF000000"/>
        <rFont val="Noto Sans CJK SC"/>
        <family val="2"/>
      </rPr>
      <t xml:space="preserve">個，</t>
    </r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加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個為 </t>
    </r>
    <r>
      <rPr>
        <sz val="10"/>
        <color rgb="FF000000"/>
        <rFont val="Arial"/>
        <family val="0"/>
        <charset val="1"/>
      </rPr>
      <t xml:space="preserve">195 </t>
    </r>
    <r>
      <rPr>
        <sz val="10"/>
        <color rgb="FF000000"/>
        <rFont val="Noto Sans CJK SC"/>
        <family val="2"/>
      </rPr>
      <t xml:space="preserve">個）。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X18</t>
    </r>
    <r>
      <rPr>
        <sz val="10"/>
        <color rgb="FF000000"/>
        <rFont val="Noto Sans CJK SC"/>
        <family val="2"/>
      </rPr>
      <t xml:space="preserve">）：保固期內費率（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列）適用於前 </t>
    </r>
    <r>
      <rPr>
        <sz val="10"/>
        <color rgb="FF000000"/>
        <rFont val="Arial"/>
        <family val="0"/>
        <charset val="1"/>
      </rPr>
      <t xml:space="preserve">IF_WarrantyYrs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年），之後為保固期滿後費率（第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列）用 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列的壽命期等值單一費率（以同欄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折舊年限年金加權），所以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的穩態持有成本不隨機齡變動。下游公司模型依自身機隊年齡取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保固期內費率）或 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期滿後費率），兩者不加總；金額為 </t>
    </r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年。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為站點營運（人員、軟體授權與連線、水與耗材），不含平台研發，下游另列。</t>
    </r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$M/IT MW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 </t>
    </r>
    <r>
      <rPr>
        <sz val="10"/>
        <color rgb="FF000000"/>
        <rFont val="Arial"/>
        <family val="0"/>
        <charset val="1"/>
      </rPr>
      <t xml:space="preserve">29.0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</si>
  <si>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</si>
  <si>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混合有效單價），只作追蹤與對照，不驅動任何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）不改（</t>
    </r>
    <r>
      <rPr>
        <sz val="10"/>
        <color rgb="FF000000"/>
        <rFont val="Arial"/>
        <family val="0"/>
        <charset val="1"/>
      </rPr>
      <t xml:space="preserve">X26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）。分子：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訂閱占比），毛額（</t>
    </r>
    <r>
      <rPr>
        <sz val="10"/>
        <color rgb="FF000000"/>
        <rFont val="Arial"/>
        <family val="0"/>
        <charset val="1"/>
      </rPr>
      <t xml:space="preserve">X22</t>
    </r>
    <r>
      <rPr>
        <sz val="10"/>
        <color rgb="FF000000"/>
        <rFont val="Noto Sans CJK SC"/>
        <family val="2"/>
      </rPr>
      <t xml:space="preserve">）。分母兩欄並列：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列（已知偏低，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SRC_DEM_013 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）（總量）。單價＝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。欄位：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低端（營收取低、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高端。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基準落在區間外即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X23</t>
    </r>
    <r>
      <rPr>
        <sz val="10"/>
        <color rgb="FF000000"/>
        <rFont val="Noto Sans CJK SC"/>
        <family val="2"/>
      </rPr>
      <t xml:space="preserve">）。訂閱人數（期間平均，</t>
    </r>
    <r>
      <rPr>
        <sz val="10"/>
        <color rgb="FF000000"/>
        <rFont val="Arial"/>
        <family val="0"/>
        <charset val="1"/>
      </rPr>
      <t xml:space="preserve">X25</t>
    </r>
    <r>
      <rPr>
        <sz val="10"/>
        <color rgb="FF000000"/>
        <rFont val="Noto Sans CJK SC"/>
        <family val="2"/>
      </rPr>
      <t xml:space="preserve">）只作每人口徑的直覺檢查。追蹤規則（</t>
    </r>
    <r>
      <rPr>
        <sz val="10"/>
        <color rgb="FF000000"/>
        <rFont val="Arial"/>
        <family val="0"/>
        <charset val="1"/>
      </rPr>
      <t xml:space="preserve">X24</t>
    </r>
    <r>
      <rPr>
        <sz val="10"/>
        <color rgb="FF000000"/>
        <rFont val="Noto Sans CJK SC"/>
        <family val="2"/>
      </rPr>
      <t xml:space="preserve">）：每次升版檢查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新揭露，另加季度檢查。</t>
    </r>
  </si>
  <si>
    <r>
      <rPr>
        <b val="true"/>
        <sz val="10"/>
        <rFont val="Noto Sans CJK SC"/>
        <family val="2"/>
      </rPr>
      <t xml:space="preserve">機隊口徑與付費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校準（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</si>
  <si>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：支出路線服務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÷ Alloc_In C23 Azure </t>
    </r>
    <r>
      <rPr>
        <sz val="10"/>
        <color rgb="FF000000"/>
        <rFont val="Noto Sans CJK SC"/>
        <family val="2"/>
      </rPr>
      <t xml:space="preserve">倍數）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）＝機隊付費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；修正：點估計＝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X33</t>
    </r>
    <r>
      <rPr>
        <sz val="10"/>
        <color rgb="FF000000"/>
        <rFont val="Noto Sans CJK SC"/>
        <family val="2"/>
      </rPr>
      <t xml:space="preserve">），上限＝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。機隊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H4 </t>
    </r>
    <r>
      <rPr>
        <sz val="10"/>
        <color rgb="FF000000"/>
        <rFont val="Noto Sans CJK SC"/>
        <family val="2"/>
      </rPr>
      <t xml:space="preserve">單價）→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；上限讀法 → 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X27</t>
    </r>
    <r>
      <rPr>
        <sz val="10"/>
        <color rgb="FF000000"/>
        <rFont val="Noto Sans CJK SC"/>
        <family val="2"/>
      </rPr>
      <t xml:space="preserve">）。「必須為真」三列給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需求路線倍數與對上限判讀；非文字份額（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）只作訂閱分子扣除後的對照（</t>
    </r>
    <r>
      <rPr>
        <sz val="10"/>
        <color rgb="FF000000"/>
        <rFont val="Arial"/>
        <family val="0"/>
        <charset val="1"/>
      </rPr>
      <t xml:space="preserve">X31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（需求路線 </t>
    </r>
    <r>
      <rPr>
        <sz val="10"/>
        <color rgb="FF000000"/>
        <rFont val="Arial"/>
        <family val="0"/>
        <charset val="1"/>
      </rPr>
      <t xml:space="preserve">&gt; </t>
    </r>
    <r>
      <rPr>
        <sz val="10"/>
        <color rgb="FF000000"/>
        <rFont val="Noto Sans CJK SC"/>
        <family val="2"/>
      </rPr>
      <t xml:space="preserve">上限）、</t>
    </r>
    <r>
      <rPr>
        <sz val="10"/>
        <color rgb="FF000000"/>
        <rFont val="Arial"/>
        <family val="0"/>
        <charset val="1"/>
      </rPr>
      <t xml:space="preserve">M3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區間外）為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基準年世代組合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X28</t>
    </r>
    <r>
      <rPr>
        <sz val="10"/>
        <color rgb="FF000000"/>
        <rFont val="Noto Sans CJK SC"/>
        <family val="2"/>
      </rPr>
      <t xml:space="preserve">）；每則提示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 </t>
    </r>
    <r>
      <rPr>
        <sz val="10"/>
        <color rgb="FF000000"/>
        <rFont val="Arial"/>
        <family val="0"/>
        <charset val="1"/>
      </rPr>
      <t xml:space="preserve">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X29</t>
    </r>
    <r>
      <rPr>
        <sz val="10"/>
        <color rgb="FF000000"/>
        <rFont val="Noto Sans CJK SC"/>
        <family val="2"/>
      </rPr>
      <t xml:space="preserve">）；免費占比與訂閱占比不改（</t>
    </r>
    <r>
      <rPr>
        <sz val="10"/>
        <color rgb="FF000000"/>
        <rFont val="Arial"/>
        <family val="0"/>
        <charset val="1"/>
      </rPr>
      <t xml:space="preserve">X30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X32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X34</t>
    </r>
    <r>
      <rPr>
        <sz val="10"/>
        <color rgb="FF000000"/>
        <rFont val="Noto Sans CJK SC"/>
        <family val="2"/>
      </rPr>
      <t xml:space="preserve">，待一手確認）。</t>
    </r>
  </si>
  <si>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細化（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</si>
  <si>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：營收三分（消費訂閱＝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；商用席次＝</t>
    </r>
    <r>
      <rPr>
        <sz val="10"/>
        <color rgb="FF000000"/>
        <rFont val="Arial"/>
        <family val="0"/>
        <charset val="1"/>
      </rPr>
      <t xml:space="preserve">× Assumed 0.10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＝餘額）</t>
    </r>
    <r>
      <rPr>
        <sz val="10"/>
        <color rgb="FF000000"/>
        <rFont val="Arial"/>
        <family val="0"/>
        <charset val="1"/>
      </rPr>
      <t xml:space="preserve">× token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；消費訂閱＝</t>
    </r>
    <r>
      <rPr>
        <sz val="10"/>
        <color rgb="FF000000"/>
        <rFont val="Arial"/>
        <family val="0"/>
        <charset val="1"/>
      </rPr>
      <t xml:space="preserve">AL_DChatPaid × 0.75</t>
    </r>
    <r>
      <rPr>
        <sz val="10"/>
        <color rgb="FF000000"/>
        <rFont val="Noto Sans CJK SC"/>
        <family val="2"/>
      </rPr>
      <t xml:space="preserve">；席次＝餘額）→ 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加權，自我檢查＝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(1 − d)/(1 − B4_Disc) 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顯示用）；訂閱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）；「必須為真」：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H9</t>
    </r>
    <r>
      <rPr>
        <sz val="10"/>
        <color rgb="FF000000"/>
        <rFont val="Noto Sans CJK SC"/>
        <family val="2"/>
      </rPr>
      <t xml:space="preserve">：需求／機隊／上限三路線付費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、殘差（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）、閉合解 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（需求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數）。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序列（顯示用）。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分工規則：會同時改變成本的因子（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側，只改變營收的因子（折讓、訂閱用量落差、雲端分潤）進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為實驗室視角、回本條件用，交付物為區間與「必須為真」。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X35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只建對照列（</t>
    </r>
    <r>
      <rPr>
        <sz val="10"/>
        <color rgb="FF000000"/>
        <rFont val="Arial"/>
        <family val="0"/>
        <charset val="1"/>
      </rPr>
      <t xml:space="preserve">X41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</si>
  <si>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契約定義變更（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</si>
  <si>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`_Prod`</t>
    </r>
    <r>
      <rPr>
        <sz val="10"/>
        <color rgb="FF000000"/>
        <rFont val="Noto Sans CJK SC"/>
        <family val="2"/>
      </rPr>
      <t xml:space="preserve">＝生產折減（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後的值：營收讀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產能讀 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，前緣單價營收＝重解後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前緣單價；不再是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（線性）。同層級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`_Life`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，唯一定義為 </t>
    </r>
    <r>
      <rPr>
        <sz val="10"/>
        <color rgb="FF000000"/>
        <rFont val="Arial"/>
        <family val="0"/>
        <charset val="1"/>
      </rPr>
      <t xml:space="preserve">IFW_*_Life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為過渡別名（下一個主版刪除）。名稱輸出為文字（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不可達）時代表不可用，下游不得以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代入；</t>
    </r>
    <r>
      <rPr>
        <sz val="10"/>
        <color rgb="FF000000"/>
        <rFont val="Arial"/>
        <family val="0"/>
        <charset val="1"/>
      </rPr>
      <t xml:space="preserve">Fleet_1GW D </t>
    </r>
    <r>
      <rPr>
        <sz val="10"/>
        <color rgb="FF000000"/>
        <rFont val="Noto Sans CJK SC"/>
        <family val="2"/>
      </rPr>
      <t xml:space="preserve">節：不可達層級被排除，其餘層級權重重新正規化，並列出排除層級與重新正規化前的權重合計。回本所需單價溢價（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）分母＝付費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</si>
  <si>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分母閉合（</t>
    </r>
    <r>
      <rPr>
        <b val="true"/>
        <sz val="10"/>
        <rFont val="Arial"/>
        <family val="0"/>
        <charset val="1"/>
      </rPr>
      <t xml:space="preserve">v5.36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</si>
  <si>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支出路線推論支出改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端：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7.5–8.8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持有成本）＝</t>
    </r>
    <r>
      <rPr>
        <sz val="10"/>
        <color rgb="FF000000"/>
        <rFont val="Arial"/>
        <family val="0"/>
        <charset val="1"/>
      </rPr>
      <t xml:space="preserve">0.8981 GW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）為對照列（約一半未進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營業成本，最可能是研究用推論列在研發）。計價倍數（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）；請求形狀修正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列）。落差分解：</t>
    </r>
    <r>
      <rPr>
        <sz val="10"/>
        <color rgb="FF000000"/>
        <rFont val="Arial"/>
        <family val="0"/>
        <charset val="1"/>
      </rPr>
      <t xml:space="preserve">GapPrompt</t>
    </r>
    <r>
      <rPr>
        <sz val="10"/>
        <color rgb="FF000000"/>
        <rFont val="Noto Sans CJK SC"/>
        <family val="2"/>
      </rPr>
      <t xml:space="preserve">＝有效倍數 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GapSpendBasis 1.3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實際利用率（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6.401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節：缺口恆等式 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））＝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列，驗算差須為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）；價格時間錯配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的輸入列（顯示用）。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顯示列：實收單價（機隊 </t>
    </r>
    <r>
      <rPr>
        <sz val="10"/>
        <color rgb="FF000000"/>
        <rFont val="Arial"/>
        <family val="0"/>
        <charset val="1"/>
      </rPr>
      <t xml:space="preserve">1.548</t>
    </r>
    <r>
      <rPr>
        <sz val="10"/>
        <color rgb="FF000000"/>
        <rFont val="Noto Sans CJK SC"/>
        <family val="2"/>
      </rPr>
      <t xml:space="preserve">、需求 </t>
    </r>
    <r>
      <rPr>
        <sz val="10"/>
        <color rgb="FF000000"/>
        <rFont val="Arial"/>
        <family val="0"/>
        <charset val="1"/>
      </rPr>
      <t xml:space="preserve">3.417 $/M</t>
    </r>
    <r>
      <rPr>
        <sz val="10"/>
        <color rgb="FF000000"/>
        <rFont val="Noto Sans CJK SC"/>
        <family val="2"/>
      </rPr>
      <t xml:space="preserve">）、回本所需實收單價 </t>
    </r>
    <r>
      <rPr>
        <sz val="10"/>
        <color rgb="FF000000"/>
        <rFont val="Arial"/>
        <family val="0"/>
        <charset val="1"/>
      </rPr>
      <t xml:space="preserve">0.9007 $/M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 0.342 → 1.692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1.162 → 0.498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ρ 1.165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）。</t>
    </r>
  </si>
  <si>
    <r>
      <rPr>
        <b val="true"/>
        <sz val="10"/>
        <rFont val="Noto Sans CJK SC"/>
        <family val="2"/>
      </rPr>
      <t xml:space="preserve">輸入值修正（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</si>
  <si>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3B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服務世代組合區間（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）、計價倍數經濟口徑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、純利用率 </t>
    </r>
    <r>
      <rPr>
        <sz val="10"/>
        <color rgb="FF000000"/>
        <rFont val="Arial"/>
        <family val="0"/>
        <charset val="1"/>
      </rPr>
      <t xml:space="preserve">0.41 </t>
    </r>
    <r>
      <rPr>
        <sz val="10"/>
        <color rgb="FF000000"/>
        <rFont val="Noto Sans CJK SC"/>
        <family val="2"/>
      </rPr>
      <t xml:space="preserve">與生產折減分開（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暫定區間、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輪數區間。標記與理由見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AF3B-*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</si>
  <si>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模型規模、</t>
    </r>
    <r>
      <rPr>
        <b val="true"/>
        <sz val="10"/>
        <rFont val="Arial"/>
        <family val="0"/>
        <charset val="1"/>
      </rPr>
      <t xml:space="preserve">TTFT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</si>
  <si>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：模型規模倍數（</t>
    </r>
    <r>
      <rPr>
        <sz val="10"/>
        <color rgb="FF000000"/>
        <rFont val="Arial"/>
        <family val="0"/>
        <charset val="1"/>
      </rPr>
      <t xml:space="preserve">Spec_Rack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不達標的欄輸出『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不可達』並自 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排除、其餘層級重新正規化（基準下 </t>
    </r>
    <r>
      <rPr>
        <sz val="10"/>
        <color rgb="FF000000"/>
        <rFont val="Arial"/>
        <family val="0"/>
        <charset val="1"/>
      </rPr>
      <t xml:space="preserve">Hopper Astra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顯示『未服務需求占比』。標記與理由見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</si>
  <si>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機隊口徑單價、整代不可達、</t>
    </r>
    <r>
      <rPr>
        <b val="true"/>
        <sz val="10"/>
        <rFont val="Arial"/>
        <family val="0"/>
        <charset val="1"/>
      </rPr>
      <t xml:space="preserve">TTFT </t>
    </r>
    <r>
      <rPr>
        <b val="true"/>
        <sz val="10"/>
        <rFont val="Noto Sans CJK SC"/>
        <family val="2"/>
      </rPr>
      <t xml:space="preserve">成本（</t>
    </r>
    <r>
      <rPr>
        <b val="true"/>
        <sz val="10"/>
        <rFont val="Arial"/>
        <family val="0"/>
        <charset val="1"/>
      </rPr>
      <t xml:space="preserve">v6.3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</si>
  <si>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2-1b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的單價與機隊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同用可達層級（</t>
    </r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節）；整代不可達時輸出『整代不可達』而不轉移世代權重；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成本列輸出文字；模型規模倍數區間與情境依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報告修訂。標記與理由見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AF2b-*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</si>
  <si>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世代價格門檻、遺留項（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</si>
  <si>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2-2</t>
    </r>
    <r>
      <rPr>
        <sz val="10"/>
        <color rgb="FF000000"/>
        <rFont val="Noto Sans CJK SC"/>
        <family val="2"/>
      </rPr>
      <t xml:space="preserve">：世代間每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收入／回本餘裕持平所需的年價格變化率（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，不含價格；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改讀重解值；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乘生產折減；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／全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改純世代；</t>
    </r>
    <r>
      <rPr>
        <sz val="10"/>
        <color rgb="FF000000"/>
        <rFont val="Arial"/>
        <family val="0"/>
        <charset val="1"/>
      </rPr>
      <t xml:space="preserve">Calib C68 </t>
    </r>
    <r>
      <rPr>
        <sz val="10"/>
        <color rgb="FF000000"/>
        <rFont val="Noto Sans CJK SC"/>
        <family val="2"/>
      </rPr>
      <t xml:space="preserve">標記倒推。標記與理由見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AF2c-*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</si>
  <si>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年度口徑與服務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主口徑（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</si>
  <si>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節）；研發算力依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的主口徑改為支出路線（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路線保留為對照）。標記與理由見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Decisions AF2d-*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</si>
  <si>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</si>
  <si>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、−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 6 </t>
    </r>
    <r>
      <rPr>
        <sz val="10"/>
        <color rgb="FF000000"/>
        <rFont val="Noto Sans CJK SC"/>
        <family val="2"/>
      </rPr>
      <t xml:space="preserve">年）＝</t>
    </r>
    <r>
      <rPr>
        <sz val="10"/>
        <color rgb="FF000000"/>
        <rFont val="Arial"/>
        <family val="0"/>
        <charset val="1"/>
      </rPr>
      <t xml:space="preserve">0.7412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＝降級前服務中階年數 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＝降級後價值比 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、低端 </t>
    </r>
    <r>
      <rPr>
        <sz val="10"/>
        <color rgb="FF000000"/>
        <rFont val="Arial"/>
        <family val="0"/>
        <charset val="1"/>
      </rPr>
      <t xml:space="preserve">IF_PriceRef_Luna ÷ IF_PriceRef_Sol 0.05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0.6426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0.867</t>
    </r>
    <r>
      <rPr>
        <sz val="10"/>
        <color rgb="FF000000"/>
        <rFont val="Noto Sans CJK SC"/>
        <family val="2"/>
      </rPr>
      <t xml:space="preserve">。對照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，不改）與 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；回本所需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 → 0.3645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 → 0.5237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 ≥ 所需 </t>
    </r>
    <r>
      <rPr>
        <sz val="10"/>
        <color rgb="FF000000"/>
        <rFont val="Arial"/>
        <family val="0"/>
        <charset val="1"/>
      </rPr>
      <t xml:space="preserve">L → </t>
    </r>
    <r>
      <rPr>
        <sz val="10"/>
        <color rgb="FF000000"/>
        <rFont val="Noto Sans CJK SC"/>
        <family val="2"/>
      </rPr>
      <t xml:space="preserve">回本（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口徑）。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各含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的「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」列為顯示用連結，不乘入單價。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修正（</t>
    </r>
    <r>
      <rPr>
        <sz val="10"/>
        <color rgb="FF000000"/>
        <rFont val="Arial"/>
        <family val="0"/>
        <charset val="1"/>
      </rPr>
      <t xml:space="preserve">J23</t>
    </r>
    <r>
      <rPr>
        <sz val="10"/>
        <color rgb="FF000000"/>
        <rFont val="Noto Sans CJK SC"/>
        <family val="2"/>
      </rPr>
      <t xml:space="preserve">）：三分營收以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分子營收為基底、廣告每欄各自輸入、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</si>
  <si>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D9 </t>
    </r>
    <r>
      <rPr>
        <b val="true"/>
        <sz val="10"/>
        <rFont val="Noto Sans CJK SC"/>
        <family val="2"/>
      </rPr>
      <t xml:space="preserve">快取進產能與 </t>
    </r>
    <r>
      <rPr>
        <b val="true"/>
        <sz val="10"/>
        <rFont val="Arial"/>
        <family val="0"/>
        <charset val="1"/>
      </rPr>
      <t xml:space="preserve">2-3 </t>
    </r>
    <r>
      <rPr>
        <b val="true"/>
        <sz val="10"/>
        <rFont val="Noto Sans CJK SC"/>
        <family val="2"/>
      </rPr>
      <t xml:space="preserve">後續（</t>
    </r>
    <r>
      <rPr>
        <b val="true"/>
        <sz val="10"/>
        <rFont val="Arial"/>
        <family val="0"/>
        <charset val="1"/>
      </rPr>
      <t xml:space="preserve">v9.0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</si>
  <si>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2-4</t>
    </r>
    <r>
      <rPr>
        <sz val="10"/>
        <color rgb="FF000000"/>
        <rFont val="Noto Sans CJK SC"/>
        <family val="2"/>
      </rPr>
      <t xml:space="preserve">：快取命中進產能（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全部上升，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恢復可達）；免費占比、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、攤提分母同口徑；需求路線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口徑；回本判讀以恆等式讀法為主、字面讀法並列。標記與理由見 </t>
    </r>
    <r>
      <rPr>
        <sz val="10"/>
        <color rgb="FF000000"/>
        <rFont val="Arial"/>
        <family val="0"/>
        <charset val="1"/>
      </rPr>
      <t xml:space="preserve">Decisions AF2e-*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</si>
  <si>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情境、性質欄、驗證計數（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</si>
  <si>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稽核修正 </t>
    </r>
    <r>
      <rPr>
        <sz val="10"/>
        <color rgb="FF000000"/>
        <rFont val="Arial"/>
        <family val="0"/>
        <charset val="1"/>
      </rPr>
      <t xml:space="preserve">2-5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（不回流）；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性質欄與未解釋列；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驗證計數（能失敗的檢查）與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上限、</t>
    </r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對照。標記與理由見 </t>
    </r>
    <r>
      <rPr>
        <sz val="10"/>
        <color rgb="FF000000"/>
        <rFont val="Arial"/>
        <family val="0"/>
        <charset val="1"/>
      </rPr>
      <t xml:space="preserve">Decisions AF2f-*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</si>
  <si>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瘦身 </t>
    </r>
    <r>
      <rPr>
        <b val="true"/>
        <sz val="10"/>
        <rFont val="Arial"/>
        <family val="0"/>
        <charset val="1"/>
      </rPr>
      <t xml:space="preserve">4-1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</si>
  <si>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工程類，輸出不變：刪除 </t>
    </r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頁與無人讀取的格；『用途』欄標記顯示用／未接線／複本讀取；情境格黃底；過時說明改引用現值；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登錄整理。細節見 </t>
    </r>
    <r>
      <rPr>
        <sz val="10"/>
        <color rgb="FF000000"/>
        <rFont val="Arial"/>
        <family val="0"/>
        <charset val="1"/>
      </rPr>
      <t xml:space="preserve">Decisions SL41-*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</si>
  <si>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η </t>
    </r>
    <r>
      <rPr>
        <b val="true"/>
        <sz val="10"/>
        <rFont val="Noto Sans CJK SC"/>
        <family val="2"/>
      </rPr>
      <t xml:space="preserve">校準與驗證判準（</t>
    </r>
    <r>
      <rPr>
        <b val="true"/>
        <sz val="10"/>
        <rFont val="Arial"/>
        <family val="0"/>
        <charset val="1"/>
      </rPr>
      <t xml:space="preserve">v10.2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</si>
  <si>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改兩家量測商的幾何平均；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節校準複本列（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無解、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解不物理，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未寫入）；驗證 </t>
    </r>
    <r>
      <rPr>
        <sz val="10"/>
        <color rgb="FF000000"/>
        <rFont val="Arial"/>
        <family val="0"/>
        <charset val="1"/>
      </rPr>
      <t xml:space="preserve">V2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判準更新並新增 </t>
    </r>
    <r>
      <rPr>
        <sz val="10"/>
        <color rgb="FF000000"/>
        <rFont val="Arial"/>
        <family val="0"/>
        <charset val="1"/>
      </rPr>
      <t xml:space="preserve">V15–V17</t>
    </r>
    <r>
      <rPr>
        <sz val="10"/>
        <color rgb="FF000000"/>
        <rFont val="Noto Sans CJK SC"/>
        <family val="2"/>
      </rPr>
      <t xml:space="preserve">。細節見 </t>
    </r>
    <r>
      <rPr>
        <sz val="10"/>
        <color rgb="FF000000"/>
        <rFont val="Arial"/>
        <family val="0"/>
        <charset val="1"/>
      </rPr>
      <t xml:space="preserve">Decisions ETA-*</t>
    </r>
    <r>
      <rPr>
        <sz val="10"/>
        <color rgb="FF000000"/>
        <rFont val="Noto Sans CJK SC"/>
        <family val="2"/>
      </rPr>
      <t xml:space="preserve">。</t>
    </r>
  </si>
  <si>
    <r>
      <rPr>
        <b val="true"/>
        <sz val="13"/>
        <rFont val="Arial"/>
        <family val="0"/>
        <charset val="1"/>
      </rPr>
      <t xml:space="preserve">Inputs — </t>
    </r>
    <r>
      <rPr>
        <b val="true"/>
        <sz val="13"/>
        <rFont val="Noto Sans CJK SC"/>
        <family val="2"/>
      </rPr>
      <t xml:space="preserve">全域輸入（藍字可改）</t>
    </r>
  </si>
  <si>
    <t xml:space="preserve">低成本／基準／高成本為角落情境；單值輸入只填基準欄</t>
  </si>
  <si>
    <t xml:space="preserve">參數</t>
  </si>
  <si>
    <t xml:space="preserve">單位</t>
  </si>
  <si>
    <t xml:space="preserve">低成本</t>
  </si>
  <si>
    <t xml:space="preserve">基準</t>
  </si>
  <si>
    <t xml:space="preserve">高成本</t>
  </si>
  <si>
    <t xml:space="preserve">標記</t>
  </si>
  <si>
    <t xml:space="preserve">來源／說明</t>
  </si>
  <si>
    <t xml:space="preserve">控制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</si>
  <si>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</t>
    </r>
  </si>
  <si>
    <t xml:space="preserve">GW</t>
  </si>
  <si>
    <t xml:space="preserve">Decision</t>
  </si>
  <si>
    <t xml:space="preserve">口徑：IT 關鍵電力。v5.11 起 DC_Cost 為設施合計；Interface、L1 與模型頁的「每 GW」一律已除以本格（F14）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</si>
  <si>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D5:F5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</si>
  <si>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功率情境（1 低／2 基準／3 高）</t>
  </si>
  <si>
    <t xml:space="preserve">選擇</t>
  </si>
  <si>
    <t xml:space="preserve">決定每架配電設計功率；見 Spec_Rack 第 9–11 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</si>
  <si>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D6:F6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</si>
  <si>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規模與電力</t>
  </si>
  <si>
    <t xml:space="preserve">機架外 IT 電力占比</t>
  </si>
  <si>
    <t xml:space="preserve">%</t>
  </si>
  <si>
    <t xml:space="preserve">Assumed</t>
  </si>
  <si>
    <t xml:space="preserve">管理、儲存、網路機櫃等；區間 5–12%（見 Sensitivity）。v4 未計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</si>
  <si>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D8:F8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</si>
  <si>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PUE</t>
  </si>
  <si>
    <t xml:space="preserve">x</t>
  </si>
  <si>
    <t xml:space="preserve">Analogy</t>
  </si>
  <si>
    <t xml:space="preserve">液冷 AI 設施；v4＝1.2。S14 ｜全機型共用；未分氣冷 Hopper。3A Q6a：超大規模業者 1.10–1.17、colo 1.4–1.6；影響 m_fleet ≤ ±1.3%（稽核 2，Y4）。</t>
  </si>
  <si>
    <t xml:space="preserve">平均用電 ÷ 配電設計功率</t>
  </si>
  <si>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以逐步能量模型閉合檢查</t>
    </r>
  </si>
  <si>
    <t xml:space="preserve">電價</t>
  </si>
  <si>
    <t xml:space="preserve">$/kWh</t>
  </si>
  <si>
    <t xml:space="preserve">Verified/Analogy</t>
  </si>
  <si>
    <r>
      <rPr>
        <sz val="10"/>
        <color rgb="FF000000"/>
        <rFont val="Arial"/>
        <family val="0"/>
        <charset val="1"/>
      </rPr>
      <t xml:space="preserve">EIA </t>
    </r>
    <r>
      <rPr>
        <sz val="10"/>
        <color rgb="FF000000"/>
        <rFont val="Noto Sans CJK SC"/>
        <family val="2"/>
      </rPr>
      <t xml:space="preserve">美國工業電價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年約 </t>
    </r>
    <r>
      <rPr>
        <sz val="10"/>
        <color rgb="FF000000"/>
        <rFont val="Arial"/>
        <family val="0"/>
        <charset val="1"/>
      </rPr>
      <t xml:space="preserve">8.6–8.7¢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S13</t>
    </r>
    <r>
      <rPr>
        <sz val="10"/>
        <color rgb="FF000000"/>
        <rFont val="Noto Sans CJK SC"/>
        <family val="2"/>
      </rPr>
      <t xml:space="preserve">）；低端為 </t>
    </r>
    <r>
      <rPr>
        <sz val="10"/>
        <color rgb="FF000000"/>
        <rFont val="Arial"/>
        <family val="0"/>
        <charset val="1"/>
      </rPr>
      <t xml:space="preserve">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</si>
  <si>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設備（機架以外）</t>
    </r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</si>
  <si>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</si>
  <si>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級多一層以上交換，取 </t>
    </r>
    <r>
      <rPr>
        <sz val="10"/>
        <color rgb="FF000000"/>
        <rFont val="Arial"/>
        <family val="0"/>
        <charset val="1"/>
      </rPr>
      <t xml:space="preserve">5–15%</t>
    </r>
  </si>
  <si>
    <t xml:space="preserve">儲存與管理設備</t>
  </si>
  <si>
    <t xml:space="preserve">$/GPU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</si>
  <si>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$350/GPU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$25K/</t>
    </r>
    <r>
      <rPr>
        <sz val="10"/>
        <color rgb="FF000000"/>
        <rFont val="Noto Sans CJK SC"/>
        <family val="2"/>
      </rPr>
      <t xml:space="preserve">架）</t>
    </r>
  </si>
  <si>
    <t xml:space="preserve">廠房（每 MW IT，$M）</t>
  </si>
  <si>
    <t xml:space="preserve">土地</t>
  </si>
  <si>
    <t xml:space="preserve">$M/MW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</si>
  <si>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英畝 </t>
    </r>
    <r>
      <rPr>
        <sz val="10"/>
        <color rgb="FF000000"/>
        <rFont val="Arial"/>
        <family val="0"/>
        <charset val="1"/>
      </rPr>
      <t xml:space="preserve">× $200K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GW</t>
    </r>
  </si>
  <si>
    <t xml:space="preserve">建物與基地工程</t>
  </si>
  <si>
    <t xml:space="preserve">分項為假設；總額以 JLL 校準（S12） ｜各世代同值；建物造價未分氣冷 Hopper。3A Q6a：超大規模業者 1.10–1.17、colo 1.4–1.6；影響 m_fleet ≤ ±1.3%（稽核 2，Y4）。</t>
  </si>
  <si>
    <t xml:space="preserve">電力設施（變電、中壓、發電機、UPS）</t>
  </si>
  <si>
    <t xml:space="preserve">同上</t>
  </si>
  <si>
    <t xml:space="preserve">機械與散熱（液冷迴路、散熱設備）</t>
  </si>
  <si>
    <t xml:space="preserve">機架內冷板與 manifold 含在機架價格 ｜各世代同值；機械與散熱未分氣冷 Hopper。3A Q6a：超大規模業者 1.10–1.17、colo 1.4–1.6；影響 m_fleet ≤ ±1.3%（稽核 2，Y4）。</t>
  </si>
  <si>
    <t xml:space="preserve">光纖、佈線、保全、BMS</t>
  </si>
  <si>
    <t xml:space="preserve">設計、管理與預備費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</si>
  <si>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</si>
  <si>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</si>
  <si>
    <t xml:space="preserve">年限與資金成本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</si>
  <si>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設備折舊年限</t>
    </r>
  </si>
  <si>
    <t xml:space="preserve">年</t>
  </si>
  <si>
    <t xml:space="preserve">Verified</t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</si>
  <si>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與主要 </t>
    </r>
    <r>
      <rPr>
        <sz val="10"/>
        <color rgb="FF000000"/>
        <rFont val="Arial"/>
        <family val="0"/>
        <charset val="1"/>
      </rPr>
      <t xml:space="preserve">hyperscaler 6 </t>
    </r>
    <r>
      <rPr>
        <sz val="10"/>
        <color rgb="FF000000"/>
        <rFont val="Noto Sans CJK SC"/>
        <family val="2"/>
      </rPr>
      <t xml:space="preserve">年；</t>
    </r>
    <r>
      <rPr>
        <sz val="10"/>
        <color rgb="FF000000"/>
        <rFont val="Arial"/>
        <family val="0"/>
        <charset val="1"/>
      </rPr>
      <t xml:space="preserve">Nebius 4 </t>
    </r>
    <r>
      <rPr>
        <sz val="10"/>
        <color rgb="FF000000"/>
        <rFont val="Noto Sans CJK SC"/>
        <family val="2"/>
      </rPr>
      <t xml:space="preserve">年、</t>
    </r>
    <r>
      <rPr>
        <sz val="10"/>
        <color rgb="FF000000"/>
        <rFont val="Arial"/>
        <family val="0"/>
        <charset val="1"/>
      </rPr>
      <t xml:space="preserve">Lambda 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S15</t>
    </r>
    <r>
      <rPr>
        <sz val="10"/>
        <color rgb="FF000000"/>
        <rFont val="Noto Sans CJK SC"/>
        <family val="2"/>
      </rPr>
      <t xml:space="preserve">）。高成本情境取 </t>
    </r>
    <r>
      <rPr>
        <sz val="10"/>
        <color rgb="FF000000"/>
        <rFont val="Arial"/>
        <family val="0"/>
        <charset val="1"/>
      </rPr>
      <t xml:space="preserve">4</t>
    </r>
  </si>
  <si>
    <t xml:space="preserve">建物年限</t>
  </si>
  <si>
    <t xml:space="preserve">v4</t>
  </si>
  <si>
    <t xml:space="preserve">電力設施年限</t>
  </si>
  <si>
    <t xml:space="preserve">機械與散熱年限</t>
  </si>
  <si>
    <t xml:space="preserve">光纖與保全年限</t>
  </si>
  <si>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（經濟口徑）</t>
    </r>
  </si>
  <si>
    <t xml:space="preserve">與擁有者無關的單一假設；下游公司模型以自身 WACC 覆寫（Andy 2026-09-30 決定）</t>
  </si>
  <si>
    <t xml:space="preserve">營運費用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</si>
  <si>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維護（壽命期等值；由兩段費率計算）</t>
    </r>
  </si>
  <si>
    <r>
      <rPr>
        <sz val="10"/>
        <color rgb="FF808080"/>
        <rFont val="Arial"/>
        <family val="0"/>
        <charset val="1"/>
      </rPr>
      <t xml:space="preserve">% IT </t>
    </r>
    <r>
      <rPr>
        <sz val="10"/>
        <color rgb="FF808080"/>
        <rFont val="Noto Sans CJK SC"/>
        <family val="2"/>
      </rPr>
      <t xml:space="preserve">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</si>
  <si>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t xml:space="preserve">Derived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</si>
  <si>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：壽命期等值單一費率＝</t>
    </r>
    <r>
      <rPr>
        <sz val="10"/>
        <color rgb="FF000000"/>
        <rFont val="Arial"/>
        <family val="0"/>
        <charset val="1"/>
      </rPr>
      <t xml:space="preserve">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 ÷ 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折舊年限；</t>
    </r>
    <r>
      <rPr>
        <sz val="10"/>
        <color rgb="FF000000"/>
        <rFont val="Arial"/>
        <family val="0"/>
        <charset val="1"/>
      </rPr>
      <t xml:space="preserve">r_y</t>
    </r>
    <r>
      <rPr>
        <sz val="10"/>
        <color rgb="FF000000"/>
        <rFont val="Noto Sans CJK SC"/>
        <family val="2"/>
      </rPr>
      <t xml:space="preserve">＝保固期內費率（</t>
    </r>
    <r>
      <rPr>
        <sz val="10"/>
        <color rgb="FF000000"/>
        <rFont val="Arial"/>
        <family val="0"/>
        <charset val="1"/>
      </rPr>
      <t xml:space="preserve">y ≤ </t>
    </r>
    <r>
      <rPr>
        <sz val="10"/>
        <color rgb="FF000000"/>
        <rFont val="Noto Sans CJK SC"/>
        <family val="2"/>
      </rPr>
      <t xml:space="preserve">保固年限）或保固期滿後費率，第 </t>
    </r>
    <r>
      <rPr>
        <sz val="10"/>
        <color rgb="FF000000"/>
        <rFont val="Arial"/>
        <family val="0"/>
        <charset val="1"/>
      </rPr>
      <t xml:space="preserve">36–38 </t>
    </r>
    <r>
      <rPr>
        <sz val="10"/>
        <color rgb="FF000000"/>
        <rFont val="Noto Sans CJK SC"/>
        <family val="2"/>
      </rPr>
      <t xml:space="preserve">列）；各欄用同欄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列仍為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本列。</t>
    </r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以前為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沿用，</t>
    </r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）</t>
    </r>
  </si>
  <si>
    <t xml:space="preserve">廠房維護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</si>
  <si>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廠房資本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</si>
  <si>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2%</t>
    </r>
  </si>
  <si>
    <t xml:space="preserve">人員</t>
  </si>
  <si>
    <r>
      <rPr>
        <sz val="10"/>
        <color rgb="FF808080"/>
        <rFont val="Arial"/>
        <family val="0"/>
        <charset val="1"/>
      </rPr>
      <t xml:space="preserve">$M/GW/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</si>
  <si>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500 FTE × $150K</t>
    </r>
  </si>
  <si>
    <t xml:space="preserve">軟體授權與連線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</si>
  <si>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$200M</t>
    </r>
  </si>
  <si>
    <t xml:space="preserve">水與耗材</t>
  </si>
  <si>
    <r>
      <rPr>
        <sz val="10"/>
        <color rgb="FF808080"/>
        <rFont val="Arial"/>
        <family val="0"/>
        <charset val="1"/>
      </rPr>
      <t xml:space="preserve">$M/MW/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</si>
  <si>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$50K/MW</t>
    </r>
  </si>
  <si>
    <t xml:space="preserve">財產稅與保險</t>
  </si>
  <si>
    <r>
      <rPr>
        <sz val="10"/>
        <color rgb="FF808080"/>
        <rFont val="Arial"/>
        <family val="0"/>
        <charset val="1"/>
      </rPr>
      <t xml:space="preserve">% </t>
    </r>
    <r>
      <rPr>
        <sz val="10"/>
        <color rgb="FF808080"/>
        <rFont val="Noto Sans CJK SC"/>
        <family val="2"/>
      </rPr>
      <t xml:space="preserve">總資本</t>
    </r>
    <r>
      <rPr>
        <sz val="10"/>
        <color rgb="FF808080"/>
        <rFont val="Arial"/>
        <family val="0"/>
        <charset val="1"/>
      </rPr>
      <t xml:space="preserve">/</t>
    </r>
    <r>
      <rPr>
        <sz val="10"/>
        <color rgb="FF80808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</si>
  <si>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</si>
  <si>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</t>
    </r>
  </si>
  <si>
    <r>
      <rPr>
        <sz val="10"/>
        <color rgb="FF000000"/>
        <rFont val="Arial"/>
        <family val="0"/>
        <charset val="1"/>
      </rPr>
      <t xml:space="preserve">v5.31 X18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年人工、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年到場（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；零件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涵蓋）；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</t>
    </r>
    <r>
      <rPr>
        <sz val="10"/>
        <color rgb="FF000000"/>
        <rFont val="Noto Sans CJK SC"/>
        <family val="2"/>
      </rPr>
      <t xml:space="preserve">。單值（低、高＝基準）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</si>
  <si>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</si>
  <si>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：保固期內零件與人工由原廠負擔（保固費已含在機架售價），只剩備品、物流與保固外損壞；</t>
    </r>
    <r>
      <rPr>
        <sz val="10"/>
        <color rgb="FF000000"/>
        <rFont val="Arial"/>
        <family val="0"/>
        <charset val="1"/>
      </rPr>
      <t xml:space="preserve">CoreWeave 2026 Q2 </t>
    </r>
    <r>
      <rPr>
        <sz val="10"/>
        <color rgb="FF000000"/>
        <rFont val="Noto Sans CJK SC"/>
        <family val="2"/>
      </rPr>
      <t xml:space="preserve">營運成本反推約 </t>
    </r>
    <r>
      <rPr>
        <sz val="10"/>
        <color rgb="FF000000"/>
        <rFont val="Arial"/>
        <family val="0"/>
        <charset val="1"/>
      </rPr>
      <t xml:space="preserve">0–0.8%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E276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0.25–1%</t>
    </r>
    <r>
      <rPr>
        <sz val="10"/>
        <color rgb="FF000000"/>
        <rFont val="Noto Sans CJK SC"/>
        <family val="2"/>
      </rPr>
      <t xml:space="preserve">（高端涵蓋 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</si>
  <si>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</t>
    </r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</si>
  <si>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DGX B200 </t>
    </r>
    <r>
      <rPr>
        <sz val="10"/>
        <color rgb="FF000000"/>
        <rFont val="Noto Sans CJK SC"/>
        <family val="2"/>
      </rPr>
      <t xml:space="preserve">原廠支援續約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 ≈ 系統價 </t>
    </r>
    <r>
      <rPr>
        <sz val="10"/>
        <color rgb="FF000000"/>
        <rFont val="Arial"/>
        <family val="0"/>
        <charset val="1"/>
      </rPr>
      <t xml:space="preserve">3.8%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SRC_DC_017</t>
    </r>
    <r>
      <rPr>
        <sz val="10"/>
        <color rgb="FF000000"/>
        <rFont val="Noto Sans CJK SC"/>
        <family val="2"/>
      </rPr>
      <t xml:space="preserve">，英國經銷牌價）；</t>
    </r>
    <r>
      <rPr>
        <sz val="10"/>
        <color rgb="FF000000"/>
        <rFont val="Arial"/>
        <family val="0"/>
        <charset val="1"/>
      </rPr>
      <t xml:space="preserve">Introl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TCO 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E275</t>
    </r>
    <r>
      <rPr>
        <sz val="10"/>
        <color rgb="FF000000"/>
        <rFont val="Noto Sans CJK SC"/>
        <family val="2"/>
      </rPr>
      <t xml:space="preserve">）作高端；大型買家應低於零售牌價 → 基準 </t>
    </r>
    <r>
      <rPr>
        <sz val="10"/>
        <color rgb="FF000000"/>
        <rFont val="Arial"/>
        <family val="0"/>
        <charset val="1"/>
      </rPr>
      <t xml:space="preserve">3%</t>
    </r>
  </si>
  <si>
    <r>
      <rPr>
        <b val="true"/>
        <sz val="13"/>
        <rFont val="Arial"/>
        <family val="0"/>
        <charset val="1"/>
      </rPr>
      <t xml:space="preserve">Spec_Rack — </t>
    </r>
    <r>
      <rPr>
        <b val="true"/>
        <sz val="13"/>
        <rFont val="Noto Sans CJK SC"/>
        <family val="2"/>
      </rPr>
      <t xml:space="preserve">各世代機架規格（</t>
    </r>
    <r>
      <rPr>
        <b val="true"/>
        <sz val="13"/>
        <rFont val="Arial"/>
        <family val="0"/>
        <charset val="1"/>
      </rPr>
      <t xml:space="preserve">Block 1 </t>
    </r>
    <r>
      <rPr>
        <b val="true"/>
        <sz val="13"/>
        <rFont val="Noto Sans CJK SC"/>
        <family val="2"/>
      </rPr>
      <t xml:space="preserve">只含功率與價格；效能規格於 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加入）</t>
    </r>
  </si>
  <si>
    <t xml:space="preserve">價格為買方取得價（CSP/hyperscaler 口徑）；Hopper 以 4 台 HGX 構成一架（32 GPU）以便比較</t>
  </si>
  <si>
    <t xml:space="preserve">世代</t>
  </si>
  <si>
    <t xml:space="preserve">Hopper H100</t>
  </si>
  <si>
    <t xml:space="preserve">GB200 NVL72</t>
  </si>
  <si>
    <t xml:space="preserve">GB300 NVL72</t>
  </si>
  <si>
    <t xml:space="preserve">VR200 NVL72</t>
  </si>
  <si>
    <r>
      <rPr>
        <b val="true"/>
        <sz val="10"/>
        <color rgb="FF000000"/>
        <rFont val="Arial"/>
        <family val="0"/>
        <charset val="1"/>
      </rPr>
      <t xml:space="preserve">Rubin Ultra</t>
    </r>
    <r>
      <rPr>
        <b val="true"/>
        <sz val="10"/>
        <color rgb="FF000000"/>
        <rFont val="Noto Sans CJK SC"/>
        <family val="2"/>
      </rPr>
      <t xml:space="preserve">（</t>
    </r>
    <r>
      <rPr>
        <b val="true"/>
        <sz val="10"/>
        <color rgb="FF000000"/>
        <rFont val="Arial"/>
        <family val="0"/>
        <charset val="1"/>
      </rPr>
      <t xml:space="preserve">MGX NVL </t>
    </r>
    <r>
      <rPr>
        <b val="true"/>
        <sz val="10"/>
        <color rgb="FF000000"/>
        <rFont val="Noto Sans CJK SC"/>
        <family val="2"/>
      </rPr>
      <t xml:space="preserve">單架，</t>
    </r>
    <r>
      <rPr>
        <b val="true"/>
        <sz val="10"/>
        <color rgb="FF000000"/>
        <rFont val="Arial"/>
        <family val="0"/>
        <charset val="1"/>
      </rPr>
      <t xml:space="preserve">72 GPU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</si>
  <si>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標記／來源</t>
  </si>
  <si>
    <t xml:space="preserve">平台／出貨</t>
  </si>
  <si>
    <r>
      <rPr>
        <sz val="10"/>
        <color rgb="FF000000"/>
        <rFont val="Arial"/>
        <family val="0"/>
        <charset val="1"/>
      </rPr>
      <t xml:space="preserve">HGX ×4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</si>
  <si>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2024–25 </t>
    </r>
    <r>
      <rPr>
        <sz val="10"/>
        <color rgb="FF000000"/>
        <rFont val="Noto Sans CJK SC"/>
        <family val="2"/>
      </rPr>
      <t xml:space="preserve">出貨</t>
    </r>
  </si>
  <si>
    <r>
      <rPr>
        <sz val="10"/>
        <color rgb="FF000000"/>
        <rFont val="Arial"/>
        <family val="0"/>
        <charset val="1"/>
      </rPr>
      <t xml:space="preserve">2025–26 </t>
    </r>
    <r>
      <rPr>
        <sz val="10"/>
        <color rgb="FF000000"/>
        <rFont val="Noto Sans CJK SC"/>
        <family val="2"/>
      </rPr>
      <t xml:space="preserve">主力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</si>
  <si>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下半年開始出貨</t>
    </r>
  </si>
  <si>
    <r>
      <rPr>
        <sz val="10"/>
        <color rgb="FF000000"/>
        <rFont val="Arial"/>
        <family val="0"/>
        <charset val="1"/>
      </rPr>
      <t xml:space="preserve">2027 </t>
    </r>
    <r>
      <rPr>
        <sz val="10"/>
        <color rgb="FF000000"/>
        <rFont val="Noto Sans CJK SC"/>
        <family val="2"/>
      </rPr>
      <t xml:space="preserve">預估（</t>
    </r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個單架互連）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</si>
  <si>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封裝／架</t>
    </r>
  </si>
  <si>
    <t xml:space="preserve">冷卻</t>
  </si>
  <si>
    <t xml:space="preserve">氣冷</t>
  </si>
  <si>
    <t xml:space="preserve">液冷</t>
  </si>
  <si>
    <t xml:space="preserve">液冷（必須）</t>
  </si>
  <si>
    <t xml:space="preserve">配電設計功率 低（kW）</t>
  </si>
  <si>
    <t xml:space="preserve">配電設計功率 基準（kW）</t>
  </si>
  <si>
    <t xml:space="preserve">配電設計功率 高（kW）</t>
  </si>
  <si>
    <t xml:space="preserve">機架價格 低（$M）</t>
  </si>
  <si>
    <t xml:space="preserve">機架價格 基準（$M）</t>
  </si>
  <si>
    <t xml:space="preserve">機架價格 高（$M）</t>
  </si>
  <si>
    <t xml:space="preserve">價格涵蓋範圍</t>
  </si>
  <si>
    <r>
      <rPr>
        <sz val="10"/>
        <color rgb="FF808080"/>
        <rFont val="Arial"/>
        <family val="0"/>
        <charset val="1"/>
      </rPr>
      <t xml:space="preserve">8 GPU </t>
    </r>
    <r>
      <rPr>
        <sz val="10"/>
        <color rgb="FF808080"/>
        <rFont val="Noto Sans CJK SC"/>
        <family val="2"/>
      </rPr>
      <t xml:space="preserve">伺服器 </t>
    </r>
    <r>
      <rPr>
        <sz val="10"/>
        <color rgb="FF808080"/>
        <rFont val="Arial"/>
        <family val="0"/>
        <charset val="1"/>
      </rPr>
      <t xml:space="preserve">+ CPU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NIC</t>
    </r>
    <r>
      <rPr>
        <sz val="10"/>
        <color rgb="FF808080"/>
        <rFont val="Noto Sans CJK SC"/>
        <family val="2"/>
      </rPr>
      <t xml:space="preserve">、機內儲存；以部署當時取得價計</t>
    </r>
  </si>
  <si>
    <t xml:space="preserve">運算匣＋NVLink 交換匣＋機架內冷卻</t>
  </si>
  <si>
    <t xml:space="preserve">運算匣＋交換匣＋冷卻＋約 $1M NAND；是否含部分網路待查（S11）；Bernstein 平均約 $9.1M 含網路約 $1.2M；本模型另計 Scale-out 網路，高情境約重複 2%（v5.31 J4）</t>
  </si>
  <si>
    <r>
      <rPr>
        <sz val="10"/>
        <color rgb="FF808080"/>
        <rFont val="Arial"/>
        <family val="0"/>
        <charset val="1"/>
      </rPr>
      <t xml:space="preserve">72 </t>
    </r>
    <r>
      <rPr>
        <sz val="10"/>
        <color rgb="FF808080"/>
        <rFont val="Noto Sans CJK SC"/>
        <family val="2"/>
      </rPr>
      <t xml:space="preserve">封裝（單架）；價格＝</t>
    </r>
    <r>
      <rPr>
        <sz val="10"/>
        <color rgb="FF808080"/>
        <rFont val="Arial"/>
        <family val="0"/>
        <charset val="1"/>
      </rPr>
      <t xml:space="preserve">VR200 </t>
    </r>
    <r>
      <rPr>
        <sz val="10"/>
        <color rgb="FF808080"/>
        <rFont val="Noto Sans CJK SC"/>
        <family val="2"/>
      </rPr>
      <t xml:space="preserve">機架價格（</t>
    </r>
    <r>
      <rPr>
        <sz val="10"/>
        <color rgb="FF808080"/>
        <rFont val="Arial"/>
        <family val="0"/>
        <charset val="1"/>
      </rPr>
      <t xml:space="preserve">F12</t>
    </r>
    <r>
      <rPr>
        <sz val="10"/>
        <color rgb="FF808080"/>
        <rFont val="Noto Sans CJK SC"/>
        <family val="2"/>
      </rPr>
      <t xml:space="preserve">，售價口徑）</t>
    </r>
    <r>
      <rPr>
        <sz val="10"/>
        <color rgb="FF808080"/>
        <rFont val="Arial"/>
        <family val="0"/>
        <charset val="1"/>
      </rPr>
      <t xml:space="preserve">× 1.5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2.0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2.5</t>
    </r>
    <r>
      <rPr>
        <sz val="10"/>
        <color rgb="FF808080"/>
        <rFont val="Noto Sans CJK SC"/>
        <family val="2"/>
      </rPr>
      <t xml:space="preserve">（公式；倍數 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J2</t>
    </r>
    <r>
      <rPr>
        <sz val="10"/>
        <color rgb="FF808080"/>
        <rFont val="Noto Sans CJK SC"/>
        <family val="2"/>
      </rPr>
      <t xml:space="preserve">）</t>
    </r>
  </si>
  <si>
    <t xml:space="preserve">功率來源</t>
  </si>
  <si>
    <r>
      <rPr>
        <sz val="10"/>
        <color rgb="FF808080"/>
        <rFont val="Arial"/>
        <family val="0"/>
        <charset val="1"/>
      </rPr>
      <t xml:space="preserve">DGX H100 </t>
    </r>
    <r>
      <rPr>
        <sz val="10"/>
        <color rgb="FF808080"/>
        <rFont val="Noto Sans CJK SC"/>
        <family val="2"/>
      </rPr>
      <t xml:space="preserve">最大 </t>
    </r>
    <r>
      <rPr>
        <sz val="10"/>
        <color rgb="FF808080"/>
        <rFont val="Arial"/>
        <family val="0"/>
        <charset val="1"/>
      </rPr>
      <t xml:space="preserve">10.2 kW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8 GPU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S1</t>
    </r>
    <r>
      <rPr>
        <sz val="10"/>
        <color rgb="FF808080"/>
        <rFont val="Noto Sans CJK SC"/>
        <family val="2"/>
      </rPr>
      <t xml:space="preserve">）</t>
    </r>
  </si>
  <si>
    <t xml:space="preserve">約 120–132 kW（SemiAnalysis 約 120；HPE QuickSpecs TDP 132 nominal；S3）；基準 132；v4＝139</t>
  </si>
  <si>
    <r>
      <rPr>
        <sz val="10"/>
        <color rgb="FF808080"/>
        <rFont val="Arial"/>
        <family val="0"/>
        <charset val="1"/>
      </rPr>
      <t xml:space="preserve">132–140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wing.vc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S3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S5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136</t>
    </r>
    <r>
      <rPr>
        <sz val="10"/>
        <color rgb="FF808080"/>
        <rFont val="Noto Sans CJK SC"/>
        <family val="2"/>
      </rPr>
      <t xml:space="preserve">（區間中點）</t>
    </r>
  </si>
  <si>
    <r>
      <rPr>
        <sz val="10"/>
        <color rgb="FF808080"/>
        <rFont val="Arial"/>
        <family val="0"/>
        <charset val="1"/>
      </rPr>
      <t xml:space="preserve">Max-Q 188</t>
    </r>
    <r>
      <rPr>
        <sz val="10"/>
        <color rgb="FF808080"/>
        <rFont val="Noto Sans CJK SC"/>
        <family val="2"/>
      </rPr>
      <t xml:space="preserve">、</t>
    </r>
    <r>
      <rPr>
        <sz val="10"/>
        <color rgb="FF808080"/>
        <rFont val="Arial"/>
        <family val="0"/>
        <charset val="1"/>
      </rPr>
      <t xml:space="preserve">Max-P 227 kW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Schneider Electric </t>
    </r>
    <r>
      <rPr>
        <sz val="10"/>
        <color rgb="FF808080"/>
        <rFont val="Noto Sans CJK SC"/>
        <family val="2"/>
      </rPr>
      <t xml:space="preserve">的 </t>
    </r>
    <r>
      <rPr>
        <sz val="10"/>
        <color rgb="FF808080"/>
        <rFont val="Arial"/>
        <family val="0"/>
        <charset val="1"/>
      </rPr>
      <t xml:space="preserve">NVIDIA VR NVL72 </t>
    </r>
    <r>
      <rPr>
        <sz val="10"/>
        <color rgb="FF808080"/>
        <rFont val="Noto Sans CJK SC"/>
        <family val="2"/>
      </rPr>
      <t xml:space="preserve">參考設計 </t>
    </r>
    <r>
      <rPr>
        <sz val="10"/>
        <color rgb="FF808080"/>
        <rFont val="Arial"/>
        <family val="0"/>
        <charset val="1"/>
      </rPr>
      <t xml:space="preserve">MaxQ 188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MaxP 227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2026-05-08</t>
    </r>
    <r>
      <rPr>
        <sz val="10"/>
        <color rgb="FF808080"/>
        <rFont val="Noto Sans CJK SC"/>
        <family val="2"/>
      </rPr>
      <t xml:space="preserve">；</t>
    </r>
    <r>
      <rPr>
        <sz val="10"/>
        <color rgb="FF808080"/>
        <rFont val="Arial"/>
        <family val="0"/>
        <charset val="1"/>
      </rPr>
      <t xml:space="preserve">S7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Supermicro </t>
    </r>
    <r>
      <rPr>
        <sz val="10"/>
        <color rgb="FF808080"/>
        <rFont val="Noto Sans CJK SC"/>
        <family val="2"/>
      </rPr>
      <t xml:space="preserve">產品頁 </t>
    </r>
    <r>
      <rPr>
        <sz val="10"/>
        <color rgb="FF808080"/>
        <rFont val="Arial"/>
        <family val="0"/>
        <charset val="1"/>
      </rPr>
      <t xml:space="preserve">DLC-2 </t>
    </r>
    <r>
      <rPr>
        <sz val="10"/>
        <color rgb="FF808080"/>
        <rFont val="Noto Sans CJK SC"/>
        <family val="2"/>
      </rPr>
      <t xml:space="preserve">冷卻 </t>
    </r>
    <r>
      <rPr>
        <sz val="10"/>
        <color rgb="FF808080"/>
        <rFont val="Arial"/>
        <family val="0"/>
        <charset val="1"/>
      </rPr>
      <t xml:space="preserve">sized for 227 kW per rack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SRC_HW_064</t>
    </r>
    <r>
      <rPr>
        <sz val="10"/>
        <color rgb="FF808080"/>
        <rFont val="Noto Sans CJK SC"/>
        <family val="2"/>
      </rPr>
      <t xml:space="preserve">，口徑不同）</t>
    </r>
  </si>
  <si>
    <t xml:space="preserve">單架 300／340／454 kW（Derived：低＝舊路線圖 600 kW 依封裝數等比；基準＝72×3.6 kW＋VR 機架非 GPU 功率 61–97 kW 取 340；高＝VR 整架／GPU 功率比值等比；NVIDIA 未公布單架 kW）</t>
  </si>
  <si>
    <t xml:space="preserve">價格來源</t>
  </si>
  <si>
    <t xml:space="preserve">部署當時 8 GPU HGX 伺服器約 $250–320K（Raymond James 2023-08，每顆 H100 2.5–3 萬；SemiAnalysis 2023-05 DGX H100 約 27 萬，旁證；HPCwire 2024-09 約 2.5 萬／顆）；×4＝一架。原 S2（clusterbid 2026 報價）降為對照。超大規模業者實付價：已搜尋，未找到（3A Q6b）。</t>
  </si>
  <si>
    <r>
      <rPr>
        <sz val="10"/>
        <color rgb="FF808080"/>
        <rFont val="Arial"/>
        <family val="0"/>
        <charset val="1"/>
      </rPr>
      <t xml:space="preserve">$2.8–3.4M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S4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Barron's </t>
    </r>
    <r>
      <rPr>
        <sz val="10"/>
        <color rgb="FF808080"/>
        <rFont val="Noto Sans CJK SC"/>
        <family val="2"/>
      </rPr>
      <t xml:space="preserve">約 </t>
    </r>
    <r>
      <rPr>
        <sz val="10"/>
        <color rgb="FF808080"/>
        <rFont val="Arial"/>
        <family val="0"/>
        <charset val="1"/>
      </rPr>
      <t xml:space="preserve">$3M</t>
    </r>
  </si>
  <si>
    <r>
      <rPr>
        <sz val="10"/>
        <color rgb="FF808080"/>
        <rFont val="Arial"/>
        <family val="0"/>
        <charset val="1"/>
      </rPr>
      <t xml:space="preserve">v5.31 J1</t>
    </r>
    <r>
      <rPr>
        <sz val="10"/>
        <color rgb="FF808080"/>
        <rFont val="Noto Sans CJK SC"/>
        <family val="2"/>
      </rPr>
      <t xml:space="preserve">：低 </t>
    </r>
    <r>
      <rPr>
        <sz val="10"/>
        <color rgb="FF808080"/>
        <rFont val="Arial"/>
        <family val="0"/>
        <charset val="1"/>
      </rPr>
      <t xml:space="preserve">4.0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Morgan Stanley BOM </t>
    </r>
    <r>
      <rPr>
        <sz val="10"/>
        <color rgb="FF808080"/>
        <rFont val="Noto Sans CJK SC"/>
        <family val="2"/>
      </rPr>
      <t xml:space="preserve">推算（</t>
    </r>
    <r>
      <rPr>
        <sz val="10"/>
        <color rgb="FF808080"/>
        <rFont val="Arial"/>
        <family val="0"/>
        <charset val="1"/>
      </rPr>
      <t xml:space="preserve">VR200 BOM 7.8 ÷ 1.95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SRC_HW_052</t>
    </r>
    <r>
      <rPr>
        <sz val="10"/>
        <color rgb="FF808080"/>
        <rFont val="Noto Sans CJK SC"/>
        <family val="2"/>
      </rPr>
      <t xml:space="preserve">）；基準 </t>
    </r>
    <r>
      <rPr>
        <sz val="10"/>
        <color rgb="FF808080"/>
        <rFont val="Arial"/>
        <family val="0"/>
        <charset val="1"/>
      </rPr>
      <t xml:space="preserve">4.3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BOM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），與 </t>
    </r>
    <r>
      <rPr>
        <sz val="10"/>
        <color rgb="FF808080"/>
        <rFont val="Arial"/>
        <family val="0"/>
        <charset val="1"/>
      </rPr>
      <t xml:space="preserve">VR200 F12 </t>
    </r>
    <r>
      <rPr>
        <sz val="10"/>
        <color rgb="FF808080"/>
        <rFont val="Noto Sans CJK SC"/>
        <family val="2"/>
      </rPr>
      <t xml:space="preserve">算法相同，與 </t>
    </r>
    <r>
      <rPr>
        <sz val="10"/>
        <color rgb="FF808080"/>
        <rFont val="Arial"/>
        <family val="0"/>
        <charset val="1"/>
      </rPr>
      <t xml:space="preserve">Wolfe Research 4.3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SRC_HW_065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）相符；高 </t>
    </r>
    <r>
      <rPr>
        <sz val="10"/>
        <color rgb="FF808080"/>
        <rFont val="Arial"/>
        <family val="0"/>
        <charset val="1"/>
      </rPr>
      <t xml:space="preserve">5.0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Data Gravity 2026-08 </t>
    </r>
    <r>
      <rPr>
        <sz val="10"/>
        <color rgb="FF808080"/>
        <rFont val="Noto Sans CJK SC"/>
        <family val="2"/>
      </rPr>
      <t xml:space="preserve">採購單（不含 </t>
    </r>
    <r>
      <rPr>
        <sz val="10"/>
        <color rgb="FF808080"/>
        <rFont val="Arial"/>
        <family val="0"/>
        <charset val="1"/>
      </rPr>
      <t xml:space="preserve">CDU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SRC_HW_010</t>
    </r>
    <r>
      <rPr>
        <sz val="10"/>
        <color rgb="FF808080"/>
        <rFont val="Noto Sans CJK SC"/>
        <family val="2"/>
      </rPr>
      <t xml:space="preserve">）；媒體 </t>
    </r>
    <r>
      <rPr>
        <sz val="10"/>
        <color rgb="FF808080"/>
        <rFont val="Arial"/>
        <family val="0"/>
        <charset val="1"/>
      </rPr>
      <t xml:space="preserve">$6–6.5M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SRC_HW_007</t>
    </r>
    <r>
      <rPr>
        <sz val="10"/>
        <color rgb="FF808080"/>
        <rFont val="Noto Sans CJK SC"/>
        <family val="2"/>
      </rPr>
      <t xml:space="preserve">）改列 </t>
    </r>
    <r>
      <rPr>
        <sz val="10"/>
        <color rgb="FF808080"/>
        <rFont val="Arial"/>
        <family val="0"/>
        <charset val="1"/>
      </rPr>
      <t xml:space="preserve">Alt</t>
    </r>
    <r>
      <rPr>
        <sz val="10"/>
        <color rgb="FF808080"/>
        <rFont val="Noto Sans CJK SC"/>
        <family val="2"/>
      </rPr>
      <t xml:space="preserve">；公司揭露對照：</t>
    </r>
    <r>
      <rPr>
        <sz val="10"/>
        <color rgb="FF808080"/>
        <rFont val="Arial"/>
        <family val="0"/>
        <charset val="1"/>
      </rPr>
      <t xml:space="preserve">IREN </t>
    </r>
    <r>
      <rPr>
        <sz val="10"/>
        <color rgb="FF808080"/>
        <rFont val="Noto Sans CJK SC"/>
        <family val="2"/>
      </rPr>
      <t xml:space="preserve">每 </t>
    </r>
    <r>
      <rPr>
        <sz val="10"/>
        <color rgb="FF808080"/>
        <rFont val="Arial"/>
        <family val="0"/>
        <charset val="1"/>
      </rPr>
      <t xml:space="preserve">IT MW 29.0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SRC_DC_014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L1_CapexITMW_GB300_vsIREN</t>
    </r>
    <r>
      <rPr>
        <sz val="10"/>
        <color rgb="FF808080"/>
        <rFont val="Noto Sans CJK SC"/>
        <family val="2"/>
      </rPr>
      <t xml:space="preserve">）</t>
    </r>
  </si>
  <si>
    <r>
      <rPr>
        <sz val="10"/>
        <color rgb="FF808080"/>
        <rFont val="Arial"/>
        <family val="0"/>
        <charset val="1"/>
      </rPr>
      <t xml:space="preserve">MS </t>
    </r>
    <r>
      <rPr>
        <sz val="10"/>
        <color rgb="FF808080"/>
        <rFont val="Noto Sans CJK SC"/>
        <family val="2"/>
      </rPr>
      <t xml:space="preserve">物料成本 </t>
    </r>
    <r>
      <rPr>
        <sz val="10"/>
        <color rgb="FF808080"/>
        <rFont val="Arial"/>
        <family val="0"/>
        <charset val="1"/>
      </rPr>
      <t xml:space="preserve">BOM $7.8M</t>
    </r>
    <r>
      <rPr>
        <sz val="10"/>
        <color rgb="FF808080"/>
        <rFont val="Noto Sans CJK SC"/>
        <family val="2"/>
      </rPr>
      <t xml:space="preserve">（自購記憶體 </t>
    </r>
    <r>
      <rPr>
        <sz val="10"/>
        <color rgb="FF808080"/>
        <rFont val="Arial"/>
        <family val="0"/>
        <charset val="1"/>
      </rPr>
      <t xml:space="preserve">$6.7M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Bernstein $9.09M</t>
    </r>
    <r>
      <rPr>
        <sz val="10"/>
        <color rgb="FF808080"/>
        <rFont val="Noto Sans CJK SC"/>
        <family val="2"/>
      </rPr>
      <t xml:space="preserve">；報價 </t>
    </r>
    <r>
      <rPr>
        <sz val="10"/>
        <color rgb="FF808080"/>
        <rFont val="Arial"/>
        <family val="0"/>
        <charset val="1"/>
      </rPr>
      <t xml:space="preserve">$5–7M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S9</t>
    </r>
    <r>
      <rPr>
        <sz val="10"/>
        <color rgb="FF808080"/>
        <rFont val="Noto Sans CJK SC"/>
        <family val="2"/>
      </rPr>
      <t xml:space="preserve">）；</t>
    </r>
    <r>
      <rPr>
        <sz val="10"/>
        <color rgb="FF808080"/>
        <rFont val="Arial"/>
        <family val="0"/>
        <charset val="1"/>
      </rPr>
      <t xml:space="preserve">v5.18</t>
    </r>
    <r>
      <rPr>
        <sz val="10"/>
        <color rgb="FF808080"/>
        <rFont val="Noto Sans CJK SC"/>
        <family val="2"/>
      </rPr>
      <t xml:space="preserve">：基準 </t>
    </r>
    <r>
      <rPr>
        <sz val="10"/>
        <color rgb="FF808080"/>
        <rFont val="Arial"/>
        <family val="0"/>
        <charset val="1"/>
      </rPr>
      <t xml:space="preserve">8.4</t>
    </r>
    <r>
      <rPr>
        <sz val="10"/>
        <color rgb="FF808080"/>
        <rFont val="Noto Sans CJK SC"/>
        <family val="2"/>
      </rPr>
      <t xml:space="preserve">＝</t>
    </r>
    <r>
      <rPr>
        <sz val="10"/>
        <color rgb="FF808080"/>
        <rFont val="Arial"/>
        <family val="0"/>
        <charset val="1"/>
      </rPr>
      <t xml:space="preserve">MS BOM 7.8 ×</t>
    </r>
    <r>
      <rPr>
        <sz val="10"/>
        <color rgb="FF808080"/>
        <rFont val="Noto Sans CJK SC"/>
        <family val="2"/>
      </rPr>
      <t xml:space="preserve">（</t>
    </r>
    <r>
      <rPr>
        <sz val="10"/>
        <color rgb="FF808080"/>
        <rFont val="Arial"/>
        <family val="0"/>
        <charset val="1"/>
      </rPr>
      <t xml:space="preserve">1</t>
    </r>
    <r>
      <rPr>
        <sz val="10"/>
        <color rgb="FF808080"/>
        <rFont val="Noto Sans CJK SC"/>
        <family val="2"/>
      </rPr>
      <t xml:space="preserve">＋代工毛利約 </t>
    </r>
    <r>
      <rPr>
        <sz val="10"/>
        <color rgb="FF808080"/>
        <rFont val="Arial"/>
        <family val="0"/>
        <charset val="1"/>
      </rPr>
      <t xml:space="preserve">7.5%</t>
    </r>
    <r>
      <rPr>
        <sz val="10"/>
        <color rgb="FF808080"/>
        <rFont val="Noto Sans CJK SC"/>
        <family val="2"/>
      </rPr>
      <t xml:space="preserve">，區間 </t>
    </r>
    <r>
      <rPr>
        <sz val="10"/>
        <color rgb="FF808080"/>
        <rFont val="Arial"/>
        <family val="0"/>
        <charset val="1"/>
      </rPr>
      <t xml:space="preserve">5–10%</t>
    </r>
    <r>
      <rPr>
        <sz val="10"/>
        <color rgb="FF808080"/>
        <rFont val="Noto Sans CJK SC"/>
        <family val="2"/>
      </rPr>
      <t xml:space="preserve">，</t>
    </r>
    <r>
      <rPr>
        <sz val="10"/>
        <color rgb="FF808080"/>
        <rFont val="Arial"/>
        <family val="0"/>
        <charset val="1"/>
      </rPr>
      <t xml:space="preserve">Assumed</t>
    </r>
    <r>
      <rPr>
        <sz val="10"/>
        <color rgb="FF808080"/>
        <rFont val="Noto Sans CJK SC"/>
        <family val="2"/>
      </rPr>
      <t xml:space="preserve">）；低 </t>
    </r>
    <r>
      <rPr>
        <sz val="10"/>
        <color rgb="FF808080"/>
        <rFont val="Arial"/>
        <family val="0"/>
        <charset val="1"/>
      </rPr>
      <t xml:space="preserve">7.8</t>
    </r>
    <r>
      <rPr>
        <sz val="10"/>
        <color rgb="FF808080"/>
        <rFont val="Noto Sans CJK SC"/>
        <family val="2"/>
      </rPr>
      <t xml:space="preserve">（零毛利 </t>
    </r>
    <r>
      <rPr>
        <sz val="10"/>
        <color rgb="FF808080"/>
        <rFont val="Arial"/>
        <family val="0"/>
        <charset val="1"/>
      </rPr>
      <t xml:space="preserve">BOM </t>
    </r>
    <r>
      <rPr>
        <sz val="10"/>
        <color rgb="FF808080"/>
        <rFont val="Noto Sans CJK SC"/>
        <family val="2"/>
      </rPr>
      <t xml:space="preserve">下限）、高 </t>
    </r>
    <r>
      <rPr>
        <sz val="10"/>
        <color rgb="FF808080"/>
        <rFont val="Arial"/>
        <family val="0"/>
        <charset val="1"/>
      </rPr>
      <t xml:space="preserve">9.1</t>
    </r>
    <r>
      <rPr>
        <sz val="10"/>
        <color rgb="FF808080"/>
        <rFont val="Noto Sans CJK SC"/>
        <family val="2"/>
      </rPr>
      <t xml:space="preserve">（不變，</t>
    </r>
    <r>
      <rPr>
        <sz val="10"/>
        <color rgb="FF808080"/>
        <rFont val="Arial"/>
        <family val="0"/>
        <charset val="1"/>
      </rPr>
      <t xml:space="preserve">Bernstein</t>
    </r>
    <r>
      <rPr>
        <sz val="10"/>
        <color rgb="FF808080"/>
        <rFont val="Noto Sans CJK SC"/>
        <family val="2"/>
      </rPr>
      <t xml:space="preserve">）</t>
    </r>
  </si>
  <si>
    <t xml:space="preserve">無公開報價；純推估，不進基準比較</t>
  </si>
  <si>
    <t xml:space="preserve">Interested-party</t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</si>
  <si>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Interested-party</t>
    </r>
  </si>
  <si>
    <r>
      <rPr>
        <sz val="10"/>
        <color rgb="FF808080"/>
        <rFont val="Arial"/>
        <family val="0"/>
        <charset val="1"/>
      </rPr>
      <t xml:space="preserve">Derived</t>
    </r>
    <r>
      <rPr>
        <sz val="10"/>
        <color rgb="FF808080"/>
        <rFont val="Noto Sans CJK SC"/>
        <family val="2"/>
      </rPr>
      <t xml:space="preserve">／</t>
    </r>
    <r>
      <rPr>
        <sz val="10"/>
        <color rgb="FF808080"/>
        <rFont val="Arial"/>
        <family val="0"/>
        <charset val="1"/>
      </rPr>
      <t xml:space="preserve">Assumed</t>
    </r>
  </si>
  <si>
    <t xml:space="preserve">註：GPU 數為封裝數。Rubin Ultra 欄為 MGX NVL 單架 72 封裝（NVIDIA 2026-09 技術部落格：NVL576＝8 個單架互連為單一 576-GPU NVLink 域；『GPU』＝封裝為推斷 [Derived]，部落格未明載）；Kyber NVL144 屬 Feynman 世代，不納入。</t>
  </si>
  <si>
    <r>
      <rPr>
        <b val="true"/>
        <sz val="10"/>
        <rFont val="Arial"/>
        <family val="0"/>
        <charset val="1"/>
      </rPr>
      <t xml:space="preserve">B2. </t>
    </r>
    <r>
      <rPr>
        <b val="true"/>
        <sz val="10"/>
        <rFont val="Noto Sans CJK SC"/>
        <family val="2"/>
      </rPr>
      <t xml:space="preserve">效能規格（</t>
    </r>
    <r>
      <rPr>
        <b val="true"/>
        <sz val="10"/>
        <rFont val="Arial"/>
        <family val="0"/>
        <charset val="1"/>
      </rPr>
      <t xml:space="preserve">Block 2</t>
    </r>
    <r>
      <rPr>
        <b val="true"/>
        <sz val="10"/>
        <rFont val="Noto Sans CJK SC"/>
        <family val="2"/>
      </rPr>
      <t xml:space="preserve">；藍字＝輸入；每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封裝）</t>
    </r>
  </si>
  <si>
    <t xml:space="preserve">服務精度</t>
  </si>
  <si>
    <t xml:space="preserve">FP8</t>
  </si>
  <si>
    <t xml:space="preserve">NVFP4</t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</si>
  <si>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不支援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服務</t>
    </r>
  </si>
  <si>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（基準）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</si>
  <si>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規格）：</t>
    </r>
    <r>
      <rPr>
        <sz val="9"/>
        <color rgb="FF595959"/>
        <rFont val="Arial"/>
        <family val="0"/>
        <charset val="1"/>
      </rPr>
      <t xml:space="preserve">H100 FP8 dense 1,979 TF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更正；</t>
    </r>
    <r>
      <rPr>
        <sz val="9"/>
        <color rgb="FF595959"/>
        <rFont val="Arial"/>
        <family val="0"/>
        <charset val="1"/>
      </rPr>
      <t xml:space="preserve">v5.4 </t>
    </r>
    <r>
      <rPr>
        <sz val="9"/>
        <color rgb="FF595959"/>
        <rFont val="Noto Sans CJK SC"/>
        <family val="2"/>
      </rPr>
      <t xml:space="preserve">誤填 </t>
    </r>
    <r>
      <rPr>
        <sz val="9"/>
        <color rgb="FF595959"/>
        <rFont val="Arial"/>
        <family val="0"/>
        <charset val="1"/>
      </rPr>
      <t xml:space="preserve">BF16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989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GB200 FP4 10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HGX 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B300 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NVFP4 </t>
    </r>
    <r>
      <rPr>
        <sz val="9"/>
        <color rgb="FF595959"/>
        <rFont val="Noto Sans CJK SC"/>
        <family val="2"/>
      </rPr>
      <t xml:space="preserve">訓練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DGX VR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2,520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單架 </t>
    </r>
    <r>
      <rPr>
        <sz val="9"/>
        <color rgb="FF595959"/>
        <rFont val="Arial"/>
        <family val="0"/>
        <charset val="1"/>
      </rPr>
      <t xml:space="preserve">72 </t>
    </r>
    <r>
      <rPr>
        <sz val="9"/>
        <color rgb="FF595959"/>
        <rFont val="Noto Sans CJK SC"/>
        <family val="2"/>
      </rPr>
      <t xml:space="preserve">封裝：</t>
    </r>
    <r>
      <rPr>
        <sz val="9"/>
        <color rgb="FF595959"/>
        <rFont val="Arial"/>
        <family val="0"/>
        <charset val="1"/>
      </rPr>
      <t xml:space="preserve">2×35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</si>
  <si>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Noto Sans CJK SC"/>
        <family val="2"/>
      </rPr>
      <t xml:space="preserve">峰值（高情境：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推論口徑）</t>
    </r>
    <r>
      <rPr>
        <sz val="10"/>
        <color rgb="FF000000"/>
        <rFont val="Arial"/>
        <family val="0"/>
        <charset val="1"/>
      </rPr>
      <t xml:space="preserve">PF/GPU</t>
    </r>
  </si>
  <si>
    <r>
      <rPr>
        <sz val="9"/>
        <color rgb="FF595959"/>
        <rFont val="Arial"/>
        <family val="0"/>
        <charset val="1"/>
      </rPr>
      <t xml:space="preserve">Rubin 50 PF </t>
    </r>
    <r>
      <rPr>
        <sz val="9"/>
        <color rgb="FF595959"/>
        <rFont val="Noto Sans CJK SC"/>
        <family val="2"/>
      </rPr>
      <t xml:space="preserve">含自適應壓縮（</t>
    </r>
    <r>
      <rPr>
        <sz val="9"/>
        <color rgb="FF595959"/>
        <rFont val="Arial"/>
        <family val="0"/>
        <charset val="1"/>
      </rPr>
      <t xml:space="preserve">Sparse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每封裝 </t>
    </r>
    <r>
      <rPr>
        <sz val="9"/>
        <color rgb="FF595959"/>
        <rFont val="Arial"/>
        <family val="0"/>
        <charset val="1"/>
      </rPr>
      <t xml:space="preserve">2×50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15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104]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：只作高情境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</si>
  <si>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 </t>
    </r>
    <r>
      <rPr>
        <sz val="10"/>
        <color rgb="FF000000"/>
        <rFont val="Arial"/>
        <family val="0"/>
        <charset val="1"/>
      </rPr>
      <t xml:space="preserve">GB/GPU</t>
    </r>
  </si>
  <si>
    <r>
      <rPr>
        <sz val="9"/>
        <color rgb="FF595959"/>
        <rFont val="Arial"/>
        <family val="0"/>
        <charset val="1"/>
      </rPr>
      <t xml:space="preserve">GB200 NVL72 13.4 TB ÷ 72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192 </t>
    </r>
    <r>
      <rPr>
        <sz val="9"/>
        <color rgb="FF595959"/>
        <rFont val="Noto Sans CJK SC"/>
        <family val="2"/>
      </rPr>
      <t xml:space="preserve">計。</t>
    </r>
    <r>
      <rPr>
        <sz val="9"/>
        <color rgb="FF595959"/>
        <rFont val="Arial"/>
        <family val="0"/>
        <charset val="1"/>
      </rPr>
      <t xml:space="preserve">RU HBM4e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TB/</t>
    </r>
    <r>
      <rPr>
        <sz val="9"/>
        <color rgb="FF595959"/>
        <rFont val="Noto Sans CJK SC"/>
        <family val="2"/>
      </rPr>
      <t xml:space="preserve">封裝。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</si>
  <si>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 </t>
    </r>
    <r>
      <rPr>
        <sz val="10"/>
        <color rgb="FF000000"/>
        <rFont val="Arial"/>
        <family val="0"/>
        <charset val="1"/>
      </rPr>
      <t xml:space="preserve">TB/s/GPU</t>
    </r>
  </si>
  <si>
    <r>
      <rPr>
        <sz val="9"/>
        <color rgb="FF595959"/>
        <rFont val="Arial"/>
        <family val="0"/>
        <charset val="1"/>
      </rPr>
      <t xml:space="preserve">Rubin 22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上修）；</t>
    </r>
    <r>
      <rPr>
        <sz val="9"/>
        <color rgb="FF595959"/>
        <rFont val="Arial"/>
        <family val="0"/>
        <charset val="1"/>
      </rPr>
      <t xml:space="preserve">RU 4.6 PB/s ÷ 144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S28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</si>
  <si>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 </t>
    </r>
    <r>
      <rPr>
        <sz val="10"/>
        <color rgb="FF000000"/>
        <rFont val="Arial"/>
        <family val="0"/>
        <charset val="1"/>
      </rPr>
      <t xml:space="preserve">TB/s/GPU</t>
    </r>
    <r>
      <rPr>
        <sz val="10"/>
        <color rgb="FF000000"/>
        <rFont val="Noto Sans CJK SC"/>
        <family val="2"/>
      </rPr>
      <t xml:space="preserve">（單向）</t>
    </r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</si>
  <si>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400G IB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900 GB/s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NVLink 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1.8 TB/s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規格表 </t>
    </r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取同 </t>
    </r>
    <r>
      <rPr>
        <sz val="9"/>
        <color rgb="FF595959"/>
        <rFont val="Arial"/>
        <family val="0"/>
        <charset val="1"/>
      </rPr>
      <t xml:space="preserve">VR [Assumed]</t>
    </r>
  </si>
  <si>
    <r>
      <rPr>
        <sz val="10"/>
        <color rgb="FF000000"/>
        <rFont val="Arial"/>
        <family val="0"/>
        <charset val="1"/>
      </rPr>
      <t xml:space="preserve">Scale-up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</si>
  <si>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</si>
  <si>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公開配方 </t>
    </r>
    <r>
      <rPr>
        <sz val="9"/>
        <color rgb="FF595959"/>
        <rFont val="Arial"/>
        <family val="0"/>
        <charset val="1"/>
      </rPr>
      <t xml:space="preserve">dep32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跨節點 </t>
    </r>
    <r>
      <rPr>
        <sz val="9"/>
        <color rgb="FF595959"/>
        <rFont val="Arial"/>
        <family val="0"/>
        <charset val="1"/>
      </rPr>
      <t xml:space="preserve">[Analogy DeepSeek]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  <r>
      <rPr>
        <sz val="9"/>
        <color rgb="FF595959"/>
        <rFont val="Noto Sans CJK SC"/>
        <family val="2"/>
      </rPr>
      <t xml:space="preserve">。權重放不下時自動加寬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</si>
  <si>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</si>
  <si>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bit</t>
    </r>
    <r>
      <rPr>
        <sz val="9"/>
        <color rgb="FF595959"/>
        <rFont val="Noto Sans CJK SC"/>
        <family val="2"/>
      </rPr>
      <t xml:space="preserve">＋每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值 </t>
    </r>
    <r>
      <rPr>
        <sz val="9"/>
        <color rgb="FF595959"/>
        <rFont val="Arial"/>
        <family val="0"/>
        <charset val="1"/>
      </rPr>
      <t xml:space="preserve">8 bit scale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0.5625 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Hopper FP8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</si>
  <si>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</si>
  <si>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注意力、路由、</t>
    </r>
    <r>
      <rPr>
        <sz val="9"/>
        <color rgb="FF595959"/>
        <rFont val="Arial"/>
        <family val="0"/>
        <charset val="1"/>
      </rPr>
      <t xml:space="preserve">embedding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存放 </t>
    </r>
    <r>
      <rPr>
        <sz val="9"/>
        <color rgb="FF595959"/>
        <rFont val="Arial"/>
        <family val="0"/>
        <charset val="1"/>
      </rPr>
      <t xml:space="preserve">[Analogy V4]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</si>
  <si>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數（算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</si>
  <si>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配方 </t>
    </r>
    <r>
      <rPr>
        <sz val="9"/>
        <color rgb="FF595959"/>
        <rFont val="Arial"/>
        <family val="0"/>
        <charset val="1"/>
      </rPr>
      <t xml:space="preserve">dep4 prefill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</si>
  <si>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 </t>
    </r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封裝（能量用）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</si>
  <si>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1.8 kW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推估。僅用於能量下限估算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</si>
  <si>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 </t>
    </r>
    <r>
      <rPr>
        <sz val="10"/>
        <color rgb="FF000000"/>
        <rFont val="Arial"/>
        <family val="0"/>
        <charset val="1"/>
      </rPr>
      <t xml:space="preserve">pJ/byte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</si>
  <si>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HBM3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3.9 pJ/bit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HBM3e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HBM4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±30%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S29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</si>
  <si>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計算用峰值 </t>
    </r>
    <r>
      <rPr>
        <b val="true"/>
        <sz val="10"/>
        <rFont val="Arial"/>
        <family val="0"/>
        <charset val="1"/>
      </rPr>
      <t xml:space="preserve">PF/GPU</t>
    </r>
    <r>
      <rPr>
        <b val="true"/>
        <sz val="10"/>
        <rFont val="Noto Sans CJK SC"/>
        <family val="2"/>
      </rPr>
      <t xml:space="preserve">（依 </t>
    </r>
    <r>
      <rPr>
        <b val="true"/>
        <sz val="10"/>
        <rFont val="Arial"/>
        <family val="0"/>
        <charset val="1"/>
      </rPr>
      <t xml:space="preserve">Serving </t>
    </r>
    <r>
      <rPr>
        <b val="true"/>
        <sz val="10"/>
        <rFont val="Noto Sans CJK SC"/>
        <family val="2"/>
      </rPr>
      <t xml:space="preserve">峰值情境）</t>
    </r>
  </si>
  <si>
    <r>
      <rPr>
        <sz val="10"/>
        <color rgb="FF000000"/>
        <rFont val="Arial"/>
        <family val="0"/>
        <charset val="1"/>
      </rPr>
      <t xml:space="preserve">Ridge point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FLOP/byte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</si>
  <si>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B3.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Block 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dense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封裝；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FP8 </t>
    </r>
    <r>
      <rPr>
        <b val="true"/>
        <sz val="10"/>
        <rFont val="Noto Sans CJK SC"/>
        <family val="2"/>
      </rPr>
      <t xml:space="preserve">列為分母，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）</t>
    </r>
  </si>
  <si>
    <t xml:space="preserve">BF16 dense PF/GPU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</si>
  <si>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H100 989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NVL72 288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VR×2 [Assumed]</t>
    </r>
  </si>
  <si>
    <r>
      <rPr>
        <sz val="10"/>
        <color rgb="FF000000"/>
        <rFont val="Arial"/>
        <family val="0"/>
        <charset val="1"/>
      </rPr>
      <t xml:space="preserve">FP8 dense PF/GPU</t>
    </r>
    <r>
      <rPr>
        <sz val="10"/>
        <color rgb="FF000000"/>
        <rFont val="Noto Sans CJK SC"/>
        <family val="2"/>
      </rPr>
      <t xml:space="preserve">（訓練基準，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</si>
  <si>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H100 1,979 TF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FP8 5 PF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B300 </t>
    </r>
    <r>
      <rPr>
        <sz val="9"/>
        <color rgb="FF595959"/>
        <rFont val="Noto Sans CJK SC"/>
        <family val="2"/>
      </rPr>
      <t xml:space="preserve">未提升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VR NVL72 1,260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17.5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1,260 PF÷72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Dense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35.0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5 EF÷144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34.7]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</si>
  <si>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PF/GPU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</si>
  <si>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GB200 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Rubin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Blackwell 3.5 </t>
    </r>
    <r>
      <rPr>
        <sz val="9"/>
        <color rgb="FF595959"/>
        <rFont val="Noto Sans CJK SC"/>
        <family val="2"/>
      </rPr>
      <t xml:space="preserve">倍）；</t>
    </r>
    <r>
      <rPr>
        <sz val="9"/>
        <color rgb="FF595959"/>
        <rFont val="Arial"/>
        <family val="0"/>
        <charset val="1"/>
      </rPr>
      <t xml:space="preserve">GB300 15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10–15]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VR 2,520 PF ÷ 72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RU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2×VR 35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70 [Derived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，舊 </t>
    </r>
    <r>
      <rPr>
        <sz val="9"/>
        <color rgb="FF595959"/>
        <rFont val="Arial"/>
        <family val="0"/>
        <charset val="1"/>
      </rPr>
      <t xml:space="preserve">VR×104/50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73]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</si>
  <si>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C41:G41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</si>
  <si>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Noto Sans CJK SC"/>
        <family val="2"/>
      </rPr>
      <t xml:space="preserve">模型規模倍數（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，啟用參數倍數，相對 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快照）</t>
    </r>
  </si>
  <si>
    <r>
      <rPr>
        <sz val="10"/>
        <color rgb="FF000000"/>
        <rFont val="Noto Sans CJK SC"/>
        <family val="2"/>
      </rPr>
      <t xml:space="preserve">模型規模倍數：基準（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</si>
  <si>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D1(c)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＝固定模型口徑（截面比較）；情境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預設（</t>
    </r>
    <r>
      <rPr>
        <sz val="9"/>
        <color rgb="FF595959"/>
        <rFont val="Arial"/>
        <family val="0"/>
        <charset val="1"/>
      </rPr>
      <t xml:space="preserve">R-a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快照）。只放大參數（每 </t>
    </r>
    <r>
      <rPr>
        <sz val="9"/>
        <color rgb="FF595959"/>
        <rFont val="Arial"/>
        <family val="0"/>
        <charset val="1"/>
      </rPr>
      <t xml:space="preserve">token FLOPs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與層數不變，所以是模型變大效果的下限。第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Rubin Ultra</t>
    </r>
    <r>
      <rPr>
        <sz val="9"/>
        <color rgb="FF595959"/>
        <rFont val="Noto Sans CJK SC"/>
        <family val="2"/>
      </rPr>
      <t xml:space="preserve">）固定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，只為讓具名範圍與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的世代索引（</t>
    </r>
    <r>
      <rPr>
        <sz val="9"/>
        <color rgb="FF595959"/>
        <rFont val="Arial"/>
        <family val="0"/>
        <charset val="1"/>
      </rPr>
      <t xml:space="preserve">1–5</t>
    </r>
    <r>
      <rPr>
        <sz val="9"/>
        <color rgb="FF595959"/>
        <rFont val="Noto Sans CJK SC"/>
        <family val="2"/>
      </rPr>
      <t xml:space="preserve">）一致；</t>
    </r>
    <r>
      <rPr>
        <sz val="9"/>
        <color rgb="FF595959"/>
        <rFont val="Arial"/>
        <family val="0"/>
        <charset val="1"/>
      </rPr>
      <t xml:space="preserve">J1 </t>
    </r>
    <r>
      <rPr>
        <sz val="9"/>
        <color rgb="FF595959"/>
        <rFont val="Noto Sans CJK SC"/>
        <family val="2"/>
      </rPr>
      <t xml:space="preserve">只定義前四代</t>
    </r>
  </si>
  <si>
    <r>
      <rPr>
        <sz val="10"/>
        <color rgb="FF000000"/>
        <rFont val="Noto Sans CJK SC"/>
        <family val="2"/>
      </rPr>
      <t xml:space="preserve">模型規模倍數：低（</t>
    </r>
    <r>
      <rPr>
        <sz val="10"/>
        <color rgb="FF000000"/>
        <rFont val="Arial"/>
        <family val="0"/>
        <charset val="1"/>
      </rPr>
      <t xml:space="preserve">ARCH_ScaleGen_Lo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</si>
  <si>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）｜區間低端（相對 </t>
    </r>
    <r>
      <rPr>
        <sz val="9"/>
        <color rgb="FF595959"/>
        <rFont val="Arial"/>
        <family val="0"/>
        <charset val="1"/>
      </rPr>
      <t xml:space="preserve">2026 Arch </t>
    </r>
    <r>
      <rPr>
        <sz val="9"/>
        <color rgb="FF595959"/>
        <rFont val="Noto Sans CJK SC"/>
        <family val="2"/>
      </rPr>
      <t xml:space="preserve">快照的啟用參數倍數）：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代表模型 </t>
    </r>
    <r>
      <rPr>
        <sz val="9"/>
        <color rgb="FF595959"/>
        <rFont val="Arial"/>
        <family val="0"/>
        <charset val="1"/>
      </rPr>
      <t xml:space="preserve">GPT-4 </t>
    </r>
    <r>
      <rPr>
        <sz val="9"/>
        <color rgb="FF595959"/>
        <rFont val="Noto Sans CJK SC"/>
        <family val="2"/>
      </rPr>
      <t xml:space="preserve">級啟用參數約 </t>
    </r>
    <r>
      <rPr>
        <sz val="9"/>
        <color rgb="FF595959"/>
        <rFont val="Arial"/>
        <family val="0"/>
        <charset val="1"/>
      </rPr>
      <t xml:space="preserve">220–280B</t>
    </r>
    <r>
      <rPr>
        <sz val="9"/>
        <color rgb="FF595959"/>
        <rFont val="Noto Sans CJK SC"/>
        <family val="2"/>
      </rPr>
      <t xml:space="preserve">，大於快照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180B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0.1 </t>
    </r>
    <r>
      <rPr>
        <sz val="9"/>
        <color rgb="FF595959"/>
        <rFont val="Noto Sans CJK SC"/>
        <family val="2"/>
      </rPr>
      <t xml:space="preserve">方向錯誤，改 </t>
    </r>
    <r>
      <rPr>
        <sz val="9"/>
        <color rgb="FF595959"/>
        <rFont val="Arial"/>
        <family val="0"/>
        <charset val="1"/>
      </rPr>
      <t xml:space="preserve">0.5</t>
    </r>
  </si>
  <si>
    <r>
      <rPr>
        <sz val="10"/>
        <color rgb="FF000000"/>
        <rFont val="Noto Sans CJK SC"/>
        <family val="2"/>
      </rPr>
      <t xml:space="preserve">模型規模倍數：高（</t>
    </r>
    <r>
      <rPr>
        <sz val="10"/>
        <color rgb="FF000000"/>
        <rFont val="Arial"/>
        <family val="0"/>
        <charset val="1"/>
      </rPr>
      <t xml:space="preserve">ARCH_ScaleGen_Hi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</si>
  <si>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）｜區間高端：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GB200 1.0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Rubin Ultra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Hopper 1.3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4.4 </t>
    </r>
    <r>
      <rPr>
        <sz val="9"/>
        <color rgb="FF595959"/>
        <rFont val="Noto Sans CJK SC"/>
        <family val="2"/>
      </rPr>
      <t xml:space="preserve">無證據）；情境 </t>
    </r>
    <r>
      <rPr>
        <sz val="9"/>
        <color rgb="FF595959"/>
        <rFont val="Arial"/>
        <family val="0"/>
        <charset val="1"/>
      </rPr>
      <t xml:space="preserve">d1_model_scale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Hopper 0.8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0.55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1.4</t>
    </r>
    <r>
      <rPr>
        <sz val="9"/>
        <color rgb="FF595959"/>
        <rFont val="Noto Sans CJK SC"/>
        <family val="2"/>
      </rPr>
      <t xml:space="preserve">。暫不分層級（留待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決定）</t>
    </r>
  </si>
  <si>
    <r>
      <rPr>
        <b val="true"/>
        <sz val="13"/>
        <rFont val="Arial"/>
        <family val="0"/>
        <charset val="1"/>
      </rPr>
      <t xml:space="preserve">Arch — </t>
    </r>
    <r>
      <rPr>
        <b val="true"/>
        <sz val="13"/>
        <rFont val="Noto Sans CJK SC"/>
        <family val="2"/>
      </rPr>
      <t xml:space="preserve">三層級代表架構（</t>
    </r>
    <r>
      <rPr>
        <b val="true"/>
        <sz val="13"/>
        <rFont val="Arial"/>
        <family val="0"/>
        <charset val="1"/>
      </rPr>
      <t xml:space="preserve">D5</t>
    </r>
    <r>
      <rPr>
        <b val="true"/>
        <sz val="13"/>
        <rFont val="Noto Sans CJK SC"/>
        <family val="2"/>
      </rPr>
      <t xml:space="preserve">：每層級一個代表；參數為公開模型卡或推估）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</si>
  <si>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以公開權重模型為物理代表 </t>
    </r>
    <r>
      <rPr>
        <sz val="9"/>
        <color rgb="FF595959"/>
        <rFont val="Arial"/>
        <family val="0"/>
        <charset val="1"/>
      </rPr>
      <t xml:space="preserve">[Analogy</t>
    </r>
    <r>
      <rPr>
        <sz val="9"/>
        <color rgb="FF595959"/>
        <rFont val="Noto Sans CJK SC"/>
        <family val="2"/>
      </rPr>
      <t xml:space="preserve">：對應封閉層級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為封閉前沿代理，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以情境處理（</t>
    </r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</si>
  <si>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（低層）</t>
    </r>
  </si>
  <si>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（中層）</t>
    </r>
  </si>
  <si>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（頂層）</t>
    </r>
  </si>
  <si>
    <t xml:space="preserve">代表架構</t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</si>
  <si>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類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</si>
  <si>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類</t>
    </r>
  </si>
  <si>
    <t xml:space="preserve">封閉前沿代理</t>
  </si>
  <si>
    <r>
      <rPr>
        <sz val="9"/>
        <color rgb="FF595959"/>
        <rFont val="Arial"/>
        <family val="0"/>
        <charset val="1"/>
      </rPr>
      <t xml:space="preserve">D5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</t>
    </r>
  </si>
  <si>
    <t xml:space="preserve">總參數</t>
  </si>
  <si>
    <t xml:space="preserve">B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</si>
  <si>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</t>
    </r>
  </si>
  <si>
    <r>
      <rPr>
        <sz val="9"/>
        <color rgb="FF595959"/>
        <rFont val="Arial"/>
        <family val="0"/>
        <charset val="1"/>
      </rPr>
      <t xml:space="preserve">V4-Flash 284B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1.6T</t>
    </r>
    <r>
      <rPr>
        <sz val="9"/>
        <color rgb="FF595959"/>
        <rFont val="Noto Sans CJK SC"/>
        <family val="2"/>
      </rPr>
      <t xml:space="preserve">（模型卡，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4T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2–10T]</t>
    </r>
  </si>
  <si>
    <t xml:space="preserve">啟用參數</t>
  </si>
  <si>
    <r>
      <rPr>
        <sz val="9"/>
        <color rgb="FF595959"/>
        <rFont val="Arial"/>
        <family val="0"/>
        <charset val="1"/>
      </rPr>
      <t xml:space="preserve">V4-Flash 13B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49B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180B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60–250B]</t>
    </r>
  </si>
  <si>
    <t xml:space="preserve">層數</t>
  </si>
  <si>
    <t xml:space="preserve">層</t>
  </si>
  <si>
    <r>
      <rPr>
        <sz val="9"/>
        <color rgb="FF595959"/>
        <rFont val="Arial"/>
        <family val="0"/>
        <charset val="1"/>
      </rPr>
      <t xml:space="preserve">V4-Pro 61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config.json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V4-Flash 43</t>
    </r>
    <r>
      <rPr>
        <sz val="9"/>
        <color rgb="FF595959"/>
        <rFont val="Noto Sans CJK SC"/>
        <family val="2"/>
      </rPr>
      <t xml:space="preserve">（二手）；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</si>
  <si>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d_model</t>
  </si>
  <si>
    <r>
      <rPr>
        <sz val="9"/>
        <color rgb="FF595959"/>
        <rFont val="Arial"/>
        <family val="0"/>
        <charset val="1"/>
      </rPr>
      <t xml:space="preserve">V4-Pro 7168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4096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hidden_size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</si>
  <si>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query heads</t>
  </si>
  <si>
    <r>
      <rPr>
        <sz val="9"/>
        <color rgb="FF595959"/>
        <rFont val="Arial"/>
        <family val="0"/>
        <charset val="1"/>
      </rPr>
      <t xml:space="preserve">V4-Pro 128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V4-Flash 64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config.json num_attention_heads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讀原文）；</t>
    </r>
    <r>
      <rPr>
        <sz val="9"/>
        <color rgb="FF595959"/>
        <rFont val="Arial"/>
        <family val="0"/>
        <charset val="1"/>
      </rPr>
      <t xml:space="preserve">Astra [Assumed]</t>
    </r>
  </si>
  <si>
    <t xml:space="preserve">head_dim</t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</si>
  <si>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單一 </t>
    </r>
    <r>
      <rPr>
        <sz val="9"/>
        <color rgb="FF595959"/>
        <rFont val="Arial"/>
        <family val="0"/>
        <charset val="1"/>
      </rPr>
      <t xml:space="preserve">512 </t>
    </r>
    <r>
      <rPr>
        <sz val="9"/>
        <color rgb="FF595959"/>
        <rFont val="Noto Sans CJK SC"/>
        <family val="2"/>
      </rPr>
      <t xml:space="preserve">維 </t>
    </r>
    <r>
      <rPr>
        <sz val="9"/>
        <color rgb="FF595959"/>
        <rFont val="Arial"/>
        <family val="0"/>
        <charset val="1"/>
      </rPr>
      <t xml:space="preserve">KV head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128</t>
    </r>
  </si>
  <si>
    <t xml:space="preserve">routed experts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</si>
  <si>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</si>
  <si>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t xml:space="preserve">shared experts</t>
  </si>
  <si>
    <t xml:space="preserve">vocab</t>
  </si>
  <si>
    <t xml:space="preserve">全注意力層比例</t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</si>
  <si>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HCA </t>
    </r>
    <r>
      <rPr>
        <sz val="9"/>
        <color rgb="FF595959"/>
        <rFont val="Noto Sans CJK SC"/>
        <family val="2"/>
      </rPr>
      <t xml:space="preserve">約各半；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全層注意力</t>
    </r>
  </si>
  <si>
    <r>
      <rPr>
        <sz val="10"/>
        <color rgb="FF000000"/>
        <rFont val="Noto Sans CJK SC"/>
        <family val="2"/>
      </rPr>
      <t xml:space="preserve">全注意力層跨度上限（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＝全上下文）</t>
    </r>
  </si>
  <si>
    <t xml:space="preserve">tok</t>
  </si>
  <si>
    <r>
      <rPr>
        <sz val="9"/>
        <color rgb="FF595959"/>
        <rFont val="Arial"/>
        <family val="0"/>
        <charset val="1"/>
      </rPr>
      <t xml:space="preserve">V4 CSA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top-k 1,024 </t>
    </r>
    <r>
      <rPr>
        <sz val="9"/>
        <color rgb="FF595959"/>
        <rFont val="Noto Sans CJK SC"/>
        <family val="2"/>
      </rPr>
      <t xml:space="preserve">壓縮塊 </t>
    </r>
    <r>
      <rPr>
        <sz val="9"/>
        <color rgb="FF595959"/>
        <rFont val="Arial"/>
        <family val="0"/>
        <charset val="1"/>
      </rPr>
      <t xml:space="preserve">× 4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128 </t>
    </r>
    <r>
      <rPr>
        <sz val="9"/>
        <color rgb="FF595959"/>
        <rFont val="Noto Sans CJK SC"/>
        <family val="2"/>
      </rPr>
      <t xml:space="preserve">窗口</t>
    </r>
  </si>
  <si>
    <t xml:space="preserve">其他層壓縮比</t>
  </si>
  <si>
    <r>
      <rPr>
        <sz val="9"/>
        <color rgb="FF595959"/>
        <rFont val="Arial"/>
        <family val="0"/>
        <charset val="1"/>
      </rPr>
      <t xml:space="preserve">V4 HCA 128× </t>
    </r>
    <r>
      <rPr>
        <sz val="9"/>
        <color rgb="FF595959"/>
        <rFont val="Noto Sans CJK SC"/>
        <family val="2"/>
      </rPr>
      <t xml:space="preserve">壓縮</t>
    </r>
  </si>
  <si>
    <t xml:space="preserve">其他層滑動窗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</si>
  <si>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混合／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全層 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GQA-8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</si>
  <si>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J1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</si>
  <si>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</si>
  <si>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（公式）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</si>
  <si>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＝每層 </t>
    </r>
    <r>
      <rPr>
        <sz val="9"/>
        <color rgb="FF595959"/>
        <rFont val="Arial"/>
        <family val="0"/>
        <charset val="1"/>
      </rPr>
      <t xml:space="preserve">KV bytes × </t>
    </r>
    <r>
      <rPr>
        <sz val="9"/>
        <color rgb="FF595959"/>
        <rFont val="Noto Sans CJK SC"/>
        <family val="2"/>
      </rPr>
      <t xml:space="preserve">層數；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混合＝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層比例 </t>
    </r>
    <r>
      <rPr>
        <sz val="9"/>
        <color rgb="FF595959"/>
        <rFont val="Arial"/>
        <family val="0"/>
        <charset val="1"/>
      </rPr>
      <t xml:space="preserve">× 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改公式，值不變）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</si>
  <si>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2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</si>
  <si>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全層 </t>
    </r>
    <r>
      <rPr>
        <sz val="9"/>
        <color rgb="FF595959"/>
        <rFont val="Arial"/>
        <family val="0"/>
        <charset val="1"/>
      </rPr>
      <t xml:space="preserve">MLA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MLA </t>
    </r>
    <r>
      <rPr>
        <sz val="9"/>
        <color rgb="FF595959"/>
        <rFont val="Noto Sans CJK SC"/>
        <family val="2"/>
      </rPr>
      <t xml:space="preserve">每層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元素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</si>
  <si>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r>
      <rPr>
        <sz val="10"/>
        <color rgb="FF000000"/>
        <rFont val="Arial"/>
        <family val="0"/>
        <charset val="1"/>
      </rPr>
      <t xml:space="preserve">KV bytes/token —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</si>
  <si>
    <r>
      <rPr>
        <sz val="9"/>
        <color rgb="FF595959"/>
        <rFont val="Arial"/>
        <family val="0"/>
        <charset val="1"/>
      </rPr>
      <t xml:space="preserve">Astra GQA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KV heads × head_dim × 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bytes</t>
    </r>
  </si>
  <si>
    <t xml:space="preserve">導出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</si>
  <si>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（採用）</t>
    </r>
  </si>
  <si>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LM head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</si>
  <si>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routed expert </t>
    </r>
    <r>
      <rPr>
        <sz val="10"/>
        <color rgb="FF000000"/>
        <rFont val="Noto Sans CJK SC"/>
        <family val="2"/>
      </rPr>
      <t xml:space="preserve">參數</t>
    </r>
  </si>
  <si>
    <r>
      <rPr>
        <sz val="9"/>
        <color rgb="FF595959"/>
        <rFont val="Noto Sans CJK SC"/>
        <family val="2"/>
      </rPr>
      <t xml:space="preserve">由公開總參數與啟用參數反推，確保總數吻合（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方法）</t>
    </r>
  </si>
  <si>
    <r>
      <rPr>
        <sz val="10"/>
        <color rgb="FF000000"/>
        <rFont val="Noto Sans CJK SC"/>
        <family val="2"/>
      </rPr>
      <t xml:space="preserve">非專家參數（注意力、路由、</t>
    </r>
    <r>
      <rPr>
        <sz val="10"/>
        <color rgb="FF000000"/>
        <rFont val="Arial"/>
        <family val="0"/>
        <charset val="1"/>
      </rPr>
      <t xml:space="preserve">embedding</t>
    </r>
    <r>
      <rPr>
        <sz val="10"/>
        <color rgb="FF000000"/>
        <rFont val="Noto Sans CJK SC"/>
        <family val="2"/>
      </rPr>
      <t xml:space="preserve">）</t>
    </r>
  </si>
  <si>
    <t xml:space="preserve">專家參數</t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</si>
  <si>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／每個被注意的 </t>
    </r>
    <r>
      <rPr>
        <sz val="10"/>
        <color rgb="FF000000"/>
        <rFont val="Arial"/>
        <family val="0"/>
        <charset val="1"/>
      </rPr>
      <t xml:space="preserve">token</t>
    </r>
  </si>
  <si>
    <t xml:space="preserve">FLOP</t>
  </si>
  <si>
    <r>
      <rPr>
        <sz val="10"/>
        <color rgb="FF000000"/>
        <rFont val="Arial"/>
        <family val="0"/>
        <charset val="1"/>
      </rPr>
      <t xml:space="preserve">128K </t>
    </r>
    <r>
      <rPr>
        <sz val="10"/>
        <color rgb="FF000000"/>
        <rFont val="Noto Sans CJK SC"/>
        <family val="2"/>
      </rPr>
      <t xml:space="preserve">上下文每序列 </t>
    </r>
    <r>
      <rPr>
        <sz val="10"/>
        <color rgb="FF000000"/>
        <rFont val="Arial"/>
        <family val="0"/>
        <charset val="1"/>
      </rPr>
      <t xml:space="preserve">KV</t>
    </r>
  </si>
  <si>
    <t xml:space="preserve">GB</t>
  </si>
  <si>
    <t xml:space="preserve">上下文長度（上一列顯示用）</t>
  </si>
  <si>
    <t xml:space="preserve">結構選擇</t>
  </si>
  <si>
    <r>
      <rPr>
        <sz val="9"/>
        <color rgb="FF595959"/>
        <rFont val="Noto Sans CJK SC"/>
        <family val="2"/>
      </rPr>
      <t xml:space="preserve">顯示列的口徑：</t>
    </r>
    <r>
      <rPr>
        <sz val="9"/>
        <color rgb="FF595959"/>
        <rFont val="Arial"/>
        <family val="0"/>
        <charset val="1"/>
      </rPr>
      <t xml:space="preserve">128,000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131,072</t>
    </r>
    <r>
      <rPr>
        <sz val="9"/>
        <color rgb="FF595959"/>
        <rFont val="Noto Sans CJK SC"/>
        <family val="2"/>
      </rPr>
      <t xml:space="preserve">）；三層級共用本格（</t>
    </r>
    <r>
      <rPr>
        <sz val="9"/>
        <color rgb="FF595959"/>
        <rFont val="Arial"/>
        <family val="0"/>
        <charset val="1"/>
      </rPr>
      <t xml:space="preserve">CST_CtxKV</t>
    </r>
    <r>
      <rPr>
        <sz val="9"/>
        <color rgb="FF595959"/>
        <rFont val="Noto Sans CJK SC"/>
        <family val="2"/>
      </rPr>
      <t xml:space="preserve">）。不影響任何產出</t>
    </r>
  </si>
  <si>
    <r>
      <rPr>
        <b val="true"/>
        <sz val="10"/>
        <rFont val="Arial"/>
        <family val="0"/>
        <charset val="1"/>
      </rPr>
      <t xml:space="preserve">KV </t>
    </r>
    <r>
      <rPr>
        <b val="true"/>
        <sz val="10"/>
        <rFont val="Noto Sans CJK SC"/>
        <family val="2"/>
      </rPr>
      <t xml:space="preserve">推導輸入（</t>
    </r>
    <r>
      <rPr>
        <b val="true"/>
        <sz val="10"/>
        <rFont val="Arial"/>
        <family val="0"/>
        <charset val="1"/>
      </rPr>
      <t xml:space="preserve">v5.13 D</t>
    </r>
    <r>
      <rPr>
        <b val="true"/>
        <sz val="10"/>
        <rFont val="Noto Sans CJK SC"/>
        <family val="2"/>
      </rPr>
      <t xml:space="preserve">：第 </t>
    </r>
    <r>
      <rPr>
        <b val="true"/>
        <sz val="10"/>
        <rFont val="Arial"/>
        <family val="0"/>
        <charset val="1"/>
      </rPr>
      <t xml:space="preserve">21–23 </t>
    </r>
    <r>
      <rPr>
        <b val="true"/>
        <sz val="10"/>
        <rFont val="Noto Sans CJK SC"/>
        <family val="2"/>
      </rPr>
      <t xml:space="preserve">列由此計算）</t>
    </r>
  </si>
  <si>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（壓縮後平均，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</si>
  <si>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推導值；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config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KV head 512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SRC_MOD_009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CSA </t>
    </r>
    <r>
      <rPr>
        <sz val="9"/>
        <color rgb="FF595959"/>
        <rFont val="Noto Sans CJK SC"/>
        <family val="2"/>
      </rPr>
      <t xml:space="preserve">壓縮 </t>
    </r>
    <r>
      <rPr>
        <sz val="9"/>
        <color rgb="FF595959"/>
        <rFont val="Arial"/>
        <family val="0"/>
        <charset val="1"/>
      </rPr>
      <t xml:space="preserve">4×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HCA 128×</t>
    </r>
    <r>
      <rPr>
        <sz val="9"/>
        <color rgb="FF595959"/>
        <rFont val="Noto Sans CJK SC"/>
        <family val="2"/>
      </rPr>
      <t xml:space="preserve">、滑動窗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，以結構重算會改值，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處理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</si>
  <si>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</si>
  <si>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元素</t>
  </si>
  <si>
    <r>
      <rPr>
        <sz val="9"/>
        <color rgb="FF595959"/>
        <rFont val="Noto Sans CJK SC"/>
        <family val="2"/>
      </rPr>
      <t xml:space="preserve">比照 </t>
    </r>
    <r>
      <rPr>
        <sz val="9"/>
        <color rgb="FF595959"/>
        <rFont val="Arial"/>
        <family val="0"/>
        <charset val="1"/>
      </rPr>
      <t xml:space="preserve">DeepSeek-V3 MLA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512 latent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64 RoPE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SRC_MOD_028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</si>
  <si>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混合）</t>
    </r>
  </si>
  <si>
    <r>
      <rPr>
        <sz val="9"/>
        <color rgb="FF595959"/>
        <rFont val="Noto Sans CJK SC"/>
        <family val="2"/>
      </rPr>
      <t xml:space="preserve">混合注意力：其餘層為線性注意力（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不隨上下文成長，本列不計）</t>
    </r>
  </si>
  <si>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</si>
  <si>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個</t>
  </si>
  <si>
    <r>
      <rPr>
        <sz val="9"/>
        <color rgb="FF595959"/>
        <rFont val="Arial"/>
        <family val="0"/>
        <charset val="1"/>
      </rPr>
      <t xml:space="preserve">GQA-8</t>
    </r>
    <r>
      <rPr>
        <sz val="9"/>
        <color rgb="FF595959"/>
        <rFont val="Noto Sans CJK SC"/>
        <family val="2"/>
      </rPr>
      <t xml:space="preserve">（結構選擇）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</si>
  <si>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；三層級共用）</t>
    </r>
  </si>
  <si>
    <t xml:space="preserve">原始數據</t>
  </si>
  <si>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每元素 </t>
    </r>
    <r>
      <rPr>
        <sz val="9"/>
        <color rgb="FF595959"/>
        <rFont val="Arial"/>
        <family val="0"/>
        <charset val="1"/>
      </rPr>
      <t xml:space="preserve">1 byte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SRC_HW_055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</si>
  <si>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Serving — </t>
    </r>
    <r>
      <rPr>
        <b val="true"/>
        <sz val="13"/>
        <rFont val="Noto Sans CJK SC"/>
        <family val="2"/>
      </rPr>
      <t xml:space="preserve">服務設定與各層級 </t>
    </r>
    <r>
      <rPr>
        <b val="true"/>
        <sz val="13"/>
        <rFont val="Arial"/>
        <family val="0"/>
        <charset val="1"/>
      </rPr>
      <t xml:space="preserve">SLO</t>
    </r>
    <r>
      <rPr>
        <b val="true"/>
        <sz val="13"/>
        <rFont val="Noto Sans CJK SC"/>
        <family val="2"/>
      </rPr>
      <t xml:space="preserve">（主流：分離式 </t>
    </r>
    <r>
      <rPr>
        <b val="true"/>
        <sz val="13"/>
        <rFont val="Arial"/>
        <family val="0"/>
        <charset val="1"/>
      </rPr>
      <t xml:space="preserve">P/D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wide EP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attention DP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NVFP4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MTP</t>
    </r>
    <r>
      <rPr>
        <b val="true"/>
        <sz val="13"/>
        <rFont val="Noto Sans CJK SC"/>
        <family val="2"/>
      </rPr>
      <t xml:space="preserve">、前綴快取）</t>
    </r>
  </si>
  <si>
    <r>
      <rPr>
        <sz val="9"/>
        <color rgb="FF595959"/>
        <rFont val="Noto Sans CJK SC"/>
        <family val="2"/>
      </rPr>
      <t xml:space="preserve">藍字＝輸入。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J3 </t>
    </r>
    <r>
      <rPr>
        <sz val="9"/>
        <color rgb="FF595959"/>
        <rFont val="Noto Sans CJK SC"/>
        <family val="2"/>
      </rPr>
      <t xml:space="preserve">採市場觀測輸出速度（</t>
    </r>
    <r>
      <rPr>
        <sz val="9"/>
        <color rgb="FF595959"/>
        <rFont val="Arial"/>
        <family val="0"/>
        <charset val="1"/>
      </rPr>
      <t xml:space="preserve">Artificial Analysis 2026-09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</t>
    </r>
  </si>
  <si>
    <t xml:space="preserve">全域設定</t>
  </si>
  <si>
    <t xml:space="preserve">值</t>
  </si>
  <si>
    <t xml:space="preserve">說明</t>
  </si>
  <si>
    <t xml:space="preserve">服務架構</t>
  </si>
  <si>
    <r>
      <rPr>
        <sz val="10"/>
        <color rgb="FF000000"/>
        <rFont val="Noto Sans CJK SC"/>
        <family val="2"/>
      </rPr>
      <t xml:space="preserve">分離式 </t>
    </r>
    <r>
      <rPr>
        <sz val="10"/>
        <color rgb="FF000000"/>
        <rFont val="Arial"/>
        <family val="0"/>
        <charset val="1"/>
      </rPr>
      <t xml:space="preserve">P/D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wide EP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attention DP</t>
    </r>
  </si>
  <si>
    <r>
      <rPr>
        <sz val="9"/>
        <color rgb="FF595959"/>
        <rFont val="Arial"/>
        <family val="0"/>
        <charset val="1"/>
      </rPr>
      <t xml:space="preserve">D6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命題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</si>
  <si>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 </t>
    </r>
    <r>
      <rPr>
        <sz val="10"/>
        <color rgb="FF000000"/>
        <rFont val="Arial"/>
        <family val="0"/>
        <charset val="1"/>
      </rPr>
      <t xml:space="preserve">N</t>
    </r>
  </si>
  <si>
    <r>
      <rPr>
        <sz val="9"/>
        <color rgb="FF595959"/>
        <rFont val="Arial"/>
        <family val="0"/>
        <charset val="1"/>
      </rPr>
      <t xml:space="preserve">DeepSeek MTP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1–5</t>
    </r>
  </si>
  <si>
    <r>
      <rPr>
        <sz val="10"/>
        <color rgb="FF000000"/>
        <rFont val="Noto Sans CJK SC"/>
        <family val="2"/>
      </rPr>
      <t xml:space="preserve">每個草稿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接受率 </t>
    </r>
    <r>
      <rPr>
        <sz val="10"/>
        <color rgb="FF000000"/>
        <rFont val="Arial"/>
        <family val="0"/>
        <charset val="1"/>
      </rPr>
      <t xml:space="preserve">α</t>
    </r>
  </si>
  <si>
    <t xml:space="preserve">Verified-measured</t>
  </si>
  <si>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修正後 </t>
    </r>
    <r>
      <rPr>
        <sz val="9"/>
        <color rgb="FF595959"/>
        <rFont val="Arial"/>
        <family val="0"/>
        <charset val="1"/>
      </rPr>
      <t xml:space="preserve">0.57→0.70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0.6–0.8</t>
    </r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</si>
  <si>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 a</t>
    </r>
  </si>
  <si>
    <t xml:space="preserve">(1−α^(N+1))/(1−α)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</si>
  <si>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保留比例（啟用值、工作區）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</si>
  <si>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5–20%</t>
    </r>
  </si>
  <si>
    <r>
      <rPr>
        <sz val="10"/>
        <color rgb="FF000000"/>
        <rFont val="Noto Sans CJK SC"/>
        <family val="2"/>
      </rPr>
      <t xml:space="preserve">非專家權重占可用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</si>
  <si>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超過時自動以注意力 </t>
    </r>
    <r>
      <rPr>
        <sz val="9"/>
        <color rgb="FF595959"/>
        <rFont val="Arial"/>
        <family val="0"/>
        <charset val="1"/>
      </rPr>
      <t xml:space="preserve">TP </t>
    </r>
    <r>
      <rPr>
        <sz val="9"/>
        <color rgb="FF595959"/>
        <rFont val="Noto Sans CJK SC"/>
        <family val="2"/>
      </rPr>
      <t xml:space="preserve">切分</t>
    </r>
  </si>
  <si>
    <r>
      <rPr>
        <sz val="10"/>
        <color rgb="FF000000"/>
        <rFont val="Noto Sans CJK SC"/>
        <family val="2"/>
      </rPr>
      <t xml:space="preserve">專家權重占可用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</si>
  <si>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超過時自動加寬 </t>
    </r>
    <r>
      <rPr>
        <sz val="9"/>
        <color rgb="FF595959"/>
        <rFont val="Arial"/>
        <family val="0"/>
        <charset val="1"/>
      </rPr>
      <t xml:space="preserve">EP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</si>
  <si>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元素（</t>
    </r>
    <r>
      <rPr>
        <sz val="10"/>
        <color rgb="FF000000"/>
        <rFont val="Arial"/>
        <family val="0"/>
        <charset val="1"/>
      </rPr>
      <t xml:space="preserve">dispatch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combine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</si>
  <si>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FP8 dispatch 1 B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BF16 combine 2 B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</si>
  <si>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讀取頻寬效率 </t>
    </r>
    <r>
      <rPr>
        <sz val="10"/>
        <color rgb="FF000000"/>
        <rFont val="Arial"/>
        <family val="0"/>
        <charset val="1"/>
      </rPr>
      <t xml:space="preserve">η_mem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</si>
  <si>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0.5–0.85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</si>
  <si>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 </t>
    </r>
    <r>
      <rPr>
        <sz val="10"/>
        <color rgb="FF000000"/>
        <rFont val="Arial"/>
        <family val="0"/>
        <charset val="1"/>
      </rPr>
      <t xml:space="preserve">η_link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</si>
  <si>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載入頻寬</t>
    </r>
  </si>
  <si>
    <t xml:space="preserve">TB/s/GPU</t>
  </si>
  <si>
    <r>
      <rPr>
        <sz val="9"/>
        <color rgb="FF595959"/>
        <rFont val="Noto Sans CJK SC"/>
        <family val="2"/>
      </rPr>
      <t xml:space="preserve">主機記憶體／</t>
    </r>
    <r>
      <rPr>
        <sz val="9"/>
        <color rgb="FF595959"/>
        <rFont val="Arial"/>
        <family val="0"/>
        <charset val="1"/>
      </rPr>
      <t xml:space="preserve">SSD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NIC </t>
    </r>
    <r>
      <rPr>
        <sz val="9"/>
        <color rgb="FF595959"/>
        <rFont val="Noto Sans CJK SC"/>
        <family val="2"/>
      </rPr>
      <t xml:space="preserve">載入；區間 </t>
    </r>
    <r>
      <rPr>
        <sz val="9"/>
        <color rgb="FF595959"/>
        <rFont val="Arial"/>
        <family val="0"/>
        <charset val="1"/>
      </rPr>
      <t xml:space="preserve">0.05–0.4</t>
    </r>
    <r>
      <rPr>
        <sz val="9"/>
        <color rgb="FF595959"/>
        <rFont val="Noto Sans CJK SC"/>
        <family val="2"/>
      </rPr>
      <t xml:space="preserve">。未計快取儲存成本</t>
    </r>
  </si>
  <si>
    <r>
      <rPr>
        <sz val="10"/>
        <color rgb="FF000000"/>
        <rFont val="Noto Sans CJK SC"/>
        <family val="2"/>
      </rPr>
      <t xml:space="preserve">峰值情境（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基準／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推論高）</t>
    </r>
  </si>
  <si>
    <r>
      <rPr>
        <sz val="9"/>
        <color rgb="FF595959"/>
        <rFont val="Arial"/>
        <family val="0"/>
        <charset val="1"/>
      </rPr>
      <t xml:space="preserve">J2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</si>
  <si>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層）</t>
    </r>
  </si>
  <si>
    <r>
      <rPr>
        <sz val="9"/>
        <color rgb="FF595959"/>
        <rFont val="Arial"/>
        <family val="0"/>
        <charset val="1"/>
      </rPr>
      <t xml:space="preserve">J6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尚未給值，暫沿用 </t>
    </r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40–80%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同時輸出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0.4–0.8</t>
    </r>
  </si>
  <si>
    <t xml:space="preserve">實測→生產效率折減</t>
  </si>
  <si>
    <r>
      <rPr>
        <sz val="9"/>
        <color rgb="FF595959"/>
        <rFont val="Noto Sans CJK SC"/>
        <family val="2"/>
      </rPr>
      <t xml:space="preserve">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決定。基準測試為固定長度、穩態負載；生產環境另有長度變異、路由不均、故障。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＝不折減。作用：</t>
    </r>
    <r>
      <rPr>
        <sz val="9"/>
        <color rgb="FF595959"/>
        <rFont val="Arial"/>
        <family val="0"/>
        <charset val="1"/>
      </rPr>
      <t xml:space="preserve">η_p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乘此值，每層延遲除以此值。第二來源（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自揭）目前均高於本模型，見 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在區間端點（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＝主路徑不折減，折減改由 </t>
    </r>
    <r>
      <rPr>
        <sz val="9"/>
        <color rgb="FF595959"/>
        <rFont val="Arial"/>
        <family val="0"/>
        <charset val="1"/>
      </rPr>
      <t xml:space="preserve">C28 </t>
    </r>
    <r>
      <rPr>
        <sz val="9"/>
        <color rgb="FF595959"/>
        <rFont val="Noto Sans CJK SC"/>
        <family val="2"/>
      </rPr>
      <t xml:space="preserve">表達；</t>
    </r>
    <r>
      <rPr>
        <sz val="9"/>
        <color rgb="FF595959"/>
        <rFont val="Arial"/>
        <family val="0"/>
        <charset val="1"/>
      </rPr>
      <t xml:space="preserve">J3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v7.0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固定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，不再作為折減入口；生產折減一律由 </t>
    </r>
    <r>
      <rPr>
        <sz val="9"/>
        <color rgb="FF595959"/>
        <rFont val="Arial"/>
        <family val="0"/>
        <charset val="1"/>
      </rPr>
      <t xml:space="preserve">C28 `CTL_ProdDerate` </t>
    </r>
    <r>
      <rPr>
        <sz val="9"/>
        <color rgb="FF595959"/>
        <rFont val="Noto Sans CJK SC"/>
        <family val="2"/>
      </rPr>
      <t xml:space="preserve">表達，情境 </t>
    </r>
    <r>
      <rPr>
        <sz val="9"/>
        <color rgb="FF595959"/>
        <rFont val="Arial"/>
        <family val="0"/>
        <charset val="1"/>
      </rPr>
      <t xml:space="preserve">b_prod_derate </t>
    </r>
    <r>
      <rPr>
        <sz val="9"/>
        <color rgb="FF595959"/>
        <rFont val="Noto Sans CJK SC"/>
        <family val="2"/>
      </rPr>
      <t xml:space="preserve">的輸入改為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</si>
  <si>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各層級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與參考任務</t>
    </r>
  </si>
  <si>
    <t xml:space="preserve">項目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</si>
  <si>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C20:E20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</si>
  <si>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：每用戶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速度下限</t>
    </r>
  </si>
  <si>
    <t xml:space="preserve">tok/s</t>
  </si>
  <si>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為兩個第三方量測商中位數的幾何平均（</t>
    </r>
    <r>
      <rPr>
        <sz val="9"/>
        <color rgb="FF595959"/>
        <rFont val="Arial"/>
        <family val="0"/>
        <charset val="1"/>
      </rPr>
      <t xml:space="preserve">v10.2 E2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Luna √(116.5×61)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84.3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GPT-6.1 Sol √(50.7×37)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43.3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GPT-6 Astra √(52.1×32)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40.8 tok/s</t>
    </r>
    <r>
      <rPr>
        <sz val="9"/>
        <color rgb="FF595959"/>
        <rFont val="Noto Sans CJK SC"/>
        <family val="2"/>
      </rPr>
      <t xml:space="preserve">。區間取兩家之中較低者到較高者（</t>
    </r>
    <r>
      <rPr>
        <sz val="9"/>
        <color rgb="FF595959"/>
        <rFont val="Arial"/>
        <family val="0"/>
        <charset val="1"/>
      </rPr>
      <t xml:space="preserve">Luna 61–116.5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37–50.7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32–52.1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（第三方量測 </t>
    </r>
    <r>
      <rPr>
        <sz val="9"/>
        <color rgb="FF595959"/>
        <rFont val="Arial"/>
        <family val="0"/>
        <charset val="1"/>
      </rPr>
      <t xml:space="preserve">Verified → </t>
    </r>
    <r>
      <rPr>
        <sz val="9"/>
        <color rgb="FF595959"/>
        <rFont val="Noto Sans CJK SC"/>
        <family val="2"/>
      </rPr>
      <t xml:space="preserve">幾何平均）。兩家系統性相差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AA </t>
    </r>
    <r>
      <rPr>
        <sz val="9"/>
        <color rgb="FF595959"/>
        <rFont val="Noto Sans CJK SC"/>
        <family val="2"/>
      </rPr>
      <t xml:space="preserve">探測請求、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實際流量）。舊口徑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GPT-5.6 </t>
    </r>
    <r>
      <rPr>
        <sz val="9"/>
        <color rgb="FF595959"/>
        <rFont val="Noto Sans CJK SC"/>
        <family val="2"/>
      </rPr>
      <t xml:space="preserve">時代，</t>
    </r>
    <r>
      <rPr>
        <sz val="9"/>
        <color rgb="FF595959"/>
        <rFont val="Arial"/>
        <family val="0"/>
        <charset val="1"/>
      </rPr>
      <t xml:space="preserve">S26</t>
    </r>
    <r>
      <rPr>
        <sz val="9"/>
        <color rgb="FF595959"/>
        <rFont val="Noto Sans CJK SC"/>
        <family val="2"/>
      </rPr>
      <t xml:space="preserve">）留作情境 </t>
    </r>
    <r>
      <rPr>
        <sz val="9"/>
        <color rgb="FF595959"/>
        <rFont val="Arial"/>
        <family val="0"/>
        <charset val="1"/>
      </rPr>
      <t xml:space="preserve">slo_v10</t>
    </r>
    <r>
      <rPr>
        <sz val="9"/>
        <color rgb="FF595959"/>
        <rFont val="Noto Sans CJK SC"/>
        <family val="2"/>
      </rPr>
      <t xml:space="preserve">。首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列）不改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</si>
  <si>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上限（只作檢查）</t>
    </r>
  </si>
  <si>
    <t xml:space="preserve">s</t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</si>
  <si>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（每次請求輸入）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</si>
  <si>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用於長任務；上下文敏感度見 </t>
    </r>
    <r>
      <rPr>
        <sz val="9"/>
        <color rgb="FF595959"/>
        <rFont val="Arial"/>
        <family val="0"/>
        <charset val="1"/>
      </rPr>
      <t xml:space="preserve">Sens_Perf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</si>
  <si>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</si>
  <si>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平均上下文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</si>
  <si>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</t>
    </r>
  </si>
  <si>
    <r>
      <rPr>
        <sz val="10"/>
        <color rgb="FF000000"/>
        <rFont val="Noto Sans CJK SC"/>
        <family val="2"/>
      </rPr>
      <t xml:space="preserve">並列輸出用生產折減（情境值，</t>
    </r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；非估計值）</t>
    </r>
  </si>
  <si>
    <r>
      <rPr>
        <sz val="9"/>
        <color rgb="FF595959"/>
        <rFont val="Arial"/>
        <family val="0"/>
        <charset val="1"/>
      </rPr>
      <t xml:space="preserve">v5.19 X1</t>
    </r>
    <r>
      <rPr>
        <sz val="9"/>
        <color rgb="FF595959"/>
        <rFont val="Noto Sans CJK SC"/>
        <family val="2"/>
      </rPr>
      <t xml:space="preserve">：只驅動 </t>
    </r>
    <r>
      <rPr>
        <sz val="9"/>
        <color rgb="FF595959"/>
        <rFont val="Arial"/>
        <family val="0"/>
        <charset val="1"/>
      </rPr>
      <t xml:space="preserve">Interface G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並列輸出（</t>
    </r>
    <r>
      <rPr>
        <sz val="9"/>
        <color rgb="FF595959"/>
        <rFont val="Arial"/>
        <family val="0"/>
        <charset val="1"/>
      </rPr>
      <t xml:space="preserve">Perf_Prod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列）；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G0-11</t>
    </r>
    <r>
      <rPr>
        <sz val="9"/>
        <color rgb="FF595959"/>
        <rFont val="Noto Sans CJK SC"/>
        <family val="2"/>
      </rPr>
      <t xml:space="preserve">），不受影響。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0.7–1.0 </t>
    </r>
    <r>
      <rPr>
        <sz val="9"/>
        <color rgb="FF595959"/>
        <rFont val="Noto Sans CJK SC"/>
        <family val="2"/>
      </rPr>
      <t xml:space="preserve">的中點，不是估計值；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日後給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值時，本格可保留作並列情境 ｜暫定、待證據（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區間的中點）；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起同時作為 </t>
    </r>
    <r>
      <rPr>
        <sz val="9"/>
        <color rgb="FF595959"/>
        <rFont val="Arial"/>
        <family val="0"/>
        <charset val="1"/>
      </rPr>
      <t xml:space="preserve">Alloc_In C24 </t>
    </r>
    <r>
      <rPr>
        <sz val="9"/>
        <color rgb="FF595959"/>
        <rFont val="Noto Sans CJK SC"/>
        <family val="2"/>
      </rPr>
      <t xml:space="preserve">純利用率的生產折減（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</si>
  <si>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Workload — </t>
    </r>
    <r>
      <rPr>
        <b val="true"/>
        <sz val="13"/>
        <rFont val="Noto Sans CJK SC"/>
        <family val="2"/>
      </rPr>
      <t xml:space="preserve">任務制工作負載（每任務的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結構；思考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在物理上屬 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</si>
  <si>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任務組合權重不在第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）；本頁只定義標準任務。列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檔案在 </t>
    </r>
    <r>
      <rPr>
        <sz val="9"/>
        <color rgb="FF595959"/>
        <rFont val="Arial"/>
        <family val="0"/>
        <charset val="1"/>
      </rPr>
      <t xml:space="preserve">Har_In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混合（</t>
    </r>
    <r>
      <rPr>
        <sz val="9"/>
        <color rgb="FF595959"/>
        <rFont val="Arial"/>
        <family val="0"/>
        <charset val="1"/>
      </rPr>
      <t xml:space="preserve">Block 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</si>
  <si>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t xml:space="preserve">一般聊天</t>
  </si>
  <si>
    <t xml:space="preserve">推理聊天</t>
  </si>
  <si>
    <t xml:space="preserve">單代理（工具迴圈）</t>
  </si>
  <si>
    <t xml:space="preserve">多代理研究</t>
  </si>
  <si>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</t>
    </r>
  </si>
  <si>
    <r>
      <rPr>
        <sz val="10"/>
        <color rgb="FF000000"/>
        <rFont val="Noto Sans CJK SC"/>
        <family val="2"/>
      </rPr>
      <t xml:space="preserve">輪數 </t>
    </r>
    <r>
      <rPr>
        <sz val="10"/>
        <color rgb="FF000000"/>
        <rFont val="Arial"/>
        <family val="0"/>
        <charset val="1"/>
      </rPr>
      <t xml:space="preserve">T</t>
    </r>
  </si>
  <si>
    <t xml:space="preserve">輪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</si>
  <si>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；整段對話的每任務指標約 </t>
    </r>
    <r>
      <rPr>
        <sz val="9"/>
        <color rgb="FF595959"/>
        <rFont val="Arial"/>
        <family val="0"/>
        <charset val="1"/>
      </rPr>
      <t xml:space="preserve">×2–2.5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 2.0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WildChat 2.52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E235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</si>
  <si>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（系統提示、歷史、工具定義）</t>
    </r>
  </si>
  <si>
    <r>
      <rPr>
        <sz val="10"/>
        <color rgb="FF000000"/>
        <rFont val="Noto Sans CJK SC"/>
        <family val="2"/>
      </rPr>
      <t xml:space="preserve">每輪新輸入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（使用者或工具結果）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</si>
  <si>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token h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</si>
  <si>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；服務端思考占比待查</t>
    </r>
  </si>
  <si>
    <r>
      <rPr>
        <sz val="10"/>
        <color rgb="FF000000"/>
        <rFont val="Noto Sans CJK SC"/>
        <family val="2"/>
      </rPr>
      <t xml:space="preserve">每輪可見輸出 </t>
    </r>
    <r>
      <rPr>
        <sz val="10"/>
        <color rgb="FF000000"/>
        <rFont val="Arial"/>
        <family val="0"/>
        <charset val="1"/>
      </rPr>
      <t xml:space="preserve">o</t>
    </r>
  </si>
  <si>
    <r>
      <rPr>
        <sz val="10"/>
        <color rgb="FF000000"/>
        <rFont val="Noto Sans CJK SC"/>
        <family val="2"/>
      </rPr>
      <t xml:space="preserve">思考保留於上下文比例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</si>
  <si>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：多數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不保留前輪思考（標準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</si>
  <si>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</si>
  <si>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；代理迴圈前綴重用高</t>
    </r>
  </si>
  <si>
    <r>
      <rPr>
        <sz val="10"/>
        <color rgb="FF000000"/>
        <rFont val="Noto Sans CJK SC"/>
        <family val="2"/>
      </rPr>
      <t xml:space="preserve">並行子代理數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</si>
  <si>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：子代理沿用單代理參數</t>
    </r>
  </si>
  <si>
    <r>
      <rPr>
        <sz val="10"/>
        <color rgb="FF000000"/>
        <rFont val="Arial"/>
        <family val="0"/>
        <charset val="1"/>
      </rPr>
      <t xml:space="preserve">harness 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</si>
  <si>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起為殘差倍數（預設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效果改由 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參數組表達（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</si>
  <si>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（壓縮後保留的歷史比例；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＝不壓縮）</t>
    </r>
  </si>
  <si>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不壓縮；</t>
    </r>
    <r>
      <rPr>
        <sz val="9"/>
        <color rgb="FF595959"/>
        <rFont val="Arial"/>
        <family val="0"/>
        <charset val="1"/>
      </rPr>
      <t xml:space="preserve">v5.9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</si>
  <si>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有效參數（標準＋</t>
    </r>
    <r>
      <rPr>
        <b val="true"/>
        <sz val="10"/>
        <rFont val="Arial"/>
        <family val="0"/>
        <charset val="1"/>
      </rPr>
      <t xml:space="preserve">w 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Har_In </t>
    </r>
    <r>
      <rPr>
        <b val="true"/>
        <sz val="10"/>
        <rFont val="Noto Sans CJK SC"/>
        <family val="2"/>
      </rPr>
      <t xml:space="preserve">選定檔案−標準）；</t>
    </r>
    <r>
      <rPr>
        <b val="true"/>
        <sz val="10"/>
        <rFont val="Arial"/>
        <family val="0"/>
        <charset val="1"/>
      </rPr>
      <t xml:space="preserve">w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B5_W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</si>
  <si>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</si>
  <si>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r>
      <rPr>
        <sz val="10"/>
        <color rgb="FF000000"/>
        <rFont val="Noto Sans CJK SC"/>
        <family val="2"/>
      </rPr>
      <t xml:space="preserve">有效輪數 </t>
    </r>
    <r>
      <rPr>
        <sz val="10"/>
        <color rgb="FF000000"/>
        <rFont val="Arial"/>
        <family val="0"/>
        <charset val="1"/>
      </rPr>
      <t xml:space="preserve">T</t>
    </r>
  </si>
  <si>
    <r>
      <rPr>
        <sz val="10"/>
        <color rgb="FF000000"/>
        <rFont val="Noto Sans CJK SC"/>
        <family val="2"/>
      </rPr>
      <t xml:space="preserve">有效每輪思考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</si>
  <si>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有效思考保留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</si>
  <si>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10"/>
        <color rgb="FF000000"/>
        <rFont val="Noto Sans CJK SC"/>
        <family val="2"/>
      </rPr>
      <t xml:space="preserve">有效快取命中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</si>
  <si>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有效子代理數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</si>
  <si>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有效歷史保留比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</si>
  <si>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導出（每任務；用有效參數）</t>
  </si>
  <si>
    <r>
      <rPr>
        <sz val="10"/>
        <color rgb="FF000000"/>
        <rFont val="Noto Sans CJK SC"/>
        <family val="2"/>
      </rPr>
      <t xml:space="preserve">每輪上下文增量 </t>
    </r>
    <r>
      <rPr>
        <sz val="10"/>
        <color rgb="FF000000"/>
        <rFont val="Arial"/>
        <family val="0"/>
        <charset val="1"/>
      </rPr>
      <t xml:space="preserve">u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ρh</t>
    </r>
  </si>
  <si>
    <t xml:space="preserve">單代理輸入總量</t>
  </si>
  <si>
    <t xml:space="preserve">其中可快取（前綴）</t>
  </si>
  <si>
    <t xml:space="preserve">其中新鮮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</si>
  <si>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（思考＋可見）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</si>
  <si>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harness </t>
    </r>
    <r>
      <rPr>
        <sz val="10"/>
        <color rgb="FF000000"/>
        <rFont val="Noto Sans CJK SC"/>
        <family val="2"/>
      </rPr>
      <t xml:space="preserve">殘差倍數</t>
    </r>
  </si>
  <si>
    <r>
      <rPr>
        <sz val="10"/>
        <color rgb="FF000000"/>
        <rFont val="Noto Sans CJK SC"/>
        <family val="2"/>
      </rPr>
      <t xml:space="preserve">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</si>
  <si>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</si>
  <si>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</si>
  <si>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</si>
  <si>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成本取各層級參考上下文；本列顯示任務實際上下文，差距大時看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</t>
    </r>
    <r>
      <rPr>
        <sz val="9"/>
        <color rgb="FF595959"/>
        <rFont val="Noto Sans CJK SC"/>
        <family val="2"/>
      </rPr>
      <t xml:space="preserve">情境</t>
    </r>
  </si>
  <si>
    <r>
      <rPr>
        <sz val="10"/>
        <color rgb="FF000000"/>
        <rFont val="Noto Sans CJK SC"/>
        <family val="2"/>
      </rPr>
      <t xml:space="preserve">思考占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</si>
  <si>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一般聊天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</si>
  <si>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推理聊天</t>
    </r>
  </si>
  <si>
    <r>
      <rPr>
        <sz val="10"/>
        <color rgb="FF000000"/>
        <rFont val="Noto Sans CJK SC"/>
        <family val="2"/>
      </rPr>
      <t xml:space="preserve">參照：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揭露倍數（相對聊天）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</si>
  <si>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Anthropic 2025-06 </t>
    </r>
    <r>
      <rPr>
        <sz val="9"/>
        <color rgb="FF595959"/>
        <rFont val="Noto Sans CJK SC"/>
        <family val="2"/>
      </rPr>
      <t xml:space="preserve">多代理研究系統文章，</t>
    </r>
    <r>
      <rPr>
        <sz val="9"/>
        <color rgb="FF595959"/>
        <rFont val="Arial"/>
        <family val="0"/>
        <charset val="1"/>
      </rPr>
      <t xml:space="preserve">agent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倍、多代理約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倍聊天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）。其『聊天』口徑未說明是否含思考，故兩個倍數並列。本頁列 </t>
    </r>
    <r>
      <rPr>
        <sz val="9"/>
        <color rgb="FF595959"/>
        <rFont val="Arial"/>
        <family val="0"/>
        <charset val="1"/>
      </rPr>
      <t xml:space="preserve">38 </t>
    </r>
    <r>
      <rPr>
        <sz val="9"/>
        <color rgb="FF595959"/>
        <rFont val="Noto Sans CJK SC"/>
        <family val="2"/>
      </rPr>
      <t xml:space="preserve">的單代理、多代理倍數高於此參照約 </t>
    </r>
    <r>
      <rPr>
        <sz val="9"/>
        <color rgb="FF595959"/>
        <rFont val="Arial"/>
        <family val="0"/>
        <charset val="1"/>
      </rPr>
      <t xml:space="preserve">2.3–2.5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既有假設，未調整）</t>
    </r>
  </si>
  <si>
    <r>
      <rPr>
        <b val="true"/>
        <sz val="10"/>
        <rFont val="Noto Sans CJK SC"/>
        <family val="2"/>
      </rPr>
      <t xml:space="preserve">每任務成本（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／任務；經濟口徑、基準成本情境、基準利用率；不含快取儲存，含儲存者見 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頁）</t>
    </r>
  </si>
  <si>
    <t xml:space="preserve">VR200 × Luna</t>
  </si>
  <si>
    <t xml:space="preserve">$</t>
  </si>
  <si>
    <t xml:space="preserve">VR200 × Sol</t>
  </si>
  <si>
    <t xml:space="preserve">VR200 × Astra</t>
  </si>
  <si>
    <t xml:space="preserve">GB300 × Luna</t>
  </si>
  <si>
    <t xml:space="preserve">GB300 × Sol</t>
  </si>
  <si>
    <t xml:space="preserve">GB300 × Astra</t>
  </si>
  <si>
    <r>
      <rPr>
        <b val="true"/>
        <sz val="13"/>
        <rFont val="Arial"/>
        <family val="0"/>
        <charset val="1"/>
      </rPr>
      <t xml:space="preserve">Calib — </t>
    </r>
    <r>
      <rPr>
        <b val="true"/>
        <sz val="13"/>
        <rFont val="Noto Sans CJK SC"/>
        <family val="2"/>
      </rPr>
      <t xml:space="preserve">以實測錨點校準效率係數（實測只校準係數，不取代推導）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</si>
  <si>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DeepSeek V4-Pro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代表架構）、</t>
    </r>
    <r>
      <rPr>
        <sz val="9"/>
        <color rgb="FF595959"/>
        <rFont val="Arial"/>
        <family val="0"/>
        <charset val="1"/>
      </rPr>
      <t xml:space="preserve">FP4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8K/1K</t>
    </r>
    <r>
      <rPr>
        <sz val="9"/>
        <color rgb="FF595959"/>
        <rFont val="Noto Sans CJK SC"/>
        <family val="2"/>
      </rPr>
      <t xml:space="preserve">、分離式 </t>
    </r>
    <r>
      <rPr>
        <sz val="9"/>
        <color rgb="FF595959"/>
        <rFont val="Arial"/>
        <family val="0"/>
        <charset val="1"/>
      </rPr>
      <t xml:space="preserve">P/D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tok/s/GPU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同一前緣上兩點聯立解出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與每層延遲；其餘各點為樣本外驗證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</si>
  <si>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</si>
  <si>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達成峰值比例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</si>
  <si>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H800 </t>
    </r>
    <r>
      <rPr>
        <sz val="9"/>
        <color rgb="FF595959"/>
        <rFont val="Noto Sans CJK SC"/>
        <family val="2"/>
      </rPr>
      <t xml:space="preserve">線上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S30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0.15–0.45</t>
    </r>
    <r>
      <rPr>
        <sz val="9"/>
        <color rgb="FF595959"/>
        <rFont val="Noto Sans CJK SC"/>
        <family val="2"/>
      </rPr>
      <t xml:space="preserve">。擬合結果對此不敏感（見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</si>
  <si>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錨點（每欄一個實測點）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</si>
  <si>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1</t>
    </r>
  </si>
  <si>
    <r>
      <rPr>
        <b val="true"/>
        <sz val="10"/>
        <rFont val="Noto Sans CJK SC"/>
        <family val="2"/>
      </rPr>
      <t xml:space="preserve">擬合點 </t>
    </r>
    <r>
      <rPr>
        <b val="true"/>
        <sz val="10"/>
        <rFont val="Arial"/>
        <family val="0"/>
        <charset val="1"/>
      </rPr>
      <t xml:space="preserve">2</t>
    </r>
  </si>
  <si>
    <t xml:space="preserve">驗證</t>
  </si>
  <si>
    <t xml:space="preserve">驗證（舊軟體）</t>
  </si>
  <si>
    <t xml:space="preserve">驗證（口徑待查）</t>
  </si>
  <si>
    <t xml:space="preserve">世代索引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</si>
  <si>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</si>
  <si>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C11:I11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</si>
  <si>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軟體／日期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</si>
  <si>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最佳前緣（約 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</si>
  <si>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2026-06</t>
    </r>
  </si>
  <si>
    <r>
      <rPr>
        <sz val="9"/>
        <color rgb="FF595959"/>
        <rFont val="Arial"/>
        <family val="0"/>
        <charset val="1"/>
      </rPr>
      <t xml:space="preserve">vLLM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MTP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2026-05-22</t>
    </r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</si>
  <si>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比較頁（</t>
    </r>
    <r>
      <rPr>
        <sz val="9"/>
        <color rgb="FF595959"/>
        <rFont val="Arial"/>
        <family val="0"/>
        <charset val="1"/>
      </rPr>
      <t xml:space="preserve">0813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</si>
  <si>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</si>
  <si>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</si>
  <si>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每用戶速度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</si>
  <si>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I14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</si>
  <si>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ISL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</si>
  <si>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</si>
  <si>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OSL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</si>
  <si>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</si>
  <si>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</si>
  <si>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I17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</si>
  <si>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來源</t>
  </si>
  <si>
    <t xml:space="preserve">S22</t>
  </si>
  <si>
    <t xml:space="preserve">S21</t>
  </si>
  <si>
    <t xml:space="preserve">S20</t>
  </si>
  <si>
    <t xml:space="preserve">S23</t>
  </si>
  <si>
    <t xml:space="preserve">量測平台（獨立性）</t>
  </si>
  <si>
    <r>
      <rPr>
        <sz val="9"/>
        <color rgb="FF595959"/>
        <rFont val="Arial"/>
        <family val="0"/>
        <charset val="1"/>
      </rPr>
      <t xml:space="preserve">InferenceX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SemiAnalysis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</si>
  <si>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七個點全部來自同一平台（</t>
    </r>
    <r>
      <rPr>
        <sz val="9"/>
        <color rgb="FF595959"/>
        <rFont val="Arial"/>
        <family val="0"/>
        <charset val="1"/>
      </rPr>
      <t xml:space="preserve">S21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SGLang </t>
    </r>
    <r>
      <rPr>
        <sz val="9"/>
        <color rgb="FF595959"/>
        <rFont val="Noto Sans CJK SC"/>
        <family val="2"/>
      </rPr>
      <t xml:space="preserve">作者轉述 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資料，不構成獨立來源）。第二來源見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</t>
    </r>
  </si>
  <si>
    <t xml:space="preserve">點位標籤（世代｜用途｜速度）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</si>
  <si>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C20:I20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</si>
  <si>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口徑</t>
  </si>
  <si>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（輸入＋輸出）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</si>
  <si>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各點的模型量（</t>
    </r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架構；與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同一套公式）</t>
    </r>
  </si>
  <si>
    <t xml:space="preserve">計算用峰值</t>
  </si>
  <si>
    <t xml:space="preserve">PF/GPU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</si>
  <si>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I23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</si>
  <si>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</si>
  <si>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D24:I24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</si>
  <si>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頻寬</t>
    </r>
  </si>
  <si>
    <t xml:space="preserve">TB/s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</si>
  <si>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D25:I25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</si>
  <si>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</si>
  <si>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D26:I26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</si>
  <si>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</si>
  <si>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D27:I27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</si>
  <si>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</si>
  <si>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D28:I28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</si>
  <si>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</si>
  <si>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D29:I29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</si>
  <si>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</si>
  <si>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D31:I31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</si>
  <si>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D32:I32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</si>
  <si>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啟用專家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</si>
  <si>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D33:I33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</si>
  <si>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非專家參數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</si>
  <si>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D34:I34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</si>
  <si>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D35:I35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</si>
  <si>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KV bytes/token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</si>
  <si>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D36:I36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</si>
  <si>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</si>
  <si>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</si>
  <si>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</si>
  <si>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跨度上限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</si>
  <si>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I39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</si>
  <si>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壓縮比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</si>
  <si>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I40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</si>
  <si>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滑動窗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</si>
  <si>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</si>
  <si>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D42:I42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</si>
  <si>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</si>
  <si>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D43:I43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</si>
  <si>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FLOPs/token</t>
  </si>
  <si>
    <t xml:space="preserve">GFLOP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</si>
  <si>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D44:I44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</si>
  <si>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</si>
  <si>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</si>
  <si>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</si>
  <si>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FLOPs/token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</si>
  <si>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I47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</si>
  <si>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</si>
  <si>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D48:I48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</si>
  <si>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</si>
  <si>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D49:I49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</si>
  <si>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</si>
  <si>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D50:I50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</si>
  <si>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權重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</si>
  <si>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D51:I51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</si>
  <si>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草稿數（無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</si>
  <si>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D52:I52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</si>
  <si>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每步接受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</si>
  <si>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I53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</si>
  <si>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prefill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</si>
  <si>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E54:I54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</si>
  <si>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每序列算力時間（</t>
    </r>
    <r>
      <rPr>
        <sz val="10"/>
        <color rgb="FF000000"/>
        <rFont val="Arial"/>
        <family val="0"/>
        <charset val="1"/>
      </rPr>
      <t xml:space="preserve">η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</si>
  <si>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ms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</si>
  <si>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D55:I55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</si>
  <si>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實測反推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</si>
  <si>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只對擬合點有意義；假設 </t>
    </r>
    <r>
      <rPr>
        <sz val="9"/>
        <color rgb="FF595959"/>
        <rFont val="Arial"/>
        <family val="0"/>
        <charset val="1"/>
      </rPr>
      <t xml:space="preserve">P:D GPU </t>
    </r>
    <r>
      <rPr>
        <sz val="9"/>
        <color rgb="FF595959"/>
        <rFont val="Noto Sans CJK SC"/>
        <family val="2"/>
      </rPr>
      <t xml:space="preserve">依工作量配比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</si>
  <si>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E56:I56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</si>
  <si>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實測反推批次</t>
  </si>
  <si>
    <r>
      <rPr>
        <sz val="10"/>
        <color rgb="FF000000"/>
        <rFont val="Noto Sans CJK SC"/>
        <family val="2"/>
      </rPr>
      <t xml:space="preserve">序列</t>
    </r>
    <r>
      <rPr>
        <sz val="10"/>
        <color rgb="FF000000"/>
        <rFont val="Arial"/>
        <family val="0"/>
        <charset val="1"/>
      </rPr>
      <t xml:space="preserve">/GPU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</si>
  <si>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E57:I57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</si>
  <si>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擬合（擬合點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 </t>
    </r>
    <r>
      <rPr>
        <b val="true"/>
        <sz val="10"/>
        <rFont val="Noto Sans CJK SC"/>
        <family val="2"/>
      </rPr>
      <t xml:space="preserve">聯立；假設兩點皆為算力項綁定，見下列檢查）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</si>
  <si>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</t>
    </r>
  </si>
  <si>
    <r>
      <rPr>
        <sz val="9"/>
        <color rgb="FF595959"/>
        <rFont val="Arial"/>
        <family val="0"/>
        <charset val="1"/>
      </rPr>
      <t xml:space="preserve">B×c/η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1000×a/s − </t>
    </r>
    <r>
      <rPr>
        <sz val="9"/>
        <color rgb="FF595959"/>
        <rFont val="Noto Sans CJK SC"/>
        <family val="2"/>
      </rPr>
      <t xml:space="preserve">固定延遲；兩點相減消去固定延遲</t>
    </r>
  </si>
  <si>
    <r>
      <rPr>
        <sz val="10"/>
        <color rgb="FF000000"/>
        <rFont val="Noto Sans CJK SC"/>
        <family val="2"/>
      </rPr>
      <t xml:space="preserve">每步固定延遲（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、含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</si>
  <si>
    <t xml:space="preserve">每層每次前向固定延遲</t>
  </si>
  <si>
    <t xml:space="preserve">µs</t>
  </si>
  <si>
    <r>
      <rPr>
        <sz val="9"/>
        <color rgb="FF595959"/>
        <rFont val="Noto Sans CJK SC"/>
        <family val="2"/>
      </rPr>
      <t xml:space="preserve">（固定延遲 − 權重讀取時間）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（層數＋草稿數）：涵蓋 </t>
    </r>
    <r>
      <rPr>
        <sz val="9"/>
        <color rgb="FF595959"/>
        <rFont val="Arial"/>
        <family val="0"/>
        <charset val="1"/>
      </rPr>
      <t xml:space="preserve">all-to-all </t>
    </r>
    <r>
      <rPr>
        <sz val="9"/>
        <color rgb="FF595959"/>
        <rFont val="Noto Sans CJK SC"/>
        <family val="2"/>
      </rPr>
      <t xml:space="preserve">延遲、</t>
    </r>
    <r>
      <rPr>
        <sz val="9"/>
        <color rgb="FF595959"/>
        <rFont val="Arial"/>
        <family val="0"/>
        <charset val="1"/>
      </rPr>
      <t xml:space="preserve">kernel </t>
    </r>
    <r>
      <rPr>
        <sz val="9"/>
        <color rgb="FF595959"/>
        <rFont val="Noto Sans CJK SC"/>
        <family val="2"/>
      </rPr>
      <t xml:space="preserve">啟動、同步</t>
    </r>
  </si>
  <si>
    <r>
      <rPr>
        <sz val="10"/>
        <color rgb="FF000000"/>
        <rFont val="Noto Sans CJK SC"/>
        <family val="2"/>
      </rPr>
      <t xml:space="preserve">檢查：擬合點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算力項為綁定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</si>
  <si>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</si>
  <si>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各世代採用參數（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＝擬合值；其他世代＝擬合值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</si>
  <si>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C66:G66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</si>
  <si>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</si>
  <si>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（粗略）：</t>
    </r>
    <r>
      <rPr>
        <sz val="9"/>
        <color rgb="FF595959"/>
        <rFont val="Arial"/>
        <family val="0"/>
        <charset val="1"/>
      </rPr>
      <t xml:space="preserve">k ≈ </t>
    </r>
    <r>
      <rPr>
        <sz val="9"/>
        <color rgb="FF595959"/>
        <rFont val="Noto Sans CJK SC"/>
        <family val="2"/>
      </rPr>
      <t xml:space="preserve">峰值比 </t>
    </r>
    <r>
      <rPr>
        <sz val="9"/>
        <color rgb="FF595959"/>
        <rFont val="Arial"/>
        <family val="0"/>
        <charset val="1"/>
      </rPr>
      <t xml:space="preserve">7.58 ÷ </t>
    </r>
    <r>
      <rPr>
        <sz val="9"/>
        <color rgb="FF595959"/>
        <rFont val="Noto Sans CJK SC"/>
        <family val="2"/>
      </rPr>
      <t xml:space="preserve">實測比；</t>
    </r>
    <r>
      <rPr>
        <sz val="9"/>
        <color rgb="FF595959"/>
        <rFont val="Arial"/>
        <family val="0"/>
        <charset val="1"/>
      </rPr>
      <t xml:space="preserve">MLPerf v5.1 </t>
    </r>
    <r>
      <rPr>
        <sz val="9"/>
        <color rgb="FF595959"/>
        <rFont val="Noto Sans CJK SC"/>
        <family val="2"/>
      </rPr>
      <t xml:space="preserve">推得 </t>
    </r>
    <r>
      <rPr>
        <sz val="9"/>
        <color rgb="FF595959"/>
        <rFont val="Arial"/>
        <family val="0"/>
        <charset val="1"/>
      </rPr>
      <t xml:space="preserve">1.45–1.63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推得約 </t>
    </r>
    <r>
      <rPr>
        <sz val="9"/>
        <color rgb="FF595959"/>
        <rFont val="Arial"/>
        <family val="0"/>
        <charset val="1"/>
      </rPr>
      <t xml:space="preserve">1.1–1.3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0.8–1.0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0.8–1.6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Q4</t>
    </r>
    <r>
      <rPr>
        <sz val="9"/>
        <color rgb="FF595959"/>
        <rFont val="Noto Sans CJK SC"/>
        <family val="2"/>
      </rPr>
      <t xml:space="preserve">）。原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為使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產出不變而倒推。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[Analogy]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[Assumed]</t>
    </r>
  </si>
  <si>
    <t xml:space="preserve">每層延遲倍數</t>
  </si>
  <si>
    <r>
      <rPr>
        <sz val="9"/>
        <color rgb="FF595959"/>
        <rFont val="Arial"/>
        <family val="0"/>
        <charset val="1"/>
      </rPr>
      <t xml:space="preserve">Hopper EP </t>
    </r>
    <r>
      <rPr>
        <sz val="9"/>
        <color rgb="FF595959"/>
        <rFont val="Noto Sans CJK SC"/>
        <family val="2"/>
      </rPr>
      <t xml:space="preserve">跨節點走 </t>
    </r>
    <r>
      <rPr>
        <sz val="9"/>
        <color rgb="FF595959"/>
        <rFont val="Arial"/>
        <family val="0"/>
        <charset val="1"/>
      </rPr>
      <t xml:space="preserve">IB [</t>
    </r>
    <r>
      <rPr>
        <sz val="9"/>
        <color rgb="FF595959"/>
        <rFont val="Noto Sans CJK SC"/>
        <family val="2"/>
      </rPr>
      <t xml:space="preserve">倒推（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建檔時與 </t>
    </r>
    <r>
      <rPr>
        <sz val="9"/>
        <color rgb="FF595959"/>
        <rFont val="Arial"/>
        <family val="0"/>
        <charset val="1"/>
      </rPr>
      <t xml:space="preserve">C67 </t>
    </r>
    <r>
      <rPr>
        <sz val="9"/>
        <color rgb="FF595959"/>
        <rFont val="Noto Sans CJK SC"/>
        <family val="2"/>
      </rPr>
      <t xml:space="preserve">手算配對；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內無公式關聯）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1–3]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J4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批 </t>
    </r>
    <r>
      <rPr>
        <sz val="9"/>
        <color rgb="FF595959"/>
        <rFont val="Arial"/>
        <family val="0"/>
        <charset val="1"/>
      </rPr>
      <t xml:space="preserve">2-2 </t>
    </r>
    <r>
      <rPr>
        <sz val="9"/>
        <color rgb="FF595959"/>
        <rFont val="Noto Sans CJK SC"/>
        <family val="2"/>
      </rPr>
      <t xml:space="preserve">段，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端預設，可撤回）：不重新反解——反解需要一個實測目標，用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反解會把 </t>
    </r>
    <r>
      <rPr>
        <sz val="9"/>
        <color rgb="FF595959"/>
        <rFont val="Arial"/>
        <family val="0"/>
        <charset val="1"/>
      </rPr>
      <t xml:space="preserve">D5 </t>
    </r>
    <r>
      <rPr>
        <sz val="9"/>
        <color rgb="FF595959"/>
        <rFont val="Noto Sans CJK SC"/>
        <family val="2"/>
      </rPr>
      <t xml:space="preserve">的驗證點變成校準點；等第 </t>
    </r>
    <r>
      <rPr>
        <sz val="9"/>
        <color rgb="FF595959"/>
        <rFont val="Arial"/>
        <family val="0"/>
        <charset val="1"/>
      </rPr>
      <t xml:space="preserve">2-5 </t>
    </r>
    <r>
      <rPr>
        <sz val="9"/>
        <color rgb="FF595959"/>
        <rFont val="Noto Sans CJK SC"/>
        <family val="2"/>
      </rPr>
      <t xml:space="preserve">段有獨立驗證點後，若模型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實測偏離過大再提出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</si>
  <si>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</si>
  <si>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峰值更正（</t>
    </r>
    <r>
      <rPr>
        <sz val="9"/>
        <color rgb="FF595959"/>
        <rFont val="Arial"/>
        <family val="0"/>
        <charset val="1"/>
      </rPr>
      <t xml:space="preserve">989→1,979 TF</t>
    </r>
    <r>
      <rPr>
        <sz val="9"/>
        <color rgb="FF595959"/>
        <rFont val="Noto Sans CJK SC"/>
        <family val="2"/>
      </rPr>
      <t xml:space="preserve">）後維持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產出不變（誤差 </t>
    </r>
    <r>
      <rPr>
        <sz val="9"/>
        <color rgb="FF595959"/>
        <rFont val="Arial"/>
        <family val="0"/>
        <charset val="1"/>
      </rPr>
      <t xml:space="preserve">0.05%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S30 </t>
    </r>
    <r>
      <rPr>
        <sz val="9"/>
        <color rgb="FF595959"/>
        <rFont val="Noto Sans CJK SC"/>
        <family val="2"/>
      </rPr>
      <t xml:space="preserve">口徑查核後重推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</si>
  <si>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（採用）</t>
    </r>
  </si>
  <si>
    <t xml:space="preserve">每層延遲（採用）</t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</si>
  <si>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（採用）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</si>
  <si>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樣本外驗證（以採用參數重算各點）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</si>
  <si>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</si>
  <si>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D75:I75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</si>
  <si>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每層延遲（該世代）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</si>
  <si>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D76:I76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</si>
  <si>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（該世代）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</si>
  <si>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D77:I77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</si>
  <si>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prefill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</si>
  <si>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D78:I78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</si>
  <si>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每步固定延遲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</si>
  <si>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D79:I79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</si>
  <si>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每序列每步時間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</si>
  <si>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D80:I80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</si>
  <si>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批次上限</t>
    </r>
  </si>
  <si>
    <t xml:space="preserve">序列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</si>
  <si>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D81:I81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</si>
  <si>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容量批次上限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</si>
  <si>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D82:I82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</si>
  <si>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B*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</si>
  <si>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D83:I83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</si>
  <si>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decode tok/s/GPU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</si>
  <si>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D84:I84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</si>
  <si>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</si>
  <si>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D85:I85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</si>
  <si>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</si>
  <si>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D86:I86</t>
    </r>
    <r>
      <rPr>
        <sz val="9"/>
        <color rgb="FF595959"/>
        <rFont val="Noto Sans CJK SC"/>
        <family val="2"/>
      </rPr>
      <t xml:space="preserve">（校準點逐步重現）</t>
    </r>
  </si>
  <si>
    <t xml:space="preserve">判讀</t>
  </si>
  <si>
    <r>
      <rPr>
        <sz val="9"/>
        <color rgb="FF595959"/>
        <rFont val="Noto Sans CJK SC"/>
        <family val="2"/>
      </rPr>
      <t xml:space="preserve">擬合點：應為 </t>
    </r>
    <r>
      <rPr>
        <sz val="9"/>
        <color rgb="FF595959"/>
        <rFont val="Arial"/>
        <family val="0"/>
        <charset val="1"/>
      </rPr>
      <t xml:space="preserve">1.00</t>
    </r>
  </si>
  <si>
    <t xml:space="preserve">同世代、不同日期與引擎：檢驗前緣形狀</t>
  </si>
  <si>
    <t xml:space="preserve">舊軟體：模型應高於實測（軟體差距）</t>
  </si>
  <si>
    <r>
      <rPr>
        <sz val="9"/>
        <color rgb="FF595959"/>
        <rFont val="Noto Sans CJK SC"/>
        <family val="2"/>
      </rPr>
      <t xml:space="preserve">舊軟體＋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記憶體限制配方（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說明）</t>
    </r>
  </si>
  <si>
    <r>
      <rPr>
        <sz val="9"/>
        <color rgb="FF595959"/>
        <rFont val="Noto Sans CJK SC"/>
        <family val="2"/>
      </rPr>
      <t xml:space="preserve">工作負載標示不明（頁面預設為 </t>
    </r>
    <r>
      <rPr>
        <sz val="9"/>
        <color rgb="FF595959"/>
        <rFont val="Arial"/>
        <family val="0"/>
        <charset val="1"/>
      </rPr>
      <t xml:space="preserve">agentic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</si>
  <si>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η_p </t>
    </r>
    <r>
      <rPr>
        <b val="true"/>
        <sz val="10"/>
        <rFont val="Noto Sans CJK SC"/>
        <family val="2"/>
      </rPr>
      <t xml:space="preserve">敏感度：擬合結果隨 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的變化（</t>
    </r>
    <r>
      <rPr>
        <b val="true"/>
        <sz val="10"/>
        <rFont val="Arial"/>
        <family val="0"/>
        <charset val="1"/>
      </rPr>
      <t xml:space="preserve">η_p </t>
    </r>
    <r>
      <rPr>
        <b val="true"/>
        <sz val="10"/>
        <rFont val="Noto Sans CJK SC"/>
        <family val="2"/>
      </rPr>
      <t xml:space="preserve">僅影響 </t>
    </r>
    <r>
      <rPr>
        <b val="true"/>
        <sz val="10"/>
        <rFont val="Arial"/>
        <family val="0"/>
        <charset val="1"/>
      </rPr>
      <t xml:space="preserve">prefill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decode GPU </t>
    </r>
    <r>
      <rPr>
        <b val="true"/>
        <sz val="10"/>
        <rFont val="Noto Sans CJK SC"/>
        <family val="2"/>
      </rPr>
      <t xml:space="preserve">分攤）</t>
    </r>
  </si>
  <si>
    <t xml:space="preserve">η_p</t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</si>
  <si>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</si>
  <si>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C91:E91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</si>
  <si>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prefill tok/s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</si>
  <si>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C92:E92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</si>
  <si>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</si>
  <si>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C93:E93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</si>
  <si>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擬合點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反推批次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</si>
  <si>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C94:E94</t>
    </r>
    <r>
      <rPr>
        <sz val="9"/>
        <color rgb="FF595959"/>
        <rFont val="Noto Sans CJK SC"/>
        <family val="2"/>
      </rPr>
      <t xml:space="preserve">（校準擬合步驟）</t>
    </r>
  </si>
  <si>
    <t xml:space="preserve">η_d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</si>
  <si>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C95:E95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</si>
  <si>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Noto Sans CJK SC"/>
        <family val="2"/>
      </rPr>
      <t xml:space="preserve">每層延遲 </t>
    </r>
    <r>
      <rPr>
        <sz val="10"/>
        <color rgb="FF000000"/>
        <rFont val="Arial"/>
        <family val="0"/>
        <charset val="1"/>
      </rPr>
      <t xml:space="preserve">µs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</si>
  <si>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（校準擬合步驟）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</si>
  <si>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第二來源驗證：</t>
    </r>
    <r>
      <rPr>
        <b val="true"/>
        <sz val="10"/>
        <rFont val="Arial"/>
        <family val="0"/>
        <charset val="1"/>
      </rPr>
      <t xml:space="preserve">MLPerf Inference DeepSeek-R1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MLCommons </t>
    </r>
    <r>
      <rPr>
        <b val="true"/>
        <sz val="10"/>
        <rFont val="Noto Sans CJK SC"/>
        <family val="2"/>
      </rPr>
      <t xml:space="preserve">稽核；提交者 </t>
    </r>
    <r>
      <rPr>
        <b val="true"/>
        <sz val="10"/>
        <rFont val="Arial"/>
        <family val="0"/>
        <charset val="1"/>
      </rPr>
      <t xml:space="preserve">NVIDIA </t>
    </r>
    <r>
      <rPr>
        <b val="true"/>
        <sz val="10"/>
        <rFont val="Noto Sans CJK SC"/>
        <family val="2"/>
      </rPr>
      <t xml:space="preserve">為利害關係方）</t>
    </r>
  </si>
  <si>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架構與工作負載（驗證專用輸入）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</si>
  <si>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DeepSeek-V3/R1 </t>
    </r>
    <r>
      <rPr>
        <sz val="9"/>
        <color rgb="FF595959"/>
        <rFont val="Noto Sans CJK SC"/>
        <family val="2"/>
      </rPr>
      <t xml:space="preserve">模型卡；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OSL 800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3,880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2025-09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</si>
  <si>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</si>
  <si>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C107</t>
    </r>
    <r>
      <rPr>
        <sz val="9"/>
        <color rgb="FF595959"/>
        <rFont val="Noto Sans CJK SC"/>
        <family val="2"/>
      </rPr>
      <t xml:space="preserve">（校準擬合步驟）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</si>
  <si>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 576 × 61 </t>
    </r>
    <r>
      <rPr>
        <sz val="10"/>
        <color rgb="FF000000"/>
        <rFont val="Noto Sans CJK SC"/>
        <family val="2"/>
      </rPr>
      <t xml:space="preserve">層，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</si>
  <si>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／被注意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2×128×192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2×128×128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× 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</si>
  <si>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資料集）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</si>
  <si>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</si>
  <si>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t xml:space="preserve">驗證點</t>
  </si>
  <si>
    <r>
      <rPr>
        <b val="true"/>
        <sz val="10"/>
        <rFont val="Arial"/>
        <family val="0"/>
        <charset val="1"/>
      </rPr>
      <t xml:space="preserve">GB300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</si>
  <si>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</si>
  <si>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VR200 interactive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v6.1 </t>
    </r>
    <r>
      <rPr>
        <b val="true"/>
        <sz val="10"/>
        <rFont val="Noto Sans CJK SC"/>
        <family val="2"/>
      </rPr>
      <t xml:space="preserve">預覽）</t>
    </r>
  </si>
  <si>
    <r>
      <rPr>
        <b val="true"/>
        <sz val="10"/>
        <rFont val="Arial"/>
        <family val="0"/>
        <charset val="1"/>
      </rPr>
      <t xml:space="preserve">GB300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 </t>
    </r>
    <r>
      <rPr>
        <b val="true"/>
        <sz val="10"/>
        <rFont val="Noto Sans CJK SC"/>
        <family val="2"/>
      </rPr>
      <t xml:space="preserve">機櫃）</t>
    </r>
  </si>
  <si>
    <r>
      <rPr>
        <b val="true"/>
        <sz val="10"/>
        <rFont val="Arial"/>
        <family val="0"/>
        <charset val="1"/>
      </rPr>
      <t xml:space="preserve">Hopper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H200</t>
    </r>
    <r>
      <rPr>
        <b val="true"/>
        <sz val="10"/>
        <rFont val="Noto Sans CJK SC"/>
        <family val="2"/>
      </rPr>
      <t xml:space="preserve">；模型為 </t>
    </r>
    <r>
      <rPr>
        <b val="true"/>
        <sz val="10"/>
        <rFont val="Arial"/>
        <family val="0"/>
        <charset val="1"/>
      </rPr>
      <t xml:space="preserve">H100 </t>
    </r>
    <r>
      <rPr>
        <b val="true"/>
        <sz val="10"/>
        <rFont val="Noto Sans CJK SC"/>
        <family val="2"/>
      </rPr>
      <t xml:space="preserve">規格）</t>
    </r>
  </si>
  <si>
    <r>
      <rPr>
        <b val="true"/>
        <sz val="10"/>
        <rFont val="Arial"/>
        <family val="0"/>
        <charset val="1"/>
      </rPr>
      <t xml:space="preserve">GB200 server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NVIDIA 72 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</si>
  <si>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1000 ÷ TPOT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</si>
  <si>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推測解碼（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</si>
  <si>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規則表只在 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列出 </t>
    </r>
    <r>
      <rPr>
        <sz val="9"/>
        <color rgb="FF595959"/>
        <rFont val="Arial"/>
        <family val="0"/>
        <charset val="1"/>
      </rPr>
      <t xml:space="preserve">MTP </t>
    </r>
    <r>
      <rPr>
        <sz val="9"/>
        <color rgb="FF595959"/>
        <rFont val="Noto Sans CJK SC"/>
        <family val="2"/>
      </rPr>
      <t xml:space="preserve">推測解碼（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步），</t>
    </r>
    <r>
      <rPr>
        <sz val="9"/>
        <color rgb="FF595959"/>
        <rFont val="Arial"/>
        <family val="0"/>
        <charset val="1"/>
      </rPr>
      <t xml:space="preserve">server </t>
    </r>
    <r>
      <rPr>
        <sz val="9"/>
        <color rgb="FF595959"/>
        <rFont val="Noto Sans CJK SC"/>
        <family val="2"/>
      </rPr>
      <t xml:space="preserve">設為無</t>
    </r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</si>
  <si>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實測輸出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（總量 </t>
    </r>
    <r>
      <rPr>
        <sz val="10"/>
        <color rgb="FF000000"/>
        <rFont val="Arial"/>
        <family val="0"/>
        <charset val="1"/>
      </rPr>
      <t xml:space="preserve">÷ 72</t>
    </r>
    <r>
      <rPr>
        <sz val="10"/>
        <color rgb="FF000000"/>
        <rFont val="Noto Sans CJK SC"/>
        <family val="2"/>
      </rPr>
      <t xml:space="preserve">）</t>
    </r>
  </si>
  <si>
    <t xml:space="preserve">tok/s/GPU</t>
  </si>
  <si>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指標為輸出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interactive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TPOT 15 ms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p99</t>
    </r>
    <r>
      <rPr>
        <sz val="9"/>
        <color rgb="FF595959"/>
        <rFont val="Noto Sans CJK SC"/>
        <family val="2"/>
      </rPr>
      <t xml:space="preserve">，平均速度更高，本模型以下限計算，偏保守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</si>
  <si>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</si>
  <si>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提交（預覽類）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</si>
  <si>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原始資料）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</si>
  <si>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稽核）／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提交（</t>
    </r>
    <r>
      <rPr>
        <sz val="9"/>
        <color rgb="FF595959"/>
        <rFont val="Arial"/>
        <family val="0"/>
        <charset val="1"/>
      </rPr>
      <t xml:space="preserve">v5.1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查證轉引）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</si>
  <si>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C122:H122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</si>
  <si>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Noto Sans CJK SC"/>
        <family val="2"/>
      </rPr>
      <t xml:space="preserve">輸出 </t>
    </r>
    <r>
      <rPr>
        <sz val="9"/>
        <color rgb="FF595959"/>
        <rFont val="Arial"/>
        <family val="0"/>
        <charset val="1"/>
      </rPr>
      <t xml:space="preserve">token</t>
    </r>
  </si>
  <si>
    <t xml:space="preserve">PF</t>
  </si>
  <si>
    <t xml:space="preserve">HBM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</si>
  <si>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</si>
  <si>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</si>
  <si>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</si>
  <si>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非專家 </t>
    </r>
    <r>
      <rPr>
        <sz val="10"/>
        <color rgb="FF000000"/>
        <rFont val="Arial"/>
        <family val="0"/>
        <charset val="1"/>
      </rPr>
      <t xml:space="preserve">B/param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</si>
  <si>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</t>
    </r>
  </si>
  <si>
    <t xml:space="preserve">草稿數</t>
  </si>
  <si>
    <t xml:space="preserve">每步接受</t>
  </si>
  <si>
    <r>
      <rPr>
        <sz val="10"/>
        <color rgb="FF000000"/>
        <rFont val="Noto Sans CJK SC"/>
        <family val="2"/>
      </rPr>
      <t xml:space="preserve">模型輸出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分攤）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</si>
  <si>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（上限檢查：≤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通過、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失敗；判定見 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節，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</si>
  <si>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D149:H149</t>
    </r>
    <r>
      <rPr>
        <sz val="9"/>
        <color rgb="FF595959"/>
        <rFont val="Noto Sans CJK SC"/>
        <family val="2"/>
      </rPr>
      <t xml:space="preserve">（校準點逐步重現）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</si>
  <si>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</t>
    </r>
  </si>
  <si>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效率係數的檢驗：兩者接近即支持此 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MLPerf VR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預覽類提交）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</si>
  <si>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MLPerf v6.1</t>
    </r>
  </si>
  <si>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）：模型 ／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</si>
  <si>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來源衝突：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顯示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1.7–2.8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 </t>
    </r>
    <r>
      <rPr>
        <sz val="9"/>
        <color rgb="FF595959"/>
        <rFont val="Noto Sans CJK SC"/>
        <family val="2"/>
      </rPr>
      <t xml:space="preserve">倍；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VR-eq </t>
    </r>
    <r>
      <rPr>
        <sz val="9"/>
        <color rgb="FF595959"/>
        <rFont val="Noto Sans CJK SC"/>
        <family val="2"/>
      </rPr>
      <t xml:space="preserve">應視為區間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</si>
  <si>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批次口徑 </t>
    </r>
    <r>
      <rPr>
        <b val="true"/>
        <sz val="10"/>
        <rFont val="Arial"/>
        <family val="0"/>
        <charset val="1"/>
      </rPr>
      <t xml:space="preserve">η_d </t>
    </r>
    <r>
      <rPr>
        <b val="true"/>
        <sz val="10"/>
        <rFont val="Noto Sans CJK SC"/>
        <family val="2"/>
      </rPr>
      <t xml:space="preserve">倍數（</t>
    </r>
    <r>
      <rPr>
        <b val="true"/>
        <sz val="10"/>
        <rFont val="Arial"/>
        <family val="0"/>
        <charset val="1"/>
      </rPr>
      <t xml:space="preserve">X10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v5.23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53 </t>
    </r>
    <r>
      <rPr>
        <b val="true"/>
        <sz val="10"/>
        <rFont val="Noto Sans CJK SC"/>
        <family val="2"/>
      </rPr>
      <t xml:space="preserve">列的世代倍數（服務側 </t>
    </r>
    <r>
      <rPr>
        <b val="true"/>
        <sz val="10"/>
        <rFont val="Arial"/>
        <family val="0"/>
        <charset val="1"/>
      </rPr>
      <t xml:space="preserve">Perf </t>
    </r>
    <r>
      <rPr>
        <b val="true"/>
        <sz val="10"/>
        <rFont val="Noto Sans CJK SC"/>
        <family val="2"/>
      </rPr>
      <t xml:space="preserve">不受影響；基準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＝不另校準）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</si>
  <si>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C155:G155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</si>
  <si>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</si>
  <si>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SRC_PERF_052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057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0.70–1.0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</si>
  <si>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（高批次：</t>
    </r>
    <r>
      <rPr>
        <sz val="9"/>
        <color rgb="FF595959"/>
        <rFont val="Arial"/>
        <family val="0"/>
        <charset val="1"/>
      </rPr>
      <t xml:space="preserve">RL rollout</t>
    </r>
    <r>
      <rPr>
        <sz val="9"/>
        <color rgb="FF595959"/>
        <rFont val="Noto Sans CJK SC"/>
        <family val="2"/>
      </rPr>
      <t xml:space="preserve">、蒸餾、合成資料、評測）專用的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倍數；服務側 </t>
    </r>
    <r>
      <rPr>
        <sz val="9"/>
        <color rgb="FF595959"/>
        <rFont val="Arial"/>
        <family val="0"/>
        <charset val="1"/>
      </rPr>
      <t xml:space="preserve">Perf </t>
    </r>
    <r>
      <rPr>
        <sz val="9"/>
        <color rgb="FF595959"/>
        <rFont val="Noto Sans CJK SC"/>
        <family val="2"/>
      </rPr>
      <t xml:space="preserve">不受影響。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MLPerf v6.1 Offline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1.62–1.74×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模型高批次比值（</t>
    </r>
    <r>
      <rPr>
        <sz val="9"/>
        <color rgb="FF595959"/>
        <rFont val="Arial"/>
        <family val="0"/>
        <charset val="1"/>
      </rPr>
      <t xml:space="preserve">2.33×</t>
    </r>
    <r>
      <rPr>
        <sz val="9"/>
        <color rgb="FF595959"/>
        <rFont val="Noto Sans CJK SC"/>
        <family val="2"/>
      </rPr>
      <t xml:space="preserve">）≈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＝未另做批次口徑校準（無批次口徑實測）。</t>
    </r>
  </si>
  <si>
    <r>
      <rPr>
        <b val="true"/>
        <sz val="10"/>
        <rFont val="Arial"/>
        <family val="0"/>
        <charset val="1"/>
      </rPr>
      <t xml:space="preserve">J. η </t>
    </r>
    <r>
      <rPr>
        <b val="true"/>
        <sz val="10"/>
        <rFont val="Noto Sans CJK SC"/>
        <family val="2"/>
      </rPr>
      <t xml:space="preserve">校準與條件對齊複製列（</t>
    </r>
    <r>
      <rPr>
        <b val="true"/>
        <sz val="10"/>
        <rFont val="Arial"/>
        <family val="0"/>
        <charset val="1"/>
      </rPr>
      <t xml:space="preserve">v10.2 E1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E3</t>
    </r>
    <r>
      <rPr>
        <b val="true"/>
        <sz val="10"/>
        <rFont val="Noto Sans CJK SC"/>
        <family val="2"/>
      </rPr>
      <t xml:space="preserve">）：比照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節公式（</t>
    </r>
    <r>
      <rPr>
        <b val="true"/>
        <sz val="10"/>
        <rFont val="Arial"/>
        <family val="0"/>
        <charset val="1"/>
      </rPr>
      <t xml:space="preserve">decode-only</t>
    </r>
    <r>
      <rPr>
        <b val="true"/>
        <sz val="10"/>
        <rFont val="Noto Sans CJK SC"/>
        <family val="2"/>
      </rPr>
      <t xml:space="preserve">），條件改為各點的實際條件；模型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目標顯示在每欄下方。校準用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；驗證用 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（不重用校準點）</t>
    </r>
  </si>
  <si>
    <t xml:space="preserve">點位</t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</si>
  <si>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DeepSeek profile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，批次 </t>
    </r>
    <r>
      <rPr>
        <b val="true"/>
        <sz val="10"/>
        <rFont val="Arial"/>
        <family val="0"/>
        <charset val="1"/>
      </rPr>
      <t xml:space="preserve">128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4K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EP128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</si>
  <si>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校準點：</t>
    </r>
    <r>
      <rPr>
        <b val="true"/>
        <sz val="10"/>
        <rFont val="Arial"/>
        <family val="0"/>
        <charset val="1"/>
      </rPr>
      <t xml:space="preserve">vLLM WideEP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2K</t>
    </r>
    <r>
      <rPr>
        <b val="true"/>
        <sz val="10"/>
        <rFont val="Noto Sans CJK SC"/>
        <family val="2"/>
      </rPr>
      <t xml:space="preserve">，批次填滿 </t>
    </r>
    <r>
      <rPr>
        <b val="true"/>
        <sz val="10"/>
        <rFont val="Arial"/>
        <family val="0"/>
        <charset val="1"/>
      </rPr>
      <t xml:space="preserve">HBM</t>
    </r>
    <r>
      <rPr>
        <b val="true"/>
        <sz val="10"/>
        <rFont val="Noto Sans CJK SC"/>
        <family val="2"/>
      </rPr>
      <t xml:space="preserve">，無 </t>
    </r>
    <r>
      <rPr>
        <b val="true"/>
        <sz val="10"/>
        <rFont val="Arial"/>
        <family val="0"/>
        <charset val="1"/>
      </rPr>
      <t xml:space="preserve">SLO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8 GPU </t>
    </r>
    <r>
      <rPr>
        <b val="true"/>
        <sz val="10"/>
        <rFont val="Noto Sans CJK SC"/>
        <family val="2"/>
      </rPr>
      <t xml:space="preserve">實例）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</si>
  <si>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V15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DeepSeek </t>
    </r>
    <r>
      <rPr>
        <b val="true"/>
        <sz val="10"/>
        <rFont val="Noto Sans CJK SC"/>
        <family val="2"/>
      </rPr>
      <t xml:space="preserve">線上服務（</t>
    </r>
    <r>
      <rPr>
        <b val="true"/>
        <sz val="10"/>
        <rFont val="Arial"/>
        <family val="0"/>
        <charset val="1"/>
      </rPr>
      <t xml:space="preserve">H800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24 </t>
    </r>
    <r>
      <rPr>
        <b val="true"/>
        <sz val="10"/>
        <rFont val="Noto Sans CJK SC"/>
        <family val="2"/>
      </rPr>
      <t xml:space="preserve">小時平均，</t>
    </r>
    <r>
      <rPr>
        <b val="true"/>
        <sz val="10"/>
        <rFont val="Arial"/>
        <family val="0"/>
        <charset val="1"/>
      </rPr>
      <t xml:space="preserve">KV 4,989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EP144</t>
    </r>
    <r>
      <rPr>
        <b val="true"/>
        <sz val="10"/>
        <rFont val="Noto Sans CJK SC"/>
        <family val="2"/>
      </rPr>
      <t xml:space="preserve">，約 </t>
    </r>
    <r>
      <rPr>
        <b val="true"/>
        <sz val="10"/>
        <rFont val="Arial"/>
        <family val="0"/>
        <charset val="1"/>
      </rPr>
      <t xml:space="preserve">21 tok/s/user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</si>
  <si>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</t>
    </r>
    <r>
      <rPr>
        <b val="true"/>
        <sz val="10"/>
        <rFont val="Arial"/>
        <family val="0"/>
        <charset val="1"/>
      </rPr>
      <t xml:space="preserve">DeepSeek-V3 </t>
    </r>
    <r>
      <rPr>
        <b val="true"/>
        <sz val="10"/>
        <rFont val="Noto Sans CJK SC"/>
        <family val="2"/>
      </rPr>
      <t xml:space="preserve">規模，輸入 </t>
    </r>
    <r>
      <rPr>
        <b val="true"/>
        <sz val="10"/>
        <rFont val="Arial"/>
        <family val="0"/>
        <charset val="1"/>
      </rPr>
      <t xml:space="preserve">2,000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ITL 100 ms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</si>
  <si>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驗證點 </t>
    </r>
    <r>
      <rPr>
        <b val="true"/>
        <sz val="10"/>
        <rFont val="Arial"/>
        <family val="0"/>
        <charset val="1"/>
      </rPr>
      <t xml:space="preserve">V8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LMSYS </t>
    </r>
    <r>
      <rPr>
        <b val="true"/>
        <sz val="10"/>
        <rFont val="Noto Sans CJK SC"/>
        <family val="2"/>
      </rPr>
      <t xml:space="preserve">條件對齊（同上，</t>
    </r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</si>
  <si>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世代索引（</t>
    </r>
    <r>
      <rPr>
        <sz val="9"/>
        <color rgb="FF595959"/>
        <rFont val="Arial"/>
        <family val="0"/>
        <charset val="1"/>
      </rPr>
      <t xml:space="preserve">Spec_Rack </t>
    </r>
    <r>
      <rPr>
        <sz val="9"/>
        <color rgb="FF595959"/>
        <rFont val="Noto Sans CJK SC"/>
        <family val="2"/>
      </rPr>
      <t xml:space="preserve">欄）：</t>
    </r>
    <r>
      <rPr>
        <sz val="9"/>
        <color rgb="FF595959"/>
        <rFont val="Arial"/>
        <family val="0"/>
        <charset val="1"/>
      </rPr>
      <t xml:space="preserve">1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 GB200</t>
    </r>
    <r>
      <rPr>
        <sz val="9"/>
        <color rgb="FF595959"/>
        <rFont val="Noto Sans CJK SC"/>
        <family val="2"/>
      </rPr>
      <t xml:space="preserve">；黑字常數（測量條件，不是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擁有的輸入）</t>
    </r>
  </si>
  <si>
    <r>
      <rPr>
        <sz val="10"/>
        <color rgb="FF000000"/>
        <rFont val="Noto Sans CJK SC"/>
        <family val="2"/>
      </rPr>
      <t xml:space="preserve">輸入長度（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起始上下文）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</si>
  <si>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長度 </t>
    </r>
    <r>
      <rPr>
        <sz val="9"/>
        <color rgb="FF595959"/>
        <rFont val="Arial"/>
        <family val="0"/>
        <charset val="1"/>
      </rPr>
      <t xml:space="preserve">4K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2K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：每輸出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（輸出長度來源未寫，取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，診斷報告第 </t>
    </r>
    <r>
      <rPr>
        <sz val="9"/>
        <color rgb="FF595959"/>
        <rFont val="Arial"/>
        <family val="0"/>
        <charset val="1"/>
      </rPr>
      <t xml:space="preserve">2.2 </t>
    </r>
    <r>
      <rPr>
        <sz val="9"/>
        <color rgb="FF595959"/>
        <rFont val="Noto Sans CJK SC"/>
        <family val="2"/>
      </rPr>
      <t xml:space="preserve">節；改為更短 </t>
    </r>
    <r>
      <rPr>
        <sz val="9"/>
        <color rgb="FF595959"/>
        <rFont val="Arial"/>
        <family val="0"/>
        <charset val="1"/>
      </rPr>
      <t xml:space="preserve">OSL </t>
    </r>
    <r>
      <rPr>
        <sz val="9"/>
        <color rgb="FF595959"/>
        <rFont val="Noto Sans CJK SC"/>
        <family val="2"/>
      </rPr>
      <t xml:space="preserve">影響小於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）</t>
    </r>
  </si>
  <si>
    <t xml:space="preserve">輸出長度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</si>
  <si>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寬度設定（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＝依容量規則）</t>
    </r>
  </si>
  <si>
    <t xml:space="preserve">GPU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</si>
  <si>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＝依容量規則 </t>
    </r>
    <r>
      <rPr>
        <sz val="9"/>
        <color rgb="FF595959"/>
        <rFont val="Arial"/>
        <family val="0"/>
        <charset val="1"/>
      </rPr>
      <t xml:space="preserve">MAX(EP </t>
    </r>
    <r>
      <rPr>
        <sz val="9"/>
        <color rgb="FF595959"/>
        <rFont val="Noto Sans CJK SC"/>
        <family val="2"/>
      </rPr>
      <t xml:space="preserve">基準</t>
    </r>
    <r>
      <rPr>
        <sz val="9"/>
        <color rgb="FF595959"/>
        <rFont val="Arial"/>
        <family val="0"/>
        <charset val="1"/>
      </rPr>
      <t xml:space="preserve">, …)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節）；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EP128</t>
    </r>
    <r>
      <rPr>
        <sz val="9"/>
        <color rgb="FF595959"/>
        <rFont val="Noto Sans CJK SC"/>
        <family val="2"/>
      </rPr>
      <t xml:space="preserve">（官方 </t>
    </r>
    <r>
      <rPr>
        <sz val="9"/>
        <color rgb="FF595959"/>
        <rFont val="Arial"/>
        <family val="0"/>
        <charset val="1"/>
      </rPr>
      <t xml:space="preserve">profile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8 GPU </t>
    </r>
    <r>
      <rPr>
        <sz val="9"/>
        <color rgb="FF595959"/>
        <rFont val="Noto Sans CJK SC"/>
        <family val="2"/>
      </rPr>
      <t xml:space="preserve">實例；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單元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節點（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</si>
  <si>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每用戶速度下限（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</si>
  <si>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＝無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（批次只受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限制）。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：平均每用戶 </t>
    </r>
    <r>
      <rPr>
        <sz val="9"/>
        <color rgb="FF595959"/>
        <rFont val="Arial"/>
        <family val="0"/>
        <charset val="1"/>
      </rPr>
      <t xml:space="preserve">20–22 tok/s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</t>
    </r>
  </si>
  <si>
    <r>
      <rPr>
        <sz val="10"/>
        <color rgb="FF000000"/>
        <rFont val="Noto Sans CJK SC"/>
        <family val="2"/>
      </rPr>
      <t xml:space="preserve">固定批次（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</si>
  <si>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：官方 </t>
    </r>
    <r>
      <rPr>
        <sz val="9"/>
        <color rgb="FF595959"/>
        <rFont val="Arial"/>
        <family val="0"/>
        <charset val="1"/>
      </rPr>
      <t xml:space="preserve">profile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批次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；其餘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決定（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速度下限批次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容量批次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</si>
  <si>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decode tok/s/GPU</t>
    </r>
    <r>
      <rPr>
        <sz val="10"/>
        <color rgb="FF000000"/>
        <rFont val="Noto Sans CJK SC"/>
        <family val="2"/>
      </rPr>
      <t xml:space="preserve">（目標）</t>
    </r>
  </si>
  <si>
    <r>
      <rPr>
        <sz val="9"/>
        <color rgb="FF595959"/>
        <rFont val="Noto Sans CJK SC"/>
        <family val="2"/>
      </rPr>
      <t xml:space="preserve">實測 </t>
    </r>
    <r>
      <rPr>
        <sz val="9"/>
        <color rgb="FF595959"/>
        <rFont val="Arial"/>
        <family val="0"/>
        <charset val="1"/>
      </rPr>
      <t xml:space="preserve">decode tok/s/GPU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decode GPU </t>
    </r>
    <r>
      <rPr>
        <sz val="9"/>
        <color rgb="FF595959"/>
        <rFont val="Noto Sans CJK SC"/>
        <family val="2"/>
      </rPr>
      <t xml:space="preserve">口徑，不含 </t>
    </r>
    <r>
      <rPr>
        <sz val="9"/>
        <color rgb="FF595959"/>
        <rFont val="Arial"/>
        <family val="0"/>
        <charset val="1"/>
      </rPr>
      <t xml:space="preserve">prefill GPU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SRC_PERF_072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063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</si>
  <si>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（該世代；含 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</si>
  <si>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每層延遲（該世代；含 </t>
    </r>
    <r>
      <rPr>
        <sz val="10"/>
        <color rgb="FF000000"/>
        <rFont val="Arial"/>
        <family val="0"/>
        <charset val="1"/>
      </rPr>
      <t xml:space="preserve">C68</t>
    </r>
    <r>
      <rPr>
        <sz val="10"/>
        <color rgb="FF000000"/>
        <rFont val="Noto Sans CJK SC"/>
        <family val="2"/>
      </rPr>
      <t xml:space="preserve">）</t>
    </r>
  </si>
  <si>
    <t xml:space="preserve">每序列時間：算力項</t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</si>
  <si>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</si>
  <si>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每序列時間：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</si>
  <si>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每序列每步時間（三項取最大）</t>
  </si>
  <si>
    <t xml:space="preserve">速度下限批次上限</t>
  </si>
  <si>
    <r>
      <rPr>
        <sz val="10"/>
        <color rgb="FF000000"/>
        <rFont val="Arial"/>
        <family val="0"/>
        <charset val="1"/>
      </rPr>
      <t xml:space="preserve">B*</t>
    </r>
    <r>
      <rPr>
        <sz val="10"/>
        <color rgb="FF000000"/>
        <rFont val="Noto Sans CJK SC"/>
        <family val="2"/>
      </rPr>
      <t xml:space="preserve">（批次）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</si>
  <si>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</t>
    </r>
  </si>
  <si>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</si>
  <si>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目標。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為校準點（目標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，容差 </t>
    </r>
    <r>
      <rPr>
        <sz val="9"/>
        <color rgb="FF595959"/>
        <rFont val="Arial"/>
        <family val="0"/>
        <charset val="1"/>
      </rPr>
      <t xml:space="preserve">±2%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為驗證點（</t>
    </r>
    <r>
      <rPr>
        <sz val="9"/>
        <color rgb="FF595959"/>
        <rFont val="Arial"/>
        <family val="0"/>
        <charset val="1"/>
      </rPr>
      <t xml:space="preserve">Checks V15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V8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</si>
  <si>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採用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</si>
  <si>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擬合值 </t>
    </r>
    <r>
      <rPr>
        <sz val="9"/>
        <color rgb="FF595959"/>
        <rFont val="Arial"/>
        <family val="0"/>
        <charset val="1"/>
      </rPr>
      <t xml:space="preserve">η_d × 15 PF</t>
    </r>
    <r>
      <rPr>
        <sz val="9"/>
        <color rgb="FF595959"/>
        <rFont val="Noto Sans CJK SC"/>
        <family val="2"/>
      </rPr>
      <t xml:space="preserve">＝下一列；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的有效 </t>
    </r>
    <r>
      <rPr>
        <sz val="9"/>
        <color rgb="FF595959"/>
        <rFont val="Arial"/>
        <family val="0"/>
        <charset val="1"/>
      </rPr>
      <t xml:space="preserve">PF </t>
    </r>
    <r>
      <rPr>
        <sz val="9"/>
        <color rgb="FF595959"/>
        <rFont val="Noto Sans CJK SC"/>
        <family val="2"/>
      </rPr>
      <t xml:space="preserve">本來就低於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（峰值為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</si>
  <si>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非算力項下限（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通訊取大）</t>
    </r>
  </si>
  <si>
    <t xml:space="preserve">達標所需每序列每步時間</t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</si>
  <si>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無限大時的產出上限（只剩非算力項）</t>
    </r>
  </si>
  <si>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</si>
  <si>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的解）</t>
    </r>
  </si>
  <si>
    <r>
      <rPr>
        <sz val="9"/>
        <color rgb="FF595959"/>
        <rFont val="Noto Sans CJK SC"/>
        <family val="2"/>
      </rPr>
      <t xml:space="preserve">達標所需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倍數＝（算力項係數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達標所需每序列時間）</t>
    </r>
    <r>
      <rPr>
        <sz val="9"/>
        <color rgb="FF595959"/>
        <rFont val="Arial"/>
        <family val="0"/>
        <charset val="1"/>
      </rPr>
      <t xml:space="preserve">÷ CAL_EtaD</t>
    </r>
    <r>
      <rPr>
        <sz val="9"/>
        <color rgb="FF595959"/>
        <rFont val="Noto Sans CJK SC"/>
        <family val="2"/>
      </rPr>
      <t xml:space="preserve">；若所需每序列時間 ≤ 非算力項（</t>
    </r>
    <r>
      <rPr>
        <sz val="9"/>
        <color rgb="FF595959"/>
        <rFont val="Arial"/>
        <family val="0"/>
        <charset val="1"/>
      </rPr>
      <t xml:space="preserve">KV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通訊）下限，則『無解』——此時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 </t>
    </r>
    <r>
      <rPr>
        <sz val="9"/>
        <color rgb="FF595959"/>
        <rFont val="Noto Sans CJK SC"/>
        <family val="2"/>
      </rPr>
      <t xml:space="preserve">再大也達不到目標</t>
    </r>
  </si>
  <si>
    <r>
      <rPr>
        <sz val="10"/>
        <color rgb="FF000000"/>
        <rFont val="Noto Sans CJK SC"/>
        <family val="2"/>
      </rPr>
      <t xml:space="preserve">達標所需 </t>
    </r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（絕對值）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</si>
  <si>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 </t>
    </r>
    <r>
      <rPr>
        <sz val="10"/>
        <color rgb="FF000000"/>
        <rFont val="Arial"/>
        <family val="0"/>
        <charset val="1"/>
      </rPr>
      <t xml:space="preserve">η_d × </t>
    </r>
    <r>
      <rPr>
        <sz val="10"/>
        <color rgb="FF000000"/>
        <rFont val="Noto Sans CJK SC"/>
        <family val="2"/>
      </rPr>
      <t xml:space="preserve">計算用峰值（有效 </t>
    </r>
    <r>
      <rPr>
        <sz val="10"/>
        <color rgb="FF000000"/>
        <rFont val="Arial"/>
        <family val="0"/>
        <charset val="1"/>
      </rPr>
      <t xml:space="preserve">PF/GPU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</si>
  <si>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校準狀態（</t>
    </r>
    <r>
      <rPr>
        <b val="true"/>
        <sz val="10"/>
        <rFont val="Arial"/>
        <family val="0"/>
        <charset val="1"/>
      </rPr>
      <t xml:space="preserve">v10.2</t>
    </r>
    <r>
      <rPr>
        <b val="true"/>
        <sz val="10"/>
        <rFont val="Noto Sans CJK SC"/>
        <family val="2"/>
      </rPr>
      <t xml:space="preserve">；停損規則）</t>
    </r>
  </si>
  <si>
    <r>
      <rPr>
        <sz val="9"/>
        <color rgb="FF595959"/>
        <rFont val="Noto Sans CJK SC"/>
        <family val="2"/>
      </rPr>
      <t xml:space="preserve">依工作單停損規則：解超出物理合理範圍即不寫入 </t>
    </r>
    <r>
      <rPr>
        <sz val="9"/>
        <color rgb="FF595959"/>
        <rFont val="Arial"/>
        <family val="0"/>
        <charset val="1"/>
      </rPr>
      <t xml:space="preserve">C67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Decisions ETA-E1H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ETA-E1G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無解、</t>
    </r>
    <r>
      <rPr>
        <sz val="9"/>
        <color rgb="FF595959"/>
        <rFont val="Arial"/>
        <family val="0"/>
        <charset val="1"/>
      </rPr>
      <t xml:space="preserve">GB200 </t>
    </r>
    <r>
      <rPr>
        <sz val="9"/>
        <color rgb="FF595959"/>
        <rFont val="Noto Sans CJK SC"/>
        <family val="2"/>
      </rPr>
      <t xml:space="preserve">的解使有效算力高於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並使 </t>
    </r>
    <r>
      <rPr>
        <sz val="9"/>
        <color rgb="FF595959"/>
        <rFont val="Arial"/>
        <family val="0"/>
        <charset val="1"/>
      </rPr>
      <t xml:space="preserve">V5 </t>
    </r>
    <r>
      <rPr>
        <sz val="9"/>
        <color rgb="FF595959"/>
        <rFont val="Noto Sans CJK SC"/>
        <family val="2"/>
      </rPr>
      <t xml:space="preserve">失敗。待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</si>
  <si>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3"/>
        <rFont val="Arial"/>
        <family val="0"/>
        <charset val="1"/>
      </rPr>
      <t xml:space="preserve">Tech_Registry — </t>
    </r>
    <r>
      <rPr>
        <b val="true"/>
        <sz val="13"/>
        <rFont val="Noto Sans CJK SC"/>
        <family val="2"/>
      </rPr>
      <t xml:space="preserve">新技術登錄與掛鉤（每列＝技術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作用物理量；基準值只在『已在基準＝否』且開關＝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時套用）</t>
    </r>
  </si>
  <si>
    <r>
      <rPr>
        <sz val="9"/>
        <color rgb="FF595959"/>
        <rFont val="Noto Sans CJK SC"/>
        <family val="2"/>
      </rPr>
      <t xml:space="preserve">有效倍數＝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（所選倍數−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）；已在基準者恆為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，避免重複計算。主流判定（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）：至少兩家實驗室公開採用；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欄可由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覆寫</t>
    </r>
  </si>
  <si>
    <t xml:space="preserve">ID</t>
  </si>
  <si>
    <t xml:space="preserve">技術</t>
  </si>
  <si>
    <t xml:space="preserve">掛鉤代碼</t>
  </si>
  <si>
    <t xml:space="preserve">作用物理量</t>
  </si>
  <si>
    <t xml:space="preserve">倍數 低</t>
  </si>
  <si>
    <t xml:space="preserve">倍數 基準</t>
  </si>
  <si>
    <t xml:space="preserve">倍數 高</t>
  </si>
  <si>
    <r>
      <rPr>
        <b val="true"/>
        <sz val="10"/>
        <rFont val="Noto Sans CJK SC"/>
        <family val="2"/>
      </rPr>
      <t xml:space="preserve">情境（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）</t>
    </r>
  </si>
  <si>
    <t xml:space="preserve">狀態</t>
  </si>
  <si>
    <t xml:space="preserve">公開採用實驗室數</t>
  </si>
  <si>
    <r>
      <rPr>
        <b val="true"/>
        <sz val="10"/>
        <rFont val="Noto Sans CJK SC"/>
        <family val="2"/>
      </rPr>
      <t xml:space="preserve">主流判定（</t>
    </r>
    <r>
      <rPr>
        <b val="true"/>
        <sz val="10"/>
        <rFont val="Arial"/>
        <family val="0"/>
        <charset val="1"/>
      </rPr>
      <t xml:space="preserve">J14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</si>
  <si>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覆寫</t>
    </r>
  </si>
  <si>
    <t xml:space="preserve">已在基準</t>
  </si>
  <si>
    <t xml:space="preserve">採用比例</t>
  </si>
  <si>
    <r>
      <rPr>
        <b val="true"/>
        <sz val="10"/>
        <rFont val="Noto Sans CJK SC"/>
        <family val="2"/>
      </rPr>
      <t xml:space="preserve">開關（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</si>
  <si>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t xml:space="preserve">有效倍數</t>
  </si>
  <si>
    <t xml:space="preserve">證據標記</t>
  </si>
  <si>
    <t xml:space="preserve">下次檢查觸發</t>
  </si>
  <si>
    <t xml:space="preserve">一致性檢查</t>
  </si>
  <si>
    <t xml:space="preserve">T01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</si>
  <si>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推測解碼</t>
    </r>
  </si>
  <si>
    <t xml:space="preserve">—</t>
  </si>
  <si>
    <r>
      <rPr>
        <sz val="10"/>
        <color rgb="FF000000"/>
        <rFont val="Arial"/>
        <family val="0"/>
        <charset val="1"/>
      </rPr>
      <t xml:space="preserve">Serving!C6:C8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α</t>
    </r>
    <r>
      <rPr>
        <sz val="10"/>
        <color rgb="FF000000"/>
        <rFont val="Noto Sans CJK SC"/>
        <family val="2"/>
      </rPr>
      <t xml:space="preserve">）</t>
    </r>
  </si>
  <si>
    <t xml:space="preserve">主流</t>
  </si>
  <si>
    <t xml:space="preserve">是</t>
  </si>
  <si>
    <r>
      <rPr>
        <sz val="9"/>
        <color rgb="FF595959"/>
        <rFont val="Arial"/>
        <family val="0"/>
        <charset val="1"/>
      </rPr>
      <t xml:space="preserve">DeepSeek V3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GLM-4.5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MiMo </t>
    </r>
    <r>
      <rPr>
        <sz val="9"/>
        <color rgb="FF595959"/>
        <rFont val="Noto Sans CJK SC"/>
        <family val="2"/>
      </rPr>
      <t xml:space="preserve">公開採用；已在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基準</t>
    </r>
  </si>
  <si>
    <t xml:space="preserve">T02</t>
  </si>
  <si>
    <r>
      <rPr>
        <sz val="10"/>
        <color rgb="FF000000"/>
        <rFont val="Noto Sans CJK SC"/>
        <family val="2"/>
      </rPr>
      <t xml:space="preserve">壓縮／稀疏注意力（</t>
    </r>
    <r>
      <rPr>
        <sz val="10"/>
        <color rgb="FF000000"/>
        <rFont val="Arial"/>
        <family val="0"/>
        <charset val="1"/>
      </rPr>
      <t xml:space="preserve">CSA/HCA </t>
    </r>
    <r>
      <rPr>
        <sz val="10"/>
        <color rgb="FF000000"/>
        <rFont val="Noto Sans CJK SC"/>
        <family val="2"/>
      </rPr>
      <t xml:space="preserve">類）</t>
    </r>
  </si>
  <si>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16–19</t>
    </r>
  </si>
  <si>
    <r>
      <rPr>
        <sz val="9"/>
        <color rgb="FF595959"/>
        <rFont val="Arial"/>
        <family val="0"/>
        <charset val="1"/>
      </rPr>
      <t xml:space="preserve">DeepSeek V4 CSA/HCA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GLM </t>
    </r>
    <r>
      <rPr>
        <sz val="9"/>
        <color rgb="FF595959"/>
        <rFont val="Noto Sans CJK SC"/>
        <family val="2"/>
      </rPr>
      <t xml:space="preserve">稀疏注意力、</t>
    </r>
    <r>
      <rPr>
        <sz val="9"/>
        <color rgb="FF595959"/>
        <rFont val="Arial"/>
        <family val="0"/>
        <charset val="1"/>
      </rPr>
      <t xml:space="preserve">Qwen3-Next </t>
    </r>
    <r>
      <rPr>
        <sz val="9"/>
        <color rgb="FF595959"/>
        <rFont val="Noto Sans CJK SC"/>
        <family val="2"/>
      </rPr>
      <t xml:space="preserve">混合注意力；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基準已含（</t>
    </r>
    <r>
      <rPr>
        <sz val="9"/>
        <color rgb="FF595959"/>
        <rFont val="Arial"/>
        <family val="0"/>
        <charset val="1"/>
      </rPr>
      <t xml:space="preserve">S27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</si>
  <si>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T03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</si>
  <si>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權重推論（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MXFP4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</si>
  <si>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bytes/param</t>
    </r>
  </si>
  <si>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原生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專家權重、</t>
    </r>
    <r>
      <rPr>
        <sz val="9"/>
        <color rgb="FF595959"/>
        <rFont val="Arial"/>
        <family val="0"/>
        <charset val="1"/>
      </rPr>
      <t xml:space="preserve">OpenAI gpt-oss MXFP4</t>
    </r>
    <r>
      <rPr>
        <sz val="9"/>
        <color rgb="FF595959"/>
        <rFont val="Noto Sans CJK SC"/>
        <family val="2"/>
      </rPr>
      <t xml:space="preserve">；已在基準</t>
    </r>
  </si>
  <si>
    <t xml:space="preserve">T04</t>
  </si>
  <si>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量化感知訓練（後訓練）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</si>
  <si>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：主權重量化到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再反量化到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計算，沿用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訓練框架（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</t>
    </r>
  </si>
  <si>
    <t xml:space="preserve">T05</t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</si>
  <si>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蒸餾（多專家整合）</t>
    </r>
  </si>
  <si>
    <r>
      <rPr>
        <sz val="10"/>
        <color rgb="FF000000"/>
        <rFont val="Arial"/>
        <family val="0"/>
        <charset val="1"/>
      </rPr>
      <t xml:space="preserve">Training G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</si>
  <si>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DeepSeek V4</t>
    </r>
    <r>
      <rPr>
        <sz val="9"/>
        <color rgb="FF595959"/>
        <rFont val="Noto Sans CJK SC"/>
        <family val="2"/>
      </rPr>
      <t xml:space="preserve">（專家 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後以 </t>
    </r>
    <r>
      <rPr>
        <sz val="9"/>
        <color rgb="FF595959"/>
        <rFont val="Arial"/>
        <family val="0"/>
        <charset val="1"/>
      </rPr>
      <t xml:space="preserve">on-policy </t>
    </r>
    <r>
      <rPr>
        <sz val="9"/>
        <color rgb="FF595959"/>
        <rFont val="Noto Sans CJK SC"/>
        <family val="2"/>
      </rPr>
      <t xml:space="preserve">蒸餾整合，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Qwen3</t>
    </r>
    <r>
      <rPr>
        <sz val="9"/>
        <color rgb="FF595959"/>
        <rFont val="Noto Sans CJK SC"/>
        <family val="2"/>
      </rPr>
      <t xml:space="preserve">；已在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基準</t>
    </r>
  </si>
  <si>
    <t xml:space="preserve">T06</t>
  </si>
  <si>
    <r>
      <rPr>
        <sz val="10"/>
        <color rgb="FF000000"/>
        <rFont val="Arial"/>
        <family val="0"/>
        <charset val="1"/>
      </rPr>
      <t xml:space="preserve">Muon </t>
    </r>
    <r>
      <rPr>
        <sz val="10"/>
        <color rgb="FF000000"/>
        <rFont val="Noto Sans CJK SC"/>
        <family val="2"/>
      </rPr>
      <t xml:space="preserve">優化器</t>
    </r>
  </si>
  <si>
    <t xml:space="preserve">H_TOK</t>
  </si>
  <si>
    <r>
      <rPr>
        <sz val="10"/>
        <color rgb="FF000000"/>
        <rFont val="Noto Sans CJK SC"/>
        <family val="2"/>
      </rPr>
      <t xml:space="preserve">預訓練所需 </t>
    </r>
    <r>
      <rPr>
        <sz val="10"/>
        <color rgb="FF000000"/>
        <rFont val="Arial"/>
        <family val="0"/>
        <charset val="1"/>
      </rPr>
      <t xml:space="preserve">token</t>
    </r>
  </si>
  <si>
    <t xml:space="preserve">早期採用</t>
  </si>
  <si>
    <r>
      <rPr>
        <sz val="9"/>
        <color rgb="FF595959"/>
        <rFont val="Arial"/>
        <family val="0"/>
        <charset val="1"/>
      </rPr>
      <t xml:space="preserve">Moonshot Kimi K2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採用；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數為實際值，已隱含其效果，故不套倍數</t>
    </r>
  </si>
  <si>
    <r>
      <rPr>
        <sz val="9"/>
        <color rgb="FF595959"/>
        <rFont val="Noto Sans CJK SC"/>
        <family val="2"/>
      </rPr>
      <t xml:space="preserve">第三家前沿實驗室採用，或公開同品質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節省的對照實驗</t>
    </r>
  </si>
  <si>
    <t xml:space="preserve">T07</t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</si>
  <si>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</t>
    </r>
  </si>
  <si>
    <t xml:space="preserve">H_TPK</t>
  </si>
  <si>
    <t xml:space="preserve">訓練峰值</t>
  </si>
  <si>
    <t xml:space="preserve">否</t>
  </si>
  <si>
    <r>
      <rPr>
        <sz val="9"/>
        <color rgb="FF595959"/>
        <rFont val="Noto Sans CJK SC"/>
        <family val="2"/>
      </rPr>
      <t xml:space="preserve">倍數＝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訓練峰值 </t>
    </r>
    <r>
      <rPr>
        <sz val="9"/>
        <color rgb="FF595959"/>
        <rFont val="Arial"/>
        <family val="0"/>
        <charset val="1"/>
      </rPr>
      <t xml:space="preserve">÷ 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 35/17.5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GB300 15/5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 [Assumed]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公開 </t>
    </r>
    <r>
      <rPr>
        <sz val="9"/>
        <color rgb="FF595959"/>
        <rFont val="Arial"/>
        <family val="0"/>
        <charset val="1"/>
      </rPr>
      <t xml:space="preserve">12B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10T token NVFP4 </t>
    </r>
    <r>
      <rPr>
        <sz val="9"/>
        <color rgb="FF595959"/>
        <rFont val="Noto Sans CJK SC"/>
        <family val="2"/>
      </rPr>
      <t xml:space="preserve">預訓練；前沿實驗室未見公開採用。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可能同步下降，未計</t>
    </r>
  </si>
  <si>
    <r>
      <rPr>
        <sz val="9"/>
        <color rgb="FF595959"/>
        <rFont val="Noto Sans CJK SC"/>
        <family val="2"/>
      </rPr>
      <t xml:space="preserve">任一前沿實驗室公開以 </t>
    </r>
    <r>
      <rPr>
        <sz val="9"/>
        <color rgb="FF595959"/>
        <rFont val="Arial"/>
        <family val="0"/>
        <charset val="1"/>
      </rPr>
      <t xml:space="preserve">FP4 </t>
    </r>
    <r>
      <rPr>
        <sz val="9"/>
        <color rgb="FF595959"/>
        <rFont val="Noto Sans CJK SC"/>
        <family val="2"/>
      </rPr>
      <t xml:space="preserve">完成主預訓練</t>
    </r>
  </si>
  <si>
    <t xml:space="preserve">T08</t>
  </si>
  <si>
    <r>
      <rPr>
        <sz val="10"/>
        <color rgb="FF000000"/>
        <rFont val="Arial"/>
        <family val="0"/>
        <charset val="1"/>
      </rPr>
      <t xml:space="preserve">Looped transformer</t>
    </r>
    <r>
      <rPr>
        <sz val="10"/>
        <color rgb="FF000000"/>
        <rFont val="Noto Sans CJK SC"/>
        <family val="2"/>
      </rPr>
      <t xml:space="preserve">（權重共享迴圈）— 計算量</t>
    </r>
  </si>
  <si>
    <t xml:space="preserve">H_FLOP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</si>
  <si>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</t>
    </r>
  </si>
  <si>
    <t xml:space="preserve">研究</t>
  </si>
  <si>
    <r>
      <rPr>
        <sz val="9"/>
        <color rgb="FF595959"/>
        <rFont val="Noto Sans CJK SC"/>
        <family val="2"/>
      </rPr>
      <t xml:space="preserve">同一組權重迴圈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次：</t>
    </r>
    <r>
      <rPr>
        <sz val="9"/>
        <color rgb="FF595959"/>
        <rFont val="Arial"/>
        <family val="0"/>
        <charset val="1"/>
      </rPr>
      <t xml:space="preserve">FLOPs × k</t>
    </r>
    <r>
      <rPr>
        <sz val="9"/>
        <color rgb="FF595959"/>
        <rFont val="Noto Sans CJK SC"/>
        <family val="2"/>
      </rPr>
      <t xml:space="preserve">、權重 </t>
    </r>
    <r>
      <rPr>
        <sz val="9"/>
        <color rgb="FF595959"/>
        <rFont val="Arial"/>
        <family val="0"/>
        <charset val="1"/>
      </rPr>
      <t xml:space="preserve">bytes × 1</t>
    </r>
    <r>
      <rPr>
        <sz val="9"/>
        <color rgb="FF595959"/>
        <rFont val="Noto Sans CJK SC"/>
        <family val="2"/>
      </rPr>
      <t xml:space="preserve">；能力增量於 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H_CAP</t>
    </r>
    <r>
      <rPr>
        <sz val="9"/>
        <color rgb="FF595959"/>
        <rFont val="Noto Sans CJK SC"/>
        <family val="2"/>
      </rPr>
      <t xml:space="preserve">）處理</t>
    </r>
  </si>
  <si>
    <t xml:space="preserve">前沿模型卡或技術報告揭露迴圈深度</t>
  </si>
  <si>
    <t xml:space="preserve">T09</t>
  </si>
  <si>
    <r>
      <rPr>
        <sz val="10"/>
        <color rgb="FF000000"/>
        <rFont val="Arial"/>
        <family val="0"/>
        <charset val="1"/>
      </rPr>
      <t xml:space="preserve">Looped transformer — </t>
    </r>
    <r>
      <rPr>
        <sz val="10"/>
        <color rgb="FF000000"/>
        <rFont val="Noto Sans CJK SC"/>
        <family val="2"/>
      </rPr>
      <t xml:space="preserve">每層延遲</t>
    </r>
  </si>
  <si>
    <t xml:space="preserve">H_TL</t>
  </si>
  <si>
    <t xml:space="preserve">每步逐層延遲</t>
  </si>
  <si>
    <r>
      <rPr>
        <sz val="9"/>
        <color rgb="FF595959"/>
        <rFont val="Noto Sans CJK SC"/>
        <family val="2"/>
      </rPr>
      <t xml:space="preserve">迴圈使有效層數 </t>
    </r>
    <r>
      <rPr>
        <sz val="9"/>
        <color rgb="FF595959"/>
        <rFont val="Arial"/>
        <family val="0"/>
        <charset val="1"/>
      </rPr>
      <t xml:space="preserve">× k</t>
    </r>
    <r>
      <rPr>
        <sz val="9"/>
        <color rgb="FF595959"/>
        <rFont val="Noto Sans CJK SC"/>
        <family val="2"/>
      </rPr>
      <t xml:space="preserve">，逐層延遲同比增加；與 </t>
    </r>
    <r>
      <rPr>
        <sz val="9"/>
        <color rgb="FF595959"/>
        <rFont val="Arial"/>
        <family val="0"/>
        <charset val="1"/>
      </rPr>
      <t xml:space="preserve">T08 </t>
    </r>
    <r>
      <rPr>
        <sz val="9"/>
        <color rgb="FF595959"/>
        <rFont val="Noto Sans CJK SC"/>
        <family val="2"/>
      </rPr>
      <t xml:space="preserve">同時開關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</si>
  <si>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T08</t>
    </r>
  </si>
  <si>
    <t xml:space="preserve">T10</t>
  </si>
  <si>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與訓練解耦、部分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）</t>
    </r>
  </si>
  <si>
    <t xml:space="preserve">H_ROLL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</si>
  <si>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</t>
    </r>
  </si>
  <si>
    <r>
      <rPr>
        <sz val="9"/>
        <color rgb="FF595959"/>
        <rFont val="Noto Sans CJK SC"/>
        <family val="2"/>
      </rPr>
      <t xml:space="preserve">旗艦模型公開採用：</t>
    </r>
    <r>
      <rPr>
        <sz val="9"/>
        <color rgb="FF595959"/>
        <rFont val="Arial"/>
        <family val="0"/>
        <charset val="1"/>
      </rPr>
      <t xml:space="preserve">DeepSeek V4.1</t>
    </r>
    <r>
      <rPr>
        <sz val="9"/>
        <color rgb="FF595959"/>
        <rFont val="Noto Sans CJK SC"/>
        <family val="2"/>
      </rPr>
      <t xml:space="preserve">（幾乎全部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Zhipu GLM-5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slime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S46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Moonshot Kimi-Researcher</t>
    </r>
    <r>
      <rPr>
        <sz val="9"/>
        <color rgb="FF595959"/>
        <rFont val="Noto Sans CJK SC"/>
        <family val="2"/>
      </rPr>
      <t xml:space="preserve">（完全非同步 </t>
    </r>
    <r>
      <rPr>
        <sz val="9"/>
        <color rgb="FF595959"/>
        <rFont val="Arial"/>
        <family val="0"/>
        <charset val="1"/>
      </rPr>
      <t xml:space="preserve">rollout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S47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LlamaRL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S48</t>
    </r>
    <r>
      <rPr>
        <sz val="9"/>
        <color rgb="FF595959"/>
        <rFont val="Noto Sans CJK SC"/>
        <family val="2"/>
      </rPr>
      <t xml:space="preserve">）。閉源四家未找到披露。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起併入基準：</t>
    </r>
    <r>
      <rPr>
        <sz val="9"/>
        <color rgb="FF595959"/>
        <rFont val="Arial"/>
        <family val="0"/>
        <charset val="1"/>
      </rPr>
      <t xml:space="preserve">Train_In 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2026-10-01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</si>
  <si>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閉源實驗室披露同步做法，或前沿規模對照實驗顯示 </t>
    </r>
    <r>
      <rPr>
        <sz val="9"/>
        <color rgb="FF595959"/>
        <rFont val="Arial"/>
        <family val="0"/>
        <charset val="1"/>
      </rPr>
      <t xml:space="preserve">off-policy </t>
    </r>
    <r>
      <rPr>
        <sz val="9"/>
        <color rgb="FF595959"/>
        <rFont val="Noto Sans CJK SC"/>
        <family val="2"/>
      </rPr>
      <t xml:space="preserve">偏差抵銷吞吐增益</t>
    </r>
  </si>
  <si>
    <t xml:space="preserve">T11</t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</si>
  <si>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快取壓縮（</t>
    </r>
    <r>
      <rPr>
        <sz val="10"/>
        <color rgb="FF000000"/>
        <rFont val="Arial"/>
        <family val="0"/>
        <charset val="1"/>
      </rPr>
      <t xml:space="preserve">FP4 KV </t>
    </r>
    <r>
      <rPr>
        <sz val="10"/>
        <color rgb="FF000000"/>
        <rFont val="Noto Sans CJK SC"/>
        <family val="2"/>
      </rPr>
      <t xml:space="preserve">等）</t>
    </r>
  </si>
  <si>
    <t xml:space="preserve">H_KV</t>
  </si>
  <si>
    <r>
      <rPr>
        <sz val="9"/>
        <color rgb="FF595959"/>
        <rFont val="Arial"/>
        <family val="0"/>
        <charset val="1"/>
      </rPr>
      <t xml:space="preserve">FP8 → FP4 KV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bytes × 0.5</t>
    </r>
    <r>
      <rPr>
        <sz val="9"/>
        <color rgb="FF595959"/>
        <rFont val="Noto Sans CJK SC"/>
        <family val="2"/>
      </rPr>
      <t xml:space="preserve">；準確率損失待查</t>
    </r>
  </si>
  <si>
    <t xml:space="preserve">第二家實驗室在生產服務公開採用</t>
  </si>
  <si>
    <t xml:space="preserve">T12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</si>
  <si>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（代理框架）</t>
    </r>
  </si>
  <si>
    <t xml:space="preserve">H_HAR</t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</si>
  <si>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選定檔案（混合權重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</t>
    </r>
  </si>
  <si>
    <t xml:space="preserve">追蹤中</t>
  </si>
  <si>
    <r>
      <rPr>
        <sz val="9"/>
        <color rgb="FF595959"/>
        <rFont val="Arial"/>
        <family val="0"/>
        <charset val="1"/>
      </rPr>
      <t xml:space="preserve">v5.9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以參數組表達（輪數、思考保留、思考量、歷史壓縮、快取命中、子代理、狀態保留）加成功率（</t>
    </r>
    <r>
      <rPr>
        <sz val="9"/>
        <color rgb="FF595959"/>
        <rFont val="Arial"/>
        <family val="0"/>
        <charset val="1"/>
      </rPr>
      <t xml:space="preserve">L1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）；倍數欄不使用。基準不開（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自測）：</t>
    </r>
    <r>
      <rPr>
        <sz val="9"/>
        <color rgb="FF595959"/>
        <rFont val="Arial"/>
        <family val="0"/>
        <charset val="1"/>
      </rPr>
      <t xml:space="preserve">GPT-6 Astra </t>
    </r>
    <r>
      <rPr>
        <sz val="9"/>
        <color rgb="FF595959"/>
        <rFont val="Noto Sans CJK SC"/>
        <family val="2"/>
      </rPr>
      <t xml:space="preserve">標準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最高推理 </t>
    </r>
    <r>
      <rPr>
        <sz val="9"/>
        <color rgb="FF595959"/>
        <rFont val="Arial"/>
        <family val="0"/>
        <charset val="1"/>
      </rPr>
      <t xml:space="preserve">62.7%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$26,098 → OpenAI Provider Adapter </t>
    </r>
    <r>
      <rPr>
        <sz val="9"/>
        <color rgb="FF595959"/>
        <rFont val="Noto Sans CJK SC"/>
        <family val="2"/>
      </rPr>
      <t xml:space="preserve">同檔 </t>
    </r>
    <r>
      <rPr>
        <sz val="9"/>
        <color rgb="FF595959"/>
        <rFont val="Arial"/>
        <family val="0"/>
        <charset val="1"/>
      </rPr>
      <t xml:space="preserve">98.6%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$17,332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）。主流判定（</t>
    </r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）尚未評估</t>
    </r>
  </si>
  <si>
    <r>
      <rPr>
        <sz val="9"/>
        <color rgb="FF595959"/>
        <rFont val="Noto Sans CJK SC"/>
        <family val="2"/>
      </rPr>
      <t xml:space="preserve">中立方（</t>
    </r>
    <r>
      <rPr>
        <sz val="9"/>
        <color rgb="FF595959"/>
        <rFont val="Arial"/>
        <family val="0"/>
        <charset val="1"/>
      </rPr>
      <t xml:space="preserve">ARC Prize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Artificial Analysis</t>
    </r>
    <r>
      <rPr>
        <sz val="9"/>
        <color rgb="FF595959"/>
        <rFont val="Noto Sans CJK SC"/>
        <family val="2"/>
      </rPr>
      <t xml:space="preserve">）在同條件下測得第二個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對照</t>
    </r>
  </si>
  <si>
    <t xml:space="preserve">門檻</t>
  </si>
  <si>
    <r>
      <rPr>
        <sz val="10"/>
        <color rgb="FF000000"/>
        <rFont val="Noto Sans CJK SC"/>
        <family val="2"/>
      </rPr>
      <t xml:space="preserve">主流判定門檻：公開採用實驗室數 ≥ 本格（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欄共用）</t>
    </r>
  </si>
  <si>
    <r>
      <rPr>
        <sz val="9"/>
        <color rgb="FF595959"/>
        <rFont val="Arial"/>
        <family val="0"/>
        <charset val="1"/>
      </rPr>
      <t xml:space="preserve">J14</t>
    </r>
    <r>
      <rPr>
        <sz val="9"/>
        <color rgb="FF595959"/>
        <rFont val="Noto Sans CJK SC"/>
        <family val="2"/>
      </rPr>
      <t xml:space="preserve">：至少兩家實驗室公開採用即為主流（</t>
    </r>
    <r>
      <rPr>
        <sz val="9"/>
        <color rgb="FF595959"/>
        <rFont val="Arial"/>
        <family val="0"/>
        <charset val="1"/>
      </rPr>
      <t xml:space="preserve">CST_MainMin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</si>
  <si>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掛鉤彙總（同一掛鉤多條目時取乘積；</t>
    </r>
    <r>
      <rPr>
        <b val="true"/>
        <sz val="10"/>
        <rFont val="Arial"/>
        <family val="0"/>
        <charset val="1"/>
      </rPr>
      <t xml:space="preserve">Perf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Perf_Batch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連結本表 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欄）</t>
    </r>
  </si>
  <si>
    <t xml:space="preserve">代碼</t>
  </si>
  <si>
    <t xml:space="preserve">意義</t>
  </si>
  <si>
    <t xml:space="preserve">作用位置</t>
  </si>
  <si>
    <t xml:space="preserve">倍數</t>
  </si>
  <si>
    <t xml:space="preserve">H_ETAD</t>
  </si>
  <si>
    <r>
      <rPr>
        <sz val="10"/>
        <color rgb="FF000000"/>
        <rFont val="Arial"/>
        <family val="0"/>
        <charset val="1"/>
      </rPr>
      <t xml:space="preserve">decode η_d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</si>
  <si>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etadm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</si>
  <si>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tlm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</si>
  <si>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FLOPs </t>
    </r>
    <r>
      <rPr>
        <sz val="10"/>
        <color rgb="FF000000"/>
        <rFont val="Noto Sans CJK SC"/>
        <family val="2"/>
      </rPr>
      <t xml:space="preserve">倍數（推論與訓練）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</si>
  <si>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hflop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</si>
  <si>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</si>
  <si>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hkv </t>
    </r>
    <r>
      <rPr>
        <sz val="9"/>
        <color rgb="FF595959"/>
        <rFont val="Noto Sans CJK SC"/>
        <family val="2"/>
      </rPr>
      <t xml:space="preserve">列</t>
    </r>
  </si>
  <si>
    <t xml:space="preserve">H_WB</t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</si>
  <si>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</si>
  <si>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hwb </t>
    </r>
    <r>
      <rPr>
        <sz val="9"/>
        <color rgb="FF595959"/>
        <rFont val="Noto Sans CJK SC"/>
        <family val="2"/>
      </rPr>
      <t xml:space="preserve">列</t>
    </r>
  </si>
  <si>
    <t xml:space="preserve">訓練峰值倍數</t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</si>
  <si>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htpk </t>
    </r>
    <r>
      <rPr>
        <sz val="9"/>
        <color rgb="FF595959"/>
        <rFont val="Noto Sans CJK SC"/>
        <family val="2"/>
      </rPr>
      <t xml:space="preserve">列</t>
    </r>
  </si>
  <si>
    <t xml:space="preserve">H_MFU</t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</si>
  <si>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</si>
  <si>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hmfu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</si>
  <si>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達同等預訓練品質所需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</si>
  <si>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htok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</si>
  <si>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</t>
    </r>
  </si>
  <si>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hroll </t>
    </r>
    <r>
      <rPr>
        <sz val="9"/>
        <color rgb="FF595959"/>
        <rFont val="Noto Sans CJK SC"/>
        <family val="2"/>
      </rPr>
      <t xml:space="preserve">列</t>
    </r>
  </si>
  <si>
    <t xml:space="preserve">H_CAP</t>
  </si>
  <si>
    <r>
      <rPr>
        <sz val="10"/>
        <color rgb="FF000000"/>
        <rFont val="Noto Sans CJK SC"/>
        <family val="2"/>
      </rPr>
      <t xml:space="preserve">能力增量（</t>
    </r>
    <r>
      <rPr>
        <sz val="10"/>
        <color rgb="FF000000"/>
        <rFont val="Arial"/>
        <family val="0"/>
        <charset val="1"/>
      </rPr>
      <t xml:space="preserve">Block 4 </t>
    </r>
    <r>
      <rPr>
        <sz val="10"/>
        <color rgb="FF000000"/>
        <rFont val="Noto Sans CJK SC"/>
        <family val="2"/>
      </rPr>
      <t xml:space="preserve">占位，尚無作用）</t>
    </r>
  </si>
  <si>
    <t xml:space="preserve">Block 4</t>
  </si>
  <si>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起不作倍數；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的開關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採用比例＝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</si>
  <si>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→ Workload B </t>
    </r>
    <r>
      <rPr>
        <sz val="9"/>
        <color rgb="FF595959"/>
        <rFont val="Noto Sans CJK SC"/>
        <family val="2"/>
      </rPr>
      <t xml:space="preserve">節、</t>
    </r>
    <r>
      <rPr>
        <sz val="9"/>
        <color rgb="FF595959"/>
        <rFont val="Arial"/>
        <family val="0"/>
        <charset val="1"/>
      </rPr>
      <t xml:space="preserve">Harness</t>
    </r>
  </si>
  <si>
    <t xml:space="preserve">注意</t>
  </si>
  <si>
    <r>
      <rPr>
        <sz val="9"/>
        <color rgb="FF595959"/>
        <rFont val="Noto Sans CJK SC"/>
        <family val="2"/>
      </rPr>
      <t xml:space="preserve">掛鉤作用於全部世代與層級。新條目：在表中插入一列（範圍內），填倍數、狀態與證據；開關預設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與每層延遲情境為覆寫值，不受 </t>
    </r>
    <r>
      <rPr>
        <sz val="9"/>
        <color rgb="FF595959"/>
        <rFont val="Arial"/>
        <family val="0"/>
        <charset val="1"/>
      </rPr>
      <t xml:space="preserve">Registry </t>
    </r>
    <r>
      <rPr>
        <sz val="9"/>
        <color rgb="FF595959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</si>
  <si>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Perf — </t>
    </r>
    <r>
      <rPr>
        <b val="true"/>
        <sz val="13"/>
        <rFont val="Noto Sans CJK SC"/>
        <family val="2"/>
      </rPr>
      <t xml:space="preserve">每架產出引擎（世代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層級；各層級 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與參考任務；</t>
    </r>
    <r>
      <rPr>
        <b val="true"/>
        <sz val="13"/>
        <rFont val="Arial"/>
        <family val="0"/>
        <charset val="1"/>
      </rPr>
      <t xml:space="preserve">100% </t>
    </r>
    <r>
      <rPr>
        <b val="true"/>
        <sz val="13"/>
        <rFont val="Noto Sans CJK SC"/>
        <family val="2"/>
      </rPr>
      <t xml:space="preserve">利用率）</t>
    </r>
  </si>
  <si>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：每步時間＝固定延遲＋</t>
    </r>
    <r>
      <rPr>
        <sz val="9"/>
        <color rgb="FF595959"/>
        <rFont val="Arial"/>
        <family val="0"/>
        <charset val="1"/>
      </rPr>
      <t xml:space="preserve">B × </t>
    </r>
    <r>
      <rPr>
        <sz val="9"/>
        <color rgb="FF595959"/>
        <rFont val="Noto Sans CJK SC"/>
        <family val="2"/>
      </rPr>
      <t xml:space="preserve">每序列時間；在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下解出批次 </t>
    </r>
    <r>
      <rPr>
        <sz val="9"/>
        <color rgb="FF595959"/>
        <rFont val="Arial"/>
        <family val="0"/>
        <charset val="1"/>
      </rPr>
      <t xml:space="preserve">B*</t>
    </r>
    <r>
      <rPr>
        <sz val="9"/>
        <color rgb="FF595959"/>
        <rFont val="Noto Sans CJK SC"/>
        <family val="2"/>
      </rPr>
      <t xml:space="preserve">，再受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容量限制。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為算力受限。黃底為關鍵輸出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</si>
  <si>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</si>
  <si>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</t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</si>
  <si>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</si>
  <si>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t xml:space="preserve">層級索引</t>
  </si>
  <si>
    <r>
      <rPr>
        <b val="true"/>
        <sz val="10"/>
        <rFont val="Arial"/>
        <family val="0"/>
        <charset val="1"/>
      </rPr>
      <t xml:space="preserve">0. Tech_Registry </t>
    </r>
    <r>
      <rPr>
        <b val="true"/>
        <sz val="10"/>
        <rFont val="Noto Sans CJK SC"/>
        <family val="2"/>
      </rPr>
      <t xml:space="preserve">掛鉤（基準＝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Registry </t>
    </r>
    <r>
      <rPr>
        <b val="true"/>
        <sz val="10"/>
        <rFont val="Noto Sans CJK SC"/>
        <family val="2"/>
      </rPr>
      <t xml:space="preserve">未啟用任何條目時與 </t>
    </r>
    <r>
      <rPr>
        <b val="true"/>
        <sz val="10"/>
        <rFont val="Arial"/>
        <family val="0"/>
        <charset val="1"/>
      </rPr>
      <t xml:space="preserve">v5.4 </t>
    </r>
    <r>
      <rPr>
        <b val="true"/>
        <sz val="10"/>
        <rFont val="Noto Sans CJK SC"/>
        <family val="2"/>
      </rPr>
      <t xml:space="preserve">相同）</t>
    </r>
  </si>
  <si>
    <r>
      <rPr>
        <sz val="10"/>
        <color rgb="FF000000"/>
        <rFont val="Arial"/>
        <family val="0"/>
        <charset val="1"/>
      </rPr>
      <t xml:space="preserve">FLOPs/token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H_FLOP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</si>
  <si>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bytes/token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</si>
  <si>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權重 </t>
    </r>
    <r>
      <rPr>
        <sz val="10"/>
        <color rgb="FF000000"/>
        <rFont val="Arial"/>
        <family val="0"/>
        <charset val="1"/>
      </rPr>
      <t xml:space="preserve">bytes/param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</si>
  <si>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規格（連結 </t>
    </r>
    <r>
      <rPr>
        <b val="true"/>
        <sz val="10"/>
        <rFont val="Arial"/>
        <family val="0"/>
        <charset val="1"/>
      </rPr>
      <t xml:space="preserve">Spec_Rack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DC_Cost</t>
    </r>
    <r>
      <rPr>
        <b val="true"/>
        <sz val="10"/>
        <rFont val="Noto Sans CJK SC"/>
        <family val="2"/>
      </rPr>
      <t xml:space="preserve">）</t>
    </r>
  </si>
  <si>
    <t xml:space="preserve">GB/GPU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</si>
  <si>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通訊頻寬（單向）</t>
    </r>
  </si>
  <si>
    <r>
      <rPr>
        <sz val="10"/>
        <color rgb="FF000000"/>
        <rFont val="Noto Sans CJK SC"/>
        <family val="2"/>
      </rPr>
      <t xml:space="preserve">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</si>
  <si>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非專家權重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H_WB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</si>
  <si>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</si>
  <si>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顆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</si>
  <si>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</t>
    </r>
  </si>
  <si>
    <t xml:space="preserve">W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</si>
  <si>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存取能量</t>
    </r>
  </si>
  <si>
    <t xml:space="preserve">pJ/B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</si>
  <si>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機架數（功率情境）</t>
    </r>
  </si>
  <si>
    <t xml:space="preserve">架</t>
  </si>
  <si>
    <t xml:space="preserve">每架配電設計功率</t>
  </si>
  <si>
    <t xml:space="preserve">kW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</si>
  <si>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；啟用參數與非專家／專家參數已乘模型規模倍數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</si>
  <si>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</si>
  <si>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H_KV</t>
    </r>
    <r>
      <rPr>
        <sz val="10"/>
        <color rgb="FF000000"/>
        <rFont val="Noto Sans CJK SC"/>
        <family val="2"/>
      </rPr>
      <t xml:space="preserve">）</t>
    </r>
  </si>
  <si>
    <t xml:space="preserve">全注意力跨度上限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</si>
  <si>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服務、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與校準參數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</si>
  <si>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</si>
  <si>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參考 </t>
    </r>
    <r>
      <rPr>
        <sz val="10"/>
        <color rgb="FF000000"/>
        <rFont val="Arial"/>
        <family val="0"/>
        <charset val="1"/>
      </rPr>
      <t xml:space="preserve">ISL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</si>
  <si>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草稿數</t>
    </r>
  </si>
  <si>
    <t xml:space="preserve">草稿接受率</t>
  </si>
  <si>
    <r>
      <rPr>
        <sz val="10"/>
        <color rgb="FF000000"/>
        <rFont val="Noto Sans CJK SC"/>
        <family val="2"/>
      </rPr>
      <t xml:space="preserve">每步期望接受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</si>
  <si>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占峰值；含折減）</t>
    </r>
  </si>
  <si>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Tech_Registry H_ETAD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</si>
  <si>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每序列算力效率；含折減）</t>
    </r>
  </si>
  <si>
    <r>
      <rPr>
        <sz val="10"/>
        <color rgb="FF000000"/>
        <rFont val="Noto Sans CJK SC"/>
        <family val="2"/>
      </rPr>
      <t xml:space="preserve">每層延遲倍數（</t>
    </r>
    <r>
      <rPr>
        <sz val="10"/>
        <color rgb="FF000000"/>
        <rFont val="Arial"/>
        <family val="0"/>
        <charset val="1"/>
      </rPr>
      <t xml:space="preserve">Tech_Registry H_TL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情境覆寫）</t>
    </r>
  </si>
  <si>
    <t xml:space="preserve">每層每次前向固定延遲（含折減）</t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</si>
  <si>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保留比例</t>
    </r>
  </si>
  <si>
    <r>
      <rPr>
        <sz val="10"/>
        <color rgb="FF000000"/>
        <rFont val="Noto Sans CJK SC"/>
        <family val="2"/>
      </rPr>
      <t xml:space="preserve">非專家權重占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</si>
  <si>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Noto Sans CJK SC"/>
        <family val="2"/>
      </rPr>
      <t xml:space="preserve">專家權重占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</si>
  <si>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啟用值 </t>
    </r>
    <r>
      <rPr>
        <sz val="10"/>
        <color rgb="FF000000"/>
        <rFont val="Arial"/>
        <family val="0"/>
        <charset val="1"/>
      </rPr>
      <t xml:space="preserve">bytes/</t>
    </r>
    <r>
      <rPr>
        <sz val="10"/>
        <color rgb="FF000000"/>
        <rFont val="Noto Sans CJK SC"/>
        <family val="2"/>
      </rPr>
      <t xml:space="preserve">元素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</si>
  <si>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讀取效率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</si>
  <si>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通訊效率</t>
    </r>
  </si>
  <si>
    <t xml:space="preserve">快取載入頻寬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</si>
  <si>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計算量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</si>
  <si>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</si>
  <si>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被注意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</si>
  <si>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記憶體配置（</t>
    </r>
    <r>
      <rPr>
        <b val="true"/>
        <sz val="10"/>
        <rFont val="Arial"/>
        <family val="0"/>
        <charset val="1"/>
      </rPr>
      <t xml:space="preserve">attention DP</t>
    </r>
    <r>
      <rPr>
        <b val="true"/>
        <sz val="10"/>
        <rFont val="Noto Sans CJK SC"/>
        <family val="2"/>
      </rPr>
      <t xml:space="preserve">＋</t>
    </r>
    <r>
      <rPr>
        <b val="true"/>
        <sz val="10"/>
        <rFont val="Arial"/>
        <family val="0"/>
        <charset val="1"/>
      </rPr>
      <t xml:space="preserve">wide EP</t>
    </r>
    <r>
      <rPr>
        <b val="true"/>
        <sz val="10"/>
        <rFont val="Noto Sans CJK SC"/>
        <family val="2"/>
      </rPr>
      <t xml:space="preserve">；每 </t>
    </r>
    <r>
      <rPr>
        <b val="true"/>
        <sz val="10"/>
        <rFont val="Arial"/>
        <family val="0"/>
        <charset val="1"/>
      </rPr>
      <t xml:space="preserve">GPU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</si>
  <si>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TP </t>
    </r>
    <r>
      <rPr>
        <sz val="10"/>
        <color rgb="FF000000"/>
        <rFont val="Noto Sans CJK SC"/>
        <family val="2"/>
      </rPr>
      <t xml:space="preserve">度（自動）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</si>
  <si>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寬度（自動）</t>
    </r>
  </si>
  <si>
    <r>
      <rPr>
        <sz val="10"/>
        <color rgb="FF000000"/>
        <rFont val="Noto Sans CJK SC"/>
        <family val="2"/>
      </rPr>
      <t xml:space="preserve">權重占可用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</si>
  <si>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F. Prefill</t>
    </r>
    <r>
      <rPr>
        <b val="true"/>
        <sz val="10"/>
        <rFont val="Noto Sans CJK SC"/>
        <family val="2"/>
      </rPr>
      <t xml:space="preserve">（算力受限）</t>
    </r>
  </si>
  <si>
    <r>
      <rPr>
        <sz val="10"/>
        <color rgb="FF000000"/>
        <rFont val="Arial"/>
        <family val="0"/>
        <charset val="1"/>
      </rPr>
      <t xml:space="preserve">prefill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prefill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</si>
  <si>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；快取命中後新鮮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位於序列後段，本式（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平均位置取整段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的一半）略低估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時間；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</si>
  <si>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</t>
    </r>
  </si>
  <si>
    <r>
      <rPr>
        <b val="true"/>
        <sz val="10"/>
        <rFont val="Arial"/>
        <family val="0"/>
        <charset val="1"/>
      </rPr>
      <t xml:space="preserve">G. Decode</t>
    </r>
    <r>
      <rPr>
        <b val="true"/>
        <sz val="10"/>
        <rFont val="Noto Sans CJK SC"/>
        <family val="2"/>
      </rPr>
      <t xml:space="preserve">：每步時間＝固定延遲＋</t>
    </r>
    <r>
      <rPr>
        <b val="true"/>
        <sz val="10"/>
        <rFont val="Arial"/>
        <family val="0"/>
        <charset val="1"/>
      </rPr>
      <t xml:space="preserve">B × </t>
    </r>
    <r>
      <rPr>
        <b val="true"/>
        <sz val="10"/>
        <rFont val="Noto Sans CJK SC"/>
        <family val="2"/>
      </rPr>
      <t xml:space="preserve">每序列時間；</t>
    </r>
    <r>
      <rPr>
        <b val="true"/>
        <sz val="10"/>
        <rFont val="Arial"/>
        <family val="0"/>
        <charset val="1"/>
      </rPr>
      <t xml:space="preserve">B*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min(SLO </t>
    </r>
    <r>
      <rPr>
        <b val="true"/>
        <sz val="10"/>
        <rFont val="Noto Sans CJK SC"/>
        <family val="2"/>
      </rPr>
      <t xml:space="preserve">上限</t>
    </r>
    <r>
      <rPr>
        <b val="true"/>
        <sz val="10"/>
        <rFont val="Arial"/>
        <family val="0"/>
        <charset val="1"/>
      </rPr>
      <t xml:space="preserve">, HBM </t>
    </r>
    <r>
      <rPr>
        <b val="true"/>
        <sz val="10"/>
        <rFont val="Noto Sans CJK SC"/>
        <family val="2"/>
      </rPr>
      <t xml:space="preserve">容量上限</t>
    </r>
    <r>
      <rPr>
        <b val="true"/>
        <sz val="10"/>
        <rFont val="Arial"/>
        <family val="0"/>
        <charset val="1"/>
      </rPr>
      <t xml:space="preserve">)</t>
    </r>
  </si>
  <si>
    <t xml:space="preserve">每步固定延遲（權重讀取＋逐層延遲）</t>
  </si>
  <si>
    <t xml:space="preserve">每序列每步 — 算力項</t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</si>
  <si>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讀取項</t>
    </r>
  </si>
  <si>
    <r>
      <rPr>
        <sz val="10"/>
        <color rgb="FF000000"/>
        <rFont val="Noto Sans CJK SC"/>
        <family val="2"/>
      </rPr>
      <t xml:space="preserve">每序列每步 —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</t>
    </r>
  </si>
  <si>
    <t xml:space="preserve">每序列每步（取最大，假設三者可重疊）</t>
  </si>
  <si>
    <t xml:space="preserve">每序列綁定項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</si>
  <si>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允許的批次上限</t>
    </r>
  </si>
  <si>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容量允許的批次上限</t>
    </r>
  </si>
  <si>
    <r>
      <rPr>
        <sz val="10"/>
        <color rgb="FF000000"/>
        <rFont val="Noto Sans CJK SC"/>
        <family val="2"/>
      </rPr>
      <t xml:space="preserve">採用批次 </t>
    </r>
    <r>
      <rPr>
        <sz val="10"/>
        <color rgb="FF000000"/>
        <rFont val="Arial"/>
        <family val="0"/>
        <charset val="1"/>
      </rPr>
      <t xml:space="preserve">B*</t>
    </r>
  </si>
  <si>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</si>
  <si>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實際每用戶速度</t>
  </si>
  <si>
    <r>
      <rPr>
        <sz val="10"/>
        <color rgb="FF000000"/>
        <rFont val="Noto Sans CJK SC"/>
        <family val="2"/>
      </rPr>
      <t xml:space="preserve">綁定約束（文字「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</si>
  <si>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占可用 </t>
    </r>
    <r>
      <rPr>
        <sz val="10"/>
        <color rgb="FF000000"/>
        <rFont val="Arial"/>
        <family val="0"/>
        <charset val="1"/>
      </rPr>
      <t xml:space="preserve">HBM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</si>
  <si>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每架與每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（參考任務；</t>
    </r>
    <r>
      <rPr>
        <b val="true"/>
        <sz val="10"/>
        <rFont val="Arial"/>
        <family val="0"/>
        <charset val="1"/>
      </rPr>
      <t xml:space="preserve">P:D </t>
    </r>
    <r>
      <rPr>
        <b val="true"/>
        <sz val="10"/>
        <rFont val="Noto Sans CJK SC"/>
        <family val="2"/>
      </rPr>
      <t xml:space="preserve">依工作量配比；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利用率）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</si>
  <si>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D9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）</t>
    </r>
  </si>
  <si>
    <t xml:space="preserve">GPU-s</t>
  </si>
  <si>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</si>
  <si>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</si>
  <si>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</si>
  <si>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prefill tok/s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</si>
  <si>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</si>
  <si>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</si>
  <si>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decode </t>
    </r>
    <r>
      <rPr>
        <sz val="10"/>
        <color rgb="FF000000"/>
        <rFont val="Noto Sans CJK SC"/>
        <family val="2"/>
      </rPr>
      <t xml:space="preserve">產出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</si>
  <si>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 token GPU </t>
    </r>
    <r>
      <rPr>
        <b val="true"/>
        <sz val="10"/>
        <rFont val="Noto Sans CJK SC"/>
        <family val="2"/>
      </rPr>
      <t xml:space="preserve">秒（供 </t>
    </r>
    <r>
      <rPr>
        <b val="true"/>
        <sz val="10"/>
        <rFont val="Arial"/>
        <family val="0"/>
        <charset val="1"/>
      </rPr>
      <t xml:space="preserve">Unit_Cost</t>
    </r>
    <r>
      <rPr>
        <b val="true"/>
        <sz val="10"/>
        <rFont val="Noto Sans CJK SC"/>
        <family val="2"/>
      </rPr>
      <t xml:space="preserve">）與速覽成本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</si>
  <si>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</si>
  <si>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t xml:space="preserve">GPU-s/M</t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</si>
  <si>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載入）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</si>
  <si>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</t>
    </r>
    <r>
      <rPr>
        <sz val="10"/>
        <color rgb="FF000000"/>
        <rFont val="Arial"/>
        <family val="0"/>
        <charset val="1"/>
      </rPr>
      <t xml:space="preserve">v6.3 K3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</si>
  <si>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刪除速覽列 </t>
    </r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：單價的唯一定義在 </t>
    </r>
    <r>
      <rPr>
        <sz val="9"/>
        <color rgb="FF595959"/>
        <rFont val="Arial"/>
        <family val="0"/>
        <charset val="1"/>
      </rPr>
      <t xml:space="preserve">Unit_Cost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16–18 </t>
    </r>
    <r>
      <rPr>
        <sz val="9"/>
        <color rgb="FF595959"/>
        <rFont val="Noto Sans CJK SC"/>
        <family val="2"/>
      </rPr>
      <t xml:space="preserve">列；</t>
    </r>
    <r>
      <rPr>
        <sz val="9"/>
        <color rgb="FF595959"/>
        <rFont val="Arial"/>
        <family val="0"/>
        <charset val="1"/>
      </rPr>
      <t xml:space="preserve">4-1 </t>
    </r>
    <r>
      <rPr>
        <sz val="9"/>
        <color rgb="FF595959"/>
        <rFont val="Noto Sans CJK SC"/>
        <family val="2"/>
      </rPr>
      <t xml:space="preserve">工程類，輸出不變）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</si>
  <si>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能量下限與閉合（能量閉合：物理下限功率 ≤ 機架平均用電）</t>
    </r>
  </si>
  <si>
    <t xml:space="preserve">運算能量</t>
  </si>
  <si>
    <t xml:space="preserve">pJ/FLOP</t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</si>
  <si>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</t>
    </r>
  </si>
  <si>
    <r>
      <rPr>
        <sz val="10"/>
        <color rgb="FF000000"/>
        <rFont val="Arial"/>
        <family val="0"/>
        <charset val="1"/>
      </rPr>
      <t xml:space="preserve">decode FLOPs/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（含草稿驗證）</t>
    </r>
  </si>
  <si>
    <r>
      <rPr>
        <sz val="10"/>
        <color rgb="FF000000"/>
        <rFont val="Arial"/>
        <family val="0"/>
        <charset val="1"/>
      </rPr>
      <t xml:space="preserve">decode HBM </t>
    </r>
    <r>
      <rPr>
        <sz val="10"/>
        <color rgb="FF000000"/>
        <rFont val="Noto Sans CJK SC"/>
        <family val="2"/>
      </rPr>
      <t xml:space="preserve">讀取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</si>
  <si>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傳輸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接受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</si>
  <si>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物理下限能量</t>
    </r>
  </si>
  <si>
    <t xml:space="preserve">J/tok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</si>
  <si>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物理下限能量</t>
    </r>
  </si>
  <si>
    <t xml:space="preserve">物理下限功率（每架）</t>
  </si>
  <si>
    <r>
      <rPr>
        <sz val="10"/>
        <color rgb="FF000000"/>
        <rFont val="Noto Sans CJK SC"/>
        <family val="2"/>
      </rPr>
      <t xml:space="preserve">機架平均用電（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假設）</t>
    </r>
  </si>
  <si>
    <r>
      <rPr>
        <sz val="10"/>
        <color rgb="FF000000"/>
        <rFont val="Noto Sans CJK SC"/>
        <family val="2"/>
      </rPr>
      <t xml:space="preserve">閉合比（下限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平均用電；須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</si>
  <si>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，平均用電口徑）</t>
    </r>
  </si>
  <si>
    <t xml:space="preserve">tok/J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</si>
  <si>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decode token </t>
    </r>
    <r>
      <rPr>
        <sz val="10"/>
        <color rgb="FF000000"/>
        <rFont val="Noto Sans CJK SC"/>
        <family val="2"/>
      </rPr>
      <t xml:space="preserve">實際能量（平均用電口徑）</t>
    </r>
  </si>
  <si>
    <r>
      <rPr>
        <b val="true"/>
        <sz val="10"/>
        <rFont val="Arial"/>
        <family val="0"/>
        <charset val="1"/>
      </rPr>
      <t xml:space="preserve">K. VR-eq</t>
    </r>
    <r>
      <rPr>
        <b val="true"/>
        <sz val="10"/>
        <rFont val="Noto Sans CJK SC"/>
        <family val="2"/>
      </rPr>
      <t xml:space="preserve">（每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產出 </t>
    </r>
    <r>
      <rPr>
        <b val="true"/>
        <sz val="10"/>
        <rFont val="Arial"/>
        <family val="0"/>
        <charset val="1"/>
      </rPr>
      <t xml:space="preserve">÷ VR200 </t>
    </r>
    <r>
      <rPr>
        <b val="true"/>
        <sz val="10"/>
        <rFont val="Noto Sans CJK SC"/>
        <family val="2"/>
      </rPr>
      <t xml:space="preserve">同層級）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</si>
  <si>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</t>
    </r>
  </si>
  <si>
    <r>
      <rPr>
        <b val="true"/>
        <sz val="13"/>
        <rFont val="Arial"/>
        <family val="0"/>
        <charset val="1"/>
      </rPr>
      <t xml:space="preserve">Sens_Perf — VR200 </t>
    </r>
    <r>
      <rPr>
        <b val="true"/>
        <sz val="13"/>
        <rFont val="Noto Sans CJK SC"/>
        <family val="2"/>
      </rPr>
      <t xml:space="preserve">對 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的單變數敏感度（先看敏感度，再看基準）</t>
    </r>
  </si>
  <si>
    <r>
      <rPr>
        <sz val="9"/>
        <color rgb="FF595959"/>
        <rFont val="Noto Sans CJK SC"/>
        <family val="2"/>
      </rPr>
      <t xml:space="preserve">每組兩欄：左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、右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。黃底藍字＝該情境改動的輸入。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為校準世代，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η_d </t>
    </r>
    <r>
      <rPr>
        <sz val="9"/>
        <color rgb="FF595959"/>
        <rFont val="Noto Sans CJK SC"/>
        <family val="2"/>
      </rPr>
      <t xml:space="preserve">與每層延遲為沿用值 </t>
    </r>
    <r>
      <rPr>
        <sz val="9"/>
        <color rgb="FF595959"/>
        <rFont val="Arial"/>
        <family val="0"/>
        <charset val="1"/>
      </rPr>
      <t xml:space="preserve">[Analogy]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專屬情境只動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欄</t>
    </r>
  </si>
  <si>
    <t xml:space="preserve">情境</t>
  </si>
  <si>
    <r>
      <rPr>
        <b val="true"/>
        <sz val="10"/>
        <rFont val="Arial"/>
        <family val="0"/>
        <charset val="1"/>
      </rPr>
      <t xml:space="preserve">VR η_d × 0.5</t>
    </r>
    <r>
      <rPr>
        <b val="true"/>
        <sz val="10"/>
        <rFont val="Noto Sans CJK SC"/>
        <family val="2"/>
      </rPr>
      <t xml:space="preserve">（新世代軟體未成熟）</t>
    </r>
  </si>
  <si>
    <t xml:space="preserve">VR η_d × 1.5</t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</si>
  <si>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0.7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</si>
  <si>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每層延遲 </t>
    </r>
    <r>
      <rPr>
        <b val="true"/>
        <sz val="10"/>
        <rFont val="Arial"/>
        <family val="0"/>
        <charset val="1"/>
      </rPr>
      <t xml:space="preserve">× 1.5</t>
    </r>
  </si>
  <si>
    <r>
      <rPr>
        <b val="true"/>
        <sz val="10"/>
        <rFont val="Arial"/>
        <family val="0"/>
        <charset val="1"/>
      </rPr>
      <t xml:space="preserve">VR </t>
    </r>
    <r>
      <rPr>
        <b val="true"/>
        <sz val="10"/>
        <rFont val="Noto Sans CJK SC"/>
        <family val="2"/>
      </rPr>
      <t xml:space="preserve">峰值 </t>
    </r>
    <r>
      <rPr>
        <b val="true"/>
        <sz val="10"/>
        <rFont val="Arial"/>
        <family val="0"/>
        <charset val="1"/>
      </rPr>
      <t xml:space="preserve">50 PF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 </t>
    </r>
    <r>
      <rPr>
        <b val="true"/>
        <sz val="10"/>
        <rFont val="Noto Sans CJK SC"/>
        <family val="2"/>
      </rPr>
      <t xml:space="preserve">高情境）</t>
    </r>
  </si>
  <si>
    <t xml:space="preserve">SLO 40 tok/s</t>
  </si>
  <si>
    <t xml:space="preserve">SLO 100 tok/s</t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</si>
  <si>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0.60</t>
    </r>
  </si>
  <si>
    <r>
      <rPr>
        <b val="true"/>
        <sz val="10"/>
        <rFont val="Arial"/>
        <family val="0"/>
        <charset val="1"/>
      </rPr>
      <t xml:space="preserve">MTP </t>
    </r>
    <r>
      <rPr>
        <b val="true"/>
        <sz val="10"/>
        <rFont val="Noto Sans CJK SC"/>
        <family val="2"/>
      </rPr>
      <t xml:space="preserve">接受率 </t>
    </r>
    <r>
      <rPr>
        <b val="true"/>
        <sz val="10"/>
        <rFont val="Arial"/>
        <family val="0"/>
        <charset val="1"/>
      </rPr>
      <t xml:space="preserve">0.80</t>
    </r>
  </si>
  <si>
    <t xml:space="preserve">ISL 4K</t>
  </si>
  <si>
    <t xml:space="preserve">ISL 64K</t>
  </si>
  <si>
    <r>
      <rPr>
        <b val="true"/>
        <sz val="10"/>
        <rFont val="Noto Sans CJK SC"/>
        <family val="2"/>
      </rPr>
      <t xml:space="preserve">生產折減 </t>
    </r>
    <r>
      <rPr>
        <b val="true"/>
        <sz val="10"/>
        <rFont val="Arial"/>
        <family val="0"/>
        <charset val="1"/>
      </rPr>
      <t xml:space="preserve">0.7</t>
    </r>
    <r>
      <rPr>
        <b val="true"/>
        <sz val="10"/>
        <rFont val="Noto Sans CJK SC"/>
        <family val="2"/>
      </rPr>
      <t xml:space="preserve">（兩世代）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</si>
  <si>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（混合）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</si>
  <si>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（全層 </t>
    </r>
    <r>
      <rPr>
        <b val="true"/>
        <sz val="10"/>
        <rFont val="Arial"/>
        <family val="0"/>
        <charset val="1"/>
      </rPr>
      <t xml:space="preserve">MLA</t>
    </r>
    <r>
      <rPr>
        <b val="true"/>
        <sz val="10"/>
        <rFont val="Noto Sans CJK SC"/>
        <family val="2"/>
      </rPr>
      <t xml:space="preserve">，基準）</t>
    </r>
  </si>
  <si>
    <r>
      <rPr>
        <b val="true"/>
        <sz val="10"/>
        <rFont val="Arial"/>
        <family val="0"/>
        <charset val="1"/>
      </rPr>
      <t xml:space="preserve">Astra KV </t>
    </r>
    <r>
      <rPr>
        <b val="true"/>
        <sz val="10"/>
        <rFont val="Noto Sans CJK SC"/>
        <family val="2"/>
      </rPr>
      <t xml:space="preserve">情境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GQA-8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</si>
  <si>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速覽：新鮮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</si>
  <si>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$/M</t>
  </si>
  <si>
    <r>
      <rPr>
        <sz val="10"/>
        <color rgb="FF000000"/>
        <rFont val="Noto Sans CJK SC"/>
        <family val="2"/>
      </rPr>
      <t xml:space="preserve">速覽：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（經濟、基準成本、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</si>
  <si>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L. VR200 ÷ GB300</t>
    </r>
    <r>
      <rPr>
        <b val="true"/>
        <sz val="10"/>
        <rFont val="Noto Sans CJK SC"/>
        <family val="2"/>
      </rPr>
      <t xml:space="preserve">（同一情境；每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口徑）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</si>
  <si>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</t>
    </r>
  </si>
  <si>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$/M</t>
    </r>
    <r>
      <rPr>
        <sz val="10"/>
        <color rgb="FF000000"/>
        <rFont val="Noto Sans CJK SC"/>
        <family val="2"/>
      </rPr>
      <t xml:space="preserve">（經濟、基準）</t>
    </r>
  </si>
  <si>
    <r>
      <rPr>
        <b val="true"/>
        <sz val="13"/>
        <rFont val="Arial"/>
        <family val="0"/>
        <charset val="1"/>
      </rPr>
      <t xml:space="preserve">Unit_Cost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M token </t>
    </r>
    <r>
      <rPr>
        <b val="true"/>
        <sz val="13"/>
        <rFont val="Noto Sans CJK SC"/>
        <family val="2"/>
      </rPr>
      <t xml:space="preserve">成本（世代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成本情境；依層級分區；新鮮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／快取 </t>
    </r>
    <r>
      <rPr>
        <b val="true"/>
        <sz val="13"/>
        <rFont val="Arial"/>
        <family val="0"/>
        <charset val="1"/>
      </rPr>
      <t xml:space="preserve">prefill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decode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</si>
  <si>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成本＝每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小時持有成本（</t>
    </r>
    <r>
      <rPr>
        <sz val="9"/>
        <color rgb="FF595959"/>
        <rFont val="Arial"/>
        <family val="0"/>
        <charset val="1"/>
      </rPr>
      <t xml:space="preserve">DC_Cost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 token GPU </t>
    </r>
    <r>
      <rPr>
        <sz val="9"/>
        <color rgb="FF595959"/>
        <rFont val="Noto Sans CJK SC"/>
        <family val="2"/>
      </rPr>
      <t xml:space="preserve">秒（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）。思考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在物理上與可見輸出同為 </t>
    </r>
    <r>
      <rPr>
        <sz val="9"/>
        <color rgb="FF595959"/>
        <rFont val="Arial"/>
        <family val="0"/>
        <charset val="1"/>
      </rPr>
      <t xml:space="preserve">decode</t>
    </r>
    <r>
      <rPr>
        <sz val="9"/>
        <color rgb="FF595959"/>
        <rFont val="Noto Sans CJK SC"/>
        <family val="2"/>
      </rPr>
      <t xml:space="preserve">，成本相同，差異只在計費（</t>
    </r>
    <r>
      <rPr>
        <sz val="9"/>
        <color rgb="FF595959"/>
        <rFont val="Arial"/>
        <family val="0"/>
        <charset val="1"/>
      </rPr>
      <t xml:space="preserve">Block 4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為理想上限；基準利用率版＝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利用率。快取命中只計 </t>
    </r>
    <r>
      <rPr>
        <sz val="9"/>
        <color rgb="FF595959"/>
        <rFont val="Arial"/>
        <family val="0"/>
        <charset val="1"/>
      </rPr>
      <t xml:space="preserve">KV </t>
    </r>
    <r>
      <rPr>
        <sz val="9"/>
        <color rgb="FF595959"/>
        <rFont val="Noto Sans CJK SC"/>
        <family val="2"/>
      </rPr>
      <t xml:space="preserve">載入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時間，未計儲存成本</t>
    </r>
  </si>
  <si>
    <t xml:space="preserve">共用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</si>
  <si>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</t>
    </r>
  </si>
  <si>
    <t xml:space="preserve">$/GPU-hr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</si>
  <si>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</t>
    </r>
  </si>
  <si>
    <t xml:space="preserve">基準利用率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</si>
  <si>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C10:Q10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</si>
  <si>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</si>
  <si>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</si>
  <si>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 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不可達」＝不可達）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</si>
  <si>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</si>
  <si>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</si>
  <si>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</si>
  <si>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</si>
  <si>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C19:Q19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</si>
  <si>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</si>
  <si>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C20:Q20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</si>
  <si>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經濟、基準利用率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</si>
  <si>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</si>
  <si>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會計、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</si>
  <si>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經濟、</t>
    </r>
    <r>
      <rPr>
        <sz val="10"/>
        <color rgb="FF000000"/>
        <rFont val="Arial"/>
        <family val="0"/>
        <charset val="1"/>
      </rPr>
      <t xml:space="preserve">100%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</si>
  <si>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C32:Q32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</si>
  <si>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</si>
  <si>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C34:Q34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</si>
  <si>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C45:Q45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</si>
  <si>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C46:Q46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</si>
  <si>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C47:Q47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</si>
  <si>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3"/>
        <rFont val="Arial"/>
        <family val="0"/>
        <charset val="1"/>
      </rPr>
      <t xml:space="preserve">DC_Cost — </t>
    </r>
    <r>
      <rPr>
        <b val="true"/>
        <sz val="13"/>
        <rFont val="Noto Sans CJK SC"/>
        <family val="2"/>
      </rPr>
      <t xml:space="preserve">設施合計（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規模＝</t>
    </r>
    <r>
      <rPr>
        <b val="true"/>
        <sz val="13"/>
        <rFont val="Arial"/>
        <family val="0"/>
        <charset val="1"/>
      </rPr>
      <t xml:space="preserve">Inputs!E5 GW</t>
    </r>
    <r>
      <rPr>
        <b val="true"/>
        <sz val="13"/>
        <rFont val="Noto Sans CJK SC"/>
        <family val="2"/>
      </rPr>
      <t xml:space="preserve">，基準 </t>
    </r>
    <r>
      <rPr>
        <b val="true"/>
        <sz val="13"/>
        <rFont val="Arial"/>
        <family val="0"/>
        <charset val="1"/>
      </rPr>
      <t xml:space="preserve">1</t>
    </r>
    <r>
      <rPr>
        <b val="true"/>
        <sz val="13"/>
        <rFont val="Noto Sans CJK SC"/>
        <family val="2"/>
      </rPr>
      <t xml:space="preserve">）：資本支出與年持有成本；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世代 </t>
    </r>
    <r>
      <rPr>
        <b val="true"/>
        <sz val="13"/>
        <rFont val="Arial"/>
        <family val="0"/>
        <charset val="1"/>
      </rPr>
      <t xml:space="preserve">× 3 </t>
    </r>
    <r>
      <rPr>
        <b val="true"/>
        <sz val="13"/>
        <rFont val="Noto Sans CJK SC"/>
        <family val="2"/>
      </rPr>
      <t xml:space="preserve">成本情境。每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值見 </t>
    </r>
    <r>
      <rPr>
        <b val="true"/>
        <sz val="13"/>
        <rFont val="Arial"/>
        <family val="0"/>
        <charset val="1"/>
      </rPr>
      <t xml:space="preserve">Interface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F14</t>
    </r>
    <r>
      <rPr>
        <b val="true"/>
        <sz val="13"/>
        <rFont val="Noto Sans CJK SC"/>
        <family val="2"/>
      </rPr>
      <t xml:space="preserve">）</t>
    </r>
  </si>
  <si>
    <t xml:space="preserve">功率情境由 Inputs!E6 控制；成本情境為角落情境（所有金額輸入同時取低或高）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</si>
  <si>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C4:Q4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</si>
  <si>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color rgb="FF000000"/>
        <rFont val="Arial"/>
        <family val="0"/>
        <charset val="1"/>
      </rPr>
      <t xml:space="preserve">A. </t>
    </r>
    <r>
      <rPr>
        <b val="true"/>
        <sz val="10"/>
        <color rgb="FF000000"/>
        <rFont val="Noto Sans CJK SC"/>
        <family val="2"/>
      </rPr>
      <t xml:space="preserve">規模與電力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</si>
  <si>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</t>
    </r>
  </si>
  <si>
    <t xml:space="preserve">MW</t>
  </si>
  <si>
    <t xml:space="preserve">機架可用 IT 電力</t>
  </si>
  <si>
    <t xml:space="preserve">機架數（設施）</t>
  </si>
  <si>
    <t xml:space="preserve">GPU 數（設施）</t>
  </si>
  <si>
    <t xml:space="preserve">設施電力（IT × PUE）</t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</si>
  <si>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；設施）</t>
    </r>
  </si>
  <si>
    <t xml:space="preserve">機架單價</t>
  </si>
  <si>
    <t xml:space="preserve">$M</t>
  </si>
  <si>
    <t xml:space="preserve">機架</t>
  </si>
  <si>
    <t xml:space="preserve">$B</t>
  </si>
  <si>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</t>
    </r>
  </si>
  <si>
    <t xml:space="preserve">儲存與管理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</si>
  <si>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設備小計</t>
    </r>
  </si>
  <si>
    <t xml:space="preserve">建物與基地</t>
  </si>
  <si>
    <t xml:space="preserve">電力設施</t>
  </si>
  <si>
    <t xml:space="preserve">機械與散熱</t>
  </si>
  <si>
    <t xml:space="preserve">光纖與保全</t>
  </si>
  <si>
    <t xml:space="preserve">設計、管理與預備費率</t>
  </si>
  <si>
    <t xml:space="preserve">廠房小計</t>
  </si>
  <si>
    <t xml:space="preserve">總資本支出（設施）</t>
  </si>
  <si>
    <t xml:space="preserve">每 GPU 資本支出（含廠房）</t>
  </si>
  <si>
    <t xml:space="preserve">$K</t>
  </si>
  <si>
    <t xml:space="preserve">每 MW IT 資本支出</t>
  </si>
  <si>
    <t xml:space="preserve">每 MW IT 廠房資本支出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</si>
  <si>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C36:Q36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</si>
  <si>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／年；設施）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</si>
  <si>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</si>
  <si>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</t>
    </r>
  </si>
  <si>
    <t xml:space="preserve">廠房折舊（土地不折舊）</t>
  </si>
  <si>
    <t xml:space="preserve">電費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</si>
  <si>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</t>
    </r>
  </si>
  <si>
    <t xml:space="preserve">人員、軟體、水與耗材（站點營運；不含平台研發）</t>
  </si>
  <si>
    <t xml:space="preserve">營運費用小計（不含折舊）</t>
  </si>
  <si>
    <t xml:space="preserve">年持有成本 — 會計口徑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</si>
  <si>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經濟口徑（資本回收年金；設施）</t>
    </r>
  </si>
  <si>
    <t xml:space="preserve">WACC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</si>
  <si>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資本回收係數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</si>
  <si>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資本回收</t>
    </r>
  </si>
  <si>
    <t xml:space="preserve">廠房資本回收（土地按 WACC 計機會成本）</t>
  </si>
  <si>
    <t xml:space="preserve">年持有成本 — 經濟口徑</t>
  </si>
  <si>
    <r>
      <rPr>
        <b val="true"/>
        <sz val="10"/>
        <color rgb="FF000000"/>
        <rFont val="Arial"/>
        <family val="0"/>
        <charset val="1"/>
      </rPr>
      <t xml:space="preserve">E. </t>
    </r>
    <r>
      <rPr>
        <b val="true"/>
        <sz val="10"/>
        <color rgb="FF000000"/>
        <rFont val="Noto Sans CJK SC"/>
        <family val="2"/>
      </rPr>
      <t xml:space="preserve">單位成本與結構</t>
    </r>
  </si>
  <si>
    <t xml:space="preserve">每 GPU 小時持有成本 — 會計</t>
  </si>
  <si>
    <t xml:space="preserve">每 GPU 小時持有成本 — 經濟</t>
  </si>
  <si>
    <t xml:space="preserve">每架小時持有成本 — 經濟</t>
  </si>
  <si>
    <t xml:space="preserve">$/rack-hr</t>
  </si>
  <si>
    <t xml:space="preserve">年用電（設施端）</t>
  </si>
  <si>
    <t xml:space="preserve">TWh</t>
  </si>
  <si>
    <t xml:space="preserve">資本回收占經濟口徑</t>
  </si>
  <si>
    <t xml:space="preserve">電費占經濟口徑</t>
  </si>
  <si>
    <r>
      <rPr>
        <b val="true"/>
        <sz val="13"/>
        <rFont val="Arial"/>
        <family val="0"/>
        <charset val="1"/>
      </rPr>
      <t xml:space="preserve">Train_In — </t>
    </r>
    <r>
      <rPr>
        <b val="true"/>
        <sz val="13"/>
        <rFont val="Noto Sans CJK SC"/>
        <family val="2"/>
      </rPr>
      <t xml:space="preserve">訓練輸入（藍字＝輸入；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一律附區間）</t>
    </r>
  </si>
  <si>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命題：各層級代表模型從預訓練到可發布、以及含研發實驗的整個計畫，需要多少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小時、美元與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年。決策 </t>
    </r>
    <r>
      <rPr>
        <sz val="9"/>
        <color rgb="FF595959"/>
        <rFont val="Arial"/>
        <family val="0"/>
        <charset val="1"/>
      </rPr>
      <t xml:space="preserve">J7–J14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</si>
  <si>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sz val="10"/>
        <color rgb="FF000000"/>
        <rFont val="Noto Sans CJK SC"/>
        <family val="2"/>
      </rPr>
      <t xml:space="preserve">訓練精度（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</si>
  <si>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t xml:space="preserve">FP8 dense</t>
  </si>
  <si>
    <r>
      <rPr>
        <sz val="9"/>
        <color rgb="FF595959"/>
        <rFont val="Arial"/>
        <family val="0"/>
        <charset val="1"/>
      </rPr>
      <t xml:space="preserve">J7</t>
    </r>
    <r>
      <rPr>
        <sz val="9"/>
        <color rgb="FF595959"/>
        <rFont val="Noto Sans CJK SC"/>
        <family val="2"/>
      </rPr>
      <t xml:space="preserve">：基準 </t>
    </r>
    <r>
      <rPr>
        <sz val="9"/>
        <color rgb="FF595959"/>
        <rFont val="Arial"/>
        <family val="0"/>
        <charset val="1"/>
      </rPr>
      <t xml:space="preserve">FP8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DeepSeek V4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計算＋</t>
    </r>
    <r>
      <rPr>
        <sz val="9"/>
        <color rgb="FF595959"/>
        <rFont val="Arial"/>
        <family val="0"/>
        <charset val="1"/>
      </rPr>
      <t xml:space="preserve">FP4 QAT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NVFP4 </t>
    </r>
    <r>
      <rPr>
        <sz val="9"/>
        <color rgb="FF595959"/>
        <rFont val="Noto Sans CJK SC"/>
        <family val="2"/>
      </rPr>
      <t xml:space="preserve">預訓練列於 </t>
    </r>
    <r>
      <rPr>
        <sz val="9"/>
        <color rgb="FF595959"/>
        <rFont val="Arial"/>
        <family val="0"/>
        <charset val="1"/>
      </rPr>
      <t xml:space="preserve">Tech_Registry T07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</si>
  <si>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</si>
  <si>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推導 </t>
    </r>
    <r>
      <rPr>
        <sz val="9"/>
        <color rgb="FF595959"/>
        <rFont val="Arial"/>
        <family val="0"/>
        <charset val="1"/>
      </rPr>
      <t xml:space="preserve">H800 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Llama 3 405B BF16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38–43%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FP8 </t>
    </r>
    <r>
      <rPr>
        <sz val="9"/>
        <color rgb="FF595959"/>
        <rFont val="Noto Sans CJK SC"/>
        <family val="2"/>
      </rPr>
      <t xml:space="preserve">口徑約 </t>
    </r>
    <r>
      <rPr>
        <sz val="9"/>
        <color rgb="FF595959"/>
        <rFont val="Arial"/>
        <family val="0"/>
        <charset val="1"/>
      </rPr>
      <t xml:space="preserve">19–22%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</t>
    </r>
    <r>
      <rPr>
        <sz val="9"/>
        <color rgb="FF595959"/>
        <rFont val="Arial"/>
        <family val="0"/>
        <charset val="1"/>
      </rPr>
      <t xml:space="preserve">NVL72 </t>
    </r>
    <r>
      <rPr>
        <sz val="9"/>
        <color rgb="FF595959"/>
        <rFont val="Noto Sans CJK SC"/>
        <family val="2"/>
      </rPr>
      <t xml:space="preserve">域大、</t>
    </r>
    <r>
      <rPr>
        <sz val="9"/>
        <color rgb="FF595959"/>
        <rFont val="Arial"/>
        <family val="0"/>
        <charset val="1"/>
      </rPr>
      <t xml:space="preserve">EP </t>
    </r>
    <r>
      <rPr>
        <sz val="9"/>
        <color rgb="FF595959"/>
        <rFont val="Noto Sans CJK SC"/>
        <family val="2"/>
      </rPr>
      <t xml:space="preserve">通訊較佳取 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0.15–0.40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</si>
  <si>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（扣除故障、重啟、</t>
    </r>
    <r>
      <rPr>
        <sz val="10"/>
        <color rgb="FF000000"/>
        <rFont val="Arial"/>
        <family val="0"/>
        <charset val="1"/>
      </rPr>
      <t xml:space="preserve">checkpoint </t>
    </r>
    <r>
      <rPr>
        <sz val="10"/>
        <color rgb="FF000000"/>
        <rFont val="Noto Sans CJK SC"/>
        <family val="2"/>
      </rPr>
      <t xml:space="preserve">的有效時間比）</t>
    </r>
  </si>
  <si>
    <r>
      <rPr>
        <sz val="9"/>
        <color rgb="FF595959"/>
        <rFont val="Arial"/>
        <family val="0"/>
        <charset val="1"/>
      </rPr>
      <t xml:space="preserve">Meta Llama 3</t>
    </r>
    <r>
      <rPr>
        <sz val="9"/>
        <color rgb="FF595959"/>
        <rFont val="Noto Sans CJK SC"/>
        <family val="2"/>
      </rPr>
      <t xml:space="preserve">：有效訓練時間 </t>
    </r>
    <r>
      <rPr>
        <sz val="9"/>
        <color rgb="FF595959"/>
        <rFont val="Arial"/>
        <family val="0"/>
        <charset val="1"/>
      </rPr>
      <t xml:space="preserve">&gt;90%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S37</t>
    </r>
    <r>
      <rPr>
        <sz val="9"/>
        <color rgb="FF595959"/>
        <rFont val="Noto Sans CJK SC"/>
        <family val="2"/>
      </rPr>
      <t xml:space="preserve">，待查）；區間 </t>
    </r>
    <r>
      <rPr>
        <sz val="9"/>
        <color rgb="FF595959"/>
        <rFont val="Arial"/>
        <family val="0"/>
        <charset val="1"/>
      </rPr>
      <t xml:space="preserve">0.80–0.95</t>
    </r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</si>
  <si>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</si>
  <si>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較短批次、較多變長序列；區間 </t>
    </r>
    <r>
      <rPr>
        <sz val="9"/>
        <color rgb="FF595959"/>
        <rFont val="Arial"/>
        <family val="0"/>
        <charset val="1"/>
      </rPr>
      <t xml:space="preserve">0.6–1.0</t>
    </r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</si>
  <si>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係數（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</si>
  <si>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長序列、小批次、與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交替；區間 </t>
    </r>
    <r>
      <rPr>
        <sz val="9"/>
        <color rgb="FF595959"/>
        <rFont val="Arial"/>
        <family val="0"/>
        <charset val="1"/>
      </rPr>
      <t xml:space="preserve">0.4–0.9</t>
    </r>
    <r>
      <rPr>
        <sz val="9"/>
        <color rgb="FF595959"/>
        <rFont val="Noto Sans CJK SC"/>
        <family val="2"/>
      </rPr>
      <t xml:space="preserve">。蒸餾學生更新沿用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</si>
  <si>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KL </t>
    </r>
    <r>
      <rPr>
        <sz val="10"/>
        <color rgb="FF000000"/>
        <rFont val="Noto Sans CJK SC"/>
        <family val="2"/>
      </rPr>
      <t xml:space="preserve">懲罰；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＝無、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＝有）</t>
    </r>
  </si>
  <si>
    <r>
      <rPr>
        <sz val="9"/>
        <color rgb="FF595959"/>
        <rFont val="Arial"/>
        <family val="0"/>
        <charset val="1"/>
      </rPr>
      <t xml:space="preserve">GRPO </t>
    </r>
    <r>
      <rPr>
        <sz val="9"/>
        <color rgb="FF595959"/>
        <rFont val="Noto Sans CJK SC"/>
        <family val="2"/>
      </rPr>
      <t xml:space="preserve">原版含 </t>
    </r>
    <r>
      <rPr>
        <sz val="9"/>
        <color rgb="FF595959"/>
        <rFont val="Arial"/>
        <family val="0"/>
        <charset val="1"/>
      </rPr>
      <t xml:space="preserve">KL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DAPO </t>
    </r>
    <r>
      <rPr>
        <sz val="9"/>
        <color rgb="FF595959"/>
        <rFont val="Noto Sans CJK SC"/>
        <family val="2"/>
      </rPr>
      <t xml:space="preserve">等後續做法移除。取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0–1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</si>
  <si>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效率（長尾等待、權重同步、閒置）</t>
    </r>
  </si>
  <si>
    <r>
      <rPr>
        <sz val="9"/>
        <color rgb="FF595959"/>
        <rFont val="Arial"/>
        <family val="0"/>
        <charset val="1"/>
      </rPr>
      <t xml:space="preserve">v5.6</t>
    </r>
    <r>
      <rPr>
        <sz val="9"/>
        <color rgb="FF595959"/>
        <rFont val="Noto Sans CJK SC"/>
        <family val="2"/>
      </rPr>
      <t xml:space="preserve">：非同步 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已屬主流（</t>
    </r>
    <r>
      <rPr>
        <sz val="9"/>
        <color rgb="FF595959"/>
        <rFont val="Arial"/>
        <family val="0"/>
        <charset val="1"/>
      </rPr>
      <t xml:space="preserve">Tech_Registry T10</t>
    </r>
    <r>
      <rPr>
        <sz val="9"/>
        <color rgb="FF595959"/>
        <rFont val="Noto Sans CJK SC"/>
        <family val="2"/>
      </rPr>
      <t xml:space="preserve">）。各家報告非同步增益 </t>
    </r>
    <r>
      <rPr>
        <sz val="9"/>
        <color rgb="FF595959"/>
        <rFont val="Arial"/>
        <family val="0"/>
        <charset val="1"/>
      </rPr>
      <t xml:space="preserve">1.5–2.7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S45–S49</t>
    </r>
    <r>
      <rPr>
        <sz val="9"/>
        <color rgb="FF595959"/>
        <rFont val="Noto Sans CJK SC"/>
        <family val="2"/>
      </rPr>
      <t xml:space="preserve">）；同步約 </t>
    </r>
    <r>
      <rPr>
        <sz val="9"/>
        <color rgb="FF595959"/>
        <rFont val="Arial"/>
        <family val="0"/>
        <charset val="1"/>
      </rPr>
      <t xml:space="preserve">0.4–0.5 → </t>
    </r>
    <r>
      <rPr>
        <sz val="9"/>
        <color rgb="FF595959"/>
        <rFont val="Noto Sans CJK SC"/>
        <family val="2"/>
      </rPr>
      <t xml:space="preserve">非同步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0.7–0.95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v5.5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（混合）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</si>
  <si>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每題取樣數（共用 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只算一次）</t>
    </r>
  </si>
  <si>
    <r>
      <rPr>
        <sz val="9"/>
        <color rgb="FF595959"/>
        <rFont val="Arial"/>
        <family val="0"/>
        <charset val="1"/>
      </rPr>
      <t xml:space="preserve">DeepSeekMath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R1 GRPO </t>
    </r>
    <r>
      <rPr>
        <sz val="9"/>
        <color rgb="FF595959"/>
        <rFont val="Noto Sans CJK SC"/>
        <family val="2"/>
      </rPr>
      <t xml:space="preserve">群組 </t>
    </r>
    <r>
      <rPr>
        <sz val="9"/>
        <color rgb="FF595959"/>
        <rFont val="Arial"/>
        <family val="0"/>
        <charset val="1"/>
      </rPr>
      <t xml:space="preserve">16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8–64</t>
    </r>
  </si>
  <si>
    <r>
      <rPr>
        <sz val="10"/>
        <color rgb="FF000000"/>
        <rFont val="Noto Sans CJK SC"/>
        <family val="2"/>
      </rPr>
      <t xml:space="preserve">研發倍數（研發總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最終訓練）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</si>
  <si>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</t>
    </r>
    <r>
      <rPr>
        <sz val="9"/>
        <color rgb="FF595959"/>
        <rFont val="Noto Sans CJK SC"/>
        <family val="2"/>
      </rPr>
      <t xml:space="preserve">：最終訓練占研發支出 </t>
    </r>
    <r>
      <rPr>
        <sz val="9"/>
        <color rgb="FF595959"/>
        <rFont val="Arial"/>
        <family val="0"/>
        <charset val="1"/>
      </rPr>
      <t xml:space="preserve">OpenAI 9.6%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MiniMax 22.6%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Z.ai 12.3%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4.4–10.4 </t>
    </r>
    <r>
      <rPr>
        <sz val="9"/>
        <color rgb="FF595959"/>
        <rFont val="Noto Sans CJK SC"/>
        <family val="2"/>
      </rPr>
      <t xml:space="preserve">倍；取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。以支出為口徑，已含實驗的低利用率，故乘在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小時上</t>
    </r>
  </si>
  <si>
    <t xml:space="preserve">研發歸屬</t>
  </si>
  <si>
    <r>
      <rPr>
        <sz val="10"/>
        <color rgb="FF0000FF"/>
        <rFont val="Noto Sans CJK SC"/>
        <family val="2"/>
      </rPr>
      <t xml:space="preserve">家族合計乘一次，依最終訓練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小時比例分攤</t>
    </r>
  </si>
  <si>
    <r>
      <rPr>
        <sz val="9"/>
        <color rgb="FF595959"/>
        <rFont val="Arial"/>
        <family val="0"/>
        <charset val="1"/>
      </rPr>
      <t xml:space="preserve">J10</t>
    </r>
    <r>
      <rPr>
        <sz val="9"/>
        <color rgb="FF595959"/>
        <rFont val="Noto Sans CJK SC"/>
        <family val="2"/>
      </rPr>
      <t xml:space="preserve">。比例分攤下，各層級分得＝該層級最終訓練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倍數；</t>
    </r>
    <r>
      <rPr>
        <sz val="9"/>
        <color rgb="FF595959"/>
        <rFont val="Arial"/>
        <family val="0"/>
        <charset val="1"/>
      </rPr>
      <t xml:space="preserve">Training J </t>
    </r>
    <r>
      <rPr>
        <sz val="9"/>
        <color rgb="FF595959"/>
        <rFont val="Noto Sans CJK SC"/>
        <family val="2"/>
      </rPr>
      <t xml:space="preserve">節另列家族合計</t>
    </r>
  </si>
  <si>
    <r>
      <rPr>
        <sz val="10"/>
        <color rgb="FF000000"/>
        <rFont val="Noto Sans CJK SC"/>
        <family val="2"/>
      </rPr>
      <t xml:space="preserve">合成資料生成層級（</t>
    </r>
    <r>
      <rPr>
        <sz val="10"/>
        <color rgb="FF000000"/>
        <rFont val="Arial"/>
        <family val="0"/>
        <charset val="1"/>
      </rPr>
      <t xml:space="preserve">1 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 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 Astra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</si>
  <si>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以頂層模型生成；區間 </t>
    </r>
    <r>
      <rPr>
        <sz val="9"/>
        <color rgb="FF595959"/>
        <rFont val="Arial"/>
        <family val="0"/>
        <charset val="1"/>
      </rPr>
      <t xml:space="preserve">2–3</t>
    </r>
  </si>
  <si>
    <t xml:space="preserve">下游預設訓練世代（世代索引）</t>
  </si>
  <si>
    <t xml:space="preserve">索引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</si>
  <si>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Andy 2026-09-30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）；具名範圍 </t>
    </r>
    <r>
      <rPr>
        <sz val="9"/>
        <color rgb="FF595959"/>
        <rFont val="Arial"/>
        <family val="0"/>
        <charset val="1"/>
      </rPr>
      <t xml:space="preserve">IF_TrainGenDefault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</si>
  <si>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</si>
  <si>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並列訓練世代（世代索引）</t>
  </si>
  <si>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（索引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）並列；具名範圍 </t>
    </r>
    <r>
      <rPr>
        <sz val="9"/>
        <color rgb="FF595959"/>
        <rFont val="Arial"/>
        <family val="0"/>
        <charset val="1"/>
      </rPr>
      <t xml:space="preserve">IF_TrainGenAlt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</si>
  <si>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</si>
  <si>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各世代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</si>
  <si>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C20:G20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</si>
  <si>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</si>
  <si>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v5.18 E1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0.8–1.2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；原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，對應 </t>
    </r>
    <r>
      <rPr>
        <sz val="9"/>
        <color rgb="FF595959"/>
        <rFont val="Arial"/>
        <family val="0"/>
        <charset val="1"/>
      </rPr>
      <t xml:space="preserve">V3 </t>
    </r>
    <r>
      <rPr>
        <sz val="9"/>
        <color rgb="FF595959"/>
        <rFont val="Noto Sans CJK SC"/>
        <family val="2"/>
      </rPr>
      <t xml:space="preserve">推導值，</t>
    </r>
    <r>
      <rPr>
        <sz val="9"/>
        <color rgb="FF595959"/>
        <rFont val="Arial"/>
        <family val="0"/>
        <charset val="1"/>
      </rPr>
      <t xml:space="preserve">MegaScale-MoE </t>
    </r>
    <r>
      <rPr>
        <sz val="9"/>
        <color rgb="FF595959"/>
        <rFont val="Noto Sans CJK SC"/>
        <family val="2"/>
      </rPr>
      <t xml:space="preserve">方向性證據與此相反，已讀未採用）；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峰值 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倍而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頻寬 </t>
    </r>
    <r>
      <rPr>
        <sz val="9"/>
        <color rgb="FF595959"/>
        <rFont val="Arial"/>
        <family val="0"/>
        <charset val="1"/>
      </rPr>
      <t xml:space="preserve">2.75 </t>
    </r>
    <r>
      <rPr>
        <sz val="9"/>
        <color rgb="FF595959"/>
        <rFont val="Noto Sans CJK SC"/>
        <family val="2"/>
      </rPr>
      <t xml:space="preserve">倍，取 </t>
    </r>
    <r>
      <rPr>
        <sz val="9"/>
        <color rgb="FF595959"/>
        <rFont val="Arial"/>
        <family val="0"/>
        <charset val="1"/>
      </rPr>
      <t xml:space="preserve">0.9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0.7–1.1]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RU </t>
    </r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VR [Assumed]</t>
    </r>
  </si>
  <si>
    <t xml:space="preserve">各層級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</si>
  <si>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C24:E24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</si>
  <si>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</si>
  <si>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T</t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</si>
  <si>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V4-Flash 32T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V4-Pro 33T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30–100T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一致為基準，前沿錨點見 </t>
    </r>
    <r>
      <rPr>
        <sz val="9"/>
        <color rgb="FF595959"/>
        <rFont val="Arial"/>
        <family val="0"/>
        <charset val="1"/>
      </rPr>
      <t xml:space="preserve">Checks]</t>
    </r>
  </si>
  <si>
    <r>
      <rPr>
        <sz val="10"/>
        <color rgb="FF000000"/>
        <rFont val="Noto Sans CJK SC"/>
        <family val="2"/>
      </rPr>
      <t xml:space="preserve">預訓練序列長（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注意力）</t>
    </r>
  </si>
  <si>
    <r>
      <rPr>
        <sz val="9"/>
        <color rgb="FF595959"/>
        <rFont val="Arial"/>
        <family val="0"/>
        <charset val="1"/>
      </rPr>
      <t xml:space="preserve">V4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4K → 16K </t>
    </r>
    <r>
      <rPr>
        <sz val="9"/>
        <color rgb="FF595959"/>
        <rFont val="Noto Sans CJK SC"/>
        <family val="2"/>
      </rPr>
      <t xml:space="preserve">漸增，其間以 </t>
    </r>
    <r>
      <rPr>
        <sz val="9"/>
        <color rgb="FF595959"/>
        <rFont val="Arial"/>
        <family val="0"/>
        <charset val="1"/>
      </rPr>
      <t xml:space="preserve">dense </t>
    </r>
    <r>
      <rPr>
        <sz val="9"/>
        <color rgb="FF595959"/>
        <rFont val="Noto Sans CJK SC"/>
        <family val="2"/>
      </rPr>
      <t xml:space="preserve">注意力訓練（</t>
    </r>
    <r>
      <rPr>
        <sz val="9"/>
        <color rgb="FF595959"/>
        <rFont val="Arial"/>
        <family val="0"/>
        <charset val="1"/>
      </rPr>
      <t xml:space="preserve">S35</t>
    </r>
    <r>
      <rPr>
        <sz val="9"/>
        <color rgb="FF595959"/>
        <rFont val="Noto Sans CJK SC"/>
        <family val="2"/>
      </rPr>
      <t xml:space="preserve">）；多數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4K 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4K–16K]</t>
    </r>
  </si>
  <si>
    <r>
      <rPr>
        <sz val="10"/>
        <color rgb="FF000000"/>
        <rFont val="Noto Sans CJK SC"/>
        <family val="2"/>
      </rPr>
      <t xml:space="preserve">長上下文延伸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</si>
  <si>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0.3–3T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未揭露）</t>
    </r>
  </si>
  <si>
    <t xml:space="preserve">長上下文延伸序列長（稀疏注意力路徑）</t>
  </si>
  <si>
    <t xml:space="preserve">SFT token</t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</si>
  <si>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0.01–0.3T</t>
    </r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</si>
  <si>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</t>
    </r>
  </si>
  <si>
    <r>
      <rPr>
        <sz val="10"/>
        <color rgb="FF000000"/>
        <rFont val="Noto Sans CJK SC"/>
        <family val="2"/>
      </rPr>
      <t xml:space="preserve">批次推論速度下限（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、合成、評測）</t>
    </r>
  </si>
  <si>
    <r>
      <rPr>
        <sz val="9"/>
        <color rgb="FF595959"/>
        <rFont val="Noto Sans CJK SC"/>
        <family val="2"/>
      </rPr>
      <t xml:space="preserve">取代互動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；過低時長尾拉長牆鐘時間 </t>
    </r>
    <r>
      <rPr>
        <sz val="9"/>
        <color rgb="FF595959"/>
        <rFont val="Arial"/>
        <family val="0"/>
        <charset val="1"/>
      </rPr>
      <t xml:space="preserve">[Assumed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10–40]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</si>
  <si>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參考輸入（</t>
    </r>
    <r>
      <rPr>
        <sz val="10"/>
        <color rgb="FF000000"/>
        <rFont val="Arial"/>
        <family val="0"/>
        <charset val="1"/>
      </rPr>
      <t xml:space="preserve">prompt</t>
    </r>
    <r>
      <rPr>
        <sz val="10"/>
        <color rgb="FF000000"/>
        <rFont val="Noto Sans CJK SC"/>
        <family val="2"/>
      </rPr>
      <t xml:space="preserve">＋工具結果）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</si>
  <si>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參考輸出（含思考）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</si>
  <si>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：推理與代理任務的長輸出</t>
    </r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</si>
  <si>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（含各領域專家）</t>
    </r>
  </si>
  <si>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：由下而上輸入；基準值校到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小時約 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（結果見 </t>
    </r>
    <r>
      <rPr>
        <sz val="9"/>
        <color rgb="FF595959"/>
        <rFont val="Arial"/>
        <family val="0"/>
        <charset val="1"/>
      </rPr>
      <t xml:space="preserve">Training rlH </t>
    </r>
    <r>
      <rPr>
        <sz val="9"/>
        <color rgb="FF595959"/>
        <rFont val="Noto Sans CJK SC"/>
        <family val="2"/>
      </rPr>
      <t xml:space="preserve">列與 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v5.6 </t>
    </r>
    <r>
      <rPr>
        <sz val="9"/>
        <color rgb="FF595959"/>
        <rFont val="Noto Sans CJK SC"/>
        <family val="2"/>
      </rPr>
      <t xml:space="preserve">因 </t>
    </r>
    <r>
      <rPr>
        <sz val="9"/>
        <color rgb="FF595959"/>
        <rFont val="Arial"/>
        <family val="0"/>
        <charset val="1"/>
      </rPr>
      <t xml:space="preserve">rollout </t>
    </r>
    <r>
      <rPr>
        <sz val="9"/>
        <color rgb="FF595959"/>
        <rFont val="Noto Sans CJK SC"/>
        <family val="2"/>
      </rPr>
      <t xml:space="preserve">效率 </t>
    </r>
    <r>
      <rPr>
        <sz val="9"/>
        <color rgb="FF595959"/>
        <rFont val="Arial"/>
        <family val="0"/>
        <charset val="1"/>
      </rPr>
      <t xml:space="preserve">0.6→0.85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上調為 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2.36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9.6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小時不變（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）。外部點：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小時或預算口徑）。區間：開放實驗室 </t>
    </r>
    <r>
      <rPr>
        <sz val="9"/>
        <color rgb="FF595959"/>
        <rFont val="Arial"/>
        <family val="0"/>
        <charset val="1"/>
      </rPr>
      <t xml:space="preserve">0.1–0.2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DeepSeek-V3.2 ≥0.1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只給區間 </t>
    </r>
    <r>
      <rPr>
        <sz val="9"/>
        <color rgb="FF595959"/>
        <rFont val="Arial"/>
        <family val="0"/>
        <charset val="1"/>
      </rPr>
      <t xml:space="preserve">0.1–2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假設，非證據）。以 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小時與 </t>
    </r>
    <r>
      <rPr>
        <sz val="9"/>
        <color rgb="FF595959"/>
        <rFont val="Arial"/>
        <family val="0"/>
        <charset val="1"/>
      </rPr>
      <t xml:space="preserve">rollout token </t>
    </r>
    <r>
      <rPr>
        <sz val="9"/>
        <color rgb="FF595959"/>
        <rFont val="Noto Sans CJK SC"/>
        <family val="2"/>
      </rPr>
      <t xml:space="preserve">成正比近似，換算：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0.1–0.3 ≈ 0.79–2.36T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0.1–2 ≈ 0.96–19.2T</t>
    </r>
    <r>
      <rPr>
        <sz val="9"/>
        <color rgb="FF595959"/>
        <rFont val="Noto Sans CJK SC"/>
        <family val="2"/>
      </rPr>
      <t xml:space="preserve">。基準仍為原校準值，位於區間上端（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 </t>
    </r>
    <r>
      <rPr>
        <sz val="9"/>
        <color rgb="FF595959"/>
        <rFont val="Noto Sans CJK SC"/>
        <family val="2"/>
      </rPr>
      <t xml:space="preserve">在區間內（</t>
    </r>
    <r>
      <rPr>
        <sz val="9"/>
        <color rgb="FF595959"/>
        <rFont val="Arial"/>
        <family val="0"/>
        <charset val="1"/>
      </rPr>
      <t xml:space="preserve">v6.1 Q3</t>
    </r>
    <r>
      <rPr>
        <sz val="9"/>
        <color rgb="FF595959"/>
        <rFont val="Noto Sans CJK SC"/>
        <family val="2"/>
      </rPr>
      <t xml:space="preserve">） ｜</t>
    </r>
    <r>
      <rPr>
        <sz val="9"/>
        <color rgb="FF595959"/>
        <rFont val="Arial"/>
        <family val="0"/>
        <charset val="1"/>
      </rPr>
      <t xml:space="preserve">v10.0 N2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）：性質＝倒推——</t>
    </r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小時＝目標值」反解，校準目標不是證據；獨立對照見 </t>
    </r>
    <r>
      <rPr>
        <sz val="9"/>
        <color rgb="FF595959"/>
        <rFont val="Arial"/>
        <family val="0"/>
        <charset val="1"/>
      </rPr>
      <t xml:space="preserve">Checks V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，通過帶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</si>
  <si>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蒸餾：學生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</si>
  <si>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0.05–1T</t>
    </r>
  </si>
  <si>
    <r>
      <rPr>
        <sz val="10"/>
        <color rgb="FF000000"/>
        <rFont val="Noto Sans CJK SC"/>
        <family val="2"/>
      </rPr>
      <t xml:space="preserve">蒸餾教師層級（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</si>
  <si>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V4 </t>
    </r>
    <r>
      <rPr>
        <sz val="9"/>
        <color rgb="FF595959"/>
        <rFont val="Noto Sans CJK SC"/>
        <family val="2"/>
      </rPr>
      <t xml:space="preserve">做法：同尺寸各領域專家為教師 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S35]</t>
    </r>
  </si>
  <si>
    <r>
      <rPr>
        <sz val="10"/>
        <color rgb="FF000000"/>
        <rFont val="Noto Sans CJK SC"/>
        <family val="2"/>
      </rPr>
      <t xml:space="preserve">合成資料生成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</si>
  <si>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0.5–10T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</si>
  <si>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</si>
  <si>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外部錨點（</t>
    </r>
    <r>
      <rPr>
        <b val="true"/>
        <sz val="10"/>
        <rFont val="Arial"/>
        <family val="0"/>
        <charset val="1"/>
      </rPr>
      <t xml:space="preserve">Checks </t>
    </r>
    <r>
      <rPr>
        <b val="true"/>
        <sz val="10"/>
        <rFont val="Noto Sans CJK SC"/>
        <family val="2"/>
      </rPr>
      <t xml:space="preserve">用；不進推導）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</si>
  <si>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</si>
  <si>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DeepSeek V3 </t>
    </r>
    <r>
      <rPr>
        <sz val="9"/>
        <color rgb="FF595959"/>
        <rFont val="Noto Sans CJK SC"/>
        <family val="2"/>
      </rPr>
      <t xml:space="preserve">技術報告（</t>
    </r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</si>
  <si>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</si>
  <si>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</t>
  </si>
  <si>
    <r>
      <rPr>
        <sz val="9"/>
        <color rgb="FF595959"/>
        <rFont val="Arial"/>
        <family val="0"/>
        <charset val="1"/>
      </rPr>
      <t xml:space="preserve">S44</t>
    </r>
    <r>
      <rPr>
        <sz val="9"/>
        <color rgb="FF595959"/>
        <rFont val="Noto Sans CJK SC"/>
        <family val="2"/>
      </rPr>
      <t xml:space="preserve">（全部 </t>
    </r>
    <r>
      <rPr>
        <sz val="9"/>
        <color rgb="FF595959"/>
        <rFont val="Arial"/>
        <family val="0"/>
        <charset val="1"/>
      </rPr>
      <t xml:space="preserve">2.788M</t>
    </r>
    <r>
      <rPr>
        <sz val="9"/>
        <color rgb="FF595959"/>
        <rFont val="Noto Sans CJK SC"/>
        <family val="2"/>
      </rPr>
      <t xml:space="preserve">，含長上下文 </t>
    </r>
    <r>
      <rPr>
        <sz val="9"/>
        <color rgb="FF595959"/>
        <rFont val="Arial"/>
        <family val="0"/>
        <charset val="1"/>
      </rPr>
      <t xml:space="preserve">0.119M</t>
    </r>
    <r>
      <rPr>
        <sz val="9"/>
        <color rgb="FF595959"/>
        <rFont val="Noto Sans CJK SC"/>
        <family val="2"/>
      </rPr>
      <t xml:space="preserve">、後訓練 </t>
    </r>
    <r>
      <rPr>
        <sz val="9"/>
        <color rgb="FF595959"/>
        <rFont val="Arial"/>
        <family val="0"/>
        <charset val="1"/>
      </rPr>
      <t xml:space="preserve">0.005M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</si>
  <si>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預訓練序列長</t>
    </r>
  </si>
  <si>
    <t xml:space="preserve">S44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</si>
  <si>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</t>
    </r>
  </si>
  <si>
    <r>
      <rPr>
        <sz val="9"/>
        <color rgb="FF595959"/>
        <rFont val="Arial"/>
        <family val="0"/>
        <charset val="1"/>
      </rPr>
      <t xml:space="preserve">147K ÷ 2.664M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Lambert </t>
    </r>
    <r>
      <rPr>
        <sz val="9"/>
        <color rgb="FF595959"/>
        <rFont val="Noto Sans CJK SC"/>
        <family val="2"/>
      </rPr>
      <t xml:space="preserve">轉述；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小時口徑）</t>
    </r>
  </si>
  <si>
    <r>
      <rPr>
        <sz val="10"/>
        <color rgb="FF000000"/>
        <rFont val="Arial"/>
        <family val="0"/>
        <charset val="1"/>
      </rPr>
      <t xml:space="preserve">Grok 4 RL ÷ </t>
    </r>
    <r>
      <rPr>
        <sz val="10"/>
        <color rgb="FF000000"/>
        <rFont val="Noto Sans CJK SC"/>
        <family val="2"/>
      </rPr>
      <t xml:space="preserve">預訓練（宣稱）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</si>
  <si>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xAI</t>
    </r>
    <r>
      <rPr>
        <sz val="9"/>
        <color rgb="FF595959"/>
        <rFont val="Noto Sans CJK SC"/>
        <family val="2"/>
      </rPr>
      <t xml:space="preserve">『預訓練規模』（</t>
    </r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）；口徑不明</t>
    </r>
  </si>
  <si>
    <t xml:space="preserve">前沿預訓練錨點 低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</si>
  <si>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估計（</t>
    </r>
    <r>
      <rPr>
        <sz val="9"/>
        <color rgb="FF595959"/>
        <rFont val="Arial"/>
        <family val="0"/>
        <charset val="1"/>
      </rPr>
      <t xml:space="preserve">Grok-3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4.6e26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）；誤差 </t>
    </r>
    <r>
      <rPr>
        <sz val="9"/>
        <color rgb="FF595959"/>
        <rFont val="Arial"/>
        <family val="0"/>
        <charset val="1"/>
      </rPr>
      <t xml:space="preserve">2–5 </t>
    </r>
    <r>
      <rPr>
        <sz val="9"/>
        <color rgb="FF595959"/>
        <rFont val="Noto Sans CJK SC"/>
        <family val="2"/>
      </rPr>
      <t xml:space="preserve">倍</t>
    </r>
  </si>
  <si>
    <t xml:space="preserve">前沿預訓練錨點 中</t>
  </si>
  <si>
    <t xml:space="preserve">前沿預訓練錨點 高</t>
  </si>
  <si>
    <r>
      <rPr>
        <b val="true"/>
        <sz val="13"/>
        <rFont val="Arial"/>
        <family val="0"/>
        <charset val="1"/>
      </rPr>
      <t xml:space="preserve">Perf_Batch — </t>
    </r>
    <r>
      <rPr>
        <b val="true"/>
        <sz val="13"/>
        <rFont val="Noto Sans CJK SC"/>
        <family val="2"/>
      </rPr>
      <t xml:space="preserve">批次推論引擎（</t>
    </r>
    <r>
      <rPr>
        <b val="true"/>
        <sz val="13"/>
        <rFont val="Arial"/>
        <family val="0"/>
        <charset val="1"/>
      </rPr>
      <t xml:space="preserve">RL rollout</t>
    </r>
    <r>
      <rPr>
        <b val="true"/>
        <sz val="13"/>
        <rFont val="Noto Sans CJK SC"/>
        <family val="2"/>
      </rPr>
      <t xml:space="preserve">、蒸餾、合成資料、評測）：與 </t>
    </r>
    <r>
      <rPr>
        <b val="true"/>
        <sz val="13"/>
        <rFont val="Arial"/>
        <family val="0"/>
        <charset val="1"/>
      </rPr>
      <t xml:space="preserve">Perf </t>
    </r>
    <r>
      <rPr>
        <b val="true"/>
        <sz val="13"/>
        <rFont val="Noto Sans CJK SC"/>
        <family val="2"/>
      </rPr>
      <t xml:space="preserve">同一套公式，只換速度下限與參考任務</t>
    </r>
  </si>
  <si>
    <r>
      <rPr>
        <sz val="9"/>
        <color rgb="FF595959"/>
        <rFont val="Arial"/>
        <family val="0"/>
        <charset val="1"/>
      </rPr>
      <t xml:space="preserve">C–Q </t>
    </r>
    <r>
      <rPr>
        <sz val="9"/>
        <color rgb="FF595959"/>
        <rFont val="Noto Sans CJK SC"/>
        <family val="2"/>
      </rPr>
      <t xml:space="preserve">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層級基準；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FP8 rollout </t>
    </r>
    <r>
      <rPr>
        <sz val="9"/>
        <color rgb="FF595959"/>
        <rFont val="Noto Sans CJK SC"/>
        <family val="2"/>
      </rPr>
      <t xml:space="preserve">的情境（</t>
    </r>
    <r>
      <rPr>
        <sz val="9"/>
        <color rgb="FF595959"/>
        <rFont val="Arial"/>
        <family val="0"/>
        <charset val="1"/>
      </rPr>
      <t xml:space="preserve">J12 </t>
    </r>
    <r>
      <rPr>
        <sz val="9"/>
        <color rgb="FF595959"/>
        <rFont val="Noto Sans CJK SC"/>
        <family val="2"/>
      </rPr>
      <t xml:space="preserve">替代）。綠字＝連結 </t>
    </r>
    <r>
      <rPr>
        <sz val="9"/>
        <color rgb="FF595959"/>
        <rFont val="Arial"/>
        <family val="0"/>
        <charset val="1"/>
      </rPr>
      <t xml:space="preserve">Train_In</t>
    </r>
    <r>
      <rPr>
        <sz val="9"/>
        <color rgb="FF595959"/>
        <rFont val="Noto Sans CJK SC"/>
        <family val="2"/>
      </rPr>
      <t xml:space="preserve">（非情境改動）；黃底＝情境改動。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為訓練端批次推論，無服務快取（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計全 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，不乘 </t>
    </r>
    <r>
      <rPr>
        <sz val="9"/>
        <color rgb="FF595959"/>
        <rFont val="Arial"/>
        <family val="0"/>
        <charset val="1"/>
      </rPr>
      <t xml:space="preserve">1 − B4_CacheHit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v9.0 D9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v10.2 E4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欄保留（</t>
    </r>
    <r>
      <rPr>
        <sz val="9"/>
        <color rgb="FF595959"/>
        <rFont val="Arial"/>
        <family val="0"/>
        <charset val="1"/>
      </rPr>
      <t xml:space="preserve">Sens_Train W59:X62 </t>
    </r>
    <r>
      <rPr>
        <sz val="9"/>
        <color rgb="FF595959"/>
        <rFont val="Noto Sans CJK SC"/>
        <family val="2"/>
      </rPr>
      <t xml:space="preserve">讀取），只供敏感度情境，不進任何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輸出（</t>
    </r>
    <r>
      <rPr>
        <sz val="9"/>
        <color rgb="FF595959"/>
        <rFont val="Arial"/>
        <family val="0"/>
        <charset val="1"/>
      </rPr>
      <t xml:space="preserve">Andy 2026-10-16 18:22 </t>
    </r>
    <r>
      <rPr>
        <sz val="9"/>
        <color rgb="FF595959"/>
        <rFont val="Noto Sans CJK SC"/>
        <family val="2"/>
      </rPr>
      <t xml:space="preserve">決定 </t>
    </r>
    <r>
      <rPr>
        <sz val="9"/>
        <color rgb="FF595959"/>
        <rFont val="Arial"/>
        <family val="0"/>
        <charset val="1"/>
      </rPr>
      <t xml:space="preserve">(b)</t>
    </r>
    <r>
      <rPr>
        <sz val="9"/>
        <color rgb="FF595959"/>
        <rFont val="Noto Sans CJK SC"/>
        <family val="2"/>
      </rPr>
      <t xml:space="preserve">）</t>
    </r>
  </si>
  <si>
    <t xml:space="preserve">欄位</t>
  </si>
  <si>
    <r>
      <rPr>
        <b val="true"/>
        <sz val="10"/>
        <rFont val="Noto Sans CJK SC"/>
        <family val="2"/>
      </rPr>
      <t xml:space="preserve">情境：</t>
    </r>
    <r>
      <rPr>
        <b val="true"/>
        <sz val="10"/>
        <rFont val="Arial"/>
        <family val="0"/>
        <charset val="1"/>
      </rPr>
      <t xml:space="preserve">FP8 rollout</t>
    </r>
    <r>
      <rPr>
        <b val="true"/>
        <sz val="10"/>
        <rFont val="Noto Sans CJK SC"/>
        <family val="2"/>
      </rPr>
      <t xml:space="preserve">（只供敏感度情境：</t>
    </r>
    <r>
      <rPr>
        <b val="true"/>
        <sz val="10"/>
        <rFont val="Arial"/>
        <family val="0"/>
        <charset val="1"/>
      </rPr>
      <t xml:space="preserve">Sens_Train W59:X62 </t>
    </r>
    <r>
      <rPr>
        <b val="true"/>
        <sz val="10"/>
        <rFont val="Noto Sans CJK SC"/>
        <family val="2"/>
      </rPr>
      <t xml:space="preserve">讀取；不進任何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 </t>
    </r>
    <r>
      <rPr>
        <b val="true"/>
        <sz val="10"/>
        <rFont val="Noto Sans CJK SC"/>
        <family val="2"/>
      </rPr>
      <t xml:space="preserve">輸出）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</si>
  <si>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C4:S4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</si>
  <si>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C5:S5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</si>
  <si>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R65:S65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</si>
  <si>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R67:S67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</si>
  <si>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（計算部分）</t>
    </r>
  </si>
  <si>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不可達」＝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不可達；「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不可達」＝首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時間超過上限；兩者皆不符時顯示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</si>
  <si>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R101:S101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</si>
  <si>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R103:S103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</si>
  <si>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批次推論的有效 </t>
    </r>
    <r>
      <rPr>
        <b val="true"/>
        <sz val="10"/>
        <rFont val="Arial"/>
        <family val="0"/>
        <charset val="1"/>
      </rPr>
      <t xml:space="preserve">MFU</t>
    </r>
    <r>
      <rPr>
        <b val="true"/>
        <sz val="10"/>
        <rFont val="Noto Sans CJK SC"/>
        <family val="2"/>
      </rPr>
      <t xml:space="preserve">（接受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的模型 </t>
    </r>
    <r>
      <rPr>
        <b val="true"/>
        <sz val="10"/>
        <rFont val="Arial"/>
        <family val="0"/>
        <charset val="1"/>
      </rPr>
      <t xml:space="preserve">FLOPs ÷ </t>
    </r>
    <r>
      <rPr>
        <b val="true"/>
        <sz val="10"/>
        <rFont val="Noto Sans CJK SC"/>
        <family val="2"/>
      </rPr>
      <t xml:space="preserve">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</si>
  <si>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計算用峰值）</t>
    </r>
  </si>
  <si>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（對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訓練峰值）</t>
    </r>
  </si>
  <si>
    <r>
      <rPr>
        <b val="true"/>
        <sz val="13"/>
        <rFont val="Arial"/>
        <family val="0"/>
        <charset val="1"/>
      </rPr>
      <t xml:space="preserve">Training — </t>
    </r>
    <r>
      <rPr>
        <b val="true"/>
        <sz val="13"/>
        <rFont val="Noto Sans CJK SC"/>
        <family val="2"/>
      </rPr>
      <t xml:space="preserve">訓練與研發計畫的 </t>
    </r>
    <r>
      <rPr>
        <b val="true"/>
        <sz val="13"/>
        <rFont val="Arial"/>
        <family val="0"/>
        <charset val="1"/>
      </rPr>
      <t xml:space="preserve">GPU </t>
    </r>
    <r>
      <rPr>
        <b val="true"/>
        <sz val="13"/>
        <rFont val="Noto Sans CJK SC"/>
        <family val="2"/>
      </rPr>
      <t xml:space="preserve">小時、成本、</t>
    </r>
    <r>
      <rPr>
        <b val="true"/>
        <sz val="13"/>
        <rFont val="Arial"/>
        <family val="0"/>
        <charset val="1"/>
      </rPr>
      <t xml:space="preserve">1 GW </t>
    </r>
    <r>
      <rPr>
        <b val="true"/>
        <sz val="13"/>
        <rFont val="Noto Sans CJK SC"/>
        <family val="2"/>
      </rPr>
      <t xml:space="preserve">年占比（世代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層級；下游預設 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GB300 </t>
    </r>
    <r>
      <rPr>
        <b val="true"/>
        <sz val="13"/>
        <rFont val="Noto Sans CJK SC"/>
        <family val="2"/>
      </rPr>
      <t xml:space="preserve">並列，</t>
    </r>
    <r>
      <rPr>
        <b val="true"/>
        <sz val="13"/>
        <rFont val="Arial"/>
        <family val="0"/>
        <charset val="1"/>
      </rPr>
      <t xml:space="preserve">J13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</si>
  <si>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推論型運算以 </t>
    </r>
    <r>
      <rPr>
        <sz val="9"/>
        <color rgb="FF595959"/>
        <rFont val="Arial"/>
        <family val="0"/>
        <charset val="1"/>
      </rPr>
      <t xml:space="preserve">Perf_Batch </t>
    </r>
    <r>
      <rPr>
        <sz val="9"/>
        <color rgb="FF595959"/>
        <rFont val="Noto Sans CJK SC"/>
        <family val="2"/>
      </rPr>
      <t xml:space="preserve">計價；反向傳播型以訓練峰值 </t>
    </r>
    <r>
      <rPr>
        <sz val="9"/>
        <color rgb="FF595959"/>
        <rFont val="Arial"/>
        <family val="0"/>
        <charset val="1"/>
      </rPr>
      <t xml:space="preserve">× MFU × goodput </t>
    </r>
    <r>
      <rPr>
        <sz val="9"/>
        <color rgb="FF595959"/>
        <rFont val="Noto Sans CJK SC"/>
        <family val="2"/>
      </rPr>
      <t xml:space="preserve">計價。後訓練占比同時列 </t>
    </r>
    <r>
      <rPr>
        <sz val="9"/>
        <color rgb="FF595959"/>
        <rFont val="Arial"/>
        <family val="0"/>
        <charset val="1"/>
      </rPr>
      <t xml:space="preserve">FLOPs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小時口徑（一級追蹤指標）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</si>
  <si>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規格、成本與 </t>
    </r>
    <r>
      <rPr>
        <b val="true"/>
        <sz val="10"/>
        <rFont val="Arial"/>
        <family val="0"/>
        <charset val="1"/>
      </rPr>
      <t xml:space="preserve">Tech_Registry </t>
    </r>
    <r>
      <rPr>
        <b val="true"/>
        <sz val="10"/>
        <rFont val="Noto Sans CJK SC"/>
        <family val="2"/>
      </rPr>
      <t xml:space="preserve">掛鉤</t>
    </r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</si>
  <si>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</si>
  <si>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Noto Sans CJK SC"/>
        <family val="2"/>
      </rPr>
      <t xml:space="preserve">訓練峰值倍數（</t>
    </r>
    <r>
      <rPr>
        <sz val="10"/>
        <color rgb="FF000000"/>
        <rFont val="Arial"/>
        <family val="0"/>
        <charset val="1"/>
      </rPr>
      <t xml:space="preserve">H_TPK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</si>
  <si>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訓練用峰值（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</si>
  <si>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</si>
  <si>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</si>
  <si>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</si>
  <si>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（採用）</t>
    </r>
  </si>
  <si>
    <t xml:space="preserve">goodput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</si>
  <si>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</si>
  <si>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經濟（基準成本）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</si>
  <si>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會計（基準成本）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</si>
  <si>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架構（連結 </t>
    </r>
    <r>
      <rPr>
        <b val="true"/>
        <sz val="10"/>
        <rFont val="Arial"/>
        <family val="0"/>
        <charset val="1"/>
      </rPr>
      <t xml:space="preserve">Arch</t>
    </r>
    <r>
      <rPr>
        <b val="true"/>
        <sz val="10"/>
        <rFont val="Noto Sans CJK SC"/>
        <family val="2"/>
      </rPr>
      <t xml:space="preserve">；啟用參數已乘模型規模倍數 </t>
    </r>
    <r>
      <rPr>
        <b val="true"/>
        <sz val="10"/>
        <rFont val="Arial"/>
        <family val="0"/>
        <charset val="1"/>
      </rPr>
      <t xml:space="preserve">ARCH_ScaleGen</t>
    </r>
    <r>
      <rPr>
        <b val="true"/>
        <sz val="10"/>
        <rFont val="Noto Sans CJK SC"/>
        <family val="2"/>
      </rPr>
      <t xml:space="preserve">，基準＝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D1(c)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</si>
  <si>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預訓練（反向傳播型；每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訓練 </t>
    </r>
    <r>
      <rPr>
        <b val="true"/>
        <sz val="10"/>
        <rFont val="Arial"/>
        <family val="0"/>
        <charset val="1"/>
      </rPr>
      <t xml:space="preserve">FLOPs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3 × </t>
    </r>
    <r>
      <rPr>
        <b val="true"/>
        <sz val="10"/>
        <rFont val="Noto Sans CJK SC"/>
        <family val="2"/>
      </rPr>
      <t xml:space="preserve">前向）</t>
    </r>
  </si>
  <si>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</si>
  <si>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序列長</t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</si>
  <si>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dense </t>
    </r>
    <r>
      <rPr>
        <sz val="10"/>
        <color rgb="FF000000"/>
        <rFont val="Noto Sans CJK SC"/>
        <family val="2"/>
      </rPr>
      <t xml:space="preserve">注意力＝平均位置）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</si>
  <si>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</si>
  <si>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</si>
  <si>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</si>
  <si>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GPU-hr</t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</si>
  <si>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長上下文延伸（反向傳播型；稀疏注意力路徑）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</si>
  <si>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</si>
  <si>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</si>
  <si>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</si>
  <si>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延伸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</si>
  <si>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E. SFT</t>
    </r>
    <r>
      <rPr>
        <b val="true"/>
        <sz val="10"/>
        <rFont val="Noto Sans CJK SC"/>
        <family val="2"/>
      </rPr>
      <t xml:space="preserve">（反向傳播型）</t>
    </r>
  </si>
  <si>
    <t xml:space="preserve">SFT FLOPs</t>
  </si>
  <si>
    <r>
      <rPr>
        <sz val="10"/>
        <color rgb="FF000000"/>
        <rFont val="Arial"/>
        <family val="0"/>
        <charset val="1"/>
      </rPr>
      <t xml:space="preserve">SFT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</si>
  <si>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SFT GPU </t>
    </r>
    <r>
      <rPr>
        <sz val="10"/>
        <color rgb="FF000000"/>
        <rFont val="Noto Sans CJK SC"/>
        <family val="2"/>
      </rPr>
      <t xml:space="preserve">小時</t>
    </r>
  </si>
  <si>
    <r>
      <rPr>
        <b val="true"/>
        <sz val="10"/>
        <rFont val="Arial"/>
        <family val="0"/>
        <charset val="1"/>
      </rPr>
      <t xml:space="preserve">F. RL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＝推論型，以 </t>
    </r>
    <r>
      <rPr>
        <b val="true"/>
        <sz val="10"/>
        <rFont val="Arial"/>
        <family val="0"/>
        <charset val="1"/>
      </rPr>
      <t xml:space="preserve">Perf_Batch </t>
    </r>
    <r>
      <rPr>
        <b val="true"/>
        <sz val="10"/>
        <rFont val="Noto Sans CJK SC"/>
        <family val="2"/>
      </rPr>
      <t xml:space="preserve">計價；</t>
    </r>
    <r>
      <rPr>
        <b val="true"/>
        <sz val="10"/>
        <rFont val="Arial"/>
        <family val="0"/>
        <charset val="1"/>
      </rPr>
      <t xml:space="preserve">trainer</t>
    </r>
    <r>
      <rPr>
        <b val="true"/>
        <sz val="10"/>
        <rFont val="Noto Sans CJK SC"/>
        <family val="2"/>
      </rPr>
      <t xml:space="preserve">＝反向傳播型）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</si>
  <si>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</si>
  <si>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每樣本輸入</t>
  </si>
  <si>
    <t xml:space="preserve">每樣本輸出</t>
  </si>
  <si>
    <t xml:space="preserve">樣本數</t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</si>
  <si>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每題取樣數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</si>
  <si>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token</t>
    </r>
    <r>
      <rPr>
        <sz val="10"/>
        <color rgb="FF000000"/>
        <rFont val="Noto Sans CJK SC"/>
        <family val="2"/>
      </rPr>
      <t xml:space="preserve">（每題一次）</t>
    </r>
  </si>
  <si>
    <r>
      <rPr>
        <sz val="10"/>
        <color rgb="FF000000"/>
        <rFont val="Arial"/>
        <family val="0"/>
        <charset val="1"/>
      </rPr>
      <t xml:space="preserve">rollout 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本層級）</t>
    </r>
  </si>
  <si>
    <r>
      <rPr>
        <sz val="10"/>
        <color rgb="FF000000"/>
        <rFont val="Arial"/>
        <family val="0"/>
        <charset val="1"/>
      </rPr>
      <t xml:space="preserve">rollout 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</si>
  <si>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t xml:space="preserve">rollout decode FLOPs/token</t>
  </si>
  <si>
    <t xml:space="preserve">rollout prefill FLOPs/token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</si>
  <si>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</t>
    </r>
    <r>
      <rPr>
        <sz val="10"/>
        <color rgb="FF000000"/>
        <rFont val="Arial"/>
        <family val="0"/>
        <charset val="1"/>
      </rPr>
      <t xml:space="preserve">H_ROLL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</si>
  <si>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效率（採用）</t>
    </r>
  </si>
  <si>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小時（含閒置）</t>
    </r>
  </si>
  <si>
    <r>
      <rPr>
        <sz val="10"/>
        <color rgb="FF000000"/>
        <rFont val="Arial"/>
        <family val="0"/>
        <charset val="1"/>
      </rPr>
      <t xml:space="preserve">rollout FLOPs</t>
    </r>
    <r>
      <rPr>
        <sz val="10"/>
        <color rgb="FF000000"/>
        <rFont val="Noto Sans CJK SC"/>
        <family val="2"/>
      </rPr>
      <t xml:space="preserve">（接受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</si>
  <si>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處理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</si>
  <si>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Arial"/>
        <family val="0"/>
        <charset val="1"/>
      </rPr>
      <t xml:space="preserve">trainer </t>
    </r>
    <r>
      <rPr>
        <sz val="10"/>
        <color rgb="FF000000"/>
        <rFont val="Noto Sans CJK SC"/>
        <family val="2"/>
      </rPr>
      <t xml:space="preserve">平均被注意 </t>
    </r>
    <r>
      <rPr>
        <sz val="10"/>
        <color rgb="FF000000"/>
        <rFont val="Arial"/>
        <family val="0"/>
        <charset val="1"/>
      </rPr>
      <t xml:space="preserve">token</t>
    </r>
  </si>
  <si>
    <t xml:space="preserve">trainer FLOPs/token</t>
  </si>
  <si>
    <t xml:space="preserve">trainer FLOPs</t>
  </si>
  <si>
    <r>
      <rPr>
        <sz val="10"/>
        <color rgb="FF000000"/>
        <rFont val="Arial"/>
        <family val="0"/>
        <charset val="1"/>
      </rPr>
      <t xml:space="preserve">RL trainer MFU </t>
    </r>
    <r>
      <rPr>
        <sz val="10"/>
        <color rgb="FF000000"/>
        <rFont val="Noto Sans CJK SC"/>
        <family val="2"/>
      </rPr>
      <t xml:space="preserve">係數</t>
    </r>
  </si>
  <si>
    <r>
      <rPr>
        <sz val="10"/>
        <color rgb="FF000000"/>
        <rFont val="Arial"/>
        <family val="0"/>
        <charset val="1"/>
      </rPr>
      <t xml:space="preserve">trainer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</si>
  <si>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參考模型前向（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</si>
  <si>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參考模型前向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小時（推論型）</t>
    </r>
  </si>
  <si>
    <r>
      <rPr>
        <sz val="10"/>
        <color rgb="FF000000"/>
        <rFont val="Arial"/>
        <family val="0"/>
        <charset val="1"/>
      </rPr>
      <t xml:space="preserve">RL 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</si>
  <si>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Arial"/>
        <family val="0"/>
        <charset val="1"/>
      </rPr>
      <t xml:space="preserve">RL FLOPs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</si>
  <si>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÷ 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訓練峰值）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</si>
  <si>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</si>
  <si>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預訓練（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</si>
  <si>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On-policy </t>
    </r>
    <r>
      <rPr>
        <b val="true"/>
        <sz val="10"/>
        <rFont val="Noto Sans CJK SC"/>
        <family val="2"/>
      </rPr>
      <t xml:space="preserve">蒸餾（學生 </t>
    </r>
    <r>
      <rPr>
        <b val="true"/>
        <sz val="10"/>
        <rFont val="Arial"/>
        <family val="0"/>
        <charset val="1"/>
      </rPr>
      <t xml:space="preserve">rollout</t>
    </r>
    <r>
      <rPr>
        <b val="true"/>
        <sz val="10"/>
        <rFont val="Noto Sans CJK SC"/>
        <family val="2"/>
      </rPr>
      <t xml:space="preserve">＋教師評分＝推論型；學生更新＝反向傳播型）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</si>
  <si>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</si>
  <si>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教師層級</t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</si>
  <si>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（輸入＋輸出）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</si>
  <si>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</si>
  <si>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教師 </t>
    </r>
    <r>
      <rPr>
        <sz val="10"/>
        <color rgb="FF000000"/>
        <rFont val="Arial"/>
        <family val="0"/>
        <charset val="1"/>
      </rPr>
      <t xml:space="preserve">prefill FLOPs/token</t>
    </r>
  </si>
  <si>
    <r>
      <rPr>
        <sz val="10"/>
        <color rgb="FF000000"/>
        <rFont val="Noto Sans CJK SC"/>
        <family val="2"/>
      </rPr>
      <t xml:space="preserve">學生 </t>
    </r>
    <r>
      <rPr>
        <sz val="10"/>
        <color rgb="FF000000"/>
        <rFont val="Arial"/>
        <family val="0"/>
        <charset val="1"/>
      </rPr>
      <t xml:space="preserve">rollout 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</si>
  <si>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教師評分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</si>
  <si>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</si>
  <si>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學生更新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</si>
  <si>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小時合計</t>
    </r>
  </si>
  <si>
    <r>
      <rPr>
        <sz val="10"/>
        <color rgb="FF000000"/>
        <rFont val="Noto Sans CJK SC"/>
        <family val="2"/>
      </rPr>
      <t xml:space="preserve">蒸餾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合計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</si>
  <si>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合成資料與評測（推論型）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</si>
  <si>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token</t>
    </r>
  </si>
  <si>
    <t xml:space="preserve">生成層級</t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</si>
  <si>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秒／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</si>
  <si>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生成層級 </t>
    </r>
    <r>
      <rPr>
        <sz val="10"/>
        <color rgb="FF000000"/>
        <rFont val="Arial"/>
        <family val="0"/>
        <charset val="1"/>
      </rPr>
      <t xml:space="preserve">decode FLOPs/token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</si>
  <si>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</si>
  <si>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合成資料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</si>
  <si>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</si>
  <si>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評測 </t>
    </r>
    <r>
      <rPr>
        <sz val="10"/>
        <color rgb="FF000000"/>
        <rFont val="Arial"/>
        <family val="0"/>
        <charset val="1"/>
      </rPr>
      <t xml:space="preserve">FLOPs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</si>
  <si>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最終訓練合計（單一模型）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</si>
  <si>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小時（預訓練＋長上下文）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</si>
  <si>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＋蒸餾）</t>
    </r>
  </si>
  <si>
    <r>
      <rPr>
        <sz val="10"/>
        <color rgb="FF000000"/>
        <rFont val="Noto Sans CJK SC"/>
        <family val="2"/>
      </rPr>
      <t xml:space="preserve">合成資料與評測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</si>
  <si>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</si>
  <si>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預訓練側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</si>
  <si>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</si>
  <si>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FLOPs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</si>
  <si>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</si>
  <si>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</t>
    </r>
  </si>
  <si>
    <r>
      <rPr>
        <sz val="10"/>
        <color rgb="FF000000"/>
        <rFont val="Noto Sans CJK SC"/>
        <family val="2"/>
      </rPr>
      <t xml:space="preserve">推論型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</si>
  <si>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反向傳播型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</si>
  <si>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推論型占最終訓練</t>
  </si>
  <si>
    <t xml:space="preserve">最終訓練成本 — 經濟</t>
  </si>
  <si>
    <t xml:space="preserve">最終訓練成本 — 會計</t>
  </si>
  <si>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</si>
  <si>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C117:Q117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</si>
  <si>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研發計畫（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：研發倍數乘在 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小時上；依最終訓練比例分攤＝各層級最終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倍數）</t>
    </r>
  </si>
  <si>
    <t xml:space="preserve">研發倍數</t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</si>
  <si>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</si>
  <si>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其中：研發實驗（型態未拆分）</t>
  </si>
  <si>
    <t xml:space="preserve">研發計畫成本 — 經濟</t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</si>
  <si>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</si>
  <si>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用途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型態（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小時；單一模型計畫；對外服務不在第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層，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</t>
    </r>
  </si>
  <si>
    <t xml:space="preserve">預訓練（含長上下文）｜反向傳播型</t>
  </si>
  <si>
    <r>
      <rPr>
        <sz val="10"/>
        <color rgb="FF000000"/>
        <rFont val="Noto Sans CJK SC"/>
        <family val="2"/>
      </rPr>
      <t xml:space="preserve">後訓練｜推論型（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、參考、蒸餾學生與教師）</t>
    </r>
  </si>
  <si>
    <r>
      <rPr>
        <sz val="10"/>
        <color rgb="FF000000"/>
        <rFont val="Noto Sans CJK SC"/>
        <family val="2"/>
      </rPr>
      <t xml:space="preserve">後訓練｜反向傳播型（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、學生更新）</t>
    </r>
  </si>
  <si>
    <t xml:space="preserve">合成資料與評測｜推論型</t>
  </si>
  <si>
    <t xml:space="preserve">研發實驗｜未拆分</t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</si>
  <si>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模型家族合計（同世代三層級；</t>
    </r>
    <r>
      <rPr>
        <b val="true"/>
        <sz val="10"/>
        <rFont val="Arial"/>
        <family val="0"/>
        <charset val="1"/>
      </rPr>
      <t xml:space="preserve">J10 </t>
    </r>
    <r>
      <rPr>
        <b val="true"/>
        <sz val="10"/>
        <rFont val="Noto Sans CJK SC"/>
        <family val="2"/>
      </rPr>
      <t xml:space="preserve">研發歸屬的總額）</t>
    </r>
  </si>
  <si>
    <r>
      <rPr>
        <sz val="10"/>
        <color rgb="FF000000"/>
        <rFont val="Noto Sans CJK SC"/>
        <family val="2"/>
      </rPr>
      <t xml:space="preserve">家族最終訓練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</si>
  <si>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家族研發計畫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</si>
  <si>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家族研發計畫成本 — 經濟</t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</si>
  <si>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</t>
    </r>
  </si>
  <si>
    <r>
      <rPr>
        <b val="true"/>
        <sz val="13"/>
        <rFont val="Arial"/>
        <family val="0"/>
        <charset val="1"/>
      </rPr>
      <t xml:space="preserve">Sens_Train — </t>
    </r>
    <r>
      <rPr>
        <b val="true"/>
        <sz val="13"/>
        <rFont val="Noto Sans CJK SC"/>
        <family val="2"/>
      </rPr>
      <t xml:space="preserve">訓練與研發計畫的單變數敏感度（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；每組左 </t>
    </r>
    <r>
      <rPr>
        <b val="true"/>
        <sz val="13"/>
        <rFont val="Arial"/>
        <family val="0"/>
        <charset val="1"/>
      </rPr>
      <t xml:space="preserve">Sol</t>
    </r>
    <r>
      <rPr>
        <b val="true"/>
        <sz val="13"/>
        <rFont val="Noto Sans CJK SC"/>
        <family val="2"/>
      </rPr>
      <t xml:space="preserve">、右 </t>
    </r>
    <r>
      <rPr>
        <b val="true"/>
        <sz val="13"/>
        <rFont val="Arial"/>
        <family val="0"/>
        <charset val="1"/>
      </rPr>
      <t xml:space="preserve">Astra</t>
    </r>
    <r>
      <rPr>
        <b val="true"/>
        <sz val="13"/>
        <rFont val="Noto Sans CJK SC"/>
        <family val="2"/>
      </rPr>
      <t xml:space="preserve">；先看敏感度，再看基準）</t>
    </r>
  </si>
  <si>
    <r>
      <rPr>
        <sz val="9"/>
        <color rgb="FF595959"/>
        <rFont val="Noto Sans CJK SC"/>
        <family val="2"/>
      </rPr>
      <t xml:space="preserve">黃底藍字＝該情境改動的輸入。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節為對基準欄（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）的比值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</si>
  <si>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0.15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</si>
  <si>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MFU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0.40</t>
    </r>
  </si>
  <si>
    <r>
      <rPr>
        <b val="true"/>
        <sz val="10"/>
        <rFont val="Arial"/>
        <family val="0"/>
        <charset val="1"/>
      </rPr>
      <t xml:space="preserve">NVFP4 </t>
    </r>
    <r>
      <rPr>
        <b val="true"/>
        <sz val="10"/>
        <rFont val="Noto Sans CJK SC"/>
        <family val="2"/>
      </rPr>
      <t xml:space="preserve">訓練峰值（</t>
    </r>
    <r>
      <rPr>
        <b val="true"/>
        <sz val="10"/>
        <rFont val="Arial"/>
        <family val="0"/>
        <charset val="1"/>
      </rPr>
      <t xml:space="preserve">J7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</si>
  <si>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0.5</t>
    </r>
  </si>
  <si>
    <r>
      <rPr>
        <b val="true"/>
        <sz val="10"/>
        <rFont val="Noto Sans CJK SC"/>
        <family val="2"/>
      </rPr>
      <t xml:space="preserve">預訓練 </t>
    </r>
    <r>
      <rPr>
        <b val="true"/>
        <sz val="10"/>
        <rFont val="Arial"/>
        <family val="0"/>
        <charset val="1"/>
      </rPr>
      <t xml:space="preserve">token × 1.67</t>
    </r>
  </si>
  <si>
    <t xml:space="preserve">RL rollout token × 0.3</t>
  </si>
  <si>
    <t xml:space="preserve">RL rollout token × 3</t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</si>
  <si>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v5.5 </t>
    </r>
    <r>
      <rPr>
        <b val="true"/>
        <sz val="10"/>
        <rFont val="Noto Sans CJK SC"/>
        <family val="2"/>
      </rPr>
      <t xml:space="preserve">混合現況；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</si>
  <si>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效率 </t>
    </r>
    <r>
      <rPr>
        <b val="true"/>
        <sz val="10"/>
        <rFont val="Arial"/>
        <family val="0"/>
        <charset val="1"/>
      </rPr>
      <t xml:space="preserve">0.95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rollout token </t>
    </r>
    <r>
      <rPr>
        <b val="true"/>
        <sz val="10"/>
        <rFont val="Noto Sans CJK SC"/>
        <family val="2"/>
      </rPr>
      <t xml:space="preserve">不變）</t>
    </r>
  </si>
  <si>
    <r>
      <rPr>
        <b val="true"/>
        <sz val="10"/>
        <rFont val="Arial"/>
        <family val="0"/>
        <charset val="1"/>
      </rPr>
      <t xml:space="preserve">rollout </t>
    </r>
    <r>
      <rPr>
        <b val="true"/>
        <sz val="10"/>
        <rFont val="Noto Sans CJK SC"/>
        <family val="2"/>
      </rPr>
      <t xml:space="preserve">精度 </t>
    </r>
    <r>
      <rPr>
        <b val="true"/>
        <sz val="10"/>
        <rFont val="Arial"/>
        <family val="0"/>
        <charset val="1"/>
      </rPr>
      <t xml:space="preserve">FP8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J12 </t>
    </r>
    <r>
      <rPr>
        <b val="true"/>
        <sz val="10"/>
        <rFont val="Noto Sans CJK SC"/>
        <family val="2"/>
      </rPr>
      <t xml:space="preserve">替代）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</si>
  <si>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0</t>
    </r>
  </si>
  <si>
    <r>
      <rPr>
        <b val="true"/>
        <sz val="10"/>
        <rFont val="Noto Sans CJK SC"/>
        <family val="2"/>
      </rPr>
      <t xml:space="preserve">合成資料 </t>
    </r>
    <r>
      <rPr>
        <b val="true"/>
        <sz val="10"/>
        <rFont val="Arial"/>
        <family val="0"/>
        <charset val="1"/>
      </rPr>
      <t xml:space="preserve">token × 3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</si>
  <si>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4.4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MiniMax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</si>
  <si>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研發倍數 </t>
    </r>
    <r>
      <rPr>
        <b val="true"/>
        <sz val="10"/>
        <rFont val="Arial"/>
        <family val="0"/>
        <charset val="1"/>
      </rPr>
      <t xml:space="preserve">10.4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）</t>
    </r>
  </si>
  <si>
    <t xml:space="preserve">goodput 0.80</t>
  </si>
  <si>
    <r>
      <rPr>
        <b val="true"/>
        <sz val="10"/>
        <rFont val="Noto Sans CJK SC"/>
        <family val="2"/>
      </rPr>
      <t xml:space="preserve">情境倍數（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；黃底藍字＝作用中，乘在該情境改動的量上）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</si>
  <si>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對基準的比值（同層級）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</si>
  <si>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</si>
  <si>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</si>
  <si>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</t>
    </r>
  </si>
  <si>
    <r>
      <rPr>
        <b val="true"/>
        <sz val="13"/>
        <rFont val="Arial"/>
        <family val="0"/>
        <charset val="1"/>
      </rPr>
      <t xml:space="preserve">Cap_In — Block 4 </t>
    </r>
    <r>
      <rPr>
        <b val="true"/>
        <sz val="13"/>
        <rFont val="Noto Sans CJK SC"/>
        <family val="2"/>
      </rPr>
      <t xml:space="preserve">輸入（藍字＝輸入；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一律附區間；價格為 </t>
    </r>
    <r>
      <rPr>
        <b val="true"/>
        <sz val="13"/>
        <rFont val="Arial"/>
        <family val="0"/>
        <charset val="1"/>
      </rPr>
      <t xml:space="preserve">2026-09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10 </t>
    </r>
    <r>
      <rPr>
        <b val="true"/>
        <sz val="13"/>
        <rFont val="Noto Sans CJK SC"/>
        <family val="2"/>
      </rPr>
      <t xml:space="preserve">快照）</t>
    </r>
  </si>
  <si>
    <r>
      <rPr>
        <sz val="9"/>
        <color rgb="FF595959"/>
        <rFont val="Arial"/>
        <family val="0"/>
        <charset val="1"/>
      </rPr>
      <t xml:space="preserve">Block 4 </t>
    </r>
    <r>
      <rPr>
        <sz val="9"/>
        <color rgb="FF595959"/>
        <rFont val="Noto Sans CJK SC"/>
        <family val="2"/>
      </rPr>
      <t xml:space="preserve">命題：每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的理論營收（理想上限）＝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產能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層級別有效單價；另列中國廠商在內的單價前緣、訓練攤提、快取儲存與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參考機隊。決策 </t>
    </r>
    <r>
      <rPr>
        <sz val="9"/>
        <color rgb="FF595959"/>
        <rFont val="Arial"/>
        <family val="0"/>
        <charset val="1"/>
      </rPr>
      <t xml:space="preserve">K1–K14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README</t>
    </r>
  </si>
  <si>
    <r>
      <rPr>
        <b val="true"/>
        <sz val="10"/>
        <rFont val="Arial"/>
        <family val="0"/>
        <charset val="1"/>
      </rPr>
      <t xml:space="preserve">A. OpenAI </t>
    </r>
    <r>
      <rPr>
        <b val="true"/>
        <sz val="10"/>
        <rFont val="Noto Sans CJK SC"/>
        <family val="2"/>
      </rPr>
      <t xml:space="preserve">層級牌價（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基準；</t>
    </r>
    <r>
      <rPr>
        <b val="true"/>
        <sz val="10"/>
        <rFont val="Arial"/>
        <family val="0"/>
        <charset val="1"/>
      </rPr>
      <t xml:space="preserve">2026-09-25</t>
    </r>
    <r>
      <rPr>
        <b val="true"/>
        <sz val="10"/>
        <rFont val="Noto Sans CJK SC"/>
        <family val="2"/>
      </rPr>
      <t xml:space="preserve">，短上下文 </t>
    </r>
    <r>
      <rPr>
        <b val="true"/>
        <sz val="10"/>
        <rFont val="Arial"/>
        <family val="0"/>
        <charset val="1"/>
      </rPr>
      <t xml:space="preserve">Standard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</si>
  <si>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值／</t>
    </r>
    <r>
      <rPr>
        <b val="true"/>
        <sz val="10"/>
        <rFont val="Arial"/>
        <family val="0"/>
        <charset val="1"/>
      </rPr>
      <t xml:space="preserve">Luna</t>
    </r>
  </si>
  <si>
    <t xml:space="preserve">Sol</t>
  </si>
  <si>
    <t xml:space="preserve">Astra</t>
  </si>
  <si>
    <t xml:space="preserve">新鮮輸入</t>
  </si>
  <si>
    <r>
      <rPr>
        <sz val="9"/>
        <color rgb="FF595959"/>
        <rFont val="Arial"/>
        <family val="0"/>
        <charset val="1"/>
      </rPr>
      <t xml:space="preserve">GPT-6 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</si>
  <si>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t xml:space="preserve">快取輸入</t>
  </si>
  <si>
    <r>
      <rPr>
        <sz val="9"/>
        <color rgb="FF595959"/>
        <rFont val="Noto Sans CJK SC"/>
        <family val="2"/>
      </rPr>
      <t xml:space="preserve">＝輸入價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</si>
  <si>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輸出（含思考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</si>
  <si>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思考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依輸出價計費（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Moonshot </t>
    </r>
    <r>
      <rPr>
        <sz val="9"/>
        <color rgb="FF595959"/>
        <rFont val="Noto Sans CJK SC"/>
        <family val="2"/>
      </rPr>
      <t xml:space="preserve">皆同）（</t>
    </r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</si>
  <si>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計費與工作負載（單一值；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</si>
  <si>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低</t>
  </si>
  <si>
    <t xml:space="preserve">高</t>
  </si>
  <si>
    <r>
      <rPr>
        <sz val="10"/>
        <color rgb="FF000000"/>
        <rFont val="Noto Sans CJK SC"/>
        <family val="2"/>
      </rPr>
      <t xml:space="preserve">有效折扣（</t>
    </r>
    <r>
      <rPr>
        <sz val="10"/>
        <color rgb="FF000000"/>
        <rFont val="Arial"/>
        <family val="0"/>
        <charset val="1"/>
      </rPr>
      <t xml:space="preserve">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Flex </t>
    </r>
    <r>
      <rPr>
        <sz val="10"/>
        <color rgb="FF000000"/>
        <rFont val="Noto Sans CJK SC"/>
        <family val="2"/>
      </rPr>
      <t xml:space="preserve">半價＋企業議價，加權）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</si>
  <si>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</t>
    </r>
    <r>
      <rPr>
        <sz val="9"/>
        <color rgb="FF595959"/>
        <rFont val="Arial"/>
        <family val="0"/>
        <charset val="1"/>
      </rPr>
      <t xml:space="preserve">Batch </t>
    </r>
    <r>
      <rPr>
        <sz val="9"/>
        <color rgb="FF595959"/>
        <rFont val="Noto Sans CJK SC"/>
        <family val="2"/>
      </rPr>
      <t xml:space="preserve">半價為 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，企業折扣為 </t>
    </r>
    <r>
      <rPr>
        <sz val="9"/>
        <color rgb="FF595959"/>
        <rFont val="Arial"/>
        <family val="0"/>
        <charset val="1"/>
      </rPr>
      <t xml:space="preserve">Analogy</t>
    </r>
  </si>
  <si>
    <r>
      <rPr>
        <sz val="10"/>
        <color rgb="FF000000"/>
        <rFont val="Noto Sans CJK SC"/>
        <family val="2"/>
      </rPr>
      <t xml:space="preserve">參考請求快取命中率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（輸入中屬快取命中的比例）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</si>
  <si>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一致；成本與營收用同一 </t>
    </r>
    <r>
      <rPr>
        <sz val="9"/>
        <color rgb="FF595959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</si>
  <si>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能力 → 單價彈性 </t>
    </r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（單價 ∝ 有效算力倍數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</si>
  <si>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K4 (c)</t>
    </r>
    <r>
      <rPr>
        <sz val="9"/>
        <color rgb="FF595959"/>
        <rFont val="Noto Sans CJK SC"/>
        <family val="2"/>
      </rPr>
      <t xml:space="preserve">：機制保留、基準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。斜率無法由公開資料分離（價格由廠商策略與成本決定，見 </t>
    </r>
    <r>
      <rPr>
        <sz val="9"/>
        <color rgb="FF595959"/>
        <rFont val="Arial"/>
        <family val="0"/>
        <charset val="1"/>
      </rPr>
      <t xml:space="preserve">Decisions SL41-1a-1</t>
    </r>
    <r>
      <rPr>
        <sz val="9"/>
        <color rgb="FF595959"/>
        <rFont val="Noto Sans CJK SC"/>
        <family val="2"/>
      </rPr>
      <t xml:space="preserve">（原 </t>
    </r>
    <r>
      <rPr>
        <sz val="9"/>
        <color rgb="FF595959"/>
        <rFont val="Arial"/>
        <family val="0"/>
        <charset val="1"/>
      </rPr>
      <t xml:space="preserve">Capability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節，</t>
    </r>
    <r>
      <rPr>
        <sz val="9"/>
        <color rgb="FF595959"/>
        <rFont val="Arial"/>
        <family val="0"/>
        <charset val="1"/>
      </rPr>
      <t xml:space="preserve">v10.1 </t>
    </r>
    <r>
      <rPr>
        <sz val="9"/>
        <color rgb="FF595959"/>
        <rFont val="Noto Sans CJK SC"/>
        <family val="2"/>
      </rPr>
      <t xml:space="preserve">刪頁））</t>
    </r>
  </si>
  <si>
    <r>
      <rPr>
        <sz val="10"/>
        <color rgb="FF000000"/>
        <rFont val="Noto Sans CJK SC"/>
        <family val="2"/>
      </rPr>
      <t xml:space="preserve">有效訓練算力倍數（相對 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基準；情境用）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</si>
  <si>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Tech_Registry H_CAP </t>
    </r>
    <r>
      <rPr>
        <sz val="9"/>
        <color rgb="FF595959"/>
        <rFont val="Noto Sans CJK SC"/>
        <family val="2"/>
      </rPr>
      <t xml:space="preserve">相乘後代入 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；高值 </t>
    </r>
    <r>
      <rPr>
        <sz val="9"/>
        <color rgb="FF595959"/>
        <rFont val="Arial"/>
        <family val="0"/>
        <charset val="1"/>
      </rPr>
      <t xml:space="preserve">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前沿錨點中值相對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基準的倍數</t>
    </r>
  </si>
  <si>
    <r>
      <rPr>
        <sz val="10"/>
        <color rgb="FF000000"/>
        <rFont val="Noto Sans CJK SC"/>
        <family val="2"/>
      </rPr>
      <t xml:space="preserve">尖峰／離峰口徑（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＝尖峰價；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＝依時數加權）</t>
    </r>
  </si>
  <si>
    <r>
      <rPr>
        <sz val="9"/>
        <color rgb="FF595959"/>
        <rFont val="Arial"/>
        <family val="0"/>
        <charset val="1"/>
      </rPr>
      <t xml:space="preserve">K12</t>
    </r>
    <r>
      <rPr>
        <sz val="9"/>
        <color rgb="FF595959"/>
        <rFont val="Noto Sans CJK SC"/>
        <family val="2"/>
      </rPr>
      <t xml:space="preserve">：兩者並列，前緣基準用 </t>
    </r>
    <r>
      <rPr>
        <sz val="9"/>
        <color rgb="FF595959"/>
        <rFont val="Arial"/>
        <family val="0"/>
        <charset val="1"/>
      </rPr>
      <t xml:space="preserve">2</t>
    </r>
  </si>
  <si>
    <t xml:space="preserve">尖峰時數（每週）</t>
  </si>
  <si>
    <t xml:space="preserve">hr</t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</si>
  <si>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：週一至五 </t>
    </r>
    <r>
      <rPr>
        <sz val="9"/>
        <color rgb="FF595959"/>
        <rFont val="Arial"/>
        <family val="0"/>
        <charset val="1"/>
      </rPr>
      <t xml:space="preserve">UTC 01–04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06–10</t>
    </r>
    <r>
      <rPr>
        <sz val="9"/>
        <color rgb="FF595959"/>
        <rFont val="Noto Sans CJK SC"/>
        <family val="2"/>
      </rPr>
      <t xml:space="preserve">，共 </t>
    </r>
    <r>
      <rPr>
        <sz val="9"/>
        <color rgb="FF595959"/>
        <rFont val="Arial"/>
        <family val="0"/>
        <charset val="1"/>
      </rPr>
      <t xml:space="preserve">7 hr × 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</si>
  <si>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</si>
  <si>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9"/>
        <color rgb="FF595959"/>
        <rFont val="Arial"/>
        <family val="0"/>
        <charset val="1"/>
      </rPr>
      <t xml:space="preserve">DeepSeek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</si>
  <si>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模型商業壽命（</t>
    </r>
    <r>
      <rPr>
        <b val="true"/>
        <sz val="10"/>
        <rFont val="Arial"/>
        <family val="0"/>
        <charset val="1"/>
      </rPr>
      <t xml:space="preserve">K5</t>
    </r>
    <r>
      <rPr>
        <b val="true"/>
        <sz val="10"/>
        <rFont val="Noto Sans CJK SC"/>
        <family val="2"/>
      </rPr>
      <t xml:space="preserve">；月）</t>
    </r>
  </si>
  <si>
    <t xml:space="preserve">商業壽命 基準</t>
  </si>
  <si>
    <t xml:space="preserve">月</t>
  </si>
  <si>
    <r>
      <rPr>
        <sz val="9"/>
        <color rgb="FF595959"/>
        <rFont val="Noto Sans CJK SC"/>
        <family val="2"/>
      </rPr>
      <t xml:space="preserve">旗艦更替快：</t>
    </r>
    <r>
      <rPr>
        <sz val="9"/>
        <color rgb="FF595959"/>
        <rFont val="Arial"/>
        <family val="0"/>
        <charset val="1"/>
      </rPr>
      <t xml:space="preserve">GPT-5.6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GPT-6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</t>
    </r>
    <r>
      <rPr>
        <sz val="9"/>
        <color rgb="FF595959"/>
        <rFont val="Noto Sans CJK SC"/>
        <family val="2"/>
      </rPr>
      <t xml:space="preserve">）</t>
    </r>
  </si>
  <si>
    <t xml:space="preserve">商業壽命 低</t>
  </si>
  <si>
    <t xml:space="preserve">商業壽命 高</t>
  </si>
  <si>
    <r>
      <rPr>
        <b val="true"/>
        <sz val="10"/>
        <rFont val="Arial"/>
        <family val="0"/>
        <charset val="1"/>
      </rPr>
      <t xml:space="preserve">D. 1 GW </t>
    </r>
    <r>
      <rPr>
        <b val="true"/>
        <sz val="10"/>
        <rFont val="Noto Sans CJK SC"/>
        <family val="2"/>
      </rPr>
      <t xml:space="preserve">參考機隊配置（</t>
    </r>
    <r>
      <rPr>
        <b val="true"/>
        <sz val="10"/>
        <rFont val="Arial"/>
        <family val="0"/>
        <charset val="1"/>
      </rPr>
      <t xml:space="preserve">K7</t>
    </r>
    <r>
      <rPr>
        <b val="true"/>
        <sz val="10"/>
        <rFont val="Noto Sans CJK SC"/>
        <family val="2"/>
      </rPr>
      <t xml:space="preserve">：以 </t>
    </r>
    <r>
      <rPr>
        <b val="true"/>
        <sz val="10"/>
        <rFont val="Arial"/>
        <family val="0"/>
        <charset val="1"/>
      </rPr>
      <t xml:space="preserve">OpenAI 2025 </t>
    </r>
    <r>
      <rPr>
        <b val="true"/>
        <sz val="10"/>
        <rFont val="Noto Sans CJK SC"/>
        <family val="2"/>
      </rPr>
      <t xml:space="preserve">算力支出校準；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</si>
  <si>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t xml:space="preserve">對外服務占機隊</t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</si>
  <si>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Derived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</si>
  <si>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推論 </t>
    </r>
    <r>
      <rPr>
        <sz val="9"/>
        <color rgb="FF595959"/>
        <rFont val="Arial"/>
        <family val="0"/>
        <charset val="1"/>
      </rPr>
      <t xml:space="preserve">$8.4B ÷</t>
    </r>
    <r>
      <rPr>
        <sz val="9"/>
        <color rgb="FF595959"/>
        <rFont val="Noto Sans CJK SC"/>
        <family val="2"/>
      </rPr>
      <t xml:space="preserve">（推論 </t>
    </r>
    <r>
      <rPr>
        <sz val="9"/>
        <color rgb="FF595959"/>
        <rFont val="Arial"/>
        <family val="0"/>
        <charset val="1"/>
      </rPr>
      <t xml:space="preserve">$8.4B</t>
    </r>
    <r>
      <rPr>
        <sz val="9"/>
        <color rgb="FF595959"/>
        <rFont val="Noto Sans CJK SC"/>
        <family val="2"/>
      </rPr>
      <t xml:space="preserve">＋訓練約 </t>
    </r>
    <r>
      <rPr>
        <sz val="9"/>
        <color rgb="FF595959"/>
        <rFont val="Arial"/>
        <family val="0"/>
        <charset val="1"/>
      </rPr>
      <t xml:space="preserve">$12B</t>
    </r>
    <r>
      <rPr>
        <sz val="9"/>
        <color rgb="FF595959"/>
        <rFont val="Noto Sans CJK SC"/>
        <family val="2"/>
      </rPr>
      <t xml:space="preserve">）；以支出比代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比（硬體與雲端加價不同，故為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</si>
  <si>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其中免費服務占服務</t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</si>
  <si>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非付費用戶推論 </t>
    </r>
    <r>
      <rPr>
        <sz val="9"/>
        <color rgb="FF595959"/>
        <rFont val="Arial"/>
        <family val="0"/>
        <charset val="1"/>
      </rPr>
      <t xml:space="preserve">$3.9B ÷ $8.4B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The Information 2026-02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</si>
  <si>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</si>
  <si>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API tokenMix 2026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）；三者合計須為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</si>
  <si>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層級組合</t>
    </r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</si>
  <si>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v0.5 </t>
    </r>
    <r>
      <rPr>
        <sz val="9"/>
        <color rgb="FF595959"/>
        <rFont val="Noto Sans CJK SC"/>
        <family val="2"/>
      </rPr>
      <t xml:space="preserve">免費方案模型組合（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</si>
  <si>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快取儲存（</t>
    </r>
    <r>
      <rPr>
        <b val="true"/>
        <sz val="10"/>
        <rFont val="Arial"/>
        <family val="0"/>
        <charset val="1"/>
      </rPr>
      <t xml:space="preserve">K10</t>
    </r>
    <r>
      <rPr>
        <b val="true"/>
        <sz val="10"/>
        <rFont val="Noto Sans CJK SC"/>
        <family val="2"/>
      </rPr>
      <t xml:space="preserve">：比照公開快取條款；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欄＝低、高）</t>
    </r>
  </si>
  <si>
    <r>
      <rPr>
        <sz val="10"/>
        <color rgb="FF000000"/>
        <rFont val="Noto Sans CJK SC"/>
        <family val="2"/>
      </rPr>
      <t xml:space="preserve">儲存層（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</si>
  <si>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公開條款：預設保留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分鐘、可選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）；長保留通常下放 </t>
    </r>
    <r>
      <rPr>
        <sz val="9"/>
        <color rgb="FF595959"/>
        <rFont val="Arial"/>
        <family val="0"/>
        <charset val="1"/>
      </rPr>
      <t xml:space="preserve">DRAM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SSD</t>
    </r>
  </si>
  <si>
    <t xml:space="preserve">保留時間</t>
  </si>
  <si>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分鐘（預設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）至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小時（延長 </t>
    </r>
    <r>
      <rPr>
        <sz val="9"/>
        <color rgb="FF595959"/>
        <rFont val="Arial"/>
        <family val="0"/>
        <charset val="1"/>
      </rPr>
      <t xml:space="preserve">TTL</t>
    </r>
    <r>
      <rPr>
        <sz val="9"/>
        <color rgb="FF595959"/>
        <rFont val="Noto Sans CJK SC"/>
        <family val="2"/>
      </rPr>
      <t xml:space="preserve">，寫入價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倍，</t>
    </r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）</t>
    </r>
  </si>
  <si>
    <t xml:space="preserve">每次寫入在保留期內的平均命中次數</t>
  </si>
  <si>
    <t xml:space="preserve">次</t>
  </si>
  <si>
    <t xml:space="preserve">代理迴圈多輪重用前綴時高；單次問答低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</si>
  <si>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取得成本</t>
    </r>
  </si>
  <si>
    <t xml:space="preserve">$/GB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</si>
  <si>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記憶體漲價期；含伺服器分攤</t>
    </r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</si>
  <si>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</si>
  <si>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取得成本</t>
    </r>
  </si>
  <si>
    <r>
      <rPr>
        <sz val="9"/>
        <color rgb="FF595959"/>
        <rFont val="Noto Sans CJK SC"/>
        <family val="2"/>
      </rPr>
      <t xml:space="preserve">企業級 </t>
    </r>
    <r>
      <rPr>
        <sz val="9"/>
        <color rgb="FF595959"/>
        <rFont val="Arial"/>
        <family val="0"/>
        <charset val="1"/>
      </rPr>
      <t xml:space="preserve">NVMe</t>
    </r>
  </si>
  <si>
    <r>
      <rPr>
        <sz val="10"/>
        <color rgb="FF000000"/>
        <rFont val="Arial"/>
        <family val="0"/>
        <charset val="1"/>
      </rPr>
      <t xml:space="preserve">SSD </t>
    </r>
    <r>
      <rPr>
        <sz val="10"/>
        <color rgb="FF000000"/>
        <rFont val="Noto Sans CJK SC"/>
        <family val="2"/>
      </rPr>
      <t xml:space="preserve">折舊年限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</si>
  <si>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市場價格與能力候選表（</t>
    </r>
    <r>
      <rPr>
        <b val="true"/>
        <sz val="10"/>
        <rFont val="Arial"/>
        <family val="0"/>
        <charset val="1"/>
      </rPr>
      <t xml:space="preserve">K2 (i)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K14</t>
    </r>
    <r>
      <rPr>
        <b val="true"/>
        <sz val="10"/>
        <rFont val="Noto Sans CJK SC"/>
        <family val="2"/>
      </rPr>
      <t xml:space="preserve">：國際站美元牌價；能力＝</t>
    </r>
    <r>
      <rPr>
        <b val="true"/>
        <sz val="10"/>
        <rFont val="Arial"/>
        <family val="0"/>
        <charset val="1"/>
      </rPr>
      <t xml:space="preserve">Artificial Analysis Intelligence Index</t>
    </r>
    <r>
      <rPr>
        <b val="true"/>
        <sz val="10"/>
        <rFont val="Noto Sans CJK SC"/>
        <family val="2"/>
      </rPr>
      <t xml:space="preserve">）</t>
    </r>
  </si>
  <si>
    <t xml:space="preserve">模型</t>
  </si>
  <si>
    <t xml:space="preserve">廠商</t>
  </si>
  <si>
    <t xml:space="preserve">國別</t>
  </si>
  <si>
    <t xml:space="preserve">開放權重</t>
  </si>
  <si>
    <r>
      <rPr>
        <b val="true"/>
        <sz val="10"/>
        <rFont val="Noto Sans CJK SC"/>
        <family val="2"/>
      </rPr>
      <t xml:space="preserve">新鮮輸入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</si>
  <si>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快取輸入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</si>
  <si>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輸出 </t>
    </r>
    <r>
      <rPr>
        <b val="true"/>
        <sz val="10"/>
        <rFont val="Arial"/>
        <family val="0"/>
        <charset val="1"/>
      </rPr>
      <t xml:space="preserve">$/M</t>
    </r>
  </si>
  <si>
    <r>
      <rPr>
        <b val="true"/>
        <sz val="10"/>
        <rFont val="Noto Sans CJK SC"/>
        <family val="2"/>
      </rPr>
      <t xml:space="preserve">尖峰離峰（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</si>
  <si>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t xml:space="preserve">能力指數</t>
  </si>
  <si>
    <t xml:space="preserve">指數版本</t>
  </si>
  <si>
    <t xml:space="preserve">價格日期</t>
  </si>
  <si>
    <r>
      <rPr>
        <b val="true"/>
        <sz val="10"/>
        <rFont val="Noto Sans CJK SC"/>
        <family val="2"/>
      </rPr>
      <t xml:space="preserve">中國廠商（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＝是）</t>
    </r>
  </si>
  <si>
    <t xml:space="preserve">GPT-6 Luna</t>
  </si>
  <si>
    <t xml:space="preserve">OpenAI</t>
  </si>
  <si>
    <t xml:space="preserve">美國</t>
  </si>
  <si>
    <t xml:space="preserve">v4.3.2</t>
  </si>
  <si>
    <t xml:space="preserve">2026-09-25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</si>
  <si>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（價格）；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（指數）</t>
    </r>
  </si>
  <si>
    <t xml:space="preserve">GPT-6 Sol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</si>
  <si>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S56</t>
    </r>
  </si>
  <si>
    <t xml:space="preserve">GPT-6 Astra</t>
  </si>
  <si>
    <t xml:space="preserve">v4.3</t>
  </si>
  <si>
    <r>
      <rPr>
        <sz val="9"/>
        <color rgb="FF595959"/>
        <rFont val="Arial"/>
        <family val="0"/>
        <charset val="1"/>
      </rPr>
      <t xml:space="preserve">S50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</si>
  <si>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Fable 5.1</t>
  </si>
  <si>
    <t xml:space="preserve">Anthropic</t>
  </si>
  <si>
    <t xml:space="preserve">2026-09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</si>
  <si>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（快取讀取 </t>
    </r>
    <r>
      <rPr>
        <sz val="9"/>
        <color rgb="FF595959"/>
        <rFont val="Arial"/>
        <family val="0"/>
        <charset val="1"/>
      </rPr>
      <t xml:space="preserve">0.25 </t>
    </r>
    <r>
      <rPr>
        <sz val="9"/>
        <color rgb="FF595959"/>
        <rFont val="Noto Sans CJK SC"/>
        <family val="2"/>
      </rPr>
      <t xml:space="preserve">僅單一二手來源，待以官方頁核對）；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</si>
  <si>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</t>
  </si>
  <si>
    <t xml:space="preserve">2026-08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</si>
  <si>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</si>
  <si>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Claude Opus 5.5</t>
  </si>
  <si>
    <t xml:space="preserve">待查</t>
  </si>
  <si>
    <t xml:space="preserve">2026-09-22</t>
  </si>
  <si>
    <r>
      <rPr>
        <sz val="9"/>
        <color rgb="FF595959"/>
        <rFont val="Arial"/>
        <family val="0"/>
        <charset val="1"/>
      </rPr>
      <t xml:space="preserve">S51</t>
    </r>
    <r>
      <rPr>
        <sz val="9"/>
        <color rgb="FF595959"/>
        <rFont val="Noto Sans CJK SC"/>
        <family val="2"/>
      </rPr>
      <t xml:space="preserve">；指數未取得（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自稱達 </t>
    </r>
    <r>
      <rPr>
        <sz val="9"/>
        <color rgb="FF595959"/>
        <rFont val="Arial"/>
        <family val="0"/>
        <charset val="1"/>
      </rPr>
      <t xml:space="preserve">Fable 5.1 </t>
    </r>
    <r>
      <rPr>
        <sz val="9"/>
        <color rgb="FF595959"/>
        <rFont val="Noto Sans CJK SC"/>
        <family val="2"/>
      </rPr>
      <t xml:space="preserve">水準，未經獨立評測前不納入前緣）</t>
    </r>
  </si>
  <si>
    <t xml:space="preserve">DeepSeek V4.1-Flash</t>
  </si>
  <si>
    <t xml:space="preserve">DeepSeek</t>
  </si>
  <si>
    <t xml:space="preserve">中國</t>
  </si>
  <si>
    <t xml:space="preserve">2026-10-01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</si>
  <si>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（官方頁，尖峰價；離峰半價）；</t>
    </r>
    <r>
      <rPr>
        <sz val="9"/>
        <color rgb="FF595959"/>
        <rFont val="Arial"/>
        <family val="0"/>
        <charset val="1"/>
      </rPr>
      <t xml:space="preserve">S56</t>
    </r>
  </si>
  <si>
    <t xml:space="preserve">DeepSeek V4-Pro-0813</t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</si>
  <si>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（指數為『</t>
    </r>
    <r>
      <rPr>
        <sz val="9"/>
        <color rgb="FF595959"/>
        <rFont val="Arial"/>
        <family val="0"/>
        <charset val="1"/>
      </rPr>
      <t xml:space="preserve">DeepSeek V4 Pro</t>
    </r>
    <r>
      <rPr>
        <sz val="9"/>
        <color rgb="FF595959"/>
        <rFont val="Noto Sans CJK SC"/>
        <family val="2"/>
      </rPr>
      <t xml:space="preserve">』）</t>
    </r>
  </si>
  <si>
    <t xml:space="preserve">GLM-5.3</t>
  </si>
  <si>
    <t xml:space="preserve">Z.ai</t>
  </si>
  <si>
    <t xml:space="preserve">否（預定開放）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</si>
  <si>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（官方頁）；</t>
    </r>
    <r>
      <rPr>
        <sz val="9"/>
        <color rgb="FF595959"/>
        <rFont val="Arial"/>
        <family val="0"/>
        <charset val="1"/>
      </rPr>
      <t xml:space="preserve">S56</t>
    </r>
  </si>
  <si>
    <t xml:space="preserve">GLM-5.3-Flash</t>
  </si>
  <si>
    <r>
      <rPr>
        <sz val="9"/>
        <color rgb="FF595959"/>
        <rFont val="Arial"/>
        <family val="0"/>
        <charset val="1"/>
      </rPr>
      <t xml:space="preserve">S53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S55</t>
    </r>
  </si>
  <si>
    <t xml:space="preserve">Qwen3.8-Max</t>
  </si>
  <si>
    <t xml:space="preserve">Alibaba</t>
  </si>
  <si>
    <t xml:space="preserve">預定開放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</si>
  <si>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（國際站；多個二手來源一致，另一來源載 </t>
    </r>
    <r>
      <rPr>
        <sz val="9"/>
        <color rgb="FF595959"/>
        <rFont val="Arial"/>
        <family val="0"/>
        <charset val="1"/>
      </rPr>
      <t xml:space="preserve">$2.5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$7.5 </t>
    </r>
    <r>
      <rPr>
        <sz val="9"/>
        <color rgb="FF595959"/>
        <rFont val="Noto Sans CJK SC"/>
        <family val="2"/>
      </rPr>
      <t xml:space="preserve">附五折，待核）；</t>
    </r>
    <r>
      <rPr>
        <sz val="9"/>
        <color rgb="FF595959"/>
        <rFont val="Arial"/>
        <family val="0"/>
        <charset val="1"/>
      </rPr>
      <t xml:space="preserve">S55</t>
    </r>
  </si>
  <si>
    <t xml:space="preserve">Kimi K3</t>
  </si>
  <si>
    <t xml:space="preserve">Moonshot</t>
  </si>
  <si>
    <t xml:space="preserve">有爭議</t>
  </si>
  <si>
    <t xml:space="preserve">2026-07-16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</si>
  <si>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v4.3 </t>
    </r>
    <r>
      <rPr>
        <sz val="9"/>
        <color rgb="FF595959"/>
        <rFont val="Noto Sans CJK SC"/>
        <family val="2"/>
      </rPr>
      <t xml:space="preserve">指數未取得（報導僅稱與 </t>
    </r>
    <r>
      <rPr>
        <sz val="9"/>
        <color rgb="FF595959"/>
        <rFont val="Arial"/>
        <family val="0"/>
        <charset val="1"/>
      </rPr>
      <t xml:space="preserve">GLM-5.3 </t>
    </r>
    <r>
      <rPr>
        <sz val="9"/>
        <color rgb="FF595959"/>
        <rFont val="Noto Sans CJK SC"/>
        <family val="2"/>
      </rPr>
      <t xml:space="preserve">並列開放權重領先，≥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）</t>
    </r>
  </si>
  <si>
    <t xml:space="preserve">MiniMax M3</t>
  </si>
  <si>
    <t xml:space="preserve">MiniMax</t>
  </si>
  <si>
    <r>
      <rPr>
        <sz val="9"/>
        <color rgb="FF595959"/>
        <rFont val="Arial"/>
        <family val="0"/>
        <charset val="1"/>
      </rPr>
      <t xml:space="preserve">S54</t>
    </r>
    <r>
      <rPr>
        <sz val="9"/>
        <color rgb="FF595959"/>
        <rFont val="Noto Sans CJK SC"/>
        <family val="2"/>
      </rPr>
      <t xml:space="preserve">（≤</t>
    </r>
    <r>
      <rPr>
        <sz val="9"/>
        <color rgb="FF595959"/>
        <rFont val="Arial"/>
        <family val="0"/>
        <charset val="1"/>
      </rPr>
      <t xml:space="preserve">512K </t>
    </r>
    <r>
      <rPr>
        <sz val="9"/>
        <color rgb="FF595959"/>
        <rFont val="Noto Sans CJK SC"/>
        <family val="2"/>
      </rPr>
      <t xml:space="preserve">輸入；快取價未取得）；指數未取得</t>
    </r>
  </si>
  <si>
    <r>
      <rPr>
        <sz val="9"/>
        <color rgb="FF595959"/>
        <rFont val="Noto Sans CJK SC"/>
        <family val="2"/>
      </rPr>
      <t xml:space="preserve">註：前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列為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層級模型，其能力指數即各層級門檻。快取價空白者以新鮮輸入價計。能力指數空白者不參與前緣（不代表能力不足）。</t>
    </r>
    <r>
      <rPr>
        <sz val="9"/>
        <color rgb="FF595959"/>
        <rFont val="Arial"/>
        <family val="0"/>
        <charset val="1"/>
      </rPr>
      <t xml:space="preserve">Artificial Analysis </t>
    </r>
    <r>
      <rPr>
        <sz val="9"/>
        <color rgb="FF595959"/>
        <rFont val="Noto Sans CJK SC"/>
        <family val="2"/>
      </rPr>
      <t xml:space="preserve">一週內改版三次（</t>
    </r>
    <r>
      <rPr>
        <sz val="9"/>
        <color rgb="FF595959"/>
        <rFont val="Arial"/>
        <family val="0"/>
        <charset val="1"/>
      </rPr>
      <t xml:space="preserve">v4.1→4.3</t>
    </r>
    <r>
      <rPr>
        <sz val="9"/>
        <color rgb="FF595959"/>
        <rFont val="Noto Sans CJK SC"/>
        <family val="2"/>
      </rPr>
      <t xml:space="preserve">），跨版本分數不可比；本表全部取 </t>
    </r>
    <r>
      <rPr>
        <sz val="9"/>
        <color rgb="FF595959"/>
        <rFont val="Arial"/>
        <family val="0"/>
        <charset val="1"/>
      </rPr>
      <t xml:space="preserve">v4.3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v4.3.2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</si>
  <si>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）：壽命期價格係數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與變現率 </t>
    </r>
    <r>
      <rPr>
        <b val="true"/>
        <sz val="10"/>
        <rFont val="Arial"/>
        <family val="0"/>
        <charset val="1"/>
      </rPr>
      <t xml:space="preserve">m — </t>
    </r>
    <r>
      <rPr>
        <b val="true"/>
        <sz val="10"/>
        <rFont val="Noto Sans CJK SC"/>
        <family val="2"/>
      </rPr>
      <t xml:space="preserve">並列輸出用控制參數（基準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＝既有輸出不變；</t>
    </r>
    <r>
      <rPr>
        <b val="true"/>
        <sz val="10"/>
        <rFont val="Arial"/>
        <family val="0"/>
        <charset val="1"/>
      </rPr>
      <t xml:space="preserve">Theory_Rev 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Interface H </t>
    </r>
    <r>
      <rPr>
        <b val="true"/>
        <sz val="10"/>
        <rFont val="Noto Sans CJK SC"/>
        <family val="2"/>
      </rPr>
      <t xml:space="preserve">節；區間見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</si>
  <si>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</si>
  <si>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Analogy </t>
    </r>
    <r>
      <rPr>
        <sz val="9"/>
        <color rgb="FF595959"/>
        <rFont val="Noto Sans CJK SC"/>
        <family val="2"/>
      </rPr>
      <t xml:space="preserve">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</si>
  <si>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設備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年壽命期內平均實收單價 </t>
    </r>
    <r>
      <rPr>
        <sz val="9"/>
        <color rgb="FF595959"/>
        <rFont val="Arial"/>
        <family val="0"/>
        <charset val="1"/>
      </rPr>
      <t xml:space="preserve">÷ 2026-09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單價快照（</t>
    </r>
    <r>
      <rPr>
        <sz val="9"/>
        <color rgb="FF595959"/>
        <rFont val="Arial"/>
        <family val="0"/>
        <charset val="1"/>
      </rPr>
      <t xml:space="preserve">K9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＝不跌價（模型現行假設）；只驅動 </t>
    </r>
    <r>
      <rPr>
        <sz val="9"/>
        <color rgb="FF595959"/>
        <rFont val="Arial"/>
        <family val="0"/>
        <charset val="1"/>
      </rPr>
      <t xml:space="preserve">Theory_Rev D </t>
    </r>
    <r>
      <rPr>
        <sz val="9"/>
        <color rgb="FF595959"/>
        <rFont val="Noto Sans CJK SC"/>
        <family val="2"/>
      </rPr>
      <t xml:space="preserve">節與 </t>
    </r>
    <r>
      <rPr>
        <sz val="9"/>
        <color rgb="FF595959"/>
        <rFont val="Arial"/>
        <family val="0"/>
        <charset val="1"/>
      </rPr>
      <t xml:space="preserve">Interface H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並列輸出，既有 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列不受影響。區間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；類比證據見 </t>
    </r>
    <r>
      <rPr>
        <sz val="9"/>
        <color rgb="FF595959"/>
        <rFont val="Arial"/>
        <family val="0"/>
        <charset val="1"/>
      </rPr>
      <t xml:space="preserve">DB_Evidence E246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租金指數，摘要級）</t>
    </r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</si>
  <si>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</si>
  <si>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×(1−</t>
    </r>
    <r>
      <rPr>
        <sz val="9"/>
        <color rgb="FF595959"/>
        <rFont val="Noto Sans CJK SC"/>
        <family val="2"/>
      </rPr>
      <t xml:space="preserve">折扣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＝所有付費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有效價計收（模型現行假設）；只驅動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並列輸出。區間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；無實證（缺每位付費用戶年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消耗量）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</si>
  <si>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追蹤（</t>
    </r>
    <r>
      <rPr>
        <b val="true"/>
        <sz val="10"/>
        <rFont val="Arial"/>
        <family val="0"/>
        <charset val="1"/>
      </rPr>
      <t xml:space="preserve">v5.32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v5.32 r1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J2–J6</t>
    </r>
    <r>
      <rPr>
        <b val="true"/>
        <sz val="10"/>
        <rFont val="Noto Sans CJK SC"/>
        <family val="2"/>
      </rPr>
      <t xml:space="preserve">）：隱含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混合有效單價）；只作追蹤與對照，不驅動任何 </t>
    </r>
    <r>
      <rPr>
        <b val="true"/>
        <sz val="10"/>
        <rFont val="Arial"/>
        <family val="0"/>
        <charset val="1"/>
      </rPr>
      <t xml:space="preserve">IF_ </t>
    </r>
    <r>
      <rPr>
        <b val="true"/>
        <sz val="10"/>
        <rFont val="Noto Sans CJK SC"/>
        <family val="2"/>
      </rPr>
      <t xml:space="preserve">輸出；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不改（</t>
    </r>
    <r>
      <rPr>
        <b val="true"/>
        <sz val="10"/>
        <rFont val="Arial"/>
        <family val="0"/>
        <charset val="1"/>
      </rPr>
      <t xml:space="preserve">J1 (a′)</t>
    </r>
    <r>
      <rPr>
        <b val="true"/>
        <sz val="10"/>
        <rFont val="Noto Sans CJK SC"/>
        <family val="2"/>
      </rPr>
      <t xml:space="preserve">）。欄位：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低端（營收取低、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取高）、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高端（營收取高、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</si>
  <si>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</si>
  <si>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</t>
    </r>
  </si>
  <si>
    <r>
      <rPr>
        <b val="true"/>
        <sz val="10"/>
        <rFont val="Arial"/>
        <family val="0"/>
        <charset val="1"/>
      </rPr>
      <t xml:space="preserve">H1. </t>
    </r>
    <r>
      <rPr>
        <b val="true"/>
        <sz val="10"/>
        <rFont val="Noto Sans CJK SC"/>
        <family val="2"/>
      </rPr>
      <t xml:space="preserve">分子：付費營收（</t>
    </r>
    <r>
      <rPr>
        <b val="true"/>
        <sz val="10"/>
        <rFont val="Arial"/>
        <family val="0"/>
        <charset val="1"/>
      </rPr>
      <t xml:space="preserve">OpenAI 2025</t>
    </r>
    <r>
      <rPr>
        <b val="true"/>
        <sz val="10"/>
        <rFont val="Noto Sans CJK SC"/>
        <family val="2"/>
      </rPr>
      <t xml:space="preserve">，毛額；</t>
    </r>
    <r>
      <rPr>
        <b val="true"/>
        <sz val="10"/>
        <rFont val="Arial"/>
        <family val="0"/>
        <charset val="1"/>
      </rPr>
      <t xml:space="preserve">J3</t>
    </r>
    <r>
      <rPr>
        <b val="true"/>
        <sz val="10"/>
        <rFont val="Noto Sans CJK SC"/>
        <family val="2"/>
      </rPr>
      <t xml:space="preserve">：不扣 </t>
    </r>
    <r>
      <rPr>
        <b val="true"/>
        <sz val="10"/>
        <rFont val="Arial"/>
        <family val="0"/>
        <charset val="1"/>
      </rPr>
      <t xml:space="preserve">Microsoft </t>
    </r>
    <r>
      <rPr>
        <b val="true"/>
        <sz val="10"/>
        <rFont val="Noto Sans CJK SC"/>
        <family val="2"/>
      </rPr>
      <t xml:space="preserve">分潤）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</si>
  <si>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營收（毛額）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</si>
  <si>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</si>
  <si>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；單值（三欄相同）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</si>
  <si>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營收中的消費訂閱）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</si>
  <si>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N10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</si>
  <si>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SRC_DEM_039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FT</t>
    </r>
    <r>
      <rPr>
        <sz val="9"/>
        <color rgb="FF595959"/>
        <rFont val="Noto Sans CJK SC"/>
        <family val="2"/>
      </rPr>
      <t xml:space="preserve">，約 </t>
    </r>
    <r>
      <rPr>
        <sz val="9"/>
        <color rgb="FF595959"/>
        <rFont val="Arial"/>
        <family val="0"/>
        <charset val="1"/>
      </rPr>
      <t xml:space="preserve">70%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 ChatGPT </t>
    </r>
    <r>
      <rPr>
        <sz val="9"/>
        <color rgb="FF595959"/>
        <rFont val="Noto Sans CJK SC"/>
        <family val="2"/>
      </rPr>
      <t xml:space="preserve">營收預期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SRC_DEM_007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0.61</t>
    </r>
    <r>
      <rPr>
        <sz val="9"/>
        <color rgb="FF595959"/>
        <rFont val="Noto Sans CJK SC"/>
        <family val="2"/>
      </rPr>
      <t xml:space="preserve">；高端 </t>
    </r>
    <r>
      <rPr>
        <sz val="9"/>
        <color rgb="FF595959"/>
        <rFont val="Arial"/>
        <family val="0"/>
        <charset val="1"/>
      </rPr>
      <t xml:space="preserve">0.82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N10 </t>
    </r>
    <r>
      <rPr>
        <sz val="9"/>
        <color rgb="FF595959"/>
        <rFont val="Noto Sans CJK SC"/>
        <family val="2"/>
      </rPr>
      <t xml:space="preserve">區間上緣（藍字常數：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13.07 × 82%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10.7</t>
    </r>
    <r>
      <rPr>
        <sz val="9"/>
        <color rgb="FF595959"/>
        <rFont val="Noto Sans CJK SC"/>
        <family val="2"/>
      </rPr>
      <t xml:space="preserve">，未能追溯到單一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</si>
  <si>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訂閱占比；其他＝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節「扣訂閱後餘額」）</t>
    </r>
  </si>
  <si>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營收低（＝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訂閱占比高端），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高端反之</t>
    </r>
  </si>
  <si>
    <t xml:space="preserve">訂閱營收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</si>
  <si>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訂閱占比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</si>
  <si>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</si>
  <si>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API </t>
    </r>
    <r>
      <rPr>
        <sz val="9"/>
        <color rgb="FF595959"/>
        <rFont val="Noto Sans CJK SC"/>
        <family val="2"/>
      </rPr>
      <t xml:space="preserve">占比</t>
    </r>
  </si>
  <si>
    <r>
      <rPr>
        <b val="true"/>
        <sz val="10"/>
        <rFont val="Arial"/>
        <family val="0"/>
        <charset val="1"/>
      </rPr>
      <t xml:space="preserve">H2. </t>
    </r>
    <r>
      <rPr>
        <b val="true"/>
        <sz val="10"/>
        <rFont val="Noto Sans CJK SC"/>
        <family val="2"/>
      </rPr>
      <t xml:space="preserve">訂閱人數（每人口徑的直覺檢查；不進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J6</t>
    </r>
    <r>
      <rPr>
        <b val="true"/>
        <sz val="10"/>
        <rFont val="Noto Sans CJK SC"/>
        <family val="2"/>
      </rPr>
      <t xml:space="preserve">：期間平均）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</si>
  <si>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2025-01</t>
    </r>
  </si>
  <si>
    <t xml:space="preserve">百萬</t>
  </si>
  <si>
    <t xml:space="preserve">SRC_DEM_024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</si>
  <si>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04</t>
    </r>
  </si>
  <si>
    <t xml:space="preserve">SRC_DEM_025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</si>
  <si>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2025-07</t>
    </r>
  </si>
  <si>
    <t xml:space="preserve">SRC_DEM_026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</si>
  <si>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 — </t>
    </r>
    <r>
      <rPr>
        <sz val="10"/>
        <color rgb="FF000000"/>
        <rFont val="Arial"/>
        <family val="0"/>
        <charset val="1"/>
      </rPr>
      <t xml:space="preserve">2026-02-27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</si>
  <si>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</si>
  <si>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t xml:space="preserve">SRC_DEM_019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</si>
  <si>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期間平均訂閱數（＝</t>
    </r>
    <r>
      <rPr>
        <sz val="10"/>
        <color rgb="FF000000"/>
        <rFont val="Arial"/>
        <family val="0"/>
        <charset val="1"/>
      </rPr>
      <t xml:space="preserve">(2025-01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2026-02) ÷ 2</t>
    </r>
    <r>
      <rPr>
        <sz val="10"/>
        <color rgb="FF000000"/>
        <rFont val="Noto Sans CJK SC"/>
        <family val="2"/>
      </rPr>
      <t xml:space="preserve">：首尾平均，線性成長近似；</t>
    </r>
    <r>
      <rPr>
        <sz val="10"/>
        <color rgb="FF000000"/>
        <rFont val="Arial"/>
        <family val="0"/>
        <charset val="1"/>
      </rPr>
      <t xml:space="preserve">J6 (a)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</si>
  <si>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：期間平均約 </t>
    </r>
    <r>
      <rPr>
        <sz val="9"/>
        <color rgb="FF595959"/>
        <rFont val="Arial"/>
        <family val="0"/>
        <charset val="1"/>
      </rPr>
      <t xml:space="preserve">3,300 </t>
    </r>
    <r>
      <rPr>
        <sz val="9"/>
        <color rgb="FF595959"/>
        <rFont val="Noto Sans CJK SC"/>
        <family val="2"/>
      </rPr>
      <t xml:space="preserve">萬（與年營收、年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對齊）；期末值 </t>
    </r>
    <r>
      <rPr>
        <sz val="9"/>
        <color rgb="FF595959"/>
        <rFont val="Arial"/>
        <family val="0"/>
        <charset val="1"/>
      </rPr>
      <t xml:space="preserve">5,000 </t>
    </r>
    <r>
      <rPr>
        <sz val="9"/>
        <color rgb="FF595959"/>
        <rFont val="Noto Sans CJK SC"/>
        <family val="2"/>
      </rPr>
      <t xml:space="preserve">萬為 </t>
    </r>
    <r>
      <rPr>
        <sz val="9"/>
        <color rgb="FF595959"/>
        <rFont val="Arial"/>
        <family val="0"/>
        <charset val="1"/>
      </rPr>
      <t xml:space="preserve">J6 (b)</t>
    </r>
  </si>
  <si>
    <r>
      <rPr>
        <b val="true"/>
        <sz val="10"/>
        <rFont val="Arial"/>
        <family val="0"/>
        <charset val="1"/>
      </rPr>
      <t xml:space="preserve">H3. </t>
    </r>
    <r>
      <rPr>
        <b val="true"/>
        <sz val="10"/>
        <rFont val="Noto Sans CJK SC"/>
        <family val="2"/>
      </rPr>
      <t xml:space="preserve">分母：付費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J2 (i)</t>
    </r>
    <r>
      <rPr>
        <b val="true"/>
        <sz val="10"/>
        <rFont val="Noto Sans CJK SC"/>
        <family val="2"/>
      </rPr>
      <t xml:space="preserve">：模型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與外部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兩種分母並列）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</si>
  <si>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區間同向組合）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</si>
  <si>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</si>
  <si>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列；端點＝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6–8 </t>
    </r>
    <r>
      <rPr>
        <sz val="9"/>
        <color rgb="FF595959"/>
        <rFont val="Noto Sans CJK SC"/>
        <family val="2"/>
      </rPr>
      <t xml:space="preserve">列同式，每則提示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數與免費占比取區間端點（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</si>
  <si>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列；低高端以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全年平均比例區間）</t>
    </r>
  </si>
  <si>
    <r>
      <rPr>
        <sz val="9"/>
        <color rgb="FF595959"/>
        <rFont val="Noto Sans CJK SC"/>
        <family val="2"/>
      </rPr>
      <t xml:space="preserve">基準連結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列；端點＝同式，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 </t>
    </r>
    <r>
      <rPr>
        <sz val="9"/>
        <color rgb="FF595959"/>
        <rFont val="Arial"/>
        <family val="0"/>
        <charset val="1"/>
      </rPr>
      <t xml:space="preserve">÷ 10 </t>
    </r>
    <r>
      <rPr>
        <sz val="9"/>
        <color rgb="FF595959"/>
        <rFont val="Noto Sans CJK SC"/>
        <family val="2"/>
      </rPr>
      <t xml:space="preserve">月時點值取區間端點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</si>
  <si>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：付費合計（＝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</si>
  <si>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基準欄等於 </t>
    </r>
    <r>
      <rPr>
        <sz val="9"/>
        <color rgb="FF595959"/>
        <rFont val="Arial"/>
        <family val="0"/>
        <charset val="1"/>
      </rPr>
      <t xml:space="preserve">AL_DPaid</t>
    </r>
  </si>
  <si>
    <r>
      <rPr>
        <sz val="10"/>
        <color rgb="FF000000"/>
        <rFont val="Noto Sans CJK SC"/>
        <family val="2"/>
      </rPr>
      <t xml:space="preserve">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（模型；直覺檢查）</t>
    </r>
  </si>
  <si>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</si>
  <si>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÷ </t>
    </r>
    <r>
      <rPr>
        <sz val="9"/>
        <color rgb="FF595959"/>
        <rFont val="Noto Sans CJK SC"/>
        <family val="2"/>
      </rPr>
      <t xml:space="preserve">期間平均訂閱數（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K01</t>
    </r>
    <r>
      <rPr>
        <sz val="9"/>
        <color rgb="FF595959"/>
        <rFont val="Noto Sans CJK SC"/>
        <family val="2"/>
      </rPr>
      <t xml:space="preserve">：約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</si>
  <si>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C84:E84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</si>
  <si>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2026-03</t>
    </r>
    <r>
      <rPr>
        <sz val="10"/>
        <color rgb="FF000000"/>
        <rFont val="Noto Sans CJK SC"/>
        <family val="2"/>
      </rPr>
      <t xml:space="preserve">，不打折）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</si>
  <si>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；年化為 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</si>
  <si>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15B tok/min × 525,600</t>
    </r>
    <r>
      <rPr>
        <sz val="9"/>
        <color rgb="FF595959"/>
        <rFont val="Noto Sans CJK SC"/>
        <family val="2"/>
      </rPr>
      <t xml:space="preserve">；為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時點值，與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營收不同期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</si>
  <si>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C85:E85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</si>
  <si>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前沿實驗室每日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；基準＝幾何中點）</t>
    </r>
  </si>
  <si>
    <r>
      <rPr>
        <sz val="10"/>
        <color rgb="FF000000"/>
        <rFont val="Arial"/>
        <family val="0"/>
        <charset val="1"/>
      </rPr>
      <t xml:space="preserve">T tok/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</si>
  <si>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SRC_DEM_013 </t>
    </r>
    <r>
      <rPr>
        <sz val="9"/>
        <color rgb="FF595959"/>
        <rFont val="Noto Sans CJK SC"/>
        <family val="2"/>
      </rPr>
      <t xml:space="preserve">只有低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100</t>
    </r>
    <r>
      <rPr>
        <sz val="9"/>
        <color rgb="FF595959"/>
        <rFont val="Noto Sans CJK SC"/>
        <family val="2"/>
      </rPr>
      <t xml:space="preserve">；基準取幾何中點（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6.2 </t>
    </r>
    <r>
      <rPr>
        <sz val="9"/>
        <color rgb="FF595959"/>
        <rFont val="Noto Sans CJK SC"/>
        <family val="2"/>
      </rPr>
      <t xml:space="preserve">節「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中值約 </t>
    </r>
    <r>
      <rPr>
        <sz val="9"/>
        <color rgb="FF595959"/>
        <rFont val="Arial"/>
        <family val="0"/>
        <charset val="1"/>
      </rPr>
      <t xml:space="preserve">30 T</t>
    </r>
    <r>
      <rPr>
        <sz val="9"/>
        <color rgb="FF595959"/>
        <rFont val="Noto Sans CJK SC"/>
        <family val="2"/>
      </rPr>
      <t xml:space="preserve">／日」）</t>
    </r>
  </si>
  <si>
    <r>
      <rPr>
        <sz val="10"/>
        <color rgb="FF000000"/>
        <rFont val="Noto Sans CJK SC"/>
        <family val="2"/>
      </rPr>
      <t xml:space="preserve">付費占比（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口徑＝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M2 </t>
    </r>
    <r>
      <rPr>
        <sz val="10"/>
        <color rgb="FF000000"/>
        <rFont val="Noto Sans CJK SC"/>
        <family val="2"/>
      </rPr>
      <t xml:space="preserve">由支出口徑 </t>
    </r>
    <r>
      <rPr>
        <sz val="10"/>
        <color rgb="FF000000"/>
        <rFont val="Arial"/>
        <family val="0"/>
        <charset val="1"/>
      </rPr>
      <t xml:space="preserve">IF_FreeShare </t>
    </r>
    <r>
      <rPr>
        <sz val="10"/>
        <color rgb="FF000000"/>
        <rFont val="Noto Sans CJK SC"/>
        <family val="2"/>
      </rPr>
      <t xml:space="preserve">改）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</si>
  <si>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</si>
  <si>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D9</t>
    </r>
    <r>
      <rPr>
        <sz val="9"/>
        <color rgb="FF595959"/>
        <rFont val="Noto Sans CJK SC"/>
        <family val="2"/>
      </rPr>
      <t xml:space="preserve">）：此占比乘在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上，一律用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口徑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ChatGPT token </t>
    </r>
    <r>
      <rPr>
        <sz val="9"/>
        <color rgb="FF595959"/>
        <rFont val="Noto Sans CJK SC"/>
        <family val="2"/>
      </rPr>
      <t xml:space="preserve">中免費用戶占比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0.4–0.8</t>
    </r>
    <r>
      <rPr>
        <sz val="9"/>
        <color rgb="FF595959"/>
        <rFont val="Noto Sans CJK SC"/>
        <family val="2"/>
      </rPr>
      <t xml:space="preserve">）；原用支出口徑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（免費占服務 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列）。注意：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為前沿實驗室總量（含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免費占比是否適用於全體為判斷事項，見 </t>
    </r>
    <r>
      <rPr>
        <sz val="9"/>
        <color rgb="FF595959"/>
        <rFont val="Arial"/>
        <family val="0"/>
        <charset val="1"/>
      </rPr>
      <t xml:space="preserve">2-4 </t>
    </r>
    <r>
      <rPr>
        <sz val="9"/>
        <color rgb="FF595959"/>
        <rFont val="Noto Sans CJK SC"/>
        <family val="2"/>
      </rPr>
      <t xml:space="preserve">報告待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</si>
  <si>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：付費合計（</t>
    </r>
    <r>
      <rPr>
        <sz val="10"/>
        <color rgb="FF000000"/>
        <rFont val="Arial"/>
        <family val="0"/>
        <charset val="1"/>
      </rPr>
      <t xml:space="preserve">Epoch × 365 × </t>
    </r>
    <r>
      <rPr>
        <sz val="10"/>
        <color rgb="FF000000"/>
        <rFont val="Noto Sans CJK SC"/>
        <family val="2"/>
      </rPr>
      <t xml:space="preserve">付費占比）</t>
    </r>
  </si>
  <si>
    <r>
      <rPr>
        <sz val="9"/>
        <color rgb="FF595959"/>
        <rFont val="Arial"/>
        <family val="0"/>
        <charset val="1"/>
      </rPr>
      <t xml:space="preserve">T → M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× 1,000,000</t>
    </r>
  </si>
  <si>
    <r>
      <rPr>
        <b val="true"/>
        <sz val="10"/>
        <rFont val="Arial"/>
        <family val="0"/>
        <charset val="1"/>
      </rPr>
      <t xml:space="preserve">H4. </t>
    </r>
    <r>
      <rPr>
        <b val="true"/>
        <sz val="10"/>
        <rFont val="Noto Sans CJK SC"/>
        <family val="2"/>
      </rPr>
      <t xml:space="preserve">單價（</t>
    </r>
    <r>
      <rPr>
        <b val="true"/>
        <sz val="10"/>
        <rFont val="Arial"/>
        <family val="0"/>
        <charset val="1"/>
      </rPr>
      <t xml:space="preserve">J2 (iii)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31 </t>
    </r>
    <r>
      <rPr>
        <b val="true"/>
        <sz val="10"/>
        <rFont val="Noto Sans CJK SC"/>
        <family val="2"/>
      </rPr>
      <t xml:space="preserve">列付費層級組合 </t>
    </r>
    <r>
      <rPr>
        <b val="true"/>
        <sz val="10"/>
        <rFont val="Arial"/>
        <family val="0"/>
        <charset val="1"/>
      </rPr>
      <t xml:space="preserve">× IF_PriceRef_*</t>
    </r>
    <r>
      <rPr>
        <b val="true"/>
        <sz val="10"/>
        <rFont val="Noto Sans CJK SC"/>
        <family val="2"/>
      </rPr>
      <t xml:space="preserve">；不新增輸入，三欄相同）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</si>
  <si>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混合有效單價（層級組合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</si>
  <si>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參考請求混合有效單價（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有效價＝表列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折扣））按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</t>
    </r>
    <r>
      <rPr>
        <sz val="9"/>
        <color rgb="FF595959"/>
        <rFont val="Noto Sans CJK SC"/>
        <family val="2"/>
      </rPr>
      <t xml:space="preserve">）加權；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節基準 </t>
    </r>
    <r>
      <rPr>
        <sz val="9"/>
        <color rgb="FF595959"/>
        <rFont val="Arial"/>
        <family val="0"/>
        <charset val="1"/>
      </rPr>
      <t xml:space="preserve">1.961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</si>
  <si>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D90:E90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</si>
  <si>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H5. </t>
    </r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＝付費營收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混合有效單價）；對照 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（第 </t>
    </r>
    <r>
      <rPr>
        <b val="true"/>
        <sz val="10"/>
        <rFont val="Arial"/>
        <family val="0"/>
        <charset val="1"/>
      </rPr>
      <t xml:space="preserve">64 </t>
    </r>
    <r>
      <rPr>
        <b val="true"/>
        <sz val="10"/>
        <rFont val="Noto Sans CJK SC"/>
        <family val="2"/>
      </rPr>
      <t xml:space="preserve">列，基準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 (a′) </t>
    </r>
    <r>
      <rPr>
        <b val="true"/>
        <sz val="10"/>
        <rFont val="Noto Sans CJK SC"/>
        <family val="2"/>
      </rPr>
      <t xml:space="preserve">不改）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</si>
  <si>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</si>
  <si>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 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tok × $/M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</si>
  <si>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</si>
  <si>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</t>
    </r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</si>
  <si>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分母已知偏低（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代表分母問題，不代表 </t>
    </r>
    <r>
      <rPr>
        <sz val="9"/>
        <color rgb="FF595959"/>
        <rFont val="Arial"/>
        <family val="0"/>
        <charset val="1"/>
      </rPr>
      <t xml:space="preserve">m &gt; 1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</si>
  <si>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訂閱路線（外部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</si>
  <si>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—（無外部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數）</t>
    </r>
  </si>
  <si>
    <r>
      <rPr>
        <sz val="9"/>
        <color rgb="FF595959"/>
        <rFont val="Noto Sans CJK SC"/>
        <family val="2"/>
      </rPr>
      <t xml:space="preserve">外部只有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SRC_DEM_011</t>
    </r>
    <r>
      <rPr>
        <sz val="9"/>
        <color rgb="FF595959"/>
        <rFont val="Noto Sans CJK SC"/>
        <family val="2"/>
      </rPr>
      <t xml:space="preserve">）與總量（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），無法分出訂閱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</si>
  <si>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時點值，營收為 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</si>
  <si>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分子分母不同期（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2026-03 </t>
    </r>
    <r>
      <rPr>
        <sz val="9"/>
        <color rgb="FF595959"/>
        <rFont val="Noto Sans CJK SC"/>
        <family val="2"/>
      </rPr>
      <t xml:space="preserve">處理量），只作方向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</si>
  <si>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C96:E96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</si>
  <si>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合併（外部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L1_MImplied_Ext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</si>
  <si>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區間跨一個數量級（</t>
    </r>
    <r>
      <rPr>
        <sz val="9"/>
        <color rgb="FF595959"/>
        <rFont val="Arial"/>
        <family val="0"/>
        <charset val="1"/>
      </rPr>
      <t xml:space="preserve">10–100 T</t>
    </r>
    <r>
      <rPr>
        <sz val="9"/>
        <color rgb="FF595959"/>
        <rFont val="Noto Sans CJK SC"/>
        <family val="2"/>
      </rPr>
      <t xml:space="preserve">／日），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跨一個數量級</t>
    </r>
  </si>
  <si>
    <r>
      <rPr>
        <b val="true"/>
        <sz val="10"/>
        <rFont val="Arial"/>
        <family val="0"/>
        <charset val="1"/>
      </rPr>
      <t xml:space="preserve">H6. </t>
    </r>
    <r>
      <rPr>
        <b val="true"/>
        <sz val="10"/>
        <rFont val="Noto Sans CJK SC"/>
        <family val="2"/>
      </rPr>
      <t xml:space="preserve">程式代理路線（對照列；不進合併；</t>
    </r>
    <r>
      <rPr>
        <b val="true"/>
        <sz val="10"/>
        <rFont val="Arial"/>
        <family val="0"/>
        <charset val="1"/>
      </rPr>
      <t xml:space="preserve">J2 (ii)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N13</t>
    </r>
    <r>
      <rPr>
        <b val="true"/>
        <sz val="10"/>
        <rFont val="Noto Sans CJK SC"/>
        <family val="2"/>
      </rPr>
      <t xml:space="preserve">，加 </t>
    </r>
    <r>
      <rPr>
        <b val="true"/>
        <sz val="10"/>
        <rFont val="Arial"/>
        <family val="0"/>
        <charset val="1"/>
      </rPr>
      <t xml:space="preserve">N15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N16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組合）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</si>
  <si>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企業平均花費（列價）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</si>
  <si>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活躍日</t>
    </r>
  </si>
  <si>
    <r>
      <rPr>
        <sz val="9"/>
        <color rgb="FF595959"/>
        <rFont val="Arial"/>
        <family val="0"/>
        <charset val="1"/>
      </rPr>
      <t xml:space="preserve">SRC_DEM_044</t>
    </r>
    <r>
      <rPr>
        <sz val="9"/>
        <color rgb="FF595959"/>
        <rFont val="Noto Sans CJK SC"/>
        <family val="2"/>
      </rPr>
      <t xml:space="preserve">：平均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p90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30</t>
    </r>
  </si>
  <si>
    <t xml:space="preserve">每開發者每月活躍日（程式代理對照用）</t>
  </si>
  <si>
    <t xml:space="preserve">日／月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</si>
  <si>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：每月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個活躍工作日（單值；登錄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</si>
  <si>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C100:E100</t>
    </r>
    <r>
      <rPr>
        <sz val="9"/>
        <color rgb="FF595959"/>
        <rFont val="Noto Sans CJK SC"/>
        <family val="2"/>
      </rPr>
      <t xml:space="preserve">（對照列；標明口徑）</t>
    </r>
  </si>
  <si>
    <t xml:space="preserve">每開發者每月列價用量</t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</si>
  <si>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／開發者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月</t>
    </r>
  </si>
  <si>
    <r>
      <rPr>
        <sz val="10"/>
        <color rgb="FF000000"/>
        <rFont val="Noto Sans CJK SC"/>
        <family val="2"/>
      </rPr>
      <t xml:space="preserve">程式代理訂閱方案月費（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列價；對照用）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</si>
  <si>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／月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</si>
  <si>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的方案列價（單值；未另登錄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</si>
  <si>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C102:E102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</si>
  <si>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對照：程式代理訂閱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月列價用量；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高端另扣有效折扣 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</si>
  <si>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分母以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列價計（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的定義改用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價，非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價）；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段對照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0.32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0.92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</si>
  <si>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C103:E103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</si>
  <si>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程式代理輸入占全部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</si>
  <si>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（基準）／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（低端）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</si>
  <si>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0.995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Requesty </t>
    </r>
    <r>
      <rPr>
        <sz val="9"/>
        <color rgb="FF595959"/>
        <rFont val="Noto Sans CJK SC"/>
        <family val="2"/>
      </rPr>
      <t xml:space="preserve">情境（</t>
    </r>
    <r>
      <rPr>
        <sz val="9"/>
        <color rgb="FF595959"/>
        <rFont val="Arial"/>
        <family val="0"/>
        <charset val="1"/>
      </rPr>
      <t xml:space="preserve">995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，藍字，登錄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 </t>
    </r>
    <r>
      <rPr>
        <sz val="9"/>
        <color rgb="FF595959"/>
        <rFont val="Noto Sans CJK SC"/>
        <family val="2"/>
      </rPr>
      <t xml:space="preserve">實測）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</si>
  <si>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D104:E104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</si>
  <si>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程式代理快取命中率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</si>
  <si>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</si>
  <si>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SRC_DEM_048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）；低端＝</t>
    </r>
    <r>
      <rPr>
        <sz val="9"/>
        <color rgb="FF595959"/>
        <rFont val="Arial"/>
        <family val="0"/>
        <charset val="1"/>
      </rPr>
      <t xml:space="preserve">SRC_DEM_046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Cap_In C13 </t>
    </r>
    <r>
      <rPr>
        <sz val="9"/>
        <color rgb="FF595959"/>
        <rFont val="Noto Sans CJK SC"/>
        <family val="2"/>
      </rPr>
      <t xml:space="preserve">參考請求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</si>
  <si>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D105:E105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</si>
  <si>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程式代理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實收（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有效價）</t>
    </r>
  </si>
  <si>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層；新鮮輸入、快取輸入、輸出（含思考）三類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依組合加權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</si>
  <si>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D106:E106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</si>
  <si>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對照：程式代理單價結構倍數（</t>
    </r>
    <r>
      <rPr>
        <sz val="10"/>
        <color rgb="FF000000"/>
        <rFont val="Arial"/>
        <family val="0"/>
        <charset val="1"/>
      </rPr>
      <t xml:space="preserve">÷ IF_PriceRef_Sol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組合成分）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</si>
  <si>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節：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Requesty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Pegatron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</si>
  <si>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D107:E107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</si>
  <si>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H7. </t>
    </r>
    <r>
      <rPr>
        <b val="true"/>
        <sz val="10"/>
        <rFont val="Noto Sans CJK SC"/>
        <family val="2"/>
      </rPr>
      <t xml:space="preserve">機隊口徑（</t>
    </r>
    <r>
      <rPr>
        <b val="true"/>
        <sz val="10"/>
        <rFont val="Arial"/>
        <family val="0"/>
        <charset val="1"/>
      </rPr>
      <t xml:space="preserve">v5.33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v5.33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）：支出路線服務 </t>
    </r>
    <r>
      <rPr>
        <b val="true"/>
        <sz val="10"/>
        <rFont val="Arial"/>
        <family val="0"/>
        <charset val="1"/>
      </rPr>
      <t xml:space="preserve">GW → </t>
    </r>
    <r>
      <rPr>
        <b val="true"/>
        <sz val="10"/>
        <rFont val="Noto Sans CJK SC"/>
        <family val="2"/>
      </rPr>
      <t xml:space="preserve">機隊付費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（點估計與上限）→ 機隊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下限、「必須為真」、非文字對照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</si>
  <si>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（經計價倍數與請求形狀修正）＝</t>
    </r>
    <r>
      <rPr>
        <sz val="10"/>
        <color rgb="FF000000"/>
        <rFont val="Arial"/>
        <family val="0"/>
        <charset val="1"/>
      </rPr>
      <t xml:space="preserve">AL_ServeGWSpend ÷ AL_SpendBasis × AL_Kappa</t>
    </r>
  </si>
  <si>
    <r>
      <rPr>
        <sz val="10"/>
        <color rgb="FF000000"/>
        <rFont val="Noto Sans CJK SC"/>
        <family val="2"/>
      </rPr>
      <t xml:space="preserve">付費每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</si>
  <si>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 tok/GW/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</si>
  <si>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AL_BlendPaid</t>
    </r>
    <r>
      <rPr>
        <sz val="9"/>
        <color rgb="FF595959"/>
        <rFont val="Noto Sans CJK SC"/>
        <family val="2"/>
      </rPr>
      <t xml:space="preserve">；改世代組合（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）後自動更新</t>
    </r>
  </si>
  <si>
    <r>
      <rPr>
        <sz val="10"/>
        <color rgb="FF000000"/>
        <rFont val="Noto Sans CJK SC"/>
        <family val="2"/>
      </rPr>
      <t xml:space="preserve">免費每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年產能（世代組合後；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 </t>
    </r>
    <r>
      <rPr>
        <sz val="10"/>
        <color rgb="FF000000"/>
        <rFont val="Noto Sans CJK SC"/>
        <family val="2"/>
      </rPr>
      <t xml:space="preserve">列，已含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</si>
  <si>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t xml:space="preserve">AL_BlendFree</t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</si>
  <si>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（模型）＝</t>
    </r>
    <r>
      <rPr>
        <sz val="10"/>
        <color rgb="FF000000"/>
        <rFont val="Arial"/>
        <family val="0"/>
        <charset val="1"/>
      </rPr>
      <t xml:space="preserve">AL_DFree ÷ AL_DPaid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</si>
  <si>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÷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下約 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</si>
  <si>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支出口徑換算＝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3.22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</si>
  <si>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（支出口徑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</si>
  <si>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免費推論支出占比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SRC_DEM_005 ÷ 004</t>
    </r>
    <r>
      <rPr>
        <sz val="9"/>
        <color rgb="FF595959"/>
        <rFont val="Noto Sans CJK SC"/>
        <family val="2"/>
      </rPr>
      <t xml:space="preserve">）換算為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比：付費每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用的算力＝免費的（</t>
    </r>
    <r>
      <rPr>
        <sz val="9"/>
        <color rgb="FF595959"/>
        <rFont val="Arial"/>
        <family val="0"/>
        <charset val="1"/>
      </rPr>
      <t xml:space="preserve">AL_BlendFree ÷ AL_BlendPaid</t>
    </r>
    <r>
      <rPr>
        <sz val="9"/>
        <color rgb="FF595959"/>
        <rFont val="Noto Sans CJK SC"/>
        <family val="2"/>
      </rPr>
      <t xml:space="preserve">）倍；只作對照，</t>
    </r>
    <r>
      <rPr>
        <sz val="9"/>
        <color rgb="FF595959"/>
        <rFont val="Arial"/>
        <family val="0"/>
        <charset val="1"/>
      </rPr>
      <t xml:space="preserve">Alloc_In C16 </t>
    </r>
    <r>
      <rPr>
        <sz val="9"/>
        <color rgb="FF595959"/>
        <rFont val="Noto Sans CJK SC"/>
        <family val="2"/>
      </rPr>
      <t xml:space="preserve">不改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</si>
  <si>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C113:E113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</si>
  <si>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利用率修正（點估計）＝</t>
    </r>
    <r>
      <rPr>
        <sz val="10"/>
        <color rgb="FF000000"/>
        <rFont val="Arial"/>
        <family val="0"/>
        <charset val="1"/>
      </rPr>
      <t xml:space="preserve">AL_UtilActual × CTL_ProdDerate ÷ IF_Util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</si>
  <si>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），換成純利用率（</t>
    </r>
    <r>
      <rPr>
        <sz val="9"/>
        <color rgb="FF595959"/>
        <rFont val="Arial"/>
        <family val="0"/>
        <charset val="1"/>
      </rPr>
      <t xml:space="preserve">Alloc_In C24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生產折減（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Serving C28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高端、高端取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D13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</t>
    </r>
    <r>
      <rPr>
        <sz val="9"/>
        <color rgb="FF595959"/>
        <rFont val="Noto Sans CJK SC"/>
        <family val="2"/>
      </rPr>
      <t xml:space="preserve">起乘生產折減，</t>
    </r>
    <r>
      <rPr>
        <sz val="9"/>
        <color rgb="FF595959"/>
        <rFont val="Arial"/>
        <family val="0"/>
        <charset val="1"/>
      </rPr>
      <t xml:space="preserve">v6.0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C24 </t>
    </r>
    <r>
      <rPr>
        <sz val="9"/>
        <color rgb="FF595959"/>
        <rFont val="Noto Sans CJK SC"/>
        <family val="2"/>
      </rPr>
      <t xml:space="preserve">為已含折減的 </t>
    </r>
    <r>
      <rPr>
        <sz val="9"/>
        <color rgb="FF595959"/>
        <rFont val="Arial"/>
        <family val="0"/>
        <charset val="1"/>
      </rPr>
      <t xml:space="preserve">0.35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</si>
  <si>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利用率修正（上限）＝付費產能比（生產折減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</si>
  <si>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最大產出：生產折減下重解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的付費產能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基準付費產能（</t>
    </r>
    <r>
      <rPr>
        <sz val="9"/>
        <color rgb="FF595959"/>
        <rFont val="Arial"/>
        <family val="0"/>
        <charset val="1"/>
      </rPr>
      <t xml:space="preserve">Alloc H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組合約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），取代 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的線性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列已含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，只再乘此比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</si>
  <si>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修正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</t>
    </r>
  </si>
  <si>
    <r>
      <rPr>
        <sz val="10"/>
        <color rgb="FF000000"/>
        <rFont val="Noto Sans CJK SC"/>
        <family val="2"/>
      </rPr>
      <t xml:space="preserve">對照：機隊付費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</si>
  <si>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較多時付費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</si>
  <si>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C117:E117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</si>
  <si>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上限（上限讀法）＝服務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付費產能比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付費產能 ＋ </t>
    </r>
    <r>
      <rPr>
        <sz val="10"/>
        <color rgb="FF000000"/>
        <rFont val="Arial"/>
        <family val="0"/>
        <charset val="1"/>
      </rPr>
      <t xml:space="preserve">r ÷ </t>
    </r>
    <r>
      <rPr>
        <sz val="10"/>
        <color rgb="FF000000"/>
        <rFont val="Noto Sans CJK SC"/>
        <family val="2"/>
      </rPr>
      <t xml:space="preserve">免費產能）　→ </t>
    </r>
    <r>
      <rPr>
        <sz val="10"/>
        <color rgb="FF000000"/>
        <rFont val="Arial"/>
        <family val="0"/>
        <charset val="1"/>
      </rPr>
      <t xml:space="preserve">L1_TokCeiling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</si>
  <si>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L1_MFleet</t>
    </r>
  </si>
  <si>
    <r>
      <rPr>
        <sz val="10"/>
        <color rgb="FF000000"/>
        <rFont val="Noto Sans CJK SC"/>
        <family val="2"/>
      </rPr>
      <t xml:space="preserve">對照：機隊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（點估計，</t>
    </r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取支出口徑）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</si>
  <si>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C120:E120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</si>
  <si>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下限（上限讀法）＝營收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：可達層級重新正規化；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））</t>
    </r>
  </si>
  <si>
    <r>
      <rPr>
        <b val="true"/>
        <sz val="10"/>
        <rFont val="Noto Sans CJK SC"/>
        <family val="2"/>
      </rPr>
      <t xml:space="preserve">「必須為真」：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分別＝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0.3 </t>
    </r>
    <r>
      <rPr>
        <b val="true"/>
        <sz val="10"/>
        <rFont val="Noto Sans CJK SC"/>
        <family val="2"/>
      </rPr>
      <t xml:space="preserve">時所需的付費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× </t>
    </r>
    <r>
      <rPr>
        <b val="true"/>
        <sz val="10"/>
        <rFont val="Noto Sans CJK SC"/>
        <family val="2"/>
      </rPr>
      <t xml:space="preserve">單價））；本三列 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＝所需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需求路線 </t>
    </r>
    <r>
      <rPr>
        <b val="true"/>
        <sz val="10"/>
        <rFont val="Arial"/>
        <family val="0"/>
        <charset val="1"/>
      </rPr>
      <t xml:space="preserve">AL_DPaid </t>
    </r>
    <r>
      <rPr>
        <b val="true"/>
        <sz val="10"/>
        <rFont val="Noto Sans CJK SC"/>
        <family val="2"/>
      </rPr>
      <t xml:space="preserve">的倍數、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＝對上限（基準欄）判讀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</si>
  <si>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</si>
  <si>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欄＝倍數（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欄＝文字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</si>
  <si>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</si>
  <si>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</si>
  <si>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b val="true"/>
        <sz val="10"/>
        <rFont val="Noto Sans CJK SC"/>
        <family val="2"/>
      </rPr>
      <t xml:space="preserve">非文字對照（</t>
    </r>
    <r>
      <rPr>
        <b val="true"/>
        <sz val="10"/>
        <rFont val="Arial"/>
        <family val="0"/>
        <charset val="1"/>
      </rPr>
      <t xml:space="preserve">J11</t>
    </r>
    <r>
      <rPr>
        <b val="true"/>
        <sz val="10"/>
        <rFont val="Noto Sans CJK SC"/>
        <family val="2"/>
      </rPr>
      <t xml:space="preserve">）：訂閱營收中的非文字服務份額（</t>
    </r>
    <r>
      <rPr>
        <b val="true"/>
        <sz val="10"/>
        <rFont val="Arial"/>
        <family val="0"/>
        <charset val="1"/>
      </rPr>
      <t xml:space="preserve">Assumed 0.05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0.20</t>
    </r>
    <r>
      <rPr>
        <b val="true"/>
        <sz val="10"/>
        <rFont val="Noto Sans CJK SC"/>
        <family val="2"/>
      </rPr>
      <t xml:space="preserve">）只從訂閱分子扣除後的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；不進 </t>
    </r>
    <r>
      <rPr>
        <b val="true"/>
        <sz val="10"/>
        <rFont val="Arial"/>
        <family val="0"/>
        <charset val="1"/>
      </rPr>
      <t xml:space="preserve">H1 </t>
    </r>
    <r>
      <rPr>
        <b val="true"/>
        <sz val="10"/>
        <rFont val="Noto Sans CJK SC"/>
        <family val="2"/>
      </rPr>
      <t xml:space="preserve">分子，只作顯示</t>
    </r>
  </si>
  <si>
    <r>
      <rPr>
        <sz val="10"/>
        <color rgb="FF000000"/>
        <rFont val="Noto Sans CJK SC"/>
        <family val="2"/>
      </rPr>
      <t xml:space="preserve">非文字服務份額（圖像、語音、影片；只扣訂閱分子；</t>
    </r>
    <r>
      <rPr>
        <sz val="10"/>
        <color rgb="FF000000"/>
        <rFont val="Arial"/>
        <family val="0"/>
        <charset val="1"/>
      </rPr>
      <t xml:space="preserve">J11 </t>
    </r>
    <r>
      <rPr>
        <sz val="10"/>
        <color rgb="FF000000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</si>
  <si>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低端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（扣得多）、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高端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；唯一一手代理＝</t>
    </r>
    <r>
      <rPr>
        <sz val="9"/>
        <color rgb="FF595959"/>
        <rFont val="Arial"/>
        <family val="0"/>
        <charset val="1"/>
      </rPr>
      <t xml:space="preserve">SRC_DEM_051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NBER </t>
    </r>
    <r>
      <rPr>
        <sz val="9"/>
        <color rgb="FF595959"/>
        <rFont val="Noto Sans CJK SC"/>
        <family val="2"/>
      </rPr>
      <t xml:space="preserve">多媒體類訊息 </t>
    </r>
    <r>
      <rPr>
        <sz val="9"/>
        <color rgb="FF595959"/>
        <rFont val="Arial"/>
        <family val="0"/>
        <charset val="1"/>
      </rPr>
      <t xml:space="preserve">7%</t>
    </r>
    <r>
      <rPr>
        <sz val="9"/>
        <color rgb="FF595959"/>
        <rFont val="Noto Sans CJK SC"/>
        <family val="2"/>
      </rPr>
      <t xml:space="preserve">，訊息口徑）；</t>
    </r>
    <r>
      <rPr>
        <sz val="9"/>
        <color rgb="FF595959"/>
        <rFont val="Arial"/>
        <family val="0"/>
        <charset val="1"/>
      </rPr>
      <t xml:space="preserve">Deep Research</t>
    </r>
    <r>
      <rPr>
        <sz val="9"/>
        <color rgb="FF595959"/>
        <rFont val="Noto Sans CJK SC"/>
        <family val="2"/>
      </rPr>
      <t xml:space="preserve">／代理不扣（文字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</si>
  <si>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C127:E127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</si>
  <si>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扣除非文字後 — 訂閱路線隱含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</si>
  <si>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訂閱路線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份額）；各欄用該欄的 </t>
    </r>
    <r>
      <rPr>
        <sz val="9"/>
        <color rgb="FF595959"/>
        <rFont val="Arial"/>
        <family val="0"/>
        <charset val="1"/>
      </rPr>
      <t xml:space="preserve">H1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H3 </t>
    </r>
    <r>
      <rPr>
        <sz val="9"/>
        <color rgb="FF595959"/>
        <rFont val="Noto Sans CJK SC"/>
        <family val="2"/>
      </rPr>
      <t xml:space="preserve">值</t>
    </r>
  </si>
  <si>
    <r>
      <rPr>
        <sz val="10"/>
        <color rgb="FF000000"/>
        <rFont val="Noto Sans CJK SC"/>
        <family val="2"/>
      </rPr>
      <t xml:space="preserve">扣除非文字後 — 合併隱含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</si>
  <si>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的分子只扣訂閱部分；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不扣（已按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計價）</t>
    </r>
  </si>
  <si>
    <r>
      <rPr>
        <b val="true"/>
        <sz val="10"/>
        <rFont val="Arial"/>
        <family val="0"/>
        <charset val="1"/>
      </rPr>
      <t xml:space="preserve">H8. m </t>
    </r>
    <r>
      <rPr>
        <b val="true"/>
        <sz val="10"/>
        <rFont val="Noto Sans CJK SC"/>
        <family val="2"/>
      </rPr>
      <t xml:space="preserve">分拆（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J16–J21</t>
    </r>
    <r>
      <rPr>
        <b val="true"/>
        <sz val="10"/>
        <rFont val="Noto Sans CJK SC"/>
        <family val="2"/>
      </rPr>
      <t xml:space="preserve">）：營收三分（消費訂閱／商用席次／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token </t>
    </r>
    <r>
      <rPr>
        <b val="true"/>
        <sz val="10"/>
        <rFont val="Noto Sans CJK SC"/>
        <family val="2"/>
      </rPr>
      <t xml:space="preserve">三分 → 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整體（＝</t>
    </r>
    <r>
      <rPr>
        <b val="true"/>
        <sz val="10"/>
        <rFont val="Arial"/>
        <family val="0"/>
        <charset val="1"/>
      </rPr>
      <t xml:space="preserve">L1_MImplied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顯示用）；訂閱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下限（方案上限讀法）；「必須為真」；</t>
    </r>
    <r>
      <rPr>
        <b val="true"/>
        <sz val="10"/>
        <rFont val="Arial"/>
        <family val="0"/>
        <charset val="1"/>
      </rPr>
      <t xml:space="preserve">J21 Anthropic </t>
    </r>
    <r>
      <rPr>
        <b val="true"/>
        <sz val="10"/>
        <rFont val="Noto Sans CJK SC"/>
        <family val="2"/>
      </rPr>
      <t xml:space="preserve">對照。欄位同 </t>
    </r>
    <r>
      <rPr>
        <b val="true"/>
        <sz val="10"/>
        <rFont val="Arial"/>
        <family val="0"/>
        <charset val="1"/>
      </rPr>
      <t xml:space="preserve">H5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</si>
  <si>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營收中商用席次占比（</t>
    </r>
    <r>
      <rPr>
        <sz val="10"/>
        <color rgb="FF000000"/>
        <rFont val="Arial"/>
        <family val="0"/>
        <charset val="1"/>
      </rPr>
      <t xml:space="preserve">J18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</si>
  <si>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0.05–0.15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欄＝席次營收取低 </t>
    </r>
    <r>
      <rPr>
        <sz val="9"/>
        <color rgb="FF595959"/>
        <rFont val="Arial"/>
        <family val="0"/>
        <charset val="1"/>
      </rPr>
      <t xml:space="preserve">0.05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0.15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消費訂閱占比 − 席次占比（餘額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SRC_DEM_071 Sacra 15–20%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</si>
  <si>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</si>
  <si>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0.60–0.90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欄＝消費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取高 </t>
    </r>
    <r>
      <rPr>
        <sz val="9"/>
        <color rgb="FF595959"/>
        <rFont val="Arial"/>
        <family val="0"/>
        <charset val="1"/>
      </rPr>
      <t xml:space="preserve">0.90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消費訂閱低端）、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0.60</t>
    </r>
    <r>
      <rPr>
        <sz val="9"/>
        <color rgb="FF595959"/>
        <rFont val="Noto Sans CJK SC"/>
        <family val="2"/>
      </rPr>
      <t xml:space="preserve">；商用席次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＝餘額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</si>
  <si>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廣告營收年化（不進任何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</si>
  <si>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0–1.0</t>
    </r>
    <r>
      <rPr>
        <sz val="9"/>
        <color rgb="FF595959"/>
        <rFont val="Noto Sans CJK SC"/>
        <family val="2"/>
      </rPr>
      <t xml:space="preserve">；只在 </t>
    </r>
    <r>
      <rPr>
        <sz val="9"/>
        <color rgb="FF595959"/>
        <rFont val="Arial"/>
        <family val="0"/>
        <charset val="1"/>
      </rPr>
      <t xml:space="preserve">H10 2026 </t>
    </r>
    <r>
      <rPr>
        <sz val="9"/>
        <color rgb="FF595959"/>
        <rFont val="Noto Sans CJK SC"/>
        <family val="2"/>
      </rPr>
      <t xml:space="preserve">欄從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整體／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分子扣除（</t>
    </r>
    <r>
      <rPr>
        <sz val="9"/>
        <color rgb="FF595959"/>
        <rFont val="Arial"/>
        <family val="0"/>
        <charset val="1"/>
      </rPr>
      <t xml:space="preserve">J18</t>
    </r>
    <r>
      <rPr>
        <sz val="9"/>
        <color rgb="FF595959"/>
        <rFont val="Noto Sans CJK SC"/>
        <family val="2"/>
      </rPr>
      <t xml:space="preserve">：廣告不進任何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的分子）；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為區間端點（不進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計算）</t>
    </r>
  </si>
  <si>
    <r>
      <rPr>
        <b val="true"/>
        <sz val="10"/>
        <rFont val="Arial"/>
        <family val="0"/>
        <charset val="1"/>
      </rPr>
      <t xml:space="preserve">H8-1. </t>
    </r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；基準欄：消費訂閱 </t>
    </r>
    <r>
      <rPr>
        <b val="true"/>
        <sz val="10"/>
        <rFont val="Arial"/>
        <family val="0"/>
        <charset val="1"/>
      </rPr>
      <t xml:space="preserve">9.149</t>
    </r>
    <r>
      <rPr>
        <b val="true"/>
        <sz val="10"/>
        <rFont val="Noto Sans CJK SC"/>
        <family val="2"/>
      </rPr>
      <t xml:space="preserve">、商用席次 </t>
    </r>
    <r>
      <rPr>
        <b val="true"/>
        <sz val="10"/>
        <rFont val="Arial"/>
        <family val="0"/>
        <charset val="1"/>
      </rPr>
      <t xml:space="preserve">1.307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API 2.614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</si>
  <si>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消費訂閱營收＝營收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</si>
  <si>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訂閱營收同值；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起「訂閱」限定為消費訂閱</t>
    </r>
  </si>
  <si>
    <r>
      <rPr>
        <sz val="10"/>
        <color rgb="FF000000"/>
        <rFont val="Noto Sans CJK SC"/>
        <family val="2"/>
      </rPr>
      <t xml:space="preserve">商用席次營收＝營收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席次占比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</si>
  <si>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營收＝營收 − 消費訂閱 − 商用席次（餘額）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</si>
  <si>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71 </t>
    </r>
    <r>
      <rPr>
        <sz val="9"/>
        <color rgb="FF595959"/>
        <rFont val="Noto Sans CJK SC"/>
        <family val="2"/>
      </rPr>
      <t xml:space="preserve">列的二分法（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訂閱占比）；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既有列不改，只作 </t>
    </r>
    <r>
      <rPr>
        <sz val="9"/>
        <color rgb="FF595959"/>
        <rFont val="Arial"/>
        <family val="0"/>
        <charset val="1"/>
      </rPr>
      <t xml:space="preserve">L1_MImplied </t>
    </r>
    <r>
      <rPr>
        <sz val="9"/>
        <color rgb="FF595959"/>
        <rFont val="Noto Sans CJK SC"/>
        <family val="2"/>
      </rPr>
      <t xml:space="preserve">的分子路徑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</si>
  <si>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占比（顯示；＝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</si>
  <si>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0.15–0.25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欄為餘額，非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低高端的同向組合</t>
    </r>
  </si>
  <si>
    <r>
      <rPr>
        <b val="true"/>
        <sz val="10"/>
        <rFont val="Arial"/>
        <family val="0"/>
        <charset val="1"/>
      </rPr>
      <t xml:space="preserve">H8-2. 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年；基準欄：</t>
    </r>
    <r>
      <rPr>
        <b val="true"/>
        <sz val="10"/>
        <rFont val="Arial"/>
        <family val="0"/>
        <charset val="1"/>
      </rPr>
      <t xml:space="preserve">API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</t>
    </r>
    <r>
      <rPr>
        <b val="true"/>
        <sz val="10"/>
        <rFont val="Noto Sans CJK SC"/>
        <family val="2"/>
      </rPr>
      <t xml:space="preserve">、消費訂閱＝</t>
    </r>
    <r>
      <rPr>
        <b val="true"/>
        <sz val="10"/>
        <rFont val="Arial"/>
        <family val="0"/>
        <charset val="1"/>
      </rPr>
      <t xml:space="preserve">AL_DChatPaid × 0.75</t>
    </r>
    <r>
      <rPr>
        <b val="true"/>
        <sz val="10"/>
        <rFont val="Noto Sans CJK SC"/>
        <family val="2"/>
      </rPr>
      <t xml:space="preserve">、商用席次＝餘額）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</si>
  <si>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</si>
  <si>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AL_DAPI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全年平均比例區間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</si>
  <si>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81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消費份額</t>
    </r>
  </si>
  <si>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</si>
  <si>
    <r>
      <rPr>
        <b val="true"/>
        <sz val="10"/>
        <rFont val="Arial"/>
        <family val="0"/>
        <charset val="1"/>
      </rPr>
      <t xml:space="preserve">H8-3. m </t>
    </r>
    <r>
      <rPr>
        <b val="true"/>
        <sz val="10"/>
        <rFont val="Noto Sans CJK SC"/>
        <family val="2"/>
      </rPr>
      <t xml:space="preserve">按收費模式（＝各自營收 </t>
    </r>
    <r>
      <rPr>
        <b val="true"/>
        <sz val="10"/>
        <rFont val="Arial"/>
        <family val="0"/>
        <charset val="1"/>
      </rPr>
      <t xml:space="preserve">× 1e9 ÷</t>
    </r>
    <r>
      <rPr>
        <b val="true"/>
        <sz val="10"/>
        <rFont val="Noto Sans CJK SC"/>
        <family val="2"/>
      </rPr>
      <t xml:space="preserve">（各自 </t>
    </r>
    <r>
      <rPr>
        <b val="true"/>
        <sz val="10"/>
        <rFont val="Arial"/>
        <family val="0"/>
        <charset val="1"/>
      </rPr>
      <t xml:space="preserve">token × H4 </t>
    </r>
    <r>
      <rPr>
        <b val="true"/>
        <sz val="10"/>
        <rFont val="Noto Sans CJK SC"/>
        <family val="2"/>
      </rPr>
      <t xml:space="preserve">單價第 </t>
    </r>
    <r>
      <rPr>
        <b val="true"/>
        <sz val="10"/>
        <rFont val="Arial"/>
        <family val="0"/>
        <charset val="1"/>
      </rPr>
      <t xml:space="preserve">90 </t>
    </r>
    <r>
      <rPr>
        <b val="true"/>
        <sz val="10"/>
        <rFont val="Noto Sans CJK SC"/>
        <family val="2"/>
      </rPr>
      <t xml:space="preserve">列））；基準錨點 </t>
    </r>
    <r>
      <rPr>
        <b val="true"/>
        <sz val="10"/>
        <rFont val="Arial"/>
        <family val="0"/>
        <charset val="1"/>
      </rPr>
      <t xml:space="preserve">m_API 0.56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 </t>
    </r>
    <r>
      <rPr>
        <b val="true"/>
        <sz val="10"/>
        <rFont val="Arial"/>
        <family val="0"/>
        <charset val="1"/>
      </rPr>
      <t xml:space="preserve">4.26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 </t>
    </r>
    <r>
      <rPr>
        <b val="true"/>
        <sz val="10"/>
        <rFont val="Arial"/>
        <family val="0"/>
        <charset val="1"/>
      </rPr>
      <t xml:space="preserve">1.83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 </t>
    </r>
    <r>
      <rPr>
        <b val="true"/>
        <sz val="10"/>
        <rFont val="Arial"/>
        <family val="0"/>
        <charset val="1"/>
      </rPr>
      <t xml:space="preserve">1.743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</si>
  <si>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　→ </t>
    </r>
    <r>
      <rPr>
        <sz val="10"/>
        <color rgb="FF000000"/>
        <rFont val="Arial"/>
        <family val="0"/>
        <charset val="1"/>
      </rPr>
      <t xml:space="preserve">L1_MAPI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</si>
  <si>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平均實收單價 </t>
    </r>
    <r>
      <rPr>
        <sz val="9"/>
        <color rgb="FF595959"/>
        <rFont val="Arial"/>
        <family val="0"/>
        <charset val="1"/>
      </rPr>
      <t xml:space="preserve">÷ OpenAI </t>
    </r>
    <r>
      <rPr>
        <sz val="9"/>
        <color rgb="FF595959"/>
        <rFont val="Noto Sans CJK SC"/>
        <family val="2"/>
      </rPr>
      <t xml:space="preserve">有效單價（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：實驗室視角）；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 </t>
    </r>
    <r>
      <rPr>
        <sz val="9"/>
        <color rgb="FF595959"/>
        <rFont val="Noto Sans CJK SC"/>
        <family val="2"/>
      </rPr>
      <t xml:space="preserve">列二分法為 </t>
    </r>
    <r>
      <rPr>
        <sz val="9"/>
        <color rgb="FF595959"/>
        <rFont val="Arial"/>
        <family val="0"/>
        <charset val="1"/>
      </rPr>
      <t xml:space="preserve">0.85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</si>
  <si>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L1_MSub</t>
    </r>
  </si>
  <si>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92 </t>
    </r>
    <r>
      <rPr>
        <sz val="9"/>
        <color rgb="FF595959"/>
        <rFont val="Noto Sans CJK SC"/>
        <family val="2"/>
      </rPr>
      <t xml:space="preserve">列（全部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）為 </t>
    </r>
    <r>
      <rPr>
        <sz val="9"/>
        <color rgb="FF595959"/>
        <rFont val="Arial"/>
        <family val="0"/>
        <charset val="1"/>
      </rPr>
      <t xml:space="preserve">3.20</t>
    </r>
    <r>
      <rPr>
        <sz val="9"/>
        <color rgb="FF595959"/>
        <rFont val="Noto Sans CJK SC"/>
        <family val="2"/>
      </rPr>
      <t xml:space="preserve">；分母改為消費份額後上升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</si>
  <si>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L1_MSeat</t>
    </r>
  </si>
  <si>
    <r>
      <rPr>
        <sz val="9"/>
        <color rgb="FF595959"/>
        <rFont val="Noto Sans CJK SC"/>
        <family val="2"/>
      </rPr>
      <t xml:space="preserve">席次用量占比缺證據（</t>
    </r>
    <r>
      <rPr>
        <sz val="9"/>
        <color rgb="FF595959"/>
        <rFont val="Arial"/>
        <family val="0"/>
        <charset val="1"/>
      </rPr>
      <t xml:space="preserve">SRC_DEM_045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p95</t>
    </r>
    <r>
      <rPr>
        <sz val="9"/>
        <color rgb="FF595959"/>
        <rFont val="Noto Sans CJK SC"/>
        <family val="2"/>
      </rPr>
      <t xml:space="preserve">／中位數）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</si>
  <si>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加權）＝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Σtoken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</si>
  <si>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分子＝</t>
    </r>
    <r>
      <rPr>
        <sz val="9"/>
        <color rgb="FF595959"/>
        <rFont val="Arial"/>
        <family val="0"/>
        <charset val="1"/>
      </rPr>
      <t xml:space="preserve">SRC_DEM_007</t>
    </r>
    <r>
      <rPr>
        <sz val="9"/>
        <color rgb="FF595959"/>
        <rFont val="Noto Sans CJK SC"/>
        <family val="2"/>
      </rPr>
      <t xml:space="preserve">、分母＝</t>
    </r>
    <r>
      <rPr>
        <sz val="9"/>
        <color rgb="FF595959"/>
        <rFont val="Arial"/>
        <family val="0"/>
        <charset val="1"/>
      </rPr>
      <t xml:space="preserve">AL_DPaid × </t>
    </r>
    <r>
      <rPr>
        <sz val="9"/>
        <color rgb="FF595959"/>
        <rFont val="Noto Sans CJK SC"/>
        <family val="2"/>
      </rPr>
      <t xml:space="preserve">單價，與 </t>
    </r>
    <r>
      <rPr>
        <sz val="9"/>
        <color rgb="FF595959"/>
        <rFont val="Arial"/>
        <family val="0"/>
        <charset val="1"/>
      </rPr>
      <t xml:space="preserve">H5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）必須相等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</si>
  <si>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−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列）的絕對差（三欄）；須 ≤ </t>
    </r>
    <r>
      <rPr>
        <sz val="10"/>
        <color rgb="FF000000"/>
        <rFont val="Arial"/>
        <family val="0"/>
        <charset val="1"/>
      </rPr>
      <t xml:space="preserve">1e-9</t>
    </r>
  </si>
  <si>
    <r>
      <rPr>
        <sz val="9"/>
        <color rgb="FF595959"/>
        <rFont val="Noto Sans CJK SC"/>
        <family val="2"/>
      </rPr>
      <t xml:space="preserve">三分法只是把同一分子、同一分母拆開；差 </t>
    </r>
    <r>
      <rPr>
        <sz val="9"/>
        <color rgb="FF595959"/>
        <rFont val="Arial"/>
        <family val="0"/>
        <charset val="1"/>
      </rPr>
      <t xml:space="preserve">&gt; 1e-9 </t>
    </r>
    <r>
      <rPr>
        <sz val="9"/>
        <color rgb="FF595959"/>
        <rFont val="Noto Sans CJK SC"/>
        <family val="2"/>
      </rPr>
      <t xml:space="preserve">代表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公式有誤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</si>
  <si>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C148:E148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</si>
  <si>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H8-4. m_API </t>
    </r>
    <r>
      <rPr>
        <b val="true"/>
        <sz val="10"/>
        <rFont val="Noto Sans CJK SC"/>
        <family val="2"/>
      </rPr>
      <t xml:space="preserve">分解（</t>
    </r>
    <r>
      <rPr>
        <b val="true"/>
        <sz val="10"/>
        <rFont val="Arial"/>
        <family val="0"/>
        <charset val="1"/>
      </rPr>
      <t xml:space="preserve">J16 </t>
    </r>
    <r>
      <rPr>
        <b val="true"/>
        <sz val="10"/>
        <rFont val="Noto Sans CJK SC"/>
        <family val="2"/>
      </rPr>
      <t xml:space="preserve">顯示用）：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＝折讓因子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隱含組合因子；折讓因子＝</t>
    </r>
    <r>
      <rPr>
        <b val="true"/>
        <sz val="10"/>
        <rFont val="Arial"/>
        <family val="0"/>
        <charset val="1"/>
      </rPr>
      <t xml:space="preserve">(1 − d) ÷ (1 − B4_Disc)</t>
    </r>
    <r>
      <rPr>
        <b val="true"/>
        <sz val="10"/>
        <rFont val="Noto Sans CJK SC"/>
        <family val="2"/>
      </rPr>
      <t xml:space="preserve">（基準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B4_Disc → 1.0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B4_Disc_Hi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B4_Disc_Lo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</si>
  <si>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折讓因子＝</t>
    </r>
    <r>
      <rPr>
        <sz val="10"/>
        <color rgb="FF000000"/>
        <rFont val="Arial"/>
        <family val="0"/>
        <charset val="1"/>
      </rPr>
      <t xml:space="preserve">(1 − </t>
    </r>
    <r>
      <rPr>
        <sz val="10"/>
        <color rgb="FF000000"/>
        <rFont val="Noto Sans CJK SC"/>
        <family val="2"/>
      </rPr>
      <t xml:space="preserve">實際折讓 </t>
    </r>
    <r>
      <rPr>
        <sz val="10"/>
        <color rgb="FF000000"/>
        <rFont val="Arial"/>
        <family val="0"/>
        <charset val="1"/>
      </rPr>
      <t xml:space="preserve">d) ÷ (1 − B4_Disc)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</si>
  <si>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取高端 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J20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取低端 </t>
    </r>
    <r>
      <rPr>
        <sz val="9"/>
        <color rgb="FF595959"/>
        <rFont val="Arial"/>
        <family val="0"/>
        <charset val="1"/>
      </rPr>
      <t xml:space="preserve">0.1 → 1.125</t>
    </r>
    <r>
      <rPr>
        <sz val="9"/>
        <color rgb="FF595959"/>
        <rFont val="Noto Sans CJK SC"/>
        <family val="2"/>
      </rPr>
      <t xml:space="preserve">。工作單寫 </t>
    </r>
    <r>
      <rPr>
        <sz val="9"/>
        <color rgb="FF595959"/>
        <rFont val="Arial"/>
        <family val="0"/>
        <charset val="1"/>
      </rPr>
      <t xml:space="preserve">(1 − 0.2)</t>
    </r>
    <r>
      <rPr>
        <sz val="9"/>
        <color rgb="FF595959"/>
        <rFont val="Noto Sans CJK SC"/>
        <family val="2"/>
      </rPr>
      <t xml:space="preserve">，分母以 </t>
    </r>
    <r>
      <rPr>
        <sz val="9"/>
        <color rgb="FF595959"/>
        <rFont val="Arial"/>
        <family val="0"/>
        <charset val="1"/>
      </rPr>
      <t xml:space="preserve">B4_Disc</t>
    </r>
    <r>
      <rPr>
        <sz val="9"/>
        <color rgb="FF595959"/>
        <rFont val="Noto Sans CJK SC"/>
        <family val="2"/>
      </rPr>
      <t xml:space="preserve">（基準 </t>
    </r>
    <r>
      <rPr>
        <sz val="9"/>
        <color rgb="FF595959"/>
        <rFont val="Arial"/>
        <family val="0"/>
        <charset val="1"/>
      </rPr>
      <t xml:space="preserve">0.2</t>
    </r>
    <r>
      <rPr>
        <sz val="9"/>
        <color rgb="FF595959"/>
        <rFont val="Noto Sans CJK SC"/>
        <family val="2"/>
      </rPr>
      <t xml:space="preserve">）表示，不寫死常數</t>
    </r>
  </si>
  <si>
    <r>
      <rPr>
        <sz val="10"/>
        <color rgb="FF000000"/>
        <rFont val="Noto Sans CJK SC"/>
        <family val="2"/>
      </rPr>
      <t xml:space="preserve">隱含組合因子＝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　→ </t>
    </r>
    <r>
      <rPr>
        <sz val="10"/>
        <color rgb="FF000000"/>
        <rFont val="Arial"/>
        <family val="0"/>
        <charset val="1"/>
      </rPr>
      <t xml:space="preserve">L1_MixFactorAPI</t>
    </r>
  </si>
  <si>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組合偏離參考請求（快取讀取、輸入占比）的效應；基準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m_API</t>
    </r>
    <r>
      <rPr>
        <sz val="9"/>
        <color rgb="FF595959"/>
        <rFont val="Noto Sans CJK SC"/>
        <family val="2"/>
      </rPr>
      <t xml:space="preserve">（折讓因子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</si>
  <si>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對照：代理型極端組合因子（</t>
    </r>
    <r>
      <rPr>
        <sz val="10"/>
        <color rgb="FF000000"/>
        <rFont val="Arial"/>
        <family val="0"/>
        <charset val="1"/>
      </rPr>
      <t xml:space="preserve">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</si>
  <si>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0.196</t>
    </r>
    <r>
      <rPr>
        <sz val="9"/>
        <color rgb="FF595959"/>
        <rFont val="Noto Sans CJK SC"/>
        <family val="2"/>
      </rPr>
      <t xml:space="preserve">；隱含組合因子 </t>
    </r>
    <r>
      <rPr>
        <sz val="9"/>
        <color rgb="FF595959"/>
        <rFont val="Arial"/>
        <family val="0"/>
        <charset val="1"/>
      </rPr>
      <t xml:space="preserve">0.56 </t>
    </r>
    <r>
      <rPr>
        <sz val="9"/>
        <color rgb="FF595959"/>
        <rFont val="Noto Sans CJK SC"/>
        <family val="2"/>
      </rPr>
      <t xml:space="preserve">介於參考請求（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）與代理型極端（</t>
    </r>
    <r>
      <rPr>
        <sz val="9"/>
        <color rgb="FF595959"/>
        <rFont val="Arial"/>
        <family val="0"/>
        <charset val="1"/>
      </rPr>
      <t xml:space="preserve">0.20</t>
    </r>
    <r>
      <rPr>
        <sz val="9"/>
        <color rgb="FF595959"/>
        <rFont val="Noto Sans CJK SC"/>
        <family val="2"/>
      </rPr>
      <t xml:space="preserve">）之間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</si>
  <si>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C152:E152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</si>
  <si>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H8-5. </t>
    </r>
    <r>
      <rPr>
        <b val="true"/>
        <sz val="10"/>
        <rFont val="Noto Sans CJK SC"/>
        <family val="2"/>
      </rPr>
      <t xml:space="preserve">訂閱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下限（方案上限讀法；</t>
    </r>
    <r>
      <rPr>
        <b val="true"/>
        <sz val="10"/>
        <rFont val="Arial"/>
        <family val="0"/>
        <charset val="1"/>
      </rPr>
      <t xml:space="preserve">N06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／二手，只作上限用量；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欄同值）：若所有訂閱者用滿額度，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＝月費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方案上限 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等值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</si>
  <si>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</si>
  <si>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Plus $20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對照用；未另登錄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</si>
  <si>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C154:E154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</si>
  <si>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</si>
  <si>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 </t>
    </r>
    <r>
      <rPr>
        <sz val="9"/>
        <color rgb="FF595959"/>
        <rFont val="Noto Sans CJK SC"/>
        <family val="2"/>
      </rPr>
      <t xml:space="preserve">方案約 </t>
    </r>
    <r>
      <rPr>
        <sz val="9"/>
        <color rgb="FF595959"/>
        <rFont val="Arial"/>
        <family val="0"/>
        <charset val="1"/>
      </rPr>
      <t xml:space="preserve">$700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轉述，不可單獨引用；只作上限）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</si>
  <si>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C155:E155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</si>
  <si>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月費（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</si>
  <si>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ChatGPT Pro $200</t>
    </r>
    <r>
      <rPr>
        <sz val="9"/>
        <color rgb="FF595959"/>
        <rFont val="Noto Sans CJK SC"/>
        <family val="2"/>
      </rPr>
      <t xml:space="preserve">／月（</t>
    </r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對照用）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</si>
  <si>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C156:E156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</si>
  <si>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方案上限讀法：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週額度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等值換算月額（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；對照用）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</si>
  <si>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$200 </t>
    </r>
    <r>
      <rPr>
        <sz val="9"/>
        <color rgb="FF595959"/>
        <rFont val="Noto Sans CJK SC"/>
        <family val="2"/>
      </rPr>
      <t xml:space="preserve">方案週額度約 </t>
    </r>
    <r>
      <rPr>
        <sz val="9"/>
        <color rgb="FF595959"/>
        <rFont val="Arial"/>
        <family val="0"/>
        <charset val="1"/>
      </rPr>
      <t xml:space="preserve">$2,600 →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$14,000</t>
    </r>
    <r>
      <rPr>
        <sz val="9"/>
        <color rgb="FF595959"/>
        <rFont val="Noto Sans CJK SC"/>
        <family val="2"/>
      </rPr>
      <t xml:space="preserve">／月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等值（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E330</t>
    </r>
    <r>
      <rPr>
        <sz val="9"/>
        <color rgb="FF595959"/>
        <rFont val="Noto Sans CJK SC"/>
        <family val="2"/>
      </rPr>
      <t xml:space="preserve">；只作上限）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</si>
  <si>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C157:E157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</si>
  <si>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Plus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</si>
  <si>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r>
      <rPr>
        <sz val="9"/>
        <color rgb="FF595959"/>
        <rFont val="Arial"/>
        <family val="0"/>
        <charset val="1"/>
      </rPr>
      <t xml:space="preserve">0.03</t>
    </r>
    <r>
      <rPr>
        <sz val="9"/>
        <color rgb="FF595959"/>
        <rFont val="Noto Sans CJK SC"/>
        <family val="2"/>
      </rPr>
      <t xml:space="preserve">；方案上限由程式工作負載跑到週上限推得（</t>
    </r>
    <r>
      <rPr>
        <sz val="9"/>
        <color rgb="FF595959"/>
        <rFont val="Arial"/>
        <family val="0"/>
        <charset val="1"/>
      </rPr>
      <t xml:space="preserve">N06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</si>
  <si>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C158:E158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</si>
  <si>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 — </t>
    </r>
    <r>
      <rPr>
        <sz val="10"/>
        <color rgb="FF000000"/>
        <rFont val="Arial"/>
        <family val="0"/>
        <charset val="1"/>
      </rPr>
      <t xml:space="preserve">Pro</t>
    </r>
    <r>
      <rPr>
        <sz val="10"/>
        <color rgb="FF000000"/>
        <rFont val="Noto Sans CJK SC"/>
        <family val="2"/>
      </rPr>
      <t xml:space="preserve">＝月費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方案上限（若所有訂閱者用滿額度）</t>
    </r>
  </si>
  <si>
    <t xml:space="preserve">0.014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</si>
  <si>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C159:E159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</si>
  <si>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H8-6. </t>
    </r>
    <r>
      <rPr>
        <b val="true"/>
        <sz val="10"/>
        <rFont val="Noto Sans CJK SC"/>
        <family val="2"/>
      </rPr>
      <t xml:space="preserve">「必須為真」補列：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所需的每訂閱者年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＝訂閱 </t>
    </r>
    <r>
      <rPr>
        <b val="true"/>
        <sz val="10"/>
        <rFont val="Arial"/>
        <family val="0"/>
        <charset val="1"/>
      </rPr>
      <t xml:space="preserve">ARPU ÷ </t>
    </r>
    <r>
      <rPr>
        <b val="true"/>
        <sz val="10"/>
        <rFont val="Noto Sans CJK SC"/>
        <family val="2"/>
      </rPr>
      <t xml:space="preserve">單價；對照 </t>
    </r>
    <r>
      <rPr>
        <b val="true"/>
        <sz val="10"/>
        <rFont val="Arial"/>
        <family val="0"/>
        <charset val="1"/>
      </rPr>
      <t xml:space="preserve">N06 </t>
    </r>
    <r>
      <rPr>
        <b val="true"/>
        <sz val="10"/>
        <rFont val="Noto Sans CJK SC"/>
        <family val="2"/>
      </rPr>
      <t xml:space="preserve">上限與 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現值（第 </t>
    </r>
    <r>
      <rPr>
        <b val="true"/>
        <sz val="10"/>
        <rFont val="Arial"/>
        <family val="0"/>
        <charset val="1"/>
      </rPr>
      <t xml:space="preserve">84 </t>
    </r>
    <r>
      <rPr>
        <b val="true"/>
        <sz val="10"/>
        <rFont val="Noto Sans CJK SC"/>
        <family val="2"/>
      </rPr>
      <t xml:space="preserve">列）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</si>
  <si>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ARPU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年）＝消費訂閱營收 </t>
    </r>
    <r>
      <rPr>
        <sz val="10"/>
        <color rgb="FF000000"/>
        <rFont val="Arial"/>
        <family val="0"/>
        <charset val="1"/>
      </rPr>
      <t xml:space="preserve">÷ 2025 </t>
    </r>
    <r>
      <rPr>
        <sz val="10"/>
        <color rgb="FF000000"/>
        <rFont val="Noto Sans CJK SC"/>
        <family val="2"/>
      </rPr>
      <t xml:space="preserve">期間平均訂閱數（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</si>
  <si>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$</t>
    </r>
    <r>
      <rPr>
        <sz val="10"/>
        <color rgb="FF000000"/>
        <rFont val="Noto Sans CJK SC"/>
        <family val="2"/>
      </rPr>
      <t xml:space="preserve">／人</t>
    </r>
    <r>
      <rPr>
        <sz val="10"/>
        <color rgb="FF000000"/>
        <rFont val="Arial"/>
        <family val="0"/>
        <charset val="1"/>
      </rPr>
      <t xml:space="preserve">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</si>
  <si>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期間平均 </t>
    </r>
    <r>
      <rPr>
        <sz val="9"/>
        <color rgb="FF595959"/>
        <rFont val="Arial"/>
        <family val="0"/>
        <charset val="1"/>
      </rPr>
      <t xml:space="preserve">32.75 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J6 (a)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</si>
  <si>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所需每訂閱者年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ARPU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</si>
  <si>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M tok</t>
    </r>
    <r>
      <rPr>
        <sz val="9"/>
        <color rgb="FF595959"/>
        <rFont val="Noto Sans CJK SC"/>
        <family val="2"/>
      </rPr>
      <t xml:space="preserve">／人</t>
    </r>
    <r>
      <rPr>
        <sz val="9"/>
        <color rgb="FF595959"/>
        <rFont val="Arial"/>
        <family val="0"/>
        <charset val="1"/>
      </rPr>
      <t xml:space="preserve">·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</si>
  <si>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方案上限換算年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＝方案上限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單價</t>
    </r>
  </si>
  <si>
    <r>
      <rPr>
        <sz val="9"/>
        <color rgb="FF595959"/>
        <rFont val="Arial"/>
        <family val="0"/>
        <charset val="1"/>
      </rPr>
      <t xml:space="preserve">N06 </t>
    </r>
    <r>
      <rPr>
        <sz val="9"/>
        <color rgb="FF595959"/>
        <rFont val="Noto Sans CJK SC"/>
        <family val="2"/>
      </rPr>
      <t xml:space="preserve">上限（</t>
    </r>
    <r>
      <rPr>
        <sz val="9"/>
        <color rgb="FF595959"/>
        <rFont val="Arial"/>
        <family val="0"/>
        <charset val="1"/>
      </rPr>
      <t xml:space="preserve">Plus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</si>
  <si>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C163:E163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</si>
  <si>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H2 </t>
    </r>
    <r>
      <rPr>
        <sz val="10"/>
        <color rgb="FF000000"/>
        <rFont val="Noto Sans CJK SC"/>
        <family val="2"/>
      </rPr>
      <t xml:space="preserve">現值每付費訂閱者年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84 </t>
    </r>
    <r>
      <rPr>
        <sz val="10"/>
        <color rgb="FF000000"/>
        <rFont val="Noto Sans CJK SC"/>
        <family val="2"/>
      </rPr>
      <t xml:space="preserve">列；全部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訂閱數）</t>
    </r>
  </si>
  <si>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44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</si>
  <si>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C164:E164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</si>
  <si>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判讀：所需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對現值的倍數；對 </t>
    </r>
    <r>
      <rPr>
        <sz val="10"/>
        <color rgb="FF000000"/>
        <rFont val="Arial"/>
        <family val="0"/>
        <charset val="1"/>
      </rPr>
      <t xml:space="preserve">Plus </t>
    </r>
    <r>
      <rPr>
        <sz val="10"/>
        <color rgb="FF000000"/>
        <rFont val="Noto Sans CJK SC"/>
        <family val="2"/>
      </rPr>
      <t xml:space="preserve">上限的比例</t>
    </r>
  </si>
  <si>
    <t xml:space="preserve">文字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</si>
  <si>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C165:E165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</si>
  <si>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H8-7. J21 Anthropic </t>
    </r>
    <r>
      <rPr>
        <b val="true"/>
        <sz val="10"/>
        <rFont val="Noto Sans CJK SC"/>
        <family val="2"/>
      </rPr>
      <t xml:space="preserve">第二方程式（對照列；不新增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實驗室選項）：</t>
    </r>
    <r>
      <rPr>
        <b val="true"/>
        <sz val="10"/>
        <rFont val="Arial"/>
        <family val="0"/>
        <charset val="1"/>
      </rPr>
      <t xml:space="preserve">Anthropic token </t>
    </r>
    <r>
      <rPr>
        <b val="true"/>
        <sz val="10"/>
        <rFont val="Noto Sans CJK SC"/>
        <family val="2"/>
      </rPr>
      <t xml:space="preserve">分母未揭露，</t>
    </r>
    <r>
      <rPr>
        <b val="true"/>
        <sz val="10"/>
        <rFont val="Arial"/>
        <family val="0"/>
        <charset val="1"/>
      </rPr>
      <t xml:space="preserve">m_API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Anthropic</t>
    </r>
    <r>
      <rPr>
        <b val="true"/>
        <sz val="10"/>
        <rFont val="Noto Sans CJK SC"/>
        <family val="2"/>
      </rPr>
      <t xml:space="preserve">）缺分母</t>
    </r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</si>
  <si>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用量計費占營收＝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</si>
  <si>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</si>
  <si>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0.83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SRC_DEM_036</t>
    </r>
    <r>
      <rPr>
        <sz val="9"/>
        <color rgb="FF595959"/>
        <rFont val="Noto Sans CJK SC"/>
        <family val="2"/>
      </rPr>
      <t xml:space="preserve">（經雲端市集）為用量計費的一部分（營收為總額），不另加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</si>
  <si>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D167:E167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</si>
  <si>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雲端分潤比＝</t>
    </r>
    <r>
      <rPr>
        <sz val="10"/>
        <color rgb="FF000000"/>
        <rFont val="Arial"/>
        <family val="0"/>
        <charset val="1"/>
      </rPr>
      <t xml:space="preserve">SRC_DEM_037 ÷ SRC_DEM_036</t>
    </r>
  </si>
  <si>
    <r>
      <rPr>
        <sz val="9"/>
        <color rgb="FF595959"/>
        <rFont val="Arial"/>
        <family val="0"/>
        <charset val="1"/>
      </rPr>
      <t xml:space="preserve">0.16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J16</t>
    </r>
    <r>
      <rPr>
        <sz val="9"/>
        <color rgb="FF595959"/>
        <rFont val="Noto Sans CJK SC"/>
        <family val="2"/>
      </rPr>
      <t xml:space="preserve">：分潤進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（只改營收）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</si>
  <si>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D168:E168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</si>
  <si>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</si>
  <si>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缺口</t>
  </si>
  <si>
    <r>
      <rPr>
        <sz val="9"/>
        <color rgb="FF595959"/>
        <rFont val="Noto Sans CJK SC"/>
        <family val="2"/>
      </rPr>
      <t xml:space="preserve">所需輸入：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API token</t>
    </r>
    <r>
      <rPr>
        <sz val="9"/>
        <color rgb="FF595959"/>
        <rFont val="Noto Sans CJK SC"/>
        <family val="2"/>
      </rPr>
      <t xml:space="preserve">（或每分鐘處理量時點值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全年平均比例）、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有效單價（表列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折扣））；有了分母即＝用量計費營收 </t>
    </r>
    <r>
      <rPr>
        <sz val="9"/>
        <color rgb="FF595959"/>
        <rFont val="Arial"/>
        <family val="0"/>
        <charset val="1"/>
      </rPr>
      <t xml:space="preserve">× 1e9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</t>
    </r>
  </si>
  <si>
    <r>
      <rPr>
        <b val="true"/>
        <sz val="10"/>
        <rFont val="Arial"/>
        <family val="0"/>
        <charset val="1"/>
      </rPr>
      <t xml:space="preserve">H9. token </t>
    </r>
    <r>
      <rPr>
        <b val="true"/>
        <sz val="10"/>
        <rFont val="Noto Sans CJK SC"/>
        <family val="2"/>
      </rPr>
      <t xml:space="preserve">帳三路線（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B3</t>
    </r>
    <r>
      <rPr>
        <b val="true"/>
        <sz val="10"/>
        <rFont val="Noto Sans CJK SC"/>
        <family val="2"/>
      </rPr>
      <t xml:space="preserve">）：需求路線（</t>
    </r>
    <r>
      <rPr>
        <b val="true"/>
        <sz val="10"/>
        <rFont val="Arial"/>
        <family val="0"/>
        <charset val="1"/>
      </rPr>
      <t xml:space="preserve">AL_DPaid</t>
    </r>
    <r>
      <rPr>
        <b val="true"/>
        <sz val="10"/>
        <rFont val="Noto Sans CJK SC"/>
        <family val="2"/>
      </rPr>
      <t xml:space="preserve">）／支出路線（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116 </t>
    </r>
    <r>
      <rPr>
        <b val="true"/>
        <sz val="10"/>
        <rFont val="Noto Sans CJK SC"/>
        <family val="2"/>
      </rPr>
      <t xml:space="preserve">列）／上限路線（</t>
    </r>
    <r>
      <rPr>
        <b val="true"/>
        <sz val="10"/>
        <rFont val="Arial"/>
        <family val="0"/>
        <charset val="1"/>
      </rPr>
      <t xml:space="preserve">L1_TokCeiling</t>
    </r>
    <r>
      <rPr>
        <b val="true"/>
        <sz val="10"/>
        <rFont val="Noto Sans CJK SC"/>
        <family val="2"/>
      </rPr>
      <t xml:space="preserve">）並列、殘差、閉合解 </t>
    </r>
    <r>
      <rPr>
        <b val="true"/>
        <sz val="10"/>
        <rFont val="Arial"/>
        <family val="0"/>
        <charset val="1"/>
      </rPr>
      <t xml:space="preserve">τ*</t>
    </r>
    <r>
      <rPr>
        <b val="true"/>
        <sz val="10"/>
        <rFont val="Noto Sans CJK SC"/>
        <family val="2"/>
      </rPr>
      <t xml:space="preserve">。欄位同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m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</si>
  <si>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83 </t>
    </r>
    <r>
      <rPr>
        <sz val="10"/>
        <color rgb="FF000000"/>
        <rFont val="Noto Sans CJK SC"/>
        <family val="2"/>
      </rPr>
      <t xml:space="preserve">列）</t>
    </r>
  </si>
  <si>
    <t xml:space="preserve">3.83 × 10⁹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</si>
  <si>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D171:E171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</si>
  <si>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支出路線（機隊點估計；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116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</si>
  <si>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8.23 × 10⁹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不可達時為文字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</si>
  <si>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D172:E172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</si>
  <si>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— </t>
    </r>
    <r>
      <rPr>
        <sz val="10"/>
        <color rgb="FF000000"/>
        <rFont val="Noto Sans CJK SC"/>
        <family val="2"/>
      </rPr>
      <t xml:space="preserve">上限路線（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）</t>
    </r>
  </si>
  <si>
    <t xml:space="preserve">1.20 × 10¹⁰</t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</si>
  <si>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機隊（點估計）　→ </t>
    </r>
    <r>
      <rPr>
        <sz val="10"/>
        <color rgb="FF000000"/>
        <rFont val="Arial"/>
        <family val="0"/>
        <charset val="1"/>
      </rPr>
      <t xml:space="preserve">Checks M4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</si>
  <si>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D174:E174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</si>
  <si>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殘差：需求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上限</t>
    </r>
  </si>
  <si>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利用率修正（第 </t>
    </r>
    <r>
      <rPr>
        <sz val="10"/>
        <color rgb="FF000000"/>
        <rFont val="Arial"/>
        <family val="0"/>
        <charset val="1"/>
      </rPr>
      <t xml:space="preserve">114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</si>
  <si>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0.6736 × 0.5833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0.3929</t>
    </r>
  </si>
  <si>
    <r>
      <rPr>
        <sz val="10"/>
        <color rgb="FF000000"/>
        <rFont val="Arial"/>
        <family val="0"/>
        <charset val="1"/>
      </rPr>
      <t xml:space="preserve">(ii) ChatGPT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閉合值 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[(i) − API token ÷ </t>
    </r>
    <r>
      <rPr>
        <sz val="10"/>
        <color rgb="FF000000"/>
        <rFont val="Noto Sans CJK SC"/>
        <family val="2"/>
      </rPr>
      <t xml:space="preserve">付費產能</t>
    </r>
    <r>
      <rPr>
        <sz val="10"/>
        <color rgb="FF000000"/>
        <rFont val="Arial"/>
        <family val="0"/>
        <charset val="1"/>
      </rPr>
      <t xml:space="preserve">] ÷ [(1 − </t>
    </r>
    <r>
      <rPr>
        <sz val="10"/>
        <color rgb="FF000000"/>
        <rFont val="Noto Sans CJK SC"/>
        <family val="2"/>
      </rPr>
      <t xml:space="preserve">免費占比</t>
    </r>
    <r>
      <rPr>
        <sz val="10"/>
        <color rgb="FF000000"/>
        <rFont val="Arial"/>
        <family val="0"/>
        <charset val="1"/>
      </rPr>
      <t xml:space="preserve">) ÷ </t>
    </r>
    <r>
      <rPr>
        <sz val="10"/>
        <color rgb="FF000000"/>
        <rFont val="Noto Sans CJK SC"/>
        <family val="2"/>
      </rPr>
      <t xml:space="preserve">付費產能 ＋ 免費占比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免費產能</t>
    </r>
    <r>
      <rPr>
        <sz val="10"/>
        <color rgb="FF000000"/>
        <rFont val="Arial"/>
        <family val="0"/>
        <charset val="1"/>
      </rPr>
      <t xml:space="preserve">]</t>
    </r>
  </si>
  <si>
    <r>
      <rPr>
        <sz val="9"/>
        <color rgb="FF595959"/>
        <rFont val="Noto Sans CJK SC"/>
        <family val="2"/>
      </rPr>
      <t xml:space="preserve">錨點 </t>
    </r>
    <r>
      <rPr>
        <sz val="9"/>
        <color rgb="FF595959"/>
        <rFont val="Arial"/>
        <family val="0"/>
        <charset val="1"/>
      </rPr>
      <t xml:space="preserve">1.273 × 10¹⁰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API token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H8-2 </t>
    </r>
    <r>
      <rPr>
        <sz val="9"/>
        <color rgb="FF595959"/>
        <rFont val="Noto Sans CJK SC"/>
        <family val="2"/>
      </rPr>
      <t xml:space="preserve">各欄；免費占比 </t>
    </r>
    <r>
      <rPr>
        <sz val="9"/>
        <color rgb="FF595959"/>
        <rFont val="Arial"/>
        <family val="0"/>
        <charset val="1"/>
      </rPr>
      <t xml:space="preserve">AL_FreeShare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，單值）</t>
    </r>
  </si>
  <si>
    <r>
      <rPr>
        <sz val="10"/>
        <color rgb="FF000000"/>
        <rFont val="Arial"/>
        <family val="0"/>
        <charset val="1"/>
      </rPr>
      <t xml:space="preserve">(iii) 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× 1e6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1e9 × 365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L1_TokPerPromptClose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</si>
  <si>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數（含回覆）；對照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</si>
  <si>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τ*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AL_TokPerPrompt_Lo–_Hi</t>
    </r>
    <r>
      <rPr>
        <sz val="10"/>
        <color rgb="FF000000"/>
        <rFont val="Noto Sans CJK SC"/>
        <family val="2"/>
      </rPr>
      <t xml:space="preserve">）的判讀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</si>
  <si>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C180:E180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</si>
  <si>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閉合下免費算力占比＝免費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T_chat* </t>
    </r>
    <r>
      <rPr>
        <sz val="10"/>
        <color rgb="FF000000"/>
        <rFont val="Noto Sans CJK SC"/>
        <family val="2"/>
      </rPr>
      <t xml:space="preserve">重算；對照 </t>
    </r>
    <r>
      <rPr>
        <sz val="10"/>
        <color rgb="FF000000"/>
        <rFont val="Arial"/>
        <family val="0"/>
        <charset val="1"/>
      </rPr>
      <t xml:space="preserve">IF_FreeShare 0.46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</si>
  <si>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 ≈ </t>
    </r>
    <r>
      <rPr>
        <sz val="9"/>
        <color rgb="FF595959"/>
        <rFont val="Arial"/>
        <family val="0"/>
        <charset val="1"/>
      </rPr>
      <t xml:space="preserve">0.21</t>
    </r>
    <r>
      <rPr>
        <sz val="9"/>
        <color rgb="FF595959"/>
        <rFont val="Noto Sans CJK SC"/>
        <family val="2"/>
      </rPr>
      <t xml:space="preserve">；低於支出口徑 </t>
    </r>
    <r>
      <rPr>
        <sz val="9"/>
        <color rgb="FF595959"/>
        <rFont val="Arial"/>
        <family val="0"/>
        <charset val="1"/>
      </rPr>
      <t xml:space="preserve">IF_FreeShare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0.46</t>
    </r>
    <r>
      <rPr>
        <sz val="9"/>
        <color rgb="FF595959"/>
        <rFont val="Noto Sans CJK SC"/>
        <family val="2"/>
      </rPr>
      <t xml:space="preserve">）：免費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產能高（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為主）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</si>
  <si>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C181:E181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</si>
  <si>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H10. m </t>
    </r>
    <r>
      <rPr>
        <b val="true"/>
        <sz val="10"/>
        <rFont val="Noto Sans CJK SC"/>
        <family val="2"/>
      </rPr>
      <t xml:space="preserve">季度序列（</t>
    </r>
    <r>
      <rPr>
        <b val="true"/>
        <sz val="10"/>
        <rFont val="Arial"/>
        <family val="0"/>
        <charset val="1"/>
      </rPr>
      <t xml:space="preserve">v5.34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v5.34 r0.1 B5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r0.1</t>
    </r>
    <r>
      <rPr>
        <b val="true"/>
        <sz val="10"/>
        <rFont val="Noto Sans CJK SC"/>
        <family val="2"/>
      </rPr>
      <t xml:space="preserve">：營收三分份額每欄各自輸入）：顯示用，不進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、不進任何 </t>
    </r>
    <r>
      <rPr>
        <b val="true"/>
        <sz val="10"/>
        <rFont val="Arial"/>
        <family val="0"/>
        <charset val="1"/>
      </rPr>
      <t xml:space="preserve">IF_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年化、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預測。其餘輸入（每則提示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數、免費占比、單價、</t>
    </r>
    <r>
      <rPr>
        <b val="true"/>
        <sz val="10"/>
        <rFont val="Arial"/>
        <family val="0"/>
        <charset val="1"/>
      </rPr>
      <t xml:space="preserve">Azure </t>
    </r>
    <r>
      <rPr>
        <b val="true"/>
        <sz val="10"/>
        <rFont val="Noto Sans CJK SC"/>
        <family val="2"/>
      </rPr>
      <t xml:space="preserve">倍數、利用率修正）沿用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列｜</t>
    </r>
    <r>
      <rPr>
        <b val="true"/>
        <sz val="10"/>
        <rFont val="Arial"/>
        <family val="0"/>
        <charset val="1"/>
      </rPr>
      <t xml:space="preserve">v5.35 B1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J23</t>
    </r>
    <r>
      <rPr>
        <b val="true"/>
        <sz val="10"/>
        <rFont val="Noto Sans CJK SC"/>
        <family val="2"/>
      </rPr>
      <t xml:space="preserve">）：三分營收改以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廣告）為基底，三分之和＝</t>
    </r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整體分子；廣告每欄各自輸入（</t>
    </r>
    <r>
      <rPr>
        <b val="true"/>
        <sz val="10"/>
        <rFont val="Arial"/>
        <family val="0"/>
        <charset val="1"/>
      </rPr>
      <t xml:space="preserve">Q1 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 0.5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FY2026 1.0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三欄的消費訂閱占付費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份額改為獨立輸入 </t>
    </r>
    <r>
      <rPr>
        <b val="true"/>
        <sz val="10"/>
        <rFont val="Arial"/>
        <family val="0"/>
        <charset val="1"/>
      </rPr>
      <t xml:space="preserve">0.65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0.5–0.8</t>
    </r>
    <r>
      <rPr>
        <b val="true"/>
        <sz val="10"/>
        <rFont val="Noto Sans CJK SC"/>
        <family val="2"/>
      </rPr>
      <t xml:space="preserve">）；第「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」列改為連結 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節（顯示用）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</si>
  <si>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</t>
    </r>
  </si>
  <si>
    <r>
      <rPr>
        <b val="true"/>
        <sz val="10"/>
        <rFont val="Arial"/>
        <family val="0"/>
        <charset val="1"/>
      </rPr>
      <t xml:space="preserve">2026 Q1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</si>
  <si>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年化</t>
    </r>
  </si>
  <si>
    <r>
      <rPr>
        <b val="true"/>
        <sz val="10"/>
        <rFont val="Arial"/>
        <family val="0"/>
        <charset val="1"/>
      </rPr>
      <t xml:space="preserve">FY2026 </t>
    </r>
    <r>
      <rPr>
        <b val="true"/>
        <sz val="10"/>
        <rFont val="Noto Sans CJK SC"/>
        <family val="2"/>
      </rPr>
      <t xml:space="preserve">預測</t>
    </r>
  </si>
  <si>
    <r>
      <rPr>
        <b val="true"/>
        <sz val="10"/>
        <rFont val="Arial"/>
        <family val="0"/>
        <charset val="1"/>
      </rPr>
      <t xml:space="preserve">H10-1. </t>
    </r>
    <r>
      <rPr>
        <b val="true"/>
        <sz val="10"/>
        <rFont val="Noto Sans CJK SC"/>
        <family val="2"/>
      </rPr>
      <t xml:space="preserve">營收與份額</t>
    </r>
  </si>
  <si>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／年；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欄＝季營收 </t>
    </r>
    <r>
      <rPr>
        <sz val="10"/>
        <color rgb="FF000000"/>
        <rFont val="Arial"/>
        <family val="0"/>
        <charset val="1"/>
      </rPr>
      <t xml:space="preserve">×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為內部預測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</si>
  <si>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</si>
  <si>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SRC_DEM_007 13.07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SRC_DEM_069 5.7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SRC_DEM_042 6.7 × 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36</t>
    </r>
    <r>
      <rPr>
        <sz val="9"/>
        <color rgb="FF595959"/>
        <rFont val="Noto Sans CJK SC"/>
        <family val="2"/>
      </rPr>
      <t xml:space="preserve">（藍字，內部預測，登錄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，不登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</si>
  <si>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廣告營收（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起；每欄各自輸入；不進任何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</t>
    </r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</si>
  <si>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</si>
  <si>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（常數，非輸入）；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三欄藍字各自輸入（登錄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0–0.2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0.3–0.8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FY2026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0.5–1.5</t>
    </r>
    <r>
      <rPr>
        <sz val="9"/>
        <color rgb="FF595959"/>
        <rFont val="Noto Sans CJK SC"/>
        <family val="2"/>
      </rPr>
      <t xml:space="preserve">）；依據 </t>
    </r>
    <r>
      <rPr>
        <sz val="9"/>
        <color rgb="FF595959"/>
        <rFont val="Arial"/>
        <family val="0"/>
        <charset val="1"/>
      </rPr>
      <t xml:space="preserve">SRC_DEM_072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廣告年化達 </t>
    </r>
    <r>
      <rPr>
        <sz val="9"/>
        <color rgb="FF595959"/>
        <rFont val="Arial"/>
        <family val="0"/>
        <charset val="1"/>
      </rPr>
      <t xml:space="preserve">$1B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E343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133 </t>
    </r>
    <r>
      <rPr>
        <sz val="9"/>
        <color rgb="FF595959"/>
        <rFont val="Noto Sans CJK SC"/>
        <family val="2"/>
      </rPr>
      <t xml:space="preserve">列的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保留為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的單值，</t>
    </r>
    <r>
      <rPr>
        <sz val="9"/>
        <color rgb="FF595959"/>
        <rFont val="Arial"/>
        <family val="0"/>
        <charset val="1"/>
      </rPr>
      <t xml:space="preserve">H10 </t>
    </r>
    <r>
      <rPr>
        <sz val="9"/>
        <color rgb="FF595959"/>
        <rFont val="Noto Sans CJK SC"/>
        <family val="2"/>
      </rPr>
      <t xml:space="preserve">不再連結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</si>
  <si>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分子營收＝營收 − 廣告</t>
    </r>
  </si>
  <si>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整體與 </t>
    </r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的分子；</t>
    </r>
    <r>
      <rPr>
        <sz val="9"/>
        <color rgb="FF595959"/>
        <rFont val="Arial"/>
        <family val="0"/>
        <charset val="1"/>
      </rPr>
      <t xml:space="preserve">v5.35 J23 (1)</t>
    </r>
    <r>
      <rPr>
        <sz val="9"/>
        <color rgb="FF595959"/>
        <rFont val="Noto Sans CJK SC"/>
        <family val="2"/>
      </rPr>
      <t xml:space="preserve">：三分營收亦以本列為基底，三分之和＝本列（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以含廣告營收為基底，三分之和 ≠ 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整體分子）</t>
    </r>
  </si>
  <si>
    <r>
      <rPr>
        <sz val="10"/>
        <color rgb="FF000000"/>
        <rFont val="Noto Sans CJK SC"/>
        <family val="2"/>
      </rPr>
      <t xml:space="preserve">營收份額：消費訂閱（每欄各自輸入；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</si>
  <si>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</si>
  <si>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SRC_DEM_039 0.70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0.60</t>
    </r>
    <r>
      <rPr>
        <sz val="9"/>
        <color rgb="FF595959"/>
        <rFont val="Noto Sans CJK SC"/>
        <family val="2"/>
      </rPr>
      <t xml:space="preserve">（消費約 </t>
    </r>
    <r>
      <rPr>
        <sz val="9"/>
        <color rgb="FF595959"/>
        <rFont val="Arial"/>
        <family val="0"/>
        <charset val="1"/>
      </rPr>
      <t xml:space="preserve">60%</t>
    </r>
    <r>
      <rPr>
        <sz val="9"/>
        <color rgb="FF595959"/>
        <rFont val="Noto Sans CJK SC"/>
        <family val="2"/>
      </rPr>
      <t xml:space="preserve">、企業 </t>
    </r>
    <r>
      <rPr>
        <sz val="9"/>
        <color rgb="FF595959"/>
        <rFont val="Arial"/>
        <family val="0"/>
        <charset val="1"/>
      </rPr>
      <t xml:space="preserve">&gt;40%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SRC_DEM_023 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 0.55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 0.45</t>
    </r>
    <r>
      <rPr>
        <sz val="9"/>
        <color rgb="FF595959"/>
        <rFont val="Noto Sans CJK SC"/>
        <family val="2"/>
      </rPr>
      <t xml:space="preserve">（企業 </t>
    </r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超過消費、</t>
    </r>
    <r>
      <rPr>
        <sz val="9"/>
        <color rgb="FF595959"/>
        <rFont val="Arial"/>
        <family val="0"/>
        <charset val="1"/>
      </rPr>
      <t xml:space="preserve">7–9 </t>
    </r>
    <r>
      <rPr>
        <sz val="9"/>
        <color rgb="FF595959"/>
        <rFont val="Noto Sans CJK SC"/>
        <family val="2"/>
      </rPr>
      <t xml:space="preserve">月翻倍：</t>
    </r>
    <r>
      <rPr>
        <sz val="9"/>
        <color rgb="FF595959"/>
        <rFont val="Arial"/>
        <family val="0"/>
        <charset val="1"/>
      </rPr>
      <t xml:space="preserve">N05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</si>
  <si>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Noto Sans CJK SC"/>
        <family val="2"/>
      </rPr>
      <t xml:space="preserve">營收份額：商用席次（每欄各自輸入；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</si>
  <si>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H8 0.10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0.20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0.25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0.35</t>
    </r>
    <r>
      <rPr>
        <sz val="9"/>
        <color rgb="FF595959"/>
        <rFont val="Noto Sans CJK SC"/>
        <family val="2"/>
      </rPr>
      <t xml:space="preserve">（企業增量歸席次；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份額依 </t>
    </r>
    <r>
      <rPr>
        <sz val="9"/>
        <color rgb="FF595959"/>
        <rFont val="Arial"/>
        <family val="0"/>
        <charset val="1"/>
      </rPr>
      <t xml:space="preserve">N04 </t>
    </r>
    <r>
      <rPr>
        <sz val="9"/>
        <color rgb="FF595959"/>
        <rFont val="Noto Sans CJK SC"/>
        <family val="2"/>
      </rPr>
      <t xml:space="preserve">維持 </t>
    </r>
    <r>
      <rPr>
        <sz val="9"/>
        <color rgb="FF595959"/>
        <rFont val="Arial"/>
        <family val="0"/>
        <charset val="1"/>
      </rPr>
      <t xml:space="preserve">0.15–0.20</t>
    </r>
    <r>
      <rPr>
        <sz val="9"/>
        <color rgb="FF595959"/>
        <rFont val="Noto Sans CJK SC"/>
        <family val="2"/>
      </rPr>
      <t xml:space="preserve">）；藍字三格登錄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。「企業」口徑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未定義（</t>
    </r>
    <r>
      <rPr>
        <sz val="9"/>
        <color rgb="FF595959"/>
        <rFont val="Arial"/>
        <family val="0"/>
        <charset val="1"/>
      </rPr>
      <t xml:space="preserve">SRC_DEM_023 </t>
    </r>
    <r>
      <rPr>
        <sz val="9"/>
        <color rgb="FF595959"/>
        <rFont val="Noto Sans CJK SC"/>
        <family val="2"/>
      </rPr>
      <t xml:space="preserve">備註），本表視為席次＋</t>
    </r>
    <r>
      <rPr>
        <sz val="9"/>
        <color rgb="FF595959"/>
        <rFont val="Arial"/>
        <family val="0"/>
        <charset val="1"/>
      </rPr>
      <t xml:space="preserve">API</t>
    </r>
  </si>
  <si>
    <r>
      <rPr>
        <sz val="10"/>
        <color rgb="FF000000"/>
        <rFont val="Noto Sans CJK SC"/>
        <family val="2"/>
      </rPr>
      <t xml:space="preserve">營收份額：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消費訂閱 − 商用席次）</t>
    </r>
  </si>
  <si>
    <r>
      <rPr>
        <sz val="9"/>
        <color rgb="FF595959"/>
        <rFont val="Noto Sans CJK SC"/>
        <family val="2"/>
      </rPr>
      <t xml:space="preserve">各欄 </t>
    </r>
    <r>
      <rPr>
        <sz val="9"/>
        <color rgb="FF595959"/>
        <rFont val="Arial"/>
        <family val="0"/>
        <charset val="1"/>
      </rPr>
      <t xml:space="preserve">0.20</t>
    </r>
  </si>
  <si>
    <r>
      <rPr>
        <sz val="10"/>
        <color rgb="FF000000"/>
        <rFont val="Noto Sans CJK SC"/>
        <family val="2"/>
      </rPr>
      <t xml:space="preserve">消費訂閱營收＝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</si>
  <si>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，數值不變）</t>
    </r>
  </si>
  <si>
    <r>
      <rPr>
        <sz val="10"/>
        <color rgb="FF000000"/>
        <rFont val="Noto Sans CJK SC"/>
        <family val="2"/>
      </rPr>
      <t xml:space="preserve">商用席次營收＝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</si>
  <si>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</si>
  <si>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份額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</si>
  <si>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：基底改為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分子營收；</t>
    </r>
    <r>
      <rPr>
        <sz val="9"/>
        <color rgb="FF595959"/>
        <rFont val="Arial"/>
        <family val="0"/>
        <charset val="1"/>
      </rPr>
      <t xml:space="preserve">2026 Q2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5.26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5.36</t>
    </r>
    <r>
      <rPr>
        <sz val="9"/>
        <color rgb="FF595959"/>
        <rFont val="Noto Sans CJK SC"/>
        <family val="2"/>
      </rPr>
      <t xml:space="preserve">）</t>
    </r>
  </si>
  <si>
    <t xml:space="preserve">H10-2. token</t>
  </si>
  <si>
    <r>
      <rPr>
        <sz val="10"/>
        <color rgb="FF000000"/>
        <rFont val="Arial"/>
        <family val="0"/>
        <charset val="1"/>
      </rPr>
      <t xml:space="preserve">FY2026 API token ÷ 2026 Q2 </t>
    </r>
    <r>
      <rPr>
        <sz val="10"/>
        <color rgb="FF000000"/>
        <rFont val="Noto Sans CJK SC"/>
        <family val="2"/>
      </rPr>
      <t xml:space="preserve">時點值（年均倍數；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</si>
  <si>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FY2026 API token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時點值年化 </t>
    </r>
    <r>
      <rPr>
        <sz val="9"/>
        <color rgb="FF595959"/>
        <rFont val="Arial"/>
        <family val="0"/>
        <charset val="1"/>
      </rPr>
      <t xml:space="preserve">× 1.3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</si>
  <si>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 tok/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時點值年化；</t>
    </r>
    <r>
      <rPr>
        <sz val="10"/>
        <color rgb="FF000000"/>
        <rFont val="Arial"/>
        <family val="0"/>
        <charset val="1"/>
      </rPr>
      <t xml:space="preserve">FY2026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年均倍數</t>
    </r>
  </si>
  <si>
    <r>
      <rPr>
        <sz val="9"/>
        <color rgb="FF595959"/>
        <rFont val="Arial"/>
        <family val="0"/>
        <charset val="1"/>
      </rPr>
      <t xml:space="preserve">SRC_DEM_011 15 B tok/min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同值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</si>
  <si>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日；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：週活比例放大）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</si>
  <si>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則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</si>
  <si>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D–F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Derived </t>
    </r>
    <r>
      <rPr>
        <sz val="9"/>
        <color rgb="FF595959"/>
        <rFont val="Noto Sans CJK SC"/>
        <family val="2"/>
      </rPr>
      <t xml:space="preserve">自週活比例）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</si>
  <si>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SRC_DEM_012 2.5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 3.2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3.6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2.5 × 1.0 B ÷ 0.7 B </t>
    </r>
    <r>
      <rPr>
        <sz val="9"/>
        <color rgb="FF595959"/>
        <rFont val="Noto Sans CJK SC"/>
        <family val="2"/>
      </rPr>
      <t xml:space="preserve">週活）、</t>
    </r>
    <r>
      <rPr>
        <sz val="9"/>
        <color rgb="FF595959"/>
        <rFont val="Arial"/>
        <family val="0"/>
        <charset val="1"/>
      </rPr>
      <t xml:space="preserve">F 3.8</t>
    </r>
    <r>
      <rPr>
        <sz val="9"/>
        <color rgb="FF595959"/>
        <rFont val="Noto Sans CJK SC"/>
        <family val="2"/>
      </rPr>
      <t xml:space="preserve">；藍字三格登錄 </t>
    </r>
    <r>
      <rPr>
        <sz val="9"/>
        <color rgb="FF595959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</si>
  <si>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</si>
  <si>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AL_DChatPaid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列同式）；每則 </t>
    </r>
    <r>
      <rPr>
        <sz val="9"/>
        <color rgb="FF595959"/>
        <rFont val="Arial"/>
        <family val="0"/>
        <charset val="1"/>
      </rPr>
      <t xml:space="preserve">4,000</t>
    </r>
    <r>
      <rPr>
        <sz val="9"/>
        <color rgb="FF595959"/>
        <rFont val="Noto Sans CJK SC"/>
        <family val="2"/>
      </rPr>
      <t xml:space="preserve">、免費占比 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沿用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</si>
  <si>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＝則數 </t>
    </r>
    <r>
      <rPr>
        <sz val="10"/>
        <color rgb="FF000000"/>
        <rFont val="Arial"/>
        <family val="0"/>
        <charset val="1"/>
      </rPr>
      <t xml:space="preserve">× 1e9 × AL_TokPerPrompt × 365 ÷ 1e6 × AL_FreeShare</t>
    </r>
  </si>
  <si>
    <r>
      <rPr>
        <sz val="9"/>
        <color rgb="FF595959"/>
        <rFont val="Arial"/>
        <family val="0"/>
        <charset val="1"/>
      </rPr>
      <t xml:space="preserve">m_fleet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用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</si>
  <si>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J23 (3)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</si>
  <si>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</si>
  <si>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藍字一格（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0.5–0.8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J23 (3)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欄連結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企業席次增加後消費份額應低於 </t>
    </r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待判斷第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</si>
  <si>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消費份額（第 </t>
    </r>
    <r>
      <rPr>
        <sz val="10"/>
        <color rgb="FF000000"/>
        <rFont val="Arial"/>
        <family val="0"/>
        <charset val="1"/>
      </rPr>
      <t xml:space="preserve">200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</si>
  <si>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三欄用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欄仍為 </t>
    </r>
    <r>
      <rPr>
        <sz val="9"/>
        <color rgb="FF595959"/>
        <rFont val="Arial"/>
        <family val="0"/>
        <charset val="1"/>
      </rPr>
      <t xml:space="preserve">H8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0.75</t>
    </r>
  </si>
  <si>
    <r>
      <rPr>
        <b val="true"/>
        <sz val="10"/>
        <rFont val="Arial"/>
        <family val="0"/>
        <charset val="1"/>
      </rPr>
      <t xml:space="preserve">H10-3. </t>
    </r>
    <r>
      <rPr>
        <b val="true"/>
        <sz val="10"/>
        <rFont val="Noto Sans CJK SC"/>
        <family val="2"/>
      </rPr>
      <t xml:space="preserve">單價與 </t>
    </r>
    <r>
      <rPr>
        <b val="true"/>
        <sz val="1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</si>
  <si>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節；顯示用，不進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</si>
  <si>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</si>
  <si>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Arial"/>
        <family val="0"/>
        <charset val="1"/>
      </rPr>
      <t xml:space="preserve">v5.35 B2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L_price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cap_in_i </t>
    </r>
    <r>
      <rPr>
        <sz val="9"/>
        <color rgb="FF595959"/>
        <rFont val="Noto Sans CJK SC"/>
        <family val="2"/>
      </rPr>
      <t xml:space="preserve">寫入連結）；</t>
    </r>
    <r>
      <rPr>
        <sz val="9"/>
        <color rgb="FF595959"/>
        <rFont val="Arial"/>
        <family val="0"/>
        <charset val="1"/>
      </rPr>
      <t xml:space="preserve">D–F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；顯示用，不進任何計算（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的四個藍字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退役）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</si>
  <si>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同口徑）；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H4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</t>
    </r>
  </si>
  <si>
    <r>
      <rPr>
        <sz val="9"/>
        <color rgb="FF595959"/>
        <rFont val="Noto Sans CJK SC"/>
        <family val="2"/>
      </rPr>
      <t xml:space="preserve">牌價指數列尚未乘入（待 </t>
    </r>
    <r>
      <rPr>
        <sz val="9"/>
        <color rgb="FF595959"/>
        <rFont val="Arial"/>
        <family val="0"/>
        <charset val="1"/>
      </rPr>
      <t xml:space="preserve">v5.35</t>
    </r>
    <r>
      <rPr>
        <sz val="9"/>
        <color rgb="FF595959"/>
        <rFont val="Noto Sans CJK SC"/>
        <family val="2"/>
      </rPr>
      <t xml:space="preserve">）</t>
    </r>
  </si>
  <si>
    <t xml:space="preserve">m_API</t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</si>
  <si>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2025 0.564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0.295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0.348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</si>
  <si>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</si>
  <si>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2025 4.261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5.744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5.399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5.569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</si>
  <si>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</si>
  <si>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2025 1.826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Q1 3.556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4.557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8.044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B1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</si>
  <si>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(API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token) × </t>
    </r>
    <r>
      <rPr>
        <sz val="10"/>
        <color rgb="FF000000"/>
        <rFont val="Noto Sans CJK SC"/>
        <family val="2"/>
      </rPr>
      <t xml:space="preserve">單價）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</si>
  <si>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2025 1.743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Q1 1.192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1.343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FY2026 1.432</t>
    </r>
    <r>
      <rPr>
        <sz val="9"/>
        <color rgb="FF595959"/>
        <rFont val="Noto Sans CJK SC"/>
        <family val="2"/>
      </rPr>
      <t xml:space="preserve">（分子扣廣告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</si>
  <si>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H10-4. m_fleet</t>
    </r>
    <r>
      <rPr>
        <b val="true"/>
        <sz val="10"/>
        <rFont val="Noto Sans CJK SC"/>
        <family val="2"/>
      </rPr>
      <t xml:space="preserve">（機隊點估計；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組合，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用下列四格 </t>
    </r>
    <r>
      <rPr>
        <b val="true"/>
        <sz val="10"/>
        <rFont val="Arial"/>
        <family val="0"/>
        <charset val="1"/>
      </rPr>
      <t xml:space="preserve">Assumed </t>
    </r>
    <r>
      <rPr>
        <b val="true"/>
        <sz val="10"/>
        <rFont val="Noto Sans CJK SC"/>
        <family val="2"/>
      </rPr>
      <t xml:space="preserve">組合；推論支出 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SRC_DEM_004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v5.36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端）、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SRC_DEM_070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</si>
  <si>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</si>
  <si>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Hopper 0.25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D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</si>
  <si>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</si>
  <si>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</si>
  <si>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GB200 0.45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</si>
  <si>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</si>
  <si>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</si>
  <si>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GB300 0.25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</si>
  <si>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</si>
  <si>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</si>
  <si>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VR200 0.05</t>
    </r>
    <r>
      <rPr>
        <sz val="9"/>
        <color rgb="FF595959"/>
        <rFont val="Noto Sans CJK SC"/>
        <family val="2"/>
      </rPr>
      <t xml:space="preserve">；四格合計須為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215 </t>
    </r>
    <r>
      <rPr>
        <sz val="9"/>
        <color rgb="FF595959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</si>
  <si>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</si>
  <si>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</si>
  <si>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SRC_DEM_070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</si>
  <si>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SRC_DEM_004 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SRC_DEM_018 12.6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SRC_DEM_070 14.1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Alt</t>
    </r>
    <r>
      <rPr>
        <sz val="9"/>
        <color rgb="FF595959"/>
        <rFont val="Noto Sans CJK SC"/>
        <family val="2"/>
      </rPr>
      <t xml:space="preserve">，預測值）</t>
    </r>
  </si>
  <si>
    <r>
      <rPr>
        <sz val="10"/>
        <color rgb="FF000000"/>
        <rFont val="Noto Sans CJK SC"/>
        <family val="2"/>
      </rPr>
      <t xml:space="preserve">世代組合持有成本＝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組合 </t>
    </r>
    <r>
      <rPr>
        <sz val="10"/>
        <color rgb="FF000000"/>
        <rFont val="Arial"/>
        <family val="0"/>
        <charset val="1"/>
      </rPr>
      <t xml:space="preserve">× IF_HoldEcon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AL_HoldGen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</si>
  <si>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$B/GW/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</si>
  <si>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61 </t>
    </r>
    <r>
      <rPr>
        <sz val="9"/>
        <color rgb="FF595959"/>
        <rFont val="Noto Sans CJK SC"/>
        <family val="2"/>
      </rPr>
      <t xml:space="preserve">列分母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</si>
  <si>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利用率修正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AL_SpendBasis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IF_Util × AL_Kappa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</si>
  <si>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H9 (i) </t>
    </r>
    <r>
      <rPr>
        <sz val="9"/>
        <color rgb="FF595959"/>
        <rFont val="Noto Sans CJK SC"/>
        <family val="2"/>
      </rPr>
      <t xml:space="preserve">有效服務 </t>
    </r>
    <r>
      <rPr>
        <sz val="9"/>
        <color rgb="FF595959"/>
        <rFont val="Arial"/>
        <family val="0"/>
        <charset val="1"/>
      </rPr>
      <t xml:space="preserve">GW 0.4030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0.3929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 </t>
    </r>
    <r>
      <rPr>
        <sz val="9"/>
        <color rgb="FF595959"/>
        <rFont val="Noto Sans CJK SC"/>
        <family val="2"/>
      </rPr>
      <t xml:space="preserve">於計價倍數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v6.1 D13</t>
    </r>
    <r>
      <rPr>
        <sz val="9"/>
        <color rgb="FF595959"/>
        <rFont val="Noto Sans CJK SC"/>
        <family val="2"/>
      </rPr>
      <t xml:space="preserve">：利用率修正乘 </t>
    </r>
    <r>
      <rPr>
        <sz val="9"/>
        <color rgb="FF595959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</si>
  <si>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</t>
    </r>
    <r>
      <rPr>
        <sz val="10"/>
        <color rgb="FF000000"/>
        <rFont val="Arial"/>
        <family val="0"/>
        <charset val="1"/>
      </rPr>
      <t xml:space="preserve">AL_CapPaid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</si>
  <si>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列同式；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組合加權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</si>
  <si>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</t>
    </r>
    <r>
      <rPr>
        <sz val="10"/>
        <color rgb="FF000000"/>
        <rFont val="Arial"/>
        <family val="0"/>
        <charset val="1"/>
      </rPr>
      <t xml:space="preserve">AL_CapFree </t>
    </r>
    <r>
      <rPr>
        <sz val="10"/>
        <color rgb="FF000000"/>
        <rFont val="Noto Sans CJK SC"/>
        <family val="2"/>
      </rPr>
      <t xml:space="preserve">加權）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</si>
  <si>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25 </t>
    </r>
    <r>
      <rPr>
        <sz val="9"/>
        <color rgb="FF595959"/>
        <rFont val="Noto Sans CJK SC"/>
        <family val="2"/>
      </rPr>
      <t xml:space="preserve">列同式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</si>
  <si>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</si>
  <si>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112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0.573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</si>
  <si>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116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</si>
  <si>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B4_PriceFleet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v6.3 K1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</si>
  <si>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錨點：</t>
    </r>
    <r>
      <rPr>
        <sz val="9"/>
        <color rgb="FF595959"/>
        <rFont val="Arial"/>
        <family val="0"/>
        <charset val="1"/>
      </rPr>
      <t xml:space="preserve">2025 0.81</t>
    </r>
    <r>
      <rPr>
        <sz val="9"/>
        <color rgb="FF595959"/>
        <rFont val="Noto Sans CJK SC"/>
        <family val="2"/>
      </rPr>
      <t xml:space="preserve">（＝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2026 Q2 0.78</t>
    </r>
  </si>
  <si>
    <r>
      <rPr>
        <sz val="10"/>
        <color rgb="FF000000"/>
        <rFont val="Noto Sans CJK SC"/>
        <family val="2"/>
      </rPr>
      <t xml:space="preserve">自我檢查：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對 </t>
    </r>
    <r>
      <rPr>
        <sz val="10"/>
        <color rgb="FF000000"/>
        <rFont val="Arial"/>
        <family val="0"/>
        <charset val="1"/>
      </rPr>
      <t xml:space="preserve">H5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列（相對差 ≤ </t>
    </r>
    <r>
      <rPr>
        <sz val="10"/>
        <color rgb="FF000000"/>
        <rFont val="Arial"/>
        <family val="0"/>
        <charset val="1"/>
      </rPr>
      <t xml:space="preserve">1e-9 </t>
    </r>
    <r>
      <rPr>
        <sz val="10"/>
        <color rgb="FF000000"/>
        <rFont val="Noto Sans CJK SC"/>
        <family val="2"/>
      </rPr>
      <t xml:space="preserve">為「一致」）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</si>
  <si>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欄只是 </t>
    </r>
    <r>
      <rPr>
        <sz val="9"/>
        <color rgb="FF595959"/>
        <rFont val="Arial"/>
        <family val="0"/>
        <charset val="1"/>
      </rPr>
      <t xml:space="preserve">H5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的重排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</si>
  <si>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C224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</si>
  <si>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I. L </t>
    </r>
    <r>
      <rPr>
        <b val="true"/>
        <sz val="10"/>
        <rFont val="Noto Sans CJK SC"/>
        <family val="2"/>
      </rPr>
      <t xml:space="preserve">拆分（</t>
    </r>
    <r>
      <rPr>
        <b val="true"/>
        <sz val="10"/>
        <rFont val="Arial"/>
        <family val="0"/>
        <charset val="1"/>
      </rPr>
      <t xml:space="preserve">v5.35</t>
    </r>
    <r>
      <rPr>
        <b val="true"/>
        <sz val="10"/>
        <rFont val="Noto Sans CJK SC"/>
        <family val="2"/>
      </rPr>
      <t xml:space="preserve">；工作單 </t>
    </r>
    <r>
      <rPr>
        <b val="true"/>
        <sz val="10"/>
        <rFont val="Arial"/>
        <family val="0"/>
        <charset val="1"/>
      </rPr>
      <t xml:space="preserve">v5.35 r0 B2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L_price × L_demote</t>
    </r>
    <r>
      <rPr>
        <b val="true"/>
        <sz val="10"/>
        <rFont val="Noto Sans CJK SC"/>
        <family val="2"/>
      </rPr>
      <t xml:space="preserve">。</t>
    </r>
    <r>
      <rPr>
        <b val="true"/>
        <sz val="10"/>
        <rFont val="Arial"/>
        <family val="0"/>
        <charset val="1"/>
      </rPr>
      <t xml:space="preserve">L_price </t>
    </r>
    <r>
      <rPr>
        <b val="true"/>
        <sz val="10"/>
        <rFont val="Noto Sans CJK SC"/>
        <family val="2"/>
      </rPr>
      <t xml:space="preserve">由中階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牌價年變化率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推得（</t>
    </r>
    <r>
      <rPr>
        <b val="true"/>
        <sz val="10"/>
        <rFont val="Arial"/>
        <family val="0"/>
        <charset val="1"/>
      </rPr>
      <t xml:space="preserve">T </t>
    </r>
    <r>
      <rPr>
        <b val="true"/>
        <sz val="10"/>
        <rFont val="Noto Sans CJK SC"/>
        <family val="2"/>
      </rPr>
      <t xml:space="preserve">年連續平均）；</t>
    </r>
    <r>
      <rPr>
        <b val="true"/>
        <sz val="10"/>
        <rFont val="Arial"/>
        <family val="0"/>
        <charset val="1"/>
      </rPr>
      <t xml:space="preserve">L_demote </t>
    </r>
    <r>
      <rPr>
        <b val="true"/>
        <sz val="10"/>
        <rFont val="Noto Sans CJK SC"/>
        <family val="2"/>
      </rPr>
      <t xml:space="preserve">由「前 </t>
    </r>
    <r>
      <rPr>
        <b val="true"/>
        <sz val="10"/>
        <rFont val="Arial"/>
        <family val="0"/>
        <charset val="1"/>
      </rPr>
      <t xml:space="preserve">T1 </t>
    </r>
    <r>
      <rPr>
        <b val="true"/>
        <sz val="10"/>
        <rFont val="Noto Sans CJK SC"/>
        <family val="2"/>
      </rPr>
      <t xml:space="preserve">年服務中階、之後降級為低階（價值比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）」推得。三者為追蹤列與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名稱（</t>
    </r>
    <r>
      <rPr>
        <b val="true"/>
        <sz val="10"/>
        <rFont val="Arial"/>
        <family val="0"/>
        <charset val="1"/>
      </rPr>
      <t xml:space="preserve">L1_LPrice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L1_LDemote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L1_LTotal</t>
    </r>
    <r>
      <rPr>
        <b val="true"/>
        <sz val="10"/>
        <rFont val="Noto Sans CJK SC"/>
        <family val="2"/>
      </rPr>
      <t xml:space="preserve">），</t>
    </r>
    <r>
      <rPr>
        <b val="true"/>
        <sz val="10"/>
        <rFont val="Arial"/>
        <family val="0"/>
        <charset val="1"/>
      </rPr>
      <t xml:space="preserve">CTL_PriceLife </t>
    </r>
    <r>
      <rPr>
        <b val="true"/>
        <sz val="10"/>
        <rFont val="Noto Sans CJK SC"/>
        <family val="2"/>
      </rPr>
      <t xml:space="preserve">基準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不改、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區間 </t>
    </r>
    <r>
      <rPr>
        <b val="true"/>
        <sz val="10"/>
        <rFont val="Arial"/>
        <family val="0"/>
        <charset val="1"/>
      </rPr>
      <t xml:space="preserve">0.3–1.0 </t>
    </r>
    <r>
      <rPr>
        <b val="true"/>
        <sz val="10"/>
        <rFont val="Noto Sans CJK SC"/>
        <family val="2"/>
      </rPr>
      <t xml:space="preserve">不改。欄位：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L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L </t>
    </r>
    <r>
      <rPr>
        <b val="true"/>
        <sz val="10"/>
        <rFont val="Noto Sans CJK SC"/>
        <family val="2"/>
      </rPr>
      <t xml:space="preserve">高端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</si>
  <si>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</si>
  <si>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−</t>
    </r>
    <r>
      <rPr>
        <sz val="9"/>
        <color rgb="FF595959"/>
        <rFont val="Arial"/>
        <family val="0"/>
        <charset val="1"/>
      </rPr>
      <t xml:space="preserve">0.10</t>
    </r>
    <r>
      <rPr>
        <sz val="9"/>
        <color rgb="FF595959"/>
        <rFont val="Noto Sans CJK SC"/>
        <family val="2"/>
      </rPr>
      <t xml:space="preserve">、低 −</t>
    </r>
    <r>
      <rPr>
        <sz val="9"/>
        <color rgb="FF595959"/>
        <rFont val="Arial"/>
        <family val="0"/>
        <charset val="1"/>
      </rPr>
      <t xml:space="preserve">0.25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+0.05</t>
    </r>
    <r>
      <rPr>
        <sz val="9"/>
        <color rgb="FF595959"/>
        <rFont val="Noto Sans CJK SC"/>
        <family val="2"/>
      </rPr>
      <t xml:space="preserve">。依據：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2026-10-14 </t>
    </r>
    <r>
      <rPr>
        <sz val="9"/>
        <color rgb="FF595959"/>
        <rFont val="Noto Sans CJK SC"/>
        <family val="2"/>
      </rPr>
      <t xml:space="preserve">牌價序列迴歸（</t>
    </r>
    <r>
      <rPr>
        <sz val="9"/>
        <color rgb="FF595959"/>
        <rFont val="Arial"/>
        <family val="0"/>
        <charset val="1"/>
      </rPr>
      <t xml:space="preserve">E341</t>
    </r>
    <r>
      <rPr>
        <sz val="9"/>
        <color rgb="FF595959"/>
        <rFont val="Noto Sans CJK SC"/>
        <family val="2"/>
      </rPr>
      <t xml:space="preserve">；序列 </t>
    </r>
    <r>
      <rPr>
        <sz val="9"/>
        <color rgb="FF595959"/>
        <rFont val="Arial"/>
        <family val="0"/>
        <charset val="1"/>
      </rPr>
      <t xml:space="preserve">E338–E340</t>
    </r>
    <r>
      <rPr>
        <sz val="9"/>
        <color rgb="FF595959"/>
        <rFont val="Noto Sans CJK SC"/>
        <family val="2"/>
      </rPr>
      <t xml:space="preserve">，等級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待一手確認）：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中階 </t>
    </r>
    <r>
      <rPr>
        <sz val="9"/>
        <color rgb="FF595959"/>
        <rFont val="Arial"/>
        <family val="0"/>
        <charset val="1"/>
      </rPr>
      <t xml:space="preserve">2023–2026.8 </t>
    </r>
    <r>
      <rPr>
        <sz val="9"/>
        <color rgb="FF595959"/>
        <rFont val="Noto Sans CJK SC"/>
        <family val="2"/>
      </rPr>
      <t xml:space="preserve">年變化 −</t>
    </r>
    <r>
      <rPr>
        <sz val="9"/>
        <color rgb="FF595959"/>
        <rFont val="Arial"/>
        <family val="0"/>
        <charset val="1"/>
      </rPr>
      <t xml:space="preserve">49%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38%</t>
    </r>
    <r>
      <rPr>
        <sz val="9"/>
        <color rgb="FF595959"/>
        <rFont val="Noto Sans CJK SC"/>
        <family val="2"/>
      </rPr>
      <t xml:space="preserve">（參考請求權重／</t>
    </r>
    <r>
      <rPr>
        <sz val="9"/>
        <color rgb="FF595959"/>
        <rFont val="Arial"/>
        <family val="0"/>
        <charset val="1"/>
      </rPr>
      <t xml:space="preserve">3:1 </t>
    </r>
    <r>
      <rPr>
        <sz val="9"/>
        <color rgb="FF595959"/>
        <rFont val="Noto Sans CJK SC"/>
        <family val="2"/>
      </rPr>
      <t xml:space="preserve">權重）、</t>
    </r>
    <r>
      <rPr>
        <sz val="9"/>
        <color rgb="FF595959"/>
        <rFont val="Arial"/>
        <family val="0"/>
        <charset val="1"/>
      </rPr>
      <t xml:space="preserve">2024.3–2026.8 −24%</t>
    </r>
    <r>
      <rPr>
        <sz val="9"/>
        <color rgb="FF595959"/>
        <rFont val="Noto Sans CJK SC"/>
        <family val="2"/>
      </rPr>
      <t xml:space="preserve">／−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2025–2026.8 +8%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+12%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Sonnet </t>
    </r>
    <r>
      <rPr>
        <sz val="9"/>
        <color rgb="FF595959"/>
        <rFont val="Noto Sans CJK SC"/>
        <family val="2"/>
      </rPr>
      <t xml:space="preserve">持平；</t>
    </r>
    <r>
      <rPr>
        <sz val="9"/>
        <color rgb="FF595959"/>
        <rFont val="Arial"/>
        <family val="0"/>
        <charset val="1"/>
      </rPr>
      <t xml:space="preserve">Gemini Pro −18%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+11%</t>
    </r>
    <r>
      <rPr>
        <sz val="9"/>
        <color rgb="FF595959"/>
        <rFont val="Noto Sans CJK SC"/>
        <family val="2"/>
      </rPr>
      <t xml:space="preserve">。基準取近兩年中值附近、高端取近一年持平略升、低端取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後供給釋放與中國廠商競價情境 ｜</t>
    </r>
    <r>
      <rPr>
        <sz val="9"/>
        <color rgb="FF595959"/>
        <rFont val="Arial"/>
        <family val="0"/>
        <charset val="1"/>
      </rPr>
      <t xml:space="preserve">v7.0 B-0 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AF2c-GEN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的現有依據（</t>
    </r>
    <r>
      <rPr>
        <sz val="9"/>
        <color rgb="FF595959"/>
        <rFont val="Arial"/>
        <family val="0"/>
        <charset val="1"/>
      </rPr>
      <t xml:space="preserve">E338–E341</t>
    </r>
    <r>
      <rPr>
        <sz val="9"/>
        <color rgb="FF595959"/>
        <rFont val="Noto Sans CJK SC"/>
        <family val="2"/>
      </rPr>
      <t xml:space="preserve">）是換代價格比較，壽命內衰減與世代間價格變化應分開；本版不改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的數值與區間，世代間另以門檻 </t>
    </r>
    <r>
      <rPr>
        <sz val="9"/>
        <color rgb="FF595959"/>
        <rFont val="Arial"/>
        <family val="0"/>
        <charset val="1"/>
      </rPr>
      <t xml:space="preserve">L1_GenPxThr_Rev_*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_Pay_*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L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Δ</t>
    </r>
    <r>
      <rPr>
        <sz val="9"/>
        <color rgb="FF595959"/>
        <rFont val="Noto Sans CJK SC"/>
        <family val="2"/>
      </rPr>
      <t xml:space="preserve">）表達。</t>
    </r>
    <r>
      <rPr>
        <sz val="9"/>
        <color rgb="FF595959"/>
        <rFont val="Arial"/>
        <family val="0"/>
        <charset val="1"/>
      </rPr>
      <t xml:space="preserve">E338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E339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E341 </t>
    </r>
    <r>
      <rPr>
        <sz val="9"/>
        <color rgb="FF595959"/>
        <rFont val="Noto Sans CJK SC"/>
        <family val="2"/>
      </rPr>
      <t xml:space="preserve">已更正或註記（</t>
    </r>
    <r>
      <rPr>
        <sz val="9"/>
        <color rgb="FF595959"/>
        <rFont val="Arial"/>
        <family val="0"/>
        <charset val="1"/>
      </rPr>
      <t xml:space="preserve">E366–E373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</si>
  <si>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降級前服務中階的年數 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</si>
  <si>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藍字三格（登錄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3–5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B4_Life </t>
    </r>
    <r>
      <rPr>
        <sz val="9"/>
        <color rgb="FF595959"/>
        <rFont val="Noto Sans CJK SC"/>
        <family val="2"/>
      </rPr>
      <t xml:space="preserve">商業壽命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月為模型更替，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為硬體所服務層級的更替</t>
    </r>
  </si>
  <si>
    <r>
      <rPr>
        <sz val="10"/>
        <color rgb="FF000000"/>
        <rFont val="Noto Sans CJK SC"/>
        <family val="2"/>
      </rPr>
      <t xml:space="preserve">降級後價值比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</si>
  <si>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）／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</si>
  <si>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藍字兩格（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；登錄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）：基準 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＝降級後保留一半價值；高端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＝不降級；低端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欄＝直接以低階單價計（</t>
    </r>
    <r>
      <rPr>
        <sz val="9"/>
        <color rgb="FF595959"/>
        <rFont val="Arial"/>
        <family val="0"/>
        <charset val="1"/>
      </rPr>
      <t xml:space="preserve">IF_PriceRef_Luna ÷ IF_PriceRef_Sol ≈ 0.05</t>
    </r>
    <r>
      <rPr>
        <sz val="9"/>
        <color rgb="FF595959"/>
        <rFont val="Noto Sans CJK SC"/>
        <family val="2"/>
      </rPr>
      <t xml:space="preserve">，公式）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</si>
  <si>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（年；</t>
    </r>
    <r>
      <rPr>
        <sz val="10"/>
        <color rgb="FF000000"/>
        <rFont val="Arial"/>
        <family val="0"/>
        <charset val="1"/>
      </rPr>
      <t xml:space="preserve">I-4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折舊年限，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基準欄；三欄同值）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</si>
  <si>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</si>
  <si>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IF_DeprLifeIT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C:Q</t>
    </r>
    <r>
      <rPr>
        <sz val="9"/>
        <color rgb="FF595959"/>
        <rFont val="Noto Sans CJK SC"/>
        <family val="2"/>
      </rPr>
      <t xml:space="preserve">（世代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成本情境）；取第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基準）＝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；各世代基準欄皆為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（高成本情境為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，不取）</t>
    </r>
  </si>
  <si>
    <r>
      <rPr>
        <b val="true"/>
        <sz val="10"/>
        <rFont val="Arial"/>
        <family val="0"/>
        <charset val="1"/>
      </rPr>
      <t xml:space="preserve">I-5. </t>
    </r>
    <r>
      <rPr>
        <b val="true"/>
        <sz val="10"/>
        <rFont val="Noto Sans CJK SC"/>
        <family val="2"/>
      </rPr>
      <t xml:space="preserve">公式列（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LN(1+g)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|k| &lt; 1e-12 </t>
    </r>
    <r>
      <rPr>
        <b val="true"/>
        <sz val="10"/>
        <rFont val="Noto Sans CJK SC"/>
        <family val="2"/>
      </rPr>
      <t xml:space="preserve">時以極限式處理：</t>
    </r>
    <r>
      <rPr>
        <b val="true"/>
        <sz val="10"/>
        <rFont val="Arial"/>
        <family val="0"/>
        <charset val="1"/>
      </rPr>
      <t xml:space="preserve">L_price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(T1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ρ(T − T1)) ÷ T</t>
    </r>
    <r>
      <rPr>
        <b val="true"/>
        <sz val="10"/>
        <rFont val="Noto Sans CJK SC"/>
        <family val="2"/>
      </rPr>
      <t xml:space="preserve">）；錨點 基準 </t>
    </r>
    <r>
      <rPr>
        <b val="true"/>
        <sz val="10"/>
        <rFont val="Arial"/>
        <family val="0"/>
        <charset val="1"/>
      </rPr>
      <t xml:space="preserve">L_price 0.7412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L_total 0.6426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L_demote 0.867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</si>
  <si>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LN(1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g)</t>
    </r>
  </si>
  <si>
    <r>
      <rPr>
        <sz val="9"/>
        <color rgb="FF595959"/>
        <rFont val="Noto Sans CJK SC"/>
        <family val="2"/>
      </rPr>
      <t xml:space="preserve">基準 −</t>
    </r>
    <r>
      <rPr>
        <sz val="9"/>
        <color rgb="FF595959"/>
        <rFont val="Arial"/>
        <family val="0"/>
        <charset val="1"/>
      </rPr>
      <t xml:space="preserve">0.1054</t>
    </r>
  </si>
  <si>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L1_LPrice</t>
    </r>
  </si>
  <si>
    <r>
      <rPr>
        <sz val="9"/>
        <color rgb="FF595959"/>
        <rFont val="Noto Sans CJK SC"/>
        <family val="2"/>
      </rPr>
      <t xml:space="preserve">壽命期內牌價相對第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年的連續平均；基準 </t>
    </r>
    <r>
      <rPr>
        <sz val="9"/>
        <color rgb="FF595959"/>
        <rFont val="Arial"/>
        <family val="0"/>
        <charset val="1"/>
      </rPr>
      <t xml:space="preserve">0.7412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0.4762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</si>
  <si>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 × ((1+g)^T − (1+g)^T1)] ÷ (T × k)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L1_LTotal</t>
    </r>
  </si>
  <si>
    <r>
      <rPr>
        <sz val="9"/>
        <color rgb="FF595959"/>
        <rFont val="Noto Sans CJK SC"/>
        <family val="2"/>
      </rPr>
      <t xml:space="preserve">前 </t>
    </r>
    <r>
      <rPr>
        <sz val="9"/>
        <color rgb="FF595959"/>
        <rFont val="Arial"/>
        <family val="0"/>
        <charset val="1"/>
      </rPr>
      <t xml:space="preserve">T1 </t>
    </r>
    <r>
      <rPr>
        <sz val="9"/>
        <color rgb="FF595959"/>
        <rFont val="Noto Sans CJK SC"/>
        <family val="2"/>
      </rPr>
      <t xml:space="preserve">年中階牌價、之後 </t>
    </r>
    <r>
      <rPr>
        <sz val="9"/>
        <color rgb="FF595959"/>
        <rFont val="Arial"/>
        <family val="0"/>
        <charset val="1"/>
      </rPr>
      <t xml:space="preserve">ρ × </t>
    </r>
    <r>
      <rPr>
        <sz val="9"/>
        <color rgb="FF595959"/>
        <rFont val="Noto Sans CJK SC"/>
        <family val="2"/>
      </rPr>
      <t xml:space="preserve">中階牌價的連續平均；基準 </t>
    </r>
    <r>
      <rPr>
        <sz val="9"/>
        <color rgb="FF595959"/>
        <rFont val="Arial"/>
        <family val="0"/>
        <charset val="1"/>
      </rPr>
      <t xml:space="preserve">0.6426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1.1618</t>
    </r>
  </si>
  <si>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L1_LDemote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</si>
  <si>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0.867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 0.718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 1.0</t>
    </r>
    <r>
      <rPr>
        <sz val="9"/>
        <color rgb="FF595959"/>
        <rFont val="Noto Sans CJK SC"/>
        <family val="2"/>
      </rPr>
      <t xml:space="preserve">（不降級）</t>
    </r>
  </si>
  <si>
    <r>
      <rPr>
        <b val="true"/>
        <sz val="10"/>
        <rFont val="Arial"/>
        <family val="0"/>
        <charset val="1"/>
      </rPr>
      <t xml:space="preserve">I-6. </t>
    </r>
    <r>
      <rPr>
        <b val="true"/>
        <sz val="10"/>
        <rFont val="Noto Sans CJK SC"/>
        <family val="2"/>
      </rPr>
      <t xml:space="preserve">對照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</si>
  <si>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C63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，本單不改）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</si>
  <si>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</si>
  <si>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的差即「模型現行假設（不跌價）」與「牌價序列推得」的差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</si>
  <si>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C236:E236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</si>
  <si>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類比區間（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租金指數，摘要級；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）</t>
    </r>
  </si>
  <si>
    <t xml:space="preserve">0.42–0.70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</si>
  <si>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（文字）</t>
    </r>
  </si>
  <si>
    <r>
      <rPr>
        <sz val="9"/>
        <color rgb="FF595959"/>
        <rFont val="Arial"/>
        <family val="0"/>
        <charset val="1"/>
      </rPr>
      <t xml:space="preserve">v5.22 X7 </t>
    </r>
    <r>
      <rPr>
        <sz val="9"/>
        <color rgb="FF595959"/>
        <rFont val="Noto Sans CJK SC"/>
        <family val="2"/>
      </rPr>
      <t xml:space="preserve">的類比證據；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0.6426 </t>
    </r>
    <r>
      <rPr>
        <sz val="9"/>
        <color rgb="FF595959"/>
        <rFont val="Noto Sans CJK SC"/>
        <family val="2"/>
      </rPr>
      <t xml:space="preserve">落在其內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</si>
  <si>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Gov_Map CTL_PriceLife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GM593 </t>
    </r>
    <r>
      <rPr>
        <sz val="10"/>
        <color rgb="FF000000"/>
        <rFont val="Noto Sans CJK SC"/>
        <family val="2"/>
      </rPr>
      <t xml:space="preserve">低／高）</t>
    </r>
  </si>
  <si>
    <r>
      <rPr>
        <sz val="9"/>
        <color rgb="FF595959"/>
        <rFont val="Noto Sans CJK SC"/>
        <family val="2"/>
      </rPr>
      <t xml:space="preserve">文字；區間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Gov_Map GM593 K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讀取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</si>
  <si>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C238:E238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</si>
  <si>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I-7. </t>
    </r>
    <r>
      <rPr>
        <b val="true"/>
        <sz val="10"/>
        <rFont val="Noto Sans CJK SC"/>
        <family val="2"/>
      </rPr>
      <t xml:space="preserve">「必須為真」：回本所需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L1_FleetBreakeven2025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IF_Util × CTL_ProdDerate × m</t>
    </r>
    <r>
      <rPr>
        <b val="true"/>
        <sz val="10"/>
        <rFont val="Noto Sans CJK SC"/>
        <family val="2"/>
      </rPr>
      <t xml:space="preserve">）（</t>
    </r>
    <r>
      <rPr>
        <b val="true"/>
        <sz val="10"/>
        <rFont val="Arial"/>
        <family val="0"/>
        <charset val="1"/>
      </rPr>
      <t xml:space="preserve">v8.0 L4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機隊口徑，成本用 </t>
    </r>
    <r>
      <rPr>
        <b val="true"/>
        <sz val="10"/>
        <rFont val="Arial"/>
        <family val="0"/>
        <charset val="1"/>
      </rPr>
      <t xml:space="preserve">AL_HoldGen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AL_Mix* </t>
    </r>
    <r>
      <rPr>
        <b val="true"/>
        <sz val="10"/>
        <rFont val="Noto Sans CJK SC"/>
        <family val="2"/>
      </rPr>
      <t xml:space="preserve">加權、營收用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單價；原 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口徑見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L1_LReqFleet_VR200</t>
    </r>
    <r>
      <rPr>
        <b val="true"/>
        <sz val="10"/>
        <rFont val="Noto Sans CJK SC"/>
        <family val="2"/>
      </rPr>
      <t xml:space="preserve">）；與 </t>
    </r>
    <r>
      <rPr>
        <b val="true"/>
        <sz val="10"/>
        <rFont val="Arial"/>
        <family val="0"/>
        <charset val="1"/>
      </rPr>
      <t xml:space="preserve">H6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「必須為真」並列。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取高端（所需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低）、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取低端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</si>
  <si>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L1_MFleet_Lo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L1_LReqFleet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</si>
  <si>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L1_MAPI_Hi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L1_MAPI_Lo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</si>
  <si>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v9.0 M6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L1_FleetBreakeven2025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m_API </t>
    </r>
    <r>
      <rPr>
        <sz val="9"/>
        <color rgb="FF595959"/>
        <rFont val="Noto Sans CJK SC"/>
        <family val="2"/>
      </rPr>
      <t xml:space="preserve">亦用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CAP_Price25Mix</t>
    </r>
    <r>
      <rPr>
        <sz val="9"/>
        <color rgb="FF595959"/>
        <rFont val="Noto Sans CJK SC"/>
        <family val="2"/>
      </rPr>
      <t xml:space="preserve">）；基準值見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對應列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</si>
  <si>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</si>
  <si>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0.3645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</si>
  <si>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C242:E242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</si>
  <si>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Noto Sans CJK SC"/>
        <family val="2"/>
      </rPr>
      <t xml:space="preserve">判讀：</t>
    </r>
    <r>
      <rPr>
        <sz val="10"/>
        <color rgb="FF000000"/>
        <rFont val="Arial"/>
        <family val="0"/>
        <charset val="1"/>
      </rPr>
      <t xml:space="preserve">L_total ≥ </t>
    </r>
    <r>
      <rPr>
        <sz val="10"/>
        <color rgb="FF000000"/>
        <rFont val="Noto Sans CJK SC"/>
        <family val="2"/>
      </rPr>
      <t xml:space="preserve">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）；同欄比較</t>
    </r>
  </si>
  <si>
    <r>
      <rPr>
        <sz val="9"/>
        <color rgb="FF595959"/>
        <rFont val="Noto Sans CJK SC"/>
        <family val="2"/>
      </rPr>
      <t xml:space="preserve">文字；基準 </t>
    </r>
    <r>
      <rPr>
        <sz val="9"/>
        <color rgb="FF595959"/>
        <rFont val="Arial"/>
        <family val="0"/>
        <charset val="1"/>
      </rPr>
      <t xml:space="preserve">0.6426 ≥ 0.5237 → </t>
    </r>
    <r>
      <rPr>
        <sz val="9"/>
        <color rgb="FF595959"/>
        <rFont val="Noto Sans CJK SC"/>
        <family val="2"/>
      </rPr>
      <t xml:space="preserve">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</si>
  <si>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C243:E243</t>
    </r>
    <r>
      <rPr>
        <sz val="9"/>
        <color rgb="FF595959"/>
        <rFont val="Noto Sans CJK SC"/>
        <family val="2"/>
      </rPr>
      <t xml:space="preserve">（驗證列）</t>
    </r>
  </si>
  <si>
    <r>
      <rPr>
        <b val="true"/>
        <sz val="10"/>
        <rFont val="Arial"/>
        <family val="0"/>
        <charset val="1"/>
      </rPr>
      <t xml:space="preserve">J. v5.36 </t>
    </r>
    <r>
      <rPr>
        <b val="true"/>
        <sz val="10"/>
        <rFont val="Noto Sans CJK SC"/>
        <family val="2"/>
      </rPr>
      <t xml:space="preserve">補列（工作單 </t>
    </r>
    <r>
      <rPr>
        <b val="true"/>
        <sz val="10"/>
        <rFont val="Arial"/>
        <family val="0"/>
        <charset val="1"/>
      </rPr>
      <t xml:space="preserve">v5.36 r0 B4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B5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；工作單把缺口恆等式兩列置於 </t>
    </r>
    <r>
      <rPr>
        <b val="true"/>
        <sz val="10"/>
        <rFont val="Arial"/>
        <family val="0"/>
        <charset val="1"/>
      </rPr>
      <t xml:space="preserve">H9</t>
    </r>
    <r>
      <rPr>
        <b val="true"/>
        <sz val="10"/>
        <rFont val="Noto Sans CJK SC"/>
        <family val="2"/>
      </rPr>
      <t xml:space="preserve">，為不移動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I </t>
    </r>
    <r>
      <rPr>
        <b val="true"/>
        <sz val="10"/>
        <rFont val="Noto Sans CJK SC"/>
        <family val="2"/>
      </rPr>
      <t xml:space="preserve">節已登錄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儲存格，本版附於本節）。欄位：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依各列說明（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κ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低／高；恆等式列＝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低端、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高端）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</si>
  <si>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）　→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</si>
  <si>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（連結 </t>
    </r>
    <r>
      <rPr>
        <sz val="9"/>
        <color rgb="FF595959"/>
        <rFont val="Arial"/>
        <family val="0"/>
        <charset val="1"/>
      </rPr>
      <t xml:space="preserve">Alloc_In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</si>
  <si>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列乘入有效服務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</si>
  <si>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以前的 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Sens_Perf W98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Y98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起不進落差分解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</si>
  <si>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（對照）</t>
    </r>
  </si>
  <si>
    <r>
      <rPr>
        <sz val="9"/>
        <color rgb="FF595959"/>
        <rFont val="Noto Sans CJK SC"/>
        <family val="2"/>
      </rPr>
      <t xml:space="preserve">固定輸出 </t>
    </r>
    <r>
      <rPr>
        <sz val="9"/>
        <color rgb="FF595959"/>
        <rFont val="Arial"/>
        <family val="0"/>
        <charset val="1"/>
      </rPr>
      <t xml:space="preserve">2K </t>
    </r>
    <r>
      <rPr>
        <sz val="9"/>
        <color rgb="FF595959"/>
        <rFont val="Noto Sans CJK SC"/>
        <family val="2"/>
      </rPr>
      <t xml:space="preserve">下縮短輸入到 </t>
    </r>
    <r>
      <rPr>
        <sz val="9"/>
        <color rgb="FF595959"/>
        <rFont val="Arial"/>
        <family val="0"/>
        <charset val="1"/>
      </rPr>
      <t xml:space="preserve">4K </t>
    </r>
    <r>
      <rPr>
        <sz val="9"/>
        <color rgb="FF595959"/>
        <rFont val="Noto Sans CJK SC"/>
        <family val="2"/>
      </rPr>
      <t xml:space="preserve">的讀法 </t>
    </r>
    <r>
      <rPr>
        <sz val="9"/>
        <color rgb="FF595959"/>
        <rFont val="Arial"/>
        <family val="0"/>
        <charset val="1"/>
      </rPr>
      <t xml:space="preserve">2.3065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64K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0.5182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）；改用實際輸入輸出比後消失（</t>
    </r>
    <r>
      <rPr>
        <sz val="9"/>
        <color rgb="FF595959"/>
        <rFont val="Arial"/>
        <family val="0"/>
        <charset val="1"/>
      </rPr>
      <t xml:space="preserve">κ </t>
    </r>
    <r>
      <rPr>
        <sz val="9"/>
        <color rgb="FF595959"/>
        <rFont val="Noto Sans CJK SC"/>
        <family val="2"/>
      </rPr>
      <t xml:space="preserve">取代，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</si>
  <si>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C246:E246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</si>
  <si>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J-1. </t>
    </r>
    <r>
      <rPr>
        <b val="true"/>
        <sz val="10"/>
        <rFont val="Noto Sans CJK SC"/>
        <family val="2"/>
      </rPr>
      <t xml:space="preserve">落差分解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的閉式（</t>
    </r>
    <r>
      <rPr>
        <b val="true"/>
        <sz val="10"/>
        <rFont val="Arial"/>
        <family val="0"/>
        <charset val="1"/>
      </rPr>
      <t xml:space="preserve">B5.1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隨每則提示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數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變動——</t>
    </r>
    <r>
      <rPr>
        <b val="true"/>
        <sz val="10"/>
        <rFont val="Arial"/>
        <family val="0"/>
        <charset val="1"/>
      </rPr>
      <t xml:space="preserve">GW(τ)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AL_DAPI ÷ </t>
    </r>
    <r>
      <rPr>
        <b val="true"/>
        <sz val="10"/>
        <rFont val="Noto Sans CJK SC"/>
        <family val="2"/>
      </rPr>
      <t xml:space="preserve">付費產能 ＋ </t>
    </r>
    <r>
      <rPr>
        <b val="true"/>
        <sz val="10"/>
        <rFont val="Arial"/>
        <family val="0"/>
        <charset val="1"/>
      </rPr>
      <t xml:space="preserve">τ × SRC_DEM_012 × 365 ×</t>
    </r>
    <r>
      <rPr>
        <b val="true"/>
        <sz val="10"/>
        <rFont val="Noto Sans CJK SC"/>
        <family val="2"/>
      </rPr>
      <t xml:space="preserve">［</t>
    </r>
    <r>
      <rPr>
        <b val="true"/>
        <sz val="10"/>
        <rFont val="Arial"/>
        <family val="0"/>
        <charset val="1"/>
      </rPr>
      <t xml:space="preserve">(1 − </t>
    </r>
    <r>
      <rPr>
        <b val="true"/>
        <sz val="10"/>
        <rFont val="Noto Sans CJK SC"/>
        <family val="2"/>
      </rPr>
      <t xml:space="preserve">免費占比</t>
    </r>
    <r>
      <rPr>
        <b val="true"/>
        <sz val="10"/>
        <rFont val="Arial"/>
        <family val="0"/>
        <charset val="1"/>
      </rPr>
      <t xml:space="preserve">) ÷ </t>
    </r>
    <r>
      <rPr>
        <b val="true"/>
        <sz val="10"/>
        <rFont val="Noto Sans CJK SC"/>
        <family val="2"/>
      </rPr>
      <t xml:space="preserve">付費產能 ＋ 免費占比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免費產能］（</t>
    </r>
    <r>
      <rPr>
        <b val="true"/>
        <sz val="10"/>
        <rFont val="Arial"/>
        <family val="0"/>
        <charset val="1"/>
      </rPr>
      <t xml:space="preserve">Alloc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5–11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24–28 </t>
    </r>
    <r>
      <rPr>
        <b val="true"/>
        <sz val="10"/>
        <rFont val="Noto Sans CJK SC"/>
        <family val="2"/>
      </rPr>
      <t xml:space="preserve">列同式）</t>
    </r>
  </si>
  <si>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AL_TokPerPrompt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＝低端（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＝高端（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</si>
  <si>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（連結）</t>
    </r>
  </si>
  <si>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</si>
  <si>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同上列）</t>
    </r>
  </si>
  <si>
    <r>
      <rPr>
        <sz val="9"/>
        <color rgb="FF595959"/>
        <rFont val="Noto Sans CJK SC"/>
        <family val="2"/>
      </rPr>
      <t xml:space="preserve">基準欄＝</t>
    </r>
    <r>
      <rPr>
        <sz val="9"/>
        <color rgb="FF595959"/>
        <rFont val="Arial"/>
        <family val="0"/>
        <charset val="1"/>
      </rPr>
      <t xml:space="preserve">AL_ServeGW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0.1826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</si>
  <si>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</si>
  <si>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0.1403</t>
    </r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</si>
  <si>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＝有效倍數：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L1_GapPrompt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</si>
  <si>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1.3013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不隨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變，故小於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比值 </t>
    </r>
    <r>
      <rPr>
        <sz val="9"/>
        <color rgb="FF595959"/>
        <rFont val="Arial"/>
        <family val="0"/>
        <charset val="1"/>
      </rPr>
      <t xml:space="preserve">2.0</t>
    </r>
    <r>
      <rPr>
        <sz val="9"/>
        <color rgb="FF595959"/>
        <rFont val="Noto Sans CJK SC"/>
        <family val="2"/>
      </rPr>
      <t xml:space="preserve">（把 </t>
    </r>
    <r>
      <rPr>
        <sz val="9"/>
        <color rgb="FF595959"/>
        <rFont val="Arial"/>
        <family val="0"/>
        <charset val="1"/>
      </rPr>
      <t xml:space="preserve">τ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2.0 </t>
    </r>
    <r>
      <rPr>
        <sz val="9"/>
        <color rgb="FF595959"/>
        <rFont val="Noto Sans CJK SC"/>
        <family val="2"/>
      </rPr>
      <t xml:space="preserve">算了兩次，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3.1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</si>
  <si>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自我檢查：基準欄 </t>
    </r>
    <r>
      <rPr>
        <sz val="10"/>
        <color rgb="FF000000"/>
        <rFont val="Arial"/>
        <family val="0"/>
        <charset val="1"/>
      </rPr>
      <t xml:space="preserve">GW(τ)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AL_ServeGW </t>
    </r>
    <r>
      <rPr>
        <sz val="10"/>
        <color rgb="FF000000"/>
        <rFont val="Noto Sans CJK SC"/>
        <family val="2"/>
      </rPr>
      <t xml:space="preserve">的相對差（應為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</si>
  <si>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閉式與 </t>
    </r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逐列推導一致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</si>
  <si>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C252</t>
    </r>
    <r>
      <rPr>
        <sz val="9"/>
        <color rgb="FF595959"/>
        <rFont val="Noto Sans CJK SC"/>
        <family val="2"/>
      </rPr>
      <t xml:space="preserve">（驗證列）</t>
    </r>
  </si>
  <si>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AL_ServeGWSpend ÷ GW(2,000)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L1_ScaleServe2000</t>
    </r>
  </si>
  <si>
    <r>
      <rPr>
        <sz val="9"/>
        <color rgb="FF595959"/>
        <rFont val="Arial"/>
        <family val="0"/>
        <charset val="1"/>
      </rPr>
      <t xml:space="preserve">6.401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的外部對照（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基準）；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τ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Alloc_In C15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4.919</t>
    </r>
  </si>
  <si>
    <r>
      <rPr>
        <b val="true"/>
        <sz val="10"/>
        <rFont val="Arial"/>
        <family val="0"/>
        <charset val="1"/>
      </rPr>
      <t xml:space="preserve">J-2. </t>
    </r>
    <r>
      <rPr>
        <b val="true"/>
        <sz val="10"/>
        <rFont val="Noto Sans CJK SC"/>
        <family val="2"/>
      </rPr>
      <t xml:space="preserve">缺口恆等式（</t>
    </r>
    <r>
      <rPr>
        <b val="true"/>
        <sz val="10"/>
        <rFont val="Arial"/>
        <family val="0"/>
        <charset val="1"/>
      </rPr>
      <t xml:space="preserve">B5.4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ScaleServe ÷</t>
    </r>
    <r>
      <rPr>
        <b val="true"/>
        <sz val="10"/>
        <rFont val="Noto Sans CJK SC"/>
        <family val="2"/>
      </rPr>
      <t xml:space="preserve">（計價倍數 </t>
    </r>
    <r>
      <rPr>
        <b val="true"/>
        <sz val="10"/>
        <rFont val="Arial"/>
        <family val="0"/>
        <charset val="1"/>
      </rPr>
      <t xml:space="preserve">× IF_Util ÷</t>
    </r>
    <r>
      <rPr>
        <b val="true"/>
        <sz val="10"/>
        <rFont val="Noto Sans CJK SC"/>
        <family val="2"/>
      </rPr>
      <t xml:space="preserve">（實際利用率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））＝</t>
    </r>
    <r>
      <rPr>
        <b val="true"/>
        <sz val="10"/>
        <rFont val="Arial"/>
        <family val="0"/>
        <charset val="1"/>
      </rPr>
      <t xml:space="preserve">1 ÷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174 </t>
    </r>
    <r>
      <rPr>
        <b val="true"/>
        <sz val="10"/>
        <rFont val="Noto Sans CJK SC"/>
        <family val="2"/>
      </rPr>
      <t xml:space="preserve">列（需求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機隊的倒數）；驗算差須為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（基準欄；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欄的需求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隨 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區間端點改變，恆等式只在基準欄成立）</t>
    </r>
  </si>
  <si>
    <r>
      <rPr>
        <sz val="10"/>
        <color rgb="FF000000"/>
        <rFont val="Noto Sans CJK SC"/>
        <family val="2"/>
      </rPr>
      <t xml:space="preserve">缺口恆等式：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</si>
  <si>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Noto Sans CJK SC"/>
        <family val="2"/>
      </rPr>
      <t xml:space="preserve">驗算差：恆等式 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列（須為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</si>
  <si>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Info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M5</t>
    </r>
    <r>
      <rPr>
        <sz val="9"/>
        <color rgb="FF595959"/>
        <rFont val="Noto Sans CJK SC"/>
        <family val="2"/>
      </rPr>
      <t xml:space="preserve">（基準欄）</t>
    </r>
  </si>
  <si>
    <r>
      <rPr>
        <b val="true"/>
        <sz val="10"/>
        <rFont val="Arial"/>
        <family val="0"/>
        <charset val="1"/>
      </rPr>
      <t xml:space="preserve">J-3. </t>
    </r>
    <r>
      <rPr>
        <b val="true"/>
        <sz val="10"/>
        <rFont val="Noto Sans CJK SC"/>
        <family val="2"/>
      </rPr>
      <t xml:space="preserve">價格時間錯配 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B6</t>
    </r>
    <r>
      <rPr>
        <b val="true"/>
        <sz val="10"/>
        <rFont val="Noto Sans CJK SC"/>
        <family val="2"/>
      </rPr>
      <t xml:space="preserve">；顯示用，不進任何計算）：</t>
    </r>
    <r>
      <rPr>
        <b val="true"/>
        <sz val="10"/>
        <rFont val="Arial"/>
        <family val="0"/>
        <charset val="1"/>
      </rPr>
      <t xml:space="preserve">ρ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中階牌價（時間加權）</t>
    </r>
    <r>
      <rPr>
        <b val="true"/>
        <sz val="10"/>
        <rFont val="Arial"/>
        <family val="0"/>
        <charset val="1"/>
      </rPr>
      <t xml:space="preserve">÷ 2026-09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。單價為參考請求（</t>
    </r>
    <r>
      <rPr>
        <b val="true"/>
        <sz val="10"/>
        <rFont val="Arial"/>
        <family val="0"/>
        <charset val="1"/>
      </rPr>
      <t xml:space="preserve">16K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2K </t>
    </r>
    <r>
      <rPr>
        <b val="true"/>
        <sz val="10"/>
        <rFont val="Noto Sans CJK SC"/>
        <family val="2"/>
      </rPr>
      <t xml:space="preserve">出／</t>
    </r>
    <r>
      <rPr>
        <b val="true"/>
        <sz val="10"/>
        <rFont val="Arial"/>
        <family val="0"/>
        <charset val="1"/>
      </rPr>
      <t xml:space="preserve">χ 0.55</t>
    </r>
    <r>
      <rPr>
        <b val="true"/>
        <sz val="10"/>
        <rFont val="Noto Sans CJK SC"/>
        <family val="2"/>
      </rPr>
      <t xml:space="preserve">）的未折扣單價（</t>
    </r>
    <r>
      <rPr>
        <b val="true"/>
        <sz val="10"/>
        <rFont val="Arial"/>
        <family val="0"/>
        <charset val="1"/>
      </rPr>
      <t xml:space="preserve">$/M</t>
    </r>
    <r>
      <rPr>
        <b val="true"/>
        <sz val="10"/>
        <rFont val="Noto Sans CJK SC"/>
        <family val="2"/>
      </rPr>
      <t xml:space="preserve">），來源 </t>
    </r>
    <r>
      <rPr>
        <b val="true"/>
        <sz val="10"/>
        <rFont val="Arial"/>
        <family val="0"/>
        <charset val="1"/>
      </rPr>
      <t xml:space="preserve">v5.36A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3.3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＝單價、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年在線月數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</si>
  <si>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</si>
  <si>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（輸入；牌價等級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</si>
  <si>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07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發布前）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</si>
  <si>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</si>
  <si>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2025-08</t>
    </r>
    <r>
      <rPr>
        <sz val="9"/>
        <color rgb="FF595959"/>
        <rFont val="Noto Sans CJK SC"/>
        <family val="2"/>
      </rPr>
      <t xml:space="preserve">～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</si>
  <si>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＝參考請求單價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年在線月數）</t>
    </r>
  </si>
  <si>
    <r>
      <rPr>
        <sz val="9"/>
        <color rgb="FF595959"/>
        <rFont val="Noto Sans CJK SC"/>
        <family val="2"/>
      </rPr>
      <t xml:space="preserve">牌價等級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G0-7</t>
    </r>
    <r>
      <rPr>
        <sz val="9"/>
        <color rgb="FF595959"/>
        <rFont val="Noto Sans CJK SC"/>
        <family val="2"/>
      </rPr>
      <t xml:space="preserve">），待一手確認；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月（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</si>
  <si>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參考請求單價（未折扣）＝</t>
    </r>
    <r>
      <rPr>
        <sz val="10"/>
        <color rgb="FF000000"/>
        <rFont val="Arial"/>
        <family val="0"/>
        <charset val="1"/>
      </rPr>
      <t xml:space="preserve">IF_PriceRef_Sol ÷ (1 − B4_Disc)</t>
    </r>
  </si>
  <si>
    <r>
      <rPr>
        <sz val="9"/>
        <color rgb="FF595959"/>
        <rFont val="Arial"/>
        <family val="0"/>
        <charset val="1"/>
      </rPr>
      <t xml:space="preserve">2.009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1.6071 ÷ 0.8</t>
    </r>
    <r>
      <rPr>
        <sz val="9"/>
        <color rgb="FF595959"/>
        <rFont val="Noto Sans CJK SC"/>
        <family val="2"/>
      </rPr>
      <t xml:space="preserve">（折扣 </t>
    </r>
    <r>
      <rPr>
        <sz val="9"/>
        <color rgb="FF595959"/>
        <rFont val="Arial"/>
        <family val="0"/>
        <charset val="1"/>
      </rPr>
      <t xml:space="preserve">B4_Disc </t>
    </r>
    <r>
      <rPr>
        <sz val="9"/>
        <color rgb="FF595959"/>
        <rFont val="Noto Sans CJK SC"/>
        <family val="2"/>
      </rPr>
      <t xml:space="preserve">兩邊約掉）；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</si>
  <si>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</si>
  <si>
    <t xml:space="preserve">2.340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</si>
  <si>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＝下限：三者最低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＝上限：三者最高 </t>
    </r>
    <r>
      <rPr>
        <sz val="10"/>
        <color rgb="FF000000"/>
        <rFont val="Arial"/>
        <family val="0"/>
        <charset val="1"/>
      </rPr>
      <t xml:space="preserve">÷ 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</si>
  <si>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1.165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0.83–1.36</t>
    </r>
    <r>
      <rPr>
        <sz val="9"/>
        <color rgb="FF595959"/>
        <rFont val="Noto Sans CJK SC"/>
        <family val="2"/>
      </rPr>
      <t xml:space="preserve">；下限 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GPT-4o</t>
    </r>
    <r>
      <rPr>
        <sz val="9"/>
        <color rgb="FF595959"/>
        <rFont val="Noto Sans CJK SC"/>
        <family val="2"/>
      </rPr>
      <t xml:space="preserve">）；實收單價（美元）本身是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2025 token </t>
    </r>
    <r>
      <rPr>
        <sz val="9"/>
        <color rgb="FF595959"/>
        <rFont val="Noto Sans CJK SC"/>
        <family val="2"/>
      </rPr>
      <t xml:space="preserve">的觀測，不受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影響；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只改變「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是定價打折」或「牌價下降」的解讀（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3.3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</si>
  <si>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【各版演進記錄：括號內與各段數字為該版當時值，現值以各列公式為準】讀法（</t>
    </r>
    <r>
      <rPr>
        <sz val="9"/>
        <color rgb="FF595959"/>
        <rFont val="Arial"/>
        <family val="0"/>
        <charset val="1"/>
      </rPr>
      <t xml:space="preserve">v5.33 </t>
    </r>
    <r>
      <rPr>
        <sz val="9"/>
        <color rgb="FF595959"/>
        <rFont val="Noto Sans CJK SC"/>
        <family val="2"/>
      </rPr>
      <t xml:space="preserve">改寫）：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需求路線 </t>
    </r>
    <r>
      <rPr>
        <sz val="9"/>
        <color rgb="FF595959"/>
        <rFont val="Arial"/>
        <family val="0"/>
        <charset val="1"/>
      </rPr>
      <t xml:space="preserve">L1_MImplied &gt; 1 </t>
    </r>
    <r>
      <rPr>
        <sz val="9"/>
        <color rgb="FF595959"/>
        <rFont val="Noto Sans CJK SC"/>
        <family val="2"/>
      </rPr>
      <t xml:space="preserve">的主因不在每則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與付費占比（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各只能放大 ≤</t>
    </r>
    <r>
      <rPr>
        <sz val="9"/>
        <color rgb="FF595959"/>
        <rFont val="Arial"/>
        <family val="0"/>
        <charset val="1"/>
      </rPr>
      <t xml:space="preserve">1.8</t>
    </r>
    <r>
      <rPr>
        <sz val="9"/>
        <color rgb="FF595959"/>
        <rFont val="Noto Sans CJK SC"/>
        <family val="2"/>
      </rPr>
      <t xml:space="preserve">、≤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倍），而在需求路線沒數到的機隊產出（</t>
    </r>
    <r>
      <rPr>
        <sz val="9"/>
        <color rgb="FF595959"/>
        <rFont val="Arial"/>
        <family val="0"/>
        <charset val="1"/>
      </rPr>
      <t xml:space="preserve">H7</t>
    </r>
    <r>
      <rPr>
        <sz val="9"/>
        <color rgb="FF595959"/>
        <rFont val="Noto Sans CJK SC"/>
        <family val="2"/>
      </rPr>
      <t xml:space="preserve">：支出路線服務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實際產出）；</t>
    </r>
    <r>
      <rPr>
        <sz val="9"/>
        <color rgb="FF595959"/>
        <rFont val="Arial"/>
        <family val="0"/>
        <charset val="1"/>
      </rPr>
      <t xml:space="preserve">(2) </t>
    </r>
    <r>
      <rPr>
        <sz val="9"/>
        <color rgb="FF595959"/>
        <rFont val="Noto Sans CJK SC"/>
        <family val="2"/>
      </rPr>
      <t xml:space="preserve">對回本條件有意義的是機隊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，點估計）與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下限（上限讀法）；</t>
    </r>
    <r>
      <rPr>
        <sz val="9"/>
        <color rgb="FF595959"/>
        <rFont val="Arial"/>
        <family val="0"/>
        <charset val="1"/>
      </rPr>
      <t xml:space="preserve">(3) m &lt; 1 </t>
    </r>
    <r>
      <rPr>
        <sz val="9"/>
        <color rgb="FF595959"/>
        <rFont val="Noto Sans CJK SC"/>
        <family val="2"/>
      </rPr>
      <t xml:space="preserve">時回本條件改為 </t>
    </r>
    <r>
      <rPr>
        <sz val="9"/>
        <color rgb="FF595959"/>
        <rFont val="Arial"/>
        <family val="0"/>
        <charset val="1"/>
      </rPr>
      <t xml:space="preserve">L ≥ L1_FleetBreakeven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IF_Util × CTL_ProdDerate × m</t>
    </r>
    <r>
      <rPr>
        <sz val="9"/>
        <color rgb="FF595959"/>
        <rFont val="Noto Sans CJK SC"/>
        <family val="2"/>
      </rPr>
      <t xml:space="preserve">），例如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0.6 </t>
    </r>
    <r>
      <rPr>
        <sz val="9"/>
        <color rgb="FF595959"/>
        <rFont val="Noto Sans CJK SC"/>
        <family val="2"/>
      </rPr>
      <t xml:space="preserve">時需 </t>
    </r>
    <r>
      <rPr>
        <sz val="9"/>
        <color rgb="FF595959"/>
        <rFont val="Arial"/>
        <family val="0"/>
        <charset val="1"/>
      </rPr>
      <t xml:space="preserve">L ≥ 0.49</t>
    </r>
    <r>
      <rPr>
        <sz val="9"/>
        <color rgb="FF595959"/>
        <rFont val="Noto Sans CJK SC"/>
        <family val="2"/>
      </rPr>
      <t xml:space="preserve">，在 </t>
    </r>
    <r>
      <rPr>
        <sz val="9"/>
        <color rgb="FF595959"/>
        <rFont val="Arial"/>
        <family val="0"/>
        <charset val="1"/>
      </rPr>
      <t xml:space="preserve">L1_GapUtil </t>
    </r>
    <r>
      <rPr>
        <sz val="9"/>
        <color rgb="FF595959"/>
        <rFont val="Noto Sans CJK SC"/>
        <family val="2"/>
      </rPr>
      <t xml:space="preserve">的實際利用率下需 </t>
    </r>
    <r>
      <rPr>
        <sz val="9"/>
        <color rgb="FF595959"/>
        <rFont val="Arial"/>
        <family val="0"/>
        <charset val="1"/>
      </rPr>
      <t xml:space="preserve">L ≥ 0.72</t>
    </r>
    <r>
      <rPr>
        <sz val="9"/>
        <color rgb="FF595959"/>
        <rFont val="Noto Sans CJK SC"/>
        <family val="2"/>
      </rPr>
      <t xml:space="preserve">，超過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類比區間上緣 </t>
    </r>
    <r>
      <rPr>
        <sz val="9"/>
        <color rgb="FF595959"/>
        <rFont val="Arial"/>
        <family val="0"/>
        <charset val="1"/>
      </rPr>
      <t xml:space="preserve">0.70</t>
    </r>
    <r>
      <rPr>
        <sz val="9"/>
        <color rgb="FF595959"/>
        <rFont val="Noto Sans CJK SC"/>
        <family val="2"/>
      </rPr>
      <t xml:space="preserve">（照 </t>
    </r>
    <r>
      <rPr>
        <sz val="9"/>
        <color rgb="FF595959"/>
        <rFont val="Arial"/>
        <family val="0"/>
        <charset val="1"/>
      </rPr>
      <t xml:space="preserve">v5.32</t>
    </r>
    <r>
      <rPr>
        <sz val="9"/>
        <color rgb="FF595959"/>
        <rFont val="Noto Sans CJK SC"/>
        <family val="2"/>
      </rPr>
      <t xml:space="preserve">）。外部分母（</t>
    </r>
    <r>
      <rPr>
        <sz val="9"/>
        <color rgb="FF595959"/>
        <rFont val="Arial"/>
        <family val="0"/>
        <charset val="1"/>
      </rPr>
      <t xml:space="preserve">H3 (ii)</t>
    </r>
    <r>
      <rPr>
        <sz val="9"/>
        <color rgb="FF595959"/>
        <rFont val="Noto Sans CJK SC"/>
        <family val="2"/>
      </rPr>
      <t xml:space="preserve">）的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區間跨一個數量級；程式代理對照列（</t>
    </r>
    <r>
      <rPr>
        <sz val="9"/>
        <color rgb="FF595959"/>
        <rFont val="Arial"/>
        <family val="0"/>
        <charset val="1"/>
      </rPr>
      <t xml:space="preserve">H6</t>
    </r>
    <r>
      <rPr>
        <sz val="9"/>
        <color rgb="FF595959"/>
        <rFont val="Noto Sans CJK SC"/>
        <family val="2"/>
      </rPr>
      <t xml:space="preserve">）不進合併。追蹤規則（</t>
    </r>
    <r>
      <rPr>
        <sz val="9"/>
        <color rgb="FF595959"/>
        <rFont val="Arial"/>
        <family val="0"/>
        <charset val="1"/>
      </rPr>
      <t xml:space="preserve">J5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X24</t>
    </r>
    <r>
      <rPr>
        <sz val="9"/>
        <color rgb="FF595959"/>
        <rFont val="Noto Sans CJK SC"/>
        <family val="2"/>
      </rPr>
      <t xml:space="preserve">）：每次升版檢查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的新揭露，另加季度檢查。 ｜</t>
    </r>
    <r>
      <rPr>
        <sz val="9"/>
        <color rgb="FF595959"/>
        <rFont val="Arial"/>
        <family val="0"/>
        <charset val="1"/>
      </rPr>
      <t xml:space="preserve">v5.34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(4) m </t>
    </r>
    <r>
      <rPr>
        <sz val="9"/>
        <color rgb="FF595959"/>
        <rFont val="Noto Sans CJK SC"/>
        <family val="2"/>
      </rPr>
      <t xml:space="preserve">按收費模式拆開後（</t>
    </r>
    <r>
      <rPr>
        <sz val="9"/>
        <color rgb="FF595959"/>
        <rFont val="Arial"/>
        <family val="0"/>
        <charset val="1"/>
      </rPr>
      <t xml:space="preserve">H8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m_API 0.56 </t>
    </r>
    <r>
      <rPr>
        <sz val="9"/>
        <color rgb="FF595959"/>
        <rFont val="Noto Sans CJK SC"/>
        <family val="2"/>
      </rPr>
      <t xml:space="preserve">大部分來自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組合偏離參考請求（隱含組合因子 </t>
    </r>
    <r>
      <rPr>
        <sz val="9"/>
        <color rgb="FF595959"/>
        <rFont val="Arial"/>
        <family val="0"/>
        <charset val="1"/>
      </rPr>
      <t xml:space="preserve">0.56</t>
    </r>
    <r>
      <rPr>
        <sz val="9"/>
        <color rgb="FF595959"/>
        <rFont val="Noto Sans CJK SC"/>
        <family val="2"/>
      </rPr>
      <t xml:space="preserve">，折讓因子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），不是折讓；消費訂閱 </t>
    </r>
    <r>
      <rPr>
        <sz val="9"/>
        <color rgb="FF595959"/>
        <rFont val="Arial"/>
        <family val="0"/>
        <charset val="1"/>
      </rPr>
      <t xml:space="preserve">m 4.3 </t>
    </r>
    <r>
      <rPr>
        <sz val="9"/>
        <color rgb="FF595959"/>
        <rFont val="Noto Sans CJK SC"/>
        <family val="2"/>
      </rPr>
      <t xml:space="preserve">與商用席次 </t>
    </r>
    <r>
      <rPr>
        <sz val="9"/>
        <color rgb="FF595959"/>
        <rFont val="Arial"/>
        <family val="0"/>
        <charset val="1"/>
      </rPr>
      <t xml:space="preserve">m 1.8 </t>
    </r>
    <r>
      <rPr>
        <sz val="9"/>
        <color rgb="FF595959"/>
        <rFont val="Noto Sans CJK SC"/>
        <family val="2"/>
      </rPr>
      <t xml:space="preserve">都 </t>
    </r>
    <r>
      <rPr>
        <sz val="9"/>
        <color rgb="FF595959"/>
        <rFont val="Arial"/>
        <family val="0"/>
        <charset val="1"/>
      </rPr>
      <t xml:space="preserve">&gt; 1</t>
    </r>
    <r>
      <rPr>
        <sz val="9"/>
        <color rgb="FF595959"/>
        <rFont val="Noto Sans CJK SC"/>
        <family val="2"/>
      </rPr>
      <t xml:space="preserve">，需求路線的 </t>
    </r>
    <r>
      <rPr>
        <sz val="9"/>
        <color rgb="FF595959"/>
        <rFont val="Arial"/>
        <family val="0"/>
        <charset val="1"/>
      </rPr>
      <t xml:space="preserve">m &gt; 1 </t>
    </r>
    <r>
      <rPr>
        <sz val="9"/>
        <color rgb="FF595959"/>
        <rFont val="Noto Sans CJK SC"/>
        <family val="2"/>
      </rPr>
      <t xml:space="preserve">主要落在訂閱分子。</t>
    </r>
    <r>
      <rPr>
        <sz val="9"/>
        <color rgb="FF595959"/>
        <rFont val="Arial"/>
        <family val="0"/>
        <charset val="1"/>
      </rPr>
      <t xml:space="preserve">(5) token </t>
    </r>
    <r>
      <rPr>
        <sz val="9"/>
        <color rgb="FF595959"/>
        <rFont val="Noto Sans CJK SC"/>
        <family val="2"/>
      </rPr>
      <t xml:space="preserve">帳三路線（</t>
    </r>
    <r>
      <rPr>
        <sz val="9"/>
        <color rgb="FF595959"/>
        <rFont val="Arial"/>
        <family val="0"/>
        <charset val="1"/>
      </rPr>
      <t xml:space="preserve">H9</t>
    </r>
    <r>
      <rPr>
        <sz val="9"/>
        <color rgb="FF595959"/>
        <rFont val="Noto Sans CJK SC"/>
        <family val="2"/>
      </rPr>
      <t xml:space="preserve">）：需求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機隊 </t>
    </r>
    <r>
      <rPr>
        <sz val="9"/>
        <color rgb="FF595959"/>
        <rFont val="Arial"/>
        <family val="0"/>
        <charset val="1"/>
      </rPr>
      <t xml:space="preserve">0.465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Checks M4 WARN</t>
    </r>
    <r>
      <rPr>
        <sz val="9"/>
        <color rgb="FF595959"/>
        <rFont val="Noto Sans CJK SC"/>
        <family val="2"/>
      </rPr>
      <t xml:space="preserve">，預期）、需求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0.319</t>
    </r>
    <r>
      <rPr>
        <sz val="9"/>
        <color rgb="FF595959"/>
        <rFont val="Noto Sans CJK SC"/>
        <family val="2"/>
      </rPr>
      <t xml:space="preserve">；閉合解 </t>
    </r>
    <r>
      <rPr>
        <sz val="9"/>
        <color rgb="FF595959"/>
        <rFont val="Arial"/>
        <family val="0"/>
        <charset val="1"/>
      </rPr>
      <t xml:space="preserve">τ* ≈ 13,950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，高於 </t>
    </r>
    <r>
      <rPr>
        <sz val="9"/>
        <color rgb="FF595959"/>
        <rFont val="Arial"/>
        <family val="0"/>
        <charset val="1"/>
      </rPr>
      <t xml:space="preserve">Alloc_In C15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2,000–11,000</t>
    </r>
    <r>
      <rPr>
        <sz val="9"/>
        <color rgb="FF595959"/>
        <rFont val="Noto Sans CJK SC"/>
        <family val="2"/>
      </rPr>
      <t xml:space="preserve">，代表需求路線要與機隊產出閉合，每則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數要到 </t>
    </r>
    <r>
      <rPr>
        <sz val="9"/>
        <color rgb="FF595959"/>
        <rFont val="Arial"/>
        <family val="0"/>
        <charset val="1"/>
      </rPr>
      <t xml:space="preserve">1.4 </t>
    </r>
    <r>
      <rPr>
        <sz val="9"/>
        <color rgb="FF595959"/>
        <rFont val="Noto Sans CJK SC"/>
        <family val="2"/>
      </rPr>
      <t xml:space="preserve">萬，或機隊產出假設偏高。</t>
    </r>
    <r>
      <rPr>
        <sz val="9"/>
        <color rgb="FF595959"/>
        <rFont val="Arial"/>
        <family val="0"/>
        <charset val="1"/>
      </rPr>
      <t xml:space="preserve">(6) </t>
    </r>
    <r>
      <rPr>
        <sz val="9"/>
        <color rgb="FF595959"/>
        <rFont val="Noto Sans CJK SC"/>
        <family val="2"/>
      </rPr>
      <t xml:space="preserve">季度序列（</t>
    </r>
    <r>
      <rPr>
        <sz val="9"/>
        <color rgb="FF595959"/>
        <rFont val="Arial"/>
        <family val="0"/>
        <charset val="1"/>
      </rPr>
      <t xml:space="preserve">H10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m_API 0.35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0.78</t>
    </r>
    <r>
      <rPr>
        <sz val="9"/>
        <color rgb="FF595959"/>
        <rFont val="Noto Sans CJK SC"/>
        <family val="2"/>
      </rPr>
      <t xml:space="preserve">；只作追蹤，</t>
    </r>
    <r>
      <rPr>
        <sz val="9"/>
        <color rgb="FF595959"/>
        <rFont val="Arial"/>
        <family val="0"/>
        <charset val="1"/>
      </rPr>
      <t xml:space="preserve">CTL_Monetize </t>
    </r>
    <r>
      <rPr>
        <sz val="9"/>
        <color rgb="FF595959"/>
        <rFont val="Noto Sans CJK SC"/>
        <family val="2"/>
      </rPr>
      <t xml:space="preserve">不改（</t>
    </r>
    <r>
      <rPr>
        <sz val="9"/>
        <color rgb="FF595959"/>
        <rFont val="Arial"/>
        <family val="0"/>
        <charset val="1"/>
      </rPr>
      <t xml:space="preserve">J15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J16 </t>
    </r>
    <r>
      <rPr>
        <sz val="9"/>
        <color rgb="FF595959"/>
        <rFont val="Noto Sans CJK SC"/>
        <family val="2"/>
      </rPr>
      <t xml:space="preserve">分工規則：同時改變成本的因子（快取命中率 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、層級組合、</t>
    </r>
    <r>
      <rPr>
        <sz val="9"/>
        <color rgb="FF595959"/>
        <rFont val="Arial"/>
        <family val="0"/>
        <charset val="1"/>
      </rPr>
      <t xml:space="preserve">ISL/OSL</t>
    </r>
    <r>
      <rPr>
        <sz val="9"/>
        <color rgb="FF595959"/>
        <rFont val="Noto Sans CJK SC"/>
        <family val="2"/>
      </rPr>
      <t xml:space="preserve">）進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側，只改變營收的因子（折讓、訂閱用量落差、雲端分潤）進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J17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為實驗室視角，交付物是區間與「必須為真」。 ｜</t>
    </r>
    <r>
      <rPr>
        <sz val="9"/>
        <color rgb="FF595959"/>
        <rFont val="Arial"/>
        <family val="0"/>
        <charset val="1"/>
      </rPr>
      <t xml:space="preserve">v5.35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(7) L </t>
    </r>
    <r>
      <rPr>
        <sz val="9"/>
        <color rgb="FF595959"/>
        <rFont val="Noto Sans CJK SC"/>
        <family val="2"/>
      </rPr>
      <t xml:space="preserve">拆分（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節）：</t>
    </r>
    <r>
      <rPr>
        <sz val="9"/>
        <color rgb="FF595959"/>
        <rFont val="Arial"/>
        <family val="0"/>
        <charset val="1"/>
      </rPr>
      <t xml:space="preserve">L_total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L_price × L_demote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L_price 0.741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−10%</t>
    </r>
    <r>
      <rPr>
        <sz val="9"/>
        <color rgb="FF595959"/>
        <rFont val="Noto Sans CJK SC"/>
        <family val="2"/>
      </rPr>
      <t xml:space="preserve">／年、</t>
    </r>
    <r>
      <rPr>
        <sz val="9"/>
        <color rgb="FF595959"/>
        <rFont val="Arial"/>
        <family val="0"/>
        <charset val="1"/>
      </rPr>
      <t xml:space="preserve">T 6 </t>
    </r>
    <r>
      <rPr>
        <sz val="9"/>
        <color rgb="FF595959"/>
        <rFont val="Noto Sans CJK SC"/>
        <family val="2"/>
      </rPr>
      <t xml:space="preserve">年）、</t>
    </r>
    <r>
      <rPr>
        <sz val="9"/>
        <color rgb="FF595959"/>
        <rFont val="Arial"/>
        <family val="0"/>
        <charset val="1"/>
      </rPr>
      <t xml:space="preserve">L_demote 0.867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T1 4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ρ 0.5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L_total 0.643</t>
    </r>
    <r>
      <rPr>
        <sz val="9"/>
        <color rgb="FF595959"/>
        <rFont val="Noto Sans CJK SC"/>
        <family val="2"/>
      </rPr>
      <t xml:space="preserve">，落在 </t>
    </r>
    <r>
      <rPr>
        <sz val="9"/>
        <color rgb="FF595959"/>
        <rFont val="Arial"/>
        <family val="0"/>
        <charset val="1"/>
      </rPr>
      <t xml:space="preserve">CTL_PriceLife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0.3–1.0 </t>
    </r>
    <r>
      <rPr>
        <sz val="9"/>
        <color rgb="FF595959"/>
        <rFont val="Noto Sans CJK SC"/>
        <family val="2"/>
      </rPr>
      <t xml:space="preserve">內、接近 </t>
    </r>
    <r>
      <rPr>
        <sz val="9"/>
        <color rgb="FF595959"/>
        <rFont val="Arial"/>
        <family val="0"/>
        <charset val="1"/>
      </rPr>
      <t xml:space="preserve">E246 </t>
    </r>
    <r>
      <rPr>
        <sz val="9"/>
        <color rgb="FF595959"/>
        <rFont val="Noto Sans CJK SC"/>
        <family val="2"/>
      </rPr>
      <t xml:space="preserve">類比區間 </t>
    </r>
    <r>
      <rPr>
        <sz val="9"/>
        <color rgb="FF595959"/>
        <rFont val="Arial"/>
        <family val="0"/>
        <charset val="1"/>
      </rPr>
      <t xml:space="preserve">0.42–0.70 </t>
    </r>
    <r>
      <rPr>
        <sz val="9"/>
        <color rgb="FF595959"/>
        <rFont val="Noto Sans CJK SC"/>
        <family val="2"/>
      </rPr>
      <t xml:space="preserve">的上緣；回本所需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0.81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0.365</t>
    </r>
    <r>
      <rPr>
        <sz val="9"/>
        <color rgb="FF595959"/>
        <rFont val="Noto Sans CJK SC"/>
        <family val="2"/>
      </rPr>
      <t xml:space="preserve">、（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L1_MAPI 0.56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0.52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基準高於兩者 → 回本（</t>
    </r>
    <r>
      <rPr>
        <sz val="9"/>
        <color rgb="FF595959"/>
        <rFont val="Arial"/>
        <family val="0"/>
        <charset val="1"/>
      </rPr>
      <t xml:space="preserve">L_total </t>
    </r>
    <r>
      <rPr>
        <sz val="9"/>
        <color rgb="FF595959"/>
        <rFont val="Noto Sans CJK SC"/>
        <family val="2"/>
      </rPr>
      <t xml:space="preserve">口徑）；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低端（</t>
    </r>
    <r>
      <rPr>
        <sz val="9"/>
        <color rgb="FF595959"/>
        <rFont val="Arial"/>
        <family val="0"/>
        <charset val="1"/>
      </rPr>
      <t xml:space="preserve">g −25%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T1 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ρ 0.05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L_total 0.342</t>
    </r>
    <r>
      <rPr>
        <sz val="9"/>
        <color rgb="FF595959"/>
        <rFont val="Noto Sans CJK SC"/>
        <family val="2"/>
      </rPr>
      <t xml:space="preserve">，低於 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L1_MFleet </t>
    </r>
    <r>
      <rPr>
        <sz val="9"/>
        <color rgb="FF595959"/>
        <rFont val="Noto Sans CJK SC"/>
        <family val="2"/>
      </rPr>
      <t xml:space="preserve">的所需 </t>
    </r>
    <r>
      <rPr>
        <sz val="9"/>
        <color rgb="FF595959"/>
        <rFont val="Arial"/>
        <family val="0"/>
        <charset val="1"/>
      </rPr>
      <t xml:space="preserve">L 0.365 → </t>
    </r>
    <r>
      <rPr>
        <sz val="9"/>
        <color rgb="FF595959"/>
        <rFont val="Noto Sans CJK SC"/>
        <family val="2"/>
      </rPr>
      <t xml:space="preserve">低端情境不回本。</t>
    </r>
    <r>
      <rPr>
        <sz val="9"/>
        <color rgb="FF595959"/>
        <rFont val="Arial"/>
        <family val="0"/>
        <charset val="1"/>
      </rPr>
      <t xml:space="preserve">(8) H10 2026 </t>
    </r>
    <r>
      <rPr>
        <sz val="9"/>
        <color rgb="FF595959"/>
        <rFont val="Noto Sans CJK SC"/>
        <family val="2"/>
      </rPr>
      <t xml:space="preserve">三欄改以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分子營收為基底、廣告 </t>
    </r>
    <r>
      <rPr>
        <sz val="9"/>
        <color rgb="FF595959"/>
        <rFont val="Arial"/>
        <family val="0"/>
        <charset val="1"/>
      </rPr>
      <t xml:space="preserve">Q1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FY 1.0</t>
    </r>
    <r>
      <rPr>
        <sz val="9"/>
        <color rgb="FF595959"/>
        <rFont val="Noto Sans CJK SC"/>
        <family val="2"/>
      </rPr>
      <t xml:space="preserve">、消費份額 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2026 Q2 m_API 0.340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消費訂閱 </t>
    </r>
    <r>
      <rPr>
        <sz val="9"/>
        <color rgb="FF595959"/>
        <rFont val="Arial"/>
        <family val="0"/>
        <charset val="1"/>
      </rPr>
      <t xml:space="preserve">5.40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商用席次 </t>
    </r>
    <r>
      <rPr>
        <sz val="9"/>
        <color rgb="FF595959"/>
        <rFont val="Arial"/>
        <family val="0"/>
        <charset val="1"/>
      </rPr>
      <t xml:space="preserve">4.56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</t>
    </r>
    <r>
      <rPr>
        <sz val="9"/>
        <color rgb="FF595959"/>
        <rFont val="Noto Sans CJK SC"/>
        <family val="2"/>
      </rPr>
      <t xml:space="preserve">整體 </t>
    </r>
    <r>
      <rPr>
        <sz val="9"/>
        <color rgb="FF595959"/>
        <rFont val="Arial"/>
        <family val="0"/>
        <charset val="1"/>
      </rPr>
      <t xml:space="preserve">1.343</t>
    </r>
    <r>
      <rPr>
        <sz val="9"/>
        <color rgb="FF595959"/>
        <rFont val="Noto Sans CJK SC"/>
        <family val="2"/>
      </rPr>
      <t xml:space="preserve">（不變）、</t>
    </r>
    <r>
      <rPr>
        <sz val="9"/>
        <color rgb="FF595959"/>
        <rFont val="Arial"/>
        <family val="0"/>
        <charset val="1"/>
      </rPr>
      <t xml:space="preserve">m_fleet 0.781</t>
    </r>
    <r>
      <rPr>
        <sz val="9"/>
        <color rgb="FF595959"/>
        <rFont val="Noto Sans CJK SC"/>
        <family val="2"/>
      </rPr>
      <t xml:space="preserve">（不變）。 ｜</t>
    </r>
    <r>
      <rPr>
        <sz val="9"/>
        <color rgb="FF595959"/>
        <rFont val="Arial"/>
        <family val="0"/>
        <charset val="1"/>
      </rPr>
      <t xml:space="preserve">v5.36 </t>
    </r>
    <r>
      <rPr>
        <sz val="9"/>
        <color rgb="FF595959"/>
        <rFont val="Noto Sans CJK SC"/>
        <family val="2"/>
      </rPr>
      <t xml:space="preserve">補充：</t>
    </r>
    <r>
      <rPr>
        <sz val="9"/>
        <color rgb="FF595959"/>
        <rFont val="Arial"/>
        <family val="0"/>
        <charset val="1"/>
      </rPr>
      <t xml:space="preserve">(9) </t>
    </r>
    <r>
      <rPr>
        <sz val="9"/>
        <color rgb="FF595959"/>
        <rFont val="Noto Sans CJK SC"/>
        <family val="2"/>
      </rPr>
      <t xml:space="preserve">推論支出改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）、計價倍數 </t>
    </r>
    <r>
      <rPr>
        <sz val="9"/>
        <color rgb="FF595959"/>
        <rFont val="Arial"/>
        <family val="0"/>
        <charset val="1"/>
      </rPr>
      <t xml:space="preserve">2.0 → 1.3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1.0–1.6</t>
    </r>
    <r>
      <rPr>
        <sz val="9"/>
        <color rgb="FF595959"/>
        <rFont val="Noto Sans CJK SC"/>
        <family val="2"/>
      </rPr>
      <t xml:space="preserve">）、新增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AL_ServeGWSpend 1.3471 → 0.8981</t>
    </r>
    <r>
      <rPr>
        <sz val="9"/>
        <color rgb="FF595959"/>
        <rFont val="Noto Sans CJK SC"/>
        <family val="2"/>
      </rPr>
      <t xml:space="preserve">、有效服務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109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0.6736 → 0.6909</t>
    </r>
    <r>
      <rPr>
        <sz val="9"/>
        <color rgb="FF595959"/>
        <rFont val="Noto Sans CJK SC"/>
        <family val="2"/>
      </rPr>
      <t xml:space="preserve">、閉合比（第 </t>
    </r>
    <r>
      <rPr>
        <sz val="9"/>
        <color rgb="FF595959"/>
        <rFont val="Arial"/>
        <family val="0"/>
        <charset val="1"/>
      </rPr>
      <t xml:space="preserve">174 </t>
    </r>
    <r>
      <rPr>
        <sz val="9"/>
        <color rgb="FF595959"/>
        <rFont val="Noto Sans CJK SC"/>
        <family val="2"/>
      </rPr>
      <t xml:space="preserve">列）</t>
    </r>
    <r>
      <rPr>
        <sz val="9"/>
        <color rgb="FF595959"/>
        <rFont val="Arial"/>
        <family val="0"/>
        <charset val="1"/>
      </rPr>
      <t xml:space="preserve">0.4647 → 0.4531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τ* 13,950 → 14,426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m_fleet 0.8098 → 0.7896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0.5558 → 0.5419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H10 2025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m_fleet ×0.975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 </t>
    </r>
    <r>
      <rPr>
        <sz val="9"/>
        <color rgb="FF595959"/>
        <rFont val="Arial"/>
        <family val="0"/>
        <charset val="1"/>
      </rPr>
      <t xml:space="preserve">×0.65</t>
    </r>
    <r>
      <rPr>
        <sz val="9"/>
        <color rgb="FF595959"/>
        <rFont val="Noto Sans CJK SC"/>
        <family val="2"/>
      </rPr>
      <t xml:space="preserve">（計價倍數）。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節：缺口恆等式與驗算差、落差分解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的閉式、價格時間錯配 </t>
    </r>
    <r>
      <rPr>
        <sz val="9"/>
        <color rgb="FF595959"/>
        <rFont val="Arial"/>
        <family val="0"/>
        <charset val="1"/>
      </rPr>
      <t xml:space="preserve">ρ </t>
    </r>
    <r>
      <rPr>
        <sz val="9"/>
        <color rgb="FF595959"/>
        <rFont val="Noto Sans CJK SC"/>
        <family val="2"/>
      </rPr>
      <t xml:space="preserve">的輸入列。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</si>
  <si>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機隊口徑單價（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H10 m_fleet </t>
    </r>
    <r>
      <rPr>
        <b val="true"/>
        <sz val="10"/>
        <rFont val="Noto Sans CJK SC"/>
        <family val="2"/>
      </rPr>
      <t xml:space="preserve">的單價。欄位同 </t>
    </r>
    <r>
      <rPr>
        <b val="true"/>
        <sz val="10"/>
        <rFont val="Arial"/>
        <family val="0"/>
        <charset val="1"/>
      </rPr>
      <t xml:space="preserve">H10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年度（</t>
    </r>
    <r>
      <rPr>
        <b val="true"/>
        <sz val="10"/>
        <rFont val="Arial"/>
        <family val="0"/>
        <charset val="1"/>
      </rPr>
      <t xml:space="preserve">Alloc K </t>
    </r>
    <r>
      <rPr>
        <b val="true"/>
        <sz val="10"/>
        <rFont val="Noto Sans CJK SC"/>
        <family val="2"/>
      </rPr>
      <t xml:space="preserve">節的 </t>
    </r>
    <r>
      <rPr>
        <b val="true"/>
        <sz val="10"/>
        <rFont val="Arial"/>
        <family val="0"/>
        <charset val="1"/>
      </rPr>
      <t xml:space="preserve">AL_PriceFleet25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年度層級單價；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快照 </t>
    </r>
    <r>
      <rPr>
        <b val="true"/>
        <sz val="10"/>
        <rFont val="Arial"/>
        <family val="0"/>
        <charset val="1"/>
      </rPr>
      <t xml:space="preserve">AL_PriceFleet</t>
    </r>
    <r>
      <rPr>
        <b val="true"/>
        <sz val="10"/>
        <rFont val="Noto Sans CJK SC"/>
        <family val="2"/>
      </rPr>
      <t xml:space="preserve">）、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各欄以該欄的世代組合（</t>
    </r>
    <r>
      <rPr>
        <b val="true"/>
        <sz val="10"/>
        <rFont val="Arial"/>
        <family val="0"/>
        <charset val="1"/>
      </rPr>
      <t xml:space="preserve">H10-4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211–214 </t>
    </r>
    <r>
      <rPr>
        <b val="true"/>
        <sz val="10"/>
        <rFont val="Noto Sans CJK SC"/>
        <family val="2"/>
      </rPr>
      <t xml:space="preserve">列）重算；公式同 </t>
    </r>
    <r>
      <rPr>
        <b val="true"/>
        <sz val="10"/>
        <rFont val="Arial"/>
        <family val="0"/>
        <charset val="1"/>
      </rPr>
      <t xml:space="preserve">Alloc I </t>
    </r>
    <r>
      <rPr>
        <b val="true"/>
        <sz val="10"/>
        <rFont val="Noto Sans CJK SC"/>
        <family val="2"/>
      </rPr>
      <t xml:space="preserve">節：</t>
    </r>
    <r>
      <rPr>
        <b val="true"/>
        <sz val="10"/>
        <rFont val="Arial"/>
        <family val="0"/>
        <charset val="1"/>
      </rPr>
      <t xml:space="preserve">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各世代單價）</t>
    </r>
    <r>
      <rPr>
        <b val="true"/>
        <sz val="10"/>
        <rFont val="Arial"/>
        <family val="0"/>
        <charset val="1"/>
      </rPr>
      <t xml:space="preserve">÷ Σ</t>
    </r>
    <r>
      <rPr>
        <b val="true"/>
        <sz val="10"/>
        <rFont val="Noto Sans CJK SC"/>
        <family val="2"/>
      </rPr>
      <t xml:space="preserve">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各世代付費產能），只含可服務世代；</t>
    </r>
    <r>
      <rPr>
        <b val="true"/>
        <sz val="10"/>
        <rFont val="Arial"/>
        <family val="0"/>
        <charset val="1"/>
      </rPr>
      <t xml:space="preserve">H7 </t>
    </r>
    <r>
      <rPr>
        <b val="true"/>
        <sz val="10"/>
        <rFont val="Noto Sans CJK SC"/>
        <family val="2"/>
      </rPr>
      <t xml:space="preserve">讀 </t>
    </r>
    <r>
      <rPr>
        <b val="true"/>
        <sz val="10"/>
        <rFont val="Arial"/>
        <family val="0"/>
        <charset val="1"/>
      </rPr>
      <t xml:space="preserve">AL_PriceFleet</t>
    </r>
  </si>
  <si>
    <r>
      <rPr>
        <sz val="10"/>
        <color rgb="FF000000"/>
        <rFont val="Noto Sans CJK SC"/>
        <family val="2"/>
      </rPr>
      <t xml:space="preserve">機隊口徑混合有效單價（付費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；可達層級重新正規化）　→ 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</si>
  <si>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欄的世代單價與付費產能為基準情境（</t>
    </r>
    <r>
      <rPr>
        <sz val="9"/>
        <color rgb="FF595959"/>
        <rFont val="Arial"/>
        <family val="0"/>
        <charset val="1"/>
      </rPr>
      <t xml:space="preserve">AL_PriceGen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AL_CapPaid</t>
    </r>
    <r>
      <rPr>
        <sz val="9"/>
        <color rgb="FF595959"/>
        <rFont val="Noto Sans CJK SC"/>
        <family val="2"/>
      </rPr>
      <t xml:space="preserve">），只有世代組合不同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</si>
  <si>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年度，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欄＝第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</si>
  <si>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C268:F268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</si>
  <si>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</si>
  <si>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世代上市間隔 </t>
    </r>
    <r>
      <rPr>
        <b val="true"/>
        <sz val="10"/>
        <rFont val="Arial"/>
        <family val="0"/>
        <charset val="1"/>
      </rPr>
      <t xml:space="preserve">Δ</t>
    </r>
    <r>
      <rPr>
        <b val="true"/>
        <sz val="10"/>
        <rFont val="Noto Sans CJK SC"/>
        <family val="2"/>
      </rPr>
      <t xml:space="preserve">（世代價格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段 </t>
    </r>
    <r>
      <rPr>
        <b val="true"/>
        <sz val="10"/>
        <rFont val="Arial"/>
        <family val="0"/>
        <charset val="1"/>
      </rPr>
      <t xml:space="preserve">B-1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v7.0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Analogy</t>
    </r>
    <r>
      <rPr>
        <b val="true"/>
        <sz val="10"/>
        <rFont val="Noto Sans CJK SC"/>
        <family val="2"/>
      </rPr>
      <t xml:space="preserve">，單一樣本）：</t>
    </r>
    <r>
      <rPr>
        <b val="true"/>
        <sz val="10"/>
        <rFont val="Arial"/>
        <family val="0"/>
        <charset val="1"/>
      </rPr>
      <t xml:space="preserve">L1_GenPxThr_Rev_*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_Pay_* </t>
    </r>
    <r>
      <rPr>
        <b val="true"/>
        <sz val="10"/>
        <rFont val="Noto Sans CJK SC"/>
        <family val="2"/>
      </rPr>
      <t xml:space="preserve">的分母。欄位：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高；來源 </t>
    </r>
    <r>
      <rPr>
        <b val="true"/>
        <sz val="10"/>
        <rFont val="Arial"/>
        <family val="0"/>
        <charset val="1"/>
      </rPr>
      <t xml:space="preserve">docs/reports/20261015_</t>
    </r>
    <r>
      <rPr>
        <b val="true"/>
        <sz val="10"/>
        <rFont val="Noto Sans CJK SC"/>
        <family val="2"/>
      </rPr>
      <t xml:space="preserve">世代價格</t>
    </r>
    <r>
      <rPr>
        <b val="true"/>
        <sz val="10"/>
        <rFont val="Arial"/>
        <family val="0"/>
        <charset val="1"/>
      </rPr>
      <t xml:space="preserve">A_</t>
    </r>
    <r>
      <rPr>
        <b val="true"/>
        <sz val="10"/>
        <rFont val="Noto Sans CJK SC"/>
        <family val="2"/>
      </rPr>
      <t xml:space="preserve">查證</t>
    </r>
    <r>
      <rPr>
        <b val="true"/>
        <sz val="10"/>
        <rFont val="Arial"/>
        <family val="0"/>
        <charset val="1"/>
      </rPr>
      <t xml:space="preserve">.md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節（基準＝雲端開始供應，兩種日期都記）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</si>
  <si>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CAP_GenGap_GB200</t>
    </r>
    <r>
      <rPr>
        <sz val="10"/>
        <color rgb="FF000000"/>
        <rFont val="Noto Sans CJK SC"/>
        <family val="2"/>
      </rPr>
      <t xml:space="preserve">；年）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</si>
  <si>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</t>
    </r>
  </si>
  <si>
    <r>
      <rPr>
        <sz val="9"/>
        <color rgb="FF595959"/>
        <rFont val="Noto Sans CJK SC"/>
        <family val="2"/>
      </rPr>
      <t xml:space="preserve">低＝雲端開始供應對雲端開始供應：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Cirrascale GA 2023-03-21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CoreWeave GA 2025-02-04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1.88 </t>
    </r>
    <r>
      <rPr>
        <sz val="9"/>
        <color rgb="FF595959"/>
        <rFont val="Noto Sans CJK SC"/>
        <family val="2"/>
      </rPr>
      <t xml:space="preserve">年；高＝量產宣布對量產宣布（</t>
    </r>
    <r>
      <rPr>
        <sz val="9"/>
        <color rgb="FF595959"/>
        <rFont val="Arial"/>
        <family val="0"/>
        <charset val="1"/>
      </rPr>
      <t xml:space="preserve">2022-09-20 → 2024-11-20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2.17 </t>
    </r>
    <r>
      <rPr>
        <sz val="9"/>
        <color rgb="FF595959"/>
        <rFont val="Noto Sans CJK SC"/>
        <family val="2"/>
      </rPr>
      <t xml:space="preserve">年；基準取低端。單一樣本。來源：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_Pay_GB200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</si>
  <si>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CAP_GenGap_GB300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</si>
  <si>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低＝首家部署對首家部署（</t>
    </r>
    <r>
      <rPr>
        <sz val="9"/>
        <color rgb="FF595959"/>
        <rFont val="Arial"/>
        <family val="0"/>
        <charset val="1"/>
      </rPr>
      <t xml:space="preserve">GB200 2025-02-04 → GB300 CoreWeave 2025-07-03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0.41 </t>
    </r>
    <r>
      <rPr>
        <sz val="9"/>
        <color rgb="FF595959"/>
        <rFont val="Noto Sans CJK SC"/>
        <family val="2"/>
      </rPr>
      <t xml:space="preserve">年；高＝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實例上線 </t>
    </r>
    <r>
      <rPr>
        <sz val="9"/>
        <color rgb="FF595959"/>
        <rFont val="Arial"/>
        <family val="0"/>
        <charset val="1"/>
      </rPr>
      <t xml:space="preserve">2025-08-19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0.54 </t>
    </r>
    <r>
      <rPr>
        <sz val="9"/>
        <color rgb="FF595959"/>
        <rFont val="Noto Sans CJK SC"/>
        <family val="2"/>
      </rPr>
      <t xml:space="preserve">年；基準取低端。</t>
    </r>
    <r>
      <rPr>
        <sz val="9"/>
        <color rgb="FF595959"/>
        <rFont val="Arial"/>
        <family val="0"/>
        <charset val="1"/>
      </rPr>
      <t xml:space="preserve">GB200→GB300 </t>
    </r>
    <r>
      <rPr>
        <sz val="9"/>
        <color rgb="FF595959"/>
        <rFont val="Noto Sans CJK SC"/>
        <family val="2"/>
      </rPr>
      <t xml:space="preserve">是約半年的小改款，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很短，年化價格變化率對 </t>
    </r>
    <r>
      <rPr>
        <sz val="9"/>
        <color rgb="FF595959"/>
        <rFont val="Arial"/>
        <family val="0"/>
        <charset val="1"/>
      </rPr>
      <t xml:space="preserve">Δ </t>
    </r>
    <r>
      <rPr>
        <sz val="9"/>
        <color rgb="FF595959"/>
        <rFont val="Noto Sans CJK SC"/>
        <family val="2"/>
      </rPr>
      <t xml:space="preserve">極敏感。來源：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_Pay_GB300</t>
    </r>
  </si>
  <si>
    <r>
      <rPr>
        <sz val="10"/>
        <color rgb="FF000000"/>
        <rFont val="Noto Sans CJK SC"/>
        <family val="2"/>
      </rPr>
      <t xml:space="preserve">世代上市間隔 </t>
    </r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CAP_GenGap_VR200</t>
    </r>
    <r>
      <rPr>
        <sz val="10"/>
        <color rgb="FF000000"/>
        <rFont val="Noto Sans CJK SC"/>
        <family val="2"/>
      </rPr>
      <t xml:space="preserve">；年）</t>
    </r>
  </si>
  <si>
    <r>
      <rPr>
        <sz val="9"/>
        <color rgb="FF595959"/>
        <rFont val="Noto Sans CJK SC"/>
        <family val="2"/>
      </rPr>
      <t xml:space="preserve">基準＝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兩種日期（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首家部署、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實例上線）到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雲端供應（</t>
    </r>
    <r>
      <rPr>
        <sz val="9"/>
        <color rgb="FF595959"/>
        <rFont val="Arial"/>
        <family val="0"/>
        <charset val="1"/>
      </rPr>
      <t xml:space="preserve">CoreWeave 2026-09-30</t>
    </r>
    <r>
      <rPr>
        <sz val="9"/>
        <color rgb="FF595959"/>
        <rFont val="Noto Sans CJK SC"/>
        <family val="2"/>
      </rPr>
      <t xml:space="preserve">）的平均 </t>
    </r>
    <r>
      <rPr>
        <sz val="9"/>
        <color rgb="FF595959"/>
        <rFont val="Arial"/>
        <family val="0"/>
        <charset val="1"/>
      </rPr>
      <t xml:space="preserve">1.18 </t>
    </r>
    <r>
      <rPr>
        <sz val="9"/>
        <color rgb="FF595959"/>
        <rFont val="Noto Sans CJK SC"/>
        <family val="2"/>
      </rPr>
      <t xml:space="preserve">年；低＝自 </t>
    </r>
    <r>
      <rPr>
        <sz val="9"/>
        <color rgb="FF595959"/>
        <rFont val="Arial"/>
        <family val="0"/>
        <charset val="1"/>
      </rPr>
      <t xml:space="preserve">2025-08-19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1.11 </t>
    </r>
    <r>
      <rPr>
        <sz val="9"/>
        <color rgb="FF595959"/>
        <rFont val="Noto Sans CJK SC"/>
        <family val="2"/>
      </rPr>
      <t xml:space="preserve">年；高＝自 </t>
    </r>
    <r>
      <rPr>
        <sz val="9"/>
        <color rgb="FF595959"/>
        <rFont val="Arial"/>
        <family val="0"/>
        <charset val="1"/>
      </rPr>
      <t xml:space="preserve">2025-07-03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1.24 </t>
    </r>
    <r>
      <rPr>
        <sz val="9"/>
        <color rgb="FF595959"/>
        <rFont val="Noto Sans CJK SC"/>
        <family val="2"/>
      </rPr>
      <t xml:space="preserve">年。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頁面未稱 </t>
    </r>
    <r>
      <rPr>
        <sz val="9"/>
        <color rgb="FF595959"/>
        <rFont val="Arial"/>
        <family val="0"/>
        <charset val="1"/>
      </rPr>
      <t xml:space="preserve">GA</t>
    </r>
    <r>
      <rPr>
        <sz val="9"/>
        <color rgb="FF595959"/>
        <rFont val="Noto Sans CJK SC"/>
        <family val="2"/>
      </rPr>
      <t xml:space="preserve">。來源：</t>
    </r>
    <r>
      <rPr>
        <sz val="9"/>
        <color rgb="FF595959"/>
        <rFont val="Arial"/>
        <family val="0"/>
        <charset val="1"/>
      </rPr>
      <t xml:space="preserve">docs/reports/20261015_</t>
    </r>
    <r>
      <rPr>
        <sz val="9"/>
        <color rgb="FF595959"/>
        <rFont val="Noto Sans CJK SC"/>
        <family val="2"/>
      </rPr>
      <t xml:space="preserve">世代價格</t>
    </r>
    <r>
      <rPr>
        <sz val="9"/>
        <color rgb="FF595959"/>
        <rFont val="Arial"/>
        <family val="0"/>
        <charset val="1"/>
      </rPr>
      <t xml:space="preserve">A_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節；用於 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_Pay_VR200</t>
    </r>
  </si>
  <si>
    <r>
      <rPr>
        <b val="true"/>
        <sz val="10"/>
        <rFont val="Arial"/>
        <family val="0"/>
        <charset val="1"/>
      </rPr>
      <t xml:space="preserve">M. 2025 </t>
    </r>
    <r>
      <rPr>
        <b val="true"/>
        <sz val="10"/>
        <rFont val="Noto Sans CJK SC"/>
        <family val="2"/>
      </rPr>
      <t xml:space="preserve">年度口徑（</t>
    </r>
    <r>
      <rPr>
        <b val="true"/>
        <sz val="10"/>
        <rFont val="Arial"/>
        <family val="0"/>
        <charset val="1"/>
      </rPr>
      <t xml:space="preserve">v8.0 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，工作單 </t>
    </r>
    <r>
      <rPr>
        <b val="true"/>
        <sz val="10"/>
        <rFont val="Arial"/>
        <family val="0"/>
        <charset val="1"/>
      </rPr>
      <t xml:space="preserve">4r1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M-1 2025 </t>
    </r>
    <r>
      <rPr>
        <b val="true"/>
        <sz val="10"/>
        <rFont val="Noto Sans CJK SC"/>
        <family val="2"/>
      </rPr>
      <t xml:space="preserve">年度層級單價（藍字，參考請求混合單價，表列未折扣；按在售天數加權，不是按用量）與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混合有效單價；</t>
    </r>
    <r>
      <rPr>
        <b val="true"/>
        <sz val="10"/>
        <rFont val="Arial"/>
        <family val="0"/>
        <charset val="1"/>
      </rPr>
      <t xml:space="preserve">M-2 m </t>
    </r>
    <r>
      <rPr>
        <b val="true"/>
        <sz val="10"/>
        <rFont val="Noto Sans CJK SC"/>
        <family val="2"/>
      </rPr>
      <t xml:space="preserve">的單價對照與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單價區間；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舊口徑、恆等式讀法）；</t>
    </r>
    <r>
      <rPr>
        <b val="true"/>
        <sz val="10"/>
        <rFont val="Arial"/>
        <family val="0"/>
        <charset val="1"/>
      </rPr>
      <t xml:space="preserve">M-4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。欄位：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低、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高（</t>
    </r>
    <r>
      <rPr>
        <b val="true"/>
        <sz val="10"/>
        <rFont val="Arial"/>
        <family val="0"/>
        <charset val="1"/>
      </rPr>
      <t xml:space="preserve">M-3 </t>
    </r>
    <r>
      <rPr>
        <b val="true"/>
        <sz val="10"/>
        <rFont val="Noto Sans CJK SC"/>
        <family val="2"/>
      </rPr>
      <t xml:space="preserve">欄位同 </t>
    </r>
    <r>
      <rPr>
        <b val="true"/>
        <sz val="10"/>
        <rFont val="Arial"/>
        <family val="0"/>
        <charset val="1"/>
      </rPr>
      <t xml:space="preserve">H7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</si>
  <si>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M-1. 2025 </t>
    </r>
    <r>
      <rPr>
        <b val="true"/>
        <sz val="10"/>
        <rFont val="Noto Sans CJK SC"/>
        <family val="2"/>
      </rPr>
      <t xml:space="preserve">年度層級單價（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；參考請求 </t>
    </r>
    <r>
      <rPr>
        <b val="true"/>
        <sz val="10"/>
        <rFont val="Arial"/>
        <family val="0"/>
        <charset val="1"/>
      </rPr>
      <t xml:space="preserve">16,384 </t>
    </r>
    <r>
      <rPr>
        <b val="true"/>
        <sz val="10"/>
        <rFont val="Noto Sans CJK SC"/>
        <family val="2"/>
      </rPr>
      <t xml:space="preserve">入／</t>
    </r>
    <r>
      <rPr>
        <b val="true"/>
        <sz val="10"/>
        <rFont val="Arial"/>
        <family val="0"/>
        <charset val="1"/>
      </rPr>
      <t xml:space="preserve">2,048 </t>
    </r>
    <r>
      <rPr>
        <b val="true"/>
        <sz val="10"/>
        <rFont val="Noto Sans CJK SC"/>
        <family val="2"/>
      </rPr>
      <t xml:space="preserve">出／快取命中 </t>
    </r>
    <r>
      <rPr>
        <b val="true"/>
        <sz val="10"/>
        <rFont val="Arial"/>
        <family val="0"/>
        <charset val="1"/>
      </rPr>
      <t xml:space="preserve">0.55 </t>
    </r>
    <r>
      <rPr>
        <b val="true"/>
        <sz val="10"/>
        <rFont val="Noto Sans CJK SC"/>
        <family val="2"/>
      </rPr>
      <t xml:space="preserve">的混合單價，表列未折扣；來源 </t>
    </r>
    <r>
      <rPr>
        <b val="true"/>
        <sz val="10"/>
        <rFont val="Arial"/>
        <family val="0"/>
        <charset val="1"/>
      </rPr>
      <t xml:space="preserve">2Q </t>
    </r>
    <r>
      <rPr>
        <b val="true"/>
        <sz val="10"/>
        <rFont val="Noto Sans CJK SC"/>
        <family val="2"/>
      </rPr>
      <t xml:space="preserve">報告第 </t>
    </r>
    <r>
      <rPr>
        <b val="true"/>
        <sz val="10"/>
        <rFont val="Arial"/>
        <family val="0"/>
        <charset val="1"/>
      </rPr>
      <t xml:space="preserve">1.3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</si>
  <si>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</si>
  <si>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nano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官方 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頁指向 </t>
    </r>
    <r>
      <rPr>
        <sz val="9"/>
        <color rgb="FF595959"/>
        <rFont val="Arial"/>
        <family val="0"/>
        <charset val="1"/>
      </rPr>
      <t xml:space="preserve">GPT-5.6 Luna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mini </t>
    </r>
    <r>
      <rPr>
        <sz val="9"/>
        <color rgb="FF595959"/>
        <rFont val="Noto Sans CJK SC"/>
        <family val="2"/>
      </rPr>
      <t xml:space="preserve">線（</t>
    </r>
    <r>
      <rPr>
        <sz val="9"/>
        <color rgb="FF595959"/>
        <rFont val="Arial"/>
        <family val="0"/>
        <charset val="1"/>
      </rPr>
      <t xml:space="preserve">4o-mini→4.1-mini→GPT-5 mini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nano </t>
    </r>
    <r>
      <rPr>
        <sz val="9"/>
        <color rgb="FF595959"/>
        <rFont val="Noto Sans CJK SC"/>
        <family val="2"/>
      </rPr>
      <t xml:space="preserve">全年。按在售天數加權，不是按用量（用量占比找不到）；牌價本身是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</si>
  <si>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</si>
  <si>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主力（</t>
    </r>
    <r>
      <rPr>
        <sz val="9"/>
        <color rgb="FF595959"/>
        <rFont val="Arial"/>
        <family val="0"/>
        <charset val="1"/>
      </rPr>
      <t xml:space="preserve">4o→4.1→GPT-5→5.2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預設按付費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API 2,365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ChatGPT 1,460</t>
    </r>
    <r>
      <rPr>
        <sz val="9"/>
        <color rgb="FF595959"/>
        <rFont val="Noto Sans CJK SC"/>
        <family val="2"/>
      </rPr>
      <t xml:space="preserve">）；低＝</t>
    </r>
    <r>
      <rPr>
        <sz val="9"/>
        <color rgb="FF595959"/>
        <rFont val="Arial"/>
        <family val="0"/>
        <charset val="1"/>
      </rPr>
      <t xml:space="preserve">GPT-5 </t>
    </r>
    <r>
      <rPr>
        <sz val="9"/>
        <color rgb="FF595959"/>
        <rFont val="Noto Sans CJK SC"/>
        <family val="2"/>
      </rPr>
      <t xml:space="preserve">全年；高＝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預設序列。按在售天數加權，不是按用量（用量占比找不到）；牌價本身是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</si>
  <si>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（參考請求混合單價，表列未折扣；在售天數加權）</t>
    </r>
  </si>
  <si>
    <r>
      <rPr>
        <sz val="9"/>
        <color rgb="FF595959"/>
        <rFont val="Noto Sans CJK SC"/>
        <family val="2"/>
      </rPr>
      <t xml:space="preserve">推理旗艦序列（</t>
    </r>
    <r>
      <rPr>
        <sz val="9"/>
        <color rgb="FF595959"/>
        <rFont val="Arial"/>
        <family val="0"/>
        <charset val="1"/>
      </rPr>
      <t xml:space="preserve">o1→o3→GPT-5 thinking</t>
    </r>
    <r>
      <rPr>
        <sz val="9"/>
        <color rgb="FF595959"/>
        <rFont val="Noto Sans CJK SC"/>
        <family val="2"/>
      </rPr>
      <t xml:space="preserve">）；低＝同 </t>
    </r>
    <r>
      <rPr>
        <sz val="9"/>
        <color rgb="FF595959"/>
        <rFont val="Arial"/>
        <family val="0"/>
        <charset val="1"/>
      </rPr>
      <t xml:space="preserve">Sol API </t>
    </r>
    <r>
      <rPr>
        <sz val="9"/>
        <color rgb="FF595959"/>
        <rFont val="Noto Sans CJK SC"/>
        <family val="2"/>
      </rPr>
      <t xml:space="preserve">主力；高＝</t>
    </r>
    <r>
      <rPr>
        <sz val="9"/>
        <color rgb="FF595959"/>
        <rFont val="Arial"/>
        <family val="0"/>
        <charset val="1"/>
      </rPr>
      <t xml:space="preserve">o1 </t>
    </r>
    <r>
      <rPr>
        <sz val="9"/>
        <color rgb="FF595959"/>
        <rFont val="Noto Sans CJK SC"/>
        <family val="2"/>
      </rPr>
      <t xml:space="preserve">全年；</t>
    </r>
    <r>
      <rPr>
        <sz val="9"/>
        <color rgb="FF595959"/>
        <rFont val="Arial"/>
        <family val="0"/>
        <charset val="1"/>
      </rPr>
      <t xml:space="preserve">Pro </t>
    </r>
    <r>
      <rPr>
        <sz val="9"/>
        <color rgb="FF595959"/>
        <rFont val="Noto Sans CJK SC"/>
        <family val="2"/>
      </rPr>
      <t xml:space="preserve">層（</t>
    </r>
    <r>
      <rPr>
        <sz val="9"/>
        <color rgb="FF595959"/>
        <rFont val="Arial"/>
        <family val="0"/>
        <charset val="1"/>
      </rPr>
      <t xml:space="preserve">63.9</t>
    </r>
    <r>
      <rPr>
        <sz val="9"/>
        <color rgb="FF595959"/>
        <rFont val="Noto Sans CJK SC"/>
        <family val="2"/>
      </rPr>
      <t xml:space="preserve">）排除。按在售天數加權，不是按用量（用量占比找不到）；牌價本身是 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；不再乘能力倍數（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價格對應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年的模型）。來源：</t>
    </r>
    <r>
      <rPr>
        <sz val="9"/>
        <color rgb="FF595959"/>
        <rFont val="Arial"/>
        <family val="0"/>
        <charset val="1"/>
      </rPr>
      <t xml:space="preserve">docs/reports/20261016_</t>
    </r>
    <r>
      <rPr>
        <sz val="9"/>
        <color rgb="FF595959"/>
        <rFont val="Noto Sans CJK SC"/>
        <family val="2"/>
      </rPr>
      <t xml:space="preserve">稽核修正</t>
    </r>
    <r>
      <rPr>
        <sz val="9"/>
        <color rgb="FF595959"/>
        <rFont val="Arial"/>
        <family val="0"/>
        <charset val="1"/>
      </rPr>
      <t xml:space="preserve">2Q_</t>
    </r>
    <r>
      <rPr>
        <sz val="9"/>
        <color rgb="FF595959"/>
        <rFont val="Noto Sans CJK SC"/>
        <family val="2"/>
      </rPr>
      <t xml:space="preserve">查證</t>
    </r>
    <r>
      <rPr>
        <sz val="9"/>
        <color rgb="FF595959"/>
        <rFont val="Arial"/>
        <family val="0"/>
        <charset val="1"/>
      </rPr>
      <t xml:space="preserve">.md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1.2–1.3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</si>
  <si>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AL_Kappa</t>
    </r>
    <r>
      <rPr>
        <sz val="10"/>
        <color rgb="FF000000"/>
        <rFont val="Noto Sans CJK SC"/>
        <family val="2"/>
      </rPr>
      <t xml:space="preserve">；寫法同第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v9.0 M3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</si>
  <si>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基準約 </t>
    </r>
    <r>
      <rPr>
        <sz val="9"/>
        <color rgb="FF595959"/>
        <rFont val="Arial"/>
        <family val="0"/>
        <charset val="1"/>
      </rPr>
      <t xml:space="preserve">1.680</t>
    </r>
    <r>
      <rPr>
        <sz val="9"/>
        <color rgb="FF595959"/>
        <rFont val="Noto Sans CJK SC"/>
        <family val="2"/>
      </rPr>
      <t xml:space="preserve">（第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1.9607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0.857 </t>
    </r>
    <r>
      <rPr>
        <sz val="9"/>
        <color rgb="FF595959"/>
        <rFont val="Noto Sans CJK SC"/>
        <family val="2"/>
      </rPr>
      <t xml:space="preserve">倍）；低 </t>
    </r>
    <r>
      <rPr>
        <sz val="9"/>
        <color rgb="FF595959"/>
        <rFont val="Arial"/>
        <family val="0"/>
        <charset val="1"/>
      </rPr>
      <t xml:space="preserve">0.874</t>
    </r>
    <r>
      <rPr>
        <sz val="9"/>
        <color rgb="FF595959"/>
        <rFont val="Noto Sans CJK SC"/>
        <family val="2"/>
      </rPr>
      <t xml:space="preserve">、高 </t>
    </r>
    <r>
      <rPr>
        <sz val="9"/>
        <color rgb="FF595959"/>
        <rFont val="Arial"/>
        <family val="0"/>
        <charset val="1"/>
      </rPr>
      <t xml:space="preserve">2.899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1.3 </t>
    </r>
    <r>
      <rPr>
        <sz val="9"/>
        <color rgb="FF595959"/>
        <rFont val="Noto Sans CJK SC"/>
        <family val="2"/>
      </rPr>
      <t xml:space="preserve">節）。機隊口徑（可達層級重新正規化）見 </t>
    </r>
    <r>
      <rPr>
        <sz val="9"/>
        <color rgb="FF595959"/>
        <rFont val="Arial"/>
        <family val="0"/>
        <charset val="1"/>
      </rPr>
      <t xml:space="preserve">Alloc K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AL_PriceFleet25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</si>
  <si>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</si>
  <si>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主要差距來自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GPT-6 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50</t>
    </r>
    <r>
      <rPr>
        <sz val="9"/>
        <color rgb="FF595959"/>
        <rFont val="Noto Sans CJK SC"/>
        <family val="2"/>
      </rPr>
      <t xml:space="preserve">）比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下半年的頂層（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）貴得多；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兩層差不到 </t>
    </r>
    <r>
      <rPr>
        <sz val="9"/>
        <color rgb="FF595959"/>
        <rFont val="Arial"/>
        <family val="0"/>
        <charset val="1"/>
      </rPr>
      <t xml:space="preserve">10%</t>
    </r>
  </si>
  <si>
    <r>
      <rPr>
        <b val="true"/>
        <sz val="10"/>
        <rFont val="Arial"/>
        <family val="0"/>
        <charset val="1"/>
      </rPr>
      <t xml:space="preserve">M-2. m </t>
    </r>
    <r>
      <rPr>
        <b val="true"/>
        <sz val="10"/>
        <rFont val="Noto Sans CJK SC"/>
        <family val="2"/>
      </rPr>
      <t xml:space="preserve">的單價對照（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（機隊付費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單價）；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119 </t>
    </r>
    <r>
      <rPr>
        <b val="true"/>
        <sz val="10"/>
        <rFont val="Noto Sans CJK SC"/>
        <family val="2"/>
      </rPr>
      <t xml:space="preserve">列（基準／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取高／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取低）。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單價區間只作顯示，不乘入 </t>
    </r>
    <r>
      <rPr>
        <b val="true"/>
        <sz val="10"/>
        <rFont val="Arial"/>
        <family val="0"/>
        <charset val="1"/>
      </rPr>
      <t xml:space="preserve">L1_MFleet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_Lo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_Hi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</si>
  <si>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口徑，單價為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</si>
  <si>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單價取低端）＝營收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AL_PriceFleet25_Lo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</si>
  <si>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單價低端使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較高；顯示用</t>
    </r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</si>
  <si>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單價取高端）＝營收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AL_PriceFleet25_Hi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</si>
  <si>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單價高端使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較低；顯示用</t>
    </r>
  </si>
  <si>
    <r>
      <rPr>
        <b val="true"/>
        <sz val="10"/>
        <rFont val="Arial"/>
        <family val="0"/>
        <charset val="1"/>
      </rPr>
      <t xml:space="preserve">M-3. </t>
    </r>
    <r>
      <rPr>
        <b val="true"/>
        <sz val="10"/>
        <rFont val="Noto Sans CJK SC"/>
        <family val="2"/>
      </rPr>
      <t xml:space="preserve">回本所需 </t>
    </r>
    <r>
      <rPr>
        <b val="true"/>
        <sz val="10"/>
        <rFont val="Arial"/>
        <family val="0"/>
        <charset val="1"/>
      </rPr>
      <t xml:space="preserve">L </t>
    </r>
    <r>
      <rPr>
        <b val="true"/>
        <sz val="10"/>
        <rFont val="Noto Sans CJK SC"/>
        <family val="2"/>
      </rPr>
      <t xml:space="preserve">的對照（</t>
    </r>
    <r>
      <rPr>
        <b val="true"/>
        <sz val="10"/>
        <rFont val="Arial"/>
        <family val="0"/>
        <charset val="1"/>
      </rPr>
      <t xml:space="preserve">D2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同第 </t>
    </r>
    <r>
      <rPr>
        <b val="true"/>
        <sz val="10"/>
        <rFont val="Arial"/>
        <family val="0"/>
        <charset val="1"/>
      </rPr>
      <t xml:space="preserve">240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取高端、</t>
    </r>
    <r>
      <rPr>
        <b val="true"/>
        <sz val="10"/>
        <rFont val="Arial"/>
        <family val="0"/>
        <charset val="1"/>
      </rPr>
      <t xml:space="preserve">E </t>
    </r>
    <r>
      <rPr>
        <b val="true"/>
        <sz val="10"/>
        <rFont val="Noto Sans CJK SC"/>
        <family val="2"/>
      </rPr>
      <t xml:space="preserve">欄取低端）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</si>
  <si>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　→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</si>
  <si>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對照：恆等式讀法的所需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實收營收＝（第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 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　→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</si>
  <si>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9"/>
        <color rgb="FF595959"/>
        <rFont val="Noto Sans CJK SC"/>
        <family val="2"/>
      </rPr>
      <t xml:space="preserve">不經每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配對：成本（支出路線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持有成本）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實收營收。與第 </t>
    </r>
    <r>
      <rPr>
        <sz val="9"/>
        <color rgb="FF595959"/>
        <rFont val="Arial"/>
        <family val="0"/>
        <charset val="1"/>
      </rPr>
      <t xml:space="preserve">240 </t>
    </r>
    <r>
      <rPr>
        <sz val="9"/>
        <color rgb="FF595959"/>
        <rFont val="Noto Sans CJK SC"/>
        <family val="2"/>
      </rPr>
      <t xml:space="preserve">列（字面口徑）的差距見報告；列待 </t>
    </r>
    <r>
      <rPr>
        <sz val="9"/>
        <color rgb="FF595959"/>
        <rFont val="Arial"/>
        <family val="0"/>
        <charset val="1"/>
      </rPr>
      <t xml:space="preserve">Project </t>
    </r>
    <r>
      <rPr>
        <sz val="9"/>
        <color rgb="FF595959"/>
        <rFont val="Noto Sans CJK SC"/>
        <family val="2"/>
      </rPr>
      <t xml:space="preserve">判斷</t>
    </r>
  </si>
  <si>
    <r>
      <rPr>
        <b val="true"/>
        <sz val="10"/>
        <rFont val="Arial"/>
        <family val="0"/>
        <charset val="1"/>
      </rPr>
      <t xml:space="preserve">M-4. Astra Epoch </t>
    </r>
    <r>
      <rPr>
        <b val="true"/>
        <sz val="10"/>
        <rFont val="Noto Sans CJK SC"/>
        <family val="2"/>
      </rPr>
      <t xml:space="preserve">上限的隱含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Epoch 1.0e27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GPT-6 Astra </t>
    </r>
    <r>
      <rPr>
        <b val="true"/>
        <sz val="10"/>
        <rFont val="Noto Sans CJK SC"/>
        <family val="2"/>
      </rPr>
      <t xml:space="preserve">叢集總算力（含後訓練，上限）；全算為預訓練時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FLOP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6 × </t>
    </r>
    <r>
      <rPr>
        <b val="true"/>
        <sz val="10"/>
        <rFont val="Noto Sans CJK SC"/>
        <family val="2"/>
      </rPr>
      <t xml:space="preserve">啟用參數）。基準 </t>
    </r>
    <r>
      <rPr>
        <b val="true"/>
        <sz val="10"/>
        <rFont val="Arial"/>
        <family val="0"/>
        <charset val="1"/>
      </rPr>
      <t xml:space="preserve">token 60T </t>
    </r>
    <r>
      <rPr>
        <b val="true"/>
        <sz val="10"/>
        <rFont val="Noto Sans CJK SC"/>
        <family val="2"/>
      </rPr>
      <t xml:space="preserve">與參數 </t>
    </r>
    <r>
      <rPr>
        <b val="true"/>
        <sz val="10"/>
        <rFont val="Arial"/>
        <family val="0"/>
        <charset val="1"/>
      </rPr>
      <t xml:space="preserve">180B </t>
    </r>
    <r>
      <rPr>
        <b val="true"/>
        <sz val="10"/>
        <rFont val="Noto Sans CJK SC"/>
        <family val="2"/>
      </rPr>
      <t xml:space="preserve">不變；差距分配不在本段決定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</si>
  <si>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</si>
  <si>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參數</t>
    </r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</si>
  <si>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（連結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</si>
  <si>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連結 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22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啟用參數，</t>
    </r>
    <r>
      <rPr>
        <sz val="9"/>
        <color rgb="FF595959"/>
        <rFont val="Arial"/>
        <family val="0"/>
        <charset val="1"/>
      </rPr>
      <t xml:space="preserve">Arch </t>
    </r>
    <r>
      <rPr>
        <sz val="9"/>
        <color rgb="FF595959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</si>
  <si>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</si>
  <si>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4.2 </t>
    </r>
    <r>
      <rPr>
        <sz val="9"/>
        <color rgb="FF595959"/>
        <rFont val="Noto Sans CJK SC"/>
        <family val="2"/>
      </rPr>
      <t xml:space="preserve">節的敏感度情境（參數放大則隱含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縮小）；不進任何計算，只用於下列隱含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</si>
  <si>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啟用參數情境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</si>
  <si>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L1_AstraExtTok_180B</t>
    </r>
  </si>
  <si>
    <t xml:space="preserve">T tok</t>
  </si>
  <si>
    <r>
      <rPr>
        <sz val="9"/>
        <color rgb="FF595959"/>
        <rFont val="Arial"/>
        <family val="0"/>
        <charset val="1"/>
      </rPr>
      <t xml:space="preserve">180B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926T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463–1,852T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400B 417T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800B 208T</t>
    </r>
    <r>
      <rPr>
        <sz val="9"/>
        <color rgb="FF595959"/>
        <rFont val="Noto Sans CJK SC"/>
        <family val="2"/>
      </rPr>
      <t xml:space="preserve">；對照 </t>
    </r>
    <r>
      <rPr>
        <sz val="9"/>
        <color rgb="FF595959"/>
        <rFont val="Arial"/>
        <family val="0"/>
        <charset val="1"/>
      </rPr>
      <t xml:space="preserve">Train_In </t>
    </r>
    <r>
      <rPr>
        <sz val="9"/>
        <color rgb="FF595959"/>
        <rFont val="Noto Sans CJK SC"/>
        <family val="2"/>
      </rPr>
      <t xml:space="preserve">基準預訓練 </t>
    </r>
    <r>
      <rPr>
        <sz val="9"/>
        <color rgb="FF595959"/>
        <rFont val="Arial"/>
        <family val="0"/>
        <charset val="1"/>
      </rPr>
      <t xml:space="preserve">token 60T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數字的口徑見 </t>
    </r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4.1 </t>
    </r>
    <r>
      <rPr>
        <sz val="9"/>
        <color rgb="FF595959"/>
        <rFont val="Noto Sans CJK SC"/>
        <family val="2"/>
      </rPr>
      <t xml:space="preserve">節（硬體推估，含後訓練）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</si>
  <si>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L1_AstraExtTok_400B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</si>
  <si>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欄＝高端）　→ </t>
    </r>
    <r>
      <rPr>
        <sz val="10"/>
        <color rgb="FF000000"/>
        <rFont val="Arial"/>
        <family val="0"/>
        <charset val="1"/>
      </rPr>
      <t xml:space="preserve">L1_AstraExtTok_800B</t>
    </r>
  </si>
  <si>
    <r>
      <rPr>
        <b val="true"/>
        <sz val="13"/>
        <rFont val="Arial"/>
        <family val="0"/>
        <charset val="1"/>
      </rPr>
      <t xml:space="preserve">Price_Frontier — </t>
    </r>
    <r>
      <rPr>
        <b val="true"/>
        <sz val="13"/>
        <rFont val="Noto Sans CJK SC"/>
        <family val="2"/>
      </rPr>
      <t xml:space="preserve">單價前緣（</t>
    </r>
    <r>
      <rPr>
        <b val="true"/>
        <sz val="13"/>
        <rFont val="Arial"/>
        <family val="0"/>
        <charset val="1"/>
      </rPr>
      <t xml:space="preserve">K2 (i)</t>
    </r>
    <r>
      <rPr>
        <b val="true"/>
        <sz val="13"/>
        <rFont val="Noto Sans CJK SC"/>
        <family val="2"/>
      </rPr>
      <t xml:space="preserve">：能力 ≥ </t>
    </r>
    <r>
      <rPr>
        <b val="true"/>
        <sz val="13"/>
        <rFont val="Arial"/>
        <family val="0"/>
        <charset val="1"/>
      </rPr>
      <t xml:space="preserve">OpenAI </t>
    </r>
    <r>
      <rPr>
        <b val="true"/>
        <sz val="13"/>
        <rFont val="Noto Sans CJK SC"/>
        <family val="2"/>
      </rPr>
      <t xml:space="preserve">層級模型者之中，參考請求混合單價最低者）</t>
    </r>
  </si>
  <si>
    <r>
      <rPr>
        <sz val="9"/>
        <color rgb="FF595959"/>
        <rFont val="Noto Sans CJK SC"/>
        <family val="2"/>
      </rPr>
      <t xml:space="preserve">混合單價＝（</t>
    </r>
    <r>
      <rPr>
        <sz val="9"/>
        <color rgb="FF595959"/>
        <rFont val="Arial"/>
        <family val="0"/>
        <charset val="1"/>
      </rPr>
      <t xml:space="preserve">ISL ×</t>
    </r>
    <r>
      <rPr>
        <sz val="9"/>
        <color rgb="FF595959"/>
        <rFont val="Noto Sans CJK SC"/>
        <family val="2"/>
      </rPr>
      <t xml:space="preserve">〔</t>
    </r>
    <r>
      <rPr>
        <sz val="9"/>
        <color rgb="FF595959"/>
        <rFont val="Arial"/>
        <family val="0"/>
        <charset val="1"/>
      </rPr>
      <t xml:space="preserve">(1−χ) </t>
    </r>
    <r>
      <rPr>
        <sz val="9"/>
        <color rgb="FF595959"/>
        <rFont val="Noto Sans CJK SC"/>
        <family val="2"/>
      </rPr>
      <t xml:space="preserve">新鮮＋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快取〕＋ </t>
    </r>
    <r>
      <rPr>
        <sz val="9"/>
        <color rgb="FF595959"/>
        <rFont val="Arial"/>
        <family val="0"/>
        <charset val="1"/>
      </rPr>
      <t xml:space="preserve">OSL × </t>
    </r>
    <r>
      <rPr>
        <sz val="9"/>
        <color rgb="FF595959"/>
        <rFont val="Noto Sans CJK SC"/>
        <family val="2"/>
      </rPr>
      <t xml:space="preserve">輸出）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ISL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OSL</t>
    </r>
    <r>
      <rPr>
        <sz val="9"/>
        <color rgb="FF595959"/>
        <rFont val="Noto Sans CJK SC"/>
        <family val="2"/>
      </rPr>
      <t xml:space="preserve">），用各層級參考任務（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23–24</t>
    </r>
    <r>
      <rPr>
        <sz val="9"/>
        <color rgb="FF595959"/>
        <rFont val="Noto Sans CJK SC"/>
        <family val="2"/>
      </rPr>
      <t xml:space="preserve">）。前緣以『整筆請求』比較，不逐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類型取最低（避免拼出不存在的組合）。牌價為表列價（未折扣），折扣在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對所有廠商一致套用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</si>
  <si>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候選模型的有效牌價與各層級參考請求混合單價</t>
    </r>
  </si>
  <si>
    <t xml:space="preserve">時段係數</t>
  </si>
  <si>
    <t xml:space="preserve">輸出</t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</si>
  <si>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</si>
  <si>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</si>
  <si>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混合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</si>
  <si>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</si>
  <si>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</si>
  <si>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合格 </t>
    </r>
    <r>
      <rPr>
        <b val="true"/>
        <sz val="10"/>
        <rFont val="Arial"/>
        <family val="0"/>
        <charset val="1"/>
      </rPr>
      <t xml:space="preserve">Astra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</si>
  <si>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Luna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</si>
  <si>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Sol</t>
    </r>
  </si>
  <si>
    <r>
      <rPr>
        <b val="true"/>
        <sz val="10"/>
        <rFont val="Noto Sans CJK SC"/>
        <family val="2"/>
      </rPr>
      <t xml:space="preserve">中國合格 </t>
    </r>
    <r>
      <rPr>
        <b val="true"/>
        <sz val="10"/>
        <rFont val="Arial"/>
        <family val="0"/>
        <charset val="1"/>
      </rPr>
      <t xml:space="preserve">Astra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</si>
  <si>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B6:P6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</si>
  <si>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B7:P7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</si>
  <si>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B8:P8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</si>
  <si>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B9:P9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</si>
  <si>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B10:P10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</si>
  <si>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B11:P11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</si>
  <si>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B12:P12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</si>
  <si>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B13:P13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</si>
  <si>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B14:P14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</si>
  <si>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B15:P15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</si>
  <si>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B16:P16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</si>
  <si>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B17:P17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</si>
  <si>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B18:P18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</si>
  <si>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9"/>
        <color rgb="FF595959"/>
        <rFont val="Noto Sans CJK SC"/>
        <family val="2"/>
      </rPr>
      <t xml:space="preserve">合格欄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＝不合格（能力指數低於該層級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模型或未取得）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</si>
  <si>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各層級前緣（欄＝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</si>
  <si>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層級能力門檻（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層級模型的指數）</t>
    </r>
  </si>
  <si>
    <t xml:space="preserve">指數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</si>
  <si>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 混合單價（表列）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</si>
  <si>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D24:E24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</si>
  <si>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前緣 混合單價（表列）</t>
  </si>
  <si>
    <t xml:space="preserve">前緣模型</t>
  </si>
  <si>
    <t xml:space="preserve">前緣 新鮮輸入（表列、時段加權）</t>
  </si>
  <si>
    <t xml:space="preserve">前緣 快取輸入</t>
  </si>
  <si>
    <t xml:space="preserve">前緣 輸出（含思考）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</si>
  <si>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溢價（</t>
    </r>
    <r>
      <rPr>
        <sz val="10"/>
        <color rgb="FF000000"/>
        <rFont val="Arial"/>
        <family val="0"/>
        <charset val="1"/>
      </rPr>
      <t xml:space="preserve">OpenAI ÷ </t>
    </r>
    <r>
      <rPr>
        <sz val="10"/>
        <color rgb="FF000000"/>
        <rFont val="Noto Sans CJK SC"/>
        <family val="2"/>
      </rPr>
      <t xml:space="preserve">前緣；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即前緣）</t>
    </r>
  </si>
  <si>
    <t xml:space="preserve">中國廠商 合格者最低 混合單價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</si>
  <si>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D31:E31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</si>
  <si>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合格者最低 模型</t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</si>
  <si>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層級模型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</si>
  <si>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D33:E33</t>
    </r>
    <r>
      <rPr>
        <sz val="9"/>
        <color rgb="FF595959"/>
        <rFont val="Noto Sans CJK SC"/>
        <family val="2"/>
      </rPr>
      <t xml:space="preserve">（同表其他世代／層級欄）</t>
    </r>
  </si>
  <si>
    <t xml:space="preserve">中國廠商 合格家數（候選表中）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</si>
  <si>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能力 → 單價倍數（</t>
    </r>
    <r>
      <rPr>
        <b val="true"/>
        <sz val="10"/>
        <rFont val="Arial"/>
        <family val="0"/>
        <charset val="1"/>
      </rPr>
      <t xml:space="preserve">K4 (c)</t>
    </r>
    <r>
      <rPr>
        <b val="true"/>
        <sz val="10"/>
        <rFont val="Noto Sans CJK SC"/>
        <family val="2"/>
      </rPr>
      <t xml:space="preserve">：基準 </t>
    </r>
    <r>
      <rPr>
        <b val="true"/>
        <sz val="10"/>
        <rFont val="Arial"/>
        <family val="0"/>
        <charset val="1"/>
      </rPr>
      <t xml:space="preserve">ε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，倍數恆為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</si>
  <si>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Tech_Registry H_CAP </t>
    </r>
    <r>
      <rPr>
        <sz val="10"/>
        <color rgb="FF000000"/>
        <rFont val="Noto Sans CJK SC"/>
        <family val="2"/>
      </rPr>
      <t xml:space="preserve">有效倍數（能力增量，以有效算力表示）</t>
    </r>
  </si>
  <si>
    <r>
      <rPr>
        <sz val="10"/>
        <color rgb="FF000000"/>
        <rFont val="Noto Sans CJK SC"/>
        <family val="2"/>
      </rPr>
      <t xml:space="preserve">能力單價倍數＝（</t>
    </r>
    <r>
      <rPr>
        <sz val="10"/>
        <color rgb="FF000000"/>
        <rFont val="Arial"/>
        <family val="0"/>
        <charset val="1"/>
      </rPr>
      <t xml:space="preserve">H_CAP × </t>
    </r>
    <r>
      <rPr>
        <sz val="10"/>
        <color rgb="FF000000"/>
        <rFont val="Noto Sans CJK SC"/>
        <family val="2"/>
      </rPr>
      <t xml:space="preserve">有效訓練算力倍數）</t>
    </r>
    <r>
      <rPr>
        <sz val="10"/>
        <color rgb="FF000000"/>
        <rFont val="Arial"/>
        <family val="0"/>
        <charset val="1"/>
      </rPr>
      <t xml:space="preserve">^ε</t>
    </r>
  </si>
  <si>
    <r>
      <rPr>
        <b val="true"/>
        <sz val="10"/>
        <rFont val="Arial"/>
        <family val="0"/>
        <charset val="1"/>
      </rPr>
      <t xml:space="preserve">D. OpenAI </t>
    </r>
    <r>
      <rPr>
        <b val="true"/>
        <sz val="10"/>
        <rFont val="Noto Sans CJK SC"/>
        <family val="2"/>
      </rPr>
      <t xml:space="preserve">有效單價（表列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1−</t>
    </r>
    <r>
      <rPr>
        <b val="true"/>
        <sz val="10"/>
        <rFont val="Noto Sans CJK SC"/>
        <family val="2"/>
      </rPr>
      <t xml:space="preserve">折扣）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能力單價倍數；依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類型；下游連結 </t>
    </r>
    <r>
      <rPr>
        <b val="true"/>
        <sz val="10"/>
        <rFont val="Arial"/>
        <family val="0"/>
        <charset val="1"/>
      </rPr>
      <t xml:space="preserve">IF_Price*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</si>
  <si>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</si>
  <si>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</si>
  <si>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（有效；依輸出價計費）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</si>
  <si>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</si>
  <si>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有效）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</si>
  <si>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（前緣有效＝前緣表列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1−</t>
    </r>
    <r>
      <rPr>
        <sz val="10"/>
        <color rgb="FF000000"/>
        <rFont val="Noto Sans CJK SC"/>
        <family val="2"/>
      </rPr>
      <t xml:space="preserve">折扣））</t>
    </r>
  </si>
  <si>
    <r>
      <rPr>
        <b val="true"/>
        <sz val="13"/>
        <rFont val="Arial"/>
        <family val="0"/>
        <charset val="1"/>
      </rPr>
      <t xml:space="preserve">Cache_Store — </t>
    </r>
    <r>
      <rPr>
        <b val="true"/>
        <sz val="13"/>
        <rFont val="Noto Sans CJK SC"/>
        <family val="2"/>
      </rPr>
      <t xml:space="preserve">快取儲存成本（</t>
    </r>
    <r>
      <rPr>
        <b val="true"/>
        <sz val="13"/>
        <rFont val="Arial"/>
        <family val="0"/>
        <charset val="1"/>
      </rPr>
      <t xml:space="preserve">Block 2 </t>
    </r>
    <r>
      <rPr>
        <b val="true"/>
        <sz val="13"/>
        <rFont val="Noto Sans CJK SC"/>
        <family val="2"/>
      </rPr>
      <t xml:space="preserve">未結事項 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；每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快取命中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；加在 </t>
    </r>
    <r>
      <rPr>
        <b val="true"/>
        <sz val="13"/>
        <rFont val="Arial"/>
        <family val="0"/>
        <charset val="1"/>
      </rPr>
      <t xml:space="preserve">IF_CostCache </t>
    </r>
    <r>
      <rPr>
        <b val="true"/>
        <sz val="13"/>
        <rFont val="Noto Sans CJK SC"/>
        <family val="2"/>
      </rPr>
      <t xml:space="preserve">之上）</t>
    </r>
  </si>
  <si>
    <r>
      <rPr>
        <sz val="9"/>
        <color rgb="FF595959"/>
        <rFont val="Noto Sans CJK SC"/>
        <family val="2"/>
      </rPr>
      <t xml:space="preserve">儲存 </t>
    </r>
    <r>
      <rPr>
        <sz val="9"/>
        <color rgb="FF595959"/>
        <rFont val="Arial"/>
        <family val="0"/>
        <charset val="1"/>
      </rPr>
      <t xml:space="preserve">$/M </t>
    </r>
    <r>
      <rPr>
        <sz val="9"/>
        <color rgb="FF595959"/>
        <rFont val="Noto Sans CJK SC"/>
        <family val="2"/>
      </rPr>
      <t xml:space="preserve">快取命中＝</t>
    </r>
    <r>
      <rPr>
        <sz val="9"/>
        <color rgb="FF595959"/>
        <rFont val="Arial"/>
        <family val="0"/>
        <charset val="1"/>
      </rPr>
      <t xml:space="preserve">KV bytes/token × 10⁶ ÷ 10⁹ × </t>
    </r>
    <r>
      <rPr>
        <sz val="9"/>
        <color rgb="FF595959"/>
        <rFont val="Noto Sans CJK SC"/>
        <family val="2"/>
      </rPr>
      <t xml:space="preserve">儲存層 </t>
    </r>
    <r>
      <rPr>
        <sz val="9"/>
        <color rgb="FF595959"/>
        <rFont val="Arial"/>
        <family val="0"/>
        <charset val="1"/>
      </rPr>
      <t xml:space="preserve">$/GB-hr 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每次寫入命中次數。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以每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小時持有成本 </t>
    </r>
    <r>
      <rPr>
        <sz val="9"/>
        <color rgb="FF595959"/>
        <rFont val="Arial"/>
        <family val="0"/>
        <charset val="1"/>
      </rPr>
      <t xml:space="preserve">÷ HBM </t>
    </r>
    <r>
      <rPr>
        <sz val="9"/>
        <color rgb="FF595959"/>
        <rFont val="Noto Sans CJK SC"/>
        <family val="2"/>
      </rPr>
      <t xml:space="preserve">容量計（把整顆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成本歸給 </t>
    </r>
    <r>
      <rPr>
        <sz val="9"/>
        <color rgb="FF595959"/>
        <rFont val="Arial"/>
        <family val="0"/>
        <charset val="1"/>
      </rPr>
      <t xml:space="preserve">HBM</t>
    </r>
    <r>
      <rPr>
        <sz val="9"/>
        <color rgb="FF595959"/>
        <rFont val="Noto Sans CJK SC"/>
        <family val="2"/>
      </rPr>
      <t xml:space="preserve">，為上限）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</si>
  <si>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C5:Q5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</si>
  <si>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欄索引</t>
  </si>
  <si>
    <r>
      <rPr>
        <b val="true"/>
        <sz val="10"/>
        <rFont val="Noto Sans CJK SC"/>
        <family val="2"/>
      </rPr>
      <t xml:space="preserve">共用（儲存層 </t>
    </r>
    <r>
      <rPr>
        <b val="true"/>
        <sz val="10"/>
        <rFont val="Arial"/>
        <family val="0"/>
        <charset val="1"/>
      </rPr>
      <t xml:space="preserve">$/GB-hr</t>
    </r>
    <r>
      <rPr>
        <b val="true"/>
        <sz val="10"/>
        <rFont val="Noto Sans CJK SC"/>
        <family val="2"/>
      </rPr>
      <t xml:space="preserve">）</t>
    </r>
  </si>
  <si>
    <t xml:space="preserve">SSD</t>
  </si>
  <si>
    <t xml:space="preserve">$/GB-hr</t>
  </si>
  <si>
    <t xml:space="preserve">DRAM</t>
  </si>
  <si>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（上限）</t>
    </r>
  </si>
  <si>
    <t xml:space="preserve">採用儲存層</t>
  </si>
  <si>
    <r>
      <rPr>
        <sz val="10"/>
        <color rgb="FF000000"/>
        <rFont val="Arial"/>
        <family val="0"/>
        <charset val="1"/>
      </rPr>
      <t xml:space="preserve">KV bytes/token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採用列）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</si>
  <si>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</si>
  <si>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快取命中載入成本（</t>
    </r>
    <r>
      <rPr>
        <sz val="10"/>
        <color rgb="FF000000"/>
        <rFont val="Arial"/>
        <family val="0"/>
        <charset val="1"/>
      </rPr>
      <t xml:space="preserve">IF_CostCache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</si>
  <si>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快取輸入有效價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</si>
  <si>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</si>
  <si>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</si>
  <si>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b val="true"/>
        <sz val="13"/>
        <rFont val="Arial"/>
        <family val="0"/>
        <charset val="1"/>
      </rPr>
      <t xml:space="preserve">Fleet_1GW — 1 GW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IT</t>
    </r>
    <r>
      <rPr>
        <b val="true"/>
        <sz val="13"/>
        <rFont val="Noto Sans CJK SC"/>
        <family val="2"/>
      </rPr>
      <t xml:space="preserve">）參考機隊配置（</t>
    </r>
    <r>
      <rPr>
        <b val="true"/>
        <sz val="13"/>
        <rFont val="Arial"/>
        <family val="0"/>
        <charset val="1"/>
      </rPr>
      <t xml:space="preserve">J11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K7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</si>
  <si>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用途：對外服務（付費／免費）、最終訓練、研發實驗；服務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依層級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組合分配：服務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 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＝服務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÷ Σ</t>
    </r>
    <r>
      <rPr>
        <sz val="9"/>
        <color rgb="FF595959"/>
        <rFont val="Noto Sans CJK SC"/>
        <family val="2"/>
      </rPr>
      <t xml:space="preserve">（組合</t>
    </r>
    <r>
      <rPr>
        <sz val="9"/>
        <color rgb="FF595959"/>
        <rFont val="Arial"/>
        <family val="0"/>
        <charset val="1"/>
      </rPr>
      <t xml:space="preserve">ₜ 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</t>
    </r>
    <r>
      <rPr>
        <sz val="9"/>
        <color rgb="FF595959"/>
        <rFont val="Arial"/>
        <family val="0"/>
        <charset val="1"/>
      </rPr>
      <t xml:space="preserve">ₜ</t>
    </r>
    <r>
      <rPr>
        <sz val="9"/>
        <color rgb="FF595959"/>
        <rFont val="Noto Sans CJK SC"/>
        <family val="2"/>
      </rPr>
      <t xml:space="preserve">）。訓練＋研發＝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服務；其中最終訓練＝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研發倍數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</si>
  <si>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C6:Q6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</si>
  <si>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用途配置（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）</t>
    </r>
  </si>
  <si>
    <t xml:space="preserve">對外服務</t>
  </si>
  <si>
    <t xml:space="preserve">  付費服務</t>
  </si>
  <si>
    <t xml:space="preserve">  免費服務</t>
  </si>
  <si>
    <t xml:space="preserve">訓練＋研發</t>
  </si>
  <si>
    <t xml:space="preserve">  最終訓練</t>
  </si>
  <si>
    <t xml:space="preserve">  研發實驗（不含最終訓練）</t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</si>
  <si>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（基準利用率；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</si>
  <si>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r>
      <rPr>
        <sz val="10"/>
        <color rgb="FF000000"/>
        <rFont val="Noto Sans CJK SC"/>
        <family val="2"/>
      </rPr>
      <t xml:space="preserve">可服務（至少一個組合內層級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；付費與免費組合各自須有可達層級；</t>
    </r>
    <r>
      <rPr>
        <sz val="10"/>
        <color rgb="FF000000"/>
        <rFont val="Arial"/>
        <family val="0"/>
        <charset val="1"/>
      </rPr>
      <t xml:space="preserve">v6.0 D8-2</t>
    </r>
    <r>
      <rPr>
        <sz val="10"/>
        <color rgb="FF000000"/>
        <rFont val="Noto Sans CJK SC"/>
        <family val="2"/>
      </rPr>
      <t xml:space="preserve">）</t>
    </r>
  </si>
  <si>
    <t xml:space="preserve">旗標</t>
  </si>
  <si>
    <r>
      <rPr>
        <sz val="10"/>
        <color rgb="FF000000"/>
        <rFont val="Noto Sans CJK SC"/>
        <family val="2"/>
      </rPr>
      <t xml:space="preserve">付費服務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</si>
  <si>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Noto Sans CJK SC"/>
        <family val="2"/>
      </rPr>
      <t xml:space="preserve">免費服務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總量（只含可達層級，權重已重新正規化）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</si>
  <si>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</si>
  <si>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</si>
  <si>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</si>
  <si>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C23:Q23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</si>
  <si>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</si>
  <si>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</si>
  <si>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</si>
  <si>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C26:Q26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</si>
  <si>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</si>
  <si>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</si>
  <si>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服務 </t>
    </r>
    <r>
      <rPr>
        <sz val="10"/>
        <color rgb="FF000000"/>
        <rFont val="Arial"/>
        <family val="0"/>
        <charset val="1"/>
      </rPr>
      <t xml:space="preserve">GW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</si>
  <si>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C29:Q29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</si>
  <si>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檢查：各可達層級服務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 − 對外服務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</si>
  <si>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C30:Q30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</si>
  <si>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一致性</t>
    </r>
  </si>
  <si>
    <r>
      <rPr>
        <sz val="10"/>
        <color rgb="FF000000"/>
        <rFont val="Noto Sans CJK SC"/>
        <family val="2"/>
      </rPr>
      <t xml:space="preserve">家族研發計畫占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年（三層級合計）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</si>
  <si>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年可容納的家族研發計畫數（訓練＋研發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家族計畫）</t>
    </r>
  </si>
  <si>
    <r>
      <rPr>
        <sz val="9"/>
        <color rgb="FF595959"/>
        <rFont val="Noto Sans CJK SC"/>
        <family val="2"/>
      </rPr>
      <t xml:space="preserve">解讀：前沿實驗室每年約 </t>
    </r>
    <r>
      <rPr>
        <sz val="9"/>
        <color rgb="FF595959"/>
        <rFont val="Arial"/>
        <family val="0"/>
        <charset val="1"/>
      </rPr>
      <t xml:space="preserve">1–3 </t>
    </r>
    <r>
      <rPr>
        <sz val="9"/>
        <color rgb="FF595959"/>
        <rFont val="Noto Sans CJK SC"/>
        <family val="2"/>
      </rPr>
      <t xml:space="preserve">個旗艦家族；遠高於此代表 </t>
    </r>
    <r>
      <rPr>
        <sz val="9"/>
        <color rgb="FF595959"/>
        <rFont val="Arial"/>
        <family val="0"/>
        <charset val="1"/>
      </rPr>
      <t xml:space="preserve">Block 3 </t>
    </r>
    <r>
      <rPr>
        <sz val="9"/>
        <color rgb="FF595959"/>
        <rFont val="Noto Sans CJK SC"/>
        <family val="2"/>
      </rPr>
      <t xml:space="preserve">單一計畫規模偏小（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）或機隊訓練占比偏高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</si>
  <si>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不可達層級的排除與權重重新正規化（</t>
    </r>
    <r>
      <rPr>
        <b val="true"/>
        <sz val="10"/>
        <rFont val="Arial"/>
        <family val="0"/>
        <charset val="1"/>
      </rPr>
      <t xml:space="preserve">v6.0 D8-2</t>
    </r>
    <r>
      <rPr>
        <b val="true"/>
        <sz val="10"/>
        <rFont val="Noto Sans CJK SC"/>
        <family val="2"/>
      </rPr>
      <t xml:space="preserve">）：只排除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不可達的層級，其餘層級的組合權重依原比例重新正規化；全部層級不可達時才整欄為文字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</si>
  <si>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</si>
  <si>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</si>
  <si>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</si>
  <si>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付費組合：保留層級的權重合計（重新正規化前）</t>
  </si>
  <si>
    <t xml:space="preserve">免費組合：保留層級的權重合計（重新正規化前）</t>
  </si>
  <si>
    <r>
      <rPr>
        <sz val="10"/>
        <color rgb="FF000000"/>
        <rFont val="Noto Sans CJK SC"/>
        <family val="2"/>
      </rPr>
      <t xml:space="preserve">排除層級（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不可達者；無＝全部可達）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</si>
  <si>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付費有效權重（重新正規化後）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</si>
  <si>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付費有效權重（重新正規化後）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</si>
  <si>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付費有效權重（重新正規化後）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</si>
  <si>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免費有效權重（重新正規化後）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</si>
  <si>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免費有效權重（重新正規化後）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</si>
  <si>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免費有效權重（重新正規化後）</t>
    </r>
  </si>
  <si>
    <r>
      <rPr>
        <b val="true"/>
        <sz val="13"/>
        <rFont val="Arial"/>
        <family val="0"/>
        <charset val="1"/>
      </rPr>
      <t xml:space="preserve">Amortize — </t>
    </r>
    <r>
      <rPr>
        <b val="true"/>
        <sz val="13"/>
        <rFont val="Noto Sans CJK SC"/>
        <family val="2"/>
      </rPr>
      <t xml:space="preserve">訓練攤提（</t>
    </r>
    <r>
      <rPr>
        <b val="true"/>
        <sz val="13"/>
        <rFont val="Arial"/>
        <family val="0"/>
        <charset val="1"/>
      </rPr>
      <t xml:space="preserve">K6</t>
    </r>
    <r>
      <rPr>
        <b val="true"/>
        <sz val="13"/>
        <rFont val="Noto Sans CJK SC"/>
        <family val="2"/>
      </rPr>
      <t xml:space="preserve">：自下而上、由上而下並列；下游預設 </t>
    </r>
    <r>
      <rPr>
        <b val="true"/>
        <sz val="13"/>
        <rFont val="Arial"/>
        <family val="0"/>
        <charset val="1"/>
      </rPr>
      <t xml:space="preserve">(c)</t>
    </r>
    <r>
      <rPr>
        <b val="true"/>
        <sz val="13"/>
        <rFont val="Noto Sans CJK SC"/>
        <family val="2"/>
      </rPr>
      <t xml:space="preserve">＝由上而下總額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自下而上權重，</t>
    </r>
    <r>
      <rPr>
        <b val="true"/>
        <sz val="13"/>
        <rFont val="Arial"/>
        <family val="0"/>
        <charset val="1"/>
      </rPr>
      <t xml:space="preserve">Andy 2026-10-01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</si>
  <si>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自下而上＝層級研發計畫成本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參考機隊在商業壽命內服務的該層級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）；由上而下＝機隊訓練占比 </t>
    </r>
    <r>
      <rPr>
        <sz val="9"/>
        <color rgb="FF595959"/>
        <rFont val="Arial"/>
        <family val="0"/>
        <charset val="1"/>
      </rPr>
      <t xml:space="preserve">X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服務成本。前者同時是『回本所需單價溢價』（</t>
    </r>
    <r>
      <rPr>
        <sz val="9"/>
        <color rgb="FF595959"/>
        <rFont val="Arial"/>
        <family val="0"/>
        <charset val="1"/>
      </rPr>
      <t xml:space="preserve">K4 (d)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(c)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只改變層級間分配，總額同由上而下</t>
    </r>
  </si>
  <si>
    <r>
      <rPr>
        <sz val="10"/>
        <color rgb="FF000000"/>
        <rFont val="Noto Sans CJK SC"/>
        <family val="2"/>
      </rPr>
      <t xml:space="preserve">研發計畫成本（</t>
    </r>
    <r>
      <rPr>
        <sz val="10"/>
        <color rgb="FF000000"/>
        <rFont val="Arial"/>
        <family val="0"/>
        <charset val="1"/>
      </rPr>
      <t xml:space="preserve">IF_ProgCost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</si>
  <si>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</t>
    </r>
  </si>
  <si>
    <r>
      <rPr>
        <sz val="10"/>
        <color rgb="FF000000"/>
        <rFont val="Noto Sans CJK SC"/>
        <family val="2"/>
      </rPr>
      <t xml:space="preserve">商業壽命內服務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D11 </t>
    </r>
    <r>
      <rPr>
        <sz val="10"/>
        <color rgb="FF000000"/>
        <rFont val="Noto Sans CJK SC"/>
        <family val="2"/>
      </rPr>
      <t xml:space="preserve">起不含免費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</si>
  <si>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M tok</t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</si>
  <si>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[IF_AmortBU_Luna]</t>
    </r>
  </si>
  <si>
    <t xml:space="preserve">服務成本（參考請求混合，含快取儲存，基準利用率）</t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</si>
  <si>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</si>
  <si>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10"/>
        <color rgb="FF000000"/>
        <rFont val="Noto Sans CJK SC"/>
        <family val="2"/>
      </rPr>
      <t xml:space="preserve">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</si>
  <si>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</si>
  <si>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</si>
  <si>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回本所需溢價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觀測層級價差（本層級 − 下一層級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有效混合單價）</t>
    </r>
  </si>
  <si>
    <r>
      <rPr>
        <sz val="10"/>
        <color rgb="FF000000"/>
        <rFont val="Noto Sans CJK SC"/>
        <family val="2"/>
      </rPr>
      <t xml:space="preserve">自下而上攤提＝回本所需單價溢價（分母＝付費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</si>
  <si>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由上而下攤提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</si>
  <si>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b val="true"/>
        <sz val="10"/>
        <rFont val="Arial"/>
        <family val="0"/>
        <charset val="1"/>
      </rPr>
      <t xml:space="preserve">K6 </t>
    </r>
    <r>
      <rPr>
        <b val="true"/>
        <sz val="10"/>
        <rFont val="Noto Sans CJK SC"/>
        <family val="2"/>
      </rPr>
      <t xml:space="preserve">下游預設（</t>
    </r>
    <r>
      <rPr>
        <b val="true"/>
        <sz val="10"/>
        <rFont val="Arial"/>
        <family val="0"/>
        <charset val="1"/>
      </rPr>
      <t xml:space="preserve">Andy 2026-10-01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(c)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自下而上權重（預設）；</t>
    </r>
    <r>
      <rPr>
        <b val="true"/>
        <sz val="10"/>
        <rFont val="Arial"/>
        <family val="0"/>
        <charset val="1"/>
      </rPr>
      <t xml:space="preserve">(d) </t>
    </r>
    <r>
      <rPr>
        <b val="true"/>
        <sz val="10"/>
        <rFont val="Noto Sans CJK SC"/>
        <family val="2"/>
      </rPr>
      <t xml:space="preserve">由上而下總額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營收權重（並列）</t>
    </r>
  </si>
  <si>
    <t xml:space="preserve">由上而下年化總額（可達層級合計）</t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</si>
  <si>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</si>
  <si>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自下而上年化總額（研發計畫成本 </t>
    </r>
    <r>
      <rPr>
        <sz val="10"/>
        <color rgb="FF000000"/>
        <rFont val="Arial"/>
        <family val="0"/>
        <charset val="1"/>
      </rPr>
      <t xml:space="preserve">× 12 ÷ </t>
    </r>
    <r>
      <rPr>
        <sz val="10"/>
        <color rgb="FF000000"/>
        <rFont val="Noto Sans CJK SC"/>
        <family val="2"/>
      </rPr>
      <t xml:space="preserve">商業壽命，可達層級合計）</t>
    </r>
  </si>
  <si>
    <r>
      <rPr>
        <sz val="10"/>
        <color rgb="FF000000"/>
        <rFont val="Noto Sans CJK SC"/>
        <family val="2"/>
      </rPr>
      <t xml:space="preserve">縮放倍數（由上而下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自下而上總額）</t>
    </r>
  </si>
  <si>
    <r>
      <rPr>
        <sz val="10"/>
        <color rgb="FF000000"/>
        <rFont val="Noto Sans CJK SC"/>
        <family val="2"/>
      </rPr>
      <t xml:space="preserve">付費營收合計（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有效單價，可達層級）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</si>
  <si>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</si>
  <si>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</si>
  <si>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</si>
  <si>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</si>
  <si>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</si>
  <si>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</si>
  <si>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Arial"/>
        <family val="0"/>
        <charset val="1"/>
      </rPr>
      <t xml:space="preserve">(d) </t>
    </r>
    <r>
      <rPr>
        <sz val="10"/>
        <color rgb="FF000000"/>
        <rFont val="Noto Sans CJK SC"/>
        <family val="2"/>
      </rPr>
      <t xml:space="preserve">攤提占付費營收（各層級相同）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</si>
  <si>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保留由上而下的總額（與觀測支出一致），層級間依物理計畫成本分配；縮放倍數與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）。若 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低估集中於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仍偏低。</t>
    </r>
    <r>
      <rPr>
        <sz val="9"/>
        <color rgb="FF595959"/>
        <rFont val="Arial"/>
        <family val="0"/>
        <charset val="1"/>
      </rPr>
      <t xml:space="preserve">(d) </t>
    </r>
    <r>
      <rPr>
        <sz val="9"/>
        <color rgb="FF595959"/>
        <rFont val="Noto Sans CJK SC"/>
        <family val="2"/>
      </rPr>
      <t xml:space="preserve">為聯合成本的相對售價法。毛利率另列不含攤提口徑，以便與公司揭露比較</t>
    </r>
  </si>
  <si>
    <r>
      <rPr>
        <b val="true"/>
        <sz val="13"/>
        <rFont val="Arial"/>
        <family val="0"/>
        <charset val="1"/>
      </rPr>
      <t xml:space="preserve">Theory_Rev — </t>
    </r>
    <r>
      <rPr>
        <b val="true"/>
        <sz val="13"/>
        <rFont val="Noto Sans CJK SC"/>
        <family val="2"/>
      </rPr>
      <t xml:space="preserve">每 </t>
    </r>
    <r>
      <rPr>
        <b val="true"/>
        <sz val="13"/>
        <rFont val="Arial"/>
        <family val="0"/>
        <charset val="1"/>
      </rPr>
      <t xml:space="preserve">GW </t>
    </r>
    <r>
      <rPr>
        <b val="true"/>
        <sz val="13"/>
        <rFont val="Noto Sans CJK SC"/>
        <family val="2"/>
      </rPr>
      <t xml:space="preserve">理論營收（理想上限：</t>
    </r>
    <r>
      <rPr>
        <b val="true"/>
        <sz val="13"/>
        <rFont val="Arial"/>
        <family val="0"/>
        <charset val="1"/>
      </rPr>
      <t xml:space="preserve">SLO </t>
    </r>
    <r>
      <rPr>
        <b val="true"/>
        <sz val="13"/>
        <rFont val="Noto Sans CJK SC"/>
        <family val="2"/>
      </rPr>
      <t xml:space="preserve">產能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利用率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層級有效單價；不含需求、市占、訂閱方案）</t>
    </r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</si>
  <si>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節＝單一層級滿載 </t>
    </r>
    <r>
      <rPr>
        <sz val="9"/>
        <color rgb="FF595959"/>
        <rFont val="Arial"/>
        <family val="0"/>
        <charset val="1"/>
      </rPr>
      <t xml:space="preserve">1 GW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節＝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參考機隊（付費服務 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單價；免費服務營收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單價為主線（</t>
    </r>
    <r>
      <rPr>
        <sz val="9"/>
        <color rgb="FF595959"/>
        <rFont val="Arial"/>
        <family val="0"/>
        <charset val="1"/>
      </rPr>
      <t xml:space="preserve">K1</t>
    </r>
    <r>
      <rPr>
        <sz val="9"/>
        <color rgb="FF595959"/>
        <rFont val="Noto Sans CJK SC"/>
        <family val="2"/>
      </rPr>
      <t xml:space="preserve">），前緣單價並列（</t>
    </r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）。成本＝經濟口徑</t>
    </r>
  </si>
  <si>
    <r>
      <rPr>
        <b val="true"/>
        <sz val="10"/>
        <rFont val="Arial"/>
        <family val="0"/>
        <charset val="1"/>
      </rPr>
      <t xml:space="preserve">A. Luna</t>
    </r>
    <r>
      <rPr>
        <b val="true"/>
        <sz val="10"/>
        <rFont val="Noto Sans CJK SC"/>
        <family val="2"/>
      </rPr>
      <t xml:space="preserve">（低層）：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</si>
  <si>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</si>
  <si>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</si>
  <si>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</si>
  <si>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</si>
  <si>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</si>
  <si>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年持有成本 — 經濟（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</si>
  <si>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理論營收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</si>
  <si>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前緣營收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</si>
  <si>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10"/>
        <color rgb="FF000000"/>
        <rFont val="Noto Sans CJK SC"/>
        <family val="2"/>
      </rPr>
      <t xml:space="preserve">服務成本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（參考請求，含快取儲存，基準利用率）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</si>
  <si>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</si>
  <si>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（服務＋由上而下攤提）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</si>
  <si>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</si>
  <si>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單價；不含攤提，可與公司揭露毛利率比較）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</si>
  <si>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C21:Q21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</si>
  <si>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單價；自下而上全成本）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</si>
  <si>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單價；由上而下全成本）</t>
    </r>
  </si>
  <si>
    <r>
      <rPr>
        <sz val="10"/>
        <color rgb="FF000000"/>
        <rFont val="Noto Sans CJK SC"/>
        <family val="2"/>
      </rPr>
      <t xml:space="preserve">理論毛利率（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全成本）</t>
    </r>
  </si>
  <si>
    <t xml:space="preserve">理論毛利率（前緣單價；由上而下全成本）</t>
  </si>
  <si>
    <r>
      <rPr>
        <b val="true"/>
        <sz val="10"/>
        <rFont val="Arial"/>
        <family val="0"/>
        <charset val="1"/>
      </rPr>
      <t xml:space="preserve">A. Sol</t>
    </r>
    <r>
      <rPr>
        <b val="true"/>
        <sz val="10"/>
        <rFont val="Noto Sans CJK SC"/>
        <family val="2"/>
      </rPr>
      <t xml:space="preserve">（中層）：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</si>
  <si>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</si>
  <si>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</si>
  <si>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C33:Q33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</si>
  <si>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</si>
  <si>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</si>
  <si>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C39:Q39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</si>
  <si>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A. Astra</t>
    </r>
    <r>
      <rPr>
        <b val="true"/>
        <sz val="10"/>
        <rFont val="Noto Sans CJK SC"/>
        <family val="2"/>
      </rPr>
      <t xml:space="preserve">（頂層）：</t>
    </r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只服務本層級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</si>
  <si>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</si>
  <si>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理論營收 — 前緣單價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</si>
  <si>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（服務＋自下而上攤提）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</si>
  <si>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 </t>
    </r>
    <r>
      <rPr>
        <sz val="10"/>
        <color rgb="FF000000"/>
        <rFont val="Noto Sans CJK SC"/>
        <family val="2"/>
      </rPr>
      <t xml:space="preserve">攤提）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</si>
  <si>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C57:Q57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</si>
  <si>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b val="true"/>
        <sz val="10"/>
        <rFont val="Arial"/>
        <family val="0"/>
        <charset val="1"/>
      </rPr>
      <t xml:space="preserve">B. 1 GW </t>
    </r>
    <r>
      <rPr>
        <b val="true"/>
        <sz val="10"/>
        <rFont val="Noto Sans CJK SC"/>
        <family val="2"/>
      </rPr>
      <t xml:space="preserve">參考機隊（</t>
    </r>
    <r>
      <rPr>
        <b val="true"/>
        <sz val="10"/>
        <rFont val="Arial"/>
        <family val="0"/>
        <charset val="1"/>
      </rPr>
      <t xml:space="preserve">Fleet_1GW </t>
    </r>
    <r>
      <rPr>
        <b val="true"/>
        <sz val="10"/>
        <rFont val="Noto Sans CJK SC"/>
        <family val="2"/>
      </rPr>
      <t xml:space="preserve">配置）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</si>
  <si>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</si>
  <si>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</si>
  <si>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</si>
  <si>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</si>
  <si>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</si>
  <si>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</si>
  <si>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</si>
  <si>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</si>
  <si>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整個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年持有成本（服務＋訓練＋研發）</t>
    </r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</si>
  <si>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</t>
    </r>
  </si>
  <si>
    <r>
      <rPr>
        <sz val="9"/>
        <color rgb="FF595959"/>
        <rFont val="Noto Sans CJK SC"/>
        <family val="2"/>
      </rPr>
      <t xml:space="preserve">複本讀取：</t>
    </r>
    <r>
      <rPr>
        <sz val="9"/>
        <color rgb="FF595959"/>
        <rFont val="Arial"/>
        <family val="0"/>
        <charset val="1"/>
      </rPr>
      <t xml:space="preserve">C73:Q73</t>
    </r>
    <r>
      <rPr>
        <sz val="9"/>
        <color rgb="FF595959"/>
        <rFont val="Noto Sans CJK SC"/>
        <family val="2"/>
      </rPr>
      <t xml:space="preserve">（被 </t>
    </r>
    <r>
      <rPr>
        <sz val="9"/>
        <color rgb="FF595959"/>
        <rFont val="Arial"/>
        <family val="0"/>
        <charset val="1"/>
      </rPr>
      <t xml:space="preserve">Sens_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複本頁讀取，不是死格）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</si>
  <si>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加權平均有效單價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</si>
  <si>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任務類型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；與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每任務成本對照；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混合）</t>
    </r>
  </si>
  <si>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任務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</si>
  <si>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C77:G77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</si>
  <si>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每任務營收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</si>
  <si>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每任務營收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</si>
  <si>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每任務營收</t>
    </r>
  </si>
  <si>
    <r>
      <rPr>
        <sz val="10"/>
        <color rgb="FF000000"/>
        <rFont val="Arial"/>
        <family val="0"/>
        <charset val="1"/>
      </rPr>
      <t xml:space="preserve">VR200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</si>
  <si>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</si>
  <si>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</si>
  <si>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Luna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</si>
  <si>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Sol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</si>
  <si>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× Astra </t>
    </r>
    <r>
      <rPr>
        <sz val="10"/>
        <color rgb="FF000000"/>
        <rFont val="Noto Sans CJK SC"/>
        <family val="2"/>
      </rPr>
      <t xml:space="preserve">每任務營收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服務成本（</t>
    </r>
    <r>
      <rPr>
        <sz val="10"/>
        <color rgb="FF000000"/>
        <rFont val="Arial"/>
        <family val="0"/>
        <charset val="1"/>
      </rPr>
      <t xml:space="preserve">Workload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</si>
  <si>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註：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每任務成本未含快取儲存與攤提；任務的快取命中率取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</t>
    </r>
    <r>
      <rPr>
        <sz val="9"/>
        <color rgb="FF595959"/>
        <rFont val="Noto Sans CJK SC"/>
        <family val="2"/>
      </rPr>
      <t xml:space="preserve">，與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節參考請求的 </t>
    </r>
    <r>
      <rPr>
        <sz val="9"/>
        <color rgb="FF595959"/>
        <rFont val="Arial"/>
        <family val="0"/>
        <charset val="1"/>
      </rPr>
      <t xml:space="preserve">χ </t>
    </r>
    <r>
      <rPr>
        <sz val="9"/>
        <color rgb="FF595959"/>
        <rFont val="Noto Sans CJK SC"/>
        <family val="2"/>
      </rPr>
      <t xml:space="preserve">不同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</si>
  <si>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營收實現（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起為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IFW_*_Life</t>
    </r>
    <r>
      <rPr>
        <b val="true"/>
        <sz val="10"/>
        <rFont val="Noto Sans CJK SC"/>
        <family val="2"/>
      </rPr>
      <t xml:space="preserve">＝重解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）；基準列為文字（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不可達）時輸出相同文字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</si>
  <si>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</si>
  <si>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</si>
  <si>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</si>
  <si>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付費服務營收合計（層級組合：付費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B4_MixPaid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</si>
  <si>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Y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起）：</t>
    </r>
    <r>
      <rPr>
        <b val="true"/>
        <sz val="10"/>
        <rFont val="Arial"/>
        <family val="0"/>
        <charset val="1"/>
      </rPr>
      <t xml:space="preserve">Interface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別名列 − 對應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（兩邊皆為文字時須文字相同）；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</si>
  <si>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IF_RevGW_Luna_Life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IFW_RevGW_Luna_Life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</si>
  <si>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IF_RevGW_Sol_Life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IFW_RevGW_Sol_Life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</si>
  <si>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IF_RevGW_Astra_Life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IFW_RevGW_Astra_Life</t>
    </r>
    <r>
      <rPr>
        <sz val="9"/>
        <color rgb="FF595959"/>
        <rFont val="Noto Sans CJK SC"/>
        <family val="2"/>
      </rPr>
      <t xml:space="preserve">（應相同）</t>
    </r>
  </si>
  <si>
    <r>
      <rPr>
        <sz val="9"/>
        <color rgb="FF595959"/>
        <rFont val="Arial"/>
        <family val="0"/>
        <charset val="1"/>
      </rPr>
      <t xml:space="preserve">IF_RevGWFleet_Life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別名 </t>
    </r>
    <r>
      <rPr>
        <sz val="9"/>
        <color rgb="FF595959"/>
        <rFont val="Arial"/>
        <family val="0"/>
        <charset val="1"/>
      </rPr>
      <t xml:space="preserve">vs IFW_RevGWFleet_Life</t>
    </r>
    <r>
      <rPr>
        <sz val="9"/>
        <color rgb="FF595959"/>
        <rFont val="Noto Sans CJK SC"/>
        <family val="2"/>
      </rPr>
      <t xml:space="preserve">（應相同）</t>
    </r>
  </si>
  <si>
    <r>
      <rPr>
        <b val="true"/>
        <sz val="10"/>
        <rFont val="Arial"/>
        <family val="0"/>
        <charset val="1"/>
      </rPr>
      <t xml:space="preserve">E. _Prod </t>
    </r>
    <r>
      <rPr>
        <b val="true"/>
        <sz val="10"/>
        <rFont val="Noto Sans CJK SC"/>
        <family val="2"/>
      </rPr>
      <t xml:space="preserve">恆等式自我檢查（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Z1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IFW_RevGW*_Prod × 1E9 ÷ IFW_TokGW_*_Prod </t>
    </r>
    <r>
      <rPr>
        <b val="true"/>
        <sz val="10"/>
        <rFont val="Noto Sans CJK SC"/>
        <family val="2"/>
      </rPr>
      <t xml:space="preserve">＝ 該層級單價（</t>
    </r>
    <r>
      <rPr>
        <b val="true"/>
        <sz val="10"/>
        <rFont val="Arial"/>
        <family val="0"/>
        <charset val="1"/>
      </rPr>
      <t xml:space="preserve">B4_EffRef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B4_FrontRef</t>
    </r>
    <r>
      <rPr>
        <b val="true"/>
        <sz val="10"/>
        <rFont val="Noto Sans CJK SC"/>
        <family val="2"/>
      </rPr>
      <t xml:space="preserve">），相對差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；兩邊皆為文字須相同；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</si>
  <si>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</si>
  <si>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</si>
  <si>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有效單價：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B4_EffRef</t>
    </r>
  </si>
  <si>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</si>
  <si>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Sol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</si>
  <si>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｜前緣單價：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_Prod token vs B4_FrontRef</t>
    </r>
  </si>
  <si>
    <r>
      <rPr>
        <b val="true"/>
        <sz val="13"/>
        <rFont val="Arial"/>
        <family val="0"/>
        <charset val="1"/>
      </rPr>
      <t xml:space="preserve">Sens_Rev — Block 4 </t>
    </r>
    <r>
      <rPr>
        <b val="true"/>
        <sz val="13"/>
        <rFont val="Noto Sans CJK SC"/>
        <family val="2"/>
      </rPr>
      <t xml:space="preserve">敏感度（</t>
    </r>
    <r>
      <rPr>
        <b val="true"/>
        <sz val="13"/>
        <rFont val="Arial"/>
        <family val="0"/>
        <charset val="1"/>
      </rPr>
      <t xml:space="preserve">VR200 × Sol</t>
    </r>
    <r>
      <rPr>
        <b val="true"/>
        <sz val="13"/>
        <rFont val="Noto Sans CJK SC"/>
        <family val="2"/>
      </rPr>
      <t xml:space="preserve">、基準成本；單一輸入變動，其餘不變）</t>
    </r>
  </si>
  <si>
    <r>
      <rPr>
        <sz val="9"/>
        <color rgb="FF595959"/>
        <rFont val="Noto Sans CJK SC"/>
        <family val="2"/>
      </rPr>
      <t xml:space="preserve">營收 ∝ 利用率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1−</t>
    </r>
    <r>
      <rPr>
        <sz val="9"/>
        <color rgb="FF595959"/>
        <rFont val="Noto Sans CJK SC"/>
        <family val="2"/>
      </rPr>
      <t xml:space="preserve">折扣）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混合單價（</t>
    </r>
    <r>
      <rPr>
        <sz val="9"/>
        <color rgb="FF595959"/>
        <rFont val="Arial"/>
        <family val="0"/>
        <charset val="1"/>
      </rPr>
      <t xml:space="preserve">χ</t>
    </r>
    <r>
      <rPr>
        <sz val="9"/>
        <color rgb="FF595959"/>
        <rFont val="Noto Sans CJK SC"/>
        <family val="2"/>
      </rPr>
      <t xml:space="preserve">）；攤提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商業壽命。本頁以封閉式重算，不改動 </t>
    </r>
    <r>
      <rPr>
        <sz val="9"/>
        <color rgb="FF595959"/>
        <rFont val="Arial"/>
        <family val="0"/>
        <charset val="1"/>
      </rPr>
      <t xml:space="preserve">Cap_In</t>
    </r>
  </si>
  <si>
    <t xml:space="preserve">變動</t>
  </si>
  <si>
    <r>
      <rPr>
        <b val="true"/>
        <sz val="10"/>
        <rFont val="Arial"/>
        <family val="0"/>
        <charset val="1"/>
      </rPr>
      <t xml:space="preserve">Sol </t>
    </r>
    <r>
      <rPr>
        <b val="true"/>
        <sz val="10"/>
        <rFont val="Noto Sans CJK SC"/>
        <family val="2"/>
      </rPr>
      <t xml:space="preserve">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</si>
  <si>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t xml:space="preserve">相對基準</t>
  </si>
  <si>
    <r>
      <rPr>
        <b val="true"/>
        <sz val="10"/>
        <rFont val="Noto Sans CJK SC"/>
        <family val="2"/>
      </rPr>
      <t xml:space="preserve">機隊營收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持有成本</t>
    </r>
  </si>
  <si>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基準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</si>
  <si>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40%</t>
    </r>
  </si>
  <si>
    <r>
      <rPr>
        <sz val="9"/>
        <color rgb="FF595959"/>
        <rFont val="Noto Sans CJK SC"/>
        <family val="2"/>
      </rPr>
      <t xml:space="preserve">營收與服務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同比；持有成本不變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</si>
  <si>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80%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</si>
  <si>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10%</t>
    </r>
  </si>
  <si>
    <r>
      <rPr>
        <sz val="10"/>
        <color rgb="FF000000"/>
        <rFont val="Noto Sans CJK SC"/>
        <family val="2"/>
      </rPr>
      <t xml:space="preserve">折扣 </t>
    </r>
    <r>
      <rPr>
        <sz val="10"/>
        <color rgb="FF000000"/>
        <rFont val="Arial"/>
        <family val="0"/>
        <charset val="1"/>
      </rPr>
      <t xml:space="preserve">30%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</si>
  <si>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30%</t>
    </r>
  </si>
  <si>
    <r>
      <rPr>
        <sz val="9"/>
        <color rgb="FF595959"/>
        <rFont val="Noto Sans CJK SC"/>
        <family val="2"/>
      </rPr>
      <t xml:space="preserve">只算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混合單價；機隊需重算各層級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</si>
  <si>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 75%</t>
    </r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</si>
  <si>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30%</t>
    </r>
  </si>
  <si>
    <t xml:space="preserve">單一層級滿載不受影響</t>
  </si>
  <si>
    <r>
      <rPr>
        <sz val="10"/>
        <color rgb="FF000000"/>
        <rFont val="Noto Sans CJK SC"/>
        <family val="2"/>
      </rPr>
      <t xml:space="preserve">對外服務占機隊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</si>
  <si>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35%</t>
    </r>
  </si>
  <si>
    <r>
      <rPr>
        <sz val="10"/>
        <color rgb="FF000000"/>
        <rFont val="Noto Sans CJK SC"/>
        <family val="2"/>
      </rPr>
      <t xml:space="preserve">免費占服務 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</si>
  <si>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Noto Sans CJK SC"/>
        <family val="2"/>
      </rPr>
      <t xml:space="preserve">前緣單價取代 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</si>
  <si>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K2 (i)</t>
    </r>
    <r>
      <rPr>
        <sz val="9"/>
        <color rgb="FF595959"/>
        <rFont val="Noto Sans CJK SC"/>
        <family val="2"/>
      </rPr>
      <t xml:space="preserve">：前緣即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</si>
  <si>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、有效算力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缺口全數轉為能力）</t>
    </r>
  </si>
  <si>
    <r>
      <rPr>
        <sz val="9"/>
        <color rgb="FF595959"/>
        <rFont val="Arial"/>
        <family val="0"/>
        <charset val="1"/>
      </rPr>
      <t xml:space="preserve">K4 (a) </t>
    </r>
    <r>
      <rPr>
        <sz val="9"/>
        <color rgb="FF595959"/>
        <rFont val="Noto Sans CJK SC"/>
        <family val="2"/>
      </rPr>
      <t xml:space="preserve">若採用的量級；不入基準；</t>
    </r>
    <r>
      <rPr>
        <sz val="9"/>
        <color rgb="FF595959"/>
        <rFont val="Arial"/>
        <family val="0"/>
        <charset val="1"/>
      </rPr>
      <t xml:space="preserve">ε </t>
    </r>
    <r>
      <rPr>
        <sz val="9"/>
        <color rgb="FF595959"/>
        <rFont val="Noto Sans CJK SC"/>
        <family val="2"/>
      </rPr>
      <t xml:space="preserve">見下一列</t>
    </r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</si>
  <si>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（上一列量級情境的指數；能力 ∝ 有效算力</t>
    </r>
    <r>
      <rPr>
        <sz val="10"/>
        <color rgb="FF000000"/>
        <rFont val="Arial"/>
        <family val="0"/>
        <charset val="1"/>
      </rPr>
      <t xml:space="preserve">^ε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</si>
  <si>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情境值（</t>
    </r>
    <r>
      <rPr>
        <sz val="9"/>
        <color rgb="FF595959"/>
        <rFont val="Arial"/>
        <family val="0"/>
        <charset val="1"/>
      </rPr>
      <t xml:space="preserve">K4 (a)</t>
    </r>
    <r>
      <rPr>
        <sz val="9"/>
        <color rgb="FF595959"/>
        <rFont val="Noto Sans CJK SC"/>
        <family val="2"/>
      </rPr>
      <t xml:space="preserve">）；上一列標籤文字的「</t>
    </r>
    <r>
      <rPr>
        <sz val="9"/>
        <color rgb="FF595959"/>
        <rFont val="Arial"/>
        <family val="0"/>
        <charset val="1"/>
      </rPr>
      <t xml:space="preserve">ε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」不隨本格更新（</t>
    </r>
    <r>
      <rPr>
        <sz val="9"/>
        <color rgb="FF595959"/>
        <rFont val="Arial"/>
        <family val="0"/>
        <charset val="1"/>
      </rPr>
      <t xml:space="preserve">CST_Eps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</si>
  <si>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攤提（自下而上，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）對商業壽命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</si>
  <si>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</si>
  <si>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Arial"/>
        <family val="0"/>
        <charset val="1"/>
      </rPr>
      <t xml:space="preserve">$/M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有效混合單價相比仍極小</t>
    </r>
  </si>
  <si>
    <r>
      <rPr>
        <sz val="10"/>
        <color rgb="FF000000"/>
        <rFont val="Noto Sans CJK SC"/>
        <family val="2"/>
      </rPr>
      <t xml:space="preserve">壽命 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</t>
    </r>
  </si>
  <si>
    <r>
      <rPr>
        <sz val="9"/>
        <color rgb="FF595959"/>
        <rFont val="Noto Sans CJK SC"/>
        <family val="2"/>
      </rPr>
      <t xml:space="preserve">未列入：生產折減（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）與利用率之外的產能變動需重算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，見 </t>
    </r>
    <r>
      <rPr>
        <sz val="9"/>
        <color rgb="FF595959"/>
        <rFont val="Arial"/>
        <family val="0"/>
        <charset val="1"/>
      </rPr>
      <t xml:space="preserve">Sens_Perf</t>
    </r>
    <r>
      <rPr>
        <sz val="9"/>
        <color rgb="FF595959"/>
        <rFont val="Noto Sans CJK SC"/>
        <family val="2"/>
      </rPr>
      <t xml:space="preserve">；本頁不重算物理產能</t>
    </r>
  </si>
  <si>
    <r>
      <rPr>
        <b val="true"/>
        <sz val="13"/>
        <rFont val="Arial"/>
        <family val="0"/>
        <charset val="1"/>
      </rPr>
      <t xml:space="preserve">Har_In — Block 5 </t>
    </r>
    <r>
      <rPr>
        <b val="true"/>
        <sz val="13"/>
        <rFont val="Noto Sans CJK SC"/>
        <family val="2"/>
      </rPr>
      <t xml:space="preserve">輸入：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檔案、成功率參數、敏感度區間、證據（藍字＝輸入；</t>
    </r>
    <r>
      <rPr>
        <b val="true"/>
        <sz val="13"/>
        <rFont val="Arial"/>
        <family val="0"/>
        <charset val="1"/>
      </rPr>
      <t xml:space="preserve">Analogy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附區間）</t>
    </r>
  </si>
  <si>
    <r>
      <rPr>
        <sz val="9"/>
        <color rgb="FF595959"/>
        <rFont val="Noto Sans CJK SC"/>
        <family val="2"/>
      </rPr>
      <t xml:space="preserve">命題：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不是新的物理量，而是作用在標準任務上的一組參數變換加上任務成功率。標準檔＝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5–14</t>
    </r>
    <r>
      <rPr>
        <sz val="9"/>
        <color rgb="FF595959"/>
        <rFont val="Noto Sans CJK SC"/>
        <family val="2"/>
      </rPr>
      <t xml:space="preserve">；選定檔案依 </t>
    </r>
    <r>
      <rPr>
        <sz val="9"/>
        <color rgb="FF595959"/>
        <rFont val="Arial"/>
        <family val="0"/>
        <charset val="1"/>
      </rPr>
      <t xml:space="preserve">Tech_Registry T12 </t>
    </r>
    <r>
      <rPr>
        <sz val="9"/>
        <color rgb="FF595959"/>
        <rFont val="Noto Sans CJK SC"/>
        <family val="2"/>
      </rPr>
      <t xml:space="preserve">的開關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採用比例（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）混合進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。基準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L3</t>
    </r>
    <r>
      <rPr>
        <sz val="9"/>
        <color rgb="FF595959"/>
        <rFont val="Noto Sans CJK SC"/>
        <family val="2"/>
      </rPr>
      <t xml:space="preserve">）。每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理論營收不受影響（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</si>
  <si>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選擇與混合</t>
    </r>
  </si>
  <si>
    <r>
      <rPr>
        <sz val="10"/>
        <color rgb="FF000000"/>
        <rFont val="Noto Sans CJK SC"/>
        <family val="2"/>
      </rPr>
      <t xml:space="preserve">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＝供應商原生增強；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＝多代理編排）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</si>
  <si>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w &gt; 0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頁『選定檔案全採用』欄起作用</t>
    </r>
  </si>
  <si>
    <t xml:space="preserve">選定檔案名稱</t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</si>
  <si>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</si>
  <si>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與標準檔相同，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一致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</si>
  <si>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（成功任務成本前緣只比較 </t>
    </r>
    <r>
      <rPr>
        <sz val="10"/>
        <color rgb="FF000000"/>
        <rFont val="Arial"/>
        <family val="0"/>
        <charset val="1"/>
      </rPr>
      <t xml:space="preserve">p ≥ </t>
    </r>
    <r>
      <rPr>
        <sz val="10"/>
        <color rgb="FF000000"/>
        <rFont val="Noto Sans CJK SC"/>
        <family val="2"/>
      </rPr>
      <t xml:space="preserve">此值者）</t>
    </r>
  </si>
  <si>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Andy 2026-10-02</t>
    </r>
    <r>
      <rPr>
        <sz val="9"/>
        <color rgb="FF595959"/>
        <rFont val="Noto Sans CJK SC"/>
        <family val="2"/>
      </rPr>
      <t xml:space="preserve">）：低於此成功率的組合不列入前緣（不可靠的便宜組合不算前緣）；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）。基準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時間範圍的定義點</t>
    </r>
  </si>
  <si>
    <r>
      <rPr>
        <b val="true"/>
        <sz val="10"/>
        <rFont val="Arial"/>
        <family val="0"/>
        <charset val="1"/>
      </rPr>
      <t xml:space="preserve">B. harness </t>
    </r>
    <r>
      <rPr>
        <b val="true"/>
        <sz val="10"/>
        <rFont val="Noto Sans CJK SC"/>
        <family val="2"/>
      </rPr>
      <t xml:space="preserve">檔案參數（欄＝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任務；標準檔見 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列 </t>
    </r>
    <r>
      <rPr>
        <b val="true"/>
        <sz val="10"/>
        <rFont val="Arial"/>
        <family val="0"/>
        <charset val="1"/>
      </rPr>
      <t xml:space="preserve">5–14</t>
    </r>
    <r>
      <rPr>
        <b val="true"/>
        <sz val="10"/>
        <rFont val="Noto Sans CJK SC"/>
        <family val="2"/>
      </rPr>
      <t xml:space="preserve">，保留時間＝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保留時間、時間範圍倍數＝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</si>
  <si>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：供應商原生增強（保留推理狀態＋上下文壓縮）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</si>
  <si>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C11:G11</t>
    </r>
    <r>
      <rPr>
        <sz val="9"/>
        <color rgb="FF595959"/>
        <rFont val="Noto Sans CJK SC"/>
        <family val="2"/>
      </rPr>
      <t xml:space="preserve">（欄頭／表頭標籤）</t>
    </r>
  </si>
  <si>
    <t xml:space="preserve">輪數倍數</t>
  </si>
  <si>
    <r>
      <rPr>
        <sz val="9"/>
        <color rgb="FF595959"/>
        <rFont val="Noto Sans CJK SC"/>
        <family val="2"/>
      </rPr>
      <t xml:space="preserve">保留推理狀態後重複探索減少；以 </t>
    </r>
    <r>
      <rPr>
        <sz val="9"/>
        <color rgb="FF595959"/>
        <rFont val="Arial"/>
        <family val="0"/>
        <charset val="1"/>
      </rPr>
      <t xml:space="preserve">ARC-AGI-3</t>
    </r>
    <r>
      <rPr>
        <sz val="9"/>
        <color rgb="FF595959"/>
        <rFont val="Noto Sans CJK SC"/>
        <family val="2"/>
      </rPr>
      <t xml:space="preserve">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』校準（</t>
    </r>
    <r>
      <rPr>
        <sz val="9"/>
        <color rgb="FF595959"/>
        <rFont val="Arial"/>
        <family val="0"/>
        <charset val="1"/>
      </rPr>
      <t xml:space="preserve">Checks Block 5</t>
    </r>
    <r>
      <rPr>
        <sz val="9"/>
        <color rgb="FF595959"/>
        <rFont val="Noto Sans CJK SC"/>
        <family val="2"/>
      </rPr>
      <t xml:space="preserve">）；區間 </t>
    </r>
    <r>
      <rPr>
        <sz val="9"/>
        <color rgb="FF595959"/>
        <rFont val="Arial"/>
        <family val="0"/>
        <charset val="1"/>
      </rPr>
      <t xml:space="preserve">0.7–1.7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Q3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顯示原生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工具呼叫多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倍，與 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方向相反；</t>
    </r>
    <r>
      <rPr>
        <sz val="9"/>
        <color rgb="FF595959"/>
        <rFont val="Arial"/>
        <family val="0"/>
        <charset val="1"/>
      </rPr>
      <t xml:space="preserve">0.7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ARC token </t>
    </r>
    <r>
      <rPr>
        <sz val="9"/>
        <color rgb="FF595959"/>
        <rFont val="Noto Sans CJK SC"/>
        <family val="2"/>
      </rPr>
      <t xml:space="preserve">比一個來源）。基準位於區間下端。</t>
    </r>
  </si>
  <si>
    <r>
      <rPr>
        <sz val="10"/>
        <color rgb="FF000000"/>
        <rFont val="Noto Sans CJK SC"/>
        <family val="2"/>
      </rPr>
      <t xml:space="preserve">思考保留 </t>
    </r>
    <r>
      <rPr>
        <sz val="10"/>
        <color rgb="FF000000"/>
        <rFont val="Arial"/>
        <family val="0"/>
        <charset val="1"/>
      </rPr>
      <t xml:space="preserve">ρ</t>
    </r>
  </si>
  <si>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（機制）</t>
    </r>
  </si>
  <si>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在請求之間保留不透明推理狀態（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）；單輪任務無作用</t>
    </r>
  </si>
  <si>
    <t xml:space="preserve">每輪思考倍數</t>
  </si>
  <si>
    <t xml:space="preserve">前輪推理可見，每輪重推減少</t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</si>
  <si>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（壓縮後）</t>
    </r>
  </si>
  <si>
    <r>
      <rPr>
        <sz val="9"/>
        <color rgb="FF595959"/>
        <rFont val="Noto Sans CJK SC"/>
        <family val="2"/>
      </rPr>
      <t xml:space="preserve">壓縮較長的對話（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）；壓縮比例未揭露</t>
    </r>
  </si>
  <si>
    <t xml:space="preserve">快取命中變動</t>
  </si>
  <si>
    <t xml:space="preserve">百分點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</si>
  <si>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之上</t>
    </r>
  </si>
  <si>
    <t xml:space="preserve">子代理數增量</t>
  </si>
  <si>
    <r>
      <rPr>
        <sz val="9"/>
        <color rgb="FF595959"/>
        <rFont val="Noto Sans CJK SC"/>
        <family val="2"/>
      </rPr>
      <t xml:space="preserve">加在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之上</t>
    </r>
  </si>
  <si>
    <t xml:space="preserve">狀態保留時間</t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</si>
  <si>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每局約 </t>
    </r>
    <r>
      <rPr>
        <sz val="9"/>
        <color rgb="FF595959"/>
        <rFont val="Arial"/>
        <family val="0"/>
        <charset val="1"/>
      </rPr>
      <t xml:space="preserve">40 </t>
    </r>
    <r>
      <rPr>
        <sz val="9"/>
        <color rgb="FF595959"/>
        <rFont val="Noto Sans CJK SC"/>
        <family val="2"/>
      </rPr>
      <t xml:space="preserve">分鐘（</t>
    </r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）；單輪任務沿用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分鐘 </t>
    </r>
    <r>
      <rPr>
        <sz val="9"/>
        <color rgb="FF595959"/>
        <rFont val="Arial"/>
        <family val="0"/>
        <charset val="1"/>
      </rPr>
      <t xml:space="preserve">TTL</t>
    </r>
  </si>
  <si>
    <t xml:space="preserve">時間範圍倍數（本任務）</t>
  </si>
  <si>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乘在層級 </t>
    </r>
    <r>
      <rPr>
        <sz val="9"/>
        <color rgb="FF595959"/>
        <rFont val="Arial"/>
        <family val="0"/>
        <charset val="1"/>
      </rPr>
      <t xml:space="preserve">50% </t>
    </r>
    <r>
      <rPr>
        <sz val="9"/>
        <color rgb="FF595959"/>
        <rFont val="Noto Sans CJK SC"/>
        <family val="2"/>
      </rPr>
      <t xml:space="preserve">時間範圍上；短程 </t>
    </r>
    <r>
      <rPr>
        <sz val="9"/>
        <color rgb="FF595959"/>
        <rFont val="Arial"/>
        <family val="0"/>
        <charset val="1"/>
      </rPr>
      <t xml:space="preserve">1.2</t>
    </r>
    <r>
      <rPr>
        <sz val="9"/>
        <color rgb="FF595959"/>
        <rFont val="Noto Sans CJK SC"/>
        <family val="2"/>
      </rPr>
      <t xml:space="preserve">、長程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1–4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節）。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結果無法換算為此倍數（</t>
    </r>
    <r>
      <rPr>
        <sz val="9"/>
        <color rgb="FF595959"/>
        <rFont val="Arial"/>
        <family val="0"/>
        <charset val="1"/>
      </rPr>
      <t xml:space="preserve">Checks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</si>
  <si>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供應商專屬（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＝是）</t>
    </r>
  </si>
  <si>
    <r>
      <rPr>
        <sz val="9"/>
        <color rgb="FF595959"/>
        <rFont val="Noto Sans CJK SC"/>
        <family val="2"/>
      </rPr>
      <t xml:space="preserve">不透明推理狀態只能在原廠 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使用（轉換成本，</t>
    </r>
    <r>
      <rPr>
        <sz val="9"/>
        <color rgb="FF595959"/>
        <rFont val="Arial"/>
        <family val="0"/>
        <charset val="1"/>
      </rPr>
      <t xml:space="preserve">[I]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</si>
  <si>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檔案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：多代理編排（主代理＋並行子代理）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</si>
  <si>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C23:G23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</si>
  <si>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多代理：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）；多代理研究已含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個子代理</t>
    </r>
  </si>
  <si>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自報評測分數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（內建知識，待查核；非成功率）只作對照（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</si>
  <si>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t xml:space="preserve">編排框架多為開源或開發者自建</t>
  </si>
  <si>
    <r>
      <rPr>
        <b val="true"/>
        <sz val="10"/>
        <rFont val="Noto Sans CJK SC"/>
        <family val="2"/>
      </rPr>
      <t xml:space="preserve">選定檔案（依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節；公式）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</si>
  <si>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C35:G35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</si>
  <si>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成功率（</t>
    </r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METR </t>
    </r>
    <r>
      <rPr>
        <b val="true"/>
        <sz val="10"/>
        <rFont val="Noto Sans CJK SC"/>
        <family val="2"/>
      </rPr>
      <t xml:space="preserve">型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＋（任務長度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harness </t>
    </r>
    <r>
      <rPr>
        <b val="true"/>
        <sz val="10"/>
        <rFont val="Noto Sans CJK SC"/>
        <family val="2"/>
      </rPr>
      <t xml:space="preserve">倍數））</t>
    </r>
    <r>
      <rPr>
        <b val="true"/>
        <sz val="10"/>
        <rFont val="Arial"/>
        <family val="0"/>
        <charset val="1"/>
      </rPr>
      <t xml:space="preserve">^β</t>
    </r>
    <r>
      <rPr>
        <b val="true"/>
        <sz val="1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</si>
  <si>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基準</t>
    </r>
  </si>
  <si>
    <r>
      <rPr>
        <sz val="9"/>
        <color rgb="FF595959"/>
        <rFont val="Arial"/>
        <family val="0"/>
        <charset val="1"/>
      </rPr>
      <t xml:space="preserve">METR TH1.1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GPT-5.6 Sol 11.3 </t>
    </r>
    <r>
      <rPr>
        <sz val="9"/>
        <color rgb="FF595959"/>
        <rFont val="Noto Sans CJK SC"/>
        <family val="2"/>
      </rPr>
      <t xml:space="preserve">小時、</t>
    </r>
    <r>
      <rPr>
        <sz val="9"/>
        <color rgb="FF595959"/>
        <rFont val="Arial"/>
        <family val="0"/>
        <charset val="1"/>
      </rPr>
      <t xml:space="preserve">Claude Mythos Preview 17.4 </t>
    </r>
    <r>
      <rPr>
        <sz val="9"/>
        <color rgb="FF595959"/>
        <rFont val="Noto Sans CJK SC"/>
        <family val="2"/>
      </rPr>
      <t xml:space="preserve">小時（最高；套件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小時以上量不準）（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GPT-6 </t>
    </r>
    <r>
      <rPr>
        <sz val="9"/>
        <color rgb="FF595959"/>
        <rFont val="Noto Sans CJK SC"/>
        <family val="2"/>
      </rPr>
      <t xml:space="preserve">各層級未發布；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無對應錨點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</si>
  <si>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低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</si>
  <si>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 高</t>
    </r>
  </si>
  <si>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高值參照 </t>
    </r>
    <r>
      <rPr>
        <sz val="9"/>
        <color rgb="FF595959"/>
        <rFont val="Arial"/>
        <family val="0"/>
        <charset val="1"/>
      </rPr>
      <t xml:space="preserve">Mythos </t>
    </r>
    <r>
      <rPr>
        <sz val="9"/>
        <color rgb="FF595959"/>
        <rFont val="Noto Sans CJK SC"/>
        <family val="2"/>
      </rPr>
      <t xml:space="preserve">級以 </t>
    </r>
    <r>
      <rPr>
        <sz val="9"/>
        <color rgb="FF595959"/>
        <rFont val="Arial"/>
        <family val="0"/>
        <charset val="1"/>
      </rPr>
      <t xml:space="preserve">ECI </t>
    </r>
    <r>
      <rPr>
        <sz val="9"/>
        <color rgb="FF595959"/>
        <rFont val="Noto Sans CJK SC"/>
        <family val="2"/>
      </rPr>
      <t xml:space="preserve">推估 </t>
    </r>
    <r>
      <rPr>
        <sz val="9"/>
        <color rgb="FF595959"/>
        <rFont val="Arial"/>
        <family val="0"/>
        <charset val="1"/>
      </rPr>
      <t xml:space="preserve">18.8–40 </t>
    </r>
    <r>
      <rPr>
        <sz val="9"/>
        <color rgb="FF595959"/>
        <rFont val="Noto Sans CJK SC"/>
        <family val="2"/>
      </rPr>
      <t xml:space="preserve">小時（第三方，</t>
    </r>
    <r>
      <rPr>
        <sz val="9"/>
        <color rgb="FF595959"/>
        <rFont val="Arial"/>
        <family val="0"/>
        <charset val="1"/>
      </rPr>
      <t xml:space="preserve">S59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</si>
  <si>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＝基準、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</si>
  <si>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METR 50% ÷ 80% </t>
    </r>
    <r>
      <rPr>
        <sz val="9"/>
        <color rgb="FF595959"/>
        <rFont val="Noto Sans CJK SC"/>
        <family val="2"/>
      </rPr>
      <t xml:space="preserve">時間範圍比反推：</t>
    </r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ln4 ÷ ln</t>
    </r>
    <r>
      <rPr>
        <sz val="9"/>
        <color rgb="FF595959"/>
        <rFont val="Noto Sans CJK SC"/>
        <family val="2"/>
      </rPr>
      <t xml:space="preserve">（比值）；</t>
    </r>
    <r>
      <rPr>
        <sz val="9"/>
        <color rgb="FF595959"/>
        <rFont val="Arial"/>
        <family val="0"/>
        <charset val="1"/>
      </rPr>
      <t xml:space="preserve">GPT-5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5.4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0.70–0.75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Gemini 3.1 Pro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（見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</si>
  <si>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t xml:space="preserve">任務</t>
  </si>
  <si>
    <t xml:space="preserve">任務長度（人類完成時間）</t>
  </si>
  <si>
    <r>
      <rPr>
        <sz val="9"/>
        <color rgb="FF595959"/>
        <rFont val="Noto Sans CJK SC"/>
        <family val="2"/>
      </rPr>
      <t xml:space="preserve">新增假設（</t>
    </r>
    <r>
      <rPr>
        <sz val="9"/>
        <color rgb="FF595959"/>
        <rFont val="Arial"/>
        <family val="0"/>
        <charset val="1"/>
      </rPr>
      <t xml:space="preserve">L2</t>
    </r>
    <r>
      <rPr>
        <sz val="9"/>
        <color rgb="FF595959"/>
        <rFont val="Noto Sans CJK SC"/>
        <family val="2"/>
      </rPr>
      <t xml:space="preserve">）；一般聊天約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分鐘、長程 </t>
    </r>
    <r>
      <rPr>
        <sz val="9"/>
        <color rgb="FF595959"/>
        <rFont val="Arial"/>
        <family val="0"/>
        <charset val="1"/>
      </rPr>
      <t xml:space="preserve">coding </t>
    </r>
    <r>
      <rPr>
        <sz val="9"/>
        <color rgb="FF595959"/>
        <rFont val="Noto Sans CJK SC"/>
        <family val="2"/>
      </rPr>
      <t xml:space="preserve">約一個工作日</t>
    </r>
  </si>
  <si>
    <t xml:space="preserve">任務期程類別</t>
  </si>
  <si>
    <t xml:space="preserve">短程</t>
  </si>
  <si>
    <t xml:space="preserve">長程</t>
  </si>
  <si>
    <r>
      <rPr>
        <sz val="9"/>
        <color rgb="FF595959"/>
        <rFont val="Arial"/>
        <family val="0"/>
        <charset val="1"/>
      </rPr>
      <t xml:space="preserve">≥ 1 </t>
    </r>
    <r>
      <rPr>
        <sz val="9"/>
        <color rgb="FF595959"/>
        <rFont val="Noto Sans CJK SC"/>
        <family val="2"/>
      </rPr>
      <t xml:space="preserve">小時為長程；只作標示，倍數在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節逐任務輸入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</si>
  <si>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（低層）（空白＝用公式）</t>
    </r>
  </si>
  <si>
    <r>
      <rPr>
        <sz val="9"/>
        <color rgb="FF595959"/>
        <rFont val="Noto Sans CJK SC"/>
        <family val="2"/>
      </rPr>
      <t xml:space="preserve">有中立方實測時填入（</t>
    </r>
    <r>
      <rPr>
        <sz val="9"/>
        <color rgb="FF595959"/>
        <rFont val="Arial"/>
        <family val="0"/>
        <charset val="1"/>
      </rPr>
      <t xml:space="preserve">L7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</si>
  <si>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（中層）（空白＝用公式）</t>
    </r>
  </si>
  <si>
    <r>
      <rPr>
        <sz val="10"/>
        <color rgb="FF000000"/>
        <rFont val="Noto Sans CJK SC"/>
        <family val="2"/>
      </rPr>
      <t xml:space="preserve">成功率覆寫：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（頂層）（空白＝用公式）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</si>
  <si>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敏感度區間（</t>
    </r>
    <r>
      <rPr>
        <b val="true"/>
        <sz val="10"/>
        <rFont val="Arial"/>
        <family val="0"/>
        <charset val="1"/>
      </rPr>
      <t xml:space="preserve">Sens_Har</t>
    </r>
    <r>
      <rPr>
        <b val="true"/>
        <sz val="10"/>
        <rFont val="Noto Sans CJK SC"/>
        <family val="2"/>
      </rPr>
      <t xml:space="preserve">；作用於選定檔案的 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（長程））</t>
    </r>
  </si>
  <si>
    <r>
      <rPr>
        <sz val="10"/>
        <color rgb="FF000000"/>
        <rFont val="Noto Sans CJK SC"/>
        <family val="2"/>
      </rPr>
      <t xml:space="preserve">歷史保留比 </t>
    </r>
    <r>
      <rPr>
        <sz val="10"/>
        <color rgb="FF000000"/>
        <rFont val="Arial"/>
        <family val="0"/>
        <charset val="1"/>
      </rPr>
      <t xml:space="preserve">c</t>
    </r>
  </si>
  <si>
    <t xml:space="preserve">時間範圍倍數（長程）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</si>
  <si>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不提高成功率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</si>
  <si>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證據點（</t>
    </r>
    <r>
      <rPr>
        <b val="true"/>
        <sz val="10"/>
        <rFont val="Arial"/>
        <family val="0"/>
        <charset val="1"/>
      </rPr>
      <t xml:space="preserve">L7</t>
    </r>
    <r>
      <rPr>
        <b val="true"/>
        <sz val="10"/>
        <rFont val="Noto Sans CJK SC"/>
        <family val="2"/>
      </rPr>
      <t xml:space="preserve">：只有中立方同條件測得者可作情境值；其餘只作對照）</t>
    </r>
  </si>
  <si>
    <t xml:space="preserve">證據</t>
  </si>
  <si>
    <t xml:space="preserve">成功率</t>
  </si>
  <si>
    <r>
      <rPr>
        <b val="true"/>
        <sz val="10"/>
        <rFont val="Noto Sans CJK SC"/>
        <family val="2"/>
      </rPr>
      <t xml:space="preserve">成本 </t>
    </r>
    <r>
      <rPr>
        <b val="true"/>
        <sz val="10"/>
        <rFont val="Arial"/>
        <family val="0"/>
        <charset val="1"/>
      </rPr>
      <t xml:space="preserve">$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</si>
  <si>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</si>
  <si>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（最高推理）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</si>
  <si>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 Prize </t>
    </r>
    <r>
      <rPr>
        <sz val="9"/>
        <color rgb="FF595959"/>
        <rFont val="Noto Sans CJK SC"/>
        <family val="2"/>
      </rPr>
      <t xml:space="preserve">自測，經二手轉述）</t>
    </r>
  </si>
  <si>
    <t xml:space="preserve">S58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</si>
  <si>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（最高推理，同檔）</t>
    </r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</si>
  <si>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（同上）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</si>
  <si>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Provider Adapter</t>
    </r>
    <r>
      <rPr>
        <sz val="10"/>
        <color rgb="FF000000"/>
        <rFont val="Noto Sans CJK SC"/>
        <family val="2"/>
      </rPr>
      <t xml:space="preserve">（高推理）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</si>
  <si>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；另一來源 </t>
    </r>
    <r>
      <rPr>
        <sz val="9"/>
        <color rgb="FF595959"/>
        <rFont val="Arial"/>
        <family val="0"/>
        <charset val="1"/>
      </rPr>
      <t xml:space="preserve">$19,302</t>
    </r>
    <r>
      <rPr>
        <sz val="9"/>
        <color rgb="FF595959"/>
        <rFont val="Noto Sans CJK SC"/>
        <family val="2"/>
      </rPr>
      <t xml:space="preserve">（衝突）；『少用約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』適用範圍不明，本表記為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比 </t>
    </r>
    <r>
      <rPr>
        <sz val="9"/>
        <color rgb="FF595959"/>
        <rFont val="Arial"/>
        <family val="0"/>
        <charset val="1"/>
      </rPr>
      <t xml:space="preserve">0.51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</si>
  <si>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C72:D72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</si>
  <si>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</si>
  <si>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</si>
  <si>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</si>
  <si>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S61</t>
    </r>
    <r>
      <rPr>
        <sz val="9"/>
        <color rgb="FF595959"/>
        <rFont val="Noto Sans CJK SC"/>
        <family val="2"/>
      </rPr>
      <t xml:space="preserve">；交接原記 </t>
    </r>
    <r>
      <rPr>
        <sz val="9"/>
        <color rgb="FF595959"/>
        <rFont val="Arial"/>
        <family val="0"/>
        <charset val="1"/>
      </rPr>
      <t xml:space="preserve">Strands</t>
    </r>
    <r>
      <rPr>
        <sz val="9"/>
        <color rgb="FF595959"/>
        <rFont val="Noto Sans CJK SC"/>
        <family val="2"/>
      </rPr>
      <t xml:space="preserve">，報導為 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，待核；成本未找到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</si>
  <si>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多代理研究系統（相對單代理）</t>
    </r>
  </si>
  <si>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</si>
  <si>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約聊天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倍、單代理 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倍 → </t>
    </r>
    <r>
      <rPr>
        <sz val="9"/>
        <color rgb="FF595959"/>
        <rFont val="Arial"/>
        <family val="0"/>
        <charset val="1"/>
      </rPr>
      <t xml:space="preserve">3.75</t>
    </r>
    <r>
      <rPr>
        <sz val="9"/>
        <color rgb="FF595959"/>
        <rFont val="Noto Sans CJK SC"/>
        <family val="2"/>
      </rPr>
      <t xml:space="preserve">；內部評測分數 </t>
    </r>
    <r>
      <rPr>
        <sz val="9"/>
        <color rgb="FF595959"/>
        <rFont val="Arial"/>
        <family val="0"/>
        <charset val="1"/>
      </rPr>
      <t xml:space="preserve">+90.2%</t>
    </r>
    <r>
      <rPr>
        <sz val="9"/>
        <color rgb="FF595959"/>
        <rFont val="Noto Sans CJK SC"/>
        <family val="2"/>
      </rPr>
      <t xml:space="preserve">（內建知識，待查核；非成功率）</t>
    </r>
  </si>
  <si>
    <r>
      <rPr>
        <b val="true"/>
        <sz val="10"/>
        <rFont val="Arial"/>
        <family val="0"/>
        <charset val="1"/>
      </rPr>
      <t xml:space="preserve">METR TH1.1 50% ÷ 80% </t>
    </r>
    <r>
      <rPr>
        <b val="true"/>
        <sz val="10"/>
        <rFont val="Noto Sans CJK SC"/>
        <family val="2"/>
      </rPr>
      <t xml:space="preserve">時間範圍</t>
    </r>
  </si>
  <si>
    <r>
      <rPr>
        <b val="true"/>
        <sz val="10"/>
        <rFont val="Arial"/>
        <family val="0"/>
        <charset val="1"/>
      </rPr>
      <t xml:space="preserve">50%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</si>
  <si>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80%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hr</t>
    </r>
    <r>
      <rPr>
        <b val="true"/>
        <sz val="10"/>
        <rFont val="Noto Sans CJK SC"/>
        <family val="2"/>
      </rPr>
      <t xml:space="preserve">）</t>
    </r>
  </si>
  <si>
    <t xml:space="preserve">比值</t>
  </si>
  <si>
    <r>
      <rPr>
        <b val="true"/>
        <sz val="10"/>
        <rFont val="Noto Sans CJK SC"/>
        <family val="2"/>
      </rPr>
      <t xml:space="preserve">隱含 </t>
    </r>
    <r>
      <rPr>
        <b val="true"/>
        <sz val="10"/>
        <rFont val="Arial"/>
        <family val="0"/>
        <charset val="1"/>
      </rPr>
      <t xml:space="preserve">β</t>
    </r>
  </si>
  <si>
    <t xml:space="preserve">GPT-5</t>
  </si>
  <si>
    <r>
      <rPr>
        <sz val="9"/>
        <color rgb="FF595959"/>
        <rFont val="Arial"/>
        <family val="0"/>
        <charset val="1"/>
      </rPr>
      <t xml:space="preserve">Verified-measured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METR</t>
    </r>
    <r>
      <rPr>
        <sz val="9"/>
        <color rgb="FF595959"/>
        <rFont val="Noto Sans CJK SC"/>
        <family val="2"/>
      </rPr>
      <t xml:space="preserve">）</t>
    </r>
  </si>
  <si>
    <t xml:space="preserve">S59</t>
  </si>
  <si>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</si>
  <si>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</si>
  <si>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Gemini 3.1 Pro</t>
  </si>
  <si>
    <r>
      <rPr>
        <b val="true"/>
        <sz val="13"/>
        <rFont val="Arial"/>
        <family val="0"/>
        <charset val="1"/>
      </rPr>
      <t xml:space="preserve">Harness — </t>
    </r>
    <r>
      <rPr>
        <b val="true"/>
        <sz val="13"/>
        <rFont val="Noto Sans CJK SC"/>
        <family val="2"/>
      </rPr>
      <t xml:space="preserve">每成功任務的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、成本與營收（世代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層級 </t>
    </r>
    <r>
      <rPr>
        <b val="true"/>
        <sz val="13"/>
        <rFont val="Arial"/>
        <family val="0"/>
        <charset val="1"/>
      </rPr>
      <t xml:space="preserve">× </t>
    </r>
    <r>
      <rPr>
        <b val="true"/>
        <sz val="13"/>
        <rFont val="Noto Sans CJK SC"/>
        <family val="2"/>
      </rPr>
      <t xml:space="preserve">任務 </t>
    </r>
    <r>
      <rPr>
        <b val="true"/>
        <sz val="13"/>
        <rFont val="Arial"/>
        <family val="0"/>
        <charset val="1"/>
      </rPr>
      <t xml:space="preserve">× harness </t>
    </r>
    <r>
      <rPr>
        <b val="true"/>
        <sz val="13"/>
        <rFont val="Noto Sans CJK SC"/>
        <family val="2"/>
      </rPr>
      <t xml:space="preserve">檔案；</t>
    </r>
    <r>
      <rPr>
        <b val="true"/>
        <sz val="13"/>
        <rFont val="Arial"/>
        <family val="0"/>
        <charset val="1"/>
      </rPr>
      <t xml:space="preserve">L1–L5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</si>
  <si>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每次嘗試成本＝新鮮 </t>
    </r>
    <r>
      <rPr>
        <sz val="9"/>
        <color rgb="FF595959"/>
        <rFont val="Arial"/>
        <family val="0"/>
        <charset val="1"/>
      </rPr>
      <t xml:space="preserve">× prefill </t>
    </r>
    <r>
      <rPr>
        <sz val="9"/>
        <color rgb="FF595959"/>
        <rFont val="Noto Sans CJK SC"/>
        <family val="2"/>
      </rPr>
      <t xml:space="preserve">成本＋快取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（載入＋儲存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保留時間 </t>
    </r>
    <r>
      <rPr>
        <sz val="9"/>
        <color rgb="FF595959"/>
        <rFont val="Arial"/>
        <family val="0"/>
        <charset val="1"/>
      </rPr>
      <t xml:space="preserve">÷ Cap_In </t>
    </r>
    <r>
      <rPr>
        <sz val="9"/>
        <color rgb="FF595959"/>
        <rFont val="Noto Sans CJK SC"/>
        <family val="2"/>
      </rPr>
      <t xml:space="preserve">保留時間）＋ </t>
    </r>
    <r>
      <rPr>
        <sz val="9"/>
        <color rgb="FF595959"/>
        <rFont val="Arial"/>
        <family val="0"/>
        <charset val="1"/>
      </rPr>
      <t xml:space="preserve">decode × decode </t>
    </r>
    <r>
      <rPr>
        <sz val="9"/>
        <color rgb="FF595959"/>
        <rFont val="Noto Sans CJK SC"/>
        <family val="2"/>
      </rPr>
      <t xml:space="preserve">成本（經濟、基準成本、基準利用率）；每成功任務＝每次嘗試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 </t>
    </r>
    <r>
      <rPr>
        <sz val="9"/>
        <color rgb="FF595959"/>
        <rFont val="Arial"/>
        <family val="0"/>
        <charset val="1"/>
      </rPr>
      <t xml:space="preserve">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L5</t>
    </r>
    <r>
      <rPr>
        <sz val="9"/>
        <color rgb="FF595959"/>
        <rFont val="Noto Sans CJK SC"/>
        <family val="2"/>
      </rPr>
      <t xml:space="preserve">：重試獨立、失敗可偵測）。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不改變每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產出與理論營收（</t>
    </r>
    <r>
      <rPr>
        <sz val="9"/>
        <color rgb="FF595959"/>
        <rFont val="Arial"/>
        <family val="0"/>
        <charset val="1"/>
      </rPr>
      <t xml:space="preserve">L4</t>
    </r>
    <r>
      <rPr>
        <sz val="9"/>
        <color rgb="FF595959"/>
        <rFont val="Noto Sans CJK SC"/>
        <family val="2"/>
      </rPr>
      <t xml:space="preserve">）。非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成本未計（</t>
    </r>
    <r>
      <rPr>
        <sz val="9"/>
        <color rgb="FF595959"/>
        <rFont val="Arial"/>
        <family val="0"/>
        <charset val="1"/>
      </rPr>
      <t xml:space="preserve">L6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</si>
  <si>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C4:G4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</si>
  <si>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每次嘗試的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（標準與選定檔案全採用由本頁計算；現行＝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有效參數）</t>
    </r>
  </si>
  <si>
    <r>
      <rPr>
        <b val="true"/>
        <sz val="10"/>
        <rFont val="Noto Sans CJK SC"/>
        <family val="2"/>
      </rPr>
      <t xml:space="preserve">標準 </t>
    </r>
    <r>
      <rPr>
        <b val="true"/>
        <sz val="1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</si>
  <si>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每輪思考 </t>
    </r>
    <r>
      <rPr>
        <sz val="10"/>
        <color rgb="FF000000"/>
        <rFont val="Arial"/>
        <family val="0"/>
        <charset val="1"/>
      </rPr>
      <t xml:space="preserve">h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</si>
  <si>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χ</t>
    </r>
  </si>
  <si>
    <r>
      <rPr>
        <sz val="10"/>
        <color rgb="FF000000"/>
        <rFont val="Noto Sans CJK SC"/>
        <family val="2"/>
      </rPr>
      <t xml:space="preserve">子代理數 </t>
    </r>
    <r>
      <rPr>
        <sz val="10"/>
        <color rgb="FF000000"/>
        <rFont val="Arial"/>
        <family val="0"/>
        <charset val="1"/>
      </rPr>
      <t xml:space="preserve">m</t>
    </r>
  </si>
  <si>
    <t xml:space="preserve">其中可快取</t>
  </si>
  <si>
    <r>
      <rPr>
        <sz val="10"/>
        <color rgb="FF000000"/>
        <rFont val="Noto Sans CJK SC"/>
        <family val="2"/>
      </rPr>
      <t xml:space="preserve">單代理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</si>
  <si>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Noto Sans CJK SC"/>
        <family val="2"/>
      </rPr>
      <t xml:space="preserve">系統倍數（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殘差倍數</t>
    </r>
  </si>
  <si>
    <t xml:space="preserve">選定檔案全採用</t>
  </si>
  <si>
    <r>
      <rPr>
        <b val="true"/>
        <sz val="10"/>
        <rFont val="Noto Sans CJK SC"/>
        <family val="2"/>
      </rPr>
      <t xml:space="preserve">現行（</t>
    </r>
    <r>
      <rPr>
        <b val="true"/>
        <sz val="10"/>
        <rFont val="Arial"/>
        <family val="0"/>
        <charset val="1"/>
      </rPr>
      <t xml:space="preserve">Workload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</si>
  <si>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標準：任務總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</si>
  <si>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ARC-AGI-3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Provider Adapter </t>
    </r>
    <r>
      <rPr>
        <sz val="9"/>
        <color rgb="FF595959"/>
        <rFont val="Noto Sans CJK SC"/>
        <family val="2"/>
      </rPr>
      <t xml:space="preserve">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0.51</t>
    </r>
    <r>
      <rPr>
        <sz val="9"/>
        <color rgb="FF595959"/>
        <rFont val="Noto Sans CJK SC"/>
        <family val="2"/>
      </rPr>
      <t xml:space="preserve">；適用範圍不明）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</si>
  <si>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狀態保留時間與時間範圍倍數</t>
    </r>
  </si>
  <si>
    <t xml:space="preserve">保留時間：標準</t>
  </si>
  <si>
    <t xml:space="preserve">保留時間：現行</t>
  </si>
  <si>
    <t xml:space="preserve">保留時間：選定檔案</t>
  </si>
  <si>
    <t xml:space="preserve">時間範圍倍數：標準</t>
  </si>
  <si>
    <t xml:space="preserve">時間範圍倍數：現行</t>
  </si>
  <si>
    <t xml:space="preserve">時間範圍倍數：選定檔案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</si>
  <si>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成功率 </t>
    </r>
    <r>
      <rPr>
        <b val="true"/>
        <sz val="10"/>
        <rFont val="Arial"/>
        <family val="0"/>
        <charset val="1"/>
      </rPr>
      <t xml:space="preserve">p</t>
    </r>
    <r>
      <rPr>
        <b val="true"/>
        <sz val="10"/>
        <rFont val="Noto Sans CJK SC"/>
        <family val="2"/>
      </rPr>
      <t xml:space="preserve">（覆寫欄有值時用覆寫）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</si>
  <si>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</si>
  <si>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</si>
  <si>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</si>
  <si>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</si>
  <si>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</si>
  <si>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</si>
  <si>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</si>
  <si>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</si>
  <si>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</si>
  <si>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每次嘗試成本（</t>
    </r>
    <r>
      <rPr>
        <b val="true"/>
        <sz val="10"/>
        <rFont val="Arial"/>
        <family val="0"/>
        <charset val="1"/>
      </rPr>
      <t xml:space="preserve">$</t>
    </r>
    <r>
      <rPr>
        <b val="true"/>
        <sz val="10"/>
        <rFont val="Noto Sans CJK SC"/>
        <family val="2"/>
      </rPr>
      <t xml:space="preserve">／任務；經濟、基準成本、基準利用率；含快取儲存）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</si>
  <si>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</si>
  <si>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</si>
  <si>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</si>
  <si>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</si>
  <si>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</si>
  <si>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</si>
  <si>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</si>
  <si>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</si>
  <si>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</si>
  <si>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</si>
  <si>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</si>
  <si>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</si>
  <si>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</si>
  <si>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</si>
  <si>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</si>
  <si>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</si>
  <si>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</si>
  <si>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</si>
  <si>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每成功任務成本（＝每次嘗試 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</si>
  <si>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</si>
  <si>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</si>
  <si>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</si>
  <si>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</si>
  <si>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</si>
  <si>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</si>
  <si>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</si>
  <si>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</si>
  <si>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</si>
  <si>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</si>
  <si>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</si>
  <si>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</si>
  <si>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</si>
  <si>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</si>
  <si>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</si>
  <si>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</si>
  <si>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</si>
  <si>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每成功任務成本：</t>
    </r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</si>
  <si>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</si>
  <si>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</si>
  <si>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</si>
  <si>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</si>
  <si>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</si>
  <si>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</si>
  <si>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</si>
  <si>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</si>
  <si>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</si>
  <si>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每任務營收（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有效單價；營收以每次嘗試計費，每成功任務＝</t>
    </r>
    <r>
      <rPr>
        <b val="true"/>
        <sz val="10"/>
        <rFont val="Arial"/>
        <family val="0"/>
        <charset val="1"/>
      </rPr>
      <t xml:space="preserve">÷ p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</si>
  <si>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</si>
  <si>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</si>
  <si>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</si>
  <si>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</si>
  <si>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</si>
  <si>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</si>
  <si>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</si>
  <si>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</si>
  <si>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每次嘗試營收：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</si>
  <si>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</si>
  <si>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</si>
  <si>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</si>
  <si>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</si>
  <si>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</si>
  <si>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（中層）｜選定檔案全採用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</si>
  <si>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</si>
  <si>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（頂層）｜現行（依 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混合）</t>
    </r>
  </si>
  <si>
    <r>
      <rPr>
        <sz val="10"/>
        <color rgb="FF000000"/>
        <rFont val="Noto Sans CJK SC"/>
        <family val="2"/>
      </rPr>
      <t xml:space="preserve">每成功任務營收：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（頂層）｜選定檔案全採用</t>
    </r>
  </si>
  <si>
    <r>
      <rPr>
        <b val="true"/>
        <sz val="10"/>
        <rFont val="Arial"/>
        <family val="0"/>
        <charset val="1"/>
      </rPr>
      <t xml:space="preserve">G. R</t>
    </r>
    <r>
      <rPr>
        <b val="true"/>
        <sz val="10"/>
        <rFont val="Noto Sans CJK SC"/>
        <family val="2"/>
      </rPr>
      <t xml:space="preserve">＝每成功任務成本：選定檔案全採用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標準（</t>
    </r>
    <r>
      <rPr>
        <b val="true"/>
        <sz val="10"/>
        <rFont val="Arial"/>
        <family val="0"/>
        <charset val="1"/>
      </rPr>
      <t xml:space="preserve">&lt;1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harness </t>
    </r>
    <r>
      <rPr>
        <b val="true"/>
        <sz val="10"/>
        <rFont val="Noto Sans CJK SC"/>
        <family val="2"/>
      </rPr>
      <t xml:space="preserve">降低每成功任務成本）</t>
    </r>
  </si>
  <si>
    <r>
      <rPr>
        <sz val="10"/>
        <color rgb="FF000000"/>
        <rFont val="Arial"/>
        <family val="0"/>
        <charset val="1"/>
      </rPr>
      <t xml:space="preserve">VR200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</si>
  <si>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VR200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</si>
  <si>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VR200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</si>
  <si>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Arial"/>
        <family val="0"/>
        <charset val="1"/>
      </rPr>
      <t xml:space="preserve">GB300 × 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</si>
  <si>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Arial"/>
        <family val="0"/>
        <charset val="1"/>
      </rPr>
      <t xml:space="preserve">GB300 × 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</si>
  <si>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Arial"/>
        <family val="0"/>
        <charset val="1"/>
      </rPr>
      <t xml:space="preserve">GB300 × Astra</t>
    </r>
    <r>
      <rPr>
        <sz val="10"/>
        <color rgb="FF000000"/>
        <rFont val="Noto Sans CJK SC"/>
        <family val="2"/>
      </rPr>
      <t xml:space="preserve">（頂層）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</si>
  <si>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</si>
  <si>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</t>
    </r>
  </si>
  <si>
    <r>
      <rPr>
        <sz val="10"/>
        <color rgb="FF000000"/>
        <rFont val="Noto Sans CJK SC"/>
        <family val="2"/>
      </rPr>
      <t xml:space="preserve">成功率比（選定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</si>
  <si>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成功任務成本前緣（各世代：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層級 </t>
    </r>
    <r>
      <rPr>
        <b val="true"/>
        <sz val="10"/>
        <rFont val="Arial"/>
        <family val="0"/>
        <charset val="1"/>
      </rPr>
      <t xml:space="preserve">× {</t>
    </r>
    <r>
      <rPr>
        <b val="true"/>
        <sz val="10"/>
        <rFont val="Noto Sans CJK SC"/>
        <family val="2"/>
      </rPr>
      <t xml:space="preserve">標準、選定檔案</t>
    </r>
    <r>
      <rPr>
        <b val="true"/>
        <sz val="10"/>
        <rFont val="Arial"/>
        <family val="0"/>
        <charset val="1"/>
      </rPr>
      <t xml:space="preserve">} </t>
    </r>
    <r>
      <rPr>
        <b val="true"/>
        <sz val="10"/>
        <rFont val="Noto Sans CJK SC"/>
        <family val="2"/>
      </rPr>
      <t xml:space="preserve">中每成功任務成本最低者；層級替代；只比較 </t>
    </r>
    <r>
      <rPr>
        <b val="true"/>
        <sz val="10"/>
        <rFont val="Arial"/>
        <family val="0"/>
        <charset val="1"/>
      </rPr>
      <t xml:space="preserve">p ≥ </t>
    </r>
    <r>
      <rPr>
        <b val="true"/>
        <sz val="10"/>
        <rFont val="Noto Sans CJK SC"/>
        <family val="2"/>
      </rPr>
      <t xml:space="preserve">可靠度下限 </t>
    </r>
    <r>
      <rPr>
        <b val="true"/>
        <sz val="10"/>
        <rFont val="Arial"/>
        <family val="0"/>
        <charset val="1"/>
      </rPr>
      <t xml:space="preserve">p_min </t>
    </r>
    <r>
      <rPr>
        <b val="true"/>
        <sz val="10"/>
        <rFont val="Noto Sans CJK SC"/>
        <family val="2"/>
      </rPr>
      <t xml:space="preserve">者，</t>
    </r>
    <r>
      <rPr>
        <b val="true"/>
        <sz val="10"/>
        <rFont val="Arial"/>
        <family val="0"/>
        <charset val="1"/>
      </rPr>
      <t xml:space="preserve">M1 (b)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</si>
  <si>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</si>
  <si>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C147:F147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</si>
  <si>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</si>
  <si>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C148:F148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</si>
  <si>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最低每成功任務成本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</si>
  <si>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C149:G149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</si>
  <si>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對照（不設下限）：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前緣組合（層級｜檔案）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</si>
  <si>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C150:G150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</si>
  <si>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</si>
  <si>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</si>
  <si>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</si>
  <si>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：最低每成功任務成本（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</si>
  <si>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：前緣組合（層級｜檔案；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</si>
  <si>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：前緣組合的成功率 </t>
    </r>
    <r>
      <rPr>
        <sz val="10"/>
        <color rgb="FF000000"/>
        <rFont val="Arial"/>
        <family val="0"/>
        <charset val="1"/>
      </rPr>
      <t xml:space="preserve">p</t>
    </r>
  </si>
  <si>
    <r>
      <rPr>
        <sz val="9"/>
        <color rgb="FF595959"/>
        <rFont val="Noto Sans CJK SC"/>
        <family val="2"/>
      </rPr>
      <t xml:space="preserve">註：標準與現行在 </t>
    </r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時相同。前緣只比較成本，不含延遲；選定檔案『供應商專屬』時，前緣組合綁定該供應商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旗標）。可靠度下限 </t>
    </r>
    <r>
      <rPr>
        <sz val="9"/>
        <color rgb="FF595959"/>
        <rFont val="Arial"/>
        <family val="0"/>
        <charset val="1"/>
      </rPr>
      <t xml:space="preserve">p_min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節；『無合格』＝該任務沒有任何層級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檔案達到下限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</si>
  <si>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有效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時間範圍（＝層級 </t>
    </r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時間範圍倍數；現行）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</si>
  <si>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</si>
  <si>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（中層）｜現行</t>
    </r>
  </si>
  <si>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（頂層）｜現行</t>
    </r>
  </si>
  <si>
    <r>
      <rPr>
        <b val="true"/>
        <sz val="13"/>
        <rFont val="Arial"/>
        <family val="0"/>
        <charset val="1"/>
      </rPr>
      <t xml:space="preserve">Sens_Har — R </t>
    </r>
    <r>
      <rPr>
        <b val="true"/>
        <sz val="13"/>
        <rFont val="Noto Sans CJK SC"/>
        <family val="2"/>
      </rPr>
      <t xml:space="preserve">與每成功任務成本的敏感度（</t>
    </r>
    <r>
      <rPr>
        <b val="true"/>
        <sz val="13"/>
        <rFont val="Arial"/>
        <family val="0"/>
        <charset val="1"/>
      </rPr>
      <t xml:space="preserve">VR200</t>
    </r>
    <r>
      <rPr>
        <b val="true"/>
        <sz val="13"/>
        <rFont val="Noto Sans CJK SC"/>
        <family val="2"/>
      </rPr>
      <t xml:space="preserve">、基準成本；</t>
    </r>
    <r>
      <rPr>
        <b val="true"/>
        <sz val="13"/>
        <rFont val="Arial"/>
        <family val="0"/>
        <charset val="1"/>
      </rPr>
      <t xml:space="preserve">Coding agent</t>
    </r>
    <r>
      <rPr>
        <b val="true"/>
        <sz val="13"/>
        <rFont val="Noto Sans CJK SC"/>
        <family val="2"/>
      </rPr>
      <t xml:space="preserve">（長程）；選定檔案全採用 </t>
    </r>
    <r>
      <rPr>
        <b val="true"/>
        <sz val="13"/>
        <rFont val="Arial"/>
        <family val="0"/>
        <charset val="1"/>
      </rPr>
      <t xml:space="preserve">vs </t>
    </r>
    <r>
      <rPr>
        <b val="true"/>
        <sz val="13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</si>
  <si>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每欄只改一個參數（區間取 </t>
    </r>
    <r>
      <rPr>
        <sz val="9"/>
        <color rgb="FF595959"/>
        <rFont val="Arial"/>
        <family val="0"/>
        <charset val="1"/>
      </rPr>
      <t xml:space="preserve">Har_In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節），其餘同基準欄。</t>
    </r>
    <r>
      <rPr>
        <sz val="9"/>
        <color rgb="FF595959"/>
        <rFont val="Arial"/>
        <family val="0"/>
        <charset val="1"/>
      </rPr>
      <t xml:space="preserve">R</t>
    </r>
    <r>
      <rPr>
        <sz val="9"/>
        <color rgb="FF595959"/>
        <rFont val="Noto Sans CJK SC"/>
        <family val="2"/>
      </rPr>
      <t xml:space="preserve">＝（選定每次嘗試成本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選定）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（標準每次嘗試成本 </t>
    </r>
    <r>
      <rPr>
        <sz val="9"/>
        <color rgb="FF595959"/>
        <rFont val="Arial"/>
        <family val="0"/>
        <charset val="1"/>
      </rPr>
      <t xml:space="preserve">÷ p </t>
    </r>
    <r>
      <rPr>
        <sz val="9"/>
        <color rgb="FF595959"/>
        <rFont val="Noto Sans CJK SC"/>
        <family val="2"/>
      </rPr>
      <t xml:space="preserve">標準）</t>
    </r>
  </si>
  <si>
    <t xml:space="preserve">輪數倍數 低</t>
  </si>
  <si>
    <t xml:space="preserve">輪數倍數 高</t>
  </si>
  <si>
    <t xml:space="preserve">每輪思考倍數 低</t>
  </si>
  <si>
    <t xml:space="preserve">每輪思考倍數 高</t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</si>
  <si>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</si>
  <si>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Noto Sans CJK SC"/>
        <family val="2"/>
      </rPr>
      <t xml:space="preserve">思考保留 </t>
    </r>
    <r>
      <rPr>
        <b val="true"/>
        <sz val="10"/>
        <rFont val="Arial"/>
        <family val="0"/>
        <charset val="1"/>
      </rPr>
      <t xml:space="preserve">ρ </t>
    </r>
    <r>
      <rPr>
        <b val="true"/>
        <sz val="10"/>
        <rFont val="Noto Sans CJK SC"/>
        <family val="2"/>
      </rPr>
      <t xml:space="preserve">高</t>
    </r>
  </si>
  <si>
    <t xml:space="preserve">歷史保留比 低</t>
  </si>
  <si>
    <t xml:space="preserve">歷史保留比 高</t>
  </si>
  <si>
    <t xml:space="preserve">時間範圍倍數 低</t>
  </si>
  <si>
    <t xml:space="preserve">時間範圍倍數 高</t>
  </si>
  <si>
    <t xml:space="preserve">保留時間 低</t>
  </si>
  <si>
    <t xml:space="preserve">保留時間 高</t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</si>
  <si>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低</t>
    </r>
  </si>
  <si>
    <r>
      <rPr>
        <b val="true"/>
        <sz val="10"/>
        <rFont val="Arial"/>
        <family val="0"/>
        <charset val="1"/>
      </rPr>
      <t xml:space="preserve">β </t>
    </r>
    <r>
      <rPr>
        <b val="true"/>
        <sz val="10"/>
        <rFont val="Noto Sans CJK SC"/>
        <family val="2"/>
      </rPr>
      <t xml:space="preserve">高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</si>
  <si>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低</t>
    </r>
  </si>
  <si>
    <r>
      <rPr>
        <b val="true"/>
        <sz val="10"/>
        <rFont val="Arial"/>
        <family val="0"/>
        <charset val="1"/>
      </rPr>
      <t xml:space="preserve">50% </t>
    </r>
    <r>
      <rPr>
        <b val="true"/>
        <sz val="10"/>
        <rFont val="Noto Sans CJK SC"/>
        <family val="2"/>
      </rPr>
      <t xml:space="preserve">時間範圍 高</t>
    </r>
  </si>
  <si>
    <t xml:space="preserve">時間範圍倍數</t>
  </si>
  <si>
    <r>
      <rPr>
        <sz val="10"/>
        <color rgb="FF000000"/>
        <rFont val="Noto Sans CJK SC"/>
        <family val="2"/>
      </rPr>
      <t xml:space="preserve">保留時間（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</si>
  <si>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β</t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</si>
  <si>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</si>
  <si>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</si>
  <si>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（頂層）（</t>
    </r>
    <r>
      <rPr>
        <sz val="10"/>
        <color rgb="FF000000"/>
        <rFont val="Arial"/>
        <family val="0"/>
        <charset val="1"/>
      </rPr>
      <t xml:space="preserve">hr</t>
    </r>
    <r>
      <rPr>
        <sz val="10"/>
        <color rgb="FF000000"/>
        <rFont val="Noto Sans CJK SC"/>
        <family val="2"/>
      </rPr>
      <t xml:space="preserve">）</t>
    </r>
  </si>
  <si>
    <t xml:space="preserve">選定：輪數</t>
  </si>
  <si>
    <t xml:space="preserve">選定：每輪思考</t>
  </si>
  <si>
    <t xml:space="preserve">選定：每輪增量</t>
  </si>
  <si>
    <t xml:space="preserve">選定：輸入總量（單代理）</t>
  </si>
  <si>
    <t xml:space="preserve">選定：可快取</t>
  </si>
  <si>
    <r>
      <rPr>
        <sz val="10"/>
        <color rgb="FF000000"/>
        <rFont val="Noto Sans CJK SC"/>
        <family val="2"/>
      </rPr>
      <t xml:space="preserve">選定：任務新鮮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</si>
  <si>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選定：任務快取 </t>
    </r>
    <r>
      <rPr>
        <sz val="10"/>
        <color rgb="FF000000"/>
        <rFont val="Arial"/>
        <family val="0"/>
        <charset val="1"/>
      </rPr>
      <t xml:space="preserve">prefill</t>
    </r>
  </si>
  <si>
    <r>
      <rPr>
        <sz val="10"/>
        <color rgb="FF000000"/>
        <rFont val="Noto Sans CJK SC"/>
        <family val="2"/>
      </rPr>
      <t xml:space="preserve">選定：任務 </t>
    </r>
    <r>
      <rPr>
        <sz val="10"/>
        <color rgb="FF000000"/>
        <rFont val="Arial"/>
        <family val="0"/>
        <charset val="1"/>
      </rPr>
      <t xml:space="preserve">decode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</si>
  <si>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</si>
  <si>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</si>
  <si>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</si>
  <si>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</si>
  <si>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</si>
  <si>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</si>
  <si>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</si>
  <si>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</si>
  <si>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</si>
  <si>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（頂層）：選定每次嘗試成本 </t>
    </r>
    <r>
      <rPr>
        <sz val="10"/>
        <color rgb="FF000000"/>
        <rFont val="Arial"/>
        <family val="0"/>
        <charset val="1"/>
      </rPr>
      <t xml:space="preserve">$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</si>
  <si>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標準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</si>
  <si>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選定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</si>
  <si>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（頂層）：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（每成功任務成本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標準）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</si>
  <si>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跨過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的欄＝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由省錢轉為加成本。</t>
    </r>
    <r>
      <rPr>
        <sz val="9"/>
        <color rgb="FF595959"/>
        <rFont val="Arial"/>
        <family val="0"/>
        <charset val="1"/>
      </rPr>
      <t xml:space="preserve">Luna </t>
    </r>
    <r>
      <rPr>
        <sz val="9"/>
        <color rgb="FF595959"/>
        <rFont val="Noto Sans CJK SC"/>
        <family val="2"/>
      </rPr>
      <t xml:space="preserve">在長程任務 </t>
    </r>
    <r>
      <rPr>
        <sz val="9"/>
        <color rgb="FF595959"/>
        <rFont val="Arial"/>
        <family val="0"/>
        <charset val="1"/>
      </rPr>
      <t xml:space="preserve">p </t>
    </r>
    <r>
      <rPr>
        <sz val="9"/>
        <color rgb="FF595959"/>
        <rFont val="Noto Sans CJK SC"/>
        <family val="2"/>
      </rPr>
      <t xml:space="preserve">很低，</t>
    </r>
    <r>
      <rPr>
        <sz val="9"/>
        <color rgb="FF595959"/>
        <rFont val="Arial"/>
        <family val="0"/>
        <charset val="1"/>
      </rPr>
      <t xml:space="preserve">R </t>
    </r>
    <r>
      <rPr>
        <sz val="9"/>
        <color rgb="FF595959"/>
        <rFont val="Noto Sans CJK SC"/>
        <family val="2"/>
      </rPr>
      <t xml:space="preserve">主要由成功率主導</t>
    </r>
  </si>
  <si>
    <r>
      <rPr>
        <b val="true"/>
        <sz val="13"/>
        <rFont val="Arial"/>
        <family val="0"/>
        <charset val="1"/>
      </rPr>
      <t xml:space="preserve">Alloc_In — Block 6 </t>
    </r>
    <r>
      <rPr>
        <b val="true"/>
        <sz val="13"/>
        <rFont val="Noto Sans CJK SC"/>
        <family val="2"/>
      </rPr>
      <t xml:space="preserve">輸入（藍字＝輸入；全部 </t>
    </r>
    <r>
      <rPr>
        <b val="true"/>
        <sz val="13"/>
        <rFont val="Arial"/>
        <family val="0"/>
        <charset val="1"/>
      </rPr>
      <t xml:space="preserve">Assumed </t>
    </r>
    <r>
      <rPr>
        <b val="true"/>
        <sz val="13"/>
        <rFont val="Noto Sans CJK SC"/>
        <family val="2"/>
      </rPr>
      <t xml:space="preserve">或 </t>
    </r>
    <r>
      <rPr>
        <b val="true"/>
        <sz val="13"/>
        <rFont val="Arial"/>
        <family val="0"/>
        <charset val="1"/>
      </rPr>
      <t xml:space="preserve">Decision</t>
    </r>
    <r>
      <rPr>
        <b val="true"/>
        <sz val="13"/>
        <rFont val="Noto Sans CJK SC"/>
        <family val="2"/>
      </rPr>
      <t xml:space="preserve">，附區間；登錄於 </t>
    </r>
    <r>
      <rPr>
        <b val="true"/>
        <sz val="13"/>
        <rFont val="Arial"/>
        <family val="0"/>
        <charset val="1"/>
      </rPr>
      <t xml:space="preserve">Gov_Map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</si>
  <si>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研發與服務的算力配置（</t>
    </r>
    <r>
      <rPr>
        <sz val="9"/>
        <color rgb="FF595959"/>
        <rFont val="Arial"/>
        <family val="0"/>
        <charset val="1"/>
      </rPr>
      <t xml:space="preserve">A1–A10</t>
    </r>
    <r>
      <rPr>
        <sz val="9"/>
        <color rgb="FF595959"/>
        <rFont val="Noto Sans CJK SC"/>
        <family val="2"/>
      </rPr>
      <t xml:space="preserve">）：實驗室年度算力＝研發需求＋服務需求。研發占比的物理部分只給下限，實際占比由策略變數決定。訓練世代不設輸入，沿用 </t>
    </r>
    <r>
      <rPr>
        <sz val="9"/>
        <color rgb="FF595959"/>
        <rFont val="Arial"/>
        <family val="0"/>
        <charset val="1"/>
      </rPr>
      <t xml:space="preserve">Interface 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）</t>
    </r>
  </si>
  <si>
    <t xml:space="preserve">標籤</t>
  </si>
  <si>
    <t xml:space="preserve">決策／來源</t>
  </si>
  <si>
    <t xml:space="preserve">實驗室</t>
  </si>
  <si>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（只放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一組；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待來源查核後加入）</t>
    </r>
  </si>
  <si>
    <r>
      <rPr>
        <sz val="10"/>
        <color rgb="FF000000"/>
        <rFont val="Noto Sans CJK SC"/>
        <family val="2"/>
      </rPr>
      <t xml:space="preserve">家族計畫數 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（個／年）</t>
    </r>
  </si>
  <si>
    <t xml:space="preserve">個／年</t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</si>
  <si>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驅動表：前沿實驗室每年約 </t>
    </r>
    <r>
      <rPr>
        <sz val="9"/>
        <color rgb="FF595959"/>
        <rFont val="Arial"/>
        <family val="0"/>
        <charset val="1"/>
      </rPr>
      <t xml:space="preserve">1–2 </t>
    </r>
    <r>
      <rPr>
        <sz val="9"/>
        <color rgb="FF595959"/>
        <rFont val="Noto Sans CJK SC"/>
        <family val="2"/>
      </rPr>
      <t xml:space="preserve">個旗艦家族</t>
    </r>
  </si>
  <si>
    <r>
      <rPr>
        <sz val="10"/>
        <color rgb="FF000000"/>
        <rFont val="Noto Sans CJK SC"/>
        <family val="2"/>
      </rPr>
      <t xml:space="preserve">改版計畫數 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（個／年）</t>
    </r>
  </si>
  <si>
    <r>
      <rPr>
        <sz val="9"/>
        <color rgb="FF595959"/>
        <rFont val="Arial"/>
        <family val="0"/>
        <charset val="1"/>
      </rPr>
      <t xml:space="preserve">8f </t>
    </r>
    <r>
      <rPr>
        <sz val="9"/>
        <color rgb="FF595959"/>
        <rFont val="Noto Sans CJK SC"/>
        <family val="2"/>
      </rPr>
      <t xml:space="preserve">驅動表、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：改版計畫計入；區間 </t>
    </r>
    <r>
      <rPr>
        <sz val="9"/>
        <color rgb="FF595959"/>
        <rFont val="Arial"/>
        <family val="0"/>
        <charset val="1"/>
      </rPr>
      <t xml:space="preserve">0–6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v5.20 X3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</si>
  <si>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計畫規模倍數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（相對 </t>
    </r>
    <r>
      <rPr>
        <sz val="10"/>
        <color rgb="FF000000"/>
        <rFont val="Arial"/>
        <family val="0"/>
        <charset val="1"/>
      </rPr>
      <t xml:space="preserve">Block 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</si>
  <si>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A3</t>
    </r>
    <r>
      <rPr>
        <sz val="9"/>
        <color rgb="FF595959"/>
        <rFont val="Noto Sans CJK SC"/>
        <family val="2"/>
      </rPr>
      <t xml:space="preserve">：不以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校準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；校準值只反推隱含 </t>
    </r>
    <r>
      <rPr>
        <sz val="9"/>
        <color rgb="FF595959"/>
        <rFont val="Arial"/>
        <family val="0"/>
        <charset val="1"/>
      </rPr>
      <t xml:space="preserve">N × 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</si>
  <si>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</si>
  <si>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Hopper 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</si>
  <si>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D9:E9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</si>
  <si>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</si>
  <si>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GB200 0.25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</si>
  <si>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D10:E10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</si>
  <si>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</si>
  <si>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GB300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</si>
  <si>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D11:E11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</si>
  <si>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服務世代組合：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</si>
  <si>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全年平均（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Blackwell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線性爬升、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只有 </t>
    </r>
    <r>
      <rPr>
        <sz val="9"/>
        <color rgb="FF595959"/>
        <rFont val="Arial"/>
        <family val="0"/>
        <charset val="1"/>
      </rPr>
      <t xml:space="preserve">Q4 </t>
    </r>
    <r>
      <rPr>
        <sz val="9"/>
        <color rgb="FF595959"/>
        <rFont val="Noto Sans CJK SC"/>
        <family val="2"/>
      </rPr>
      <t xml:space="preserve">有量）；年底組合見情境 </t>
    </r>
    <r>
      <rPr>
        <sz val="9"/>
        <color rgb="FF595959"/>
        <rFont val="Arial"/>
        <family val="0"/>
        <charset val="1"/>
      </rPr>
      <t xml:space="preserve">h_alloc_mix_2025ye</t>
    </r>
    <r>
      <rPr>
        <sz val="9"/>
        <color rgb="FF595959"/>
        <rFont val="Noto Sans CJK SC"/>
        <family val="2"/>
      </rPr>
      <t xml:space="preserve">；無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直接揭露｜本列低／高：</t>
    </r>
    <r>
      <rPr>
        <sz val="9"/>
        <color rgb="FF595959"/>
        <rFont val="Arial"/>
        <family val="0"/>
        <charset val="1"/>
      </rPr>
      <t xml:space="preserve">VR200 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v6.1 D3</t>
    </r>
    <r>
      <rPr>
        <sz val="9"/>
        <color rgb="FF595959"/>
        <rFont val="Noto Sans CJK SC"/>
        <family val="2"/>
      </rPr>
      <t xml:space="preserve">；基準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</si>
  <si>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D12:E12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</si>
  <si>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機隊年成長率 </t>
    </r>
    <r>
      <rPr>
        <sz val="10"/>
        <color rgb="FF000000"/>
        <rFont val="Arial"/>
        <family val="0"/>
        <charset val="1"/>
      </rPr>
      <t xml:space="preserve">g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</si>
  <si>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（情境）</t>
    </r>
  </si>
  <si>
    <r>
      <rPr>
        <sz val="9"/>
        <color rgb="FF595959"/>
        <rFont val="Arial"/>
        <family val="0"/>
        <charset val="1"/>
      </rPr>
      <t xml:space="preserve">A6</t>
    </r>
    <r>
      <rPr>
        <sz val="9"/>
        <color rgb="FF595959"/>
        <rFont val="Noto Sans CJK SC"/>
        <family val="2"/>
      </rPr>
      <t xml:space="preserve">：成長只作情境；基準為穩態年度（</t>
    </r>
    <r>
      <rPr>
        <sz val="9"/>
        <color rgb="FF595959"/>
        <rFont val="Arial"/>
        <family val="0"/>
        <charset val="1"/>
      </rPr>
      <t xml:space="preserve">A1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</si>
  <si>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</t>
    </r>
  </si>
  <si>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處理量為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時點值，換成全年平均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</si>
  <si>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</si>
  <si>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Arial"/>
        <family val="0"/>
        <charset val="1"/>
      </rPr>
      <t xml:space="preserve">A10</t>
    </r>
    <r>
      <rPr>
        <sz val="9"/>
        <color rgb="FF595959"/>
        <rFont val="Noto Sans CJK SC"/>
        <family val="2"/>
      </rPr>
      <t xml:space="preserve">：含輸入、上下文、推理與輸出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；上限 </t>
    </r>
    <r>
      <rPr>
        <sz val="9"/>
        <color rgb="FF595959"/>
        <rFont val="Arial"/>
        <family val="0"/>
        <charset val="1"/>
      </rPr>
      <t xml:space="preserve">6,000 </t>
    </r>
    <r>
      <rPr>
        <sz val="9"/>
        <color rgb="FF595959"/>
        <rFont val="Noto Sans CJK SC"/>
        <family val="2"/>
      </rPr>
      <t xml:space="preserve">無直接來源（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最弱輸入）｜</t>
    </r>
    <r>
      <rPr>
        <sz val="9"/>
        <color rgb="FF595959"/>
        <rFont val="Arial"/>
        <family val="0"/>
        <charset val="1"/>
      </rPr>
      <t xml:space="preserve">v5.29 X14 (l)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E261——OpenRouter 2025 </t>
    </r>
    <r>
      <rPr>
        <sz val="9"/>
        <color rgb="FF595959"/>
        <rFont val="Noto Sans CJK SC"/>
        <family val="2"/>
      </rPr>
      <t xml:space="preserve">年末每請求 </t>
    </r>
    <r>
      <rPr>
        <sz val="9"/>
        <color rgb="FF595959"/>
        <rFont val="Arial"/>
        <family val="0"/>
        <charset val="1"/>
      </rPr>
      <t xml:space="preserve">6,400</t>
    </r>
    <r>
      <rPr>
        <sz val="9"/>
        <color rgb="FF595959"/>
        <rFont val="Noto Sans CJK SC"/>
        <family val="2"/>
      </rPr>
      <t xml:space="preserve">（含推理，</t>
    </r>
    <r>
      <rPr>
        <sz val="9"/>
        <color rgb="FF595959"/>
        <rFont val="Arial"/>
        <family val="0"/>
        <charset val="1"/>
      </rPr>
      <t xml:space="preserve">SRC_DEM_014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015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Robonomics </t>
    </r>
    <r>
      <rPr>
        <sz val="9"/>
        <color rgb="FF595959"/>
        <rFont val="Noto Sans CJK SC"/>
        <family val="2"/>
      </rPr>
      <t xml:space="preserve">假設 </t>
    </r>
    <r>
      <rPr>
        <sz val="9"/>
        <color rgb="FF595959"/>
        <rFont val="Arial"/>
        <family val="0"/>
        <charset val="1"/>
      </rPr>
      <t xml:space="preserve">800–2,000 </t>
    </r>
    <r>
      <rPr>
        <sz val="9"/>
        <color rgb="FF595959"/>
        <rFont val="Noto Sans CJK SC"/>
        <family val="2"/>
      </rPr>
      <t xml:space="preserve">的幾何中點；上限改為 </t>
    </r>
    <r>
      <rPr>
        <sz val="9"/>
        <color rgb="FF595959"/>
        <rFont val="Arial"/>
        <family val="0"/>
        <charset val="1"/>
      </rPr>
      <t xml:space="preserve">OpenRouter </t>
    </r>
    <r>
      <rPr>
        <sz val="9"/>
        <color rgb="FF595959"/>
        <rFont val="Noto Sans CJK SC"/>
        <family val="2"/>
      </rPr>
      <t xml:space="preserve">實測 ｜</t>
    </r>
    <r>
      <rPr>
        <sz val="9"/>
        <color rgb="FF595959"/>
        <rFont val="Arial"/>
        <family val="0"/>
        <charset val="1"/>
      </rPr>
      <t xml:space="preserve">v5.33 J9</t>
    </r>
    <r>
      <rPr>
        <sz val="9"/>
        <color rgb="FF595959"/>
        <rFont val="Noto Sans CJK SC"/>
        <family val="2"/>
      </rPr>
      <t xml:space="preserve">：高端 </t>
    </r>
    <r>
      <rPr>
        <sz val="9"/>
        <color rgb="FF595959"/>
        <rFont val="Arial"/>
        <family val="0"/>
        <charset val="1"/>
      </rPr>
      <t xml:space="preserve">6,400 → 11,000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段 </t>
    </r>
    <r>
      <rPr>
        <sz val="9"/>
        <color rgb="FF595959"/>
        <rFont val="Arial"/>
        <family val="0"/>
        <charset val="1"/>
      </rPr>
      <t xml:space="preserve">1.2 </t>
    </r>
    <r>
      <rPr>
        <sz val="9"/>
        <color rgb="FF595959"/>
        <rFont val="Noto Sans CJK SC"/>
        <family val="2"/>
      </rPr>
      <t xml:space="preserve">節五組成高端 </t>
    </r>
    <r>
      <rPr>
        <sz val="9"/>
        <color rgb="FF595959"/>
        <rFont val="Arial"/>
        <family val="0"/>
        <charset val="1"/>
      </rPr>
      <t xml:space="preserve">11,300 </t>
    </r>
    <r>
      <rPr>
        <sz val="9"/>
        <color rgb="FF595959"/>
        <rFont val="Noto Sans CJK SC"/>
        <family val="2"/>
      </rPr>
      <t xml:space="preserve">取整；基準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與低端 </t>
    </r>
    <r>
      <rPr>
        <sz val="9"/>
        <color rgb="FF595959"/>
        <rFont val="Arial"/>
        <family val="0"/>
        <charset val="1"/>
      </rPr>
      <t xml:space="preserve">2,000 </t>
    </r>
    <r>
      <rPr>
        <sz val="9"/>
        <color rgb="FF595959"/>
        <rFont val="Noto Sans CJK SC"/>
        <family val="2"/>
      </rPr>
      <t xml:space="preserve">不改；不拆成多個輸入）</t>
    </r>
  </si>
  <si>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中免費用戶占比</t>
    </r>
  </si>
  <si>
    <r>
      <rPr>
        <sz val="9"/>
        <color rgb="FF595959"/>
        <rFont val="Noto Sans CJK SC"/>
        <family val="2"/>
      </rPr>
      <t xml:space="preserve">新增；以 </t>
    </r>
    <r>
      <rPr>
        <sz val="9"/>
        <color rgb="FF595959"/>
        <rFont val="Arial"/>
        <family val="0"/>
        <charset val="1"/>
      </rPr>
      <t xml:space="preserve">L1 </t>
    </r>
    <r>
      <rPr>
        <sz val="9"/>
        <color rgb="FF595959"/>
        <rFont val="Noto Sans CJK SC"/>
        <family val="2"/>
      </rPr>
      <t xml:space="preserve">外部對照（免費服務算力占比）檢查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：產業總量（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全體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L1_MImplied_Ext</t>
    </r>
    <r>
      <rPr>
        <sz val="9"/>
        <color rgb="FF595959"/>
        <rFont val="Noto Sans CJK SC"/>
        <family val="2"/>
      </rPr>
      <t xml:space="preserve">）的免費占比未必等於 </t>
    </r>
    <r>
      <rPr>
        <sz val="9"/>
        <color rgb="FF595959"/>
        <rFont val="Arial"/>
        <family val="0"/>
        <charset val="1"/>
      </rPr>
      <t xml:space="preserve">ChatGPT </t>
    </r>
    <r>
      <rPr>
        <sz val="9"/>
        <color rgb="FF595959"/>
        <rFont val="Noto Sans CJK SC"/>
        <family val="2"/>
      </rPr>
      <t xml:space="preserve">的免費占比；本格只量 </t>
    </r>
    <r>
      <rPr>
        <sz val="9"/>
        <color rgb="FF595959"/>
        <rFont val="Arial"/>
        <family val="0"/>
        <charset val="1"/>
      </rPr>
      <t xml:space="preserve">ChatGPT</t>
    </r>
  </si>
  <si>
    <r>
      <rPr>
        <b val="true"/>
        <sz val="10"/>
        <rFont val="Noto Sans CJK SC"/>
        <family val="2"/>
      </rPr>
      <t xml:space="preserve">服務世代組合合計（應為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H1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</si>
  <si>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訓練世代不設輸入：沿用 </t>
    </r>
    <r>
      <rPr>
        <sz val="9"/>
        <color rgb="FF595959"/>
        <rFont val="Arial"/>
        <family val="0"/>
        <charset val="1"/>
      </rPr>
      <t xml:space="preserve">IF_TrainGenDefault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J13</t>
    </r>
    <r>
      <rPr>
        <sz val="9"/>
        <color rgb="FF595959"/>
        <rFont val="Noto Sans CJK SC"/>
        <family val="2"/>
      </rPr>
      <t xml:space="preserve">，目前為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）。實驗室選擇器目前只有 </t>
    </r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A8</t>
    </r>
    <r>
      <rPr>
        <sz val="9"/>
        <color rgb="FF595959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</si>
  <si>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v5.29 X14 (m)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對帳落差分解的輸入（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，附區間；登錄 </t>
    </r>
    <r>
      <rPr>
        <b val="true"/>
        <sz val="10"/>
        <rFont val="Arial"/>
        <family val="0"/>
        <charset val="1"/>
      </rPr>
      <t xml:space="preserve">Gov_Map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v5.28 </t>
    </r>
    <r>
      <rPr>
        <b val="true"/>
        <sz val="10"/>
        <rFont val="Noto Sans CJK SC"/>
        <family val="2"/>
      </rPr>
      <t xml:space="preserve">基準常數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</si>
  <si>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</t>
    </r>
  </si>
  <si>
    <r>
      <rPr>
        <sz val="9"/>
        <color rgb="FF595959"/>
        <rFont val="Noto Sans CJK SC"/>
        <family val="2"/>
      </rPr>
      <t xml:space="preserve">經濟口徑：依據的價格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會計成本 </t>
    </r>
    <r>
      <rPr>
        <sz val="9"/>
        <color rgb="FF595959"/>
        <rFont val="Arial"/>
        <family val="0"/>
        <charset val="1"/>
      </rPr>
      <t xml:space="preserve">1.16 × </t>
    </r>
    <r>
      <rPr>
        <sz val="9"/>
        <color rgb="FF595959"/>
        <rFont val="Noto Sans CJK SC"/>
        <family val="2"/>
      </rPr>
      <t xml:space="preserve">會計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經濟持有成本 </t>
    </r>
    <r>
      <rPr>
        <sz val="9"/>
        <color rgb="FF595959"/>
        <rFont val="Arial"/>
        <family val="0"/>
        <charset val="1"/>
      </rPr>
      <t xml:space="preserve">0.73 ≈ 0.85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0.73–1.17</t>
    </r>
    <r>
      <rPr>
        <sz val="9"/>
        <color rgb="FF595959"/>
        <rFont val="Noto Sans CJK SC"/>
        <family val="2"/>
      </rPr>
      <t xml:space="preserve">）；分母維持經濟口徑持有成本。小於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 </t>
    </r>
    <r>
      <rPr>
        <sz val="9"/>
        <color rgb="FF595959"/>
        <rFont val="Arial"/>
        <family val="0"/>
        <charset val="1"/>
      </rPr>
      <t xml:space="preserve">Azure </t>
    </r>
    <r>
      <rPr>
        <sz val="9"/>
        <color rgb="FF595959"/>
        <rFont val="Noto Sans CJK SC"/>
        <family val="2"/>
      </rPr>
      <t xml:space="preserve">計價未涵蓋全部資本成本，這本身是 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的一項實質命題（決定紀錄 </t>
    </r>
    <r>
      <rPr>
        <sz val="9"/>
        <color rgb="FF595959"/>
        <rFont val="Arial"/>
        <family val="0"/>
        <charset val="1"/>
      </rPr>
      <t xml:space="preserve">D10</t>
    </r>
    <r>
      <rPr>
        <sz val="9"/>
        <color rgb="FF595959"/>
        <rFont val="Noto Sans CJK SC"/>
        <family val="2"/>
      </rPr>
      <t xml:space="preserve">）</t>
    </r>
  </si>
  <si>
    <t xml:space="preserve">實際利用率（純；不含生產折減）</t>
  </si>
  <si>
    <r>
      <rPr>
        <sz val="9"/>
        <color rgb="FF595959"/>
        <rFont val="Noto Sans CJK SC"/>
        <family val="2"/>
      </rPr>
      <t xml:space="preserve">純利用率＝平均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吞吐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容量；</t>
    </r>
    <r>
      <rPr>
        <sz val="9"/>
        <color rgb="FF595959"/>
        <rFont val="Arial"/>
        <family val="0"/>
        <charset val="1"/>
      </rPr>
      <t xml:space="preserve">0.41</t>
    </r>
    <r>
      <rPr>
        <sz val="9"/>
        <color rgb="FF595959"/>
        <rFont val="Noto Sans CJK SC"/>
        <family val="2"/>
      </rPr>
      <t xml:space="preserve">＝原 </t>
    </r>
    <r>
      <rPr>
        <sz val="9"/>
        <color rgb="FF595959"/>
        <rFont val="Arial"/>
        <family val="0"/>
        <charset val="1"/>
      </rPr>
      <t xml:space="preserve">0.35 ÷ </t>
    </r>
    <r>
      <rPr>
        <sz val="9"/>
        <color rgb="FF595959"/>
        <rFont val="Noto Sans CJK SC"/>
        <family val="2"/>
      </rPr>
      <t xml:space="preserve">生產折減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。區間 </t>
    </r>
    <r>
      <rPr>
        <sz val="9"/>
        <color rgb="FF595959"/>
        <rFont val="Arial"/>
        <family val="0"/>
        <charset val="1"/>
      </rPr>
      <t xml:space="preserve">0.3–0.65</t>
    </r>
    <r>
      <rPr>
        <sz val="9"/>
        <color rgb="FF595959"/>
        <rFont val="Noto Sans CJK SC"/>
        <family val="2"/>
      </rPr>
      <t xml:space="preserve">：上端為單一模型集中式服務的代理值（</t>
    </r>
    <r>
      <rPr>
        <sz val="9"/>
        <color rgb="FF595959"/>
        <rFont val="Arial"/>
        <family val="0"/>
        <charset val="1"/>
      </rPr>
      <t xml:space="preserve">DeepSeek 2025-02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0.54–0.65</t>
    </r>
    <r>
      <rPr>
        <sz val="9"/>
        <color rgb="FF595959"/>
        <rFont val="Noto Sans CJK SC"/>
        <family val="2"/>
      </rPr>
      <t xml:space="preserve">），下端保留多模型部署的可能（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查證 </t>
    </r>
    <r>
      <rPr>
        <sz val="9"/>
        <color rgb="FF595959"/>
        <rFont val="Arial"/>
        <family val="0"/>
        <charset val="1"/>
      </rPr>
      <t xml:space="preserve">Q5</t>
    </r>
    <r>
      <rPr>
        <sz val="9"/>
        <color rgb="FF595959"/>
        <rFont val="Noto Sans CJK SC"/>
        <family val="2"/>
      </rPr>
      <t xml:space="preserve">）。消費端（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255 </t>
    </r>
    <r>
      <rPr>
        <sz val="9"/>
        <color rgb="FF595959"/>
        <rFont val="Noto Sans CJK SC"/>
        <family val="2"/>
      </rPr>
      <t xml:space="preserve">列）乘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。暫定、待證據。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</si>
  <si>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基準（常數，落差分解分母；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</si>
  <si>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X14m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</si>
  <si>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L1_GapPrompt </t>
    </r>
    <r>
      <rPr>
        <sz val="9"/>
        <color rgb="FF595959"/>
        <rFont val="Noto Sans CJK SC"/>
        <family val="2"/>
      </rPr>
      <t xml:space="preserve">的分母：每則提示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數的 </t>
    </r>
    <r>
      <rPr>
        <sz val="9"/>
        <color rgb="FF595959"/>
        <rFont val="Arial"/>
        <family val="0"/>
        <charset val="1"/>
      </rPr>
      <t xml:space="preserve">v5.28 </t>
    </r>
    <r>
      <rPr>
        <sz val="9"/>
        <color rgb="FF595959"/>
        <rFont val="Noto Sans CJK SC"/>
        <family val="2"/>
      </rPr>
      <t xml:space="preserve">基準值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X14 (l) </t>
    </r>
    <r>
      <rPr>
        <sz val="9"/>
        <color rgb="FF595959"/>
        <rFont val="Noto Sans CJK SC"/>
        <family val="2"/>
      </rPr>
      <t xml:space="preserve">改為 </t>
    </r>
    <r>
      <rPr>
        <sz val="9"/>
        <color rgb="FF595959"/>
        <rFont val="Arial"/>
        <family val="0"/>
        <charset val="1"/>
      </rPr>
      <t xml:space="preserve">4,000 </t>
    </r>
    <r>
      <rPr>
        <sz val="9"/>
        <color rgb="FF595959"/>
        <rFont val="Noto Sans CJK SC"/>
        <family val="2"/>
      </rPr>
      <t xml:space="preserve">之前的值）；固定常數，不隨區間變動</t>
    </r>
  </si>
  <si>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（實際流量每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參考請求）</t>
    </r>
  </si>
  <si>
    <r>
      <rPr>
        <sz val="9"/>
        <color rgb="FF595959"/>
        <rFont val="Arial"/>
        <family val="0"/>
        <charset val="1"/>
      </rPr>
      <t xml:space="preserve">v5.36 B4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X47</t>
    </r>
    <r>
      <rPr>
        <sz val="9"/>
        <color rgb="FF595959"/>
        <rFont val="Noto Sans CJK SC"/>
        <family val="2"/>
      </rPr>
      <t xml:space="preserve">）：以 </t>
    </r>
    <r>
      <rPr>
        <sz val="9"/>
        <color rgb="FF595959"/>
        <rFont val="Arial"/>
        <family val="0"/>
        <charset val="1"/>
      </rPr>
      <t xml:space="preserve">Sens_Perf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94 </t>
    </r>
    <r>
      <rPr>
        <sz val="9"/>
        <color rgb="FF595959"/>
        <rFont val="Noto Sans CJK SC"/>
        <family val="2"/>
      </rPr>
      <t xml:space="preserve">列校準 </t>
    </r>
    <r>
      <rPr>
        <sz val="9"/>
        <color rgb="FF595959"/>
        <rFont val="Arial"/>
        <family val="0"/>
        <charset val="1"/>
      </rPr>
      <t xml:space="preserve">prefill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decode </t>
    </r>
    <r>
      <rPr>
        <sz val="9"/>
        <color rgb="FF595959"/>
        <rFont val="Noto Sans CJK SC"/>
        <family val="2"/>
      </rPr>
      <t xml:space="preserve">成本，代入實際輸入輸出比與快取命中（</t>
    </r>
    <r>
      <rPr>
        <sz val="9"/>
        <color rgb="FF595959"/>
        <rFont val="Arial"/>
        <family val="0"/>
        <charset val="1"/>
      </rPr>
      <t xml:space="preserve">API 6,000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ChatGPT 3,500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800 </t>
    </r>
    <r>
      <rPr>
        <sz val="9"/>
        <color rgb="FF595959"/>
        <rFont val="Noto Sans CJK SC"/>
        <family val="2"/>
      </rPr>
      <t xml:space="preserve">等），各類流量按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加權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1.035</t>
    </r>
    <r>
      <rPr>
        <sz val="9"/>
        <color rgb="FF595959"/>
        <rFont val="Noto Sans CJK SC"/>
        <family val="2"/>
      </rPr>
      <t xml:space="preserve">（全 </t>
    </r>
    <r>
      <rPr>
        <sz val="9"/>
        <color rgb="FF595959"/>
        <rFont val="Arial"/>
        <family val="0"/>
        <charset val="1"/>
      </rPr>
      <t xml:space="preserve">χ 0.55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0.976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API χ 0.9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1.17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型推理 </t>
    </r>
    <r>
      <rPr>
        <sz val="9"/>
        <color rgb="FF595959"/>
        <rFont val="Arial"/>
        <family val="0"/>
        <charset val="1"/>
      </rPr>
      <t xml:space="preserve">0.66</t>
    </r>
    <r>
      <rPr>
        <sz val="9"/>
        <color rgb="FF595959"/>
        <rFont val="Noto Sans CJK SC"/>
        <family val="2"/>
      </rPr>
      <t xml:space="preserve">）；基準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、區間 </t>
    </r>
    <r>
      <rPr>
        <sz val="9"/>
        <color rgb="FF595959"/>
        <rFont val="Arial"/>
        <family val="0"/>
        <charset val="1"/>
      </rPr>
      <t xml:space="preserve">0.65–1.2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3.2 </t>
    </r>
    <r>
      <rPr>
        <sz val="9"/>
        <color rgb="FF595959"/>
        <rFont val="Noto Sans CJK SC"/>
        <family val="2"/>
      </rPr>
      <t xml:space="preserve">節；驗證：同公式算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得 </t>
    </r>
    <r>
      <rPr>
        <sz val="9"/>
        <color rgb="FF595959"/>
        <rFont val="Arial"/>
        <family val="0"/>
        <charset val="1"/>
      </rPr>
      <t xml:space="preserve">0.4336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÷ 2.3065</t>
    </r>
    <r>
      <rPr>
        <sz val="9"/>
        <color rgb="FF595959"/>
        <rFont val="Noto Sans CJK SC"/>
        <family val="2"/>
      </rPr>
      <t xml:space="preserve">）。取代 </t>
    </r>
    <r>
      <rPr>
        <sz val="9"/>
        <color rgb="FF595959"/>
        <rFont val="Arial"/>
        <family val="0"/>
        <charset val="1"/>
      </rPr>
      <t xml:space="preserve">L1_GapISL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ISL 4K </t>
    </r>
    <r>
      <rPr>
        <sz val="9"/>
        <color rgb="FF595959"/>
        <rFont val="Noto Sans CJK SC"/>
        <family val="2"/>
      </rPr>
      <t xml:space="preserve">讀法；乘入有效服務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218 </t>
    </r>
    <r>
      <rPr>
        <sz val="9"/>
        <color rgb="FF595959"/>
        <rFont val="Noto Sans CJK SC"/>
        <family val="2"/>
      </rPr>
      <t xml:space="preserve">列）；注意：此處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（含快取輸入） ｜</t>
    </r>
    <r>
      <rPr>
        <sz val="9"/>
        <color rgb="FF595959"/>
        <rFont val="Arial"/>
        <family val="0"/>
        <charset val="1"/>
      </rPr>
      <t xml:space="preserve">v10.0 N4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＝（實際流量每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（參考請求每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秒總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）；價格端乘 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v9.0 M3</t>
    </r>
    <r>
      <rPr>
        <sz val="9"/>
        <color rgb="FF595959"/>
        <rFont val="Noto Sans CJK SC"/>
        <family val="2"/>
      </rPr>
      <t xml:space="preserve">），維持乘法（定義如此，基準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</si>
  <si>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：研發世代組合（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Derived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占比，四格合計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Checks Z2</t>
    </r>
    <r>
      <rPr>
        <b val="true"/>
        <sz val="10"/>
        <rFont val="Noto Sans CJK SC"/>
        <family val="2"/>
      </rPr>
      <t xml:space="preserve">）。研發算力用的硬體世代組合，與服務世代組合分開輸入；</t>
    </r>
    <r>
      <rPr>
        <b val="true"/>
        <sz val="10"/>
        <rFont val="Arial"/>
        <family val="0"/>
        <charset val="1"/>
      </rPr>
      <t xml:space="preserve">Train_In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16 </t>
    </r>
    <r>
      <rPr>
        <b val="true"/>
        <sz val="10"/>
        <rFont val="Noto Sans CJK SC"/>
        <family val="2"/>
      </rPr>
      <t xml:space="preserve">列（訓練世代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Training </t>
    </r>
    <r>
      <rPr>
        <b val="true"/>
        <sz val="10"/>
        <rFont val="Noto Sans CJK SC"/>
        <family val="2"/>
      </rPr>
      <t xml:space="preserve">頁不動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</si>
  <si>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</t>
    </r>
  </si>
  <si>
    <r>
      <rPr>
        <sz val="9"/>
        <color rgb="FF595959"/>
        <rFont val="Arial"/>
        <family val="0"/>
        <charset val="1"/>
      </rPr>
      <t xml:space="preserve">2Q </t>
    </r>
    <r>
      <rPr>
        <sz val="9"/>
        <color rgb="FF595959"/>
        <rFont val="Noto Sans CJK SC"/>
        <family val="2"/>
      </rPr>
      <t xml:space="preserve">報告第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，低信心）：</t>
    </r>
    <r>
      <rPr>
        <sz val="9"/>
        <color rgb="FF595959"/>
        <rFont val="Arial"/>
        <family val="0"/>
        <charset val="1"/>
      </rPr>
      <t xml:space="preserve">GPT-5.2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2025-12</t>
    </r>
    <r>
      <rPr>
        <sz val="9"/>
        <color rgb="FF595959"/>
        <rFont val="Noto Sans CJK SC"/>
        <family val="2"/>
      </rPr>
      <t xml:space="preserve">）在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GB200 NVL72 </t>
    </r>
    <r>
      <rPr>
        <sz val="9"/>
        <color rgb="FF595959"/>
        <rFont val="Noto Sans CJK SC"/>
        <family val="2"/>
      </rPr>
      <t xml:space="preserve">上訓練；</t>
    </r>
    <r>
      <rPr>
        <sz val="9"/>
        <color rgb="FF595959"/>
        <rFont val="Arial"/>
        <family val="0"/>
        <charset val="1"/>
      </rPr>
      <t xml:space="preserve">Stargate Abilene GB200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2025-06 </t>
    </r>
    <r>
      <rPr>
        <sz val="9"/>
        <color rgb="FF595959"/>
        <rFont val="Noto Sans CJK SC"/>
        <family val="2"/>
      </rPr>
      <t xml:space="preserve">交付；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雲端最早 </t>
    </r>
    <r>
      <rPr>
        <sz val="9"/>
        <color rgb="FF595959"/>
        <rFont val="Arial"/>
        <family val="0"/>
        <charset val="1"/>
      </rPr>
      <t xml:space="preserve">2026-09-30 </t>
    </r>
    <r>
      <rPr>
        <sz val="9"/>
        <color rgb="FF595959"/>
        <rFont val="Noto Sans CJK SC"/>
        <family val="2"/>
      </rPr>
      <t xml:space="preserve">才供應，所以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是高信心結論，其餘三個世代的比例是推導。研發偏新世代，但全年平均只略偏新於服務組合（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）。低／高為各格的區間端點，不是情境（四格各自取端點時合計不為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</si>
  <si>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</si>
  <si>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</si>
  <si>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Noto Sans CJK SC"/>
        <family val="2"/>
      </rPr>
      <t xml:space="preserve">研發世代組合（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</si>
  <si>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10"/>
        <color rgb="FF000000"/>
        <rFont val="Noto Sans CJK SC"/>
        <family val="2"/>
      </rPr>
      <t xml:space="preserve">研發世代組合合計（應為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</si>
  <si>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Alloc — </t>
    </r>
    <r>
      <rPr>
        <b val="true"/>
        <sz val="13"/>
        <rFont val="Noto Sans CJK SC"/>
        <family val="2"/>
      </rPr>
      <t xml:space="preserve">研發與服務的算力配置（需求 </t>
    </r>
    <r>
      <rPr>
        <b val="true"/>
        <sz val="13"/>
        <rFont val="Arial"/>
        <family val="0"/>
        <charset val="1"/>
      </rPr>
      <t xml:space="preserve">D → </t>
    </r>
    <r>
      <rPr>
        <b val="true"/>
        <sz val="13"/>
        <rFont val="Noto Sans CJK SC"/>
        <family val="2"/>
      </rPr>
      <t xml:space="preserve">服務 </t>
    </r>
    <r>
      <rPr>
        <b val="true"/>
        <sz val="13"/>
        <rFont val="Arial"/>
        <family val="0"/>
        <charset val="1"/>
      </rPr>
      <t xml:space="preserve">GW → </t>
    </r>
    <r>
      <rPr>
        <b val="true"/>
        <sz val="13"/>
        <rFont val="Noto Sans CJK SC"/>
        <family val="2"/>
      </rPr>
      <t xml:space="preserve">研發 </t>
    </r>
    <r>
      <rPr>
        <b val="true"/>
        <sz val="13"/>
        <rFont val="Arial"/>
        <family val="0"/>
        <charset val="1"/>
      </rPr>
      <t xml:space="preserve">GW → Q1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Q2</t>
    </r>
    <r>
      <rPr>
        <b val="true"/>
        <sz val="13"/>
        <rFont val="Noto Sans CJK SC"/>
        <family val="2"/>
      </rPr>
      <t xml:space="preserve">；</t>
    </r>
    <r>
      <rPr>
        <b val="true"/>
        <sz val="13"/>
        <rFont val="Arial"/>
        <family val="0"/>
        <charset val="1"/>
      </rPr>
      <t xml:space="preserve">A1–A10</t>
    </r>
    <r>
      <rPr>
        <b val="true"/>
        <sz val="13"/>
        <rFont val="Noto Sans CJK SC"/>
        <family val="2"/>
      </rPr>
      <t xml:space="preserve">；基準為 </t>
    </r>
    <r>
      <rPr>
        <b val="true"/>
        <sz val="13"/>
        <rFont val="Arial"/>
        <family val="0"/>
        <charset val="1"/>
      </rPr>
      <t xml:space="preserve">2025 </t>
    </r>
    <r>
      <rPr>
        <b val="true"/>
        <sz val="13"/>
        <rFont val="Noto Sans CJK SC"/>
        <family val="2"/>
      </rPr>
      <t xml:space="preserve">穩態年度）</t>
    </r>
  </si>
  <si>
    <r>
      <rPr>
        <sz val="9"/>
        <color rgb="FF595959"/>
        <rFont val="Noto Sans CJK SC"/>
        <family val="2"/>
      </rPr>
      <t xml:space="preserve">每列顯示推導：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欄為數值（世代、層級分列者為 </t>
    </r>
    <r>
      <rPr>
        <sz val="9"/>
        <color rgb="FF595959"/>
        <rFont val="Arial"/>
        <family val="0"/>
        <charset val="1"/>
      </rPr>
      <t xml:space="preserve">C–E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欄為算式說明（向右延伸顯示）。需求以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路線為基準（</t>
    </r>
    <r>
      <rPr>
        <sz val="9"/>
        <color rgb="FF595959"/>
        <rFont val="Arial"/>
        <family val="0"/>
        <charset val="1"/>
      </rPr>
      <t xml:space="preserve">A9</t>
    </r>
    <r>
      <rPr>
        <sz val="9"/>
        <color rgb="FF595959"/>
        <rFont val="Noto Sans CJK SC"/>
        <family val="2"/>
      </rPr>
      <t xml:space="preserve">），支出路線在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節並列為外部對照。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不可達時各格回傳文字「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不可達」（比照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列）。</t>
    </r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</si>
  <si>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2025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路線為基準，</t>
    </r>
    <r>
      <rPr>
        <b val="true"/>
        <sz val="10"/>
        <rFont val="Arial"/>
        <family val="0"/>
        <charset val="1"/>
      </rPr>
      <t xml:space="preserve">A9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</si>
  <si>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SRC_DEM_010 × 525,600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全年平均比例）</t>
    </r>
  </si>
  <si>
    <r>
      <rPr>
        <sz val="9"/>
        <color rgb="FF595959"/>
        <rFont val="Arial"/>
        <family val="0"/>
        <charset val="1"/>
      </rPr>
      <t xml:space="preserve">SRC_DEM_010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tok/min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時點值）</t>
    </r>
    <r>
      <rPr>
        <sz val="9"/>
        <color rgb="FF595959"/>
        <rFont val="Arial"/>
        <family val="0"/>
        <charset val="1"/>
      </rPr>
      <t xml:space="preserve">× 1e9 × 525,600 × </t>
    </r>
    <r>
      <rPr>
        <sz val="9"/>
        <color rgb="FF595959"/>
        <rFont val="Noto Sans CJK SC"/>
        <family val="2"/>
      </rPr>
      <t xml:space="preserve">全年平均比例 </t>
    </r>
    <r>
      <rPr>
        <sz val="9"/>
        <color rgb="FF595959"/>
        <rFont val="Arial"/>
        <family val="0"/>
        <charset val="1"/>
      </rPr>
      <t xml:space="preserve">÷ 1e6</t>
    </r>
  </si>
  <si>
    <r>
      <rPr>
        <sz val="10"/>
        <color rgb="FF000000"/>
        <rFont val="Arial"/>
        <family val="0"/>
        <charset val="1"/>
      </rPr>
      <t xml:space="preserve">ChatGPT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</si>
  <si>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SRC_DEM_012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則</t>
    </r>
    <r>
      <rPr>
        <sz val="9"/>
        <color rgb="FF595959"/>
        <rFont val="Arial"/>
        <family val="0"/>
        <charset val="1"/>
      </rPr>
      <t xml:space="preserve">/</t>
    </r>
    <r>
      <rPr>
        <sz val="9"/>
        <color rgb="FF595959"/>
        <rFont val="Noto Sans CJK SC"/>
        <family val="2"/>
      </rPr>
      <t xml:space="preserve">日，</t>
    </r>
    <r>
      <rPr>
        <sz val="9"/>
        <color rgb="FF595959"/>
        <rFont val="Arial"/>
        <family val="0"/>
        <charset val="1"/>
      </rPr>
      <t xml:space="preserve">2025-07 </t>
    </r>
    <r>
      <rPr>
        <sz val="9"/>
        <color rgb="FF595959"/>
        <rFont val="Noto Sans CJK SC"/>
        <family val="2"/>
      </rPr>
      <t xml:space="preserve">時點值視同全年平均：年內近似線性成長；不乘比例）</t>
    </r>
    <r>
      <rPr>
        <sz val="9"/>
        <color rgb="FF595959"/>
        <rFont val="Arial"/>
        <family val="0"/>
        <charset val="1"/>
      </rPr>
      <t xml:space="preserve">× 1e9 × </t>
    </r>
    <r>
      <rPr>
        <sz val="9"/>
        <color rgb="FF595959"/>
        <rFont val="Noto Sans CJK SC"/>
        <family val="2"/>
      </rPr>
      <t xml:space="preserve">每則 </t>
    </r>
    <r>
      <rPr>
        <sz val="9"/>
        <color rgb="FF595959"/>
        <rFont val="Arial"/>
        <family val="0"/>
        <charset val="1"/>
      </rPr>
      <t xml:space="preserve">token × 365 ÷ 1e6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</si>
  <si>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</si>
  <si>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× </t>
    </r>
    <r>
      <rPr>
        <sz val="9"/>
        <color rgb="FF595959"/>
        <rFont val="Noto Sans CJK SC"/>
        <family val="2"/>
      </rPr>
      <t xml:space="preserve">免費占比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</si>
  <si>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</si>
  <si>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ChatGPT token − </t>
    </r>
    <r>
      <rPr>
        <sz val="9"/>
        <color rgb="FF595959"/>
        <rFont val="Noto Sans CJK SC"/>
        <family val="2"/>
      </rPr>
      <t xml:space="preserve">免費 </t>
    </r>
    <r>
      <rPr>
        <sz val="9"/>
        <color rgb="FF595959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</si>
  <si>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付費）</t>
    </r>
  </si>
  <si>
    <r>
      <rPr>
        <sz val="10"/>
        <color rgb="FF000000"/>
        <rFont val="Noto Sans CJK SC"/>
        <family val="2"/>
      </rPr>
      <t xml:space="preserve">免費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免費）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</si>
  <si>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</si>
  <si>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合計（供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對照）</t>
    </r>
  </si>
  <si>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合計 </t>
    </r>
    <r>
      <rPr>
        <sz val="9"/>
        <color rgb="FF595959"/>
        <rFont val="Arial"/>
        <family val="0"/>
        <charset val="1"/>
      </rPr>
      <t xml:space="preserve">÷ 365 ÷ 1e6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→ T</t>
    </r>
    <r>
      <rPr>
        <sz val="9"/>
        <color rgb="FF595959"/>
        <rFont val="Noto Sans CJK SC"/>
        <family val="2"/>
      </rPr>
      <t xml:space="preserve">）；對照 </t>
    </r>
    <r>
      <rPr>
        <sz val="9"/>
        <color rgb="FF595959"/>
        <rFont val="Arial"/>
        <family val="0"/>
        <charset val="1"/>
      </rPr>
      <t xml:space="preserve">SRC_DEM_013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10–100 T/</t>
    </r>
    <r>
      <rPr>
        <sz val="9"/>
        <color rgb="FF595959"/>
        <rFont val="Noto Sans CJK SC"/>
        <family val="2"/>
      </rPr>
      <t xml:space="preserve">日）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</si>
  <si>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</si>
  <si>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C15:F15</t>
    </r>
    <r>
      <rPr>
        <sz val="9"/>
        <color rgb="FF595959"/>
        <rFont val="Noto Sans CJK SC"/>
        <family val="2"/>
      </rPr>
      <t xml:space="preserve">（欄頭／表頭標籤）</t>
    </r>
  </si>
  <si>
    <r>
      <rPr>
        <sz val="10"/>
        <color rgb="FF000000"/>
        <rFont val="Noto Sans CJK SC"/>
        <family val="2"/>
      </rPr>
      <t xml:space="preserve">世代索引（</t>
    </r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順序）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</si>
  <si>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欄索引（基準成本欄；與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5–8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INDEX </t>
    </r>
    <r>
      <rPr>
        <sz val="10"/>
        <color rgb="FF000000"/>
        <rFont val="Noto Sans CJK SC"/>
        <family val="2"/>
      </rPr>
      <t xml:space="preserve">用法一致）</t>
    </r>
  </si>
  <si>
    <r>
      <rPr>
        <sz val="10"/>
        <color rgb="FF000000"/>
        <rFont val="Noto Sans CJK SC"/>
        <family val="2"/>
      </rPr>
      <t xml:space="preserve">世代占比（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</si>
  <si>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</si>
  <si>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38–40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</si>
  <si>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</si>
  <si>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可達旗標（</t>
    </r>
    <r>
      <rPr>
        <sz val="10"/>
        <color rgb="FF000000"/>
        <rFont val="Arial"/>
        <family val="0"/>
        <charset val="1"/>
      </rPr>
      <t xml:space="preserve">IF_TokGW </t>
    </r>
    <r>
      <rPr>
        <sz val="10"/>
        <color rgb="FF000000"/>
        <rFont val="Noto Sans CJK SC"/>
        <family val="2"/>
      </rPr>
      <t xml:space="preserve">為數值且 </t>
    </r>
    <r>
      <rPr>
        <sz val="10"/>
        <color rgb="FF000000"/>
        <rFont val="Arial"/>
        <family val="0"/>
        <charset val="1"/>
      </rPr>
      <t xml:space="preserve">&gt; 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</t>
    </r>
  </si>
  <si>
    <t xml:space="preserve">付費組合：可達層級的權重合計（重新正規化的分母）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</si>
  <si>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</si>
  <si>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t xml:space="preserve">免費組合：可達層級的權重合計（重新正規化的分母）</t>
  </si>
  <si>
    <r>
      <rPr>
        <sz val="9"/>
        <color rgb="FF595959"/>
        <rFont val="Noto Sans CJK SC"/>
        <family val="2"/>
      </rPr>
      <t xml:space="preserve">同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42 </t>
    </r>
    <r>
      <rPr>
        <sz val="9"/>
        <color rgb="FF595959"/>
        <rFont val="Noto Sans CJK SC"/>
        <family val="2"/>
      </rPr>
      <t xml:space="preserve">列</t>
    </r>
  </si>
  <si>
    <t xml:space="preserve">未服務需求占比（付費）＝被排除層級的付費組合權重合計</t>
  </si>
  <si>
    <r>
      <rPr>
        <sz val="9"/>
        <color rgb="FF595959"/>
        <rFont val="Noto Sans CJK SC"/>
        <family val="2"/>
      </rPr>
      <t xml:space="preserve">排除不是消失：這一部分的需求沒有被該世代的產能服務；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 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欄皆可達、此列為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；改 </t>
    </r>
    <r>
      <rPr>
        <sz val="9"/>
        <color rgb="FF595959"/>
        <rFont val="Arial"/>
        <family val="0"/>
        <charset val="1"/>
      </rPr>
      <t xml:space="preserve">Serving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B4_CacheHit </t>
    </r>
    <r>
      <rPr>
        <sz val="9"/>
        <color rgb="FF595959"/>
        <rFont val="Noto Sans CJK SC"/>
        <family val="2"/>
      </rPr>
      <t xml:space="preserve">使某層級不可達時，該世代欄＝該層級的付費組合權重</t>
    </r>
  </si>
  <si>
    <t xml:space="preserve">未服務需求占比（免費）＝被排除層級的免費組合權重合計</t>
  </si>
  <si>
    <r>
      <rPr>
        <sz val="10"/>
        <color rgb="FF000000"/>
        <rFont val="Noto Sans CJK SC"/>
        <family val="2"/>
      </rPr>
      <t xml:space="preserve">可服務（付費與免費組合各至少一個層級可達＝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；同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</si>
  <si>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（付費層級組合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</si>
  <si>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年／</t>
    </r>
    <r>
      <rPr>
        <sz val="10"/>
        <color rgb="FF000000"/>
        <rFont val="Arial"/>
        <family val="0"/>
        <charset val="1"/>
      </rPr>
      <t xml:space="preserve">M tok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</si>
  <si>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的層級組合（</t>
    </r>
    <r>
      <rPr>
        <sz val="9"/>
        <color rgb="FF595959"/>
        <rFont val="Arial"/>
        <family val="0"/>
        <charset val="1"/>
      </rPr>
      <t xml:space="preserve">Cap_In</t>
    </r>
    <r>
      <rPr>
        <sz val="9"/>
        <color rgb="FF595959"/>
        <rFont val="Noto Sans CJK SC"/>
        <family val="2"/>
      </rPr>
      <t xml:space="preserve">）依各層級每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總產出（</t>
    </r>
    <r>
      <rPr>
        <sz val="9"/>
        <color rgb="FF595959"/>
        <rFont val="Arial"/>
        <family val="0"/>
        <charset val="1"/>
      </rPr>
      <t xml:space="preserve">IF_TokGW_*</t>
    </r>
    <r>
      <rPr>
        <sz val="9"/>
        <color rgb="FF595959"/>
        <rFont val="Noto Sans CJK SC"/>
        <family val="2"/>
      </rPr>
      <t xml:space="preserve">）加權：每 </t>
    </r>
    <r>
      <rPr>
        <sz val="9"/>
        <color rgb="FF595959"/>
        <rFont val="Arial"/>
        <family val="0"/>
        <charset val="1"/>
      </rPr>
      <t xml:space="preserve">M tok </t>
    </r>
    <r>
      <rPr>
        <sz val="9"/>
        <color rgb="FF595959"/>
        <rFont val="Noto Sans CJK SC"/>
        <family val="2"/>
      </rPr>
      <t xml:space="preserve">佔用的 </t>
    </r>
    <r>
      <rPr>
        <sz val="9"/>
        <color rgb="FF595959"/>
        <rFont val="Arial"/>
        <family val="0"/>
        <charset val="1"/>
      </rPr>
      <t xml:space="preserve">GW·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利用率）</t>
    </r>
  </si>
  <si>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（免費層級組合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總產出；只含可達層級，權重已重新正規化）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</si>
  <si>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年產能（付費；基準利用率）</t>
    </r>
  </si>
  <si>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IF_Util ÷ Σ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</si>
  <si>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年產能（免費；基準利用率）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</si>
  <si>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20 </t>
    </r>
    <r>
      <rPr>
        <sz val="9"/>
        <color rgb="FF595959"/>
        <rFont val="Noto Sans CJK SC"/>
        <family val="2"/>
      </rPr>
      <t xml:space="preserve">列同式（每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）</t>
    </r>
  </si>
  <si>
    <t xml:space="preserve">世代組合中可服務世代的占比合計（重新正規化的分母）</t>
  </si>
  <si>
    <t xml:space="preserve">世代的所有層級皆不可達時，該世代被排除，其餘世代的占比重新正規化；全部世代皆不可達時以下各列為文字</t>
  </si>
  <si>
    <t xml:space="preserve">未服務世代占比＝被排除世代的世代占比合計</t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</si>
  <si>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年產能（付費）＝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</si>
  <si>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年產能（免費）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</si>
  <si>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（付費）＝付費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付費產能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</si>
  <si>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（免費）＝免費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免費產能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</si>
  <si>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</si>
  <si>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＝合計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世代占比（任一世代整代不可達時為文字「整代不可達」，不轉移占比；</t>
    </r>
    <r>
      <rPr>
        <sz val="10"/>
        <color rgb="FF000000"/>
        <rFont val="Arial"/>
        <family val="0"/>
        <charset val="1"/>
      </rPr>
      <t xml:space="preserve">v6.3 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</si>
  <si>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，基準成本）</t>
    </r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</si>
  <si>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年（物理下限；訓練世代＝</t>
    </r>
    <r>
      <rPr>
        <b val="true"/>
        <sz val="10"/>
        <rFont val="Arial"/>
        <family val="0"/>
        <charset val="1"/>
      </rPr>
      <t xml:space="preserve">IF_TrainGenDefault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C–E</t>
    </r>
    <r>
      <rPr>
        <b val="true"/>
        <sz val="10"/>
        <rFont val="Noto Sans CJK SC"/>
        <family val="2"/>
      </rPr>
      <t xml:space="preserve">＝層級 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＝合計）</t>
    </r>
  </si>
  <si>
    <r>
      <rPr>
        <sz val="10"/>
        <color rgb="FF000000"/>
        <rFont val="Noto Sans CJK SC"/>
        <family val="2"/>
      </rPr>
      <t xml:space="preserve">訓練世代索引（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</si>
  <si>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欄索引（基準成本欄；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另加層級索引）</t>
    </r>
  </si>
  <si>
    <t xml:space="preserve">合計</t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</si>
  <si>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節；單一訓練世代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節對照列；含研發倍數）</t>
    </r>
  </si>
  <si>
    <r>
      <rPr>
        <sz val="10"/>
        <color rgb="FF000000"/>
        <rFont val="Arial"/>
        <family val="0"/>
        <charset val="1"/>
      </rPr>
      <t xml:space="preserve">GW·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</si>
  <si>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每個家族計畫：三層級最終訓練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研發倍數，換算為訓練世代的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</si>
  <si>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＋蒸餾；單一模型；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頁）</t>
    </r>
  </si>
  <si>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104 </t>
    </r>
    <r>
      <rPr>
        <sz val="9"/>
        <color rgb="FF595959"/>
        <rFont val="Noto Sans CJK SC"/>
        <family val="2"/>
      </rPr>
      <t xml:space="preserve">列「後訓練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小時（</t>
    </r>
    <r>
      <rPr>
        <sz val="9"/>
        <color rgb="FF595959"/>
        <rFont val="Arial"/>
        <family val="0"/>
        <charset val="1"/>
      </rPr>
      <t xml:space="preserve">SFT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RL</t>
    </r>
    <r>
      <rPr>
        <sz val="9"/>
        <color rgb="FF595959"/>
        <rFont val="Noto Sans CJK SC"/>
        <family val="2"/>
      </rPr>
      <t xml:space="preserve">＋蒸餾）」，不含第 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列；依訓練世代與層級取值；依欄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標籤定位（工作單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</si>
  <si>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數（訓練世代）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</si>
  <si>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：研發世代組合加權，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列為訓練世代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對照輸入）＝後訓練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</si>
  <si>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改版（</t>
    </r>
    <r>
      <rPr>
        <sz val="9"/>
        <color rgb="FF595959"/>
        <rFont val="Arial"/>
        <family val="0"/>
        <charset val="1"/>
      </rPr>
      <t xml:space="preserve">refresh</t>
    </r>
    <r>
      <rPr>
        <sz val="9"/>
        <color rgb="FF595959"/>
        <rFont val="Noto Sans CJK SC"/>
        <family val="2"/>
      </rPr>
      <t xml:space="preserve">）計畫：後訓練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研發倍數（</t>
    </r>
    <r>
      <rPr>
        <sz val="9"/>
        <color rgb="FF595959"/>
        <rFont val="Arial"/>
        <family val="0"/>
        <charset val="1"/>
      </rPr>
      <t xml:space="preserve">IF_RDMult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年換算同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「占 </t>
    </r>
    <r>
      <rPr>
        <sz val="9"/>
        <color rgb="FF595959"/>
        <rFont val="Arial"/>
        <family val="0"/>
        <charset val="1"/>
      </rPr>
      <t xml:space="preserve">1 GW </t>
    </r>
    <r>
      <rPr>
        <sz val="9"/>
        <color rgb="FF595959"/>
        <rFont val="Noto Sans CJK SC"/>
        <family val="2"/>
      </rPr>
      <t xml:space="preserve">一年」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</si>
  <si>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家族計畫＋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改版計畫）（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</si>
  <si>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年（成長情境，</t>
    </r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）＝研發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</si>
  <si>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：研發世代組合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為訓練世代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</si>
  <si>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研發算力成本（研發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的算力部分）</t>
    </r>
  </si>
  <si>
    <r>
      <rPr>
        <b val="true"/>
        <sz val="10"/>
        <rFont val="Arial"/>
        <family val="0"/>
        <charset val="1"/>
      </rPr>
      <t xml:space="preserve">D. 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 </t>
    </r>
    <r>
      <rPr>
        <b val="true"/>
        <sz val="10"/>
        <rFont val="Noto Sans CJK SC"/>
        <family val="2"/>
      </rPr>
      <t xml:space="preserve">基準，</t>
    </r>
    <r>
      <rPr>
        <b val="true"/>
        <sz val="10"/>
        <rFont val="Arial"/>
        <family val="0"/>
        <charset val="1"/>
      </rPr>
      <t xml:space="preserve">R2 </t>
    </r>
    <r>
      <rPr>
        <b val="true"/>
        <sz val="10"/>
        <rFont val="Noto Sans CJK SC"/>
        <family val="2"/>
      </rPr>
      <t xml:space="preserve">並列；</t>
    </r>
    <r>
      <rPr>
        <b val="true"/>
        <sz val="10"/>
        <rFont val="Arial"/>
        <family val="0"/>
        <charset val="1"/>
      </rPr>
      <t xml:space="preserve">A7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</si>
  <si>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）研發算力占比＝研發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路線見 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</si>
  <si>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，免費服務算作產品改良）＝（研發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為支出路線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AL_ServeGWSpend × AL_FreeSpendShare</t>
    </r>
    <r>
      <rPr>
        <sz val="10"/>
        <color rgb="FF000000"/>
        <rFont val="Noto Sans CJK SC"/>
        <family val="2"/>
      </rPr>
      <t xml:space="preserve">（支出口徑；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，比照 </t>
    </r>
    <r>
      <rPr>
        <sz val="10"/>
        <color rgb="FF000000"/>
        <rFont val="Arial"/>
        <family val="0"/>
        <charset val="1"/>
      </rPr>
      <t xml:space="preserve">L5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</si>
  <si>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研發算力成本占比＝研發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持有成本＋服務持有成本）；服務持有成本為支出路線＝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</si>
  <si>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利用率不進入成本占比（</t>
    </r>
    <r>
      <rPr>
        <sz val="9"/>
        <color rgb="FF595959"/>
        <rFont val="Arial"/>
        <family val="0"/>
        <charset val="1"/>
      </rPr>
      <t xml:space="preserve">A5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</si>
  <si>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；成長情境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</si>
  <si>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（成長情境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；支出路線）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</si>
  <si>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</t>
    </r>
  </si>
  <si>
    <r>
      <rPr>
        <sz val="10"/>
        <color rgb="FF000000"/>
        <rFont val="Noto Sans CJK SC"/>
        <family val="2"/>
      </rPr>
      <t xml:space="preserve">缺口：無參數（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</si>
  <si>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不設公式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</si>
  <si>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校準反推（</t>
    </r>
    <r>
      <rPr>
        <b val="true"/>
        <sz val="10"/>
        <rFont val="Arial"/>
        <family val="0"/>
        <charset val="1"/>
      </rPr>
      <t xml:space="preserve">A3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支出比不用來校準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，只反推隱含 </t>
    </r>
    <r>
      <rPr>
        <b val="true"/>
        <sz val="10"/>
        <rFont val="Arial"/>
        <family val="0"/>
        <charset val="1"/>
      </rPr>
      <t xml:space="preserve">N × k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</si>
  <si>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支出比＝訓練支出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（推論支出＋訓練支出）</t>
    </r>
  </si>
  <si>
    <r>
      <rPr>
        <sz val="9"/>
        <color rgb="FF595959"/>
        <rFont val="Arial"/>
        <family val="0"/>
        <charset val="1"/>
      </rPr>
      <t xml:space="preserve">SRC_DEM_006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SRC_DEM_006</t>
    </r>
    <r>
      <rPr>
        <sz val="9"/>
        <color rgb="FF595959"/>
        <rFont val="Noto Sans CJK SC"/>
        <family val="2"/>
      </rPr>
      <t xml:space="preserve">）（約 </t>
    </r>
    <r>
      <rPr>
        <sz val="9"/>
        <color rgb="FF595959"/>
        <rFont val="Arial"/>
        <family val="0"/>
        <charset val="1"/>
      </rPr>
      <t xml:space="preserve">58.8%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</si>
  <si>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＝支出比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支出比）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（支出路線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</si>
  <si>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（以家族計畫當量）＝隱含研發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</si>
  <si>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落差＝隱含 </t>
    </r>
    <r>
      <rPr>
        <sz val="10"/>
        <color rgb="FF000000"/>
        <rFont val="Arial"/>
        <family val="0"/>
        <charset val="1"/>
      </rPr>
      <t xml:space="preserve">N × k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家族） 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</si>
  <si>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相對 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基準的規模落差：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表示基準 </t>
    </r>
    <r>
      <rPr>
        <sz val="9"/>
        <color rgb="FF595959"/>
        <rFont val="Arial"/>
        <family val="0"/>
        <charset val="1"/>
      </rPr>
      <t xml:space="preserve">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已吻合支出比</t>
    </r>
  </si>
  <si>
    <r>
      <rPr>
        <b val="true"/>
        <sz val="10"/>
        <rFont val="Arial"/>
        <family val="0"/>
        <charset val="1"/>
      </rPr>
      <t xml:space="preserve">F. </t>
    </r>
    <r>
      <rPr>
        <b val="true"/>
        <sz val="10"/>
        <rFont val="Noto Sans CJK SC"/>
        <family val="2"/>
      </rPr>
      <t xml:space="preserve">外部對照（同時寫入 </t>
    </r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；支出路線與 </t>
    </r>
    <r>
      <rPr>
        <b val="true"/>
        <sz val="10"/>
        <rFont val="Arial"/>
        <family val="0"/>
        <charset val="1"/>
      </rPr>
      <t xml:space="preserve">SRC_DEM_013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</si>
  <si>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</si>
  <si>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單位：</t>
    </r>
    <r>
      <rPr>
        <sz val="9"/>
        <color rgb="FF595959"/>
        <rFont val="Arial"/>
        <family val="0"/>
        <charset val="1"/>
      </rPr>
      <t xml:space="preserve">$B ÷ ($B/GW/</t>
    </r>
    <r>
      <rPr>
        <sz val="9"/>
        <color rgb="FF595959"/>
        <rFont val="Noto Sans CJK SC"/>
        <family val="2"/>
      </rPr>
      <t xml:space="preserve">年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（不乘 </t>
    </r>
    <r>
      <rPr>
        <sz val="9"/>
        <color rgb="FF595959"/>
        <rFont val="Arial"/>
        <family val="0"/>
        <charset val="1"/>
      </rPr>
      <t xml:space="preserve">1e9</t>
    </r>
    <r>
      <rPr>
        <sz val="9"/>
        <color rgb="FF595959"/>
        <rFont val="Noto Sans CJK SC"/>
        <family val="2"/>
      </rPr>
      <t xml:space="preserve">；工作單 </t>
    </r>
    <r>
      <rPr>
        <sz val="9"/>
        <color rgb="FF595959"/>
        <rFont val="Arial"/>
        <family val="0"/>
        <charset val="1"/>
      </rPr>
      <t xml:space="preserve">r3 </t>
    </r>
    <r>
      <rPr>
        <sz val="9"/>
        <color rgb="FF595959"/>
        <rFont val="Noto Sans CJK SC"/>
        <family val="2"/>
      </rPr>
      <t xml:space="preserve">更正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chat 2026-10-04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v5.29 X14 (k)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SRC_DEM_004 → SRC_DEM_018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v5.36 B1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SRC_DEM_018 → SRC_DEM_004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8.4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7.5–8.8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</si>
  <si>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推論（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</si>
  <si>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9"/>
        <color rgb="FF595959"/>
        <rFont val="Noto Sans CJK SC"/>
        <family val="2"/>
      </rPr>
      <t xml:space="preserve">顯示用，不被任何公式引用。</t>
    </r>
    <r>
      <rPr>
        <sz val="9"/>
        <color rgb="FF595959"/>
        <rFont val="Arial"/>
        <family val="0"/>
        <charset val="1"/>
      </rPr>
      <t xml:space="preserve">Microsoft </t>
    </r>
    <r>
      <rPr>
        <sz val="9"/>
        <color rgb="FF595959"/>
        <rFont val="Noto Sans CJK SC"/>
        <family val="2"/>
      </rPr>
      <t xml:space="preserve">稱為推論的 </t>
    </r>
    <r>
      <rPr>
        <sz val="9"/>
        <color rgb="FF595959"/>
        <rFont val="Arial"/>
        <family val="0"/>
        <charset val="1"/>
      </rPr>
      <t xml:space="preserve">126 </t>
    </r>
    <r>
      <rPr>
        <sz val="9"/>
        <color rgb="FF595959"/>
        <rFont val="Noto Sans CJK SC"/>
        <family val="2"/>
      </rPr>
      <t xml:space="preserve">億中，約一半未進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營業成本，最可能是研究用推論列在研發（</t>
    </r>
    <r>
      <rPr>
        <sz val="9"/>
        <color rgb="FF595959"/>
        <rFont val="Arial"/>
        <family val="0"/>
        <charset val="1"/>
      </rPr>
      <t xml:space="preserve">v5.36A </t>
    </r>
    <r>
      <rPr>
        <sz val="9"/>
        <color rgb="FF595959"/>
        <rFont val="Noto Sans CJK SC"/>
        <family val="2"/>
      </rPr>
      <t xml:space="preserve">補充第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節）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</si>
  <si>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C71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</si>
  <si>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免費服務算力占比（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</t>
    </r>
  </si>
  <si>
    <r>
      <rPr>
        <sz val="10"/>
        <color rgb="FF000000"/>
        <rFont val="Noto Sans CJK SC"/>
        <family val="2"/>
      </rPr>
      <t xml:space="preserve">免費推論支出占比（支出口徑）＝</t>
    </r>
    <r>
      <rPr>
        <sz val="10"/>
        <color rgb="FF000000"/>
        <rFont val="Arial"/>
        <family val="0"/>
        <charset val="1"/>
      </rPr>
      <t xml:space="preserve">SRC_DEM_005 ÷ SRC_DEM_004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</si>
  <si>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低（</t>
    </r>
    <r>
      <rPr>
        <sz val="10"/>
        <color rgb="FF000000"/>
        <rFont val="Arial"/>
        <family val="0"/>
        <charset val="1"/>
      </rPr>
      <t xml:space="preserve">SRC_DEM_013_Lo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</si>
  <si>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高（</t>
    </r>
    <r>
      <rPr>
        <sz val="10"/>
        <color rgb="FF000000"/>
        <rFont val="Arial"/>
        <family val="0"/>
        <charset val="1"/>
      </rPr>
      <t xml:space="preserve">SRC_DEM_013_Hi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</si>
  <si>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合計是否在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區間內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</si>
  <si>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敏感度表（一次動一個輸入，取區間低與高；每列以閉式公式重寫 </t>
    </r>
    <r>
      <rPr>
        <b val="true"/>
        <sz val="10"/>
        <rFont val="Arial"/>
        <family val="0"/>
        <charset val="1"/>
      </rPr>
      <t xml:space="preserve">A–D </t>
    </r>
    <r>
      <rPr>
        <b val="true"/>
        <sz val="10"/>
        <rFont val="Noto Sans CJK SC"/>
        <family val="2"/>
      </rPr>
      <t xml:space="preserve">節推導鏈；端點值引用 </t>
    </r>
    <r>
      <rPr>
        <b val="true"/>
        <sz val="10"/>
        <rFont val="Arial"/>
        <family val="0"/>
        <charset val="1"/>
      </rPr>
      <t xml:space="preserve">Alloc_In </t>
    </r>
    <r>
      <rPr>
        <b val="true"/>
        <sz val="10"/>
        <rFont val="Noto Sans CJK SC"/>
        <family val="2"/>
      </rPr>
      <t xml:space="preserve">的區間格）</t>
    </r>
  </si>
  <si>
    <r>
      <rPr>
        <sz val="9"/>
        <color rgb="FF595959"/>
        <rFont val="Noto Sans CJK SC"/>
        <family val="2"/>
      </rPr>
      <t xml:space="preserve">左側 </t>
    </r>
    <r>
      <rPr>
        <sz val="9"/>
        <color rgb="FF595959"/>
        <rFont val="Arial"/>
        <family val="0"/>
        <charset val="1"/>
      </rPr>
      <t xml:space="preserve">C–L </t>
    </r>
    <r>
      <rPr>
        <sz val="9"/>
        <color rgb="FF595959"/>
        <rFont val="Noto Sans CJK SC"/>
        <family val="2"/>
      </rPr>
      <t xml:space="preserve">為該列輸入；</t>
    </r>
    <r>
      <rPr>
        <sz val="9"/>
        <color rgb="FF595959"/>
        <rFont val="Arial"/>
        <family val="0"/>
        <charset val="1"/>
      </rPr>
      <t xml:space="preserve">M–W </t>
    </r>
    <r>
      <rPr>
        <sz val="9"/>
        <color rgb="FF595959"/>
        <rFont val="Noto Sans CJK SC"/>
        <family val="2"/>
      </rPr>
      <t xml:space="preserve">為推導鏈（</t>
    </r>
    <r>
      <rPr>
        <sz val="9"/>
        <color rgb="FF595959"/>
        <rFont val="Arial"/>
        <family val="0"/>
        <charset val="1"/>
      </rPr>
      <t xml:space="preserve">M–Q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路線診斷；</t>
    </r>
    <r>
      <rPr>
        <sz val="9"/>
        <color rgb="FF595959"/>
        <rFont val="Arial"/>
        <family val="0"/>
        <charset val="1"/>
      </rPr>
      <t xml:space="preserve">W </t>
    </r>
    <r>
      <rPr>
        <sz val="9"/>
        <color rgb="FF595959"/>
        <rFont val="Noto Sans CJK SC"/>
        <family val="2"/>
      </rPr>
      <t xml:space="preserve">為支出路線服務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 </t>
    </r>
    <r>
      <rPr>
        <sz val="9"/>
        <color rgb="FF595959"/>
        <rFont val="Noto Sans CJK SC"/>
        <family val="2"/>
      </rPr>
      <t xml:space="preserve">讀它，</t>
    </r>
    <r>
      <rPr>
        <sz val="9"/>
        <color rgb="FF595959"/>
        <rFont val="Arial"/>
        <family val="0"/>
        <charset val="1"/>
      </rPr>
      <t xml:space="preserve">v8.0 D14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為自我檢查（同一公式、輸入全改回基準，須等於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＝通過）。不使用運算列表，也不在 </t>
    </r>
    <r>
      <rPr>
        <sz val="9"/>
        <color rgb="FF595959"/>
        <rFont val="Arial"/>
        <family val="0"/>
        <charset val="1"/>
      </rPr>
      <t xml:space="preserve">Python </t>
    </r>
    <r>
      <rPr>
        <sz val="9"/>
        <color rgb="FF595959"/>
        <rFont val="Noto Sans CJK SC"/>
        <family val="2"/>
      </rPr>
      <t xml:space="preserve">端計算。</t>
    </r>
  </si>
  <si>
    <t xml:space="preserve">動的輸入</t>
  </si>
  <si>
    <t xml:space="preserve">N_major</t>
  </si>
  <si>
    <t xml:space="preserve">N_refresh</t>
  </si>
  <si>
    <t xml:space="preserve">k</t>
  </si>
  <si>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比例</t>
    </r>
  </si>
  <si>
    <r>
      <rPr>
        <b val="true"/>
        <sz val="10"/>
        <rFont val="Noto Sans CJK SC"/>
        <family val="2"/>
      </rPr>
      <t xml:space="preserve">每則 </t>
    </r>
    <r>
      <rPr>
        <b val="true"/>
        <sz val="10"/>
        <rFont val="Arial"/>
        <family val="0"/>
        <charset val="1"/>
      </rPr>
      <t xml:space="preserve">token</t>
    </r>
  </si>
  <si>
    <t xml:space="preserve">免費占比</t>
  </si>
  <si>
    <t xml:space="preserve">Hopper</t>
  </si>
  <si>
    <t xml:space="preserve">GB200</t>
  </si>
  <si>
    <t xml:space="preserve">GB300</t>
  </si>
  <si>
    <t xml:space="preserve">VR200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</si>
  <si>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D</t>
    </r>
  </si>
  <si>
    <r>
      <rPr>
        <b val="true"/>
        <sz val="10"/>
        <rFont val="Noto Sans CJK SC"/>
        <family val="2"/>
      </rPr>
      <t xml:space="preserve">免費 </t>
    </r>
    <r>
      <rPr>
        <b val="true"/>
        <sz val="10"/>
        <rFont val="Arial"/>
        <family val="0"/>
        <charset val="1"/>
      </rPr>
      <t xml:space="preserve">D</t>
    </r>
  </si>
  <si>
    <t xml:space="preserve">付費產能</t>
  </si>
  <si>
    <t xml:space="preserve">免費產能</t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</si>
  <si>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</si>
  <si>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Noto Sans CJK SC"/>
        <family val="2"/>
      </rPr>
      <t xml:space="preserve">研發 </t>
    </r>
    <r>
      <rPr>
        <b val="true"/>
        <sz val="10"/>
        <rFont val="Arial"/>
        <family val="0"/>
        <charset val="1"/>
      </rPr>
      <t xml:space="preserve">GW</t>
    </r>
  </si>
  <si>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R1</t>
    </r>
    <r>
      <rPr>
        <b val="true"/>
        <sz val="10"/>
        <rFont val="Noto Sans CJK SC"/>
        <family val="2"/>
      </rPr>
      <t xml:space="preserve">）</t>
    </r>
  </si>
  <si>
    <t xml:space="preserve">Q2</t>
  </si>
  <si>
    <r>
      <rPr>
        <b val="true"/>
        <sz val="10"/>
        <rFont val="Noto Sans CJK SC"/>
        <family val="2"/>
      </rPr>
      <t xml:space="preserve">研發算力成本 </t>
    </r>
    <r>
      <rPr>
        <b val="true"/>
        <sz val="10"/>
        <rFont val="Arial"/>
        <family val="0"/>
        <charset val="1"/>
      </rPr>
      <t xml:space="preserve">$B</t>
    </r>
  </si>
  <si>
    <r>
      <rPr>
        <b val="true"/>
        <sz val="10"/>
        <rFont val="Noto Sans CJK SC"/>
        <family val="2"/>
      </rPr>
      <t xml:space="preserve">每日 </t>
    </r>
    <r>
      <rPr>
        <b val="true"/>
        <sz val="10"/>
        <rFont val="Arial"/>
        <family val="0"/>
        <charset val="1"/>
      </rPr>
      <t xml:space="preserve">T tok</t>
    </r>
  </si>
  <si>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（支出路線）</t>
    </r>
  </si>
  <si>
    <t xml:space="preserve">自我檢查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</si>
  <si>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F81:V81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</si>
  <si>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</si>
  <si>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F82:V82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</si>
  <si>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</si>
  <si>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F83:V83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</si>
  <si>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</si>
  <si>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F84:V84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</si>
  <si>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</si>
  <si>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F85:V85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</si>
  <si>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</si>
  <si>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F86:V86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</si>
  <si>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</si>
  <si>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F87:V87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</si>
  <si>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</si>
  <si>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</si>
  <si>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</si>
  <si>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V89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</si>
  <si>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低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</si>
  <si>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</si>
  <si>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F90:V90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</si>
  <si>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 高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</si>
  <si>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F91:V91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</si>
  <si>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</si>
  <si>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F92:V92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</si>
  <si>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免費占比 高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</si>
  <si>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F93:V93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</si>
  <si>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GB200</t>
    </r>
  </si>
  <si>
    <t xml:space="preserve">世代組合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</si>
  <si>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F94:V94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</si>
  <si>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10"/>
        <color rgb="FF000000"/>
        <rFont val="Noto Sans CJK SC"/>
        <family val="2"/>
      </rPr>
      <t xml:space="preserve">服務世代組合：全 </t>
    </r>
    <r>
      <rPr>
        <sz val="10"/>
        <color rgb="FF000000"/>
        <rFont val="Arial"/>
        <family val="0"/>
        <charset val="1"/>
      </rPr>
      <t xml:space="preserve">VR200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</si>
  <si>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F95:V95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</si>
  <si>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檢查：基準（輸入全為基準）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</si>
  <si>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F97:V97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</si>
  <si>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</si>
  <si>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F98:V98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</si>
  <si>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N_major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</si>
  <si>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F99:V99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</si>
  <si>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</si>
  <si>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F100:V100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</si>
  <si>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N_refresh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</si>
  <si>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F101:V101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</si>
  <si>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低（輸入全為基準）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</si>
  <si>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F102:V102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</si>
  <si>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</si>
  <si>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F103:V103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</si>
  <si>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低（輸入全為基準）</t>
    </r>
  </si>
  <si>
    <r>
      <rPr>
        <sz val="9"/>
        <color rgb="FF595959"/>
        <rFont val="Noto Sans CJK SC"/>
        <family val="2"/>
      </rPr>
      <t xml:space="preserve">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</si>
  <si>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F104:V104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</si>
  <si>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檢查：每則提示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</si>
  <si>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F105:V105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</si>
  <si>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低（輸入全為基準）</t>
    </r>
  </si>
  <si>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</si>
  <si>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F106:V106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</si>
  <si>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</t>
    </r>
    <r>
      <rPr>
        <sz val="9"/>
        <color rgb="FF595959"/>
        <rFont val="Arial"/>
        <family val="0"/>
        <charset val="1"/>
      </rPr>
      <t xml:space="preserve">API </t>
    </r>
    <r>
      <rPr>
        <sz val="9"/>
        <color rgb="FF595959"/>
        <rFont val="Noto Sans CJK SC"/>
        <family val="2"/>
      </rPr>
      <t xml:space="preserve">全年平均比例 高（輸入全為基準）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</si>
  <si>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F107:V107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</si>
  <si>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低（輸入全為基準）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</si>
  <si>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F108:V108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</si>
  <si>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t xml:space="preserve">檢查：免費占比 高（輸入全為基準）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</si>
  <si>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F109:V109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</si>
  <si>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</si>
  <si>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F110:V110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</si>
  <si>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sz val="9"/>
        <color rgb="FF595959"/>
        <rFont val="Noto Sans CJK SC"/>
        <family val="2"/>
      </rPr>
      <t xml:space="preserve">檢查：服務世代組合：全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（輸入全為基準）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</si>
  <si>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F111:V111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節敏感度表；閉式重寫 </t>
    </r>
    <r>
      <rPr>
        <sz val="9"/>
        <color rgb="FF595959"/>
        <rFont val="Arial"/>
        <family val="0"/>
        <charset val="1"/>
      </rPr>
      <t xml:space="preserve">A–D </t>
    </r>
    <r>
      <rPr>
        <sz val="9"/>
        <color rgb="FF595959"/>
        <rFont val="Noto Sans CJK SC"/>
        <family val="2"/>
      </rPr>
      <t xml:space="preserve">推導鏈）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</si>
  <si>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生產折減下的付費產能比（</t>
    </r>
    <r>
      <rPr>
        <b val="true"/>
        <sz val="10"/>
        <rFont val="Arial"/>
        <family val="0"/>
        <charset val="1"/>
      </rPr>
      <t xml:space="preserve">v6.0 D7-2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）：以 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後的付費產能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基準；取代線性的 </t>
    </r>
    <r>
      <rPr>
        <b val="true"/>
        <sz val="1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</si>
  <si>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年付費產能（生產折減；重解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）＝基準產能 </t>
    </r>
    <r>
      <rPr>
        <sz val="10"/>
        <color rgb="FF000000"/>
        <rFont val="Arial"/>
        <family val="0"/>
        <charset val="1"/>
      </rPr>
      <t xml:space="preserve">× Fleet_1GW_Prod ÷ Fleet_1GW </t>
    </r>
    <r>
      <rPr>
        <sz val="10"/>
        <color rgb="FF000000"/>
        <rFont val="Noto Sans CJK SC"/>
        <family val="2"/>
      </rPr>
      <t xml:space="preserve">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</si>
  <si>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總量同式於 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列（兩邊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配置相同，比值即每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產能比）</t>
    </r>
  </si>
  <si>
    <r>
      <rPr>
        <sz val="10"/>
        <color rgb="FF000000"/>
        <rFont val="Noto Sans CJK SC"/>
        <family val="2"/>
      </rPr>
      <t xml:space="preserve">世代組合後每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年付費產能（生產折減）＝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各世代產能（只含可服務世代，占比重新正規化）</t>
    </r>
  </si>
  <si>
    <r>
      <rPr>
        <sz val="10"/>
        <color rgb="FF000000"/>
        <rFont val="Noto Sans CJK SC"/>
        <family val="2"/>
      </rPr>
      <t xml:space="preserve">付費產能比（生產折減重解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基準）　→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列「利用率修正（上限）」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</si>
  <si>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世代組合下約 </t>
    </r>
    <r>
      <rPr>
        <sz val="9"/>
        <color rgb="FF595959"/>
        <rFont val="Arial"/>
        <family val="0"/>
        <charset val="1"/>
      </rPr>
      <t xml:space="preserve">0.712</t>
    </r>
    <r>
      <rPr>
        <sz val="9"/>
        <color rgb="FF595959"/>
        <rFont val="Noto Sans CJK SC"/>
        <family val="2"/>
      </rPr>
      <t xml:space="preserve">（線性 </t>
    </r>
    <r>
      <rPr>
        <sz val="9"/>
        <color rgb="FF595959"/>
        <rFont val="Arial"/>
        <family val="0"/>
        <charset val="1"/>
      </rPr>
      <t xml:space="preserve">CTL_ProdDerate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0.85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下限 ∝ </t>
    </r>
    <r>
      <rPr>
        <sz val="9"/>
        <color rgb="FF595959"/>
        <rFont val="Arial"/>
        <family val="0"/>
        <charset val="1"/>
      </rPr>
      <t xml:space="preserve">1 ÷ </t>
    </r>
    <r>
      <rPr>
        <sz val="9"/>
        <color rgb="FF595959"/>
        <rFont val="Noto Sans CJK SC"/>
        <family val="2"/>
      </rPr>
      <t xml:space="preserve">此比</t>
    </r>
  </si>
  <si>
    <r>
      <rPr>
        <b val="true"/>
        <sz val="10"/>
        <rFont val="Arial"/>
        <family val="0"/>
        <charset val="1"/>
      </rPr>
      <t xml:space="preserve">I. </t>
    </r>
    <r>
      <rPr>
        <b val="true"/>
        <sz val="10"/>
        <rFont val="Noto Sans CJK SC"/>
        <family val="2"/>
      </rPr>
      <t xml:space="preserve">機隊口徑混合有效單價（</t>
    </r>
    <r>
      <rPr>
        <b val="true"/>
        <sz val="10"/>
        <rFont val="Arial"/>
        <family val="0"/>
        <charset val="1"/>
      </rPr>
      <t xml:space="preserve">v6.3 K1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＝服務世代 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）：與機隊付費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配對的單價，層級權重只在可達層級間重新正規化（同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節），世代間以付費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占比（世代占比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各世代付費產能）加權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</si>
  <si>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該層級參考單價）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</si>
  <si>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B4_MixPaid × IF_PriceRef_*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以前基準下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欄排除 </t>
    </r>
    <r>
      <rPr>
        <sz val="9"/>
        <color rgb="FF595959"/>
        <rFont val="Arial"/>
        <family val="0"/>
        <charset val="1"/>
      </rPr>
      <t xml:space="preserve">Astra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不可達）；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產能，基準下全層級可達，等於第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κ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</si>
  <si>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機隊口徑混合有效單價＝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各世代付費產能）＝ 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的平均單價（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與回本比較改讀 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年度單價）</t>
    </r>
  </si>
  <si>
    <r>
      <rPr>
        <sz val="9"/>
        <color rgb="FF595959"/>
        <rFont val="Noto Sans CJK SC"/>
        <family val="2"/>
      </rPr>
      <t xml:space="preserve">分子分母同為可達層級、可服務世代；與 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的機隊付費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加權）同口徑。全層級可達時等於 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</si>
  <si>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對照：完整層級組合混合有效單價（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列；需求路線的模型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用此價）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</si>
  <si>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C121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</si>
  <si>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機隊口徑單價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完整層級組合單價（</t>
    </r>
    <r>
      <rPr>
        <sz val="10"/>
        <color rgb="FF000000"/>
        <rFont val="Arial"/>
        <family val="0"/>
        <charset val="1"/>
      </rPr>
      <t xml:space="preserve">&lt;1</t>
    </r>
    <r>
      <rPr>
        <sz val="10"/>
        <color rgb="FF000000"/>
        <rFont val="Noto Sans CJK SC"/>
        <family val="2"/>
      </rPr>
      <t xml:space="preserve">：被排除的層級單價較高）</t>
    </r>
  </si>
  <si>
    <r>
      <rPr>
        <sz val="10"/>
        <color rgb="FF000000"/>
        <rFont val="Noto Sans CJK SC"/>
        <family val="2"/>
      </rPr>
      <t xml:space="preserve">不可用文字（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因整代不可達而為文字時＝「整代不可達」，否則「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不可達」；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的機隊閉合名稱以它取代寫死的「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不可達」，使旗標一路傳到下游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</si>
  <si>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v8.0 L3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）：研發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年與研發持有成本依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研發世代組合（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）加權；各世代以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占比計，家族／改版計畫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年取調和加權（固定算力需求在各世代上的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 ＝ </t>
    </r>
    <r>
      <rPr>
        <b val="true"/>
        <sz val="10"/>
        <rFont val="Arial"/>
        <family val="0"/>
        <charset val="1"/>
      </rPr>
      <t xml:space="preserve">1 ÷ Σ</t>
    </r>
    <r>
      <rPr>
        <b val="true"/>
        <sz val="10"/>
        <rFont val="Noto Sans CJK SC"/>
        <family val="2"/>
      </rPr>
      <t xml:space="preserve">（占比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該世代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年），同服務側產能加權），持有成本取占比加權；不可達世代依 </t>
    </r>
    <r>
      <rPr>
        <b val="true"/>
        <sz val="10"/>
        <rFont val="Arial"/>
        <family val="0"/>
        <charset val="1"/>
      </rPr>
      <t xml:space="preserve">D8 </t>
    </r>
    <r>
      <rPr>
        <b val="true"/>
        <sz val="10"/>
        <rFont val="Noto Sans CJK SC"/>
        <family val="2"/>
      </rPr>
      <t xml:space="preserve">排除並重新正規化，被排除占比另列</t>
    </r>
  </si>
  <si>
    <r>
      <rPr>
        <sz val="10"/>
        <color rgb="FF000000"/>
        <rFont val="Noto Sans CJK SC"/>
        <family val="2"/>
      </rPr>
      <t xml:space="preserve">研發世代組合占比（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</si>
  <si>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IF_ProgGWyr_Luna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</si>
  <si>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IF_ProgGWyr_Sol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</si>
  <si>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IF_ProgGWyr_Astra</t>
    </r>
    <r>
      <rPr>
        <sz val="10"/>
        <color rgb="FF000000"/>
        <rFont val="Noto Sans CJK SC"/>
        <family val="2"/>
      </rPr>
      <t xml:space="preserve">；各世代；含研發倍數）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</si>
  <si>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</si>
  <si>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</si>
  <si>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 —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（後訓練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）；各世代）</t>
    </r>
  </si>
  <si>
    <r>
      <rPr>
        <sz val="10"/>
        <color rgb="FF000000"/>
        <rFont val="Noto Sans CJK SC"/>
        <family val="2"/>
      </rPr>
      <t xml:space="preserve">可用於研發（三個層級的家族與改版計畫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年皆為數值＝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；否則排除，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</t>
    </r>
  </si>
  <si>
    <t xml:space="preserve">研發組合中可用世代的占比合計（重新正規化的分母）</t>
  </si>
  <si>
    <t xml:space="preserve">被排除的研發組合占比（世代的家族或改版計畫不可達）</t>
  </si>
  <si>
    <r>
      <rPr>
        <sz val="9"/>
        <color rgb="FF595959"/>
        <rFont val="Arial"/>
        <family val="0"/>
        <charset val="1"/>
      </rPr>
      <t xml:space="preserve">D8</t>
    </r>
    <r>
      <rPr>
        <sz val="9"/>
        <color rgb="FF595959"/>
        <rFont val="Noto Sans CJK SC"/>
        <family val="2"/>
      </rPr>
      <t xml:space="preserve">：不可達＝不可用，排除並重新正規化，不靜默；基準為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</si>
  <si>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color rgb="FF000000"/>
        <rFont val="Noto Sans CJK SC"/>
        <family val="2"/>
      </rPr>
      <t xml:space="preserve">研發世代權重（重新正規化後；不可用世代為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</si>
  <si>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年（研發組合加權；每層級 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（權重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年）；→ 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</si>
  <si>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F138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</si>
  <si>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年（研發組合加權；調和；→ 第 </t>
    </r>
    <r>
      <rPr>
        <sz val="10"/>
        <color rgb="FF000000"/>
        <rFont val="Arial"/>
        <family val="0"/>
        <charset val="1"/>
      </rPr>
      <t xml:space="preserve">49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</si>
  <si>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F139</t>
    </r>
    <r>
      <rPr>
        <sz val="9"/>
        <color rgb="FF595959"/>
        <rFont val="Noto Sans CJK SC"/>
        <family val="2"/>
      </rPr>
      <t xml:space="preserve">（同表其他世代／層級欄）</t>
    </r>
  </si>
  <si>
    <r>
      <rPr>
        <sz val="10"/>
        <color rgb="FF000000"/>
        <rFont val="Noto Sans CJK SC"/>
        <family val="2"/>
      </rPr>
      <t xml:space="preserve">研發世代每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；→ 第 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</si>
  <si>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對照：單一訓練世代（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）家族計畫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</si>
  <si>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C141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</si>
  <si>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對照：單一訓練世代改版計畫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口徑；第 </t>
    </r>
    <r>
      <rPr>
        <sz val="10"/>
        <color rgb="FF000000"/>
        <rFont val="Arial"/>
        <family val="0"/>
        <charset val="1"/>
      </rPr>
      <t xml:space="preserve">47–48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</si>
  <si>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C142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</si>
  <si>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對照：研發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年（單一訓練世代口徑，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</si>
  <si>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C143</t>
    </r>
    <r>
      <rPr>
        <sz val="9"/>
        <color rgb="FF595959"/>
        <rFont val="Noto Sans CJK SC"/>
        <family val="2"/>
      </rPr>
      <t xml:space="preserve">（對照列；標明口徑）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</si>
  <si>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單一訓練世代口徑</t>
    </r>
  </si>
  <si>
    <r>
      <rPr>
        <sz val="9"/>
        <color rgb="FF595959"/>
        <rFont val="Noto Sans CJK SC"/>
        <family val="2"/>
      </rPr>
      <t xml:space="preserve">研發改用較舊世代（每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產出較低）→ 同樣的算力需求占用更多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年，比值 </t>
    </r>
    <r>
      <rPr>
        <sz val="9"/>
        <color rgb="FF595959"/>
        <rFont val="Arial"/>
        <family val="0"/>
        <charset val="1"/>
      </rPr>
      <t xml:space="preserve">&gt; 1</t>
    </r>
  </si>
  <si>
    <r>
      <rPr>
        <sz val="10"/>
        <color rgb="FF000000"/>
        <rFont val="Noto Sans CJK SC"/>
        <family val="2"/>
      </rPr>
      <t xml:space="preserve">研發持有成本（研發組合）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訓練世代（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）持有成本</t>
    </r>
  </si>
  <si>
    <r>
      <rPr>
        <b val="true"/>
        <sz val="10"/>
        <rFont val="Arial"/>
        <family val="0"/>
        <charset val="1"/>
      </rPr>
      <t xml:space="preserve">K. 2025 </t>
    </r>
    <r>
      <rPr>
        <b val="true"/>
        <sz val="10"/>
        <rFont val="Noto Sans CJK SC"/>
        <family val="2"/>
      </rPr>
      <t xml:space="preserve">年度單價與機隊損益兩平（</t>
    </r>
    <r>
      <rPr>
        <b val="true"/>
        <sz val="10"/>
        <rFont val="Arial"/>
        <family val="0"/>
        <charset val="1"/>
      </rPr>
      <t xml:space="preserve">v8.0 L1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；欄 </t>
    </r>
    <r>
      <rPr>
        <b val="true"/>
        <sz val="10"/>
        <rFont val="Arial"/>
        <family val="0"/>
        <charset val="1"/>
      </rPr>
      <t xml:space="preserve">C–F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層級單價（</t>
    </r>
    <r>
      <rPr>
        <b val="true"/>
        <sz val="10"/>
        <rFont val="Arial"/>
        <family val="0"/>
        <charset val="1"/>
      </rPr>
      <t xml:space="preserve">Cap_In M </t>
    </r>
    <r>
      <rPr>
        <b val="true"/>
        <sz val="10"/>
        <rFont val="Noto Sans CJK SC"/>
        <family val="2"/>
      </rPr>
      <t xml:space="preserve">節）依 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的可達層級重新正規化；機隊損益兩平＝服務世代組合持有成本 </t>
    </r>
    <r>
      <rPr>
        <b val="true"/>
        <sz val="10"/>
        <rFont val="Arial"/>
        <family val="0"/>
        <charset val="1"/>
      </rPr>
      <t xml:space="preserve">÷ 2025 </t>
    </r>
    <r>
      <rPr>
        <b val="true"/>
        <sz val="10"/>
        <rFont val="Noto Sans CJK SC"/>
        <family val="2"/>
      </rPr>
      <t xml:space="preserve">單價下的每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</si>
  <si>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各世代付費 </t>
    </r>
    <r>
      <rPr>
        <sz val="10"/>
        <color rgb="FF000000"/>
        <rFont val="Arial"/>
        <family val="0"/>
        <charset val="1"/>
      </rPr>
      <t xml:space="preserve">token 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（可達層級的付費組合權重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該層級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可達層級權重合計（全不可達的世代為文字）</t>
    </r>
  </si>
  <si>
    <r>
      <rPr>
        <sz val="9"/>
        <color rgb="FF595959"/>
        <rFont val="Noto Sans CJK SC"/>
        <family val="2"/>
      </rPr>
      <t xml:space="preserve">與第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快照）同一組可達層級；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起基準下全層級可達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</si>
  <si>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單價低端）</t>
    </r>
  </si>
  <si>
    <r>
      <rPr>
        <sz val="10"/>
        <color rgb="FF000000"/>
        <rFont val="Noto Sans CJK SC"/>
        <family val="2"/>
      </rPr>
      <t xml:space="preserve">同上（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單價高端）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</si>
  <si>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混合有效單價＝</t>
    </r>
    <r>
      <rPr>
        <sz val="10"/>
        <color rgb="FF000000"/>
        <rFont val="Arial"/>
        <family val="0"/>
        <charset val="1"/>
      </rPr>
      <t xml:space="preserve">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</t>
    </r>
    <r>
      <rPr>
        <sz val="10"/>
        <color rgb="FF000000"/>
        <rFont val="Arial"/>
        <family val="0"/>
        <charset val="1"/>
      </rPr>
      <t xml:space="preserve">÷ Σ</t>
    </r>
    <r>
      <rPr>
        <sz val="10"/>
        <color rgb="FF000000"/>
        <rFont val="Noto Sans CJK SC"/>
        <family val="2"/>
      </rPr>
      <t xml:space="preserve">（世代占比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各世代付費產能）；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高端　→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m_fleet</t>
    </r>
  </si>
  <si>
    <r>
      <rPr>
        <sz val="9"/>
        <color rgb="FF595959"/>
        <rFont val="Noto Sans CJK SC"/>
        <family val="2"/>
      </rPr>
      <t xml:space="preserve">分子分母同為可達層級、可服務世代，與機隊付費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AL_BlendPaid </t>
    </r>
    <r>
      <rPr>
        <sz val="9"/>
        <color rgb="FF595959"/>
        <rFont val="Noto Sans CJK SC"/>
        <family val="2"/>
      </rPr>
      <t xml:space="preserve">加權）同口徑；</t>
    </r>
    <r>
      <rPr>
        <sz val="9"/>
        <color rgb="FF595959"/>
        <rFont val="Arial"/>
        <family val="0"/>
        <charset val="1"/>
      </rPr>
      <t xml:space="preserve">H7 </t>
    </r>
    <r>
      <rPr>
        <sz val="9"/>
        <color rgb="FF595959"/>
        <rFont val="Noto Sans CJK SC"/>
        <family val="2"/>
      </rPr>
      <t xml:space="preserve">讀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欄</t>
    </r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</si>
  <si>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快照機隊口徑單價（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</si>
  <si>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單價）＝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（該世代基準欄）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2026 </t>
    </r>
    <r>
      <rPr>
        <sz val="10"/>
        <color rgb="FF000000"/>
        <rFont val="Noto Sans CJK SC"/>
        <family val="2"/>
      </rPr>
      <t xml:space="preserve">單價（同一組可達層級與付費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，只換單價；</t>
    </r>
    <r>
      <rPr>
        <sz val="10"/>
        <color rgb="FF000000"/>
        <rFont val="Arial"/>
        <family val="0"/>
        <charset val="1"/>
      </rPr>
      <t xml:space="preserve">IF_Util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</si>
  <si>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Fleet_1GW </t>
    </r>
    <r>
      <rPr>
        <sz val="9"/>
        <color rgb="FF595959"/>
        <rFont val="Noto Sans CJK SC"/>
        <family val="2"/>
      </rPr>
      <t xml:space="preserve">付費 </t>
    </r>
    <r>
      <rPr>
        <sz val="9"/>
        <color rgb="FF595959"/>
        <rFont val="Arial"/>
        <family val="0"/>
        <charset val="1"/>
      </rPr>
      <t xml:space="preserve">token × 2026 </t>
    </r>
    <r>
      <rPr>
        <sz val="9"/>
        <color rgb="FF595959"/>
        <rFont val="Noto Sans CJK SC"/>
        <family val="2"/>
      </rPr>
      <t xml:space="preserve">單價（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列），故可依單價比例換算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</si>
  <si>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低成本欄</t>
    </r>
  </si>
  <si>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 — 高成本欄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</si>
  <si>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付費營收（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單價；服務世代組合加權，只含可服務世代）</t>
    </r>
  </si>
  <si>
    <r>
      <rPr>
        <sz val="10"/>
        <color rgb="FF000000"/>
        <rFont val="Noto Sans CJK SC"/>
        <family val="2"/>
      </rPr>
      <t xml:space="preserve">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年持有成本（服務世代組合加權＝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AL_HoldGen</t>
    </r>
    <r>
      <rPr>
        <sz val="10"/>
        <color rgb="FF000000"/>
        <rFont val="Noto Sans CJK SC"/>
        <family val="2"/>
      </rPr>
      <t xml:space="preserve">，只含可服務世代）；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</t>
    </r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</si>
  <si>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）：令機隊營收＝持有成本所需的「利用率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基準、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低成本、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高成本　→ </t>
    </r>
    <r>
      <rPr>
        <sz val="10"/>
        <color rgb="FF000000"/>
        <rFont val="Arial"/>
        <family val="0"/>
        <charset val="1"/>
      </rPr>
      <t xml:space="preserve">L1_FleetBreakeven2025</t>
    </r>
  </si>
  <si>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截面）作為所需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的損益兩平；成本與營收同為服務世代組合（</t>
    </r>
    <r>
      <rPr>
        <sz val="9"/>
        <color rgb="FF595959"/>
        <rFont val="Arial"/>
        <family val="0"/>
        <charset val="1"/>
      </rPr>
      <t xml:space="preserve">Hopper 0.6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 0.4</t>
    </r>
    <r>
      <rPr>
        <sz val="9"/>
        <color rgb="FF595959"/>
        <rFont val="Noto Sans CJK SC"/>
        <family val="2"/>
      </rPr>
      <t xml:space="preserve">）、同為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單價</t>
    </r>
  </si>
  <si>
    <r>
      <rPr>
        <b val="true"/>
        <sz val="10"/>
        <rFont val="Arial"/>
        <family val="0"/>
        <charset val="1"/>
      </rPr>
      <t xml:space="preserve">L. 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Q1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Q2</t>
    </r>
    <r>
      <rPr>
        <b val="true"/>
        <sz val="10"/>
        <rFont val="Noto Sans CJK SC"/>
        <family val="2"/>
      </rPr>
      <t xml:space="preserve">、服務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的主口徑為支出路線（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節與 </t>
    </r>
    <r>
      <rPr>
        <b val="true"/>
        <sz val="10"/>
        <rFont val="Arial"/>
        <family val="0"/>
        <charset val="1"/>
      </rPr>
      <t xml:space="preserve">Interface F </t>
    </r>
    <r>
      <rPr>
        <b val="true"/>
        <sz val="10"/>
        <rFont val="Noto Sans CJK SC"/>
        <family val="2"/>
      </rPr>
      <t xml:space="preserve">節）；本節保留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路線作對照，兩者差距列「未解釋」（需求 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產能、支出口徑三者之一偏離）</t>
    </r>
  </si>
  <si>
    <r>
      <rPr>
        <sz val="10"/>
        <color rgb="FF000000"/>
        <rFont val="Arial"/>
        <family val="0"/>
        <charset val="1"/>
      </rPr>
      <t xml:space="preserve">Q1_Tok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</si>
  <si>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路線）＝研發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</si>
  <si>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路線；未解釋）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</si>
  <si>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L1_ScaleServe </t>
    </r>
    <r>
      <rPr>
        <sz val="9"/>
        <color rgb="FF595959"/>
        <rFont val="Noto Sans CJK SC"/>
        <family val="2"/>
      </rPr>
      <t xml:space="preserve">的絕對值版本；差距不分配到需求 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、每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產能或支出口徑（</t>
    </r>
    <r>
      <rPr>
        <sz val="9"/>
        <color rgb="FF595959"/>
        <rFont val="Arial"/>
        <family val="0"/>
        <charset val="1"/>
      </rPr>
      <t xml:space="preserve">D14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</si>
  <si>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</si>
  <si>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差距（支出路線 −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路線；百分點）</t>
    </r>
  </si>
  <si>
    <r>
      <rPr>
        <b val="true"/>
        <sz val="13"/>
        <rFont val="Arial"/>
        <family val="0"/>
        <charset val="1"/>
      </rPr>
      <t xml:space="preserve">Perf_Prod — Perf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</si>
  <si>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</si>
  <si>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0"/>
        <rFont val="Noto Sans CJK SC"/>
        <family val="2"/>
      </rPr>
      <t xml:space="preserve">自我檢查副本（第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Checks X1 </t>
    </r>
    <r>
      <rPr>
        <b val="true"/>
        <sz val="10"/>
        <rFont val="Noto Sans CJK SC"/>
        <family val="2"/>
      </rPr>
      <t xml:space="preserve">比對）</t>
    </r>
  </si>
  <si>
    <r>
      <rPr>
        <sz val="9"/>
        <color rgb="FF595959"/>
        <rFont val="Noto Sans CJK SC"/>
        <family val="2"/>
      </rPr>
      <t xml:space="preserve">序列</t>
    </r>
    <r>
      <rPr>
        <sz val="9"/>
        <color rgb="FF595959"/>
        <rFont val="Arial"/>
        <family val="0"/>
        <charset val="1"/>
      </rPr>
      <t xml:space="preserve">/GPU</t>
    </r>
  </si>
  <si>
    <r>
      <rPr>
        <sz val="9"/>
        <color rgb="FF595959"/>
        <rFont val="Arial"/>
        <family val="0"/>
        <charset val="1"/>
      </rPr>
      <t xml:space="preserve">M tok/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</si>
  <si>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3"/>
        <rFont val="Arial"/>
        <family val="0"/>
        <charset val="1"/>
      </rPr>
      <t xml:space="preserve">Perf_Batch_Prod — Perf_Batch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</si>
  <si>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Perf_Batch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</si>
  <si>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Training_Prod — Training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</si>
  <si>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Training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</si>
  <si>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Unit_Cost_Prod — Unit_Cost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</si>
  <si>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Unit_Cost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</si>
  <si>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Interface_Prod — Interface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</si>
  <si>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</si>
  <si>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[IF_TokGW_Luna]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</si>
  <si>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[IF_CostPre_Luna]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</si>
  <si>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</si>
  <si>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[IF_TokGW_Sol]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</si>
  <si>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</si>
  <si>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</si>
  <si>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[IF_TokGW_Astra]</t>
    </r>
  </si>
  <si>
    <r>
      <rPr>
        <sz val="10"/>
        <color rgb="FF000000"/>
        <rFont val="Noto Sans CJK SC"/>
        <family val="2"/>
      </rPr>
      <t xml:space="preserve">新鮮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[IF_CostPre_Astra]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</si>
  <si>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[IF_CostDec_Astra]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</si>
  <si>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[IF_ProgCost_Luna]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</si>
  <si>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[IF_ProgCost_Sol]</t>
    </r>
  </si>
  <si>
    <r>
      <rPr>
        <sz val="10"/>
        <color rgb="FF000000"/>
        <rFont val="Noto Sans CJK SC"/>
        <family val="2"/>
      </rPr>
      <t xml:space="preserve">研發計畫成本 — 經濟（依成本情境）　</t>
    </r>
    <r>
      <rPr>
        <sz val="10"/>
        <color rgb="FF000000"/>
        <rFont val="Arial"/>
        <family val="0"/>
        <charset val="1"/>
      </rPr>
      <t xml:space="preserve">[IF_ProgCost_Astra]</t>
    </r>
  </si>
  <si>
    <r>
      <rPr>
        <b val="true"/>
        <sz val="13"/>
        <rFont val="Arial"/>
        <family val="0"/>
        <charset val="1"/>
      </rPr>
      <t xml:space="preserve">Fleet_1GW_Prod — Fleet_1GW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</si>
  <si>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Fleet_1GW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</si>
  <si>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Amortize_Prod — Amortize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</si>
  <si>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Amortize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</t>
    </r>
  </si>
  <si>
    <r>
      <rPr>
        <b val="true"/>
        <sz val="13"/>
        <rFont val="Arial"/>
        <family val="0"/>
        <charset val="1"/>
      </rPr>
      <t xml:space="preserve">Theory_Rev_Prod — Theory_Rev </t>
    </r>
    <r>
      <rPr>
        <b val="true"/>
        <sz val="13"/>
        <rFont val="Noto Sans CJK SC"/>
        <family val="2"/>
      </rPr>
      <t xml:space="preserve">的鏡像（</t>
    </r>
    <r>
      <rPr>
        <b val="true"/>
        <sz val="13"/>
        <rFont val="Arial"/>
        <family val="0"/>
        <charset val="1"/>
      </rPr>
      <t xml:space="preserve">v5.19 X1</t>
    </r>
    <r>
      <rPr>
        <b val="true"/>
        <sz val="13"/>
        <rFont val="Noto Sans CJK SC"/>
        <family val="2"/>
      </rPr>
      <t xml:space="preserve">：生產折減並列輸出）</t>
    </r>
  </si>
  <si>
    <r>
      <rPr>
        <sz val="9"/>
        <color rgb="FF595959"/>
        <rFont val="Noto Sans CJK SC"/>
        <family val="2"/>
      </rPr>
      <t xml:space="preserve">同位置鏡像：公式逐格同 </t>
    </r>
    <r>
      <rPr>
        <sz val="9"/>
        <color rgb="FF595959"/>
        <rFont val="Arial"/>
        <family val="0"/>
        <charset val="1"/>
      </rPr>
      <t xml:space="preserve">Theory_Rev</t>
    </r>
    <r>
      <rPr>
        <sz val="9"/>
        <color rgb="FF595959"/>
        <rFont val="Noto Sans CJK SC"/>
        <family val="2"/>
      </rPr>
      <t xml:space="preserve">，只改兩處——</t>
    </r>
    <r>
      <rPr>
        <sz val="9"/>
        <color rgb="FF595959"/>
        <rFont val="Arial"/>
        <family val="0"/>
        <charset val="1"/>
      </rPr>
      <t xml:space="preserve">(1) </t>
    </r>
    <r>
      <rPr>
        <sz val="9"/>
        <color rgb="FF595959"/>
        <rFont val="Noto Sans CJK SC"/>
        <family val="2"/>
      </rPr>
      <t xml:space="preserve">讀到鏈上其他格者改讀本組 </t>
    </r>
    <r>
      <rPr>
        <sz val="9"/>
        <color rgb="FF595959"/>
        <rFont val="Arial"/>
        <family val="0"/>
        <charset val="1"/>
      </rPr>
      <t xml:space="preserve">*_Prod </t>
    </r>
    <r>
      <rPr>
        <sz val="9"/>
        <color rgb="FF595959"/>
        <rFont val="Noto Sans CJK SC"/>
        <family val="2"/>
      </rPr>
      <t xml:space="preserve">頁；</t>
    </r>
    <r>
      <rPr>
        <sz val="9"/>
        <color rgb="FF595959"/>
        <rFont val="Arial"/>
        <family val="0"/>
        <charset val="1"/>
      </rPr>
      <t xml:space="preserve">(2) Perf_Prod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Perf_Batch_Prod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列改讀 </t>
    </r>
    <r>
      <rPr>
        <sz val="9"/>
        <color rgb="FF595959"/>
        <rFont val="Arial"/>
        <family val="0"/>
        <charset val="1"/>
      </rPr>
      <t xml:space="preserve">CTL_ProdDerate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），其餘仍讀原頁。右側 </t>
    </r>
    <r>
      <rPr>
        <sz val="9"/>
        <color rgb="FF595959"/>
        <rFont val="Arial"/>
        <family val="0"/>
        <charset val="1"/>
      </rPr>
      <t xml:space="preserve">S:AG </t>
    </r>
    <r>
      <rPr>
        <sz val="9"/>
        <color rgb="FF595959"/>
        <rFont val="Noto Sans CJK SC"/>
        <family val="2"/>
      </rPr>
      <t xml:space="preserve">為自我檢查副本（第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列＝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Checks X1</t>
    </r>
    <r>
      <rPr>
        <sz val="9"/>
        <color rgb="FF595959"/>
        <rFont val="Noto Sans CJK SC"/>
        <family val="2"/>
      </rPr>
      <t xml:space="preserve">）。只含從 </t>
    </r>
    <r>
      <rPr>
        <sz val="9"/>
        <color rgb="FF595959"/>
        <rFont val="Arial"/>
        <family val="0"/>
        <charset val="1"/>
      </rPr>
      <t xml:space="preserve">Serving!C18 </t>
    </r>
    <r>
      <rPr>
        <sz val="9"/>
        <color rgb="FF595959"/>
        <rFont val="Noto Sans CJK SC"/>
        <family val="2"/>
      </rPr>
      <t xml:space="preserve">的進入點（兩個第 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列）算到七個 </t>
    </r>
    <r>
      <rPr>
        <sz val="9"/>
        <color rgb="FF595959"/>
        <rFont val="Arial"/>
        <family val="0"/>
        <charset val="1"/>
      </rPr>
      <t xml:space="preserve">_Prod </t>
    </r>
    <r>
      <rPr>
        <sz val="9"/>
        <color rgb="FF595959"/>
        <rFont val="Noto Sans CJK SC"/>
        <family val="2"/>
      </rPr>
      <t xml:space="preserve">輸出所需的列。 ｜第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列為本頁自我檢查列，不鏡像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同列為 </t>
    </r>
    <r>
      <rPr>
        <sz val="9"/>
        <color rgb="FF595959"/>
        <rFont val="Arial"/>
        <family val="0"/>
        <charset val="1"/>
      </rPr>
      <t xml:space="preserve">_Life </t>
    </r>
    <r>
      <rPr>
        <sz val="9"/>
        <color rgb="FF595959"/>
        <rFont val="Noto Sans CJK SC"/>
        <family val="2"/>
      </rPr>
      <t xml:space="preserve">輸出列）；列入 </t>
    </r>
    <r>
      <rPr>
        <sz val="9"/>
        <color rgb="FF595959"/>
        <rFont val="Arial"/>
        <family val="0"/>
        <charset val="1"/>
      </rPr>
      <t xml:space="preserve">tests/parity </t>
    </r>
    <r>
      <rPr>
        <sz val="9"/>
        <color rgb="FF595959"/>
        <rFont val="Noto Sans CJK SC"/>
        <family val="2"/>
      </rPr>
      <t xml:space="preserve">的鏡像白名單（</t>
    </r>
    <r>
      <rPr>
        <sz val="9"/>
        <color rgb="FF595959"/>
        <rFont val="Arial"/>
        <family val="0"/>
        <charset val="1"/>
      </rPr>
      <t xml:space="preserve">v10.1</t>
    </r>
    <r>
      <rPr>
        <sz val="9"/>
        <color rgb="FF595959"/>
        <rFont val="Noto Sans CJK SC"/>
        <family val="2"/>
      </rPr>
      <t xml:space="preserve">）。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</si>
  <si>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</si>
  <si>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v5.19 X1</t>
    </r>
    <r>
      <rPr>
        <b val="true"/>
        <sz val="10"/>
        <rFont val="Noto Sans CJK SC"/>
        <family val="2"/>
      </rPr>
      <t xml:space="preserve">）：檢查副本（第 </t>
    </r>
    <r>
      <rPr>
        <b val="true"/>
        <sz val="10"/>
        <rFont val="Arial"/>
        <family val="0"/>
        <charset val="1"/>
      </rPr>
      <t xml:space="preserve">50 </t>
    </r>
    <r>
      <rPr>
        <b val="true"/>
        <sz val="10"/>
        <rFont val="Noto Sans CJK SC"/>
        <family val="2"/>
      </rPr>
      <t xml:space="preserve">列＝</t>
    </r>
    <r>
      <rPr>
        <b val="true"/>
        <sz val="10"/>
        <rFont val="Arial"/>
        <family val="0"/>
        <charset val="1"/>
      </rPr>
      <t xml:space="preserve">Serving!C18</t>
    </r>
    <r>
      <rPr>
        <b val="true"/>
        <sz val="10"/>
        <rFont val="Noto Sans CJK SC"/>
        <family val="2"/>
      </rPr>
      <t xml:space="preserve">）對基準列；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＝相同（容差 </t>
    </r>
    <r>
      <rPr>
        <b val="true"/>
        <sz val="10"/>
        <rFont val="Arial"/>
        <family val="0"/>
        <charset val="1"/>
      </rPr>
      <t xml:space="preserve">1e-12</t>
    </r>
    <r>
      <rPr>
        <b val="true"/>
        <sz val="10"/>
        <rFont val="Noto Sans CJK SC"/>
        <family val="2"/>
      </rPr>
      <t xml:space="preserve">；兩邊皆為文字時不報錯）</t>
    </r>
  </si>
  <si>
    <r>
      <rPr>
        <sz val="9"/>
        <color rgb="FF595959"/>
        <rFont val="Arial"/>
        <family val="0"/>
        <charset val="1"/>
      </rPr>
      <t xml:space="preserve">IF_FullCost_Luna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</si>
  <si>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36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</si>
  <si>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IF_FullCost_Astra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54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</si>
  <si>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IF_RevGW_Luna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</si>
  <si>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IF_RevGW_Sol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</si>
  <si>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IF_RevGW_Astra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</si>
  <si>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：檢查副本 </t>
    </r>
    <r>
      <rPr>
        <sz val="9"/>
        <color rgb="FF595959"/>
        <rFont val="Arial"/>
        <family val="0"/>
        <charset val="1"/>
      </rPr>
      <t xml:space="preserve">vs </t>
    </r>
    <r>
      <rPr>
        <sz val="9"/>
        <color rgb="FF595959"/>
        <rFont val="Noto Sans CJK SC"/>
        <family val="2"/>
      </rPr>
      <t xml:space="preserve">原 </t>
    </r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67 </t>
    </r>
    <r>
      <rPr>
        <sz val="9"/>
        <color rgb="FF595959"/>
        <rFont val="Noto Sans CJK SC"/>
        <family val="2"/>
      </rPr>
      <t xml:space="preserve">列</t>
    </r>
  </si>
  <si>
    <r>
      <rPr>
        <b val="true"/>
        <sz val="13"/>
        <rFont val="Arial"/>
        <family val="0"/>
        <charset val="1"/>
      </rPr>
      <t xml:space="preserve">Interface — </t>
    </r>
    <r>
      <rPr>
        <b val="true"/>
        <sz val="13"/>
        <rFont val="Noto Sans CJK SC"/>
        <family val="2"/>
      </rPr>
      <t xml:space="preserve">下游模型唯一連結點（每 </t>
    </r>
    <r>
      <rPr>
        <b val="true"/>
        <sz val="13"/>
        <rFont val="Arial"/>
        <family val="0"/>
        <charset val="1"/>
      </rPr>
      <t xml:space="preserve">GW</t>
    </r>
    <r>
      <rPr>
        <b val="true"/>
        <sz val="13"/>
        <rFont val="Noto Sans CJK SC"/>
        <family val="2"/>
      </rPr>
      <t xml:space="preserve">＝</t>
    </r>
    <r>
      <rPr>
        <b val="true"/>
        <sz val="13"/>
        <rFont val="Arial"/>
        <family val="0"/>
        <charset val="1"/>
      </rPr>
      <t xml:space="preserve">IT </t>
    </r>
    <r>
      <rPr>
        <b val="true"/>
        <sz val="13"/>
        <rFont val="Noto Sans CJK SC"/>
        <family val="2"/>
      </rPr>
      <t xml:space="preserve">關鍵電力）</t>
    </r>
  </si>
  <si>
    <r>
      <rPr>
        <sz val="9"/>
        <color rgb="FF595959"/>
        <rFont val="Noto Sans CJK SC"/>
        <family val="2"/>
      </rPr>
      <t xml:space="preserve">每一列為一個具名範圍（</t>
    </r>
    <r>
      <rPr>
        <sz val="9"/>
        <color rgb="FF595959"/>
        <rFont val="Arial"/>
        <family val="0"/>
        <charset val="1"/>
      </rPr>
      <t xml:space="preserve">IF_…</t>
    </r>
    <r>
      <rPr>
        <sz val="9"/>
        <color rgb="FF595959"/>
        <rFont val="Noto Sans CJK SC"/>
        <family val="2"/>
      </rPr>
      <t xml:space="preserve">），欄＝世代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成本情境；</t>
    </r>
    <r>
      <rPr>
        <sz val="9"/>
        <color rgb="FF595959"/>
        <rFont val="Arial"/>
        <family val="0"/>
        <charset val="1"/>
      </rPr>
      <t xml:space="preserve">Block 2 </t>
    </r>
    <r>
      <rPr>
        <sz val="9"/>
        <color rgb="FF595959"/>
        <rFont val="Noto Sans CJK SC"/>
        <family val="2"/>
      </rPr>
      <t xml:space="preserve">產出依層級分區（物理量不隨成本情境變動）</t>
    </r>
  </si>
  <si>
    <r>
      <rPr>
        <sz val="9"/>
        <color rgb="FF595959"/>
        <rFont val="Arial"/>
        <family val="0"/>
        <charset val="1"/>
      </rPr>
      <t xml:space="preserve">IF_FullCost_* </t>
    </r>
    <r>
      <rPr>
        <sz val="9"/>
        <color rgb="FF595959"/>
        <rFont val="Noto Sans CJK SC"/>
        <family val="2"/>
      </rPr>
      <t xml:space="preserve">含自下而上攤提，攤提分母為層級組合的機隊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；同一世代任一層級 </t>
    </r>
    <r>
      <rPr>
        <sz val="9"/>
        <color rgb="FF595959"/>
        <rFont val="Arial"/>
        <family val="0"/>
        <charset val="1"/>
      </rPr>
      <t xml:space="preserve">SLO </t>
    </r>
    <r>
      <rPr>
        <sz val="9"/>
        <color rgb="FF595959"/>
        <rFont val="Noto Sans CJK SC"/>
        <family val="2"/>
      </rPr>
      <t xml:space="preserve">不可達時，該世代所有層級的 </t>
    </r>
    <r>
      <rPr>
        <sz val="9"/>
        <color rgb="FF595959"/>
        <rFont val="Arial"/>
        <family val="0"/>
        <charset val="1"/>
      </rPr>
      <t xml:space="preserve">FullCost </t>
    </r>
    <r>
      <rPr>
        <sz val="9"/>
        <color rgb="FF595959"/>
        <rFont val="Noto Sans CJK SC"/>
        <family val="2"/>
      </rPr>
      <t xml:space="preserve">均回傳文字（例：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C18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CTL_ProdDerate ≤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0.72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IF_RevGW_* </t>
    </r>
    <r>
      <rPr>
        <sz val="9"/>
        <color rgb="FF595959"/>
        <rFont val="Noto Sans CJK SC"/>
        <family val="2"/>
      </rPr>
      <t xml:space="preserve">只依自身層級，可能仍為數值（</t>
    </r>
    <r>
      <rPr>
        <sz val="9"/>
        <color rgb="FF595959"/>
        <rFont val="Arial"/>
        <family val="0"/>
        <charset val="1"/>
      </rPr>
      <t xml:space="preserve">X5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Andy 2026-10-06 </t>
    </r>
    <r>
      <rPr>
        <sz val="9"/>
        <color rgb="FF595959"/>
        <rFont val="Noto Sans CJK SC"/>
        <family val="2"/>
      </rPr>
      <t xml:space="preserve">維持此設計）</t>
    </r>
  </si>
  <si>
    <t xml:space="preserve">指標</t>
  </si>
  <si>
    <r>
      <rPr>
        <b val="true"/>
        <sz val="10"/>
        <rFont val="Arial"/>
        <family val="0"/>
        <charset val="1"/>
      </rPr>
      <t xml:space="preserve">Confidence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</si>
  <si>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Decision Use</t>
    </r>
    <r>
      <rPr>
        <b val="true"/>
        <sz val="10"/>
        <rFont val="Noto Sans CJK SC"/>
        <family val="2"/>
      </rPr>
      <t xml:space="preserve">（公式）</t>
    </r>
  </si>
  <si>
    <t xml:space="preserve">口徑層</t>
  </si>
  <si>
    <r>
      <rPr>
        <b val="true"/>
        <sz val="10"/>
        <rFont val="Noto Sans CJK SC"/>
        <family val="2"/>
      </rPr>
      <t xml:space="preserve">最弱輸入更新日（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審查日最大值；公式）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</si>
  <si>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U </t>
    </r>
    <r>
      <rPr>
        <b val="true"/>
        <sz val="10"/>
        <rFont val="Noto Sans CJK SC"/>
        <family val="2"/>
      </rPr>
      <t xml:space="preserve">欄數值暫存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</si>
  <si>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依賴的 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反查，靜態；高段／全部）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</si>
  <si>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 </t>
    </r>
    <r>
      <rPr>
        <b val="true"/>
        <sz val="10"/>
        <rFont val="Noto Sans CJK SC"/>
        <family val="2"/>
      </rPr>
      <t xml:space="preserve">欄含「上限」旗標；公式）</t>
    </r>
  </si>
  <si>
    <t xml:space="preserve">（應附「上限」旗標；靜態）</t>
  </si>
  <si>
    <t xml:space="preserve">每 GW 機架數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</si>
  <si>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</si>
  <si>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GW GPU 數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</si>
  <si>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</si>
  <si>
    <t xml:space="preserve">每 IT GW 對應設施電力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</si>
  <si>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</si>
  <si>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IT 設備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</si>
  <si>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</si>
  <si>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資本支出 — 廠房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</si>
  <si>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：（無高段）</t>
    </r>
  </si>
  <si>
    <t xml:space="preserve">每 GW 資本支出 — 合計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</si>
  <si>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</si>
  <si>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會計口徑</t>
  </si>
  <si>
    <r>
      <rPr>
        <sz val="10"/>
        <color rgb="FF808080"/>
        <rFont val="Arial"/>
        <family val="0"/>
        <charset val="1"/>
      </rPr>
      <t xml:space="preserve">$B/</t>
    </r>
    <r>
      <rPr>
        <sz val="10"/>
        <color rgb="FF80808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</si>
  <si>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</si>
  <si>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t xml:space="preserve">每 GW 年持有成本 — 經濟口徑</t>
  </si>
  <si>
    <t xml:space="preserve">其中：每 GW 年電費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</si>
  <si>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</t>
    </r>
    <r>
      <rPr>
        <sz val="9"/>
        <color rgb="FF595959"/>
        <rFont val="Noto Sans CJK SC"/>
        <family val="2"/>
      </rPr>
      <t xml:space="preserve">：（無高段）</t>
    </r>
  </si>
  <si>
    <r>
      <rPr>
        <b val="true"/>
        <sz val="10"/>
        <rFont val="Arial"/>
        <family val="0"/>
        <charset val="1"/>
      </rPr>
      <t xml:space="preserve">B. Block 2 </t>
    </r>
    <r>
      <rPr>
        <b val="true"/>
        <sz val="10"/>
        <rFont val="Noto Sans CJK SC"/>
        <family val="2"/>
      </rPr>
      <t xml:space="preserve">產出（依層級；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＝理想上限；下游以自身利用率換算）｜固定模型口徑（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</si>
  <si>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[IF_TokRack_Luna]</t>
    </r>
  </si>
  <si>
    <t xml:space="preserve">100%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</si>
  <si>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</si>
  <si>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</si>
  <si>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</si>
  <si>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</si>
  <si>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</si>
  <si>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</si>
  <si>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</si>
  <si>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</si>
  <si>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[IF_CostDecAcct_Luna]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</si>
  <si>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</si>
  <si>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</si>
  <si>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[IF_TokRack_Sol]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</si>
  <si>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[IF_TokRackD_Sol]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</si>
  <si>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[IF_VReq_Sol]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</si>
  <si>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[IF_CostCache_Sol]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</si>
  <si>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[IF_CostDecAcct_Sol]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</si>
  <si>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[IF_TokPerJ_Sol]</t>
    </r>
  </si>
  <si>
    <r>
      <rPr>
        <sz val="10"/>
        <color rgb="FF000000"/>
        <rFont val="Noto Sans CJK SC"/>
        <family val="2"/>
      </rPr>
      <t xml:space="preserve">每架總 </t>
    </r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（參考任務 </t>
    </r>
    <r>
      <rPr>
        <sz val="10"/>
        <color rgb="FF000000"/>
        <rFont val="Arial"/>
        <family val="0"/>
        <charset val="1"/>
      </rPr>
      <t xml:space="preserve">P:D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[IF_TokRack_Astra]</t>
    </r>
  </si>
  <si>
    <r>
      <rPr>
        <sz val="10"/>
        <color rgb="FF000000"/>
        <rFont val="Noto Sans CJK SC"/>
        <family val="2"/>
      </rPr>
      <t xml:space="preserve">每架 </t>
    </r>
    <r>
      <rPr>
        <sz val="10"/>
        <color rgb="FF000000"/>
        <rFont val="Arial"/>
        <family val="0"/>
        <charset val="1"/>
      </rPr>
      <t xml:space="preserve">decode tok/s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[IF_TokRackD_Astra]</t>
    </r>
  </si>
  <si>
    <r>
      <rPr>
        <sz val="10"/>
        <color rgb="FF000000"/>
        <rFont val="Arial"/>
        <family val="0"/>
        <charset val="1"/>
      </rPr>
      <t xml:space="preserve">VR-eq </t>
    </r>
    <r>
      <rPr>
        <sz val="10"/>
        <color rgb="FF000000"/>
        <rFont val="Noto Sans CJK SC"/>
        <family val="2"/>
      </rPr>
      <t xml:space="preserve">係數（每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 </t>
    </r>
    <r>
      <rPr>
        <sz val="10"/>
        <color rgb="FF000000"/>
        <rFont val="Arial"/>
        <family val="0"/>
        <charset val="1"/>
      </rPr>
      <t xml:space="preserve">÷ 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[IF_VReq_Astra]</t>
    </r>
  </si>
  <si>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prefill $/M</t>
    </r>
    <r>
      <rPr>
        <sz val="10"/>
        <color rgb="FF000000"/>
        <rFont val="Noto Sans CJK SC"/>
        <family val="2"/>
      </rPr>
      <t xml:space="preserve">（經濟、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[IF_CostCache_Astra]</t>
    </r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</si>
  <si>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（會計、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[IF_CostDecAcct_Astra]</t>
    </r>
  </si>
  <si>
    <r>
      <rPr>
        <sz val="10"/>
        <color rgb="FF000000"/>
        <rFont val="Arial"/>
        <family val="0"/>
        <charset val="1"/>
      </rPr>
      <t xml:space="preserve">tokens</t>
    </r>
    <r>
      <rPr>
        <sz val="10"/>
        <color rgb="FF000000"/>
        <rFont val="Noto Sans CJK SC"/>
        <family val="2"/>
      </rPr>
      <t xml:space="preserve">／焦耳（平均用電口徑）　</t>
    </r>
    <r>
      <rPr>
        <sz val="10"/>
        <color rgb="FF000000"/>
        <rFont val="Arial"/>
        <family val="0"/>
        <charset val="1"/>
      </rPr>
      <t xml:space="preserve">[IF_TokPerJ_Astra]</t>
    </r>
  </si>
  <si>
    <r>
      <rPr>
        <sz val="10"/>
        <color rgb="FF000000"/>
        <rFont val="Noto Sans CJK SC"/>
        <family val="2"/>
      </rPr>
      <t xml:space="preserve">基準利用率（第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層；下游可覆寫）　</t>
    </r>
    <r>
      <rPr>
        <sz val="10"/>
        <color rgb="FF000000"/>
        <rFont val="Arial"/>
        <family val="0"/>
        <charset val="1"/>
      </rPr>
      <t xml:space="preserve">[IF_Util]</t>
    </r>
  </si>
  <si>
    <t xml:space="preserve">IF_Util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</si>
  <si>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GM236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</si>
  <si>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</t>
    </r>
  </si>
  <si>
    <r>
      <rPr>
        <sz val="9"/>
        <color rgb="FF595959"/>
        <rFont val="Noto Sans CJK SC"/>
        <family val="2"/>
      </rPr>
      <t xml:space="preserve">見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節（</t>
    </r>
    <r>
      <rPr>
        <sz val="9"/>
        <color rgb="FF595959"/>
        <rFont val="Arial"/>
        <family val="0"/>
        <charset val="1"/>
      </rPr>
      <t xml:space="preserve">IF_RevGW_*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IF_RevGWFleet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</si>
  <si>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C. Block 3 </t>
    </r>
    <r>
      <rPr>
        <b val="true"/>
        <sz val="10"/>
        <rFont val="Noto Sans CJK SC"/>
        <family val="2"/>
      </rPr>
      <t xml:space="preserve">產出（依層級；欄＝世代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小時不隨成本情境變動；下游預設 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並列，</t>
    </r>
    <r>
      <rPr>
        <b val="true"/>
        <sz val="10"/>
        <rFont val="Arial"/>
        <family val="0"/>
        <charset val="1"/>
      </rPr>
      <t xml:space="preserve">J13</t>
    </r>
    <r>
      <rPr>
        <b val="true"/>
        <sz val="10"/>
        <rFont val="Noto Sans CJK SC"/>
        <family val="2"/>
      </rPr>
      <t xml:space="preserve">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</si>
  <si>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</si>
  <si>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</si>
  <si>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</si>
  <si>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</si>
  <si>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</si>
  <si>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</si>
  <si>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</si>
  <si>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</si>
  <si>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</si>
  <si>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176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</si>
  <si>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</si>
  <si>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44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</si>
  <si>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</si>
  <si>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</si>
  <si>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</si>
  <si>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[IF_TrainGPUh_Sol]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</si>
  <si>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</si>
  <si>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[IF_PostShareFLOP_Sol]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</si>
  <si>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[IF_PostShareGPUh_Sol]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</si>
  <si>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[IF_RLMFU_Sol]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</si>
  <si>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[IF_ProgGPUh_Sol]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</si>
  <si>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[IF_ProgGWyr_Sol]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</si>
  <si>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小時（單一模型）　</t>
    </r>
    <r>
      <rPr>
        <sz val="10"/>
        <color rgb="FF000000"/>
        <rFont val="Arial"/>
        <family val="0"/>
        <charset val="1"/>
      </rPr>
      <t xml:space="preserve">[IF_TrainGPUh_Astra]</t>
    </r>
  </si>
  <si>
    <r>
      <rPr>
        <sz val="10"/>
        <color rgb="FF000000"/>
        <rFont val="Noto Sans CJK SC"/>
        <family val="2"/>
      </rPr>
      <t xml:space="preserve">最終訓練成本 — 經濟（依成本情境）　</t>
    </r>
    <r>
      <rPr>
        <sz val="10"/>
        <color rgb="FF000000"/>
        <rFont val="Arial"/>
        <family val="0"/>
        <charset val="1"/>
      </rPr>
      <t xml:space="preserve">[IF_TrainCost_Astra]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</si>
  <si>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口徑）　</t>
    </r>
    <r>
      <rPr>
        <sz val="10"/>
        <color rgb="FF000000"/>
        <rFont val="Arial"/>
        <family val="0"/>
        <charset val="1"/>
      </rPr>
      <t xml:space="preserve">[IF_PostShareFLOP_Astra]</t>
    </r>
  </si>
  <si>
    <r>
      <rPr>
        <sz val="10"/>
        <color rgb="FF000000"/>
        <rFont val="Noto Sans CJK SC"/>
        <family val="2"/>
      </rPr>
      <t xml:space="preserve">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小時口徑）　</t>
    </r>
    <r>
      <rPr>
        <sz val="10"/>
        <color rgb="FF000000"/>
        <rFont val="Arial"/>
        <family val="0"/>
        <charset val="1"/>
      </rPr>
      <t xml:space="preserve">[IF_PostShareGPUh_Astra]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</si>
  <si>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（訓練峰值分母）　</t>
    </r>
    <r>
      <rPr>
        <sz val="10"/>
        <color rgb="FF000000"/>
        <rFont val="Arial"/>
        <family val="0"/>
        <charset val="1"/>
      </rPr>
      <t xml:space="preserve">[IF_RLMFU_Astra]</t>
    </r>
  </si>
  <si>
    <r>
      <rPr>
        <sz val="10"/>
        <color rgb="FF000000"/>
        <rFont val="Noto Sans CJK SC"/>
        <family val="2"/>
      </rPr>
      <t xml:space="preserve">研發計畫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小時（含研發倍數分攤）　</t>
    </r>
    <r>
      <rPr>
        <sz val="10"/>
        <color rgb="FF000000"/>
        <rFont val="Arial"/>
        <family val="0"/>
        <charset val="1"/>
      </rPr>
      <t xml:space="preserve">[IF_ProgGPUh_Astra]</t>
    </r>
  </si>
  <si>
    <r>
      <rPr>
        <sz val="10"/>
        <color rgb="FF000000"/>
        <rFont val="Noto Sans CJK SC"/>
        <family val="2"/>
      </rPr>
      <t xml:space="preserve">研發計畫占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　</t>
    </r>
    <r>
      <rPr>
        <sz val="10"/>
        <color rgb="FF000000"/>
        <rFont val="Arial"/>
        <family val="0"/>
        <charset val="1"/>
      </rPr>
      <t xml:space="preserve">[IF_ProgGWyr_Astra]</t>
    </r>
  </si>
  <si>
    <r>
      <rPr>
        <sz val="10"/>
        <color rgb="FF000000"/>
        <rFont val="Noto Sans CJK SC"/>
        <family val="2"/>
      </rPr>
      <t xml:space="preserve">研發倍數（第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層基準；下游可覆寫）　</t>
    </r>
    <r>
      <rPr>
        <sz val="10"/>
        <color rgb="FF000000"/>
        <rFont val="Arial"/>
        <family val="0"/>
        <charset val="1"/>
      </rPr>
      <t xml:space="preserve">[IF_RDMult]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</si>
  <si>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GM526</t>
    </r>
  </si>
  <si>
    <r>
      <rPr>
        <sz val="10"/>
        <color rgb="FF000000"/>
        <rFont val="Noto Sans CJK SC"/>
        <family val="2"/>
      </rPr>
      <t xml:space="preserve">下游預設訓練世代（索引；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[IF_TrainGenDefault]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</si>
  <si>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</si>
  <si>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並列訓練世代（索引；</t>
    </r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[IF_TrainGenAlt]</t>
    </r>
  </si>
  <si>
    <r>
      <rPr>
        <b val="true"/>
        <sz val="10"/>
        <rFont val="Arial"/>
        <family val="0"/>
        <charset val="1"/>
      </rPr>
      <t xml:space="preserve">D. Block 4 </t>
    </r>
    <r>
      <rPr>
        <b val="true"/>
        <sz val="10"/>
        <rFont val="Noto Sans CJK SC"/>
        <family val="2"/>
      </rPr>
      <t xml:space="preserve">產出（理想上限；單價為 </t>
    </r>
    <r>
      <rPr>
        <b val="true"/>
        <sz val="10"/>
        <rFont val="Arial"/>
        <family val="0"/>
        <charset val="1"/>
      </rPr>
      <t xml:space="preserve">2026-09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10 </t>
    </r>
    <r>
      <rPr>
        <b val="true"/>
        <sz val="10"/>
        <rFont val="Noto Sans CJK SC"/>
        <family val="2"/>
      </rPr>
      <t xml:space="preserve">快照、各世代共用（</t>
    </r>
    <r>
      <rPr>
        <b val="true"/>
        <sz val="10"/>
        <rFont val="Arial"/>
        <family val="0"/>
        <charset val="1"/>
      </rPr>
      <t xml:space="preserve">K9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IF_RevGW </t>
    </r>
    <r>
      <rPr>
        <b val="true"/>
        <sz val="10"/>
        <rFont val="Noto Sans CJK SC"/>
        <family val="2"/>
      </rPr>
      <t xml:space="preserve">等欄＝世代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成本情境）｜固定模型口徑（</t>
    </r>
    <r>
      <rPr>
        <b val="true"/>
        <sz val="10"/>
        <rFont val="Arial"/>
        <family val="0"/>
        <charset val="1"/>
      </rPr>
      <t xml:space="preserve">2026 Arch </t>
    </r>
    <r>
      <rPr>
        <b val="true"/>
        <sz val="10"/>
        <rFont val="Noto Sans CJK SC"/>
        <family val="2"/>
      </rPr>
      <t xml:space="preserve">快照，跨世代同一模型）；模型隨世代變大見 </t>
    </r>
    <r>
      <rPr>
        <b val="true"/>
        <sz val="10"/>
        <rFont val="Arial"/>
        <family val="0"/>
        <charset val="1"/>
      </rPr>
      <t xml:space="preserve">`ARCH_ScaleGen` </t>
    </r>
    <r>
      <rPr>
        <b val="true"/>
        <sz val="10"/>
        <rFont val="Noto Sans CJK SC"/>
        <family val="2"/>
      </rPr>
      <t xml:space="preserve">與情境 </t>
    </r>
    <r>
      <rPr>
        <b val="true"/>
        <sz val="1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</si>
  <si>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</si>
  <si>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</si>
  <si>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[IF_PriceCached_Luna]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</si>
  <si>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[IF_PriceThink_Luna]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</si>
  <si>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[IF_PriceOut_Luna]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</si>
  <si>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</si>
  <si>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</si>
  <si>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</si>
  <si>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</si>
  <si>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</si>
  <si>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</si>
  <si>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[IF_Life_Luna]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</si>
  <si>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</si>
  <si>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19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</si>
  <si>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</si>
  <si>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317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</si>
  <si>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</si>
  <si>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280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</si>
  <si>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</si>
  <si>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</si>
  <si>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[IF_AmortDefault_Luna]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</si>
  <si>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</si>
  <si>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</si>
  <si>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[IF_FullCostDefault_Luna]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</si>
  <si>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</si>
  <si>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</si>
  <si>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</si>
  <si>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</si>
  <si>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[IF_PriceFresh_Sol]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</si>
  <si>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[IF_PriceCached_Sol]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</si>
  <si>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[IF_PriceThink_Sol]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</si>
  <si>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</si>
  <si>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[IF_PriceRef_Sol]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</si>
  <si>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[IF_FrontRef_Sol]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</si>
  <si>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[IF_FrontModel_Sol]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</si>
  <si>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[IF_Life_Sol]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</si>
  <si>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[IF_CacheStore_Sol]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</si>
  <si>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[IF_AmortBU_Sol]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</si>
  <si>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</si>
  <si>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</si>
  <si>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[IF_AmortDefault_Sol]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</si>
  <si>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[IF_AmortRev_Sol]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</si>
  <si>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</si>
  <si>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[IF_RevGW_Sol]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</si>
  <si>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[IF_RevGWFront_Sol]</t>
    </r>
  </si>
  <si>
    <r>
      <rPr>
        <sz val="10"/>
        <color rgb="FF000000"/>
        <rFont val="Noto Sans CJK SC"/>
        <family val="2"/>
      </rPr>
      <t xml:space="preserve">新鮮輸入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[IF_PriceFresh_Astra]</t>
    </r>
  </si>
  <si>
    <r>
      <rPr>
        <sz val="10"/>
        <color rgb="FF000000"/>
        <rFont val="Noto Sans CJK SC"/>
        <family val="2"/>
      </rPr>
      <t xml:space="preserve">快取輸入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[IF_PriceCached_Astra]</t>
    </r>
  </si>
  <si>
    <r>
      <rPr>
        <sz val="10"/>
        <color rgb="FF000000"/>
        <rFont val="Noto Sans CJK SC"/>
        <family val="2"/>
      </rPr>
      <t xml:space="preserve">思考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有效（依輸出計費）　</t>
    </r>
    <r>
      <rPr>
        <sz val="10"/>
        <color rgb="FF000000"/>
        <rFont val="Arial"/>
        <family val="0"/>
        <charset val="1"/>
      </rPr>
      <t xml:space="preserve">[IF_PriceThink_Astra]</t>
    </r>
  </si>
  <si>
    <r>
      <rPr>
        <sz val="10"/>
        <color rgb="FF000000"/>
        <rFont val="Noto Sans CJK SC"/>
        <family val="2"/>
      </rPr>
      <t xml:space="preserve">可見輸出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[IF_PriceOut_Astra]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</si>
  <si>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OpenAI </t>
    </r>
    <r>
      <rPr>
        <sz val="10"/>
        <color rgb="FF000000"/>
        <rFont val="Noto Sans CJK SC"/>
        <family val="2"/>
      </rPr>
      <t xml:space="preserve">有效　</t>
    </r>
    <r>
      <rPr>
        <sz val="10"/>
        <color rgb="FF000000"/>
        <rFont val="Arial"/>
        <family val="0"/>
        <charset val="1"/>
      </rPr>
      <t xml:space="preserve">[IF_PriceRef_Astra]</t>
    </r>
  </si>
  <si>
    <r>
      <rPr>
        <sz val="10"/>
        <color rgb="FF000000"/>
        <rFont val="Noto Sans CJK SC"/>
        <family val="2"/>
      </rPr>
      <t xml:space="preserve">參考請求混合 </t>
    </r>
    <r>
      <rPr>
        <sz val="10"/>
        <color rgb="FF000000"/>
        <rFont val="Arial"/>
        <family val="0"/>
        <charset val="1"/>
      </rPr>
      <t xml:space="preserve">$/M — </t>
    </r>
    <r>
      <rPr>
        <sz val="10"/>
        <color rgb="FF000000"/>
        <rFont val="Noto Sans CJK SC"/>
        <family val="2"/>
      </rPr>
      <t xml:space="preserve">前緣有效　</t>
    </r>
    <r>
      <rPr>
        <sz val="10"/>
        <color rgb="FF000000"/>
        <rFont val="Arial"/>
        <family val="0"/>
        <charset val="1"/>
      </rPr>
      <t xml:space="preserve">[IF_FrontRef_Astra]</t>
    </r>
  </si>
  <si>
    <r>
      <rPr>
        <sz val="10"/>
        <color rgb="FF000000"/>
        <rFont val="Noto Sans CJK SC"/>
        <family val="2"/>
      </rPr>
      <t xml:space="preserve">前緣模型（顯示）　</t>
    </r>
    <r>
      <rPr>
        <sz val="10"/>
        <color rgb="FF000000"/>
        <rFont val="Arial"/>
        <family val="0"/>
        <charset val="1"/>
      </rPr>
      <t xml:space="preserve">[IF_FrontModel_Astra]</t>
    </r>
  </si>
  <si>
    <r>
      <rPr>
        <sz val="10"/>
        <color rgb="FF000000"/>
        <rFont val="Noto Sans CJK SC"/>
        <family val="2"/>
      </rPr>
      <t xml:space="preserve">商業壽命　</t>
    </r>
    <r>
      <rPr>
        <sz val="10"/>
        <color rgb="FF000000"/>
        <rFont val="Arial"/>
        <family val="0"/>
        <charset val="1"/>
      </rPr>
      <t xml:space="preserve">[IF_Life_Astra]</t>
    </r>
  </si>
  <si>
    <r>
      <rPr>
        <sz val="10"/>
        <color rgb="FF000000"/>
        <rFont val="Noto Sans CJK SC"/>
        <family val="2"/>
      </rPr>
      <t xml:space="preserve">快取儲存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快取命中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[IF_CacheStore_Astra]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</si>
  <si>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128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</si>
  <si>
    <r>
      <rPr>
        <sz val="10"/>
        <color rgb="FF000000"/>
        <rFont val="Noto Sans CJK SC"/>
        <family val="2"/>
      </rPr>
      <t xml:space="preserve">訓練攤提 自下而上＝回本所需溢價　</t>
    </r>
    <r>
      <rPr>
        <sz val="10"/>
        <color rgb="FF000000"/>
        <rFont val="Arial"/>
        <family val="0"/>
        <charset val="1"/>
      </rPr>
      <t xml:space="preserve">[IF_AmortBU_Astra]</t>
    </r>
  </si>
  <si>
    <r>
      <rPr>
        <sz val="10"/>
        <color rgb="FF000000"/>
        <rFont val="Noto Sans CJK SC"/>
        <family val="2"/>
      </rPr>
      <t xml:space="preserve">訓練攤提 由上而下（機隊訓練占比）　</t>
    </r>
    <r>
      <rPr>
        <sz val="10"/>
        <color rgb="FF000000"/>
        <rFont val="Arial"/>
        <family val="0"/>
        <charset val="1"/>
      </rPr>
      <t xml:space="preserve">[IF_AmortTD_Astra]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</si>
  <si>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　</t>
    </r>
    <r>
      <rPr>
        <sz val="10"/>
        <color rgb="FF000000"/>
        <rFont val="Arial"/>
        <family val="0"/>
        <charset val="1"/>
      </rPr>
      <t xml:space="preserve">[IF_FullCost_Astra]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</si>
  <si>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自下而上權重（下游預設）　</t>
    </r>
    <r>
      <rPr>
        <sz val="10"/>
        <color rgb="FF000000"/>
        <rFont val="Arial"/>
        <family val="0"/>
        <charset val="1"/>
      </rPr>
      <t xml:space="preserve">[IF_AmortDefault_Astra]</t>
    </r>
  </si>
  <si>
    <r>
      <rPr>
        <sz val="10"/>
        <color rgb="FF000000"/>
        <rFont val="Noto Sans CJK SC"/>
        <family val="2"/>
      </rPr>
      <t xml:space="preserve">訓練攤提 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：由上而下總額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營收權重（分母＝付費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v9.0 M4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[IF_AmortRev_Astra]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</si>
  <si>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預設攤提；基準利用率；下游預設）　</t>
    </r>
    <r>
      <rPr>
        <sz val="10"/>
        <color rgb="FF000000"/>
        <rFont val="Arial"/>
        <family val="0"/>
        <charset val="1"/>
      </rPr>
      <t xml:space="preserve">[IF_FullCostDefault_Astra]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</si>
  <si>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[IF_RevGW_Astra]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</si>
  <si>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　</t>
    </r>
    <r>
      <rPr>
        <sz val="10"/>
        <color rgb="FF000000"/>
        <rFont val="Arial"/>
        <family val="0"/>
        <charset val="1"/>
      </rPr>
      <t xml:space="preserve">[IF_RevGWFront_Astra]</t>
    </r>
  </si>
  <si>
    <r>
      <rPr>
        <b val="true"/>
        <sz val="10"/>
        <rFont val="Arial"/>
        <family val="0"/>
        <charset val="1"/>
      </rPr>
      <t xml:space="preserve">1 GW </t>
    </r>
    <r>
      <rPr>
        <b val="true"/>
        <sz val="10"/>
        <rFont val="Noto Sans CJK SC"/>
        <family val="2"/>
      </rPr>
      <t xml:space="preserve">參考機隊（合計為層級組合：付費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依 </t>
    </r>
    <r>
      <rPr>
        <b val="true"/>
        <sz val="10"/>
        <rFont val="Arial"/>
        <family val="0"/>
        <charset val="1"/>
      </rPr>
      <t xml:space="preserve">Cap_In </t>
    </r>
    <r>
      <rPr>
        <b val="true"/>
        <sz val="10"/>
        <rFont val="Noto Sans CJK SC"/>
        <family val="2"/>
      </rPr>
      <t xml:space="preserve">組合；各層級貢獻另列，合計＝三層級貢獻之和）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</si>
  <si>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</si>
  <si>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</si>
  <si>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</si>
  <si>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　</t>
    </r>
    <r>
      <rPr>
        <sz val="10"/>
        <color rgb="FF000000"/>
        <rFont val="Arial"/>
        <family val="0"/>
        <charset val="1"/>
      </rPr>
      <t xml:space="preserve">[IF_RevGWFleet_Astra]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</si>
  <si>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　</t>
    </r>
    <r>
      <rPr>
        <sz val="10"/>
        <color rgb="FF000000"/>
        <rFont val="Arial"/>
        <family val="0"/>
        <charset val="1"/>
      </rPr>
      <t xml:space="preserve">[IF_RevGWFleet]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</si>
  <si>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 貢獻 — 前緣單價　</t>
    </r>
    <r>
      <rPr>
        <sz val="10"/>
        <color rgb="FF000000"/>
        <rFont val="Arial"/>
        <family val="0"/>
        <charset val="1"/>
      </rPr>
      <t xml:space="preserve">[IF_RevGWFleetFront_Luna]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</si>
  <si>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</si>
  <si>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 貢獻 — 前緣單價　</t>
    </r>
    <r>
      <rPr>
        <sz val="10"/>
        <color rgb="FF000000"/>
        <rFont val="Arial"/>
        <family val="0"/>
        <charset val="1"/>
      </rPr>
      <t xml:space="preserve">[IF_RevGWFleetFront_Sol]</t>
    </r>
  </si>
  <si>
    <r>
      <rPr>
        <sz val="10"/>
        <color rgb="FF000000"/>
        <rFont val="Noto Sans CJK SC"/>
        <family val="2"/>
      </rPr>
      <t xml:space="preserve">付費服務營收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 貢獻 — 前緣單價　</t>
    </r>
    <r>
      <rPr>
        <sz val="10"/>
        <color rgb="FF000000"/>
        <rFont val="Arial"/>
        <family val="0"/>
        <charset val="1"/>
      </rPr>
      <t xml:space="preserve">[IF_RevGWFleetFront_Astra]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</si>
  <si>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　</t>
    </r>
    <r>
      <rPr>
        <sz val="10"/>
        <color rgb="FF000000"/>
        <rFont val="Arial"/>
        <family val="0"/>
        <charset val="1"/>
      </rPr>
      <t xml:space="preserve">[IF_RevGWFleetFront]</t>
    </r>
  </si>
  <si>
    <r>
      <rPr>
        <sz val="10"/>
        <color rgb="FF000000"/>
        <rFont val="Noto Sans CJK SC"/>
        <family val="2"/>
      </rPr>
      <t xml:space="preserve">對外服務占機隊（第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[IF_ServeShare]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</si>
  <si>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GM453</t>
    </r>
  </si>
  <si>
    <r>
      <rPr>
        <sz val="10"/>
        <color rgb="FF000000"/>
        <rFont val="Noto Sans CJK SC"/>
        <family val="2"/>
      </rPr>
      <t xml:space="preserve">免費占服務（第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層參考；下游覆寫）　</t>
    </r>
    <r>
      <rPr>
        <sz val="10"/>
        <color rgb="FF000000"/>
        <rFont val="Arial"/>
        <family val="0"/>
        <charset val="1"/>
      </rPr>
      <t xml:space="preserve">[IF_FreeShare]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</si>
  <si>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GM455</t>
    </r>
  </si>
  <si>
    <r>
      <rPr>
        <b val="true"/>
        <sz val="10"/>
        <rFont val="Arial"/>
        <family val="0"/>
        <charset val="1"/>
      </rPr>
      <t xml:space="preserve">E. Block 5 </t>
    </r>
    <r>
      <rPr>
        <b val="true"/>
        <sz val="10"/>
        <rFont val="Noto Sans CJK SC"/>
        <family val="2"/>
      </rPr>
      <t xml:space="preserve">產出（每任務層；欄 </t>
    </r>
    <r>
      <rPr>
        <b val="true"/>
        <sz val="10"/>
        <rFont val="Arial"/>
        <family val="0"/>
        <charset val="1"/>
      </rPr>
      <t xml:space="preserve">C–G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任務；現行＝依 </t>
    </r>
    <r>
      <rPr>
        <b val="true"/>
        <sz val="10"/>
        <rFont val="Arial"/>
        <family val="0"/>
        <charset val="1"/>
      </rPr>
      <t xml:space="preserve">Tech_Registry T12 </t>
    </r>
    <r>
      <rPr>
        <b val="true"/>
        <sz val="10"/>
        <rFont val="Noto Sans CJK SC"/>
        <family val="2"/>
      </rPr>
      <t xml:space="preserve">混合，基準等於標準 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GB300 </t>
    </r>
    <r>
      <rPr>
        <b val="true"/>
        <sz val="10"/>
        <rFont val="Noto Sans CJK SC"/>
        <family val="2"/>
      </rPr>
      <t xml:space="preserve">基準成本）</t>
    </r>
  </si>
  <si>
    <r>
      <rPr>
        <b val="true"/>
        <sz val="10"/>
        <rFont val="Noto Sans CJK SC"/>
        <family val="2"/>
      </rPr>
      <t xml:space="preserve">任務　</t>
    </r>
    <r>
      <rPr>
        <b val="true"/>
        <sz val="10"/>
        <rFont val="Arial"/>
        <family val="0"/>
        <charset val="1"/>
      </rPr>
      <t xml:space="preserve">[IF_HdrTask]</t>
    </r>
  </si>
  <si>
    <t xml:space="preserve">（表頭）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</si>
  <si>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T12 </t>
    </r>
    <r>
      <rPr>
        <sz val="10"/>
        <color rgb="FF000000"/>
        <rFont val="Noto Sans CJK SC"/>
        <family val="2"/>
      </rPr>
      <t xml:space="preserve">開關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採用比例）　</t>
    </r>
    <r>
      <rPr>
        <sz val="10"/>
        <color rgb="FF000000"/>
        <rFont val="Arial"/>
        <family val="0"/>
        <charset val="1"/>
      </rPr>
      <t xml:space="preserve">[IF_HarW]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</si>
  <si>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</si>
  <si>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檔案（情境）　</t>
    </r>
    <r>
      <rPr>
        <sz val="10"/>
        <color rgb="FF000000"/>
        <rFont val="Arial"/>
        <family val="0"/>
        <charset val="1"/>
      </rPr>
      <t xml:space="preserve">[IF_HarProfile]</t>
    </r>
  </si>
  <si>
    <r>
      <rPr>
        <sz val="10"/>
        <color rgb="FF000000"/>
        <rFont val="Noto Sans CJK SC"/>
        <family val="2"/>
      </rPr>
      <t xml:space="preserve">任務長度（人類完成時間）　</t>
    </r>
    <r>
      <rPr>
        <sz val="10"/>
        <color rgb="FF000000"/>
        <rFont val="Arial"/>
        <family val="0"/>
        <charset val="1"/>
      </rPr>
      <t xml:space="preserve">[IF_TaskLen]</t>
    </r>
  </si>
  <si>
    <r>
      <rPr>
        <sz val="10"/>
        <color rgb="FF000000"/>
        <rFont val="Noto Sans CJK SC"/>
        <family val="2"/>
      </rPr>
      <t xml:space="preserve">每次嘗試 新鮮輸入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[IF_TaskTokFresh]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</si>
  <si>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</si>
  <si>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快取輸入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[IF_TaskTokCached]</t>
    </r>
  </si>
  <si>
    <r>
      <rPr>
        <sz val="10"/>
        <color rgb="FF000000"/>
        <rFont val="Noto Sans CJK SC"/>
        <family val="2"/>
      </rPr>
      <t xml:space="preserve">每次嘗試 </t>
    </r>
    <r>
      <rPr>
        <sz val="10"/>
        <color rgb="FF000000"/>
        <rFont val="Arial"/>
        <family val="0"/>
        <charset val="1"/>
      </rPr>
      <t xml:space="preserve">decode token</t>
    </r>
    <r>
      <rPr>
        <sz val="10"/>
        <color rgb="FF000000"/>
        <rFont val="Noto Sans CJK SC"/>
        <family val="2"/>
      </rPr>
      <t xml:space="preserve">（思考＋可見；現行）　</t>
    </r>
    <r>
      <rPr>
        <sz val="10"/>
        <color rgb="FF000000"/>
        <rFont val="Arial"/>
        <family val="0"/>
        <charset val="1"/>
      </rPr>
      <t xml:space="preserve">[IF_TaskTokDec]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</si>
  <si>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</si>
  <si>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每次嘗試 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[IF_TaskTokSel]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</si>
  <si>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</si>
  <si>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　</t>
    </r>
    <r>
      <rPr>
        <sz val="10"/>
        <color rgb="FF000000"/>
        <rFont val="Arial"/>
        <family val="0"/>
        <charset val="1"/>
      </rPr>
      <t xml:space="preserve">[IF_HarTokRatio]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</si>
  <si>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</si>
  <si>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</si>
  <si>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</si>
  <si>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</si>
  <si>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</si>
  <si>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</si>
  <si>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</si>
  <si>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</si>
  <si>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</si>
  <si>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</si>
  <si>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83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</si>
  <si>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[IF_HarR_Luna]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</si>
  <si>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</si>
  <si>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</si>
  <si>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[IF_CostSuccVR_Sol]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</si>
  <si>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[IF_CostSuccGB_Sol]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</si>
  <si>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[IF_RevSucc_Sol]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</si>
  <si>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[IF_HarR_Sol]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</si>
  <si>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[IF_TaskSucc_Astra]</t>
    </r>
  </si>
  <si>
    <r>
      <rPr>
        <sz val="10"/>
        <color rgb="FF000000"/>
        <rFont val="Noto Sans CJK SC"/>
        <family val="2"/>
      </rPr>
      <t xml:space="preserve">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（選定檔案全採用；情境）　</t>
    </r>
    <r>
      <rPr>
        <sz val="10"/>
        <color rgb="FF000000"/>
        <rFont val="Arial"/>
        <family val="0"/>
        <charset val="1"/>
      </rPr>
      <t xml:space="preserve">[IF_TaskSuccSel_Astra]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</si>
  <si>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（現行；經濟、基準成本、基準利用率）　</t>
    </r>
    <r>
      <rPr>
        <sz val="10"/>
        <color rgb="FF000000"/>
        <rFont val="Arial"/>
        <family val="0"/>
        <charset val="1"/>
      </rPr>
      <t xml:space="preserve">[IF_CostSuccVR_Astra]</t>
    </r>
  </si>
  <si>
    <r>
      <rPr>
        <sz val="10"/>
        <color rgb="FF000000"/>
        <rFont val="Noto Sans CJK SC"/>
        <family val="2"/>
      </rPr>
      <t xml:space="preserve">每成功任務成本 —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（現行）　</t>
    </r>
    <r>
      <rPr>
        <sz val="10"/>
        <color rgb="FF000000"/>
        <rFont val="Arial"/>
        <family val="0"/>
        <charset val="1"/>
      </rPr>
      <t xml:space="preserve">[IF_CostSuccGB_Astra]</t>
    </r>
  </si>
  <si>
    <r>
      <rPr>
        <sz val="10"/>
        <color rgb="FF000000"/>
        <rFont val="Noto Sans CJK SC"/>
        <family val="2"/>
      </rPr>
      <t xml:space="preserve">每成功任務營收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有效單價（現行）　</t>
    </r>
    <r>
      <rPr>
        <sz val="10"/>
        <color rgb="FF000000"/>
        <rFont val="Arial"/>
        <family val="0"/>
        <charset val="1"/>
      </rPr>
      <t xml:space="preserve">[IF_RevSucc_Astra]</t>
    </r>
  </si>
  <si>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＝每成功任務成本 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[IF_HarR_Astra]</t>
    </r>
  </si>
  <si>
    <r>
      <rPr>
        <b val="true"/>
        <sz val="10"/>
        <rFont val="Arial"/>
        <family val="0"/>
        <charset val="1"/>
      </rPr>
      <t xml:space="preserve">v5.10</t>
    </r>
    <r>
      <rPr>
        <b val="true"/>
        <sz val="10"/>
        <rFont val="Noto Sans CJK SC"/>
        <family val="2"/>
      </rPr>
      <t xml:space="preserve">：每次嘗試成本、有效時間範圍與可靠度下限前緣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</si>
  <si>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[IF_CostAttVR_Luna]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</si>
  <si>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</si>
  <si>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（低層）｜有效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[IF_HzEff_Luna]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</si>
  <si>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[IF_CostAttVR_Sol]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</si>
  <si>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（中層）｜有效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[IF_HzEff_Sol]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</si>
  <si>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（頂層）｜每次嘗試成本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（現行；經濟、基準成本、基準利用率；</t>
    </r>
    <r>
      <rPr>
        <sz val="10"/>
        <color rgb="FF000000"/>
        <rFont val="Arial"/>
        <family val="0"/>
        <charset val="1"/>
      </rPr>
      <t xml:space="preserve">÷ p</t>
    </r>
    <r>
      <rPr>
        <sz val="10"/>
        <color rgb="FF000000"/>
        <rFont val="Noto Sans CJK SC"/>
        <family val="2"/>
      </rPr>
      <t xml:space="preserve">＝每成功任務成本）　</t>
    </r>
    <r>
      <rPr>
        <sz val="10"/>
        <color rgb="FF000000"/>
        <rFont val="Arial"/>
        <family val="0"/>
        <charset val="1"/>
      </rPr>
      <t xml:space="preserve">[IF_CostAttVR_Astra]</t>
    </r>
  </si>
  <si>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（頂層）｜有效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時間範圍（層級基準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時間範圍倍數；現行）　</t>
    </r>
    <r>
      <rPr>
        <sz val="10"/>
        <color rgb="FF000000"/>
        <rFont val="Arial"/>
        <family val="0"/>
        <charset val="1"/>
      </rPr>
      <t xml:space="preserve">[IF_HzEff_Astra]</t>
    </r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</si>
  <si>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[IF_PFloor]</t>
    </r>
  </si>
  <si>
    <r>
      <rPr>
        <sz val="10"/>
        <color rgb="FF000000"/>
        <rFont val="Noto Sans CJK SC"/>
        <family val="2"/>
      </rPr>
      <t xml:space="preserve">成功任務成本前緣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標準／選定檔案）　</t>
    </r>
    <r>
      <rPr>
        <sz val="10"/>
        <color rgb="FF000000"/>
        <rFont val="Arial"/>
        <family val="0"/>
        <charset val="1"/>
      </rPr>
      <t xml:space="preserve">[IF_FrontSuccVR]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</si>
  <si>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GM285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GM299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</si>
  <si>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成功任務成本前緣組合 —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（層級｜檔案；『無合格』＝無組合達下限）　</t>
    </r>
    <r>
      <rPr>
        <sz val="10"/>
        <color rgb="FF000000"/>
        <rFont val="Arial"/>
        <family val="0"/>
        <charset val="1"/>
      </rPr>
      <t xml:space="preserve">[IF_FrontSuccVRName]</t>
    </r>
  </si>
  <si>
    <r>
      <rPr>
        <sz val="10"/>
        <color rgb="FF000000"/>
        <rFont val="Noto Sans CJK SC"/>
        <family val="2"/>
      </rPr>
      <t xml:space="preserve">成功任務成本前緣組合的成功率 </t>
    </r>
    <r>
      <rPr>
        <sz val="10"/>
        <color rgb="FF000000"/>
        <rFont val="Arial"/>
        <family val="0"/>
        <charset val="1"/>
      </rPr>
      <t xml:space="preserve">p — VR200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[IF_FrontSuccVRP]</t>
    </r>
  </si>
  <si>
    <r>
      <rPr>
        <b val="true"/>
        <sz val="10"/>
        <rFont val="Arial"/>
        <family val="0"/>
        <charset val="1"/>
      </rPr>
      <t xml:space="preserve">F. Block 6 </t>
    </r>
    <r>
      <rPr>
        <b val="true"/>
        <sz val="10"/>
        <rFont val="Noto Sans CJK SC"/>
        <family val="2"/>
      </rPr>
      <t xml:space="preserve">產出（研發與服務的算力配置；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穩態年度；服務世代組合與訓練世代見 </t>
    </r>
    <r>
      <rPr>
        <b val="true"/>
        <sz val="10"/>
        <rFont val="Arial"/>
        <family val="0"/>
        <charset val="1"/>
      </rPr>
      <t xml:space="preserve">Alloc_In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Alloc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不可達時為文字）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</si>
  <si>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：研發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研發＋服務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主口徑）　</t>
    </r>
    <r>
      <rPr>
        <sz val="10"/>
        <color rgb="FF000000"/>
        <rFont val="Arial"/>
        <family val="0"/>
        <charset val="1"/>
      </rPr>
      <t xml:space="preserve">[IF_AllocQ1]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</si>
  <si>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76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</si>
  <si>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：免費服務算作產品改良；服務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＝支出路線，免費服務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＝服務 </t>
    </r>
    <r>
      <rPr>
        <sz val="10"/>
        <color rgb="FF000000"/>
        <rFont val="Arial"/>
        <family val="0"/>
        <charset val="1"/>
      </rPr>
      <t xml:space="preserve">GW × AL_FreeSpendShare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[IF_AllocQ1_R2]</t>
    </r>
  </si>
  <si>
    <r>
      <rPr>
        <sz val="10"/>
        <color rgb="FF000000"/>
        <rFont val="Noto Sans CJK SC"/>
        <family val="2"/>
      </rPr>
      <t xml:space="preserve">研發算力成本占比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（＋服務持有成本＝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，支出路線，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）；利用率不進入）　</t>
    </r>
    <r>
      <rPr>
        <sz val="10"/>
        <color rgb="FF000000"/>
        <rFont val="Arial"/>
        <family val="0"/>
        <charset val="1"/>
      </rPr>
      <t xml:space="preserve">[IF_AllocQ2]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</si>
  <si>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合計（支出路線＝</t>
    </r>
    <r>
      <rPr>
        <sz val="10"/>
        <color rgb="FF000000"/>
        <rFont val="Arial"/>
        <family val="0"/>
        <charset val="1"/>
      </rPr>
      <t xml:space="preserve">SRC_DEM_004 ÷ Σ </t>
    </r>
    <r>
      <rPr>
        <sz val="10"/>
        <color rgb="FF000000"/>
        <rFont val="Noto Sans CJK SC"/>
        <family val="2"/>
      </rPr>
      <t xml:space="preserve">世代占比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主口徑；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關鍵電力）　</t>
    </r>
    <r>
      <rPr>
        <sz val="10"/>
        <color rgb="FF000000"/>
        <rFont val="Arial"/>
        <family val="0"/>
        <charset val="1"/>
      </rPr>
      <t xml:space="preserve">[IF_AllocServeGW]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</si>
  <si>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62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277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</si>
  <si>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k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N_major × </t>
    </r>
    <r>
      <rPr>
        <sz val="10"/>
        <color rgb="FF000000"/>
        <rFont val="Noto Sans CJK SC"/>
        <family val="2"/>
      </rPr>
      <t xml:space="preserve">家族＋</t>
    </r>
    <r>
      <rPr>
        <sz val="10"/>
        <color rgb="FF000000"/>
        <rFont val="Arial"/>
        <family val="0"/>
        <charset val="1"/>
      </rPr>
      <t xml:space="preserve">N_refresh × </t>
    </r>
    <r>
      <rPr>
        <sz val="10"/>
        <color rgb="FF000000"/>
        <rFont val="Noto Sans CJK SC"/>
        <family val="2"/>
      </rPr>
      <t xml:space="preserve">改版）；</t>
    </r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研發世代組合加權，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節）　</t>
    </r>
    <r>
      <rPr>
        <sz val="10"/>
        <color rgb="FF000000"/>
        <rFont val="Arial"/>
        <family val="0"/>
        <charset val="1"/>
      </rPr>
      <t xml:space="preserve">[IF_AllocRDGW]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</si>
  <si>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</si>
  <si>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需求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；付費＋免費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[IF_AllocDemand]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</si>
  <si>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GM586</t>
    </r>
  </si>
  <si>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支出比反推；以家族計畫當量；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[IF_AllocImpliedNk]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）：性質＝倒推（隱含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落差由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支出反推研發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，再除以計畫當量；不是觀測值）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</si>
  <si>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</si>
  <si>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生產折減並列輸出（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C18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</t>
    </r>
    <r>
      <rPr>
        <b val="true"/>
        <sz val="10"/>
        <rFont val="Noto Sans CJK SC"/>
        <family val="2"/>
      </rPr>
      <t xml:space="preserve">）維持 </t>
    </r>
    <r>
      <rPr>
        <b val="true"/>
        <sz val="10"/>
        <rFont val="Arial"/>
        <family val="0"/>
        <charset val="1"/>
      </rPr>
      <t xml:space="preserve">1.0</t>
    </r>
    <r>
      <rPr>
        <b val="true"/>
        <sz val="10"/>
        <rFont val="Noto Sans CJK SC"/>
        <family val="2"/>
      </rPr>
      <t xml:space="preserve">；本節以 </t>
    </r>
    <r>
      <rPr>
        <b val="true"/>
        <sz val="10"/>
        <rFont val="Arial"/>
        <family val="0"/>
        <charset val="1"/>
      </rPr>
      <t xml:space="preserve">CTL_ProdDerate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Serving!C28</t>
    </r>
    <r>
      <rPr>
        <b val="true"/>
        <sz val="10"/>
        <rFont val="Noto Sans CJK SC"/>
        <family val="2"/>
      </rPr>
      <t xml:space="preserve">，情境值，預設 </t>
    </r>
    <r>
      <rPr>
        <b val="true"/>
        <sz val="10"/>
        <rFont val="Arial"/>
        <family val="0"/>
        <charset val="1"/>
      </rPr>
      <t xml:space="preserve">0.85</t>
    </r>
    <r>
      <rPr>
        <b val="true"/>
        <sz val="10"/>
        <rFont val="Noto Sans CJK SC"/>
        <family val="2"/>
      </rPr>
      <t xml:space="preserve">）重算同一條推導鏈（</t>
    </r>
    <r>
      <rPr>
        <b val="true"/>
        <sz val="10"/>
        <rFont val="Arial"/>
        <family val="0"/>
        <charset val="1"/>
      </rPr>
      <t xml:space="preserve">Perf_Prod → Unit_Cost_Prod → Interface_Prod → Fleet_1GW_Prod → Amortize_Prod → Theory_Rev_Prod</t>
    </r>
    <r>
      <rPr>
        <b val="true"/>
        <sz val="10"/>
        <rFont val="Noto Sans CJK SC"/>
        <family val="2"/>
      </rPr>
      <t xml:space="preserve">）。口徑同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</si>
  <si>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[IF_FullCost_Luna_Prod]</t>
    </r>
  </si>
  <si>
    <t xml:space="preserve">CTL_ProdDerate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</si>
  <si>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75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325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GM428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GM519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</si>
  <si>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[IF_FullCost_Sol_Prod]</t>
    </r>
  </si>
  <si>
    <r>
      <rPr>
        <sz val="10"/>
        <color rgb="FF000000"/>
        <rFont val="Noto Sans CJK SC"/>
        <family val="2"/>
      </rPr>
      <t xml:space="preserve">全成本 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（服務＋快取儲存＋自下而上攤提；基準利用率）（生產折減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[IF_FullCost_Astra_Prod]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</si>
  <si>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</si>
  <si>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</si>
  <si>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</si>
  <si>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[IF_RevGW_Astra_Prod]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</si>
  <si>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[IF_RevGWFleet_Prod]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</si>
  <si>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</si>
  <si>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H. </t>
    </r>
    <r>
      <rPr>
        <b val="true"/>
        <sz val="10"/>
        <rFont val="Noto Sans CJK SC"/>
        <family val="2"/>
      </rPr>
      <t xml:space="preserve">營收實現並列輸出（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D7-3 </t>
    </r>
    <r>
      <rPr>
        <b val="true"/>
        <sz val="10"/>
        <rFont val="Noto Sans CJK SC"/>
        <family val="2"/>
      </rPr>
      <t xml:space="preserve">起 </t>
    </r>
    <r>
      <rPr>
        <b val="true"/>
        <sz val="10"/>
        <rFont val="Arial"/>
        <family val="0"/>
        <charset val="1"/>
      </rPr>
      <t xml:space="preserve">IF_*_Life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的過渡別名，下一個主版刪除）：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節基準列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壽命期價格係數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CTL_Monetize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Cap_In</t>
    </r>
    <r>
      <rPr>
        <b val="true"/>
        <sz val="10"/>
        <rFont val="Noto Sans CJK SC"/>
        <family val="2"/>
      </rPr>
      <t xml:space="preserve">）；基準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時等於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節對應列；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不可達時為文字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</si>
  <si>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IFW_RevGW_Luna_Life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[IF_RevGW_Luna_Life]</t>
    </r>
  </si>
  <si>
    <t xml:space="preserve">L×m</t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</si>
  <si>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</si>
  <si>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IFW_RevGW_Sol_Life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</si>
  <si>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IFW_RevGW_Astra_Life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[IF_RevGW_Astra_Life]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</si>
  <si>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有效單價（理想上限）（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；過渡別名＝</t>
    </r>
    <r>
      <rPr>
        <sz val="10"/>
        <color rgb="FF000000"/>
        <rFont val="Arial"/>
        <family val="0"/>
        <charset val="1"/>
      </rPr>
      <t xml:space="preserve">IFW_RevGWFleet_Life</t>
    </r>
    <r>
      <rPr>
        <sz val="10"/>
        <color rgb="FF000000"/>
        <rFont val="Noto Sans CJK SC"/>
        <family val="2"/>
      </rPr>
      <t xml:space="preserve">；下一個主版刪除）　</t>
    </r>
    <r>
      <rPr>
        <sz val="10"/>
        <color rgb="FF000000"/>
        <rFont val="Arial"/>
        <family val="0"/>
        <charset val="1"/>
      </rPr>
      <t xml:space="preserve">[IF_RevGWFleet_Life]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</si>
  <si>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</si>
  <si>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構件（下游公司模型用，</t>
    </r>
    <r>
      <rPr>
        <b val="true"/>
        <sz val="10"/>
        <rFont val="Arial"/>
        <family val="0"/>
        <charset val="1"/>
      </rPr>
      <t xml:space="preserve">v5.26</t>
    </r>
    <r>
      <rPr>
        <b val="true"/>
        <sz val="10"/>
        <rFont val="Noto Sans CJK SC"/>
        <family val="2"/>
      </rPr>
      <t xml:space="preserve">）：每列連結 </t>
    </r>
    <r>
      <rPr>
        <b val="true"/>
        <sz val="10"/>
        <rFont val="Arial"/>
        <family val="0"/>
        <charset val="1"/>
      </rPr>
      <t xml:space="preserve">DC_Cost </t>
    </r>
    <r>
      <rPr>
        <b val="true"/>
        <sz val="10"/>
        <rFont val="Noto Sans CJK SC"/>
        <family val="2"/>
      </rPr>
      <t xml:space="preserve">同世代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成本情境欄的同一列；金額除以 </t>
    </r>
    <r>
      <rPr>
        <b val="true"/>
        <sz val="10"/>
        <rFont val="Arial"/>
        <family val="0"/>
        <charset val="1"/>
      </rPr>
      <t xml:space="preserve">CTL_GW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Inputs!E5</t>
    </r>
    <r>
      <rPr>
        <b val="true"/>
        <sz val="10"/>
        <rFont val="Noto Sans CJK SC"/>
        <family val="2"/>
      </rPr>
      <t xml:space="preserve">）換算為每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關鍵電力），比率與年限不換算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</si>
  <si>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　</t>
    </r>
    <r>
      <rPr>
        <sz val="10"/>
        <color rgb="FF000000"/>
        <rFont val="Arial"/>
        <family val="0"/>
        <charset val="1"/>
      </rPr>
      <t xml:space="preserve">[IF_DeprLifeIT]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</si>
  <si>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</si>
  <si>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折舊　</t>
    </r>
    <r>
      <rPr>
        <sz val="10"/>
        <color rgb="FF000000"/>
        <rFont val="Arial"/>
        <family val="0"/>
        <charset val="1"/>
      </rPr>
      <t xml:space="preserve">[IF_DeprIT]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</si>
  <si>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</si>
  <si>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廠房折舊（土地不折舊）　</t>
    </r>
    <r>
      <rPr>
        <sz val="10"/>
        <color rgb="FF000000"/>
        <rFont val="Arial"/>
        <family val="0"/>
        <charset val="1"/>
      </rPr>
      <t xml:space="preserve">[IF_DeprFac]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</si>
  <si>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</si>
  <si>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平均用電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配電設計功率　</t>
    </r>
    <r>
      <rPr>
        <sz val="10"/>
        <color rgb="FF000000"/>
        <rFont val="Arial"/>
        <family val="0"/>
        <charset val="1"/>
      </rPr>
      <t xml:space="preserve">[IF_AvgDraw]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</si>
  <si>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</si>
  <si>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電價　</t>
    </r>
    <r>
      <rPr>
        <sz val="10"/>
        <color rgb="FF000000"/>
        <rFont val="Arial"/>
        <family val="0"/>
        <charset val="1"/>
      </rPr>
      <t xml:space="preserve">[IF_PowerPrice]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</si>
  <si>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　</t>
    </r>
    <r>
      <rPr>
        <sz val="10"/>
        <color rgb="FF000000"/>
        <rFont val="Arial"/>
        <family val="0"/>
        <charset val="1"/>
      </rPr>
      <t xml:space="preserve">[IF_MaintIT]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</si>
  <si>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</si>
  <si>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廠房維護　</t>
    </r>
    <r>
      <rPr>
        <sz val="10"/>
        <color rgb="FF000000"/>
        <rFont val="Arial"/>
        <family val="0"/>
        <charset val="1"/>
      </rPr>
      <t xml:space="preserve">[IF_MaintFac]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</si>
  <si>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22</t>
    </r>
    <r>
      <rPr>
        <sz val="9"/>
        <color rgb="FF595959"/>
        <rFont val="Noto Sans CJK SC"/>
        <family val="2"/>
      </rPr>
      <t xml:space="preserve">：（無高段）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</si>
  <si>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人員、軟體、水與耗材（站點營運；不含平台研發）　</t>
    </r>
    <r>
      <rPr>
        <sz val="10"/>
        <color rgb="FF000000"/>
        <rFont val="Arial"/>
        <family val="0"/>
        <charset val="1"/>
      </rPr>
      <t xml:space="preserve">[IF_StaffSW]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</si>
  <si>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財產稅與保險　</t>
    </r>
    <r>
      <rPr>
        <sz val="10"/>
        <color rgb="FF000000"/>
        <rFont val="Arial"/>
        <family val="0"/>
        <charset val="1"/>
      </rPr>
      <t xml:space="preserve">[IF_TaxIns]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</si>
  <si>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</si>
  <si>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營運費用小計（不含折舊；含電費）　</t>
    </r>
    <r>
      <rPr>
        <sz val="10"/>
        <color rgb="FF000000"/>
        <rFont val="Arial"/>
        <family val="0"/>
        <charset val="1"/>
      </rPr>
      <t xml:space="preserve">[IF_OpexGW]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</si>
  <si>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18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102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</si>
  <si>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加總核對：</t>
    </r>
    <r>
      <rPr>
        <sz val="10"/>
        <color rgb="FF000000"/>
        <rFont val="Arial"/>
        <family val="0"/>
        <charset val="1"/>
      </rPr>
      <t xml:space="preserve">IF_DeprIT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IF_DeprFac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IF_OpexGW − IF_HoldAcct</t>
    </r>
    <r>
      <rPr>
        <sz val="10"/>
        <color rgb="FF000000"/>
        <rFont val="Noto Sans CJK SC"/>
        <family val="2"/>
      </rPr>
      <t xml:space="preserve">（每欄應為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；顯示用，不設名稱）｜</t>
    </r>
    <r>
      <rPr>
        <sz val="10"/>
        <color rgb="FF000000"/>
        <rFont val="Arial"/>
        <family val="0"/>
        <charset val="1"/>
      </rPr>
      <t xml:space="preserve">v10.0 N3</t>
    </r>
    <r>
      <rPr>
        <sz val="10"/>
        <color rgb="FF000000"/>
        <rFont val="Noto Sans CJK SC"/>
        <family val="2"/>
      </rPr>
      <t xml:space="preserve">：性質＝恆等式（非驗證）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</si>
  <si>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C229:Q229</t>
    </r>
    <r>
      <rPr>
        <sz val="9"/>
        <color rgb="FF595959"/>
        <rFont val="Noto Sans CJK SC"/>
        <family val="2"/>
      </rPr>
      <t xml:space="preserve">（恆等式，非驗證）</t>
    </r>
  </si>
  <si>
    <r>
      <rPr>
        <b val="true"/>
        <sz val="10"/>
        <rFont val="Arial"/>
        <family val="0"/>
        <charset val="1"/>
      </rPr>
      <t xml:space="preserve">J. </t>
    </r>
    <r>
      <rPr>
        <b val="true"/>
        <sz val="10"/>
        <rFont val="Noto Sans CJK SC"/>
        <family val="2"/>
      </rPr>
      <t xml:space="preserve">四層瀑布並列（</t>
    </r>
    <r>
      <rPr>
        <b val="true"/>
        <sz val="10"/>
        <rFont val="Arial"/>
        <family val="0"/>
        <charset val="1"/>
      </rPr>
      <t xml:space="preserve">X14 (b) v5.29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X15 (a) v5.30 </t>
    </r>
    <r>
      <rPr>
        <b val="true"/>
        <sz val="10"/>
        <rFont val="Noto Sans CJK SC"/>
        <family val="2"/>
      </rPr>
      <t xml:space="preserve">起逐層累乘）：</t>
    </r>
    <r>
      <rPr>
        <b val="true"/>
        <sz val="10"/>
        <rFont val="Arial"/>
        <family val="0"/>
        <charset val="1"/>
      </rPr>
      <t xml:space="preserve">_100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口徑）→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_100 × IF_Util → _Prod</t>
    </r>
    <r>
      <rPr>
        <b val="true"/>
        <sz val="10"/>
        <rFont val="Noto Sans CJK SC"/>
        <family val="2"/>
      </rPr>
      <t xml:space="preserve">（營收＝</t>
    </r>
    <r>
      <rPr>
        <b val="true"/>
        <sz val="10"/>
        <rFont val="Arial"/>
        <family val="0"/>
        <charset val="1"/>
      </rPr>
      <t xml:space="preserve">CTL_ProdDerate </t>
    </r>
    <r>
      <rPr>
        <b val="true"/>
        <sz val="10"/>
        <rFont val="Noto Sans CJK SC"/>
        <family val="2"/>
      </rPr>
      <t xml:space="preserve">下重解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後的值，</t>
    </r>
    <r>
      <rPr>
        <b val="true"/>
        <sz val="10"/>
        <rFont val="Arial"/>
        <family val="0"/>
        <charset val="1"/>
      </rPr>
      <t xml:space="preserve">D7</t>
    </r>
    <r>
      <rPr>
        <b val="true"/>
        <sz val="10"/>
        <rFont val="Noto Sans CJK SC"/>
        <family val="2"/>
      </rPr>
      <t xml:space="preserve">，非 </t>
    </r>
    <r>
      <rPr>
        <b val="true"/>
        <sz val="10"/>
        <rFont val="Arial"/>
        <family val="0"/>
        <charset val="1"/>
      </rPr>
      <t xml:space="preserve">_Util </t>
    </r>
    <r>
      <rPr>
        <b val="true"/>
        <sz val="10"/>
        <rFont val="Noto Sans CJK SC"/>
        <family val="2"/>
      </rPr>
      <t xml:space="preserve">的線性折減；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產能為線性乘法）→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_Prod × CTL_PriceLife × CTL_Monetize</t>
    </r>
    <r>
      <rPr>
        <b val="true"/>
        <sz val="10"/>
        <rFont val="Noto Sans CJK SC"/>
        <family val="2"/>
      </rPr>
      <t xml:space="preserve">，單調遞減；</t>
    </r>
    <r>
      <rPr>
        <b val="true"/>
        <sz val="10"/>
        <rFont val="Arial"/>
        <family val="0"/>
        <charset val="1"/>
      </rPr>
      <t xml:space="preserve">_Prod </t>
    </r>
    <r>
      <rPr>
        <b val="true"/>
        <sz val="10"/>
        <rFont val="Noto Sans CJK SC"/>
        <family val="2"/>
      </rPr>
      <t xml:space="preserve">一律為重解 </t>
    </r>
    <r>
      <rPr>
        <b val="true"/>
        <sz val="10"/>
        <rFont val="Arial"/>
        <family val="0"/>
        <charset val="1"/>
      </rPr>
      <t xml:space="preserve">SLO </t>
    </r>
    <r>
      <rPr>
        <b val="true"/>
        <sz val="10"/>
        <rFont val="Noto Sans CJK SC"/>
        <family val="2"/>
      </rPr>
      <t xml:space="preserve">後的值（營收讀 </t>
    </r>
    <r>
      <rPr>
        <b val="true"/>
        <sz val="10"/>
        <rFont val="Arial"/>
        <family val="0"/>
        <charset val="1"/>
      </rPr>
      <t xml:space="preserve">G </t>
    </r>
    <r>
      <rPr>
        <b val="true"/>
        <sz val="10"/>
        <rFont val="Noto Sans CJK SC"/>
        <family val="2"/>
      </rPr>
      <t xml:space="preserve">節；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產能與前緣營收讀 </t>
    </r>
    <r>
      <rPr>
        <b val="true"/>
        <sz val="10"/>
        <rFont val="Arial"/>
        <family val="0"/>
        <charset val="1"/>
      </rPr>
      <t xml:space="preserve">Theory_Rev_Prod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Fleet_1GW_Prod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v6.0 D7-1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D7-2</t>
    </r>
    <r>
      <rPr>
        <b val="true"/>
        <sz val="10"/>
        <rFont val="Noto Sans CJK SC"/>
        <family val="2"/>
      </rPr>
      <t xml:space="preserve">）；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IF_*_Life </t>
    </r>
    <r>
      <rPr>
        <b val="true"/>
        <sz val="10"/>
        <rFont val="Noto Sans CJK SC"/>
        <family val="2"/>
      </rPr>
      <t xml:space="preserve">為本節 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的過渡別名（下一個主版刪除）；原 </t>
    </r>
    <r>
      <rPr>
        <b val="true"/>
        <sz val="10"/>
        <rFont val="Arial"/>
        <family val="0"/>
        <charset val="1"/>
      </rPr>
      <t xml:space="preserve">H </t>
    </r>
    <r>
      <rPr>
        <b val="true"/>
        <sz val="10"/>
        <rFont val="Noto Sans CJK SC"/>
        <family val="2"/>
      </rPr>
      <t xml:space="preserve">節 </t>
    </r>
    <r>
      <rPr>
        <b val="true"/>
        <sz val="10"/>
        <rFont val="Arial"/>
        <family val="0"/>
        <charset val="1"/>
      </rPr>
      <t xml:space="preserve">_Life</t>
    </r>
    <r>
      <rPr>
        <b val="true"/>
        <sz val="10"/>
        <rFont val="Noto Sans CJK SC"/>
        <family val="2"/>
      </rPr>
      <t xml:space="preserve">（不含折減）與 </t>
    </r>
    <r>
      <rPr>
        <b val="true"/>
        <sz val="10"/>
        <rFont val="Arial"/>
        <family val="0"/>
        <charset val="1"/>
      </rPr>
      <t xml:space="preserve">Interface_Prod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100% </t>
    </r>
    <r>
      <rPr>
        <b val="true"/>
        <sz val="10"/>
        <rFont val="Noto Sans CJK SC"/>
        <family val="2"/>
      </rPr>
      <t xml:space="preserve">口徑重解）保留原處作並列對照；自我檢查見本節末與 </t>
    </r>
    <r>
      <rPr>
        <b val="true"/>
        <sz val="10"/>
        <rFont val="Arial"/>
        <family val="0"/>
        <charset val="1"/>
      </rPr>
      <t xml:space="preserve">Checks K3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</si>
  <si>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</si>
  <si>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</si>
  <si>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</si>
  <si>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207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[IFW_RevGW_Luna_Prod]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</si>
  <si>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</si>
  <si>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</si>
  <si>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</si>
  <si>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208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</si>
  <si>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</si>
  <si>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</si>
  <si>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</si>
  <si>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209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</si>
  <si>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[IFW_RevGW_Astra_Life]</t>
    </r>
  </si>
  <si>
    <r>
      <rPr>
        <b val="true"/>
        <sz val="10"/>
        <rFont val="Noto Sans CJK SC"/>
        <family val="2"/>
      </rPr>
      <t xml:space="preserve">付費服務營收合計（層級組合）— </t>
    </r>
    <r>
      <rPr>
        <b val="true"/>
        <sz val="10"/>
        <rFont val="Arial"/>
        <family val="0"/>
        <charset val="1"/>
      </rPr>
      <t xml:space="preserve">OpenAI </t>
    </r>
    <r>
      <rPr>
        <b val="true"/>
        <sz val="10"/>
        <rFont val="Noto Sans CJK SC"/>
        <family val="2"/>
      </rPr>
      <t xml:space="preserve">有效單價（理想上限）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</si>
  <si>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[IFW_RevGWFleet_100]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</si>
  <si>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[IFW_RevGWFleet_Util]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</si>
  <si>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列：重解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後的值）　</t>
    </r>
    <r>
      <rPr>
        <sz val="10"/>
        <color rgb="FF000000"/>
        <rFont val="Arial"/>
        <family val="0"/>
        <charset val="1"/>
      </rPr>
      <t xml:space="preserve">[IFW_RevGWFleet_Prod]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</si>
  <si>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[IFW_RevGWFleet_Life]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</si>
  <si>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理論營收 — 前緣單價（理想上限）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</si>
  <si>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</si>
  <si>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[IFW_RevGWFront_Luna_Util]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</si>
  <si>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</si>
  <si>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</si>
  <si>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[IFW_RevGWFront_Luna_Life]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</si>
  <si>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</si>
  <si>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</si>
  <si>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</si>
  <si>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</si>
  <si>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</si>
  <si>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</si>
  <si>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[IFW_RevGWFront_Astra_Util]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</si>
  <si>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列重解後產出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[IFW_RevGWFront_Astra_Prod]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</si>
  <si>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[IFW_RevGWFront_Astra_Life]</t>
    </r>
  </si>
  <si>
    <t xml:space="preserve">付費服務營收合計（層級組合）— 前緣單價（理想上限）</t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</si>
  <si>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[IFW_RevGWFleetFront_100]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</si>
  <si>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[IFW_RevGWFleetFront_Util]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</si>
  <si>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（重解後）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前緣單價；</t>
    </r>
    <r>
      <rPr>
        <sz val="10"/>
        <color rgb="FF000000"/>
        <rFont val="Arial"/>
        <family val="0"/>
        <charset val="1"/>
      </rPr>
      <t xml:space="preserve">v6.0 D7-2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[IFW_RevGWFleetFront_Prod]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</si>
  <si>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</si>
  <si>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不含折減，並列保留）　</t>
    </r>
    <r>
      <rPr>
        <sz val="10"/>
        <color rgb="FF000000"/>
        <rFont val="Arial"/>
        <family val="0"/>
        <charset val="1"/>
      </rPr>
      <t xml:space="preserve">[IFW_RevGWFleetFront_Life]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</si>
  <si>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57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201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</si>
  <si>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總產出（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</si>
  <si>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[IFW_TokGW_Luna_100]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</si>
  <si>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[IFW_TokGW_Luna_Util]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</si>
  <si>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</si>
  <si>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[IFW_TokGW_Luna_Prod]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</si>
  <si>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188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</si>
  <si>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[IFW_TokGW_Luna_Life]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</si>
  <si>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[IFW_TokGW_Sol_100]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</si>
  <si>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[IFW_TokGW_Sol_Util]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</si>
  <si>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[IFW_TokGW_Sol_Prod]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</si>
  <si>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[IFW_TokGW_Sol_Life]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</si>
  <si>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　</t>
    </r>
    <r>
      <rPr>
        <sz val="10"/>
        <color rgb="FF000000"/>
        <rFont val="Arial"/>
        <family val="0"/>
        <charset val="1"/>
      </rPr>
      <t xml:space="preserve">[IFW_TokGW_Astra_100]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</si>
  <si>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節對應）　</t>
    </r>
    <r>
      <rPr>
        <sz val="10"/>
        <color rgb="FF000000"/>
        <rFont val="Arial"/>
        <family val="0"/>
        <charset val="1"/>
      </rPr>
      <t xml:space="preserve">[IFW_TokGW_Astra_Util]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</si>
  <si>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CTL_ProdDerate</t>
    </r>
    <r>
      <rPr>
        <sz val="10"/>
        <color rgb="FF000000"/>
        <rFont val="Noto Sans CJK SC"/>
        <family val="2"/>
      </rPr>
      <t xml:space="preserve">（＝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列：生產折減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 </t>
    </r>
    <r>
      <rPr>
        <sz val="10"/>
        <color rgb="FF000000"/>
        <rFont val="Arial"/>
        <family val="0"/>
        <charset val="1"/>
      </rPr>
      <t xml:space="preserve">× IF_Util</t>
    </r>
    <r>
      <rPr>
        <sz val="10"/>
        <color rgb="FF000000"/>
        <rFont val="Noto Sans CJK SC"/>
        <family val="2"/>
      </rPr>
      <t xml:space="preserve">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　</t>
    </r>
    <r>
      <rPr>
        <sz val="10"/>
        <color rgb="FF000000"/>
        <rFont val="Arial"/>
        <family val="0"/>
        <charset val="1"/>
      </rPr>
      <t xml:space="preserve">[IFW_TokGW_Astra_Prod]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</si>
  <si>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總產出（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（無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節對應：＝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×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不作用於產能）　</t>
    </r>
    <r>
      <rPr>
        <sz val="10"/>
        <color rgb="FF000000"/>
        <rFont val="Arial"/>
        <family val="0"/>
        <charset val="1"/>
      </rPr>
      <t xml:space="preserve">[IFW_TokGW_Astra_Life]</t>
    </r>
  </si>
  <si>
    <r>
      <rPr>
        <b val="true"/>
        <sz val="10"/>
        <rFont val="Noto Sans CJK SC"/>
        <family val="2"/>
      </rPr>
      <t xml:space="preserve">自我檢查（</t>
    </r>
    <r>
      <rPr>
        <b val="true"/>
        <sz val="10"/>
        <rFont val="Arial"/>
        <family val="0"/>
        <charset val="1"/>
      </rPr>
      <t xml:space="preserve">Checks K3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v5.30 X15 (a)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(i) IFW_ </t>
    </r>
    <r>
      <rPr>
        <b val="true"/>
        <sz val="10"/>
        <rFont val="Noto Sans CJK SC"/>
        <family val="2"/>
      </rPr>
      <t xml:space="preserve">列 − 來源列（營收 </t>
    </r>
    <r>
      <rPr>
        <b val="true"/>
        <sz val="10"/>
        <rFont val="Arial"/>
        <family val="0"/>
        <charset val="1"/>
      </rPr>
      <t xml:space="preserve">_Util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節、</t>
    </r>
    <r>
      <rPr>
        <b val="true"/>
        <sz val="10"/>
        <rFont val="Arial"/>
        <family val="0"/>
        <charset val="1"/>
      </rPr>
      <t xml:space="preserve">token _100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節）的絕對差 ≤ </t>
    </r>
    <r>
      <rPr>
        <b val="true"/>
        <sz val="10"/>
        <rFont val="Arial"/>
        <family val="0"/>
        <charset val="1"/>
      </rPr>
      <t xml:space="preserve">1e-9</t>
    </r>
    <r>
      <rPr>
        <b val="true"/>
        <sz val="10"/>
        <rFont val="Noto Sans CJK SC"/>
        <family val="2"/>
      </rPr>
      <t xml:space="preserve">（兩邊皆為文字時須相同）；</t>
    </r>
    <r>
      <rPr>
        <b val="true"/>
        <sz val="10"/>
        <rFont val="Arial"/>
        <family val="0"/>
        <charset val="1"/>
      </rPr>
      <t xml:space="preserve">(ii) </t>
    </r>
    <r>
      <rPr>
        <b val="true"/>
        <sz val="10"/>
        <rFont val="Noto Sans CJK SC"/>
        <family val="2"/>
      </rPr>
      <t xml:space="preserve">每組單調：</t>
    </r>
    <r>
      <rPr>
        <b val="true"/>
        <sz val="10"/>
        <rFont val="Arial"/>
        <family val="0"/>
        <charset val="1"/>
      </rPr>
      <t xml:space="preserve">_100 ≥ _Util ≥ _Prod ≥ _Life</t>
    </r>
    <r>
      <rPr>
        <b val="true"/>
        <sz val="10"/>
        <rFont val="Noto Sans CJK SC"/>
        <family val="2"/>
      </rPr>
      <t xml:space="preserve">（相鄰兩層皆為數值時才比，容差 </t>
    </r>
    <r>
      <rPr>
        <b val="true"/>
        <sz val="10"/>
        <rFont val="Arial"/>
        <family val="0"/>
        <charset val="1"/>
      </rPr>
      <t xml:space="preserve">1e-9 × max(1, </t>
    </r>
    <r>
      <rPr>
        <b val="true"/>
        <sz val="10"/>
        <rFont val="Noto Sans CJK SC"/>
        <family val="2"/>
      </rPr>
      <t xml:space="preserve">上層絕對值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；文字列略過）。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＝相符，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＝不符</t>
    </r>
  </si>
  <si>
    <r>
      <rPr>
        <sz val="9"/>
        <color rgb="FF595959"/>
        <rFont val="Arial"/>
        <family val="0"/>
        <charset val="1"/>
      </rPr>
      <t xml:space="preserve">IFW_RevGW_Luna_Util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</si>
  <si>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119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</si>
  <si>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</si>
  <si>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143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</si>
  <si>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IFW_RevGWFront_Luna_Util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</si>
  <si>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IFW_RevGWFront_Sol_Util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120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</si>
  <si>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IFW_RevGWFront_Astra_Util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138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</si>
  <si>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IFW_RevGWFleetFront_Util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147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</si>
  <si>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IFW_TokGW_Luna_100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</si>
  <si>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IFW_TokGW_Sol_100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</si>
  <si>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IFW_TokGW_Astra_100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vs 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41 </t>
    </r>
    <r>
      <rPr>
        <sz val="9"/>
        <color rgb="FF595959"/>
        <rFont val="Noto Sans CJK SC"/>
        <family val="2"/>
      </rPr>
      <t xml:space="preserve">列</t>
    </r>
  </si>
  <si>
    <r>
      <rPr>
        <sz val="9"/>
        <color rgb="FF595959"/>
        <rFont val="Arial"/>
        <family val="0"/>
        <charset val="1"/>
      </rPr>
      <t xml:space="preserve">IFW_RevGW_Luna_*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233–236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</si>
  <si>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238–241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</si>
  <si>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243–246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</si>
  <si>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248–251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</si>
  <si>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253–256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</si>
  <si>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258–261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</si>
  <si>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IFW_RevGWFront_Astra_*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263–266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</si>
  <si>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IFW_RevGWFleetFront_*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268–271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</si>
  <si>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IFW_TokGW_Luna_*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273–276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</si>
  <si>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IFW_TokGW_Sol_*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278–281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</si>
  <si>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IFW_TokGW_Astra_*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四層單調（第 </t>
    </r>
    <r>
      <rPr>
        <sz val="9"/>
        <color rgb="FF595959"/>
        <rFont val="Arial"/>
        <family val="0"/>
        <charset val="1"/>
      </rPr>
      <t xml:space="preserve">283–286 </t>
    </r>
    <r>
      <rPr>
        <sz val="9"/>
        <color rgb="FF595959"/>
        <rFont val="Noto Sans CJK SC"/>
        <family val="2"/>
      </rPr>
      <t xml:space="preserve">列：</t>
    </r>
    <r>
      <rPr>
        <sz val="9"/>
        <color rgb="FF595959"/>
        <rFont val="Arial"/>
        <family val="0"/>
        <charset val="1"/>
      </rPr>
      <t xml:space="preserve">_100 ≥ _Util ≥ _Prod ≥ _Life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</si>
  <si>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I. DC_Cost </t>
    </r>
    <r>
      <rPr>
        <b val="true"/>
        <sz val="10"/>
        <rFont val="Noto Sans CJK SC"/>
        <family val="2"/>
      </rPr>
      <t xml:space="preserve">構件（續，</t>
    </r>
    <r>
      <rPr>
        <b val="true"/>
        <sz val="10"/>
        <rFont val="Arial"/>
        <family val="0"/>
        <charset val="1"/>
      </rPr>
      <t xml:space="preserve">v5.31 X17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IT </t>
    </r>
    <r>
      <rPr>
        <b val="true"/>
        <sz val="10"/>
        <rFont val="Noto Sans CJK SC"/>
        <family val="2"/>
      </rPr>
      <t xml:space="preserve">維護兩段費率（下游公司模型依自身機隊年齡取用）；金額除以 </t>
    </r>
    <r>
      <rPr>
        <b val="true"/>
        <sz val="10"/>
        <rFont val="Arial"/>
        <family val="0"/>
        <charset val="1"/>
      </rPr>
      <t xml:space="preserve">CTL_GW </t>
    </r>
    <r>
      <rPr>
        <b val="true"/>
        <sz val="10"/>
        <rFont val="Noto Sans CJK SC"/>
        <family val="2"/>
      </rPr>
      <t xml:space="preserve">換算為每 </t>
    </r>
    <r>
      <rPr>
        <b val="true"/>
        <sz val="10"/>
        <rFont val="Arial"/>
        <family val="0"/>
        <charset val="1"/>
      </rPr>
      <t xml:space="preserve">GW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IF_MaintIT </t>
    </r>
    <r>
      <rPr>
        <b val="true"/>
        <sz val="10"/>
        <rFont val="Noto Sans CJK SC"/>
        <family val="2"/>
      </rPr>
      <t xml:space="preserve">為壽命期等值（</t>
    </r>
    <r>
      <rPr>
        <b val="true"/>
        <sz val="10"/>
        <rFont val="Arial"/>
        <family val="0"/>
        <charset val="1"/>
      </rPr>
      <t xml:space="preserve">Inputs </t>
    </r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30 </t>
    </r>
    <r>
      <rPr>
        <b val="true"/>
        <sz val="10"/>
        <rFont val="Noto Sans CJK SC"/>
        <family val="2"/>
      </rPr>
      <t xml:space="preserve">列），兩段值不加總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</si>
  <si>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保固期內（＝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保固期內費率）　</t>
    </r>
    <r>
      <rPr>
        <sz val="10"/>
        <color rgb="FF000000"/>
        <rFont val="Arial"/>
        <family val="0"/>
        <charset val="1"/>
      </rPr>
      <t xml:space="preserve">[IF_MaintITWarr]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</si>
  <si>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47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</si>
  <si>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IT </t>
    </r>
    <r>
      <rPr>
        <sz val="10"/>
        <color rgb="FF000000"/>
        <rFont val="Noto Sans CJK SC"/>
        <family val="2"/>
      </rPr>
      <t xml:space="preserve">維護 — 保固期滿後（＝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保固期滿後費率）　</t>
    </r>
    <r>
      <rPr>
        <sz val="10"/>
        <color rgb="FF000000"/>
        <rFont val="Arial"/>
        <family val="0"/>
        <charset val="1"/>
      </rPr>
      <t xml:space="preserve">[IF_MaintITPost]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</si>
  <si>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原廠保固年限（單格；保固期內費率適用的年數）　</t>
    </r>
    <r>
      <rPr>
        <sz val="10"/>
        <color rgb="FF000000"/>
        <rFont val="Arial"/>
        <family val="0"/>
        <charset val="1"/>
      </rPr>
      <t xml:space="preserve">[IF_WarrantyYrs]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</si>
  <si>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服務 </t>
    </r>
    <r>
      <rPr>
        <b val="true"/>
        <sz val="10"/>
        <rFont val="Arial"/>
        <family val="0"/>
        <charset val="1"/>
      </rPr>
      <t xml:space="preserve">GW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路線對照（</t>
    </r>
    <r>
      <rPr>
        <b val="true"/>
        <sz val="10"/>
        <rFont val="Arial"/>
        <family val="0"/>
        <charset val="1"/>
      </rPr>
      <t xml:space="preserve">v8.0 L5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IF_AllocServeGW </t>
    </r>
    <r>
      <rPr>
        <b val="true"/>
        <sz val="10"/>
        <rFont val="Noto Sans CJK SC"/>
        <family val="2"/>
      </rPr>
      <t xml:space="preserve">為支出路線主口徑；本列保留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路線供對照，兩者差距未解釋（</t>
    </r>
    <r>
      <rPr>
        <b val="true"/>
        <sz val="10"/>
        <rFont val="Arial"/>
        <family val="0"/>
        <charset val="1"/>
      </rPr>
      <t xml:space="preserve">L1_ScaleServe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</si>
  <si>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合計（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路線；付費＋免費；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關鍵電力；對照用，</t>
    </r>
    <r>
      <rPr>
        <sz val="10"/>
        <color rgb="FF000000"/>
        <rFont val="Arial"/>
        <family val="0"/>
        <charset val="1"/>
      </rPr>
      <t xml:space="preserve">v8.0 D14 </t>
    </r>
    <r>
      <rPr>
        <sz val="10"/>
        <color rgb="FF000000"/>
        <rFont val="Noto Sans CJK SC"/>
        <family val="2"/>
      </rPr>
      <t xml:space="preserve">起不是主口徑）　</t>
    </r>
    <r>
      <rPr>
        <sz val="10"/>
        <color rgb="FF000000"/>
        <rFont val="Arial"/>
        <family val="0"/>
        <charset val="1"/>
      </rPr>
      <t xml:space="preserve">[IF_AllocServeGW_Tok]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</si>
  <si>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54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194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</si>
  <si>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0"/>
        <rFont val="Arial"/>
        <family val="0"/>
        <charset val="1"/>
      </rPr>
      <t xml:space="preserve">L. </t>
    </r>
    <r>
      <rPr>
        <b val="true"/>
        <sz val="10"/>
        <rFont val="Noto Sans CJK SC"/>
        <family val="2"/>
      </rPr>
      <t xml:space="preserve">情境：自算 </t>
    </r>
    <r>
      <rPr>
        <b val="true"/>
        <sz val="10"/>
        <rFont val="Arial"/>
        <family val="0"/>
        <charset val="1"/>
      </rPr>
      <t xml:space="preserve">L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v10.0 N1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D12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IFW_*_LifeSelf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IFW_*_Prod × L1_LTotal × L1_MFleet</t>
    </r>
    <r>
      <rPr>
        <b val="true"/>
        <sz val="10"/>
        <rFont val="Noto Sans CJK SC"/>
        <family val="2"/>
      </rPr>
      <t xml:space="preserve">；控制值 </t>
    </r>
    <r>
      <rPr>
        <b val="true"/>
        <sz val="10"/>
        <rFont val="Arial"/>
        <family val="0"/>
        <charset val="1"/>
      </rPr>
      <t xml:space="preserve">CTL_PriceLife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CTL_Monetize </t>
    </r>
    <r>
      <rPr>
        <b val="true"/>
        <sz val="10"/>
        <rFont val="Noto Sans CJK SC"/>
        <family val="2"/>
      </rPr>
      <t xml:space="preserve">仍為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IFW_*_Life </t>
    </r>
    <r>
      <rPr>
        <b val="true"/>
        <sz val="10"/>
        <rFont val="Noto Sans CJK SC"/>
        <family val="2"/>
      </rPr>
      <t xml:space="preserve">不變）。本節名稱不得被任何公式讀取（</t>
    </r>
    <r>
      <rPr>
        <b val="true"/>
        <sz val="10"/>
        <rFont val="Arial"/>
        <family val="0"/>
        <charset val="1"/>
      </rPr>
      <t xml:space="preserve">parity </t>
    </r>
    <r>
      <rPr>
        <b val="true"/>
        <sz val="10"/>
        <rFont val="Noto Sans CJK SC"/>
        <family val="2"/>
      </rPr>
      <t xml:space="preserve">測試：</t>
    </r>
    <r>
      <rPr>
        <b val="true"/>
        <sz val="10"/>
        <rFont val="Arial"/>
        <family val="0"/>
        <charset val="1"/>
      </rPr>
      <t xml:space="preserve">Interface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Load_Bearing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以外引用數＝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）；只供讀者並列比較，不是下游基準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</si>
  <si>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[IFW_RevGW_Luna_LifeSelf]</t>
    </r>
  </si>
  <si>
    <r>
      <rPr>
        <sz val="10"/>
        <color rgb="FF000000"/>
        <rFont val="Noto Sans CJK SC"/>
        <family val="2"/>
      </rPr>
      <t xml:space="preserve">自算 </t>
    </r>
    <r>
      <rPr>
        <sz val="10"/>
        <color rgb="FF000000"/>
        <rFont val="Arial"/>
        <family val="0"/>
        <charset val="1"/>
      </rPr>
      <t xml:space="preserve">L×m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</si>
  <si>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</si>
  <si>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</si>
  <si>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[IFW_RevGW_Astra_LifeSelf]</t>
    </r>
  </si>
  <si>
    <r>
      <rPr>
        <sz val="10"/>
        <color rgb="FF000000"/>
        <rFont val="Noto Sans CJK SC"/>
        <family val="2"/>
      </rPr>
      <t xml:space="preserve">付費服務營收合計（層級組合）—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</si>
  <si>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292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</si>
  <si>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[IFW_RevGWFront_Luna_LifeSelf]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</si>
  <si>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63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</si>
  <si>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[IFW_RevGWFront_Sol_LifeSelf]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</si>
  <si>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 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[IFW_RevGWFront_Astra_LifeSelf]</t>
    </r>
  </si>
  <si>
    <r>
      <rPr>
        <sz val="10"/>
        <color rgb="FF000000"/>
        <rFont val="Noto Sans CJK SC"/>
        <family val="2"/>
      </rPr>
      <t xml:space="preserve">付費服務營收合計（層級組合）— 前緣單價（理想上限）｜情境：自算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　</t>
    </r>
    <r>
      <rPr>
        <sz val="10"/>
        <color rgb="FF000000"/>
        <rFont val="Arial"/>
        <family val="0"/>
        <charset val="1"/>
      </rPr>
      <t xml:space="preserve">[IFW_RevGWFleetFront_LifeSelf]</t>
    </r>
  </si>
  <si>
    <r>
      <rPr>
        <sz val="9"/>
        <color rgb="FF595959"/>
        <rFont val="Noto Sans CJK SC"/>
        <family val="2"/>
      </rPr>
      <t xml:space="preserve">高段 </t>
    </r>
    <r>
      <rPr>
        <sz val="9"/>
        <color rgb="FF595959"/>
        <rFont val="Arial"/>
        <family val="0"/>
        <charset val="1"/>
      </rPr>
      <t xml:space="preserve">65</t>
    </r>
    <r>
      <rPr>
        <sz val="9"/>
        <color rgb="FF595959"/>
        <rFont val="Noto Sans CJK SC"/>
        <family val="2"/>
      </rPr>
      <t xml:space="preserve">／全部 </t>
    </r>
    <r>
      <rPr>
        <sz val="9"/>
        <color rgb="FF595959"/>
        <rFont val="Arial"/>
        <family val="0"/>
        <charset val="1"/>
      </rPr>
      <t xml:space="preserve">296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GM058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GM059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GM069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GM079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GM094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GM178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GM205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GM239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GM250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GM309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GM315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GM349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GM354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GM455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GM586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GM592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GM656</t>
    </r>
  </si>
  <si>
    <r>
      <rPr>
        <b val="true"/>
        <sz val="13"/>
        <rFont val="Arial"/>
        <family val="0"/>
        <charset val="1"/>
      </rPr>
      <t xml:space="preserve">L1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1 </t>
    </r>
    <r>
      <rPr>
        <b val="true"/>
        <sz val="13"/>
        <rFont val="Noto Sans CJK SC"/>
        <family val="2"/>
      </rPr>
      <t xml:space="preserve">層常用推算值（</t>
    </r>
    <r>
      <rPr>
        <b val="true"/>
        <sz val="13"/>
        <rFont val="Arial"/>
        <family val="0"/>
        <charset val="1"/>
      </rPr>
      <t xml:space="preserve">G9</t>
    </r>
    <r>
      <rPr>
        <b val="true"/>
        <sz val="13"/>
        <rFont val="Noto Sans CJK SC"/>
        <family val="2"/>
      </rPr>
      <t xml:space="preserve">；即時公式、不貼值；附條件、區間與外部對照）</t>
    </r>
  </si>
  <si>
    <r>
      <rPr>
        <sz val="9"/>
        <color rgb="FF595959"/>
        <rFont val="Noto Sans CJK SC"/>
        <family val="2"/>
      </rPr>
      <t xml:space="preserve">下游取標準推算值時引用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名稱；完整構件仍在 </t>
    </r>
    <r>
      <rPr>
        <sz val="9"/>
        <color rgb="FF595959"/>
        <rFont val="Arial"/>
        <family val="0"/>
        <charset val="1"/>
      </rPr>
      <t xml:space="preserve">Interface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）。外部值一律連結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。判讀：外部為區間時看是否落在區間內；外部為單一值時以 </t>
    </r>
    <r>
      <rPr>
        <sz val="9"/>
        <color rgb="FF595959"/>
        <rFont val="Arial"/>
        <family val="0"/>
        <charset val="1"/>
      </rPr>
      <t xml:space="preserve">±20% </t>
    </r>
    <r>
      <rPr>
        <sz val="9"/>
        <color rgb="FF595959"/>
        <rFont val="Noto Sans CJK SC"/>
        <family val="2"/>
      </rPr>
      <t xml:space="preserve">判讀。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的外部比對移入本頁（第 </t>
    </r>
    <r>
      <rPr>
        <sz val="9"/>
        <color rgb="FF595959"/>
        <rFont val="Arial"/>
        <family val="0"/>
        <charset val="1"/>
      </rPr>
      <t xml:space="preserve">30 </t>
    </r>
    <r>
      <rPr>
        <sz val="9"/>
        <color rgb="FF595959"/>
        <rFont val="Noto Sans CJK SC"/>
        <family val="2"/>
      </rPr>
      <t xml:space="preserve">列以下）；</t>
    </r>
    <r>
      <rPr>
        <sz val="9"/>
        <color rgb="FF595959"/>
        <rFont val="Arial"/>
        <family val="0"/>
        <charset val="1"/>
      </rPr>
      <t xml:space="preserve">v5.15 </t>
    </r>
    <r>
      <rPr>
        <sz val="9"/>
        <color rgb="FF595959"/>
        <rFont val="Noto Sans CJK SC"/>
        <family val="2"/>
      </rPr>
      <t xml:space="preserve">補入 </t>
    </r>
    <r>
      <rPr>
        <sz val="9"/>
        <color rgb="FF595959"/>
        <rFont val="Arial"/>
        <family val="0"/>
        <charset val="1"/>
      </rPr>
      <t xml:space="preserve">Block 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題（</t>
    </r>
    <r>
      <rPr>
        <sz val="9"/>
        <color rgb="FF595959"/>
        <rFont val="Arial"/>
        <family val="0"/>
        <charset val="1"/>
      </rPr>
      <t xml:space="preserve">L1_Ans1–9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列外部對照；</t>
    </r>
    <r>
      <rPr>
        <sz val="9"/>
        <color rgb="FF595959"/>
        <rFont val="Arial"/>
        <family val="0"/>
        <charset val="1"/>
      </rPr>
      <t xml:space="preserve">v5.16 </t>
    </r>
    <r>
      <rPr>
        <sz val="9"/>
        <color rgb="FF595959"/>
        <rFont val="Noto Sans CJK SC"/>
        <family val="2"/>
      </rPr>
      <t xml:space="preserve">補毛利率兩列與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小時口徑一列。欄位約定（</t>
    </r>
    <r>
      <rPr>
        <sz val="9"/>
        <color rgb="FF595959"/>
        <rFont val="Arial"/>
        <family val="0"/>
        <charset val="1"/>
      </rPr>
      <t xml:space="preserve">v5.16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＝高；無區間時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欄寫「無區間」；不同口徑或對照量一律另列一列，不放在 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。</t>
    </r>
  </si>
  <si>
    <t xml:space="preserve">L1_ID</t>
  </si>
  <si>
    <t xml:space="preserve">指標或問題</t>
  </si>
  <si>
    <t xml:space="preserve">條件</t>
  </si>
  <si>
    <t xml:space="preserve">基準值</t>
  </si>
  <si>
    <t xml:space="preserve">區間的定義</t>
  </si>
  <si>
    <t xml:space="preserve">讀法</t>
  </si>
  <si>
    <t xml:space="preserve">主要驅動</t>
  </si>
  <si>
    <t xml:space="preserve">最弱輸入的標記</t>
  </si>
  <si>
    <r>
      <rPr>
        <b val="true"/>
        <sz val="10"/>
        <rFont val="Noto Sans CJK SC"/>
        <family val="2"/>
      </rPr>
      <t xml:space="preserve">外部 </t>
    </r>
    <r>
      <rPr>
        <b val="true"/>
        <sz val="10"/>
        <rFont val="Arial"/>
        <family val="0"/>
        <charset val="1"/>
      </rPr>
      <t xml:space="preserve">SRC_ID</t>
    </r>
  </si>
  <si>
    <t xml:space="preserve">外部值（低）</t>
  </si>
  <si>
    <t xml:space="preserve">外部值（高）</t>
  </si>
  <si>
    <r>
      <rPr>
        <b val="true"/>
        <sz val="10"/>
        <rFont val="Noto Sans CJK SC"/>
        <family val="2"/>
      </rPr>
      <t xml:space="preserve">推算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外部</t>
    </r>
  </si>
  <si>
    <t xml:space="preserve">所在頁與列</t>
  </si>
  <si>
    <t xml:space="preserve">未能回答的部分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</si>
  <si>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N2</t>
    </r>
    <r>
      <rPr>
        <b val="true"/>
        <sz val="10"/>
        <rFont val="Noto Sans CJK SC"/>
        <family val="2"/>
      </rPr>
      <t xml:space="preserve">：估計／殘差／倒推／恆等式／未解釋）</t>
    </r>
  </si>
  <si>
    <r>
      <rPr>
        <b val="true"/>
        <sz val="10"/>
        <rFont val="Noto Sans CJK SC"/>
        <family val="2"/>
      </rPr>
      <t xml:space="preserve">性質的判斷理由（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</t>
    </r>
  </si>
  <si>
    <t xml:space="preserve">L1_CapexGW_Hopper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</si>
  <si>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</si>
  <si>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t xml:space="preserve">基準功率情境；含廠房</t>
  </si>
  <si>
    <t xml:space="preserve">$B/GW</t>
  </si>
  <si>
    <t xml:space="preserve">成本角落情境（低成本／高成本欄）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</si>
  <si>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設備＋廠房；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</si>
  <si>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機架價格、配電設計功率（</t>
    </r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敏感度）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</si>
  <si>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</si>
  <si>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列</t>
    </r>
  </si>
  <si>
    <t xml:space="preserve">估計</t>
  </si>
  <si>
    <t xml:space="preserve">由輸入、規格與物理推導直接算出（自下而上），沒有以目標值反解</t>
  </si>
  <si>
    <t xml:space="preserve">L1_CapexGW_GB200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</si>
  <si>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</si>
  <si>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L1_CapexGW_GB300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</si>
  <si>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</si>
  <si>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L1_CapexGW_VR200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</si>
  <si>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</si>
  <si>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SRC_DC_010</t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</si>
  <si>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$50–60B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</si>
  <si>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</si>
  <si>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L1_NvContentGW_VR200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</si>
  <si>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</si>
  <si>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基準功率情境</t>
  </si>
  <si>
    <r>
      <rPr>
        <sz val="10"/>
        <color rgb="FF000000"/>
        <rFont val="Noto Sans CJK SC"/>
        <family val="2"/>
      </rPr>
      <t xml:space="preserve">機架取得價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機架數</t>
    </r>
  </si>
  <si>
    <t xml:space="preserve">機架價格、配電設計功率</t>
  </si>
  <si>
    <t xml:space="preserve">SRC_DC_011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</si>
  <si>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</si>
  <si>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外部值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</si>
  <si>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</si>
  <si>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L1_FacCapexMW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</si>
  <si>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IT </t>
    </r>
    <r>
      <rPr>
        <sz val="10"/>
        <color rgb="FF000000"/>
        <rFont val="Noto Sans CJK SC"/>
        <family val="2"/>
      </rPr>
      <t xml:space="preserve">廠房資本支出</t>
    </r>
  </si>
  <si>
    <t xml:space="preserve">基準成本情境；與世代無關</t>
  </si>
  <si>
    <r>
      <rPr>
        <sz val="10"/>
        <color rgb="FF000000"/>
        <rFont val="Noto Sans CJK SC"/>
        <family val="2"/>
      </rPr>
      <t xml:space="preserve">建物、電力、機械、光纖與預備費（不含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設備）</t>
    </r>
  </si>
  <si>
    <r>
      <rPr>
        <sz val="10"/>
        <color rgb="FF000000"/>
        <rFont val="Noto Sans CJK SC"/>
        <family val="2"/>
      </rPr>
      <t xml:space="preserve">電力設施、建物分項（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</si>
  <si>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分項皆 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</si>
  <si>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SRC_DC_003</t>
  </si>
  <si>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</si>
  <si>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JLL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或設施）待查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</si>
  <si>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</si>
  <si>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L1_HoldEconGW_Hopper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</si>
  <si>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</si>
  <si>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資本回收年金（</t>
    </r>
    <r>
      <rPr>
        <sz val="10"/>
        <color rgb="FF000000"/>
        <rFont val="Arial"/>
        <family val="0"/>
        <charset val="1"/>
      </rPr>
      <t xml:space="preserve">WACC 10%</t>
    </r>
    <r>
      <rPr>
        <sz val="10"/>
        <color rgb="FF000000"/>
        <rFont val="Noto Sans CJK SC"/>
        <family val="2"/>
      </rPr>
      <t xml:space="preserve">）＋營運費用</t>
    </r>
  </si>
  <si>
    <r>
      <rPr>
        <sz val="10"/>
        <color rgb="FF000000"/>
        <rFont val="Noto Sans CJK SC"/>
        <family val="2"/>
      </rPr>
      <t xml:space="preserve">資本回收占 </t>
    </r>
    <r>
      <rPr>
        <sz val="10"/>
        <color rgb="FF000000"/>
        <rFont val="Arial"/>
        <family val="0"/>
        <charset val="1"/>
      </rPr>
      <t xml:space="preserve">77–81%</t>
    </r>
    <r>
      <rPr>
        <sz val="10"/>
        <color rgb="FF000000"/>
        <rFont val="Noto Sans CJK SC"/>
        <family val="2"/>
      </rPr>
      <t xml:space="preserve">，電費 </t>
    </r>
    <r>
      <rPr>
        <sz val="10"/>
        <color rgb="FF000000"/>
        <rFont val="Arial"/>
        <family val="0"/>
        <charset val="1"/>
      </rPr>
      <t xml:space="preserve">4–7%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</si>
  <si>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</si>
  <si>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</si>
  <si>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</t>
    </r>
  </si>
  <si>
    <t xml:space="preserve">L1_HoldEconGW_GB200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</si>
  <si>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</si>
  <si>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L1_HoldEconGW_GB300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</si>
  <si>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</si>
  <si>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L1_HoldEconGW_VR200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</si>
  <si>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</si>
  <si>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</si>
  <si>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</si>
  <si>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時數；不含利潤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</si>
  <si>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8,760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</si>
  <si>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</si>
  <si>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</t>
    </r>
  </si>
  <si>
    <t xml:space="preserve">L1_GPUhr_GB200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</si>
  <si>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</t>
    </r>
  </si>
  <si>
    <t xml:space="preserve">SRC_DC_012</t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</si>
  <si>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SemiAnalysis TCO</t>
    </r>
    <r>
      <rPr>
        <sz val="10"/>
        <color rgb="FF000000"/>
        <rFont val="Noto Sans CJK SC"/>
        <family val="2"/>
      </rPr>
      <t xml:space="preserve">（假設未公開，須第二來源）；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公開價對照於 </t>
    </r>
    <r>
      <rPr>
        <sz val="10"/>
        <color rgb="FF000000"/>
        <rFont val="Arial"/>
        <family val="0"/>
        <charset val="1"/>
      </rPr>
      <t xml:space="preserve">v5.12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</si>
  <si>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</si>
  <si>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</si>
  <si>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</si>
  <si>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SRC_DC_013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</si>
  <si>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</si>
  <si>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</si>
  <si>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</si>
  <si>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L1_CostDec_Luna_VR200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</si>
  <si>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</si>
  <si>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</t>
    </r>
  </si>
  <si>
    <r>
      <rPr>
        <sz val="10"/>
        <color rgb="FF000000"/>
        <rFont val="Noto Sans CJK SC"/>
        <family val="2"/>
      </rPr>
      <t xml:space="preserve">基準利用率版＝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</si>
  <si>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、生產折減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</si>
  <si>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</si>
  <si>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Interface Block 2 </t>
    </r>
    <r>
      <rPr>
        <sz val="10"/>
        <color rgb="FF000000"/>
        <rFont val="Noto Sans CJK SC"/>
        <family val="2"/>
      </rPr>
      <t xml:space="preserve">產出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</si>
  <si>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</si>
  <si>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Arial"/>
        <family val="0"/>
        <charset val="1"/>
      </rPr>
      <t xml:space="preserve">roofline </t>
    </r>
    <r>
      <rPr>
        <sz val="9"/>
        <color rgb="FF595959"/>
        <rFont val="Noto Sans CJK SC"/>
        <family val="2"/>
      </rPr>
      <t xml:space="preserve">推導的每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成本（自下而上）</t>
    </r>
  </si>
  <si>
    <t xml:space="preserve">L1_CostDec_Luna_GB300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</si>
  <si>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</si>
  <si>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L1_CostDec_Sol_VR200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</si>
  <si>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</si>
  <si>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L1_CostDec_Sol_GB300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</si>
  <si>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</si>
  <si>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L1_CostDec_Astra_VR200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</si>
  <si>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</si>
  <si>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L1_CostDec_Astra_GB300</t>
  </si>
  <si>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</si>
  <si>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L1_CostTotTokIX_GB300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</si>
  <si>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成本（以 </t>
    </r>
    <r>
      <rPr>
        <sz val="10"/>
        <color rgb="FF000000"/>
        <rFont val="Arial"/>
        <family val="0"/>
        <charset val="1"/>
      </rPr>
      <t xml:space="preserve">InferenceX 72 tok/s </t>
    </r>
    <r>
      <rPr>
        <sz val="10"/>
        <color rgb="FF000000"/>
        <rFont val="Noto Sans CJK SC"/>
        <family val="2"/>
      </rPr>
      <t xml:space="preserve">實測產出計）</t>
    </r>
  </si>
  <si>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TCO × </t>
    </r>
    <r>
      <rPr>
        <sz val="10"/>
        <color rgb="FF000000"/>
        <rFont val="Noto Sans CJK SC"/>
        <family val="2"/>
      </rPr>
      <t xml:space="preserve">外部實測產出；</t>
    </r>
    <r>
      <rPr>
        <sz val="10"/>
        <color rgb="FF000000"/>
        <rFont val="Arial"/>
        <family val="0"/>
        <charset val="1"/>
      </rPr>
      <t xml:space="preserve">8K/1K</t>
    </r>
  </si>
  <si>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</si>
  <si>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差異只來自每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（產出相同）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</si>
  <si>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</t>
    </r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</si>
  <si>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級、</t>
    </r>
    <r>
      <rPr>
        <sz val="10"/>
        <color rgb="FF000000"/>
        <rFont val="Arial"/>
        <family val="0"/>
        <charset val="1"/>
      </rPr>
      <t xml:space="preserve">Interested-party</t>
    </r>
  </si>
  <si>
    <t xml:space="preserve">SRC_PERF_011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</si>
  <si>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列（同式）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</si>
  <si>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假設未公開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</si>
  <si>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O25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</si>
  <si>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L1_RevGW_Luna_VR200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</si>
  <si>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</si>
  <si>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</si>
  <si>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情境值；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</si>
  <si>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單一層級滿載的上限；實際營收（需求、市占）在下游</t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</si>
  <si>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Sens_Rev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</si>
  <si>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）；生產折減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</si>
  <si>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</si>
  <si>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需求與市占不在第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</si>
  <si>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理論營收上限＝每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牌價（物理量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單價），不含 </t>
    </r>
    <r>
      <rPr>
        <sz val="9"/>
        <color rgb="FF595959"/>
        <rFont val="Arial"/>
        <family val="0"/>
        <charset val="1"/>
      </rPr>
      <t xml:space="preserve">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</t>
    </r>
  </si>
  <si>
    <t xml:space="preserve">L1_RevGW_Sol_VR200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</si>
  <si>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</si>
  <si>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L1_RevGW_Astra_VR200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</si>
  <si>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理論營收（理想上限）—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</si>
  <si>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L1_RevGW_Fleet_VR200</t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</si>
  <si>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參考機隊付費營收（理想上限，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</si>
  <si>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L1_GPUhr_GB200_vsCW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</si>
  <si>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隨需牌價</t>
    </r>
  </si>
  <si>
    <r>
      <rPr>
        <sz val="10"/>
        <color rgb="FF000000"/>
        <rFont val="Noto Sans CJK SC"/>
        <family val="2"/>
      </rPr>
      <t xml:space="preserve">隨需牌價約為持有成本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倍：含利潤、閒置與風險溢價；長約價通常較低</t>
    </r>
  </si>
  <si>
    <r>
      <rPr>
        <sz val="10"/>
        <color rgb="FF000000"/>
        <rFont val="Noto Sans CJK SC"/>
        <family val="2"/>
      </rPr>
      <t xml:space="preserve">牌價：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級（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價目）</t>
    </r>
  </si>
  <si>
    <t xml:space="preserve">SRC_PRC_001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</si>
  <si>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</si>
  <si>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t xml:space="preserve">長約價未公開</t>
  </si>
  <si>
    <t xml:space="preserve">模型值對外部牌價／租金的對照（外部值為參照，不用於反解）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</si>
  <si>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</si>
  <si>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L1_GPUhr_GB300_vsBE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</si>
  <si>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小時持有成本 — 經濟（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）對新雲損益兩平租金</t>
    </r>
  </si>
  <si>
    <r>
      <rPr>
        <sz val="10"/>
        <color rgb="FF000000"/>
        <rFont val="Noto Sans CJK SC"/>
        <family val="2"/>
      </rPr>
      <t xml:space="preserve">外部為第三方推算的租金門檻（</t>
    </r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年）；本模型為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時數的持有成本</t>
    </r>
  </si>
  <si>
    <r>
      <rPr>
        <sz val="10"/>
        <color rgb="FF000000"/>
        <rFont val="Noto Sans CJK SC"/>
        <family val="2"/>
      </rPr>
      <t xml:space="preserve">外部：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級、機型未明</t>
    </r>
  </si>
  <si>
    <t xml:space="preserve">SRC_PRC_002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</si>
  <si>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列</t>
    </r>
  </si>
  <si>
    <t xml:space="preserve">外部值機型未明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</si>
  <si>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</si>
  <si>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L1_RLshare_Sol_VR200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</si>
  <si>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</si>
  <si>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基準；非同步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</si>
  <si>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RL rollout token ×0.3–×3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情境倍數）</t>
    </r>
  </si>
  <si>
    <r>
      <rPr>
        <sz val="10"/>
        <color rgb="FF000000"/>
        <rFont val="Noto Sans CJK SC"/>
        <family val="2"/>
      </rPr>
      <t xml:space="preserve">後訓練算力的主要追蹤指標：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用掉的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小時相對預訓練的倍數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</si>
  <si>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</si>
  <si>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rollout 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 </t>
    </r>
    <r>
      <rPr>
        <sz val="10"/>
        <color rgb="FF000000"/>
        <rFont val="Noto Sans CJK SC"/>
        <family val="2"/>
      </rPr>
      <t xml:space="preserve">校準值）</t>
    </r>
  </si>
  <si>
    <t xml:space="preserve">SRC_MOD_034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</si>
  <si>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</si>
  <si>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DeepSeek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V3 </t>
    </r>
    <r>
      <rPr>
        <sz val="10"/>
        <color rgb="FF000000"/>
        <rFont val="Noto Sans CJK SC"/>
        <family val="2"/>
      </rPr>
      <t xml:space="preserve">預訓練，代表較早期的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</si>
  <si>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倒推</t>
  </si>
  <si>
    <r>
      <rPr>
        <sz val="9"/>
        <color rgb="FF595959"/>
        <rFont val="Arial"/>
        <family val="0"/>
        <charset val="1"/>
      </rPr>
      <t xml:space="preserve">RL rollout token </t>
    </r>
    <r>
      <rPr>
        <sz val="9"/>
        <color rgb="FF595959"/>
        <rFont val="Noto Sans CJK SC"/>
        <family val="2"/>
      </rPr>
      <t xml:space="preserve">由「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小時＝目標值（</t>
    </r>
    <r>
      <rPr>
        <sz val="9"/>
        <color rgb="FF595959"/>
        <rFont val="Arial"/>
        <family val="0"/>
        <charset val="1"/>
      </rPr>
      <t xml:space="preserve">J9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Luna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Astra 1.0</t>
    </r>
    <r>
      <rPr>
        <sz val="9"/>
        <color rgb="FF595959"/>
        <rFont val="Noto Sans CJK SC"/>
        <family val="2"/>
      </rPr>
      <t xml:space="preserve">）」反解；校準目標不是證據（</t>
    </r>
    <r>
      <rPr>
        <sz val="9"/>
        <color rgb="FF595959"/>
        <rFont val="Arial"/>
        <family val="0"/>
        <charset val="1"/>
      </rPr>
      <t xml:space="preserve">3A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Olmo 3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</si>
  <si>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</si>
  <si>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L1_RLshare_Astra_VR200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</si>
  <si>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</si>
  <si>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基準校到約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與預訓練同量級）</t>
    </r>
  </si>
  <si>
    <t xml:space="preserve">SRC_MOD_036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</si>
  <si>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</si>
  <si>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xAI </t>
    </r>
    <r>
      <rPr>
        <sz val="10"/>
        <color rgb="FF000000"/>
        <rFont val="Noto Sans CJK SC"/>
        <family val="2"/>
      </rPr>
      <t xml:space="preserve">宣稱 </t>
    </r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達「預訓練規模」，口徑（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小時或 </t>
    </r>
    <r>
      <rPr>
        <sz val="10"/>
        <color rgb="FF000000"/>
        <rFont val="Arial"/>
        <family val="0"/>
        <charset val="1"/>
      </rPr>
      <t xml:space="preserve">FLOPs</t>
    </r>
    <r>
      <rPr>
        <sz val="10"/>
        <color rgb="FF000000"/>
        <rFont val="Noto Sans CJK SC"/>
        <family val="2"/>
      </rPr>
      <t xml:space="preserve">）不明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</si>
  <si>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</si>
  <si>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L1_FinalTrainShare</t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</si>
  <si>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小時）</t>
    </r>
  </si>
  <si>
    <r>
      <rPr>
        <sz val="10"/>
        <color rgb="FF000000"/>
        <rFont val="Arial"/>
        <family val="0"/>
        <charset val="1"/>
      </rPr>
      <t xml:space="preserve">J10 </t>
    </r>
    <r>
      <rPr>
        <sz val="10"/>
        <color rgb="FF000000"/>
        <rFont val="Noto Sans CJK SC"/>
        <family val="2"/>
      </rPr>
      <t xml:space="preserve">研發倍數基準 </t>
    </r>
    <r>
      <rPr>
        <sz val="10"/>
        <color rgb="FF000000"/>
        <rFont val="Arial"/>
        <family val="0"/>
        <charset val="1"/>
      </rPr>
      <t xml:space="preserve">8</t>
    </r>
  </si>
  <si>
    <r>
      <rPr>
        <sz val="10"/>
        <color rgb="FF000000"/>
        <rFont val="Noto Sans CJK SC"/>
        <family val="2"/>
      </rPr>
      <t xml:space="preserve">研發倍數 </t>
    </r>
    <r>
      <rPr>
        <sz val="10"/>
        <color rgb="FF000000"/>
        <rFont val="Arial"/>
        <family val="0"/>
        <charset val="1"/>
      </rPr>
      <t xml:space="preserve">4.4–10.4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情境）</t>
    </r>
  </si>
  <si>
    <t xml:space="preserve">研發中花在最終訓練的比例；其餘為實驗、消融與失敗嘗試</t>
  </si>
  <si>
    <r>
      <rPr>
        <sz val="10"/>
        <color rgb="FF000000"/>
        <rFont val="Noto Sans CJK SC"/>
        <family val="2"/>
      </rPr>
      <t xml:space="preserve">研發倍數（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</si>
  <si>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研發倍數：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（由外部區間設定，故本列只驗算一致）</t>
    </r>
  </si>
  <si>
    <t xml:space="preserve">SRC_DEM_001</t>
  </si>
  <si>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</si>
  <si>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外部為支出口徑（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推估三家），本模型為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</t>
    </r>
  </si>
  <si>
    <t xml:space="preserve">恆等式</t>
  </si>
  <si>
    <r>
      <rPr>
        <sz val="9"/>
        <color rgb="FF595959"/>
        <rFont val="Noto Sans CJK SC"/>
        <family val="2"/>
      </rPr>
      <t xml:space="preserve">輸入的倒數（</t>
    </r>
    <r>
      <rPr>
        <sz val="9"/>
        <color rgb="FF595959"/>
        <rFont val="Arial"/>
        <family val="0"/>
        <charset val="1"/>
      </rPr>
      <t xml:space="preserve">Train_In C13 </t>
    </r>
    <r>
      <rPr>
        <sz val="9"/>
        <color rgb="FF595959"/>
        <rFont val="Noto Sans CJK SC"/>
        <family val="2"/>
      </rPr>
      <t xml:space="preserve">的研發倍數），只驗算一致，沒有新資訊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</si>
  <si>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</si>
  <si>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L1_RevGWFleet_OAI2025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</si>
  <si>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</si>
  <si>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快照）；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 </t>
    </r>
    <r>
      <rPr>
        <sz val="10"/>
        <color rgb="FF000000"/>
        <rFont val="Arial"/>
        <family val="0"/>
        <charset val="1"/>
      </rPr>
      <t xml:space="preserve">57%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對帳常數，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50–60%</t>
    </r>
    <r>
      <rPr>
        <sz val="10"/>
        <color rgb="FF000000"/>
        <rFont val="Noto Sans CJK SC"/>
        <family val="2"/>
      </rPr>
      <t xml:space="preserve">）</t>
    </r>
  </si>
  <si>
    <t xml:space="preserve">無區間（單一對帳值）</t>
  </si>
  <si>
    <r>
      <rPr>
        <sz val="10"/>
        <color rgb="FF000000"/>
        <rFont val="Noto Sans CJK SC"/>
        <family val="2"/>
      </rPr>
      <t xml:space="preserve">同量級即機隊配置與單價可閉合；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實際單價高於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</si>
  <si>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有效單價、機隊配置（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</si>
  <si>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占機隊：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出貨 </t>
    </r>
    <r>
      <rPr>
        <sz val="10"/>
        <color rgb="FF000000"/>
        <rFont val="Arial"/>
        <family val="0"/>
        <charset val="1"/>
      </rPr>
      <t xml:space="preserve">4/7</t>
    </r>
    <r>
      <rPr>
        <sz val="10"/>
        <color rgb="FF000000"/>
        <rFont val="Noto Sans CJK SC"/>
        <family val="2"/>
      </rPr>
      <t xml:space="preserve">；全球口徑）</t>
    </r>
  </si>
  <si>
    <t xml:space="preserve">SRC_DEM_007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</si>
  <si>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</si>
  <si>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</si>
  <si>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</si>
  <si>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</si>
  <si>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</t>
    </r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</si>
  <si>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基準（啟用參數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</si>
  <si>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區間見 </t>
    </r>
    <r>
      <rPr>
        <sz val="10"/>
        <color rgb="FF000000"/>
        <rFont val="Arial"/>
        <family val="0"/>
        <charset val="1"/>
      </rPr>
      <t xml:space="preserve">Gov_Map Train_In E25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</si>
  <si>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FLOPs/token × token</t>
    </r>
    <r>
      <rPr>
        <sz val="10"/>
        <color rgb="FF000000"/>
        <rFont val="Noto Sans CJK SC"/>
        <family val="2"/>
      </rPr>
      <t xml:space="preserve">；與前沿錨點 </t>
    </r>
    <r>
      <rPr>
        <sz val="10"/>
        <color rgb="FF000000"/>
        <rFont val="Arial"/>
        <family val="0"/>
        <charset val="1"/>
      </rPr>
      <t xml:space="preserve">2e26–2e27 </t>
    </r>
    <r>
      <rPr>
        <sz val="10"/>
        <color rgb="FF000000"/>
        <rFont val="Noto Sans CJK SC"/>
        <family val="2"/>
      </rPr>
      <t xml:space="preserve">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</si>
  <si>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啟用參數、預訓練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</si>
  <si>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</si>
  <si>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SRC_MOD_055</t>
  </si>
  <si>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34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</si>
  <si>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估計（訓練總算力、硬體推估，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缺口（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</si>
  <si>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預訓練 </t>
    </r>
    <r>
      <rPr>
        <sz val="9"/>
        <color rgb="FF595959"/>
        <rFont val="Arial"/>
        <family val="0"/>
        <charset val="1"/>
      </rPr>
      <t xml:space="preserve">FLOPs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 </t>
    </r>
    <r>
      <rPr>
        <sz val="9"/>
        <color rgb="FF595959"/>
        <rFont val="Arial"/>
        <family val="0"/>
        <charset val="1"/>
      </rPr>
      <t xml:space="preserve">× token</t>
    </r>
    <r>
      <rPr>
        <sz val="9"/>
        <color rgb="FF595959"/>
        <rFont val="Noto Sans CJK SC"/>
        <family val="2"/>
      </rPr>
      <t xml:space="preserve">（自下而上；啟用參數、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</si>
  <si>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</si>
  <si>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L1_Ans1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</si>
  <si>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：研發算力占比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</si>
  <si>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＝研發 </t>
    </r>
    <r>
      <rPr>
        <sz val="10"/>
        <color rgb="FF000000"/>
        <rFont val="Arial"/>
        <family val="0"/>
        <charset val="1"/>
      </rPr>
      <t xml:space="preserve">GW ÷</t>
    </r>
    <r>
      <rPr>
        <sz val="10"/>
        <color rgb="FF000000"/>
        <rFont val="Noto Sans CJK SC"/>
        <family val="2"/>
      </rPr>
      <t xml:space="preserve">（研發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＋服務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</si>
  <si>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節：一次動一個輸入（區間低與高）的最小與最大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（免費服務算作產品改良）見 </t>
    </r>
    <r>
      <rPr>
        <sz val="10"/>
        <color rgb="FF000000"/>
        <rFont val="Arial"/>
        <family val="0"/>
        <charset val="1"/>
      </rPr>
      <t xml:space="preserve">IF_AllocQ1_R2</t>
    </r>
  </si>
  <si>
    <r>
      <rPr>
        <sz val="10"/>
        <color rgb="FF000000"/>
        <rFont val="Noto Sans CJK SC"/>
        <family val="2"/>
      </rPr>
      <t xml:space="preserve">物理部分只給下限（家族＋改版計畫的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年）；實際占比由策略變數決定（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另列於 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</si>
  <si>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</si>
  <si>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</si>
  <si>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</si>
  <si>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R3</t>
    </r>
    <r>
      <rPr>
        <sz val="10"/>
        <color rgb="FF000000"/>
        <rFont val="Noto Sans CJK SC"/>
        <family val="2"/>
      </rPr>
      <t xml:space="preserve">（內部使用）無參數（</t>
    </r>
    <r>
      <rPr>
        <sz val="10"/>
        <color rgb="FF000000"/>
        <rFont val="Arial"/>
        <family val="0"/>
        <charset val="1"/>
      </rPr>
      <t xml:space="preserve">A7</t>
    </r>
    <r>
      <rPr>
        <sz val="10"/>
        <color rgb="FF000000"/>
        <rFont val="Noto Sans CJK SC"/>
        <family val="2"/>
      </rPr>
      <t xml:space="preserve">）；本題為單一實驗室（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穩態年度；成長情境見 </t>
    </r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</t>
    </r>
  </si>
  <si>
    <r>
      <rPr>
        <sz val="9"/>
        <color rgb="FF595959"/>
        <rFont val="Arial"/>
        <family val="0"/>
        <charset val="1"/>
      </rPr>
      <t xml:space="preserve">Q1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／研發成本：服務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為支出路線（</t>
    </r>
    <r>
      <rPr>
        <sz val="9"/>
        <color rgb="FF595959"/>
        <rFont val="Arial"/>
        <family val="0"/>
        <charset val="1"/>
      </rPr>
      <t xml:space="preserve">SRC_DEM_004 ÷ </t>
    </r>
    <r>
      <rPr>
        <sz val="9"/>
        <color rgb="FF595959"/>
        <rFont val="Noto Sans CJK SC"/>
        <family val="2"/>
      </rPr>
      <t xml:space="preserve">持有成本）、研發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為計畫規模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單位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）；乘除皆為模型推導</t>
    </r>
  </si>
  <si>
    <t xml:space="preserve">L1_Ans2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</si>
  <si>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：研發算力成本占比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</si>
  <si>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；已裝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年持有成本；利用率不進入（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</si>
  <si>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節：一次動一個輸入的最小與最大 </t>
    </r>
    <r>
      <rPr>
        <sz val="10"/>
        <color rgb="FF000000"/>
        <rFont val="Arial"/>
        <family val="0"/>
        <charset val="1"/>
      </rPr>
      <t xml:space="preserve">Q2</t>
    </r>
  </si>
  <si>
    <r>
      <rPr>
        <sz val="10"/>
        <color rgb="FF000000"/>
        <rFont val="Noto Sans CJK SC"/>
        <family val="2"/>
      </rPr>
      <t xml:space="preserve">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（同＋</t>
    </r>
    <r>
      <rPr>
        <sz val="10"/>
        <color rgb="FF000000"/>
        <rFont val="Arial"/>
        <family val="0"/>
        <charset val="1"/>
      </rPr>
      <t xml:space="preserve">Σ </t>
    </r>
    <r>
      <rPr>
        <sz val="10"/>
        <color rgb="FF000000"/>
        <rFont val="Noto Sans CJK SC"/>
        <family val="2"/>
      </rPr>
      <t xml:space="preserve">各世代服務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各世代持有成本）；雲端與自有的差異留在下游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</si>
  <si>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  <r>
      <rPr>
        <sz val="10"/>
        <color rgb="FF000000"/>
        <rFont val="Noto Sans CJK SC"/>
        <family val="2"/>
      </rPr>
      <t xml:space="preserve">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</t>
    </r>
  </si>
  <si>
    <r>
      <rPr>
        <sz val="10"/>
        <color rgb="FF000000"/>
        <rFont val="Noto Sans CJK SC"/>
        <family val="2"/>
      </rPr>
      <t xml:space="preserve">雲端租用與自有的成本差異在下游（</t>
    </r>
    <r>
      <rPr>
        <sz val="10"/>
        <color rgb="FF000000"/>
        <rFont val="Arial"/>
        <family val="0"/>
        <charset val="1"/>
      </rPr>
      <t xml:space="preserve">A5</t>
    </r>
    <r>
      <rPr>
        <sz val="10"/>
        <color rgb="FF000000"/>
        <rFont val="Noto Sans CJK SC"/>
        <family val="2"/>
      </rPr>
      <t xml:space="preserve">）</t>
    </r>
  </si>
  <si>
    <t xml:space="preserve">L1_Ans3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</si>
  <si>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：研發占整體成本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（算力部分）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</si>
  <si>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穩態年度；基準輸入見 </t>
    </r>
    <r>
      <rPr>
        <sz val="10"/>
        <color rgb="FF000000"/>
        <rFont val="Arial"/>
        <family val="0"/>
        <charset val="1"/>
      </rPr>
      <t xml:space="preserve">Alloc_In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</si>
  <si>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節：一次動一個輸入的研發算力成本最小與最大值</t>
    </r>
  </si>
  <si>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欄＝研發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訓練世代每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年經濟持有成本（算力部分）；整體成本需加非算力成本</t>
    </r>
  </si>
  <si>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N_refresh</t>
    </r>
  </si>
  <si>
    <r>
      <rPr>
        <sz val="10"/>
        <color rgb="FF000000"/>
        <rFont val="Noto Sans CJK SC"/>
        <family val="2"/>
      </rPr>
      <t xml:space="preserve">計畫規模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）</t>
    </r>
  </si>
  <si>
    <t xml:space="preserve">SRC_DEM_006</t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</si>
  <si>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</si>
  <si>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未能回答：非算力成本（人事、資料、評測、非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費用）不在第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層，歸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模型。外部對照為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訓練支出（利害關係方，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級）；本列絕對值約為其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，服務端同幅度偏小（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列），只宜取比值口徑（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），絕對規模由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模型校準（</t>
    </r>
    <r>
      <rPr>
        <sz val="10"/>
        <color rgb="FF000000"/>
        <rFont val="Arial"/>
        <family val="0"/>
        <charset val="1"/>
      </rPr>
      <t xml:space="preserve">X13 c</t>
    </r>
    <r>
      <rPr>
        <sz val="10"/>
        <color rgb="FF000000"/>
        <rFont val="Noto Sans CJK SC"/>
        <family val="2"/>
      </rPr>
      <t xml:space="preserve">）。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</si>
  <si>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O39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</si>
  <si>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L1_Ans4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</si>
  <si>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：各層級每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；本列為 </t>
    </r>
    <r>
      <rPr>
        <sz val="10"/>
        <color rgb="FF000000"/>
        <rFont val="Arial"/>
        <family val="0"/>
        <charset val="1"/>
      </rPr>
      <t xml:space="preserve">Sol decode </t>
    </r>
    <r>
      <rPr>
        <sz val="10"/>
        <color rgb="FF000000"/>
        <rFont val="Noto Sans CJK SC"/>
        <family val="2"/>
      </rPr>
      <t xml:space="preserve">含思考，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在另兩列）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</si>
  <si>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；經濟口徑、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下；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（含思考）</t>
    </r>
  </si>
  <si>
    <r>
      <rPr>
        <sz val="10"/>
        <color rgb="FF000000"/>
        <rFont val="Noto Sans CJK SC"/>
        <family val="2"/>
      </rPr>
      <t xml:space="preserve">本列為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L1_CostDec_Luna_VR200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見第 </t>
    </r>
    <r>
      <rPr>
        <sz val="10"/>
        <color rgb="FF000000"/>
        <rFont val="Arial"/>
        <family val="0"/>
        <charset val="1"/>
      </rPr>
      <t xml:space="preserve">23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L1_CostDec_Astra_VR200</t>
    </r>
    <r>
      <rPr>
        <sz val="10"/>
        <color rgb="FF000000"/>
        <rFont val="Noto Sans CJK SC"/>
        <family val="2"/>
      </rPr>
      <t xml:space="preserve">）。新鮮輸入與快取輸入見 </t>
    </r>
    <r>
      <rPr>
        <sz val="10"/>
        <color rgb="FF000000"/>
        <rFont val="Arial"/>
        <family val="0"/>
        <charset val="1"/>
      </rPr>
      <t xml:space="preserve">IF_CostPre_*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IF_CostCache_*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</si>
  <si>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</si>
  <si>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無實測，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；本題只連結既有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列，未新增計算</t>
    </r>
  </si>
  <si>
    <r>
      <rPr>
        <sz val="9"/>
        <color rgb="FF595959"/>
        <rFont val="Noto Sans CJK SC"/>
        <family val="2"/>
      </rPr>
      <t xml:space="preserve">各層級成本、理論營收、後訓練占比、牌價比、毛利率、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與成功任務成本：由輸入推導的輸出</t>
    </r>
  </si>
  <si>
    <t xml:space="preserve">L1_Ans5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</si>
  <si>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理論營收（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</si>
  <si>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有效單價、基準成本、基準利用率；單一層級滿載的上限</t>
    </r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</si>
  <si>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L1_RevGW_*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、機隊各一列）；毛利率見 </t>
    </r>
    <r>
      <rPr>
        <sz val="10"/>
        <color rgb="FF000000"/>
        <rFont val="Arial"/>
        <family val="0"/>
        <charset val="1"/>
      </rPr>
      <t xml:space="preserve">L1_Ans5_GM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L1_Ans5_FullMargin</t>
    </r>
    <r>
      <rPr>
        <sz val="10"/>
        <color rgb="FF000000"/>
        <rFont val="Noto Sans CJK SC"/>
        <family val="2"/>
      </rPr>
      <t xml:space="preserve">；全成本 </t>
    </r>
    <r>
      <rPr>
        <sz val="10"/>
        <color rgb="FF000000"/>
        <rFont val="Arial"/>
        <family val="0"/>
        <charset val="1"/>
      </rPr>
      <t xml:space="preserve">$/M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IF_FullCost_*</t>
    </r>
  </si>
  <si>
    <r>
      <rPr>
        <sz val="10"/>
        <color rgb="FF000000"/>
        <rFont val="Noto Sans CJK SC"/>
        <family val="2"/>
      </rPr>
      <t xml:space="preserve">利用率、折扣、快取命中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</si>
  <si>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</si>
  <si>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</t>
    </r>
  </si>
  <si>
    <t xml:space="preserve">L1_Ans6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</si>
  <si>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</si>
  <si>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單一模型最終訓練；</t>
    </r>
    <r>
      <rPr>
        <sz val="10"/>
        <color rgb="FF000000"/>
        <rFont val="Arial"/>
        <family val="0"/>
        <charset val="1"/>
      </rPr>
      <t xml:space="preserve">Block 3 </t>
    </r>
    <r>
      <rPr>
        <sz val="10"/>
        <color rgb="FF000000"/>
        <rFont val="Noto Sans CJK SC"/>
        <family val="2"/>
      </rPr>
      <t xml:space="preserve">基準</t>
    </r>
  </si>
  <si>
    <t xml:space="preserve">無區間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</si>
  <si>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小時口徑見 </t>
    </r>
    <r>
      <rPr>
        <sz val="10"/>
        <color rgb="FF000000"/>
        <rFont val="Arial"/>
        <family val="0"/>
        <charset val="1"/>
      </rPr>
      <t xml:space="preserve">L1_Ans6_GPUh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以推論型運算計價，兩種口徑的後訓練占比不同；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IF_PostShare*_Luna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</si>
  <si>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Arial"/>
        <family val="0"/>
        <charset val="1"/>
      </rPr>
      <t xml:space="preserve">RL rollout 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效率、</t>
    </r>
    <r>
      <rPr>
        <sz val="10"/>
        <color rgb="FF000000"/>
        <rFont val="Arial"/>
        <family val="0"/>
        <charset val="1"/>
      </rPr>
      <t xml:space="preserve">RL trainer MFU</t>
    </r>
  </si>
  <si>
    <r>
      <rPr>
        <sz val="10"/>
        <color rgb="FF000000"/>
        <rFont val="Arial"/>
        <family val="0"/>
        <charset val="1"/>
      </rPr>
      <t xml:space="preserve">Interface C </t>
    </r>
    <r>
      <rPr>
        <sz val="10"/>
        <color rgb="FF000000"/>
        <rFont val="Noto Sans CJK SC"/>
        <family val="2"/>
      </rPr>
      <t xml:space="preserve">節</t>
    </r>
  </si>
  <si>
    <t xml:space="preserve">本題只連結既有名稱</t>
  </si>
  <si>
    <t xml:space="preserve">L1_Ans7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</si>
  <si>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前緣單價（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；參考請求混合）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</si>
  <si>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前緣有效單價；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快照</t>
    </r>
  </si>
  <si>
    <r>
      <rPr>
        <sz val="10"/>
        <color rgb="FF000000"/>
        <rFont val="Noto Sans CJK SC"/>
        <family val="2"/>
      </rPr>
      <t xml:space="preserve">依定義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（前緣＝能力指數不低於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該層級模型的最便宜模型，集合含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本身，</t>
    </r>
    <r>
      <rPr>
        <sz val="10"/>
        <color rgb="FF000000"/>
        <rFont val="Arial"/>
        <family val="0"/>
        <charset val="1"/>
      </rPr>
      <t xml:space="preserve">K2 (i)</t>
    </r>
    <r>
      <rPr>
        <sz val="10"/>
        <color rgb="FF000000"/>
        <rFont val="Noto Sans CJK SC"/>
        <family val="2"/>
      </rPr>
      <t xml:space="preserve">）；＝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該層級即在前緣上，</t>
    </r>
    <r>
      <rPr>
        <sz val="10"/>
        <color rgb="FF000000"/>
        <rFont val="Arial"/>
        <family val="0"/>
        <charset val="1"/>
      </rPr>
      <t xml:space="preserve">&gt;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高於前緣；兩個單價見 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IF_PriceRef_*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IF_FrontRef_*</t>
    </r>
  </si>
  <si>
    <r>
      <rPr>
        <sz val="10"/>
        <color rgb="FF000000"/>
        <rFont val="Noto Sans CJK SC"/>
        <family val="2"/>
      </rPr>
      <t xml:space="preserve">能力指數、中國廠商單價、前緣定義（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</si>
  <si>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指數：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級、改版頻繁</t>
    </r>
  </si>
  <si>
    <t xml:space="preserve">L1_Ans8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</si>
  <si>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是否降低每成功任務成本：選定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</si>
  <si>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（長程，第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欄）；選定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檔案全採用 對 標準 </t>
    </r>
    <r>
      <rPr>
        <sz val="10"/>
        <color rgb="FF000000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</si>
  <si>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&lt; 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降低每成功任務成本；各任務見 </t>
    </r>
    <r>
      <rPr>
        <sz val="10"/>
        <color rgb="FF000000"/>
        <rFont val="Arial"/>
        <family val="0"/>
        <charset val="1"/>
      </rPr>
      <t xml:space="preserve">IF_HarR_Sol </t>
    </r>
    <r>
      <rPr>
        <sz val="10"/>
        <color rgb="FF000000"/>
        <rFont val="Noto Sans CJK SC"/>
        <family val="2"/>
      </rPr>
      <t xml:space="preserve">各欄、其他層級見 </t>
    </r>
    <r>
      <rPr>
        <sz val="10"/>
        <color rgb="FF000000"/>
        <rFont val="Arial"/>
        <family val="0"/>
        <charset val="1"/>
      </rPr>
      <t xml:space="preserve">IF_HarR_Luna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</si>
  <si>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r>
      <rPr>
        <sz val="10"/>
        <color rgb="FF000000"/>
        <rFont val="Noto Sans CJK SC"/>
        <family val="2"/>
      </rPr>
      <t xml:space="preserve">任務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</si>
  <si>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</si>
  <si>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</t>
    </r>
  </si>
  <si>
    <t xml:space="preserve">L1_Ans9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</si>
  <si>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：成功任務成本前緣（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</si>
  <si>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；任務＝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欄）；層級與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檔案見 </t>
    </r>
    <r>
      <rPr>
        <sz val="10"/>
        <color rgb="FF000000"/>
        <rFont val="Arial"/>
        <family val="0"/>
        <charset val="1"/>
      </rPr>
      <t xml:space="preserve">IF_FrontSuccVRName</t>
    </r>
  </si>
  <si>
    <t xml:space="preserve">無區間（單一前緣值）</t>
  </si>
  <si>
    <r>
      <rPr>
        <sz val="10"/>
        <color rgb="FF000000"/>
        <rFont val="Noto Sans CJK SC"/>
        <family val="2"/>
      </rPr>
      <t xml:space="preserve">前緣組合名稱見 </t>
    </r>
    <r>
      <rPr>
        <sz val="10"/>
        <color rgb="FF000000"/>
        <rFont val="Arial"/>
        <family val="0"/>
        <charset val="1"/>
      </rPr>
      <t xml:space="preserve">IF_FrontSuccVRName</t>
    </r>
    <r>
      <rPr>
        <sz val="10"/>
        <color rgb="FF000000"/>
        <rFont val="Noto Sans CJK SC"/>
        <family val="2"/>
      </rPr>
      <t xml:space="preserve">、成功率見 </t>
    </r>
    <r>
      <rPr>
        <sz val="10"/>
        <color rgb="FF000000"/>
        <rFont val="Arial"/>
        <family val="0"/>
        <charset val="1"/>
      </rPr>
      <t xml:space="preserve">IF_FrontSuccVRP</t>
    </r>
    <r>
      <rPr>
        <sz val="10"/>
        <color rgb="FF000000"/>
        <rFont val="Noto Sans CJK SC"/>
        <family val="2"/>
      </rPr>
      <t xml:space="preserve">；『無合格』表示無組合達 </t>
    </r>
    <r>
      <rPr>
        <sz val="10"/>
        <color rgb="FF000000"/>
        <rFont val="Arial"/>
        <family val="0"/>
        <charset val="1"/>
      </rPr>
      <t xml:space="preserve">p_min</t>
    </r>
  </si>
  <si>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、任務成功率、單價</t>
    </r>
  </si>
  <si>
    <r>
      <rPr>
        <sz val="10"/>
        <color rgb="FF000000"/>
        <rFont val="Arial"/>
        <family val="0"/>
        <charset val="1"/>
      </rPr>
      <t xml:space="preserve">p_min 50%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</si>
  <si>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Noto Sans CJK SC"/>
        <family val="2"/>
      </rPr>
      <t xml:space="preserve">任務欄（目前取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）未由工作單指定；其他任務見 </t>
    </r>
    <r>
      <rPr>
        <sz val="10"/>
        <color rgb="FF000000"/>
        <rFont val="Arial"/>
        <family val="0"/>
        <charset val="1"/>
      </rPr>
      <t xml:space="preserve">IF_FrontSuccVR </t>
    </r>
    <r>
      <rPr>
        <sz val="10"/>
        <color rgb="FF000000"/>
        <rFont val="Noto Sans CJK SC"/>
        <family val="2"/>
      </rPr>
      <t xml:space="preserve">各欄</t>
    </r>
  </si>
  <si>
    <t xml:space="preserve">L1_ExtServeGW</t>
  </si>
  <si>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：模型主口徑（支出路線）對 外部對照（推論支出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</si>
  <si>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：恢復「模型主口徑對外部」——推算值＝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（支出路線，</t>
    </r>
    <r>
      <rPr>
        <sz val="10"/>
        <color rgb="FF000000"/>
        <rFont val="Arial"/>
        <family val="0"/>
        <charset val="1"/>
      </rPr>
      <t xml:space="preserve">D14 </t>
    </r>
    <r>
      <rPr>
        <sz val="10"/>
        <color rgb="FF000000"/>
        <rFont val="Noto Sans CJK SC"/>
        <family val="2"/>
      </rPr>
      <t xml:space="preserve">主口徑），外部對照＝推論支出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路線（需求 </t>
    </r>
    <r>
      <rPr>
        <sz val="10"/>
        <color rgb="FF000000"/>
        <rFont val="Arial"/>
        <family val="0"/>
        <charset val="1"/>
      </rPr>
      <t xml:space="preserve">D ÷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產能）改為對照，見 </t>
    </r>
    <r>
      <rPr>
        <sz val="10"/>
        <color rgb="FF000000"/>
        <rFont val="Arial"/>
        <family val="0"/>
        <charset val="1"/>
      </rPr>
      <t xml:space="preserve">IF_AllocServeGW_Tok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</si>
  <si>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無區間（單一對照值）</t>
  </si>
  <si>
    <r>
      <rPr>
        <sz val="10"/>
        <color rgb="FF000000"/>
        <rFont val="Noto Sans CJK SC"/>
        <family val="2"/>
      </rPr>
      <t xml:space="preserve">主口徑與外部對照同源（</t>
    </r>
    <r>
      <rPr>
        <sz val="10"/>
        <color rgb="FF000000"/>
        <rFont val="Arial"/>
        <family val="0"/>
        <charset val="1"/>
      </rPr>
      <t xml:space="preserve">SRC_DEM_004 ÷ </t>
    </r>
    <r>
      <rPr>
        <sz val="10"/>
        <color rgb="FF000000"/>
        <rFont val="Noto Sans CJK SC"/>
        <family val="2"/>
      </rPr>
      <t xml:space="preserve">持有成本），比值必為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；本列不再是獨立檢驗。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路線對支出路線的差距（未解釋）見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路線值見 </t>
    </r>
    <r>
      <rPr>
        <sz val="10"/>
        <color rgb="FF000000"/>
        <rFont val="Arial"/>
        <family val="0"/>
        <charset val="1"/>
      </rPr>
      <t xml:space="preserve">IF_AllocServeGW_Tok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</si>
  <si>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數、服務世代組合、每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產能</t>
    </r>
  </si>
  <si>
    <t xml:space="preserve">SRC_DEM_004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</si>
  <si>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</si>
  <si>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支出路線以經濟持有成本換算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，與外部揭露的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）無關</t>
    </r>
  </si>
  <si>
    <r>
      <rPr>
        <sz val="9"/>
        <color rgb="FF595959"/>
        <rFont val="Noto Sans CJK SC"/>
        <family val="2"/>
      </rPr>
      <t xml:space="preserve">主口徑服務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＝推論支出（</t>
    </r>
    <r>
      <rPr>
        <sz val="9"/>
        <color rgb="FF595959"/>
        <rFont val="Arial"/>
        <family val="0"/>
        <charset val="1"/>
      </rPr>
      <t xml:space="preserve">SRC_DEM_004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持有成本：由外部支出除以模型成本反推容量；與外部對照同源，比值恆為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（不是獨立檢驗）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</si>
  <si>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</si>
  <si>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L1_ExtFreeShare</t>
  </si>
  <si>
    <r>
      <rPr>
        <sz val="10"/>
        <color rgb="FF000000"/>
        <rFont val="Noto Sans CJK SC"/>
        <family val="2"/>
      </rPr>
      <t xml:space="preserve">免費服務算力占比：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對 支出口徑（</t>
    </r>
    <r>
      <rPr>
        <sz val="10"/>
        <color rgb="FF000000"/>
        <rFont val="Arial"/>
        <family val="0"/>
        <charset val="1"/>
      </rPr>
      <t xml:space="preserve">SRC_DEM_005 ÷ SRC_DEM_004</t>
    </r>
    <r>
      <rPr>
        <sz val="10"/>
        <color rgb="FF000000"/>
        <rFont val="Noto Sans CJK SC"/>
        <family val="2"/>
      </rPr>
      <t xml:space="preserve">）</t>
    </r>
  </si>
  <si>
    <t xml:space="preserve">OpenAI 2025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</si>
  <si>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路線＝免費服務 </t>
    </r>
    <r>
      <rPr>
        <sz val="10"/>
        <color rgb="FF000000"/>
        <rFont val="Arial"/>
        <family val="0"/>
        <charset val="1"/>
      </rPr>
      <t xml:space="preserve">GW ÷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；支出口徑＝免費推論支出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推論支出</t>
    </r>
  </si>
  <si>
    <r>
      <rPr>
        <sz val="10"/>
        <color rgb="FF000000"/>
        <rFont val="Noto Sans CJK SC"/>
        <family val="2"/>
      </rPr>
      <t xml:space="preserve">免費占比、層級組合（</t>
    </r>
    <r>
      <rPr>
        <sz val="10"/>
        <color rgb="FF000000"/>
        <rFont val="Arial"/>
        <family val="0"/>
        <charset val="1"/>
      </rPr>
      <t xml:space="preserve">Cap_In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</si>
  <si>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免費用戶占比：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</si>
  <si>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SRC_DEM_005</t>
  </si>
  <si>
    <r>
      <rPr>
        <sz val="10"/>
        <color rgb="FF000000"/>
        <rFont val="Noto Sans CJK SC"/>
        <family val="2"/>
      </rPr>
      <t xml:space="preserve">兩口徑不同（算力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支出）</t>
    </r>
  </si>
  <si>
    <r>
      <rPr>
        <sz val="9"/>
        <color rgb="FF595959"/>
        <rFont val="Noto Sans CJK SC"/>
        <family val="2"/>
      </rPr>
      <t xml:space="preserve">兩路線的免費占比對照（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路線對支出口徑）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</si>
  <si>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O47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</si>
  <si>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L1_ExtDaily</t>
  </si>
  <si>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合計 對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估計（</t>
    </r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低、高）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</si>
  <si>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ChatGPT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</si>
  <si>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</t>
    </r>
  </si>
  <si>
    <t xml:space="preserve">SRC_DEM_013</t>
  </si>
  <si>
    <r>
      <rPr>
        <sz val="10"/>
        <color rgb="FF000000"/>
        <rFont val="Arial"/>
        <family val="0"/>
        <charset val="1"/>
      </rPr>
      <t xml:space="preserve">Alloc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</si>
  <si>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為由算力推估的區間</t>
    </r>
  </si>
  <si>
    <r>
      <rPr>
        <sz val="9"/>
        <color rgb="FF595959"/>
        <rFont val="Noto Sans CJK SC"/>
        <family val="2"/>
      </rPr>
      <t xml:space="preserve">模型每日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估計的對照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</si>
  <si>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</si>
  <si>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L1_Ans5_GM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</si>
  <si>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：理論毛利率（毛利口徑：服務＋快取儲存，不含訓練攤提；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</si>
  <si>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；基準利用率；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下單一層級滿載（理想上限）</t>
    </r>
  </si>
  <si>
    <t xml:space="preserve">成本角落情境（高成本／低成本欄；毛利率隨成本反向）</t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</si>
  <si>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、利用率、單價快照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</si>
  <si>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</si>
  <si>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IF_AmortBU_Sol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</si>
  <si>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；兩者皆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），與本列的物理上限口徑不同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</si>
  <si>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O49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</si>
  <si>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L1_Ans5_FullMargin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</si>
  <si>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：理論毛利率（全成本口徑：含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預設訓練攤提；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</si>
  <si>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1 − IF_FullCostDefault_Sol ÷ IF_PriceRef_Sol</t>
    </r>
    <r>
      <rPr>
        <sz val="10"/>
        <color rgb="FF000000"/>
        <rFont val="Noto Sans CJK SC"/>
        <family val="2"/>
      </rPr>
      <t xml:space="preserve">：含 </t>
    </r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預設攤提（自下而上總額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權重）的全成本口徑，為第二列。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＝高成本欄、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＝低成本欄</t>
    </r>
  </si>
  <si>
    <r>
      <rPr>
        <sz val="10"/>
        <color rgb="FF000000"/>
        <rFont val="Noto Sans CJK SC"/>
        <family val="2"/>
      </rPr>
      <t xml:space="preserve">機架價格、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、利用率、訓練攤提（</t>
    </r>
    <r>
      <rPr>
        <sz val="10"/>
        <color rgb="FF000000"/>
        <rFont val="Arial"/>
        <family val="0"/>
        <charset val="1"/>
      </rPr>
      <t xml:space="preserve">K6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</si>
  <si>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D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IF_FullCostDefault_Sol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IF_PriceRef_Sol</t>
    </r>
    <r>
      <rPr>
        <sz val="10"/>
        <color rgb="FF000000"/>
        <rFont val="Noto Sans CJK SC"/>
        <family val="2"/>
      </rPr>
      <t xml:space="preserve">）</t>
    </r>
  </si>
  <si>
    <t xml:space="preserve">L1_Ans6_GPUh</t>
  </si>
  <si>
    <r>
      <rPr>
        <sz val="10"/>
        <color rgb="FF000000"/>
        <rFont val="Noto Sans CJK SC"/>
        <family val="2"/>
      </rPr>
      <t xml:space="preserve">問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：後訓練占比（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；訓練世代＝</t>
    </r>
    <r>
      <rPr>
        <sz val="10"/>
        <color rgb="FF000000"/>
        <rFont val="Arial"/>
        <family val="0"/>
        <charset val="1"/>
      </rPr>
      <t xml:space="preserve">IF_TrainGenDefault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</si>
  <si>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口徑見 </t>
    </r>
    <r>
      <rPr>
        <sz val="10"/>
        <color rgb="FF000000"/>
        <rFont val="Arial"/>
        <family val="0"/>
        <charset val="1"/>
      </rPr>
      <t xml:space="preserve">L1_Ans6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IF_PostShareGPUh_Luna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_Astra</t>
    </r>
  </si>
  <si>
    <t xml:space="preserve">L1_FleetBreakeven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</si>
  <si>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機隊）：令機隊營收（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層）＝持有成本所需的「利用率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</si>
  <si>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(c)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</si>
  <si>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）、單價快照、層級組合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</si>
  <si>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）；機架價格：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</si>
  <si>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節機隊合計列</t>
    </r>
  </si>
  <si>
    <t xml:space="preserve">令機隊營收＝持有成本所需的乘積（使某值不變而反解）</t>
  </si>
  <si>
    <t xml:space="preserve">L1_FleetMargin</t>
  </si>
  <si>
    <r>
      <rPr>
        <sz val="10"/>
        <color rgb="FF000000"/>
        <rFont val="Noto Sans CJK SC"/>
        <family val="2"/>
      </rPr>
      <t xml:space="preserve">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機隊；四層口徑：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重解比 </t>
    </r>
    <r>
      <rPr>
        <sz val="10"/>
        <color rgb="FF000000"/>
        <rFont val="Arial"/>
        <family val="0"/>
        <charset val="1"/>
      </rPr>
      <t xml:space="preserve">L1_FleetProdRatio × L × m ÷ </t>
    </r>
    <r>
      <rPr>
        <sz val="10"/>
        <color rgb="FF000000"/>
        <rFont val="Noto Sans CJK SC"/>
        <family val="2"/>
      </rPr>
      <t xml:space="preserve">損益兩平乘積；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</si>
  <si>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X14 (c)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）：生產折減讀重解值（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），不再線性乘 </t>
    </r>
    <r>
      <rPr>
        <sz val="10"/>
        <color rgb="FF000000"/>
        <rFont val="Arial"/>
        <family val="0"/>
        <charset val="1"/>
      </rPr>
      <t xml:space="preserve">CTL_ProdDerate</t>
    </r>
  </si>
  <si>
    <t xml:space="preserve">成本角落情境（高成本／低成本欄；倍數隨成本反向）</t>
  </si>
  <si>
    <r>
      <rPr>
        <sz val="10"/>
        <color rgb="FF000000"/>
        <rFont val="Noto Sans CJK SC"/>
        <family val="2"/>
      </rPr>
      <t xml:space="preserve">含重解折減：＝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× CTL_PriceLife × CTL_Monetize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比對，應為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3.12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線性折減為 </t>
    </r>
    <r>
      <rPr>
        <sz val="10"/>
        <color rgb="FF000000"/>
        <rFont val="Arial"/>
        <family val="0"/>
        <charset val="1"/>
      </rPr>
      <t xml:space="preserve">3.39</t>
    </r>
    <r>
      <rPr>
        <sz val="10"/>
        <color rgb="FF000000"/>
        <rFont val="Noto Sans CJK SC"/>
        <family val="2"/>
      </rPr>
      <t xml:space="preserve">）。對照（不入外部欄，口徑不同：毛利率 對 倍數）：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推論毛利隱含值＝</t>
    </r>
    <r>
      <rPr>
        <sz val="10"/>
        <color rgb="FF000000"/>
        <rFont val="Arial"/>
        <family val="0"/>
        <charset val="1"/>
      </rPr>
      <t xml:space="preserve">1 − SRC_DEM_004 ÷ SRC_DEM_007</t>
    </r>
    <r>
      <rPr>
        <sz val="10"/>
        <color rgb="FF000000"/>
        <rFont val="Noto Sans CJK SC"/>
        <family val="2"/>
      </rPr>
      <t xml:space="preserve">，見 </t>
    </r>
    <r>
      <rPr>
        <sz val="10"/>
        <color rgb="FF000000"/>
        <rFont val="Arial"/>
        <family val="0"/>
        <charset val="1"/>
      </rPr>
      <t xml:space="preserve">L1_Ans5_GM </t>
    </r>
    <r>
      <rPr>
        <sz val="10"/>
        <color rgb="FF000000"/>
        <rFont val="Noto Sans CJK SC"/>
        <family val="2"/>
      </rPr>
      <t xml:space="preserve">外部欄（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</si>
  <si>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利用率、生產折減（重解）、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、持有成本、單價快照</t>
    </r>
  </si>
  <si>
    <r>
      <rPr>
        <sz val="10"/>
        <color rgb="FF000000"/>
        <rFont val="Noto Sans CJK SC"/>
        <family val="2"/>
      </rPr>
      <t xml:space="preserve">利用率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CTL_ProdDerate 0.85</t>
    </r>
    <r>
      <rPr>
        <sz val="10"/>
        <color rgb="FF000000"/>
        <rFont val="Noto Sans CJK SC"/>
        <family val="2"/>
      </rPr>
      <t xml:space="preserve">：情境值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</si>
  <si>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</si>
  <si>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項：毛利率口徑與本列倍數口徑不同，不計入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</si>
  <si>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r>
      <rPr>
        <sz val="9"/>
        <color rgb="FF595959"/>
        <rFont val="Noto Sans CJK SC"/>
        <family val="2"/>
      </rPr>
      <t xml:space="preserve">機隊營收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持有成本（比值輸出）</t>
    </r>
  </si>
  <si>
    <t xml:space="preserve">L1_HoldEconMW_Hopper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</si>
  <si>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</si>
  <si>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基準成本情境；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</si>
  <si>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</si>
  <si>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</t>
    </r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</si>
  <si>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折舊年限、機架價格、</t>
    </r>
    <r>
      <rPr>
        <sz val="10"/>
        <color rgb="FF000000"/>
        <rFont val="Arial"/>
        <family val="0"/>
        <charset val="1"/>
      </rPr>
      <t xml:space="preserve">WACC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</si>
  <si>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11–14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</si>
  <si>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$B </t>
    </r>
    <r>
      <rPr>
        <sz val="9"/>
        <color rgb="FF595959"/>
        <rFont val="Noto Sans CJK SC"/>
        <family val="2"/>
      </rPr>
      <t xml:space="preserve">與每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$M </t>
    </r>
    <r>
      <rPr>
        <sz val="9"/>
        <color rgb="FF595959"/>
        <rFont val="Noto Sans CJK SC"/>
        <family val="2"/>
      </rPr>
      <t xml:space="preserve">數值相同（單位換算）</t>
    </r>
  </si>
  <si>
    <t xml:space="preserve">L1_HoldEconMW_GB200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</si>
  <si>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</si>
  <si>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L1_HoldEconMW_GB300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</si>
  <si>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</si>
  <si>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r>
      <rPr>
        <sz val="10"/>
        <color rgb="FF000000"/>
        <rFont val="Noto Sans CJK SC"/>
        <family val="2"/>
      </rPr>
      <t xml:space="preserve">下游每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介面：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不輸出每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收入，下游依 </t>
    </r>
    <r>
      <rPr>
        <sz val="10"/>
        <color rgb="FF000000"/>
        <rFont val="Arial"/>
        <family val="0"/>
        <charset val="1"/>
      </rPr>
      <t xml:space="preserve">q × p × c × </t>
    </r>
    <r>
      <rPr>
        <sz val="10"/>
        <color rgb="FF000000"/>
        <rFont val="Noto Sans CJK SC"/>
        <family val="2"/>
      </rPr>
      <t xml:space="preserve">簽約率自算。對照（不入外部欄，口徑不同：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年）：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新雲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損益兩平租金，見 </t>
    </r>
    <r>
      <rPr>
        <sz val="10"/>
        <color rgb="FF000000"/>
        <rFont val="Arial"/>
        <family val="0"/>
        <charset val="1"/>
      </rPr>
      <t xml:space="preserve">SRC_Price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</si>
  <si>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Noto Sans CJK SC"/>
        <family val="2"/>
      </rPr>
      <t xml:space="preserve">無外部對照（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SRC_PRC_002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$/GPU-hr </t>
    </r>
    <r>
      <rPr>
        <sz val="10"/>
        <color rgb="FF000000"/>
        <rFont val="Noto Sans CJK SC"/>
        <family val="2"/>
      </rPr>
      <t xml:space="preserve">口徑，不計入 </t>
    </r>
    <r>
      <rPr>
        <sz val="10"/>
        <color rgb="FF000000"/>
        <rFont val="Arial"/>
        <family val="0"/>
        <charset val="1"/>
      </rPr>
      <t xml:space="preserve">I3</t>
    </r>
    <r>
      <rPr>
        <sz val="10"/>
        <color rgb="FF000000"/>
        <rFont val="Noto Sans CJK SC"/>
        <family val="2"/>
      </rPr>
      <t xml:space="preserve">；對照寫在讀法欄）</t>
    </r>
  </si>
  <si>
    <t xml:space="preserve">L1_HoldEconMW_VR200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</si>
  <si>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年經濟持有成本（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；數值＝每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v5.30 X15 (b) </t>
    </r>
    <r>
      <rPr>
        <sz val="10"/>
        <color rgb="FF000000"/>
        <rFont val="Noto Sans CJK SC"/>
        <family val="2"/>
      </rPr>
      <t xml:space="preserve">更正）</t>
    </r>
  </si>
  <si>
    <t xml:space="preserve">L1_TokMW_Gen_ratio_GB200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</si>
  <si>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GB200 ÷ 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</si>
  <si>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Noto Sans CJK SC"/>
        <family val="2"/>
      </rPr>
      <t xml:space="preserve">基準成本欄；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參考請求；</t>
    </r>
    <r>
      <rPr>
        <sz val="10"/>
        <color rgb="FF000000"/>
        <rFont val="Arial"/>
        <family val="0"/>
        <charset val="1"/>
      </rPr>
      <t xml:space="preserve">X14 (d)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</si>
  <si>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</si>
  <si>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相同（同除 </t>
    </r>
    <r>
      <rPr>
        <sz val="10"/>
        <color rgb="FF000000"/>
        <rFont val="Arial"/>
        <family val="0"/>
        <charset val="1"/>
      </rPr>
      <t xml:space="preserve">1,000</t>
    </r>
    <r>
      <rPr>
        <sz val="10"/>
        <color rgb="FF000000"/>
        <rFont val="Noto Sans CJK SC"/>
        <family val="2"/>
      </rPr>
      <t xml:space="preserve">）；比值 </t>
    </r>
    <r>
      <rPr>
        <sz val="10"/>
        <color rgb="FF000000"/>
        <rFont val="Arial"/>
        <family val="0"/>
        <charset val="1"/>
      </rPr>
      <t xml:space="preserve">&gt;1 </t>
    </r>
    <r>
      <rPr>
        <sz val="10"/>
        <color rgb="FF000000"/>
        <rFont val="Noto Sans CJK SC"/>
        <family val="2"/>
      </rPr>
      <t xml:space="preserve">表示新世代每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產出較高</t>
    </r>
  </si>
  <si>
    <r>
      <rPr>
        <sz val="10"/>
        <color rgb="FF000000"/>
        <rFont val="Arial"/>
        <family val="0"/>
        <charset val="1"/>
      </rPr>
      <t xml:space="preserve">η_d</t>
    </r>
    <r>
      <rPr>
        <sz val="10"/>
        <color rgb="FF000000"/>
        <rFont val="Noto Sans CJK SC"/>
        <family val="2"/>
      </rPr>
      <t xml:space="preserve">、每層延遲、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、峰值</t>
    </r>
  </si>
  <si>
    <r>
      <rPr>
        <sz val="10"/>
        <color rgb="FF000000"/>
        <rFont val="Arial"/>
        <family val="0"/>
        <charset val="1"/>
      </rPr>
      <t xml:space="preserve">VR200 η_d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（沿用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</si>
  <si>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</si>
  <si>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無同條件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對照</t>
    </r>
  </si>
  <si>
    <r>
      <rPr>
        <sz val="9"/>
        <color rgb="FF595959"/>
        <rFont val="Noto Sans CJK SC"/>
        <family val="2"/>
      </rPr>
      <t xml:space="preserve">相鄰世代每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總產出比（物理推導）；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對世代比為兩個推導比值之比</t>
    </r>
  </si>
  <si>
    <t xml:space="preserve">L1_TokMW_Gen_ratio_GB300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</si>
  <si>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GB300 ÷ 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</si>
  <si>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SRC_PERF_025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</si>
  <si>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MLPerf DeepSeek-R1 interactive </t>
    </r>
    <r>
      <rPr>
        <sz val="10"/>
        <color rgb="FF000000"/>
        <rFont val="Noto Sans CJK SC"/>
        <family val="2"/>
      </rPr>
      <t xml:space="preserve">整架 </t>
    </r>
    <r>
      <rPr>
        <sz val="10"/>
        <color rgb="FF000000"/>
        <rFont val="Arial"/>
        <family val="0"/>
        <charset val="1"/>
      </rPr>
      <t xml:space="preserve">tok/s </t>
    </r>
    <r>
      <rPr>
        <sz val="10"/>
        <color rgb="FF000000"/>
        <rFont val="Noto Sans CJK SC"/>
        <family val="2"/>
      </rPr>
      <t xml:space="preserve">比（工作單寫 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</t>
    </r>
    <r>
      <rPr>
        <sz val="10"/>
        <color rgb="FF000000"/>
        <rFont val="Noto Sans CJK SC"/>
        <family val="2"/>
      </rPr>
      <t xml:space="preserve">，該兩筆為 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上限；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改連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產出紀錄，待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確認）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</si>
  <si>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O59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</si>
  <si>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L1_TokMW_Gen_ratio_VR200</t>
  </si>
  <si>
    <r>
      <rPr>
        <sz val="10"/>
        <color rgb="FF000000"/>
        <rFont val="Noto Sans CJK SC"/>
        <family val="2"/>
      </rPr>
      <t xml:space="preserve">相鄰世代每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MW</t>
    </r>
    <r>
      <rPr>
        <sz val="10"/>
        <color rgb="FF000000"/>
        <rFont val="Noto Sans CJK SC"/>
        <family val="2"/>
      </rPr>
      <t xml:space="preserve">）總產出比：</t>
    </r>
    <r>
      <rPr>
        <sz val="10"/>
        <color rgb="FF000000"/>
        <rFont val="Arial"/>
        <family val="0"/>
        <charset val="1"/>
      </rPr>
      <t xml:space="preserve">VR200 ÷ GB300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）｜固定模型口徑（</t>
    </r>
    <r>
      <rPr>
        <sz val="10"/>
        <color rgb="FF000000"/>
        <rFont val="Arial"/>
        <family val="0"/>
        <charset val="1"/>
      </rPr>
      <t xml:space="preserve">2026 Arch </t>
    </r>
    <r>
      <rPr>
        <sz val="10"/>
        <color rgb="FF000000"/>
        <rFont val="Noto Sans CJK SC"/>
        <family val="2"/>
      </rPr>
      <t xml:space="preserve">快照，跨世代同一模型）；模型隨世代變大見 </t>
    </r>
    <r>
      <rPr>
        <sz val="10"/>
        <color rgb="FF000000"/>
        <rFont val="Arial"/>
        <family val="0"/>
        <charset val="1"/>
      </rPr>
      <t xml:space="preserve">`ARCH_ScaleGen` </t>
    </r>
    <r>
      <rPr>
        <sz val="10"/>
        <color rgb="FF000000"/>
        <rFont val="Noto Sans CJK SC"/>
        <family val="2"/>
      </rPr>
      <t xml:space="preserve">與情境 </t>
    </r>
    <r>
      <rPr>
        <sz val="10"/>
        <color rgb="FF000000"/>
        <rFont val="Arial"/>
        <family val="0"/>
        <charset val="1"/>
      </rPr>
      <t xml:space="preserve">`d1_model_scale`</t>
    </r>
  </si>
  <si>
    <r>
      <rPr>
        <sz val="10"/>
        <color rgb="FF000000"/>
        <rFont val="Arial"/>
        <family val="0"/>
        <charset val="1"/>
      </rPr>
      <t xml:space="preserve">Sens_Perf VR η_d ×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× 1.5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E:F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G:H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98 </t>
    </r>
    <r>
      <rPr>
        <sz val="10"/>
        <color rgb="FF000000"/>
        <rFont val="Noto Sans CJK SC"/>
        <family val="2"/>
      </rPr>
      <t xml:space="preserve">列）的比值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</si>
  <si>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</si>
  <si>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</si>
  <si>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</si>
  <si>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一般聊天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</si>
  <si>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</si>
  <si>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只涵蓋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</si>
  <si>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的成本降幅大於換代（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）的成本降幅；基準仍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</si>
  <si>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參數組、成功率 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世代倍數</t>
    </r>
  </si>
  <si>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SRC_HAR_006</t>
    </r>
  </si>
  <si>
    <r>
      <rPr>
        <sz val="10"/>
        <color rgb="FF000000"/>
        <rFont val="Arial"/>
        <family val="0"/>
        <charset val="1"/>
      </rPr>
      <t xml:space="preserve">Interface E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35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</si>
  <si>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外部為 </t>
    </r>
    <r>
      <rPr>
        <sz val="10"/>
        <color rgb="FF000000"/>
        <rFont val="Arial"/>
        <family val="0"/>
        <charset val="1"/>
      </rPr>
      <t xml:space="preserve">ARC-AGI-3 Adapter ÷ </t>
    </r>
    <r>
      <rPr>
        <sz val="10"/>
        <color rgb="FF000000"/>
        <rFont val="Noto Sans CJK SC"/>
        <family val="2"/>
      </rPr>
      <t xml:space="preserve">標準成本比（方向；未除以世代比）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</si>
  <si>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O61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</si>
  <si>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L1_HarVsGen_ReasonChat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</si>
  <si>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推理聊天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</si>
  <si>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</si>
  <si>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O62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</si>
  <si>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L1_HarVsGen_SingleAgent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</si>
  <si>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單代理（工具迴圈）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</si>
  <si>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</si>
  <si>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O63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</si>
  <si>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L1_HarVsGen_MultiAgent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</si>
  <si>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多代理研究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</si>
  <si>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</si>
  <si>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</si>
  <si>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L1_HarVsGen_Coding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</si>
  <si>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對世代：（選定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）— 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（長程）</t>
    </r>
  </si>
  <si>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；任務欄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X14 (e)</t>
    </r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</si>
  <si>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Sol R</t>
    </r>
    <r>
      <rPr>
        <sz val="10"/>
        <color rgb="FF000000"/>
        <rFont val="Noto Sans CJK SC"/>
        <family val="2"/>
      </rPr>
      <t xml:space="preserve">）最小／最大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同一世代比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</si>
  <si>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</si>
  <si>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L1_PretrainFLOP_Astra_Ext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</si>
  <si>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</t>
    </r>
    <r>
      <rPr>
        <sz val="10"/>
        <color rgb="FF000000"/>
        <rFont val="Noto Sans CJK SC"/>
        <family val="2"/>
      </rPr>
      <t xml:space="preserve">估計；叢集總算力，含後訓練，為上限）</t>
    </r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</si>
  <si>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標為上限（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叢集總算力，含後訓練）；隱含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L1_AstraExtTok_*B</t>
    </r>
  </si>
  <si>
    <t xml:space="preserve">Epoch notebook CI ~[5e26, 2e27]</t>
  </si>
  <si>
    <r>
      <rPr>
        <sz val="10"/>
        <color rgb="FF000000"/>
        <rFont val="Noto Sans CJK SC"/>
        <family val="2"/>
      </rPr>
      <t xml:space="preserve">與第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bottom-up </t>
    </r>
    <r>
      <rPr>
        <sz val="10"/>
        <color rgb="FF000000"/>
        <rFont val="Noto Sans CJK SC"/>
        <family val="2"/>
      </rPr>
      <t xml:space="preserve">並列為雙基準；不改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</si>
  <si>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硬體推估（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數為下限、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25% MFU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</si>
  <si>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</si>
  <si>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</si>
  <si>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外部估計值（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硬體推估；單一外部錨點，不是模型推導）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</si>
  <si>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O66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</si>
  <si>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L1_AstraScale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</si>
  <si>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規模係數（未解釋）：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bottom-up</t>
    </r>
  </si>
  <si>
    <r>
      <rPr>
        <sz val="10"/>
        <color rgb="FF000000"/>
        <rFont val="Arial"/>
        <family val="0"/>
        <charset val="1"/>
      </rPr>
      <t xml:space="preserve">X14 (f)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或後訓練，不在本版決定；數值不變</t>
    </r>
  </si>
  <si>
    <r>
      <rPr>
        <sz val="10"/>
        <color rgb="FF000000"/>
        <rFont val="Noto Sans CJK SC"/>
        <family val="2"/>
      </rPr>
      <t xml:space="preserve">低高同比（</t>
    </r>
    <r>
      <rPr>
        <sz val="10"/>
        <color rgb="FF000000"/>
        <rFont val="Arial"/>
        <family val="0"/>
        <charset val="1"/>
      </rPr>
      <t xml:space="preserve">Ext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÷ bottom-up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</si>
  <si>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缺口；下游校準用，不得當產能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</si>
  <si>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</t>
    </r>
  </si>
  <si>
    <t xml:space="preserve">未解釋</t>
  </si>
  <si>
    <r>
      <rPr>
        <sz val="9"/>
        <color rgb="FF595959"/>
        <rFont val="Noto Sans CJK SC"/>
        <family val="2"/>
      </rPr>
      <t xml:space="preserve">差距沒有被分解（工作單 </t>
    </r>
    <r>
      <rPr>
        <sz val="9"/>
        <color rgb="FF595959"/>
        <rFont val="Arial"/>
        <family val="0"/>
        <charset val="1"/>
      </rPr>
      <t xml:space="preserve">D4</t>
    </r>
    <r>
      <rPr>
        <sz val="9"/>
        <color rgb="FF595959"/>
        <rFont val="Noto Sans CJK SC"/>
        <family val="2"/>
      </rPr>
      <t xml:space="preserve">：標「未解釋」）：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啟用參數、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、後訓練都可能</t>
    </r>
  </si>
  <si>
    <t xml:space="preserve">L1_ScaleRD</t>
  </si>
  <si>
    <r>
      <rPr>
        <sz val="10"/>
        <color rgb="FF000000"/>
        <rFont val="Noto Sans CJK SC"/>
        <family val="2"/>
      </rPr>
      <t xml:space="preserve">研發端規模係數：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模型研發算力成本（</t>
    </r>
    <r>
      <rPr>
        <sz val="10"/>
        <color rgb="FF000000"/>
        <rFont val="Arial"/>
        <family val="0"/>
        <charset val="1"/>
      </rPr>
      <t xml:space="preserve">SRC_DEM_006 ÷ L1_Ans3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</si>
  <si>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</si>
  <si>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L1_Ans3 </t>
    </r>
    <r>
      <rPr>
        <sz val="10"/>
        <color rgb="FF000000"/>
        <rFont val="Noto Sans CJK SC"/>
        <family val="2"/>
      </rPr>
      <t xml:space="preserve">低高反向</t>
    </r>
  </si>
  <si>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</si>
  <si>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39 </t>
    </r>
    <r>
      <rPr>
        <sz val="10"/>
        <color rgb="FF000000"/>
        <rFont val="Noto Sans CJK SC"/>
        <family val="2"/>
      </rPr>
      <t xml:space="preserve">列</t>
    </r>
  </si>
  <si>
    <t xml:space="preserve">本列本身即對照（分子為外部值），外部欄不另填</t>
  </si>
  <si>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訓練支出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模型研發算力成本：差距未分解（校準用，不得當產能）</t>
    </r>
  </si>
  <si>
    <t xml:space="preserve">L1_ScaleServe</t>
  </si>
  <si>
    <r>
      <rPr>
        <sz val="10"/>
        <color rgb="FF000000"/>
        <rFont val="Noto Sans CJK SC"/>
        <family val="2"/>
      </rPr>
      <t xml:space="preserve">服務端落差（未解釋）：支出路線服務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÷ B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</si>
  <si>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X14 (g)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：主口徑已改支出路線，本列改標為兩路線的未解釋差距，數值不變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</si>
  <si>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數低高反向（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</si>
  <si>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數、推論支出口徑、世代組合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</si>
  <si>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</si>
  <si>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（分子）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</si>
  <si>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</si>
  <si>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支出路線 </t>
    </r>
    <r>
      <rPr>
        <sz val="9"/>
        <color rgb="FF595959"/>
        <rFont val="Arial"/>
        <family val="0"/>
        <charset val="1"/>
      </rPr>
      <t xml:space="preserve">÷ token </t>
    </r>
    <r>
      <rPr>
        <sz val="9"/>
        <color rgb="FF595959"/>
        <rFont val="Noto Sans CJK SC"/>
        <family val="2"/>
      </rPr>
      <t xml:space="preserve">路線：兩路線的差距，由 </t>
    </r>
    <r>
      <rPr>
        <sz val="9"/>
        <color rgb="FF595959"/>
        <rFont val="Arial"/>
        <family val="0"/>
        <charset val="1"/>
      </rPr>
      <t xml:space="preserve">L1_GapProduct </t>
    </r>
    <r>
      <rPr>
        <sz val="9"/>
        <color rgb="FF595959"/>
        <rFont val="Noto Sans CJK SC"/>
        <family val="2"/>
      </rPr>
      <t xml:space="preserve">只解釋一部分，其餘見 </t>
    </r>
    <r>
      <rPr>
        <sz val="9"/>
        <color rgb="FF595959"/>
        <rFont val="Arial"/>
        <family val="0"/>
        <charset val="1"/>
      </rPr>
      <t xml:space="preserve">L1_GapUnexplained</t>
    </r>
  </si>
  <si>
    <t xml:space="preserve">L1_GapPrompt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</si>
  <si>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數的有效倍數（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 ÷ 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B5 </t>
    </r>
    <r>
      <rPr>
        <sz val="10"/>
        <color rgb="FF000000"/>
        <rFont val="Noto Sans CJK SC"/>
        <family val="2"/>
      </rPr>
      <t xml:space="preserve">取代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比值）</t>
    </r>
  </si>
  <si>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節閉式（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5–11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24–28 </t>
    </r>
    <r>
      <rPr>
        <sz val="10"/>
        <color rgb="FF000000"/>
        <rFont val="Noto Sans CJK SC"/>
        <family val="2"/>
      </rPr>
      <t xml:space="preserve">列同式）；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</si>
  <si>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區間端點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的有效倍數（</t>
    </r>
    <r>
      <rPr>
        <sz val="10"/>
        <color rgb="FF000000"/>
        <rFont val="Arial"/>
        <family val="0"/>
        <charset val="1"/>
      </rPr>
      <t xml:space="preserve">τ 2,000 → 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 11,000 → 2.36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</si>
  <si>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把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算了兩次；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變）。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落差分解改正（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  <r>
      <rPr>
        <sz val="10"/>
        <color rgb="FF000000"/>
        <rFont val="Arial"/>
        <family val="0"/>
        <charset val="1"/>
      </rPr>
      <t xml:space="preserve">× 2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× 3 </t>
    </r>
    <r>
      <rPr>
        <sz val="10"/>
        <color rgb="FF000000"/>
        <rFont val="Noto Sans CJK SC"/>
        <family val="2"/>
      </rPr>
      <t xml:space="preserve">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利用率（</t>
    </r>
    <r>
      <rPr>
        <sz val="10"/>
        <color rgb="FF000000"/>
        <rFont val="Arial"/>
        <family val="0"/>
        <charset val="1"/>
      </rPr>
      <t xml:space="preserve">IF_Util ÷ </t>
    </r>
    <r>
      <rPr>
        <sz val="10"/>
        <color rgb="FF000000"/>
        <rFont val="Noto Sans CJK SC"/>
        <family val="2"/>
      </rPr>
      <t xml:space="preserve">實際利用率）；對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基準的 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）解釋一部分，其餘＝缺口恆等式的剩餘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閉合比（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節）。外部欄仍為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6,400 ÷ 2,000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比值口徑，非有效倍數）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</si>
  <si>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</si>
  <si>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</si>
  <si>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列</t>
    </r>
  </si>
  <si>
    <r>
      <rPr>
        <sz val="9"/>
        <color rgb="FF595959"/>
        <rFont val="Noto Sans CJK SC"/>
        <family val="2"/>
      </rPr>
      <t xml:space="preserve">落差分解的四個已解釋因子（各自由 </t>
    </r>
    <r>
      <rPr>
        <sz val="9"/>
        <color rgb="FF595959"/>
        <rFont val="Arial"/>
        <family val="0"/>
        <charset val="1"/>
      </rPr>
      <t xml:space="preserve">Assumed </t>
    </r>
    <r>
      <rPr>
        <sz val="9"/>
        <color rgb="FF595959"/>
        <rFont val="Noto Sans CJK SC"/>
        <family val="2"/>
      </rPr>
      <t xml:space="preserve">輸入算出）；乘積＝已解釋部分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</si>
  <si>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</si>
  <si>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L1_GapSpendBasis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</si>
  <si>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計價含利潤與資本回收）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</si>
  <si>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X46</t>
    </r>
  </si>
  <si>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</si>
  <si>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推論支出口徑</t>
  </si>
  <si>
    <r>
      <rPr>
        <sz val="10"/>
        <color rgb="FF000000"/>
        <rFont val="Noto Sans CJK SC"/>
        <family val="2"/>
      </rPr>
      <t xml:space="preserve">本列：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</si>
  <si>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</t>
    </r>
  </si>
  <si>
    <r>
      <rPr>
        <sz val="10"/>
        <color rgb="FF000000"/>
        <rFont val="Noto Sans CJK SC"/>
        <family val="2"/>
      </rPr>
      <t xml:space="preserve">無外部對照（已搜尋，未找到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）</t>
    </r>
  </si>
  <si>
    <t xml:space="preserve">L1_GapISL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</si>
  <si>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：請求形狀（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起取代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</si>
  <si>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；原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讀法見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</si>
  <si>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1 ÷ κ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</si>
  <si>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）：實際流量輸出占比低（</t>
    </r>
    <r>
      <rPr>
        <sz val="10"/>
        <color rgb="FF000000"/>
        <rFont val="Arial"/>
        <family val="0"/>
        <charset val="1"/>
      </rPr>
      <t xml:space="preserve">API 6%</t>
    </r>
    <r>
      <rPr>
        <sz val="10"/>
        <color rgb="FF000000"/>
        <rFont val="Noto Sans CJK SC"/>
        <family val="2"/>
      </rPr>
      <t xml:space="preserve">）→ 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秒的總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反而較參考請求多，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讀法（</t>
    </r>
    <r>
      <rPr>
        <sz val="10"/>
        <color rgb="FF000000"/>
        <rFont val="Arial"/>
        <family val="0"/>
        <charset val="1"/>
      </rPr>
      <t xml:space="preserve">2.3065</t>
    </r>
    <r>
      <rPr>
        <sz val="10"/>
        <color rgb="FF000000"/>
        <rFont val="Noto Sans CJK SC"/>
        <family val="2"/>
      </rPr>
      <t xml:space="preserve">，固定輸出 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）改用實際輸入輸出比後消失（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（含快取輸入）</t>
    </r>
  </si>
  <si>
    <t xml:space="preserve">請求形狀（輸入輸出比、快取命中）</t>
  </si>
  <si>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</si>
  <si>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請求形狀修正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</si>
  <si>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L1_GapUtil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</si>
  <si>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：利用率（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）；與機隊路線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</si>
  <si>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Serving C28 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</si>
  <si>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依實際利用率區間（</t>
    </r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）反向，另乘 </t>
    </r>
    <r>
      <rPr>
        <sz val="10"/>
        <color rgb="FF000000"/>
        <rFont val="Arial"/>
        <family val="0"/>
        <charset val="1"/>
      </rPr>
      <t xml:space="preserve">CTL_ProdDerate</t>
    </r>
  </si>
  <si>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1.7217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0.41 × 0.85</t>
    </r>
    <r>
      <rPr>
        <sz val="10"/>
        <color rgb="FF000000"/>
        <rFont val="Noto Sans CJK SC"/>
        <family val="2"/>
      </rPr>
      <t xml:space="preserve">））；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1.4634</t>
    </r>
    <r>
      <rPr>
        <sz val="10"/>
        <color rgb="FF000000"/>
        <rFont val="Noto Sans CJK SC"/>
        <family val="2"/>
      </rPr>
      <t xml:space="preserve">（未乘生產折減，與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列不一致）；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1.4571 </t>
    </r>
    <r>
      <rPr>
        <sz val="10"/>
        <color rgb="FF000000"/>
        <rFont val="Noto Sans CJK SC"/>
        <family val="2"/>
      </rPr>
      <t xml:space="preserve">誤乘折減於分子。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隨之改變（</t>
    </r>
    <r>
      <rPr>
        <sz val="10"/>
        <color rgb="FF000000"/>
        <rFont val="Arial"/>
        <family val="0"/>
        <charset val="1"/>
      </rPr>
      <t xml:space="preserve">1.635 → 1.924</t>
    </r>
    <r>
      <rPr>
        <sz val="10"/>
        <color rgb="FF000000"/>
        <rFont val="Noto Sans CJK SC"/>
        <family val="2"/>
      </rPr>
      <t xml:space="preserve">）</t>
    </r>
  </si>
  <si>
    <t xml:space="preserve">利用率、生產折減</t>
  </si>
  <si>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K11</t>
    </r>
    <r>
      <rPr>
        <sz val="10"/>
        <color rgb="FF000000"/>
        <rFont val="Noto Sans CJK SC"/>
        <family val="2"/>
      </rPr>
      <t xml:space="preserve">）；實際利用率、生產折減：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</si>
  <si>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GM236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</si>
  <si>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 </t>
    </r>
    <r>
      <rPr>
        <sz val="10"/>
        <color rgb="FF000000"/>
        <rFont val="Noto Sans CJK SC"/>
        <family val="2"/>
      </rPr>
      <t xml:space="preserve">列</t>
    </r>
  </si>
  <si>
    <t xml:space="preserve">L1_GapProduct</t>
  </si>
  <si>
    <r>
      <rPr>
        <sz val="10"/>
        <color rgb="FF000000"/>
        <rFont val="Noto Sans CJK SC"/>
        <family val="2"/>
      </rPr>
      <t xml:space="preserve">落差分解乘積（已解釋部分）：四項口徑差之積（對照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τ 2,000 </t>
    </r>
    <r>
      <rPr>
        <sz val="10"/>
        <color rgb="FF000000"/>
        <rFont val="Noto Sans CJK SC"/>
        <family val="2"/>
      </rPr>
      <t xml:space="preserve">基準的支出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）；未解釋部分見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（本分解不是定義式）</t>
    </r>
  </si>
  <si>
    <t xml:space="preserve">X14 (m)</t>
  </si>
  <si>
    <t xml:space="preserve">四者低高乘積</t>
  </si>
  <si>
    <r>
      <rPr>
        <sz val="10"/>
        <color rgb="FF000000"/>
        <rFont val="Noto Sans CJK SC"/>
        <family val="2"/>
      </rPr>
      <t xml:space="preserve">區間涵蓋外部對照即表示落差可由四項口徑差解釋（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，仍比對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乘積 </t>
    </r>
    <r>
      <rPr>
        <sz val="10"/>
        <color rgb="FF000000"/>
        <rFont val="Arial"/>
        <family val="0"/>
        <charset val="1"/>
      </rPr>
      <t xml:space="preserve">2.90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6.40 </t>
    </r>
    <r>
      <rPr>
        <sz val="10"/>
        <color rgb="FF000000"/>
        <rFont val="Noto Sans CJK SC"/>
        <family val="2"/>
      </rPr>
      <t xml:space="preserve">解釋 </t>
    </r>
    <r>
      <rPr>
        <sz val="10"/>
        <color rgb="FF000000"/>
        <rFont val="Arial"/>
        <family val="0"/>
        <charset val="1"/>
      </rPr>
      <t xml:space="preserve">45%</t>
    </r>
    <r>
      <rPr>
        <sz val="10"/>
        <color rgb="FF000000"/>
        <rFont val="Noto Sans CJK SC"/>
        <family val="2"/>
      </rPr>
      <t xml:space="preserve">，其餘＝缺口恆等式剩餘（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改乘生產折減，乘積隨之變動</t>
    </r>
  </si>
  <si>
    <t xml:space="preserve">四項分解列</t>
  </si>
  <si>
    <r>
      <rPr>
        <sz val="10"/>
        <color rgb="FF000000"/>
        <rFont val="Noto Sans CJK SC"/>
        <family val="2"/>
      </rPr>
      <t xml:space="preserve">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持有成本：</t>
    </r>
    <r>
      <rPr>
        <sz val="10"/>
        <color rgb="FF000000"/>
        <rFont val="Arial"/>
        <family val="0"/>
        <charset val="1"/>
      </rPr>
      <t xml:space="preserve">Assumed</t>
    </r>
  </si>
  <si>
    <t xml:space="preserve">L1_ScaleServe2000</t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</si>
  <si>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</si>
  <si>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L1_CapexITMW_GB300_vsIREN</t>
  </si>
  <si>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IT MW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資本支出（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）對 </t>
    </r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公司揭露</t>
    </r>
  </si>
  <si>
    <r>
      <rPr>
        <sz val="10"/>
        <color rgb="FF000000"/>
        <rFont val="Noto Sans CJK SC"/>
        <family val="2"/>
      </rPr>
      <t xml:space="preserve">基準功率情境；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設備（機架＋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網路＋儲存與管理），不含廠房；</t>
    </r>
    <r>
      <rPr>
        <sz val="10"/>
        <color rgb="FF000000"/>
        <rFont val="Arial"/>
        <family val="0"/>
        <charset val="1"/>
      </rPr>
      <t xml:space="preserve">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$M/MW</t>
    </r>
  </si>
  <si>
    <t xml:space="preserve">$M/IT MW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</si>
  <si>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揭露含伺服器、</t>
    </r>
    <r>
      <rPr>
        <sz val="10"/>
        <color rgb="FF000000"/>
        <rFont val="Arial"/>
        <family val="0"/>
        <charset val="1"/>
      </rPr>
      <t xml:space="preserve">InfiniBand</t>
    </r>
    <r>
      <rPr>
        <sz val="10"/>
        <color rgb="FF000000"/>
        <rFont val="Noto Sans CJK SC"/>
        <family val="2"/>
      </rPr>
      <t xml:space="preserve">、線材、軟體授權與部署服務；本模型網路另計、不含軟體與部署；比值以 </t>
    </r>
    <r>
      <rPr>
        <sz val="10"/>
        <color rgb="FF000000"/>
        <rFont val="Arial"/>
        <family val="0"/>
        <charset val="1"/>
      </rPr>
      <t xml:space="preserve">±20% </t>
    </r>
    <r>
      <rPr>
        <sz val="10"/>
        <color rgb="FF000000"/>
        <rFont val="Noto Sans CJK SC"/>
        <family val="2"/>
      </rPr>
      <t xml:space="preserve">判讀</t>
    </r>
  </si>
  <si>
    <r>
      <rPr>
        <sz val="10"/>
        <color rgb="FF000000"/>
        <rFont val="Noto Sans CJK SC"/>
        <family val="2"/>
      </rPr>
      <t xml:space="preserve">機架價格、每架配電設計功率、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網路比率</t>
    </r>
  </si>
  <si>
    <r>
      <rPr>
        <sz val="10"/>
        <color rgb="FF000000"/>
        <rFont val="Noto Sans CJK SC"/>
        <family val="2"/>
      </rPr>
      <t xml:space="preserve">機架價格：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級）</t>
    </r>
  </si>
  <si>
    <t xml:space="preserve">SRC_DC_014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</si>
  <si>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</si>
  <si>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數與每架 </t>
    </r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的對應原文未明寫（</t>
    </r>
    <r>
      <rPr>
        <sz val="10"/>
        <color rgb="FF000000"/>
        <rFont val="Arial"/>
        <family val="0"/>
        <charset val="1"/>
      </rPr>
      <t xml:space="preserve">v5.31 X20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</si>
  <si>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O75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</si>
  <si>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</si>
  <si>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</si>
  <si>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v5.32 J2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</si>
  <si>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端點同向組合：低＝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數高、免費占比低、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全年比例高），高反之；營收與單價單值（</t>
    </r>
    <r>
      <rPr>
        <sz val="10"/>
        <color rgb="FF000000"/>
        <rFont val="Arial"/>
        <family val="0"/>
        <charset val="1"/>
      </rPr>
      <t xml:space="preserve">J2 (iii) </t>
    </r>
    <r>
      <rPr>
        <sz val="10"/>
        <color rgb="FF000000"/>
        <rFont val="Noto Sans CJK SC"/>
        <family val="2"/>
      </rPr>
      <t xml:space="preserve">不新增輸入）</t>
    </r>
  </si>
  <si>
    <r>
      <rPr>
        <sz val="10"/>
        <color rgb="FF000000"/>
        <rFont val="Arial"/>
        <family val="0"/>
        <charset val="1"/>
      </rPr>
      <t xml:space="preserve">(1)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：支出路線服務算力約為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路線的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倍），所以 </t>
    </r>
    <r>
      <rPr>
        <sz val="10"/>
        <color rgb="FF000000"/>
        <rFont val="Arial"/>
        <family val="0"/>
        <charset val="1"/>
      </rPr>
      <t xml:space="preserve">L1_MImplied &gt; 1 </t>
    </r>
    <r>
      <rPr>
        <sz val="10"/>
        <color rgb="FF000000"/>
        <rFont val="Noto Sans CJK SC"/>
        <family val="2"/>
      </rPr>
      <t xml:space="preserve">代表分母問題，不代表 </t>
    </r>
    <r>
      <rPr>
        <sz val="10"/>
        <color rgb="FF000000"/>
        <rFont val="Arial"/>
        <family val="0"/>
        <charset val="1"/>
      </rPr>
      <t xml:space="preserve">m &gt;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</si>
  <si>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</si>
  <si>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</si>
  <si>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（模型假設；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區間）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</si>
  <si>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</si>
  <si>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分母為模型自身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），非實測；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</si>
  <si>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t xml:space="preserve">殘差</t>
  </si>
  <si>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＝營收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 × </t>
    </r>
    <r>
      <rPr>
        <sz val="9"/>
        <color rgb="FF595959"/>
        <rFont val="Noto Sans CJK SC"/>
        <family val="2"/>
      </rPr>
      <t xml:space="preserve">單價）：由營收與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算出的殘差，吸收所有未建模的口徑差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</si>
  <si>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M76:O76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</si>
  <si>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L1_MImplied_Ext</t>
  </si>
  <si>
    <r>
      <rPr>
        <sz val="10"/>
        <color rgb="FF000000"/>
        <rFont val="Noto Sans CJK SC"/>
        <family val="2"/>
      </rPr>
      <t xml:space="preserve">隱含變現率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合併路線（外部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分母：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</si>
  <si>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 × 365 × </t>
    </r>
    <r>
      <rPr>
        <sz val="10"/>
        <color rgb="FF000000"/>
        <rFont val="Noto Sans CJK SC"/>
        <family val="2"/>
      </rPr>
      <t xml:space="preserve">付費占比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v5.32 J2 (i)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</si>
  <si>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Arial"/>
        <family val="0"/>
        <charset val="1"/>
      </rPr>
      <t xml:space="preserve">SRC_DEM_013 </t>
    </r>
    <r>
      <rPr>
        <sz val="10"/>
        <color rgb="FF000000"/>
        <rFont val="Noto Sans CJK SC"/>
        <family val="2"/>
      </rPr>
      <t xml:space="preserve">低高（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／日）；基準＝幾何中點</t>
    </r>
  </si>
  <si>
    <r>
      <rPr>
        <sz val="10"/>
        <color rgb="FF000000"/>
        <rFont val="Noto Sans CJK SC"/>
        <family val="2"/>
      </rPr>
      <t xml:space="preserve">外部分母＝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10–100 T</t>
    </r>
    <r>
      <rPr>
        <sz val="10"/>
        <color rgb="FF000000"/>
        <rFont val="Noto Sans CJK SC"/>
        <family val="2"/>
      </rPr>
      <t xml:space="preserve">／日；基準取幾何中點）</t>
    </r>
    <r>
      <rPr>
        <sz val="10"/>
        <color rgb="FF000000"/>
        <rFont val="Arial"/>
        <family val="0"/>
        <charset val="1"/>
      </rPr>
      <t xml:space="preserve">× 365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AL_FreeShare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口徑；</t>
    </r>
    <r>
      <rPr>
        <sz val="10"/>
        <color rgb="FF000000"/>
        <rFont val="Arial"/>
        <family val="0"/>
        <charset val="1"/>
      </rPr>
      <t xml:space="preserve">v9.0 M2</t>
    </r>
    <r>
      <rPr>
        <sz val="10"/>
        <color rgb="FF000000"/>
        <rFont val="Noto Sans CJK SC"/>
        <family val="2"/>
      </rPr>
      <t xml:space="preserve">）；區間跨一個數量級。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</si>
  <si>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、免費占比、付費層級組合</t>
    </r>
  </si>
  <si>
    <r>
      <rPr>
        <sz val="10"/>
        <color rgb="FF000000"/>
        <rFont val="Arial"/>
        <family val="0"/>
        <charset val="1"/>
      </rPr>
      <t xml:space="preserve">SRC_DEM_013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級、中立（由算力推估）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</si>
  <si>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</si>
  <si>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為前沿實驗室總量推估（含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），非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</si>
  <si>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M77:O77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</si>
  <si>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L1_MFleet</t>
  </si>
  <si>
    <r>
      <rPr>
        <sz val="10"/>
        <color rgb="FF000000"/>
        <rFont val="Noto Sans CJK SC"/>
        <family val="2"/>
      </rPr>
      <t xml:space="preserve">機隊變現率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點估計（支出路線服務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實際產出）｜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同時含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實際折扣以外的訂閱收入對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等值比率（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約七成營收為訂閱；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</si>
  <si>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；毛額營收 </t>
    </r>
    <r>
      <rPr>
        <sz val="10"/>
        <color rgb="FF000000"/>
        <rFont val="Arial"/>
        <family val="0"/>
        <charset val="1"/>
      </rPr>
      <t xml:space="preserve">SRC_DEM_007 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年度機隊口徑混合有效單價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）：單價由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的值保留為 </t>
    </r>
    <r>
      <rPr>
        <sz val="10"/>
        <color rgb="FF000000"/>
        <rFont val="Arial"/>
        <family val="0"/>
        <charset val="1"/>
      </rPr>
      <t xml:space="preserve">L1_MFleet_Px2026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</si>
  <si>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、實際利用率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）；營收與單價單值</t>
    </r>
  </si>
  <si>
    <r>
      <rPr>
        <sz val="10"/>
        <color rgb="FF000000"/>
        <rFont val="Noto Sans CJK SC"/>
        <family val="2"/>
      </rPr>
      <t xml:space="preserve">兩種讀法（</t>
    </r>
    <r>
      <rPr>
        <sz val="10"/>
        <color rgb="FF000000"/>
        <rFont val="Arial"/>
        <family val="0"/>
        <charset val="1"/>
      </rPr>
      <t xml:space="preserve">J7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點估計＝支出路線服務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SRC_DEM_018 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實際利用率修正（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），得機隊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上限＝同一 </t>
    </r>
    <r>
      <rPr>
        <sz val="10"/>
        <color rgb="FF000000"/>
        <rFont val="Arial"/>
        <family val="0"/>
        <charset val="1"/>
      </rPr>
      <t xml:space="preserve">GW × CTL_ProdDerate </t>
    </r>
    <r>
      <rPr>
        <sz val="10"/>
        <color rgb="FF000000"/>
        <rFont val="Noto Sans CJK SC"/>
        <family val="2"/>
      </rPr>
      <t xml:space="preserve">的最大產出，得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L1_TokCeiling </t>
    </r>
    <r>
      <rPr>
        <sz val="10"/>
        <color rgb="FF000000"/>
        <rFont val="Noto Sans CJK SC"/>
        <family val="2"/>
      </rPr>
      <t xml:space="preserve">列）。對回本條件有意義的是機隊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，不是需求路線的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(2) m &lt; 1 </t>
    </r>
    <r>
      <rPr>
        <sz val="10"/>
        <color rgb="FF000000"/>
        <rFont val="Noto Sans CJK SC"/>
        <family val="2"/>
      </rPr>
      <t xml:space="preserve">時回本條件改為 </t>
    </r>
    <r>
      <rPr>
        <sz val="10"/>
        <color rgb="FF000000"/>
        <rFont val="Arial"/>
        <family val="0"/>
        <charset val="1"/>
      </rPr>
      <t xml:space="preserve">L ≥ 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），例如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 </t>
    </r>
    <r>
      <rPr>
        <sz val="10"/>
        <color rgb="FF000000"/>
        <rFont val="Noto Sans CJK SC"/>
        <family val="2"/>
      </rPr>
      <t xml:space="preserve">時需 </t>
    </r>
    <r>
      <rPr>
        <sz val="10"/>
        <color rgb="FF000000"/>
        <rFont val="Arial"/>
        <family val="0"/>
        <charset val="1"/>
      </rPr>
      <t xml:space="preserve">L ≥ 0.49</t>
    </r>
    <r>
      <rPr>
        <sz val="10"/>
        <color rgb="FF000000"/>
        <rFont val="Noto Sans CJK SC"/>
        <family val="2"/>
      </rPr>
      <t xml:space="preserve">，在 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的實際利用率下需 </t>
    </r>
    <r>
      <rPr>
        <sz val="10"/>
        <color rgb="FF000000"/>
        <rFont val="Arial"/>
        <family val="0"/>
        <charset val="1"/>
      </rPr>
      <t xml:space="preserve">L ≥ 0.72</t>
    </r>
    <r>
      <rPr>
        <sz val="10"/>
        <color rgb="FF000000"/>
        <rFont val="Noto Sans CJK SC"/>
        <family val="2"/>
      </rPr>
      <t xml:space="preserve">，超過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類比區間上緣 </t>
    </r>
    <r>
      <rPr>
        <sz val="10"/>
        <color rgb="FF000000"/>
        <rFont val="Arial"/>
        <family val="0"/>
        <charset val="1"/>
      </rPr>
      <t xml:space="preserve">0.70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</si>
  <si>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生產折減、世代組合、免費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</si>
  <si>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</si>
  <si>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</si>
  <si>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分母為帳單反推的機隊產出，非實測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實際運轉推論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</si>
  <si>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M78:O78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</si>
  <si>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L1_TokCeiling</t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</si>
  <si>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上限（上限讀法：支出路線服務 </t>
    </r>
    <r>
      <rPr>
        <sz val="10"/>
        <color rgb="FF000000"/>
        <rFont val="Arial"/>
        <family val="0"/>
        <charset val="1"/>
      </rPr>
      <t xml:space="preserve">GW × </t>
    </r>
    <r>
      <rPr>
        <sz val="10"/>
        <color rgb="FF000000"/>
        <rFont val="Noto Sans CJK SC"/>
        <family val="2"/>
      </rPr>
      <t xml:space="preserve">最大產出）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</si>
  <si>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；支出路線服務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CTL_ProdDerate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r ÷ AL_BlendFree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v5.33 J7 (ii)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</si>
  <si>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取低）；高＝取低（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</si>
  <si>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上限不是獨立證據：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段恆等式 上限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需求路線＝</t>
    </r>
    <r>
      <rPr>
        <sz val="10"/>
        <color rgb="FF000000"/>
        <rFont val="Arial"/>
        <family val="0"/>
        <charset val="1"/>
      </rPr>
      <t xml:space="preserve">L1_ScaleServe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L1_GapSpendBasis × L1_GapUtil</t>
    </r>
    <r>
      <rPr>
        <sz val="10"/>
        <color rgb="FF000000"/>
        <rFont val="Noto Sans CJK SC"/>
        <family val="2"/>
      </rPr>
      <t xml:space="preserve">），由 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倍數）、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（實際利用率）決定。需求路線（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）超過上限即物理上不可能（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 </t>
    </r>
    <r>
      <rPr>
        <sz val="10"/>
        <color rgb="FF000000"/>
        <rFont val="Noto Sans CJK SC"/>
        <family val="2"/>
      </rPr>
      <t xml:space="preserve">所需的付費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對上限的判讀見 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「必須為真」三列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</si>
  <si>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計價倍數、世代組合、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</si>
  <si>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C23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</si>
  <si>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（需求路線付費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</si>
  <si>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118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</si>
  <si>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上限由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</si>
  <si>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機隊付費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上限（支出路線服務 </t>
    </r>
    <r>
      <rPr>
        <sz val="9"/>
        <color rgb="FF595959"/>
        <rFont val="Arial"/>
        <family val="0"/>
        <charset val="1"/>
      </rPr>
      <t xml:space="preserve">GW × </t>
    </r>
    <r>
      <rPr>
        <sz val="9"/>
        <color rgb="FF595959"/>
        <rFont val="Noto Sans CJK SC"/>
        <family val="2"/>
      </rPr>
      <t xml:space="preserve">最大產出）：上限讀法的推導值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</si>
  <si>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N79:O79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</si>
  <si>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</si>
  <si>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，三分法）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</si>
  <si>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營收（營收 − 消費訂閱 − 商用席次）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AL_DAPI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</si>
  <si>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為餘額，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不是同向組合）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</si>
  <si>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按收費模式拆開（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）：分母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為模型自身需求（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），三者分子之和＝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、分母之和＝</t>
    </r>
    <r>
      <rPr>
        <sz val="10"/>
        <color rgb="FF000000"/>
        <rFont val="Arial"/>
        <family val="0"/>
        <charset val="1"/>
      </rPr>
      <t xml:space="preserve">AL_DPaid</t>
    </r>
    <r>
      <rPr>
        <sz val="10"/>
        <color rgb="FF000000"/>
        <rFont val="Noto Sans CJK SC"/>
        <family val="2"/>
      </rPr>
      <t xml:space="preserve">，所以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加權平均＝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），用途是回本條件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門檻，不乘進每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營收；交付物是區間與「必須為真」，不是點估計。</t>
    </r>
  </si>
  <si>
    <r>
      <rPr>
        <sz val="10"/>
        <color rgb="FF000000"/>
        <rFont val="Noto Sans CJK SC"/>
        <family val="2"/>
      </rPr>
      <t xml:space="preserve">訂閱占比（</t>
    </r>
    <r>
      <rPr>
        <sz val="10"/>
        <color rgb="FF000000"/>
        <rFont val="Arial"/>
        <family val="0"/>
        <charset val="1"/>
      </rPr>
      <t xml:space="preserve">SRC_DEM_039 </t>
    </r>
    <r>
      <rPr>
        <sz val="10"/>
        <color rgb="FF000000"/>
        <rFont val="Noto Sans CJK SC"/>
        <family val="2"/>
      </rPr>
      <t xml:space="preserve">區間）、商用席次份額（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全年平均比例、付費層級組合</t>
    </r>
  </si>
  <si>
    <r>
      <rPr>
        <sz val="10"/>
        <color rgb="FF000000"/>
        <rFont val="Noto Sans CJK SC"/>
        <family val="2"/>
      </rPr>
      <t xml:space="preserve">商用席次份額：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份額只有 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</si>
  <si>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</si>
  <si>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營收為餘額（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營收）；分母為模型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</si>
  <si>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M80:O80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</si>
  <si>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L1_MSub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</si>
  <si>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消費訂閱路線（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</si>
  <si>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；消費訂閱營收（</t>
    </r>
    <r>
      <rPr>
        <sz val="10"/>
        <color rgb="FF000000"/>
        <rFont val="Arial"/>
        <family val="0"/>
        <charset val="1"/>
      </rPr>
      <t xml:space="preserve">SRC_DEM_007 × SRC_DEM_039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 </t>
    </r>
    <r>
      <rPr>
        <sz val="10"/>
        <color rgb="FF000000"/>
        <rFont val="Noto Sans CJK SC"/>
        <family val="2"/>
      </rPr>
      <t xml:space="preserve">消費份額 </t>
    </r>
    <r>
      <rPr>
        <sz val="10"/>
        <color rgb="FF000000"/>
        <rFont val="Arial"/>
        <family val="0"/>
        <charset val="1"/>
      </rPr>
      <t xml:space="preserve">0.75 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</si>
  <si>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低＝營收取低（訂閱占比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取高（每則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高、免費占比低、消費份額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）；高反之</t>
    </r>
  </si>
  <si>
    <r>
      <rPr>
        <sz val="10"/>
        <color rgb="FF000000"/>
        <rFont val="Noto Sans CJK SC"/>
        <family val="2"/>
      </rPr>
      <t xml:space="preserve">訂閱占比、每則提示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免費占比、消費訂閱占付費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份額、付費層級組合</t>
    </r>
  </si>
  <si>
    <r>
      <rPr>
        <sz val="10"/>
        <color rgb="FF000000"/>
        <rFont val="Noto Sans CJK SC"/>
        <family val="2"/>
      </rPr>
      <t xml:space="preserve">消費份額：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</si>
  <si>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145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</si>
  <si>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ChatGPT token </t>
    </r>
    <r>
      <rPr>
        <sz val="10"/>
        <color rgb="FF000000"/>
        <rFont val="Noto Sans CJK SC"/>
        <family val="2"/>
      </rPr>
      <t xml:space="preserve">數與訂閱者用量分布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</si>
  <si>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M81:O81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</si>
  <si>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L1_MSeat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</si>
  <si>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</t>
    </r>
    <r>
      <rPr>
        <sz val="10"/>
        <color rgb="FF000000"/>
        <rFont val="Noto Sans CJK SC"/>
        <family val="2"/>
      </rPr>
      <t xml:space="preserve">商用席次路線（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</si>
  <si>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；商用席次營收（</t>
    </r>
    <r>
      <rPr>
        <sz val="10"/>
        <color rgb="FF000000"/>
        <rFont val="Arial"/>
        <family val="0"/>
        <charset val="1"/>
      </rPr>
      <t xml:space="preserve">SRC_DEM_007 × </t>
    </r>
    <r>
      <rPr>
        <sz val="10"/>
        <color rgb="FF000000"/>
        <rFont val="Noto Sans CJK SC"/>
        <family val="2"/>
      </rPr>
      <t xml:space="preserve">席次份額 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AL_DChatPaid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消費份額）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混合有效單價）；</t>
    </r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J19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v9.0 M6</t>
    </r>
    <r>
      <rPr>
        <sz val="10"/>
        <color rgb="FF000000"/>
        <rFont val="Noto Sans CJK SC"/>
        <family val="2"/>
      </rPr>
      <t xml:space="preserve">：單價改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年度混合有效單價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；與機隊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同年度口徑）；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的低／高只反映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端，價格區間不交叉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</si>
  <si>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欄的最小／最大值（席次份額與消費份額同列變動，不是同向組合）</t>
    </r>
  </si>
  <si>
    <r>
      <rPr>
        <sz val="10"/>
        <color rgb="FF000000"/>
        <rFont val="Noto Sans CJK SC"/>
        <family val="2"/>
      </rPr>
      <t xml:space="preserve">商用席次份額、消費訂閱占付費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份額、每則提示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數、免費占比</t>
    </r>
  </si>
  <si>
    <r>
      <rPr>
        <sz val="10"/>
        <color rgb="FF000000"/>
        <rFont val="Noto Sans CJK SC"/>
        <family val="2"/>
      </rPr>
      <t xml:space="preserve">席次份額與席次用量占比：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</si>
  <si>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146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</si>
  <si>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席次營收與席次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皆為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份額（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「企業」口徑未定義）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</si>
  <si>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M82:O82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</si>
  <si>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L1_MixFactorAPI</t>
  </si>
  <si>
    <r>
      <rPr>
        <sz val="10"/>
        <color rgb="FF000000"/>
        <rFont val="Arial"/>
        <family val="0"/>
        <charset val="1"/>
      </rPr>
      <t xml:space="preserve">m_API </t>
    </r>
    <r>
      <rPr>
        <sz val="10"/>
        <color rgb="FF000000"/>
        <rFont val="Noto Sans CJK SC"/>
        <family val="2"/>
      </rPr>
      <t xml:space="preserve">的隱含組合因子（＝</t>
    </r>
    <r>
      <rPr>
        <sz val="10"/>
        <color rgb="FF000000"/>
        <rFont val="Arial"/>
        <family val="0"/>
        <charset val="1"/>
      </rPr>
      <t xml:space="preserve">m_API ÷ </t>
    </r>
    <r>
      <rPr>
        <sz val="10"/>
        <color rgb="FF000000"/>
        <rFont val="Noto Sans CJK SC"/>
        <family val="2"/>
      </rPr>
      <t xml:space="preserve">折讓因子）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</si>
  <si>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J16</t>
    </r>
    <r>
      <rPr>
        <sz val="10"/>
        <color rgb="FF000000"/>
        <rFont val="Noto Sans CJK SC"/>
        <family val="2"/>
      </rPr>
      <t xml:space="preserve">（顯示用）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</si>
  <si>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欄的最小／最大值（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／低端 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</si>
  <si>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＝折讓因子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隱含組合因子（</t>
    </r>
    <r>
      <rPr>
        <sz val="10"/>
        <color rgb="FF000000"/>
        <rFont val="Arial"/>
        <family val="0"/>
        <charset val="1"/>
      </rPr>
      <t xml:space="preserve">J16 </t>
    </r>
    <r>
      <rPr>
        <sz val="10"/>
        <color rgb="FF000000"/>
        <rFont val="Noto Sans CJK SC"/>
        <family val="2"/>
      </rPr>
      <t xml:space="preserve">顯示用）：折讓因子＝</t>
    </r>
    <r>
      <rPr>
        <sz val="10"/>
        <color rgb="FF000000"/>
        <rFont val="Arial"/>
        <family val="0"/>
        <charset val="1"/>
      </rPr>
      <t xml:space="preserve">(1 − d) ÷ (1 − B4_Disc)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B4_Disc → 1</t>
    </r>
    <r>
      <rPr>
        <sz val="10"/>
        <color rgb="FF000000"/>
        <rFont val="Noto Sans CJK SC"/>
        <family val="2"/>
      </rPr>
      <t xml:space="preserve">；隱含組合因子＝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組合偏離參考請求（快取讀取、輸入占比）的效應。基準 </t>
    </r>
    <r>
      <rPr>
        <sz val="10"/>
        <color rgb="FF000000"/>
        <rFont val="Arial"/>
        <family val="0"/>
        <charset val="1"/>
      </rPr>
      <t xml:space="preserve">0.56 </t>
    </r>
    <r>
      <rPr>
        <sz val="10"/>
        <color rgb="FF000000"/>
        <rFont val="Noto Sans CJK SC"/>
        <family val="2"/>
      </rPr>
      <t xml:space="preserve">大部分是組合、少部分是折讓（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0.4 </t>
    </r>
    <r>
      <rPr>
        <sz val="10"/>
        <color rgb="FF000000"/>
        <rFont val="Noto Sans CJK SC"/>
        <family val="2"/>
      </rPr>
      <t xml:space="preserve">時組合因子 </t>
    </r>
    <r>
      <rPr>
        <sz val="10"/>
        <color rgb="FF000000"/>
        <rFont val="Arial"/>
        <family val="0"/>
        <charset val="1"/>
      </rPr>
      <t xml:space="preserve">0.47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J16</t>
    </r>
    <r>
      <rPr>
        <sz val="10"/>
        <color rgb="FF000000"/>
        <rFont val="Noto Sans CJK SC"/>
        <family val="2"/>
      </rPr>
      <t xml:space="preserve">：會同時改變成本的因子（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、層級組合、</t>
    </r>
    <r>
      <rPr>
        <sz val="10"/>
        <color rgb="FF000000"/>
        <rFont val="Arial"/>
        <family val="0"/>
        <charset val="1"/>
      </rPr>
      <t xml:space="preserve">ISL/OSL</t>
    </r>
    <r>
      <rPr>
        <sz val="10"/>
        <color rgb="FF000000"/>
        <rFont val="Noto Sans CJK SC"/>
        <family val="2"/>
      </rPr>
      <t xml:space="preserve">）進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側，本單不改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側輸入。</t>
    </r>
  </si>
  <si>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、有效折扣 </t>
    </r>
    <r>
      <rPr>
        <sz val="10"/>
        <color rgb="FF000000"/>
        <rFont val="Arial"/>
        <family val="0"/>
        <charset val="1"/>
      </rPr>
      <t xml:space="preserve">B4_Disc </t>
    </r>
    <r>
      <rPr>
        <sz val="10"/>
        <color rgb="FF000000"/>
        <rFont val="Noto Sans CJK SC"/>
        <family val="2"/>
      </rPr>
      <t xml:space="preserve">區間</t>
    </r>
  </si>
  <si>
    <r>
      <rPr>
        <sz val="10"/>
        <color rgb="FF000000"/>
        <rFont val="Noto Sans CJK SC"/>
        <family val="2"/>
      </rPr>
      <t xml:space="preserve">折讓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區間：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C12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</si>
  <si>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代理型極端組合因子（</t>
    </r>
    <r>
      <rPr>
        <sz val="10"/>
        <color rgb="FF000000"/>
        <rFont val="Arial"/>
        <family val="0"/>
        <charset val="1"/>
      </rPr>
      <t xml:space="preserve">Cap_In H6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107 </t>
    </r>
    <r>
      <rPr>
        <sz val="10"/>
        <color rgb="FF000000"/>
        <rFont val="Noto Sans CJK SC"/>
        <family val="2"/>
      </rPr>
      <t xml:space="preserve">列：</t>
    </r>
    <r>
      <rPr>
        <sz val="10"/>
        <color rgb="FF000000"/>
        <rFont val="Arial"/>
        <family val="0"/>
        <charset val="1"/>
      </rPr>
      <t xml:space="preserve">Requesty χ 0.919</t>
    </r>
    <r>
      <rPr>
        <sz val="10"/>
        <color rgb="FF000000"/>
        <rFont val="Noto Sans CJK SC"/>
        <family val="2"/>
      </rPr>
      <t xml:space="preserve">、輸入占 </t>
    </r>
    <r>
      <rPr>
        <sz val="10"/>
        <color rgb="FF000000"/>
        <rFont val="Arial"/>
        <family val="0"/>
        <charset val="1"/>
      </rPr>
      <t xml:space="preserve">0.995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</si>
  <si>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151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</si>
  <si>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組合因子無直接觀測（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的快取／輸入占比）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</si>
  <si>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N83:O83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</si>
  <si>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L1_TokPerPromptClose</t>
  </si>
  <si>
    <r>
      <rPr>
        <sz val="10"/>
        <color rgb="FF000000"/>
        <rFont val="Noto Sans CJK SC"/>
        <family val="2"/>
      </rPr>
      <t xml:space="preserve">閉合解：需求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佔滿機隊有效產能所需的每則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τ*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</si>
  <si>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T_chat*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</t>
    </r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 − AL_DAPI ÷ AL_BlendPaid] ÷ [(1 − AL_FreeShare) ÷ AL_BlendPaid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AL_FreeShare ÷ AL_BlendFree]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τ*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T_chat*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SRC_DEM_012 × 365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v5.34 B3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</si>
  <si>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倍數取高（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）、實際利用率取低（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）；高反之（</t>
    </r>
    <r>
      <rPr>
        <sz val="10"/>
        <color rgb="FF000000"/>
        <rFont val="Arial"/>
        <family val="0"/>
        <charset val="1"/>
      </rPr>
      <t xml:space="preserve">Cap_In H9 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</si>
  <si>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Noto Sans CJK SC"/>
        <family val="2"/>
      </rPr>
      <t xml:space="preserve">閉合解：令需求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（付費＋免費）佔滿支出路線的機隊有效產能（服務 </t>
    </r>
    <r>
      <rPr>
        <sz val="10"/>
        <color rgb="FF000000"/>
        <rFont val="Arial"/>
        <family val="0"/>
        <charset val="1"/>
      </rPr>
      <t xml:space="preserve">GW ÷ Azure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AL_UtilActual ÷ IF_Util</t>
    </r>
    <r>
      <rPr>
        <sz val="10"/>
        <color rgb="FF000000"/>
        <rFont val="Noto Sans CJK SC"/>
        <family val="2"/>
      </rPr>
      <t xml:space="preserve">）所需的每則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數。高於 </t>
    </r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）代表需求路線（每則 </t>
    </r>
    <r>
      <rPr>
        <sz val="10"/>
        <color rgb="FF000000"/>
        <rFont val="Arial"/>
        <family val="0"/>
        <charset val="1"/>
      </rPr>
      <t xml:space="preserve">4,000</t>
    </r>
    <r>
      <rPr>
        <sz val="10"/>
        <color rgb="FF000000"/>
        <rFont val="Noto Sans CJK SC"/>
        <family val="2"/>
      </rPr>
      <t xml:space="preserve">）與機隊產出不閉合：每則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要到約 </t>
    </r>
    <r>
      <rPr>
        <sz val="10"/>
        <color rgb="FF000000"/>
        <rFont val="Arial"/>
        <family val="0"/>
        <charset val="1"/>
      </rPr>
      <t xml:space="preserve">1.4 </t>
    </r>
    <r>
      <rPr>
        <sz val="10"/>
        <color rgb="FF000000"/>
        <rFont val="Noto Sans CJK SC"/>
        <family val="2"/>
      </rPr>
      <t xml:space="preserve">萬，或機隊產出假設（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倍數、實際利用率、世代組合）偏高。</t>
    </r>
    <r>
      <rPr>
        <sz val="10"/>
        <color rgb="FF000000"/>
        <rFont val="Arial"/>
        <family val="0"/>
        <charset val="1"/>
      </rPr>
      <t xml:space="preserve">Checks M4 </t>
    </r>
    <r>
      <rPr>
        <sz val="10"/>
        <color rgb="FF000000"/>
        <rFont val="Noto Sans CJK SC"/>
        <family val="2"/>
      </rPr>
      <t xml:space="preserve">以需求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 </t>
    </r>
    <r>
      <rPr>
        <sz val="10"/>
        <color rgb="FF000000"/>
        <rFont val="Noto Sans CJK SC"/>
        <family val="2"/>
      </rPr>
      <t xml:space="preserve">提示。</t>
    </r>
  </si>
  <si>
    <r>
      <rPr>
        <sz val="10"/>
        <color rgb="FF000000"/>
        <rFont val="Noto Sans CJK SC"/>
        <family val="2"/>
      </rPr>
      <t xml:space="preserve">推論支出 </t>
    </r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計價倍數、實際利用率、世代組合、免費占比、</t>
    </r>
    <r>
      <rPr>
        <sz val="10"/>
        <color rgb="FF000000"/>
        <rFont val="Arial"/>
        <family val="0"/>
        <charset val="1"/>
      </rPr>
      <t xml:space="preserve">API token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</si>
  <si>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區間（每則提示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</si>
  <si>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</si>
  <si>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閉合解由 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決定，不是獨立證據</t>
    </r>
  </si>
  <si>
    <r>
      <rPr>
        <sz val="9"/>
        <color rgb="FF595959"/>
        <rFont val="Noto Sans CJK SC"/>
        <family val="2"/>
      </rPr>
      <t xml:space="preserve">令需求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佔滿機隊有效產能所需的每則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數（閉合解，使某值不變）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</si>
  <si>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O84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</si>
  <si>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L1_MAPI_Anthropic</t>
  </si>
  <si>
    <r>
      <rPr>
        <sz val="10"/>
        <color rgb="FF000000"/>
        <rFont val="Noto Sans CJK SC"/>
        <family val="2"/>
      </rPr>
      <t xml:space="preserve">變現率 </t>
    </r>
    <r>
      <rPr>
        <sz val="10"/>
        <color rgb="FF000000"/>
        <rFont val="Arial"/>
        <family val="0"/>
        <charset val="1"/>
      </rPr>
      <t xml:space="preserve">m — API </t>
    </r>
    <r>
      <rPr>
        <sz val="10"/>
        <color rgb="FF000000"/>
        <rFont val="Noto Sans CJK SC"/>
        <family val="2"/>
      </rPr>
      <t xml:space="preserve">路線（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J21 </t>
    </r>
    <r>
      <rPr>
        <sz val="10"/>
        <color rgb="FF000000"/>
        <rFont val="Noto Sans CJK SC"/>
        <family val="2"/>
      </rPr>
      <t xml:space="preserve">對照，缺分母）</t>
    </r>
  </si>
  <si>
    <r>
      <rPr>
        <sz val="10"/>
        <color rgb="FF000000"/>
        <rFont val="Arial"/>
        <family val="0"/>
        <charset val="1"/>
      </rPr>
      <t xml:space="preserve">Anthropic 2025</t>
    </r>
    <r>
      <rPr>
        <sz val="10"/>
        <color rgb="FF000000"/>
        <rFont val="Noto Sans CJK SC"/>
        <family val="2"/>
      </rPr>
      <t xml:space="preserve">；需要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與有效單價（未揭露）；</t>
    </r>
    <r>
      <rPr>
        <sz val="10"/>
        <color rgb="FF000000"/>
        <rFont val="Arial"/>
        <family val="0"/>
        <charset val="1"/>
      </rPr>
      <t xml:space="preserve">v5.34 J21</t>
    </r>
  </si>
  <si>
    <t xml:space="preserve">無（文字）</t>
  </si>
  <si>
    <r>
      <rPr>
        <sz val="10"/>
        <color rgb="FF000000"/>
        <rFont val="Arial"/>
        <family val="0"/>
        <charset val="1"/>
      </rPr>
      <t xml:space="preserve">J21</t>
    </r>
    <r>
      <rPr>
        <sz val="10"/>
        <color rgb="FF000000"/>
        <rFont val="Noto Sans CJK SC"/>
        <family val="2"/>
      </rPr>
      <t xml:space="preserve">：本版只建對照列。</t>
    </r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SRC_DEM_034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034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035</t>
    </r>
    <r>
      <rPr>
        <sz val="10"/>
        <color rgb="FF000000"/>
        <rFont val="Noto Sans CJK SC"/>
        <family val="2"/>
      </rPr>
      <t xml:space="preserve">））約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、雲端分潤比（</t>
    </r>
    <r>
      <rPr>
        <sz val="10"/>
        <color rgb="FF000000"/>
        <rFont val="Arial"/>
        <family val="0"/>
        <charset val="1"/>
      </rPr>
      <t xml:space="preserve">SRC_DEM_037 ÷ 036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（外部欄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m_API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）需要 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 </t>
    </r>
    <r>
      <rPr>
        <sz val="10"/>
        <color rgb="FF000000"/>
        <rFont val="Noto Sans CJK SC"/>
        <family val="2"/>
      </rPr>
      <t xml:space="preserve">與有效單價，兩者未揭露，本列顯示「缺分母」。不新增 </t>
    </r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實驗室選項。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</si>
  <si>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用量計費營收 </t>
    </r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分母（缺）、有效單價（缺）</t>
    </r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</si>
  <si>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分母未揭露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</si>
  <si>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用量計費占營收（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167 </t>
    </r>
    <r>
      <rPr>
        <sz val="10"/>
        <color rgb="FF000000"/>
        <rFont val="Noto Sans CJK SC"/>
        <family val="2"/>
      </rPr>
      <t xml:space="preserve">列）／雲端分潤比（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，第 </t>
    </r>
    <r>
      <rPr>
        <sz val="10"/>
        <color rgb="FF000000"/>
        <rFont val="Arial"/>
        <family val="0"/>
        <charset val="1"/>
      </rPr>
      <t xml:space="preserve">168 </t>
    </r>
    <r>
      <rPr>
        <sz val="10"/>
        <color rgb="FF000000"/>
        <rFont val="Noto Sans CJK SC"/>
        <family val="2"/>
      </rPr>
      <t xml:space="preserve">列）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</si>
  <si>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169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</si>
  <si>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缺分母：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API token</t>
    </r>
    <r>
      <rPr>
        <sz val="10"/>
        <color rgb="FF000000"/>
        <rFont val="Noto Sans CJK SC"/>
        <family val="2"/>
      </rPr>
      <t xml:space="preserve">、有效單價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</si>
  <si>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O85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</si>
  <si>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L1_LPrice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</si>
  <si>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牌價分項 </t>
    </r>
    <r>
      <rPr>
        <sz val="10"/>
        <color rgb="FF000000"/>
        <rFont val="Arial"/>
        <family val="0"/>
        <charset val="1"/>
      </rPr>
      <t xml:space="preserve">L_price</t>
    </r>
  </si>
  <si>
    <r>
      <rPr>
        <sz val="10"/>
        <color rgb="FF000000"/>
        <rFont val="Noto Sans CJK SC"/>
        <family val="2"/>
      </rPr>
      <t xml:space="preserve">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−0.10</t>
    </r>
    <r>
      <rPr>
        <sz val="10"/>
        <color rgb="FF000000"/>
        <rFont val="Noto Sans CJK SC"/>
        <family val="2"/>
      </rPr>
      <t xml:space="preserve">；−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）、壽命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IF_DeprLifeIT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((1+g)^T − 1)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</si>
  <si>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欄）</t>
    </r>
  </si>
  <si>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拆分（</t>
    </r>
    <r>
      <rPr>
        <sz val="10"/>
        <color rgb="FF000000"/>
        <rFont val="Arial"/>
        <family val="0"/>
        <charset val="1"/>
      </rPr>
      <t xml:space="preserve">J22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＝壽命期內中階牌價相對第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年的連續平均（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為牌價年變化率、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年服務中階、之後降級為低階（價值比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）的折減；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）對照。三者為追蹤列，不乘進任何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；用途是回本條件 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側「必須為真」。</t>
    </r>
  </si>
  <si>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</si>
  <si>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端迴歸；歷史牌價等級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</si>
  <si>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無外部對照（牌價序列迴歸見 </t>
    </r>
    <r>
      <rPr>
        <sz val="10"/>
        <color rgb="FF000000"/>
        <rFont val="Arial"/>
        <family val="0"/>
        <charset val="1"/>
      </rPr>
      <t xml:space="preserve">DB_Evidence E338–E341</t>
    </r>
    <r>
      <rPr>
        <sz val="10"/>
        <color rgb="FF000000"/>
        <rFont val="Noto Sans CJK SC"/>
        <family val="2"/>
      </rPr>
      <t xml:space="preserve">；等級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</si>
  <si>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232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</si>
  <si>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牌價為表列價，非實收（折讓在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L_price </t>
    </r>
    <r>
      <rPr>
        <sz val="10"/>
        <color rgb="FF000000"/>
        <rFont val="Noto Sans CJK SC"/>
        <family val="2"/>
      </rPr>
      <t xml:space="preserve">不含層級組合變動</t>
    </r>
  </si>
  <si>
    <r>
      <rPr>
        <sz val="9"/>
        <color rgb="FF595959"/>
        <rFont val="Noto Sans CJK SC"/>
        <family val="2"/>
      </rPr>
      <t xml:space="preserve">壽命期價格係數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的兩個分項與乘積（價格迴歸與降級假設；三者皆 </t>
    </r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）</t>
    </r>
  </si>
  <si>
    <t xml:space="preserve">L1_LDemote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</si>
  <si>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</t>
    </r>
    <r>
      <rPr>
        <sz val="10"/>
        <color rgb="FF000000"/>
        <rFont val="Noto Sans CJK SC"/>
        <family val="2"/>
      </rPr>
      <t xml:space="preserve">降級分項 </t>
    </r>
    <r>
      <rPr>
        <sz val="10"/>
        <color rgb="FF000000"/>
        <rFont val="Arial"/>
        <family val="0"/>
        <charset val="1"/>
      </rPr>
      <t xml:space="preserve">L_demote</t>
    </r>
  </si>
  <si>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年服務中階（</t>
    </r>
    <r>
      <rPr>
        <sz val="10"/>
        <color rgb="FF000000"/>
        <rFont val="Arial"/>
        <family val="0"/>
        <charset val="1"/>
      </rPr>
      <t xml:space="preserve">Assumed 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）、之後降級為低階、價值比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 0.5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L_demote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L_total ÷ L_price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</si>
  <si>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（直接以低階單價計）；高＝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（不降級）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</si>
  <si>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</si>
  <si>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（無直接觀測）</t>
    </r>
  </si>
  <si>
    <t xml:space="preserve">無外部對照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</si>
  <si>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234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</si>
  <si>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硬體降級時點與降級後單價無公開資料；低端以 </t>
    </r>
    <r>
      <rPr>
        <sz val="10"/>
        <color rgb="FF000000"/>
        <rFont val="Arial"/>
        <family val="0"/>
        <charset val="1"/>
      </rPr>
      <t xml:space="preserve">Luna ÷ Sol </t>
    </r>
    <r>
      <rPr>
        <sz val="10"/>
        <color rgb="FF000000"/>
        <rFont val="Noto Sans CJK SC"/>
        <family val="2"/>
      </rPr>
      <t xml:space="preserve">參考請求單價 </t>
    </r>
    <r>
      <rPr>
        <sz val="10"/>
        <color rgb="FF000000"/>
        <rFont val="Arial"/>
        <family val="0"/>
        <charset val="1"/>
      </rPr>
      <t xml:space="preserve">0.05 </t>
    </r>
    <r>
      <rPr>
        <sz val="10"/>
        <color rgb="FF000000"/>
        <rFont val="Noto Sans CJK SC"/>
        <family val="2"/>
      </rPr>
      <t xml:space="preserve">為代理</t>
    </r>
  </si>
  <si>
    <t xml:space="preserve">L1_LTotal</t>
  </si>
  <si>
    <r>
      <rPr>
        <sz val="10"/>
        <color rgb="FF000000"/>
        <rFont val="Noto Sans CJK SC"/>
        <family val="2"/>
      </rPr>
      <t xml:space="preserve">壽命期價格係數 </t>
    </r>
    <r>
      <rPr>
        <sz val="10"/>
        <color rgb="FF000000"/>
        <rFont val="Arial"/>
        <family val="0"/>
        <charset val="1"/>
      </rPr>
      <t xml:space="preserve">L — 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L_price × L_demote</t>
    </r>
    <r>
      <rPr>
        <sz val="10"/>
        <color rgb="FF000000"/>
        <rFont val="Noto Sans CJK SC"/>
        <family val="2"/>
      </rPr>
      <t xml:space="preserve">（對照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</si>
  <si>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同上；</t>
    </r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[((1+g)^T1 − 1) </t>
    </r>
    <r>
      <rPr>
        <sz val="10"/>
        <color rgb="FF000000"/>
        <rFont val="Noto Sans CJK SC"/>
        <family val="2"/>
      </rPr>
      <t xml:space="preserve">＋ </t>
    </r>
    <r>
      <rPr>
        <sz val="10"/>
        <color rgb="FF000000"/>
        <rFont val="Arial"/>
        <family val="0"/>
        <charset val="1"/>
      </rPr>
      <t xml:space="preserve">ρ((1+g)^T − (1+g)^T1)] ÷ (T × LN(1+g))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v5.35 J22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</si>
  <si>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 −0.25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0.05</t>
    </r>
    <r>
      <rPr>
        <sz val="10"/>
        <color rgb="FF000000"/>
        <rFont val="Noto Sans CJK SC"/>
        <family val="2"/>
      </rPr>
      <t xml:space="preserve">；高＝</t>
    </r>
    <r>
      <rPr>
        <sz val="10"/>
        <color rgb="FF000000"/>
        <rFont val="Arial"/>
        <family val="0"/>
        <charset val="1"/>
      </rPr>
      <t xml:space="preserve">g +0.05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 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 1.0</t>
    </r>
    <r>
      <rPr>
        <sz val="10"/>
        <color rgb="FF000000"/>
        <rFont val="Noto Sans CJK SC"/>
        <family val="2"/>
      </rPr>
      <t xml:space="preserve">（同向組合）</t>
    </r>
  </si>
  <si>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</si>
  <si>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Noto Sans CJK SC"/>
        <family val="2"/>
      </rPr>
      <t xml:space="preserve">三者皆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</si>
  <si>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（模型假設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GM593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E246 </t>
    </r>
    <r>
      <rPr>
        <sz val="10"/>
        <color rgb="FF000000"/>
        <rFont val="Noto Sans CJK SC"/>
        <family val="2"/>
      </rPr>
      <t xml:space="preserve">類比區間 </t>
    </r>
    <r>
      <rPr>
        <sz val="10"/>
        <color rgb="FF000000"/>
        <rFont val="Arial"/>
        <family val="0"/>
        <charset val="1"/>
      </rPr>
      <t xml:space="preserve">0.42–0.70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</si>
  <si>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</si>
  <si>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不改（本列只作追蹤）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</si>
  <si>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M88:O88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</si>
  <si>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L1_LReqFleet</t>
  </si>
  <si>
    <r>
      <rPr>
        <sz val="10"/>
        <color rgb="FF000000"/>
        <rFont val="Noto Sans CJK SC"/>
        <family val="2"/>
      </rPr>
      <t xml:space="preserve">回本所需壽命期價格係數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機隊口徑；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）｜</t>
    </r>
    <r>
      <rPr>
        <sz val="10"/>
        <color rgb="FF000000"/>
        <rFont val="Arial"/>
        <family val="0"/>
        <charset val="1"/>
      </rPr>
      <t xml:space="preserve">v10.0 N4</t>
    </r>
    <r>
      <rPr>
        <sz val="10"/>
        <color rgb="FF000000"/>
        <rFont val="Noto Sans CJK SC"/>
        <family val="2"/>
      </rPr>
      <t xml:space="preserve">：字面讀法（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）口徑不一致，僅供對照——分子是整個機隊的損益兩平，分母卻只含付費服務占比（約 </t>
    </r>
    <r>
      <rPr>
        <sz val="10"/>
        <color rgb="FF000000"/>
        <rFont val="Arial"/>
        <family val="0"/>
        <charset val="1"/>
      </rPr>
      <t xml:space="preserve">22%</t>
    </r>
    <r>
      <rPr>
        <sz val="10"/>
        <color rgb="FF000000"/>
        <rFont val="Noto Sans CJK SC"/>
        <family val="2"/>
      </rPr>
      <t xml:space="preserve">）的營收；判讀只用恆等式讀法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</si>
  <si>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L1_MFleet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v8.0 L4</t>
    </r>
    <r>
      <rPr>
        <sz val="10"/>
        <color rgb="FF000000"/>
        <rFont val="Noto Sans CJK SC"/>
        <family val="2"/>
      </rPr>
      <t xml:space="preserve">：成本與營收同為服務世代組合、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舊口徑見 </t>
    </r>
    <r>
      <rPr>
        <sz val="10"/>
        <color rgb="FF000000"/>
        <rFont val="Arial"/>
        <family val="0"/>
        <charset val="1"/>
      </rPr>
      <t xml:space="preserve">L1_LReqFleet_VR200</t>
    </r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</si>
  <si>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）：給定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至少要多少才達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機隊回本。與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並列判讀（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242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0.530</t>
    </r>
    <r>
      <rPr>
        <sz val="10"/>
        <color rgb="FF000000"/>
        <rFont val="Noto Sans CJK SC"/>
        <family val="2"/>
      </rPr>
      <t xml:space="preserve">）保留為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；兩者口徑不同，不可互比。恆等式讀法見 </t>
    </r>
    <r>
      <rPr>
        <sz val="10"/>
        <color rgb="FF000000"/>
        <rFont val="Arial"/>
        <family val="0"/>
        <charset val="1"/>
      </rPr>
      <t xml:space="preserve">L1_LReqFleet_Id</t>
    </r>
  </si>
  <si>
    <r>
      <rPr>
        <sz val="10"/>
        <color rgb="FF000000"/>
        <rFont val="Noto Sans CJK SC"/>
        <family val="2"/>
      </rPr>
      <t xml:space="preserve">機隊回本門檻（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</si>
  <si>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機隊回本門檻、利用率、生產折減、機隊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</si>
  <si>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倍數、實際利用率）</t>
    </r>
  </si>
  <si>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</si>
  <si>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</si>
  <si>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口徑不同所需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不同（</t>
    </r>
    <r>
      <rPr>
        <sz val="10"/>
        <color rgb="FF000000"/>
        <rFont val="Arial"/>
        <family val="0"/>
        <charset val="1"/>
      </rPr>
      <t xml:space="preserve">L1_MAPI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0.52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Cap_In I-7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</si>
  <si>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回本所需的 </t>
    </r>
    <r>
      <rPr>
        <sz val="9"/>
        <color rgb="FF595959"/>
        <rFont val="Arial"/>
        <family val="0"/>
        <charset val="1"/>
      </rPr>
      <t xml:space="preserve">L </t>
    </r>
    <r>
      <rPr>
        <sz val="9"/>
        <color rgb="FF595959"/>
        <rFont val="Noto Sans CJK SC"/>
        <family val="2"/>
      </rPr>
      <t xml:space="preserve">或實收單價：令營收＝成本所需的量（倒推）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</si>
  <si>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N89:O89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</si>
  <si>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r>
      <rPr>
        <sz val="10"/>
        <color rgb="FF000000"/>
        <rFont val="Noto Sans CJK SC"/>
        <family val="2"/>
      </rPr>
      <t xml:space="preserve">服務端規模係數（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基準）：支出路線服務 </t>
    </r>
    <r>
      <rPr>
        <sz val="10"/>
        <color rgb="FF000000"/>
        <rFont val="Arial"/>
        <family val="0"/>
        <charset val="1"/>
      </rPr>
      <t xml:space="preserve">GW ÷ 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</si>
  <si>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＝下游校準用，不得當產能；</t>
    </r>
    <r>
      <rPr>
        <sz val="10"/>
        <color rgb="FF000000"/>
        <rFont val="Arial"/>
        <family val="0"/>
        <charset val="1"/>
      </rPr>
      <t xml:space="preserve">X47</t>
    </r>
  </si>
  <si>
    <r>
      <rPr>
        <sz val="10"/>
        <color rgb="FF000000"/>
        <rFont val="Noto Sans CJK SC"/>
        <family val="2"/>
      </rPr>
      <t xml:space="preserve">無區間（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；支出路線不隨 </t>
    </r>
    <r>
      <rPr>
        <sz val="10"/>
        <color rgb="FF000000"/>
        <rFont val="Arial"/>
        <family val="0"/>
        <charset val="1"/>
      </rPr>
      <t xml:space="preserve">τ </t>
    </r>
    <r>
      <rPr>
        <sz val="10"/>
        <color rgb="FF000000"/>
        <rFont val="Noto Sans CJK SC"/>
        <family val="2"/>
      </rPr>
      <t xml:space="preserve">變）</t>
    </r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</si>
  <si>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的外部對照；與 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τ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Alloc_In C15</t>
    </r>
    <r>
      <rPr>
        <sz val="10"/>
        <color rgb="FF000000"/>
        <rFont val="Noto Sans CJK SC"/>
        <family val="2"/>
      </rPr>
      <t xml:space="preserve">）的差＝</t>
    </r>
    <r>
      <rPr>
        <sz val="10"/>
        <color rgb="FF000000"/>
        <rFont val="Arial"/>
        <family val="0"/>
        <charset val="1"/>
      </rPr>
      <t xml:space="preserve">GapPrompt </t>
    </r>
    <r>
      <rPr>
        <sz val="10"/>
        <color rgb="FF000000"/>
        <rFont val="Noto Sans CJK SC"/>
        <family val="2"/>
      </rPr>
      <t xml:space="preserve">有效倍數 </t>
    </r>
    <r>
      <rPr>
        <sz val="10"/>
        <color rgb="FF000000"/>
        <rFont val="Arial"/>
        <family val="0"/>
        <charset val="1"/>
      </rPr>
      <t xml:space="preserve">1.3013</t>
    </r>
  </si>
  <si>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數（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固定）、推論支出口徑、世代組合</t>
    </r>
  </si>
  <si>
    <r>
      <rPr>
        <sz val="10"/>
        <color rgb="FF000000"/>
        <rFont val="Noto Sans CJK SC"/>
        <family val="2"/>
      </rPr>
      <t xml:space="preserve">推論支出：二手（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</si>
  <si>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253 </t>
    </r>
    <r>
      <rPr>
        <sz val="10"/>
        <color rgb="FF000000"/>
        <rFont val="Noto Sans CJK SC"/>
        <family val="2"/>
      </rPr>
      <t xml:space="preserve">列</t>
    </r>
  </si>
  <si>
    <t xml:space="preserve">L1_PriceRealFleet</t>
  </si>
  <si>
    <r>
      <rPr>
        <sz val="10"/>
        <color rgb="FF000000"/>
        <rFont val="Noto Sans CJK SC"/>
        <family val="2"/>
      </rPr>
      <t xml:space="preserve">實收單價（機隊口徑，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L1_MFleet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</si>
  <si>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m_fleet 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Alloc AL_PriceFleet25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</si>
  <si>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</si>
  <si>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價格口徑（</t>
    </r>
    <r>
      <rPr>
        <sz val="10"/>
        <color rgb="FF000000"/>
        <rFont val="Arial"/>
        <family val="0"/>
        <charset val="1"/>
      </rPr>
      <t xml:space="preserve">B6</t>
    </r>
    <r>
      <rPr>
        <sz val="10"/>
        <color rgb="FF000000"/>
        <rFont val="Noto Sans CJK SC"/>
        <family val="2"/>
      </rPr>
      <t xml:space="preserve">；顯示用，不進任何計算）：實收單價＝</t>
    </r>
    <r>
      <rPr>
        <sz val="10"/>
        <color rgb="FF000000"/>
        <rFont val="Arial"/>
        <family val="0"/>
        <charset val="1"/>
      </rPr>
      <t xml:space="preserve">m 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列（混合有效單價）；機隊口徑用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、需求口徑用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；回本所需實收單價＝</t>
    </r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 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。判讀：機隊實收 ≥ 回本所需 → 回本。</t>
    </r>
  </si>
  <si>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</si>
  <si>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分母（計價倍數、實際利用率、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</si>
  <si>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</t>
    </r>
  </si>
  <si>
    <t xml:space="preserve">顯示用</t>
  </si>
  <si>
    <r>
      <rPr>
        <sz val="9"/>
        <color rgb="FF595959"/>
        <rFont val="Noto Sans CJK SC"/>
        <family val="2"/>
      </rPr>
      <t xml:space="preserve">實收單價＝</t>
    </r>
    <r>
      <rPr>
        <sz val="9"/>
        <color rgb="FF595959"/>
        <rFont val="Arial"/>
        <family val="0"/>
        <charset val="1"/>
      </rPr>
      <t xml:space="preserve">m × </t>
    </r>
    <r>
      <rPr>
        <sz val="9"/>
        <color rgb="FF595959"/>
        <rFont val="Noto Sans CJK SC"/>
        <family val="2"/>
      </rPr>
      <t xml:space="preserve">混合有效單價＝營收 </t>
    </r>
    <r>
      <rPr>
        <sz val="9"/>
        <color rgb="FF595959"/>
        <rFont val="Arial"/>
        <family val="0"/>
        <charset val="1"/>
      </rPr>
      <t xml:space="preserve">÷ token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 </t>
    </r>
    <r>
      <rPr>
        <sz val="9"/>
        <color rgb="FF595959"/>
        <rFont val="Noto Sans CJK SC"/>
        <family val="2"/>
      </rPr>
      <t xml:space="preserve">的殘差性質沿用）</t>
    </r>
  </si>
  <si>
    <t xml:space="preserve">L1_PriceRealDemand</t>
  </si>
  <si>
    <r>
      <rPr>
        <sz val="10"/>
        <color rgb="FF000000"/>
        <rFont val="Noto Sans CJK SC"/>
        <family val="2"/>
      </rPr>
      <t xml:space="preserve">實收單價（需求口徑，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L1_MImplied × </t>
    </r>
    <r>
      <rPr>
        <sz val="10"/>
        <color rgb="FF000000"/>
        <rFont val="Noto Sans CJK SC"/>
        <family val="2"/>
      </rPr>
      <t xml:space="preserve">混合有效單價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</si>
  <si>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× 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</si>
  <si>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L1_MImplied </t>
    </r>
    <r>
      <rPr>
        <sz val="10"/>
        <color rgb="FF000000"/>
        <rFont val="Noto Sans CJK SC"/>
        <family val="2"/>
      </rPr>
      <t xml:space="preserve">低／高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</si>
  <si>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需求路線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、混合有效單價</t>
    </r>
  </si>
  <si>
    <r>
      <rPr>
        <sz val="10"/>
        <color rgb="FF000000"/>
        <rFont val="Noto Sans CJK SC"/>
        <family val="2"/>
      </rPr>
      <t xml:space="preserve">分母為模型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需求（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）；已知偏低（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</t>
    </r>
  </si>
  <si>
    <t xml:space="preserve">L1_PriceReqBE</t>
  </si>
  <si>
    <r>
      <rPr>
        <sz val="10"/>
        <color rgb="FF000000"/>
        <rFont val="Noto Sans CJK SC"/>
        <family val="2"/>
      </rPr>
      <t xml:space="preserve">回本所需實收單價（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</si>
  <si>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2025 </t>
    </r>
    <r>
      <rPr>
        <sz val="10"/>
        <color rgb="FF000000"/>
        <rFont val="Noto Sans CJK SC"/>
        <family val="2"/>
      </rPr>
      <t xml:space="preserve">年度機隊口徑單價（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 L_total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</si>
  <si>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取高端（</t>
    </r>
    <r>
      <rPr>
        <sz val="10"/>
        <color rgb="FF000000"/>
        <rFont val="Arial"/>
        <family val="0"/>
        <charset val="1"/>
      </rPr>
      <t xml:space="preserve">0.498</t>
    </r>
    <r>
      <rPr>
        <sz val="10"/>
        <color rgb="FF000000"/>
        <rFont val="Noto Sans CJK SC"/>
        <family val="2"/>
      </rPr>
      <t xml:space="preserve">）、高＝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取低端（</t>
    </r>
    <r>
      <rPr>
        <sz val="10"/>
        <color rgb="FF000000"/>
        <rFont val="Arial"/>
        <family val="0"/>
        <charset val="1"/>
      </rPr>
      <t xml:space="preserve">1.692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</si>
  <si>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機隊回本門檻、利用率、生產折減、</t>
    </r>
    <r>
      <rPr>
        <sz val="10"/>
        <color rgb="FF000000"/>
        <rFont val="Arial"/>
        <family val="0"/>
        <charset val="1"/>
      </rPr>
      <t xml:space="preserve">L_total</t>
    </r>
  </si>
  <si>
    <r>
      <rPr>
        <sz val="10"/>
        <color rgb="FF000000"/>
        <rFont val="Arial"/>
        <family val="0"/>
        <charset val="1"/>
      </rPr>
      <t xml:space="preserve">L_total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</si>
  <si>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機隊實收單價（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</si>
  <si>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顯示用；與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）等價的美元口徑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</si>
  <si>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N93:O93</t>
    </r>
    <r>
      <rPr>
        <sz val="9"/>
        <color rgb="FF595959"/>
        <rFont val="Noto Sans CJK SC"/>
        <family val="2"/>
      </rPr>
      <t xml:space="preserve">（對照欄：外部值與推算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</si>
  <si>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L1_PriceRho</t>
  </si>
  <si>
    <r>
      <rPr>
        <sz val="10"/>
        <color rgb="FF000000"/>
        <rFont val="Noto Sans CJK SC"/>
        <family val="2"/>
      </rPr>
      <t xml:space="preserve">價格時間錯配 </t>
    </r>
    <r>
      <rPr>
        <sz val="10"/>
        <color rgb="FF000000"/>
        <rFont val="Arial"/>
        <family val="0"/>
        <charset val="1"/>
      </rPr>
      <t xml:space="preserve">ρ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中階牌價（時間加權）</t>
    </r>
    <r>
      <rPr>
        <sz val="10"/>
        <color rgb="FF000000"/>
        <rFont val="Arial"/>
        <family val="0"/>
        <charset val="1"/>
      </rPr>
      <t xml:space="preserve">÷ 2026-09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</si>
  <si>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3.3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v5.36 B6</t>
    </r>
  </si>
  <si>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0.83–1.36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、上限 </t>
    </r>
    <r>
      <rPr>
        <sz val="10"/>
        <color rgb="FF000000"/>
        <rFont val="Arial"/>
        <family val="0"/>
        <charset val="1"/>
      </rPr>
      <t xml:space="preserve">GPT-4o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</si>
  <si>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實收單價（美元）本身是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2025 token </t>
    </r>
    <r>
      <rPr>
        <sz val="10"/>
        <color rgb="FF000000"/>
        <rFont val="Noto Sans CJK SC"/>
        <family val="2"/>
      </rPr>
      <t xml:space="preserve">的觀測，不受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影響；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只改變「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是定價打折」或「牌價下降」的解讀（顯示用，不進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）。對 </t>
    </r>
    <r>
      <rPr>
        <sz val="10"/>
        <color rgb="FF000000"/>
        <rFont val="Arial"/>
        <family val="0"/>
        <charset val="1"/>
      </rPr>
      <t xml:space="preserve">ScaleServe </t>
    </r>
    <r>
      <rPr>
        <sz val="10"/>
        <color rgb="FF000000"/>
        <rFont val="Noto Sans CJK SC"/>
        <family val="2"/>
      </rPr>
      <t xml:space="preserve">的貢獻＝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3.1 </t>
    </r>
    <r>
      <rPr>
        <sz val="10"/>
        <color rgb="FF000000"/>
        <rFont val="Noto Sans CJK SC"/>
        <family val="2"/>
      </rPr>
      <t xml:space="preserve">節第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</si>
  <si>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中階牌價序列、快照 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</si>
  <si>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G0-7</t>
    </r>
    <r>
      <rPr>
        <sz val="10"/>
        <color rgb="FF000000"/>
        <rFont val="Noto Sans CJK SC"/>
        <family val="2"/>
      </rPr>
      <t xml:space="preserve">），待一手確認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</si>
  <si>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263 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</si>
  <si>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Noto Sans CJK SC"/>
        <family val="2"/>
      </rPr>
      <t xml:space="preserve">層級對映無法由價格決定（情境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不採）</t>
    </r>
  </si>
  <si>
    <t xml:space="preserve">L1_FleetProdRatio</t>
  </si>
  <si>
    <r>
      <rPr>
        <sz val="10"/>
        <color rgb="FF000000"/>
        <rFont val="Noto Sans CJK SC"/>
        <family val="2"/>
      </rPr>
      <t xml:space="preserve">機隊營收重解比（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IFW_RevGWFleet_Prod ÷ IFW_RevGWFleet_Util</t>
    </r>
  </si>
  <si>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欄＝低成本／基準／高成本）；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以此取代線性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v7.0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2-2-b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</si>
  <si>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＝高成本欄（機隊營收不隨成本欄變，三者通常相等）</t>
    </r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</si>
  <si>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層是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後的機隊營收（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），不等於 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：基準約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（線性為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＝ </t>
    </r>
    <r>
      <rPr>
        <sz val="10"/>
        <color rgb="FF000000"/>
        <rFont val="Arial"/>
        <family val="0"/>
        <charset val="1"/>
      </rPr>
      <t xml:space="preserve">IF_Util × </t>
    </r>
    <r>
      <rPr>
        <sz val="10"/>
        <color rgb="FF000000"/>
        <rFont val="Noto Sans CJK SC"/>
        <family val="2"/>
      </rPr>
      <t xml:space="preserve">本列 </t>
    </r>
    <r>
      <rPr>
        <sz val="10"/>
        <color rgb="FF000000"/>
        <rFont val="Arial"/>
        <family val="0"/>
        <charset val="1"/>
      </rPr>
      <t xml:space="preserve">× L × m ÷ L1_FleetBreakeven</t>
    </r>
    <r>
      <rPr>
        <sz val="10"/>
        <color rgb="FF000000"/>
        <rFont val="Noto Sans CJK SC"/>
        <family val="2"/>
      </rPr>
      <t xml:space="preserve">，即 </t>
    </r>
    <r>
      <rPr>
        <sz val="10"/>
        <color rgb="FF000000"/>
        <rFont val="Arial"/>
        <family val="0"/>
        <charset val="1"/>
      </rPr>
      <t xml:space="preserve">L × m × </t>
    </r>
    <r>
      <rPr>
        <sz val="10"/>
        <color rgb="FF000000"/>
        <rFont val="Noto Sans CJK SC"/>
        <family val="2"/>
      </rPr>
      <t xml:space="preserve">重解後機隊營收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持有成本。對照：付費產能比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世代組合，用於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下限）口徑不同</t>
    </r>
  </si>
  <si>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、重解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、層級組合</t>
    </r>
  </si>
  <si>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</si>
  <si>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</si>
  <si>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的中間量</t>
    </r>
  </si>
  <si>
    <t xml:space="preserve">L1_GenPxThr_Rev_GB200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</si>
  <si>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</si>
  <si>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L1_TokMW_Gen_ratio_GB200 ^ (−1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</si>
  <si>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%/</t>
    </r>
    <r>
      <rPr>
        <sz val="10"/>
        <color rgb="FF000000"/>
        <rFont val="Noto Sans CJK SC"/>
        <family val="2"/>
      </rPr>
      <t xml:space="preserve">年（小數）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</si>
  <si>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無區間，只隨 </t>
    </r>
    <r>
      <rPr>
        <sz val="10"/>
        <color rgb="FF000000"/>
        <rFont val="Arial"/>
        <family val="0"/>
        <charset val="1"/>
      </rPr>
      <t xml:space="preserve">Δ</t>
    </r>
  </si>
  <si>
    <r>
      <rPr>
        <sz val="10"/>
        <color rgb="FF000000"/>
        <rFont val="Noto Sans CJK SC"/>
        <family val="2"/>
      </rPr>
      <t xml:space="preserve">固定模型口徑：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為同一模型、換新硬體的產出比（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三層級為單一時點快照，跨世代不變）。實際各世代上市時，層級代表模型可能變大（見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）。基準欄為固定模型口徑；模型隨世代變大的門檻見情境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。若要與層級牌價配對，應讀情境值。讀法：實證的年價格變化高於本門檻，新世代每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收入（或回本餘裕）高於上一世代。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</si>
  <si>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</si>
  <si>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</t>
    </r>
    <r>
      <rPr>
        <sz val="10"/>
        <color rgb="FF000000"/>
        <rFont val="Arial"/>
        <family val="0"/>
        <charset val="1"/>
      </rPr>
      <t xml:space="preserve">q</t>
    </r>
    <r>
      <rPr>
        <sz val="10"/>
        <color rgb="FF000000"/>
        <rFont val="Noto Sans CJK SC"/>
        <family val="2"/>
      </rPr>
      <t xml:space="preserve">：固定模型口徑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</si>
  <si>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</si>
  <si>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不提供世代間價格基準，下游以自己的價格口徑比較</t>
    </r>
  </si>
  <si>
    <r>
      <rPr>
        <sz val="9"/>
        <color rgb="FF595959"/>
        <rFont val="Noto Sans CJK SC"/>
        <family val="2"/>
      </rPr>
      <t xml:space="preserve">令世代間每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收入（或回本餘裕）持平所需的年價格變化率（使某值不變而反解）</t>
    </r>
  </si>
  <si>
    <t xml:space="preserve">L1_GenPxThr_Rev_GB300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</si>
  <si>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</si>
  <si>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L1_TokMW_Gen_ratio_GB300 ^ (−1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</si>
  <si>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</si>
  <si>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L1_GenPxThr_Rev_VR200</t>
  </si>
  <si>
    <r>
      <rPr>
        <sz val="10"/>
        <color rgb="FF000000"/>
        <rFont val="Noto Sans CJK SC"/>
        <family val="2"/>
      </rPr>
      <t xml:space="preserve">世代每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</si>
  <si>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L1_TokMW_Gen_ratio_VR200 ^ (−1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</si>
  <si>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使收入門檻轉為正值（與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欄反向），故以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排序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</si>
  <si>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</si>
  <si>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L1_GenPxThr_Pay_GB200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</si>
  <si>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Hopper→GB200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</si>
  <si>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L1_HoldEconMW_GB200 ÷ L1_HoldEconMW_Hopper ÷ L1_TokMW_Gen_ratio_GB200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</si>
  <si>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高端）中較小／較大者；持有成本比取基準（不交叉組合）</t>
    </r>
  </si>
  <si>
    <r>
      <rPr>
        <sz val="10"/>
        <color rgb="FF000000"/>
        <rFont val="Arial"/>
        <family val="0"/>
        <charset val="1"/>
      </rPr>
      <t xml:space="preserve">L1_TokMW_Gen_ratio_GB200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CAP_GenGap_GB200</t>
    </r>
  </si>
  <si>
    <r>
      <rPr>
        <sz val="10"/>
        <color rgb="FF000000"/>
        <rFont val="Arial"/>
        <family val="0"/>
        <charset val="1"/>
      </rPr>
      <t xml:space="preserve">Δ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（單一樣本）；持有成本：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級來源</t>
    </r>
  </si>
  <si>
    <r>
      <rPr>
        <sz val="10"/>
        <color rgb="FF000000"/>
        <rFont val="Noto Sans CJK SC"/>
        <family val="2"/>
      </rPr>
      <t xml:space="preserve">顯示用；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不提供世代間價格基準</t>
    </r>
  </si>
  <si>
    <t xml:space="preserve">L1_GenPxThr_Pay_GB300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</si>
  <si>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GB200→GB300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</si>
  <si>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L1_HoldEconMW_GB300 ÷ L1_HoldEconMW_GB200 ÷ L1_TokMW_Gen_ratio_GB300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CAP_GenGap_GB300)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</si>
  <si>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CAP_GenGap_GB300</t>
    </r>
  </si>
  <si>
    <t xml:space="preserve">L1_GenPxThr_Pay_VR200</t>
  </si>
  <si>
    <r>
      <rPr>
        <sz val="10"/>
        <color rgb="FF000000"/>
        <rFont val="Noto Sans CJK SC"/>
        <family val="2"/>
      </rPr>
      <t xml:space="preserve">世代回本餘裕持平所需的年價格變化率（</t>
    </r>
    <r>
      <rPr>
        <sz val="10"/>
        <color rgb="FF000000"/>
        <rFont val="Arial"/>
        <family val="0"/>
        <charset val="1"/>
      </rPr>
      <t xml:space="preserve">GB300→VR200</t>
    </r>
    <r>
      <rPr>
        <sz val="10"/>
        <color rgb="FF000000"/>
        <rFont val="Noto Sans CJK SC"/>
        <family val="2"/>
      </rPr>
      <t xml:space="preserve">）｜固定模型口徑（模型變大見 </t>
    </r>
    <r>
      <rPr>
        <sz val="10"/>
        <color rgb="FF000000"/>
        <rFont val="Arial"/>
        <family val="0"/>
        <charset val="1"/>
      </rPr>
      <t xml:space="preserve">`ARCH_ScaleGen`</t>
    </r>
    <r>
      <rPr>
        <sz val="10"/>
        <color rgb="FF000000"/>
        <rFont val="Noto Sans CJK SC"/>
        <family val="2"/>
      </rPr>
      <t xml:space="preserve">／情境 </t>
    </r>
    <r>
      <rPr>
        <sz val="10"/>
        <color rgb="FF000000"/>
        <rFont val="Arial"/>
        <family val="0"/>
        <charset val="1"/>
      </rPr>
      <t xml:space="preserve">`d1_model_scale`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</si>
  <si>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L1_HoldEconMW_VR200 ÷ L1_HoldEconMW_GB300 ÷ L1_TokMW_Gen_ratio_VR200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^ (1 ÷ CAP_GenGap_VR200) − 1</t>
    </r>
    <r>
      <rPr>
        <sz val="10"/>
        <color rgb="FF000000"/>
        <rFont val="Noto Sans CJK SC"/>
        <family val="2"/>
      </rPr>
      <t xml:space="preserve">；不含價格；</t>
    </r>
    <r>
      <rPr>
        <sz val="10"/>
        <color rgb="FF000000"/>
        <rFont val="Arial"/>
        <family val="0"/>
        <charset val="1"/>
      </rPr>
      <t xml:space="preserve">B-2</t>
    </r>
    <r>
      <rPr>
        <sz val="10"/>
        <color rgb="FF000000"/>
        <rFont val="Noto Sans CJK SC"/>
        <family val="2"/>
      </rPr>
      <t xml:space="preserve">（世代價格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段）</t>
    </r>
  </si>
  <si>
    <r>
      <rPr>
        <sz val="10"/>
        <color rgb="FF000000"/>
        <rFont val="Arial"/>
        <family val="0"/>
        <charset val="1"/>
      </rPr>
      <t xml:space="preserve">L1_TokMW_Gen_ratio_VR200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L1_HoldEconMW_VR200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CAP_GenGap_VR200</t>
    </r>
  </si>
  <si>
    <t xml:space="preserve">L1_MFleet_Px2026</t>
  </si>
  <si>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牌價對照）＝營收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（機隊付費 </t>
    </r>
    <r>
      <rPr>
        <sz val="10"/>
        <color rgb="FF000000"/>
        <rFont val="Arial"/>
        <family val="0"/>
        <charset val="1"/>
      </rPr>
      <t xml:space="preserve">token × AL_PriceFleet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</si>
  <si>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；單價為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快照（</t>
    </r>
    <r>
      <rPr>
        <sz val="10"/>
        <color rgb="FF000000"/>
        <rFont val="Arial"/>
        <family val="0"/>
        <charset val="1"/>
      </rPr>
      <t xml:space="preserve">AL_PriceFleet</t>
    </r>
    <r>
      <rPr>
        <sz val="10"/>
        <color rgb="FF000000"/>
        <rFont val="Noto Sans CJK SC"/>
        <family val="2"/>
      </rPr>
      <t xml:space="preserve">），不是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年度單價；</t>
    </r>
    <r>
      <rPr>
        <sz val="10"/>
        <color rgb="FF000000"/>
        <rFont val="Arial"/>
        <family val="0"/>
        <charset val="1"/>
      </rPr>
      <t xml:space="preserve">v8.0 L1 </t>
    </r>
    <r>
      <rPr>
        <sz val="10"/>
        <color rgb="FF000000"/>
        <rFont val="Noto Sans CJK SC"/>
        <family val="2"/>
      </rPr>
      <t xml:space="preserve">對照列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</si>
  <si>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取高、高＝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取低（同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</si>
  <si>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快照單價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</si>
  <si>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</si>
  <si>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</t>
    </r>
  </si>
  <si>
    <t xml:space="preserve">L1_Price25Mix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</si>
  <si>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混合有效單價（全層級；</t>
    </r>
    <r>
      <rPr>
        <sz val="10"/>
        <color rgb="FF000000"/>
        <rFont val="Arial"/>
        <family val="0"/>
        <charset val="1"/>
      </rPr>
      <t xml:space="preserve">B4_MixPaid × 2025 </t>
    </r>
    <r>
      <rPr>
        <sz val="10"/>
        <color rgb="FF000000"/>
        <rFont val="Noto Sans CJK SC"/>
        <family val="2"/>
      </rPr>
      <t xml:space="preserve">層級單價 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B4_Disc</t>
    </r>
    <r>
      <rPr>
        <sz val="10"/>
        <color rgb="FF000000"/>
        <rFont val="Noto Sans CJK SC"/>
        <family val="2"/>
      </rPr>
      <t xml:space="preserve">））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</si>
  <si>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年度單價（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節）；寫法同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v8.0 L1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</si>
  <si>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層級單價低端／高端（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</si>
  <si>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按在售天數加權，不是按用量；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的差距最大（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7.17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 </t>
    </r>
    <r>
      <rPr>
        <sz val="10"/>
        <color rgb="FF000000"/>
        <rFont val="Arial"/>
        <family val="0"/>
        <charset val="1"/>
      </rPr>
      <t xml:space="preserve">8.04</t>
    </r>
    <r>
      <rPr>
        <sz val="10"/>
        <color rgb="FF000000"/>
        <rFont val="Noto Sans CJK SC"/>
        <family val="2"/>
      </rPr>
      <t xml:space="preserve">）。用牌價不用實收（以實收取代牌價使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恆等於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1.4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</si>
  <si>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層級對應（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取推理旗艦序列）</t>
    </r>
  </si>
  <si>
    <r>
      <rPr>
        <sz val="10"/>
        <color rgb="FF000000"/>
        <rFont val="Noto Sans CJK SC"/>
        <family val="2"/>
      </rPr>
      <t xml:space="preserve">牌價本身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；層級對應 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</si>
  <si>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顯示用；機隊口徑見 </t>
    </r>
    <r>
      <rPr>
        <sz val="10"/>
        <color rgb="FF000000"/>
        <rFont val="Arial"/>
        <family val="0"/>
        <charset val="1"/>
      </rPr>
      <t xml:space="preserve">L1_PriceFleet25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</si>
  <si>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年度牌價指數與機隊口徑單價（牌價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加權，</t>
    </r>
    <r>
      <rPr>
        <sz val="9"/>
        <color rgb="FF595959"/>
        <rFont val="Arial"/>
        <family val="0"/>
        <charset val="1"/>
      </rPr>
      <t xml:space="preserve">Derived</t>
    </r>
    <r>
      <rPr>
        <sz val="9"/>
        <color rgb="FF595959"/>
        <rFont val="Noto Sans CJK SC"/>
        <family val="2"/>
      </rPr>
      <t xml:space="preserve">）</t>
    </r>
  </si>
  <si>
    <t xml:space="preserve">L1_PriceFleet25</t>
  </si>
  <si>
    <r>
      <rPr>
        <sz val="10"/>
        <color rgb="FF000000"/>
        <rFont val="Noto Sans CJK SC"/>
        <family val="2"/>
      </rPr>
      <t xml:space="preserve">機隊口徑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混合有效單價（可達層級重新正規化；世代間以付費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占比加權）</t>
    </r>
  </si>
  <si>
    <r>
      <rPr>
        <sz val="10"/>
        <color rgb="FF000000"/>
        <rFont val="Arial"/>
        <family val="0"/>
        <charset val="1"/>
      </rPr>
      <t xml:space="preserve">OpenAI 2025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</si>
  <si>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層級單價低端／高端</t>
    </r>
  </si>
  <si>
    <r>
      <rPr>
        <sz val="10"/>
        <color rgb="FF000000"/>
        <rFont val="Noto Sans CJK SC"/>
        <family val="2"/>
      </rPr>
      <t xml:space="preserve">與機隊付費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）：僅納入可達層級（</t>
    </r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起基準下全層級可達；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以前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欄排除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</si>
  <si>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層級單價、世代組合、可達層級</t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</si>
  <si>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層級單價：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</si>
  <si>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</t>
    </r>
  </si>
  <si>
    <t xml:space="preserve">L1_FleetBreakeven2025</t>
  </si>
  <si>
    <r>
      <rPr>
        <sz val="10"/>
        <color rgb="FF000000"/>
        <rFont val="Noto Sans CJK SC"/>
        <family val="2"/>
      </rPr>
      <t xml:space="preserve">機隊損益兩平乘積（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機隊口徑）＝機隊持有成本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</si>
  <si>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AL_Mix*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）加權；營收用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</si>
  <si>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＝低成本欄、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＝高成本欄（營收不隨成本欄變）</t>
    </r>
  </si>
  <si>
    <r>
      <rPr>
        <sz val="10"/>
        <color rgb="FF000000"/>
        <rFont val="Noto Sans CJK SC"/>
        <family val="2"/>
      </rPr>
      <t xml:space="preserve">令機隊營收＝持有成本所需的「利用率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讀它。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截面（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比對的恆等式）</t>
    </r>
  </si>
  <si>
    <r>
      <rPr>
        <sz val="10"/>
        <color rgb="FF000000"/>
        <rFont val="Noto Sans CJK SC"/>
        <family val="2"/>
      </rPr>
      <t xml:space="preserve">持有成本（機架價格、折舊年限、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）、世代組合、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</t>
    </r>
  </si>
  <si>
    <r>
      <rPr>
        <sz val="10"/>
        <color rgb="FF000000"/>
        <rFont val="Noto Sans CJK SC"/>
        <family val="2"/>
      </rPr>
      <t xml:space="preserve">世代組合：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單價：</t>
    </r>
    <r>
      <rPr>
        <sz val="10"/>
        <color rgb="FF000000"/>
        <rFont val="Arial"/>
        <family val="0"/>
        <charset val="1"/>
      </rPr>
      <t xml:space="preserve">Derived</t>
    </r>
  </si>
  <si>
    <r>
      <rPr>
        <sz val="10"/>
        <color rgb="FF000000"/>
        <rFont val="Noto Sans CJK SC"/>
        <family val="2"/>
      </rPr>
      <t xml:space="preserve">顯示用；所需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的中間量</t>
    </r>
  </si>
  <si>
    <t xml:space="preserve">L1_LReqFleet_VR200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</si>
  <si>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</t>
    </r>
  </si>
  <si>
    <r>
      <rPr>
        <sz val="10"/>
        <color rgb="FF000000"/>
        <rFont val="Arial"/>
        <family val="0"/>
        <charset val="1"/>
      </rPr>
      <t xml:space="preserve">L1_FleetBreakeven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牌價對照））；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值保留；</t>
    </r>
    <r>
      <rPr>
        <sz val="10"/>
        <color rgb="FF000000"/>
        <rFont val="Arial"/>
        <family val="0"/>
        <charset val="1"/>
      </rPr>
      <t xml:space="preserve">v8.0 L4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</si>
  <si>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取高端、高＝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取低端（同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</si>
  <si>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單價）對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：世代與年度混用，只作對照，不是回本判讀的主口徑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</si>
  <si>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損益兩平、機隊 </t>
    </r>
    <r>
      <rPr>
        <sz val="10"/>
        <color rgb="FF000000"/>
        <rFont val="Arial"/>
        <family val="0"/>
        <charset val="1"/>
      </rPr>
      <t xml:space="preserve">m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</si>
  <si>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L1_LReqFleet</t>
    </r>
  </si>
  <si>
    <t xml:space="preserve">L1_LReqFleet_Id</t>
  </si>
  <si>
    <r>
      <rPr>
        <sz val="10"/>
        <color rgb="FF000000"/>
        <rFont val="Noto Sans CJK SC"/>
        <family val="2"/>
      </rPr>
      <t xml:space="preserve">回本所需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（恆等式讀法）＝機隊持有成本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實收營收</t>
    </r>
  </si>
  <si>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109 </t>
    </r>
    <r>
      <rPr>
        <sz val="10"/>
        <color rgb="FF000000"/>
        <rFont val="Noto Sans CJK SC"/>
        <family val="2"/>
      </rPr>
      <t xml:space="preserve">列有效服務 </t>
    </r>
    <r>
      <rPr>
        <sz val="10"/>
        <color rgb="FF000000"/>
        <rFont val="Arial"/>
        <family val="0"/>
        <charset val="1"/>
      </rPr>
      <t xml:space="preserve">GW × Σ </t>
    </r>
    <r>
      <rPr>
        <sz val="10"/>
        <color rgb="FF000000"/>
        <rFont val="Noto Sans CJK SC"/>
        <family val="2"/>
      </rPr>
      <t xml:space="preserve">占比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持有成本）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；不經每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營收與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配對；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對照列（待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</si>
  <si>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r>
      <rPr>
        <sz val="10"/>
        <color rgb="FF000000"/>
        <rFont val="Noto Sans CJK SC"/>
        <family val="2"/>
      </rPr>
      <t xml:space="preserve">低＝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取低端、高＝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取高端</t>
    </r>
  </si>
  <si>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（字面口徑）並列：兩者都高於 </t>
    </r>
    <r>
      <rPr>
        <sz val="10"/>
        <color rgb="FF000000"/>
        <rFont val="Arial"/>
        <family val="0"/>
        <charset val="1"/>
      </rPr>
      <t xml:space="preserve">L_total </t>
    </r>
    <r>
      <rPr>
        <sz val="10"/>
        <color rgb="FF000000"/>
        <rFont val="Noto Sans CJK SC"/>
        <family val="2"/>
      </rPr>
      <t xml:space="preserve">基準時，回本判讀同向；差距來自每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營收（</t>
    </r>
    <r>
      <rPr>
        <sz val="10"/>
        <color rgb="FF000000"/>
        <rFont val="Arial"/>
        <family val="0"/>
        <charset val="1"/>
      </rPr>
      <t xml:space="preserve">IF_RevGWFleet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占比與實際利用率）與機隊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口徑不同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</si>
  <si>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、持有成本、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</si>
  <si>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Noto Sans CJK SC"/>
        <family val="2"/>
      </rPr>
      <t xml:space="preserve">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分母（計價倍數、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）</t>
    </r>
  </si>
  <si>
    <t xml:space="preserve">顯示用；口徑未決</t>
  </si>
  <si>
    <r>
      <rPr>
        <sz val="9"/>
        <color rgb="FF595959"/>
        <rFont val="Noto Sans CJK SC"/>
        <family val="2"/>
      </rPr>
      <t xml:space="preserve">機隊持有成本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實收營收：同一支出路線的恆等式讀法，不受容量口徑影響</t>
    </r>
  </si>
  <si>
    <t xml:space="preserve">L1_AstraExtTok_180B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</si>
  <si>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180B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</si>
  <si>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10"/>
        <color rgb="FF000000"/>
        <rFont val="Arial"/>
        <family val="0"/>
        <charset val="1"/>
      </rPr>
      <t xml:space="preserve">T tok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為叢集總算力（含後訓練，上限）；</t>
    </r>
    <r>
      <rPr>
        <sz val="10"/>
        <color rgb="FF000000"/>
        <rFont val="Arial"/>
        <family val="0"/>
        <charset val="1"/>
      </rPr>
      <t xml:space="preserve">v8.0 D14</t>
    </r>
  </si>
  <si>
    <r>
      <rPr>
        <sz val="10"/>
        <color rgb="FF000000"/>
        <rFont val="Noto Sans CJK SC"/>
        <family val="2"/>
      </rPr>
      <t xml:space="preserve">低／高＝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區間低端／高端（</t>
    </r>
    <r>
      <rPr>
        <sz val="10"/>
        <color rgb="FF000000"/>
        <rFont val="Arial"/>
        <family val="0"/>
        <charset val="1"/>
      </rPr>
      <t xml:space="preserve">SRC_MOD_055_Lo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</si>
  <si>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差距分配到參數、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或後訓練，不在本段決定；基準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不變。對照 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基準預訓練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</si>
  <si>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Noto Sans CJK SC"/>
        <family val="2"/>
      </rPr>
      <t xml:space="preserve">啟用參數情境（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</si>
  <si>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：硬體推估，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級、中立</t>
    </r>
  </si>
  <si>
    <r>
      <rPr>
        <sz val="9"/>
        <color rgb="FF595959"/>
        <rFont val="Arial"/>
        <family val="0"/>
        <charset val="1"/>
      </rPr>
      <t xml:space="preserve">Epoch 1.0e27 FLOP 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</t>
    </r>
    <r>
      <rPr>
        <sz val="9"/>
        <color rgb="FF595959"/>
        <rFont val="Noto Sans CJK SC"/>
        <family val="2"/>
      </rPr>
      <t xml:space="preserve">啟用參數）：由外部 </t>
    </r>
    <r>
      <rPr>
        <sz val="9"/>
        <color rgb="FF595959"/>
        <rFont val="Arial"/>
        <family val="0"/>
        <charset val="1"/>
      </rPr>
      <t xml:space="preserve">FLOP </t>
    </r>
    <r>
      <rPr>
        <sz val="9"/>
        <color rgb="FF595959"/>
        <rFont val="Noto Sans CJK SC"/>
        <family val="2"/>
      </rPr>
      <t xml:space="preserve">反推隱含 </t>
    </r>
    <r>
      <rPr>
        <sz val="9"/>
        <color rgb="FF595959"/>
        <rFont val="Arial"/>
        <family val="0"/>
        <charset val="1"/>
      </rPr>
      <t xml:space="preserve">token</t>
    </r>
    <r>
      <rPr>
        <sz val="9"/>
        <color rgb="FF595959"/>
        <rFont val="Noto Sans CJK SC"/>
        <family val="2"/>
      </rPr>
      <t xml:space="preserve">（情境，不進計算）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</si>
  <si>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O108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</si>
  <si>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L1_AstraExtTok_400B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</si>
  <si>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</si>
  <si>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O109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</si>
  <si>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L1_AstraExtTok_800B</t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</si>
  <si>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全算為預訓練時的隱含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（啟用 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L1_PretrainFLOP_Astra_Ext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 × </t>
    </r>
    <r>
      <rPr>
        <sz val="10"/>
        <color rgb="FF000000"/>
        <rFont val="Noto Sans CJK SC"/>
        <family val="2"/>
      </rPr>
      <t xml:space="preserve">啟用參數）</t>
    </r>
  </si>
  <si>
    <r>
      <rPr>
        <sz val="9"/>
        <color rgb="FF595959"/>
        <rFont val="Noto Sans CJK SC"/>
        <family val="2"/>
      </rPr>
      <t xml:space="preserve">顯示用：</t>
    </r>
    <r>
      <rPr>
        <sz val="9"/>
        <color rgb="FF595959"/>
        <rFont val="Arial"/>
        <family val="0"/>
        <charset val="1"/>
      </rPr>
      <t xml:space="preserve">O110</t>
    </r>
    <r>
      <rPr>
        <sz val="9"/>
        <color rgb="FF595959"/>
        <rFont val="Noto Sans CJK SC"/>
        <family val="2"/>
      </rPr>
      <t xml:space="preserve">（對照欄：推算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外部）</t>
    </r>
  </si>
  <si>
    <t xml:space="preserve">L1_GapUnexplained</t>
  </si>
  <si>
    <r>
      <rPr>
        <sz val="10"/>
        <color rgb="FF000000"/>
        <rFont val="Noto Sans CJK SC"/>
        <family val="2"/>
      </rPr>
      <t xml:space="preserve">落差分解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：未解釋＝實際缺口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）；本分解不是定義式，未解釋部分的來源不可由本表得知</t>
    </r>
  </si>
  <si>
    <r>
      <rPr>
        <sz val="10"/>
        <color rgb="FF000000"/>
        <rFont val="Arial"/>
        <family val="0"/>
        <charset val="1"/>
      </rPr>
      <t xml:space="preserve">v10.0 N2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）：已解釋／未解釋；四項口徑差之積對實際缺口的剩餘倍數</t>
    </r>
  </si>
  <si>
    <r>
      <rPr>
        <sz val="10"/>
        <color rgb="FF000000"/>
        <rFont val="Noto Sans CJK SC"/>
        <family val="2"/>
      </rPr>
      <t xml:space="preserve">低＝實際缺口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四項乘積高端、高＝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低端（實際缺口 </t>
    </r>
    <r>
      <rPr>
        <sz val="10"/>
        <color rgb="FF000000"/>
        <rFont val="Arial"/>
        <family val="0"/>
        <charset val="1"/>
      </rPr>
      <t xml:space="preserve">L1_ScaleServe2000 </t>
    </r>
    <r>
      <rPr>
        <sz val="10"/>
        <color rgb="FF000000"/>
        <rFont val="Noto Sans CJK SC"/>
        <family val="2"/>
      </rPr>
      <t xml:space="preserve">無區間）</t>
    </r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</si>
  <si>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＝四項完全解釋；大於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＝四項只解釋缺口的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該值（基準約 </t>
    </r>
    <r>
      <rPr>
        <sz val="10"/>
        <color rgb="FF000000"/>
        <rFont val="Arial"/>
        <family val="0"/>
        <charset val="1"/>
      </rPr>
      <t xml:space="preserve">3.7 </t>
    </r>
    <r>
      <rPr>
        <sz val="10"/>
        <color rgb="FF000000"/>
        <rFont val="Noto Sans CJK SC"/>
        <family val="2"/>
      </rPr>
      <t xml:space="preserve">倍：四項只解釋約 </t>
    </r>
    <r>
      <rPr>
        <sz val="10"/>
        <color rgb="FF000000"/>
        <rFont val="Arial"/>
        <family val="0"/>
        <charset val="1"/>
      </rPr>
      <t xml:space="preserve">27%</t>
    </r>
    <r>
      <rPr>
        <sz val="10"/>
        <color rgb="FF000000"/>
        <rFont val="Noto Sans CJK SC"/>
        <family val="2"/>
      </rPr>
      <t xml:space="preserve">）；剩餘部分來源不明，是未解釋（不是已查明的原因）</t>
    </r>
  </si>
  <si>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</si>
  <si>
    <r>
      <rPr>
        <sz val="10"/>
        <color rgb="FF000000"/>
        <rFont val="Noto Sans CJK SC"/>
        <family val="2"/>
      </rPr>
      <t xml:space="preserve">同 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分母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</si>
  <si>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本頁（第 </t>
    </r>
    <r>
      <rPr>
        <sz val="10"/>
        <color rgb="FF000000"/>
        <rFont val="Arial"/>
        <family val="0"/>
        <charset val="1"/>
      </rPr>
      <t xml:space="preserve">70–74 </t>
    </r>
    <r>
      <rPr>
        <sz val="10"/>
        <color rgb="FF000000"/>
        <rFont val="Noto Sans CJK SC"/>
        <family val="2"/>
      </rPr>
      <t xml:space="preserve">列分解的並列）</t>
    </r>
  </si>
  <si>
    <r>
      <rPr>
        <sz val="9"/>
        <color rgb="FF595959"/>
        <rFont val="Noto Sans CJK SC"/>
        <family val="2"/>
      </rPr>
      <t xml:space="preserve">實際缺口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四項乘積：四項之外未被解釋的倍數（本分解不是定義式）</t>
    </r>
  </si>
  <si>
    <r>
      <rPr>
        <b val="true"/>
        <sz val="13"/>
        <rFont val="Arial"/>
        <family val="0"/>
        <charset val="1"/>
      </rPr>
      <t xml:space="preserve">Load_Bearing — </t>
    </r>
    <r>
      <rPr>
        <b val="true"/>
        <sz val="13"/>
        <rFont val="Noto Sans CJK SC"/>
        <family val="2"/>
      </rPr>
      <t xml:space="preserve">高段（</t>
    </r>
    <r>
      <rPr>
        <b val="true"/>
        <sz val="13"/>
        <rFont val="Arial"/>
        <family val="0"/>
        <charset val="1"/>
      </rPr>
      <t xml:space="preserve">CC </t>
    </r>
    <r>
      <rPr>
        <b val="true"/>
        <sz val="13"/>
        <rFont val="Noto Sans CJK SC"/>
        <family val="2"/>
      </rPr>
      <t xml:space="preserve">敏感度分段＝高）的 </t>
    </r>
    <r>
      <rPr>
        <b val="true"/>
        <sz val="13"/>
        <rFont val="Arial"/>
        <family val="0"/>
        <charset val="1"/>
      </rPr>
      <t xml:space="preserve">Assumed</t>
    </r>
    <r>
      <rPr>
        <b val="true"/>
        <sz val="13"/>
        <rFont val="Noto Sans CJK SC"/>
        <family val="2"/>
      </rPr>
      <t xml:space="preserve">／</t>
    </r>
    <r>
      <rPr>
        <b val="true"/>
        <sz val="13"/>
        <rFont val="Arial"/>
        <family val="0"/>
        <charset val="1"/>
      </rPr>
      <t xml:space="preserve">Analogy </t>
    </r>
    <r>
      <rPr>
        <b val="true"/>
        <sz val="13"/>
        <rFont val="Noto Sans CJK SC"/>
        <family val="2"/>
      </rPr>
      <t xml:space="preserve">輸入格清單（</t>
    </r>
    <r>
      <rPr>
        <b val="true"/>
        <sz val="13"/>
        <rFont val="Arial"/>
        <family val="0"/>
        <charset val="1"/>
      </rPr>
      <t xml:space="preserve">X14 (h)</t>
    </r>
    <r>
      <rPr>
        <b val="true"/>
        <sz val="13"/>
        <rFont val="Noto Sans CJK SC"/>
        <family val="2"/>
      </rPr>
      <t xml:space="preserve">，</t>
    </r>
    <r>
      <rPr>
        <b val="true"/>
        <sz val="13"/>
        <rFont val="Arial"/>
        <family val="0"/>
        <charset val="1"/>
      </rPr>
      <t xml:space="preserve">v5.29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</si>
  <si>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每次重建：</t>
    </r>
    <r>
      <rPr>
        <sz val="9"/>
        <color rgb="FF595959"/>
        <rFont val="Arial"/>
        <family val="0"/>
        <charset val="1"/>
      </rPr>
      <t xml:space="preserve">engine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pycel</t>
    </r>
    <r>
      <rPr>
        <sz val="9"/>
        <color rgb="FF595959"/>
        <rFont val="Noto Sans CJK SC"/>
        <family val="2"/>
      </rPr>
      <t xml:space="preserve">）不支援 </t>
    </r>
    <r>
      <rPr>
        <sz val="9"/>
        <color rgb="FF595959"/>
        <rFont val="Arial"/>
        <family val="0"/>
        <charset val="1"/>
      </rPr>
      <t xml:space="preserve">FILTER</t>
    </r>
    <r>
      <rPr>
        <sz val="9"/>
        <color rgb="FF595959"/>
        <rFont val="Noto Sans CJK SC"/>
        <family val="2"/>
      </rPr>
      <t xml:space="preserve">，故列的篩選在建置時靜態展開（條件：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＝高 且 </t>
    </r>
    <r>
      <rPr>
        <sz val="9"/>
        <color rgb="FF595959"/>
        <rFont val="Arial"/>
        <family val="0"/>
        <charset val="1"/>
      </rPr>
      <t xml:space="preserve">F∈{Assumed, Analogy}</t>
    </r>
    <r>
      <rPr>
        <sz val="9"/>
        <color rgb="FF595959"/>
        <rFont val="Noto Sans CJK SC"/>
        <family val="2"/>
      </rPr>
      <t xml:space="preserve">），各欄以公式即時連結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判斷欄改動後須重建本頁（</t>
    </r>
    <r>
      <rPr>
        <sz val="9"/>
        <color rgb="FF595959"/>
        <rFont val="Arial"/>
        <family val="0"/>
        <charset val="1"/>
      </rPr>
      <t xml:space="preserve">Checks K5 </t>
    </r>
    <r>
      <rPr>
        <sz val="9"/>
        <color rgb="FF595959"/>
        <rFont val="Noto Sans CJK SC"/>
        <family val="2"/>
      </rPr>
      <t xml:space="preserve">比對即時篩選數與本頁列數）。反轉門檻欄（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）以公式讀 </t>
    </r>
    <r>
      <rPr>
        <sz val="9"/>
        <color rgb="FF595959"/>
        <rFont val="Arial"/>
        <family val="0"/>
        <charset val="1"/>
      </rPr>
      <t xml:space="preserve">Gov_Map AK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擁有的判斷欄，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項），本版空白、待 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端以 </t>
    </r>
    <r>
      <rPr>
        <sz val="9"/>
        <color rgb="FF595959"/>
        <rFont val="Arial"/>
        <family val="0"/>
        <charset val="1"/>
      </rPr>
      <t xml:space="preserve">Sens_* </t>
    </r>
    <r>
      <rPr>
        <sz val="9"/>
        <color rgb="FF595959"/>
        <rFont val="Noto Sans CJK SC"/>
        <family val="2"/>
      </rPr>
      <t xml:space="preserve">反算填入。</t>
    </r>
  </si>
  <si>
    <r>
      <rPr>
        <sz val="9"/>
        <color rgb="FF595959"/>
        <rFont val="Noto Sans CJK SC"/>
        <family val="2"/>
      </rPr>
      <t xml:space="preserve">建置日（本頁靜態展開的日期；</t>
    </r>
    <r>
      <rPr>
        <sz val="9"/>
        <color rgb="FF595959"/>
        <rFont val="Arial"/>
        <family val="0"/>
        <charset val="1"/>
      </rPr>
      <t xml:space="preserve">K6 </t>
    </r>
    <r>
      <rPr>
        <sz val="9"/>
        <color rgb="FF595959"/>
        <rFont val="Noto Sans CJK SC"/>
        <family val="2"/>
      </rPr>
      <t xml:space="preserve">以此計算審查日距今天數）</t>
    </r>
  </si>
  <si>
    <t xml:space="preserve">2026-10-08</t>
  </si>
  <si>
    <t xml:space="preserve">GM_ID</t>
  </si>
  <si>
    <t xml:space="preserve">格</t>
  </si>
  <si>
    <t xml:space="preserve">列標籤</t>
  </si>
  <si>
    <t xml:space="preserve">類別</t>
  </si>
  <si>
    <r>
      <rPr>
        <b val="true"/>
        <sz val="10"/>
        <rFont val="Arial"/>
        <family val="0"/>
        <charset val="1"/>
      </rPr>
      <t xml:space="preserve">CC </t>
    </r>
    <r>
      <rPr>
        <b val="true"/>
        <sz val="10"/>
        <rFont val="Noto Sans CJK SC"/>
        <family val="2"/>
      </rPr>
      <t xml:space="preserve">敏感度分段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</si>
  <si>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等級</t>
    </r>
  </si>
  <si>
    <r>
      <rPr>
        <b val="true"/>
        <sz val="10"/>
        <rFont val="Noto Sans CJK SC"/>
        <family val="2"/>
      </rPr>
      <t xml:space="preserve">影響的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反查，靜態）</t>
    </r>
  </si>
  <si>
    <r>
      <rPr>
        <b val="true"/>
        <sz val="10"/>
        <rFont val="Noto Sans CJK SC"/>
        <family val="2"/>
      </rPr>
      <t xml:space="preserve">反轉門檻（公式讀 </t>
    </r>
    <r>
      <rPr>
        <b val="true"/>
        <sz val="10"/>
        <rFont val="Arial"/>
        <family val="0"/>
        <charset val="1"/>
      </rPr>
      <t xml:space="preserve">Gov_Map AK </t>
    </r>
    <r>
      <rPr>
        <b val="true"/>
        <sz val="10"/>
        <rFont val="Noto Sans CJK SC"/>
        <family val="2"/>
      </rPr>
      <t xml:space="preserve">欄；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擁有，待 </t>
    </r>
    <r>
      <rPr>
        <b val="true"/>
        <sz val="10"/>
        <rFont val="Arial"/>
        <family val="0"/>
        <charset val="1"/>
      </rPr>
      <t xml:space="preserve">chat </t>
    </r>
    <r>
      <rPr>
        <b val="true"/>
        <sz val="10"/>
        <rFont val="Noto Sans CJK SC"/>
        <family val="2"/>
      </rPr>
      <t xml:space="preserve">端填）</t>
    </r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</si>
  <si>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SRC</t>
    </r>
    <r>
      <rPr>
        <b val="true"/>
        <sz val="10"/>
        <rFont val="Noto Sans CJK SC"/>
        <family val="2"/>
      </rPr>
      <t xml:space="preserve">）</t>
    </r>
  </si>
  <si>
    <t xml:space="preserve">更新方式</t>
  </si>
  <si>
    <t xml:space="preserve">審查日距建置日（天；公式）</t>
  </si>
  <si>
    <r>
      <rPr>
        <sz val="9"/>
        <color rgb="FF595959"/>
        <rFont val="Arial"/>
        <family val="0"/>
        <charset val="1"/>
      </rPr>
      <t xml:space="preserve">L1_CapexGW_Hopper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L1_HoldEconGW_VR200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L1_GPUhr_GB200_vsCW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L1_GPUhr_GB300_vsBE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L1_HoldEconMW_VR200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L1_CapexITMW_GB300_vsIREN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</si>
  <si>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GM094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</si>
  <si>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</si>
  <si>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</si>
  <si>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L1_AstraExtTok_180B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</si>
  <si>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</si>
  <si>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</si>
  <si>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Arch!E8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GM205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</si>
  <si>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</si>
  <si>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</si>
  <si>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Serving!C18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GM237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</si>
  <si>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L1_CostDec_Luna_VR200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L1_CostDec_Luna_GB300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L1_CostDec_Sol_GB300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L1_CostDec_Astra_GB300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L1_RevGW_Luna_VR200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L1_RevGW_Fleet_VR200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L1_Ans4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L1_Ans7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L1_TokMW_Gen_ratio_VR200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L1_ScaleServe2000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L1_PriceRho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L1_PriceFleet25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</si>
  <si>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</si>
  <si>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</si>
  <si>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</si>
  <si>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</si>
  <si>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Serving!D24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</si>
  <si>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Serving!E24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</si>
  <si>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</si>
  <si>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</si>
  <si>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</si>
  <si>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</si>
  <si>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</si>
  <si>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GM255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</si>
  <si>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</si>
  <si>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GM275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</si>
  <si>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Workload!C11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</si>
  <si>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Workload!D11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</si>
  <si>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Workload!E11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</si>
  <si>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Workload!F11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</si>
  <si>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GM285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</si>
  <si>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Workload!G12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GM290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</si>
  <si>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Calib!C5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GM304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</si>
  <si>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</si>
  <si>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</si>
  <si>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</si>
  <si>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GM345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</si>
  <si>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Calib!D68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</si>
  <si>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Calib!E68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</si>
  <si>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GM349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</si>
  <si>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Calib!G68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</si>
  <si>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Calib!F69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GM354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</si>
  <si>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Cap_In!D28:E28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</si>
  <si>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Cap_In!D29:E29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</si>
  <si>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L1_HarVsGen_ReasonChat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L1_HarVsGen_SingleAgent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L1_HarVsGen_MultiAgent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L1_HarVsGen_Coding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</si>
  <si>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Cap_In!C36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GM459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</si>
  <si>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</si>
  <si>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GM519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</si>
  <si>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</si>
  <si>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</si>
  <si>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Train_In!C13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GM526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</si>
  <si>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Train_In!C21:G21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</si>
  <si>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L1_AstraScale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</si>
  <si>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GM531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</si>
  <si>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L1_Ans5_GM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L1_Ans5_FullMargin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L1_Ans6_GPUh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</si>
  <si>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Train_In!C34:E34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GM540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</si>
  <si>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L1_Ans3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L1_ScaleRD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</si>
  <si>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</si>
  <si>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GM578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</si>
  <si>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GM580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</si>
  <si>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L1_Ans1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L1_Ans2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L1_ExtServeGW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L1_ExtFreeShare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L1_ExtDaily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L1_ScaleServe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L1_GapPrompt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L1_MSub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L1_MSeat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L1_PriceRealDemand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L1_GenPxThr_Rev_VR200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L1_GenPxThr_Pay_VR200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L1_FleetBreakeven2025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L1_LReqFleet_Id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</si>
  <si>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Alloc_In!C15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GM586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</si>
  <si>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L1_GapUtil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L1_GapProduct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L1_TokPerPromptClose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L1_PriceRealFleet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L1_PriceReqBE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L1_FleetProdRatio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L1_MFleet_Px2026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L1_LReqFleet_VR200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L1_GapUnexplained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</si>
  <si>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Serving!C28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GM592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</si>
  <si>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Train_In!C34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GM652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</si>
  <si>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Train_In!D34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GM653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</si>
  <si>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Train_In!E34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GM654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</si>
  <si>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Spec_Rack!C44:G44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GM656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</si>
  <si>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Spec_Rack!C45:G45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GM657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</si>
  <si>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sz val="9"/>
        <color rgb="FF595959"/>
        <rFont val="Noto Sans CJK SC"/>
        <family val="2"/>
      </rPr>
      <t xml:space="preserve">改 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藍字格 </t>
    </r>
    <r>
      <rPr>
        <sz val="9"/>
        <color rgb="FF595959"/>
        <rFont val="Arial"/>
        <family val="0"/>
        <charset val="1"/>
      </rPr>
      <t xml:space="preserve">Spec_Rack!C46:G46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Gov_Map GM658 </t>
    </r>
    <r>
      <rPr>
        <sz val="9"/>
        <color rgb="FF595959"/>
        <rFont val="Noto Sans CJK SC"/>
        <family val="2"/>
      </rPr>
      <t xml:space="preserve">的區間、理由同步）；不改 </t>
    </r>
    <r>
      <rPr>
        <sz val="9"/>
        <color rgb="FF595959"/>
        <rFont val="Arial"/>
        <family val="0"/>
        <charset val="1"/>
      </rPr>
      <t xml:space="preserve">builder</t>
    </r>
  </si>
  <si>
    <r>
      <rPr>
        <b val="true"/>
        <sz val="10"/>
        <rFont val="Noto Sans CJK SC"/>
        <family val="2"/>
      </rPr>
      <t xml:space="preserve">本頁列數（</t>
    </r>
    <r>
      <rPr>
        <b val="true"/>
        <sz val="10"/>
        <rFont val="Arial"/>
        <family val="0"/>
        <charset val="1"/>
      </rPr>
      <t xml:space="preserve">builder </t>
    </r>
    <r>
      <rPr>
        <b val="true"/>
        <sz val="10"/>
        <rFont val="Noto Sans CJK SC"/>
        <family val="2"/>
      </rPr>
      <t xml:space="preserve">靜態展開）：</t>
    </r>
    <r>
      <rPr>
        <b val="true"/>
        <sz val="10"/>
        <rFont val="Arial"/>
        <family val="0"/>
        <charset val="1"/>
      </rPr>
      <t xml:space="preserve">55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Gov_Map </t>
    </r>
    <r>
      <rPr>
        <b val="true"/>
        <sz val="10"/>
        <rFont val="Noto Sans CJK SC"/>
        <family val="2"/>
      </rPr>
      <t xml:space="preserve">即時篩選數（應相等，否則重建）：</t>
    </r>
  </si>
  <si>
    <r>
      <rPr>
        <b val="true"/>
        <sz val="13"/>
        <rFont val="Arial"/>
        <family val="0"/>
        <charset val="1"/>
      </rPr>
      <t xml:space="preserve">Energy — </t>
    </r>
    <r>
      <rPr>
        <b val="true"/>
        <sz val="13"/>
        <rFont val="Noto Sans CJK SC"/>
        <family val="2"/>
      </rPr>
      <t xml:space="preserve">逐步能量下限與閉合檢查</t>
    </r>
  </si>
  <si>
    <r>
      <rPr>
        <sz val="9"/>
        <color rgb="FF595959"/>
        <rFont val="Noto Sans CJK SC"/>
        <family val="2"/>
      </rPr>
      <t xml:space="preserve">物理下限＝</t>
    </r>
    <r>
      <rPr>
        <sz val="9"/>
        <color rgb="FF595959"/>
        <rFont val="Arial"/>
        <family val="0"/>
        <charset val="1"/>
      </rPr>
      <t xml:space="preserve">FLOPs × pJ/FLOP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HBM bytes × pJ/byte </t>
    </r>
    <r>
      <rPr>
        <sz val="9"/>
        <color rgb="FF595959"/>
        <rFont val="Noto Sans CJK SC"/>
        <family val="2"/>
      </rPr>
      <t xml:space="preserve">＋ </t>
    </r>
    <r>
      <rPr>
        <sz val="9"/>
        <color rgb="FF595959"/>
        <rFont val="Arial"/>
        <family val="0"/>
        <charset val="1"/>
      </rPr>
      <t xml:space="preserve">EP bytes × pJ/byte</t>
    </r>
    <r>
      <rPr>
        <sz val="9"/>
        <color rgb="FF595959"/>
        <rFont val="Noto Sans CJK SC"/>
        <family val="2"/>
      </rPr>
      <t xml:space="preserve">；閉合：下限功率 ≤ 機架平均用電（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輸入 </t>
    </r>
    <r>
      <rPr>
        <sz val="9"/>
        <color rgb="FF595959"/>
        <rFont val="Arial"/>
        <family val="0"/>
        <charset val="1"/>
      </rPr>
      <t xml:space="preserve">Inputs!E10</t>
    </r>
    <r>
      <rPr>
        <sz val="9"/>
        <color rgb="FF595959"/>
        <rFont val="Noto Sans CJK SC"/>
        <family val="2"/>
      </rPr>
      <t xml:space="preserve">）</t>
    </r>
  </si>
  <si>
    <t xml:space="preserve">輸入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</si>
  <si>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功率中可歸於運算的比例</t>
    </r>
  </si>
  <si>
    <r>
      <rPr>
        <sz val="9"/>
        <color rgb="FF595959"/>
        <rFont val="Arial"/>
        <family val="0"/>
        <charset val="1"/>
      </rPr>
      <t xml:space="preserve">Assumed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pJ/FLOP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功率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峰值（滿載上限口徑），區間 </t>
    </r>
    <r>
      <rPr>
        <sz val="9"/>
        <color rgb="FF595959"/>
        <rFont val="Arial"/>
        <family val="0"/>
        <charset val="1"/>
      </rPr>
      <t xml:space="preserve">0.4–0.8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</si>
  <si>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NVLink</t>
    </r>
  </si>
  <si>
    <t xml:space="preserve">pJ/byte</t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</si>
  <si>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SerDes</t>
    </r>
    <r>
      <rPr>
        <sz val="9"/>
        <color rgb="FF595959"/>
        <rFont val="Noto Sans CJK SC"/>
        <family val="2"/>
      </rPr>
      <t xml:space="preserve">＋交換約 </t>
    </r>
    <r>
      <rPr>
        <sz val="9"/>
        <color rgb="FF595959"/>
        <rFont val="Arial"/>
        <family val="0"/>
        <charset val="1"/>
      </rPr>
      <t xml:space="preserve">1–2 pJ/bit</t>
    </r>
    <r>
      <rPr>
        <sz val="9"/>
        <color rgb="FF595959"/>
        <rFont val="Noto Sans CJK SC"/>
        <family val="2"/>
      </rPr>
      <t xml:space="preserve">；區間 </t>
    </r>
    <r>
      <rPr>
        <sz val="9"/>
        <color rgb="FF595959"/>
        <rFont val="Arial"/>
        <family val="0"/>
        <charset val="1"/>
      </rPr>
      <t xml:space="preserve">5–20</t>
    </r>
  </si>
  <si>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通訊能量 </t>
    </r>
    <r>
      <rPr>
        <sz val="10"/>
        <color rgb="FF000000"/>
        <rFont val="Arial"/>
        <family val="0"/>
        <charset val="1"/>
      </rPr>
      <t xml:space="preserve">IB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</si>
  <si>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：含光模組與網卡；區間 </t>
    </r>
    <r>
      <rPr>
        <sz val="9"/>
        <color rgb="FF595959"/>
        <rFont val="Arial"/>
        <family val="0"/>
        <charset val="1"/>
      </rPr>
      <t xml:space="preserve">20–80</t>
    </r>
  </si>
  <si>
    <r>
      <rPr>
        <b val="true"/>
        <sz val="13"/>
        <rFont val="Arial"/>
        <family val="0"/>
        <charset val="1"/>
      </rPr>
      <t xml:space="preserve">NonNV — </t>
    </r>
    <r>
      <rPr>
        <b val="true"/>
        <sz val="13"/>
        <rFont val="Noto Sans CJK SC"/>
        <family val="2"/>
      </rPr>
      <t xml:space="preserve">非 </t>
    </r>
    <r>
      <rPr>
        <b val="true"/>
        <sz val="13"/>
        <rFont val="Arial"/>
        <family val="0"/>
        <charset val="1"/>
      </rPr>
      <t xml:space="preserve">NVIDIA </t>
    </r>
    <r>
      <rPr>
        <b val="true"/>
        <sz val="13"/>
        <rFont val="Noto Sans CJK SC"/>
        <family val="2"/>
      </rPr>
      <t xml:space="preserve">世代比例列（</t>
    </r>
    <r>
      <rPr>
        <b val="true"/>
        <sz val="13"/>
        <rFont val="Arial"/>
        <family val="0"/>
        <charset val="1"/>
      </rPr>
      <t xml:space="preserve">D2</t>
    </r>
    <r>
      <rPr>
        <b val="true"/>
        <sz val="13"/>
        <rFont val="Noto Sans CJK SC"/>
        <family val="2"/>
      </rPr>
      <t xml:space="preserve">；全部 </t>
    </r>
    <r>
      <rPr>
        <b val="true"/>
        <sz val="13"/>
        <rFont val="Arial"/>
        <family val="0"/>
        <charset val="1"/>
      </rPr>
      <t xml:space="preserve">[Assumed]</t>
    </r>
    <r>
      <rPr>
        <b val="true"/>
        <sz val="13"/>
        <rFont val="Noto Sans CJK SC"/>
        <family val="2"/>
      </rPr>
      <t xml:space="preserve">，以區間表示） ｜未接線（</t>
    </r>
    <r>
      <rPr>
        <b val="true"/>
        <sz val="13"/>
        <rFont val="Arial"/>
        <family val="0"/>
        <charset val="1"/>
      </rPr>
      <t xml:space="preserve">MAG</t>
    </r>
    <r>
      <rPr>
        <b val="true"/>
        <sz val="13"/>
        <rFont val="Noto Sans CJK SC"/>
        <family val="2"/>
      </rPr>
      <t xml:space="preserve">、智譜、</t>
    </r>
    <r>
      <rPr>
        <b val="true"/>
        <sz val="13"/>
        <rFont val="Arial"/>
        <family val="0"/>
        <charset val="1"/>
      </rPr>
      <t xml:space="preserve">AI </t>
    </r>
    <r>
      <rPr>
        <b val="true"/>
        <sz val="13"/>
        <rFont val="Noto Sans CJK SC"/>
        <family val="2"/>
      </rPr>
      <t xml:space="preserve">半導體待用；目前不進任何輸出）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</si>
  <si>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產出比與每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持有成本比皆相對 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（同層級、同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）。持有成本比預設接近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Block 1 </t>
    </r>
    <r>
      <rPr>
        <sz val="9"/>
        <color rgb="FF595959"/>
        <rFont val="Noto Sans CJK SC"/>
        <family val="2"/>
      </rPr>
      <t xml:space="preserve">結論：每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持有成本幾乎不隨世代改變</t>
    </r>
  </si>
  <si>
    <t xml:space="preserve">候選</t>
  </si>
  <si>
    <t xml:space="preserve">產出比 低</t>
  </si>
  <si>
    <t xml:space="preserve">產出比 基準</t>
  </si>
  <si>
    <t xml:space="preserve">產出比 高</t>
  </si>
  <si>
    <t xml:space="preserve">持有比 低</t>
  </si>
  <si>
    <t xml:space="preserve">持有比 基準</t>
  </si>
  <si>
    <t xml:space="preserve">持有比 高</t>
  </si>
  <si>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成本比 基準</t>
    </r>
  </si>
  <si>
    <t xml:space="preserve">最佳角落</t>
  </si>
  <si>
    <t xml:space="preserve">最差角落</t>
  </si>
  <si>
    <r>
      <rPr>
        <sz val="10"/>
        <color rgb="FF000000"/>
        <rFont val="Arial"/>
        <family val="0"/>
        <charset val="1"/>
      </rPr>
      <t xml:space="preserve">AMD MI455X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Helios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</si>
  <si>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MI355X </t>
    </r>
    <r>
      <rPr>
        <sz val="9"/>
        <color rgb="FF595959"/>
        <rFont val="Noto Sans CJK SC"/>
        <family val="2"/>
      </rPr>
      <t xml:space="preserve">在 </t>
    </r>
    <r>
      <rPr>
        <sz val="9"/>
        <color rgb="FF595959"/>
        <rFont val="Arial"/>
        <family val="0"/>
        <charset val="1"/>
      </rPr>
      <t xml:space="preserve">V4-Pro </t>
    </r>
    <r>
      <rPr>
        <sz val="9"/>
        <color rgb="FF595959"/>
        <rFont val="Noto Sans CJK SC"/>
        <family val="2"/>
      </rPr>
      <t xml:space="preserve">上 </t>
    </r>
    <r>
      <rPr>
        <sz val="9"/>
        <color rgb="FF595959"/>
        <rFont val="Arial"/>
        <family val="0"/>
        <charset val="1"/>
      </rPr>
      <t xml:space="preserve">26 </t>
    </r>
    <r>
      <rPr>
        <sz val="9"/>
        <color rgb="FF595959"/>
        <rFont val="Noto Sans CJK SC"/>
        <family val="2"/>
      </rPr>
      <t xml:space="preserve">天內吞吐提升 </t>
    </r>
    <r>
      <rPr>
        <sz val="9"/>
        <color rgb="FF595959"/>
        <rFont val="Arial"/>
        <family val="0"/>
        <charset val="1"/>
      </rPr>
      <t xml:space="preserve">110 </t>
    </r>
    <r>
      <rPr>
        <sz val="9"/>
        <color rgb="FF595959"/>
        <rFont val="Noto Sans CJK SC"/>
        <family val="2"/>
      </rPr>
      <t xml:space="preserve">倍（</t>
    </r>
    <r>
      <rPr>
        <sz val="9"/>
        <color rgb="FF595959"/>
        <rFont val="Arial"/>
        <family val="0"/>
        <charset val="1"/>
      </rPr>
      <t xml:space="preserve">S20 </t>
    </r>
    <r>
      <rPr>
        <sz val="9"/>
        <color rgb="FF595959"/>
        <rFont val="Noto Sans CJK SC"/>
        <family val="2"/>
      </rPr>
      <t xml:space="preserve">所屬部落格），軟體成熟度為主要不確定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</si>
  <si>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B5:J5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</si>
  <si>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Google TPU v7 Ironwood</t>
  </si>
  <si>
    <t xml:space="preserve">自用為主，無公開同口徑實測</t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</si>
  <si>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B6:J6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</si>
  <si>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AWS Trainium3</t>
  </si>
  <si>
    <r>
      <rPr>
        <sz val="9"/>
        <color rgb="FF595959"/>
        <rFont val="Arial"/>
        <family val="0"/>
        <charset val="1"/>
      </rPr>
      <t xml:space="preserve">OpenAI v0.5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2GW Trainium </t>
    </r>
    <r>
      <rPr>
        <sz val="9"/>
        <color rgb="FF595959"/>
        <rFont val="Noto Sans CJK SC"/>
        <family val="2"/>
      </rPr>
      <t xml:space="preserve">合約為輸入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</si>
  <si>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B7:J7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</si>
  <si>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t xml:space="preserve">Cerebras WSE-3</t>
  </si>
  <si>
    <r>
      <rPr>
        <sz val="9"/>
        <color rgb="FF595959"/>
        <rFont val="Noto Sans CJK SC"/>
        <family val="2"/>
      </rPr>
      <t xml:space="preserve">高互動性利基；每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吞吐低、單用戶速度高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</si>
  <si>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B8:J8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</si>
  <si>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Broadcom </t>
    </r>
    <r>
      <rPr>
        <sz val="10"/>
        <color rgb="FF000000"/>
        <rFont val="Noto Sans CJK SC"/>
        <family val="2"/>
      </rPr>
      <t xml:space="preserve">客製</t>
    </r>
  </si>
  <si>
    <r>
      <rPr>
        <sz val="9"/>
        <color rgb="FF595959"/>
        <rFont val="Noto Sans CJK SC"/>
        <family val="2"/>
      </rPr>
      <t xml:space="preserve">無公開規格；沿用 </t>
    </r>
    <r>
      <rPr>
        <sz val="9"/>
        <color rgb="FF595959"/>
        <rFont val="Arial"/>
        <family val="0"/>
        <charset val="1"/>
      </rPr>
      <t xml:space="preserve">v0.5</t>
    </r>
    <r>
      <rPr>
        <sz val="9"/>
        <color rgb="FF595959"/>
        <rFont val="Noto Sans CJK SC"/>
        <family val="2"/>
      </rPr>
      <t xml:space="preserve">「自研／其他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0.4–1.0</t>
    </r>
    <r>
      <rPr>
        <sz val="9"/>
        <color rgb="FF595959"/>
        <rFont val="Noto Sans CJK SC"/>
        <family val="2"/>
      </rPr>
      <t xml:space="preserve">）」</t>
    </r>
  </si>
  <si>
    <r>
      <rPr>
        <sz val="9"/>
        <color rgb="FF595959"/>
        <rFont val="Noto Sans CJK SC"/>
        <family val="2"/>
      </rPr>
      <t xml:space="preserve">未接線：</t>
    </r>
    <r>
      <rPr>
        <sz val="9"/>
        <color rgb="FF595959"/>
        <rFont val="Arial"/>
        <family val="0"/>
        <charset val="1"/>
      </rPr>
      <t xml:space="preserve">B9:J9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</t>
    </r>
    <r>
      <rPr>
        <sz val="9"/>
        <color rgb="FF595959"/>
        <rFont val="Noto Sans CJK SC"/>
        <family val="2"/>
      </rPr>
      <t xml:space="preserve">、智譜、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半導體待用；目前不進任何輸出）</t>
    </r>
  </si>
  <si>
    <r>
      <rPr>
        <b val="true"/>
        <sz val="13"/>
        <rFont val="Arial"/>
        <family val="0"/>
        <charset val="1"/>
      </rPr>
      <t xml:space="preserve">Sensitivity — VR200 NVL72 </t>
    </r>
    <r>
      <rPr>
        <b val="true"/>
        <sz val="13"/>
        <rFont val="Noto Sans CJK SC"/>
        <family val="2"/>
      </rPr>
      <t xml:space="preserve">單變數敏感度（其餘輸入取基準、功率取基準）</t>
    </r>
  </si>
  <si>
    <t xml:space="preserve">先看敏感度再看基準值：哪個輸入在合理範圍內移動，最能改變每 GW 資本支出與持有成本</t>
  </si>
  <si>
    <t xml:space="preserve">機架價格－低</t>
  </si>
  <si>
    <t xml:space="preserve">機架價格－高</t>
  </si>
  <si>
    <t xml:space="preserve">配電設計功率－低</t>
  </si>
  <si>
    <t xml:space="preserve">配電設計功率－高</t>
  </si>
  <si>
    <t xml:space="preserve">網路 %－低</t>
  </si>
  <si>
    <t xml:space="preserve">網路 %－高</t>
  </si>
  <si>
    <t xml:space="preserve">廠房建物－低</t>
  </si>
  <si>
    <t xml:space="preserve">廠房建物－高</t>
  </si>
  <si>
    <t xml:space="preserve">廠房電力設施－低</t>
  </si>
  <si>
    <t xml:space="preserve">廠房電力設施－高</t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</si>
  <si>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年）－低</t>
    </r>
  </si>
  <si>
    <r>
      <rPr>
        <b val="true"/>
        <sz val="10"/>
        <color rgb="FF000000"/>
        <rFont val="Arial"/>
        <family val="0"/>
        <charset val="1"/>
      </rPr>
      <t xml:space="preserve">IT </t>
    </r>
    <r>
      <rPr>
        <b val="true"/>
        <sz val="10"/>
        <color rgb="FF000000"/>
        <rFont val="Noto Sans CJK SC"/>
        <family val="2"/>
      </rPr>
      <t xml:space="preserve">折舊年限（</t>
    </r>
    <r>
      <rPr>
        <b val="true"/>
        <sz val="10"/>
        <color rgb="FF000000"/>
        <rFont val="Arial"/>
        <family val="0"/>
        <charset val="1"/>
      </rPr>
      <t xml:space="preserve">7 </t>
    </r>
    <r>
      <rPr>
        <b val="true"/>
        <sz val="10"/>
        <color rgb="FF000000"/>
        <rFont val="Noto Sans CJK SC"/>
        <family val="2"/>
      </rPr>
      <t xml:space="preserve">年對 </t>
    </r>
    <r>
      <rPr>
        <b val="true"/>
        <sz val="10"/>
        <color rgb="FF000000"/>
        <rFont val="Arial"/>
        <family val="0"/>
        <charset val="1"/>
      </rPr>
      <t xml:space="preserve">4 </t>
    </r>
    <r>
      <rPr>
        <b val="true"/>
        <sz val="10"/>
        <color rgb="FF000000"/>
        <rFont val="Noto Sans CJK SC"/>
        <family val="2"/>
      </rPr>
      <t xml:space="preserve">年）－高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</si>
  <si>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</si>
  <si>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WACC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</si>
  <si>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電價－低</t>
  </si>
  <si>
    <t xml:space="preserve">電價－高</t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</si>
  <si>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－低</t>
    </r>
  </si>
  <si>
    <r>
      <rPr>
        <b val="true"/>
        <sz val="10"/>
        <color rgb="FF000000"/>
        <rFont val="Arial"/>
        <family val="0"/>
        <charset val="1"/>
      </rPr>
      <t xml:space="preserve">PUE</t>
    </r>
    <r>
      <rPr>
        <b val="true"/>
        <sz val="10"/>
        <color rgb="FF000000"/>
        <rFont val="Noto Sans CJK SC"/>
        <family val="2"/>
      </rPr>
      <t xml:space="preserve">－高</t>
    </r>
  </si>
  <si>
    <t xml:space="preserve">平均用電比－低</t>
  </si>
  <si>
    <t xml:space="preserve">平均用電比－高</t>
  </si>
  <si>
    <t xml:space="preserve">機架外 IT 占比（5% 對 12%）－低</t>
  </si>
  <si>
    <t xml:space="preserve">機架外 IT 占比（5% 對 12%）－高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</si>
  <si>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基準；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</si>
  <si>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0"/>
        <color rgb="FF000000"/>
        <rFont val="Arial"/>
        <family val="0"/>
        <charset val="1"/>
      </rPr>
      <t xml:space="preserve">B. </t>
    </r>
    <r>
      <rPr>
        <b val="true"/>
        <sz val="10"/>
        <color rgb="FF000000"/>
        <rFont val="Noto Sans CJK SC"/>
        <family val="2"/>
      </rPr>
      <t xml:space="preserve">資本支出（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）</t>
    </r>
  </si>
  <si>
    <t xml:space="preserve">每 GW 總資本支出</t>
  </si>
  <si>
    <r>
      <rPr>
        <b val="true"/>
        <sz val="10"/>
        <color rgb="FF000000"/>
        <rFont val="Arial"/>
        <family val="0"/>
        <charset val="1"/>
      </rPr>
      <t xml:space="preserve">C. </t>
    </r>
    <r>
      <rPr>
        <b val="true"/>
        <sz val="10"/>
        <color rgb="FF000000"/>
        <rFont val="Noto Sans CJK SC"/>
        <family val="2"/>
      </rPr>
      <t xml:space="preserve">年持有成本 — 會計口徑（</t>
    </r>
    <r>
      <rPr>
        <b val="true"/>
        <sz val="10"/>
        <color rgb="FF000000"/>
        <rFont val="Arial"/>
        <family val="0"/>
        <charset val="1"/>
      </rPr>
      <t xml:space="preserve">$B</t>
    </r>
    <r>
      <rPr>
        <b val="true"/>
        <sz val="10"/>
        <color rgb="FF000000"/>
        <rFont val="Noto Sans CJK SC"/>
        <family val="2"/>
      </rPr>
      <t xml:space="preserve">／</t>
    </r>
    <r>
      <rPr>
        <b val="true"/>
        <sz val="10"/>
        <color rgb="FF000000"/>
        <rFont val="Arial"/>
        <family val="0"/>
        <charset val="1"/>
      </rPr>
      <t xml:space="preserve">GW</t>
    </r>
    <r>
      <rPr>
        <b val="true"/>
        <sz val="10"/>
        <color rgb="FF000000"/>
        <rFont val="Noto Sans CJK SC"/>
        <family val="2"/>
      </rPr>
      <t xml:space="preserve">／年）</t>
    </r>
  </si>
  <si>
    <t xml:space="preserve">人員、軟體、水與耗材</t>
  </si>
  <si>
    <r>
      <rPr>
        <b val="true"/>
        <sz val="10"/>
        <color rgb="FF000000"/>
        <rFont val="Arial"/>
        <family val="0"/>
        <charset val="1"/>
      </rPr>
      <t xml:space="preserve">D. </t>
    </r>
    <r>
      <rPr>
        <b val="true"/>
        <sz val="10"/>
        <color rgb="FF000000"/>
        <rFont val="Noto Sans CJK SC"/>
        <family val="2"/>
      </rPr>
      <t xml:space="preserve">年持有成本 — 經濟口徑（資本回收年金）</t>
    </r>
  </si>
  <si>
    <t xml:space="preserve">摘要（依擺幅判讀；擺幅＝高減低的絕對值）</t>
  </si>
  <si>
    <t xml:space="preserve">變數</t>
  </si>
  <si>
    <t xml:space="preserve">資本支出（變數取低）</t>
  </si>
  <si>
    <t xml:space="preserve">資本支出（變數取高）</t>
  </si>
  <si>
    <t xml:space="preserve">擺幅 $B</t>
  </si>
  <si>
    <t xml:space="preserve">經濟持有成本（變數取低）</t>
  </si>
  <si>
    <t xml:space="preserve">經濟持有成本（變數取高）</t>
  </si>
  <si>
    <t xml:space="preserve">擺幅 $B/年</t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</si>
  <si>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（變數取低）</t>
    </r>
  </si>
  <si>
    <r>
      <rPr>
        <b val="true"/>
        <sz val="10"/>
        <color rgb="FF000000"/>
        <rFont val="Arial"/>
        <family val="0"/>
        <charset val="1"/>
      </rPr>
      <t xml:space="preserve">$/GPU-hr</t>
    </r>
    <r>
      <rPr>
        <b val="true"/>
        <sz val="10"/>
        <color rgb="FF000000"/>
        <rFont val="Noto Sans CJK SC"/>
        <family val="2"/>
      </rPr>
      <t xml:space="preserve">（變數取高）</t>
    </r>
  </si>
  <si>
    <t xml:space="preserve">機架價格</t>
  </si>
  <si>
    <t xml:space="preserve">配電設計功率</t>
  </si>
  <si>
    <t xml:space="preserve">網路 %</t>
  </si>
  <si>
    <t xml:space="preserve">廠房建物</t>
  </si>
  <si>
    <t xml:space="preserve">廠房電力設施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</si>
  <si>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年對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年）</t>
    </r>
  </si>
  <si>
    <t xml:space="preserve">平均用電比</t>
  </si>
  <si>
    <t xml:space="preserve">機架外 IT 占比（5% 對 12%）</t>
  </si>
  <si>
    <r>
      <rPr>
        <b val="true"/>
        <sz val="13"/>
        <rFont val="Arial"/>
        <family val="0"/>
        <charset val="1"/>
      </rPr>
      <t xml:space="preserve">Checks — </t>
    </r>
    <r>
      <rPr>
        <b val="true"/>
        <sz val="13"/>
        <rFont val="Noto Sans CJK SC"/>
        <family val="2"/>
      </rPr>
      <t xml:space="preserve">交叉檢查（外部數字多為利害關係方或第三方估計，只作方向驗證）</t>
    </r>
  </si>
  <si>
    <r>
      <rPr>
        <sz val="9"/>
        <color rgb="FF595959"/>
        <rFont val="Noto Sans CJK SC"/>
        <family val="2"/>
      </rPr>
      <t xml:space="preserve">性質（</t>
    </r>
    <r>
      <rPr>
        <sz val="9"/>
        <color rgb="FF595959"/>
        <rFont val="Arial"/>
        <family val="0"/>
        <charset val="1"/>
      </rPr>
      <t xml:space="preserve">v10.0 N3</t>
    </r>
    <r>
      <rPr>
        <sz val="9"/>
        <color rgb="FF595959"/>
        <rFont val="Noto Sans CJK SC"/>
        <family val="2"/>
      </rPr>
      <t xml:space="preserve">）說明：驗證＝能失敗的檢查，計入 </t>
    </r>
    <r>
      <rPr>
        <sz val="9"/>
        <color rgb="FF595959"/>
        <rFont val="Arial"/>
        <family val="0"/>
        <charset val="1"/>
      </rPr>
      <t xml:space="preserve">V </t>
    </r>
    <r>
      <rPr>
        <sz val="9"/>
        <color rgb="FF595959"/>
        <rFont val="Noto Sans CJK SC"/>
        <family val="2"/>
      </rPr>
      <t xml:space="preserve">節的 </t>
    </r>
    <r>
      <rPr>
        <sz val="9"/>
        <color rgb="FF595959"/>
        <rFont val="Arial"/>
        <family val="0"/>
        <charset val="1"/>
      </rPr>
      <t xml:space="preserve">CHK_VerifyTotal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Pass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Fail</t>
    </r>
    <r>
      <rPr>
        <sz val="9"/>
        <color rgb="FF595959"/>
        <rFont val="Noto Sans CJK SC"/>
        <family val="2"/>
      </rPr>
      <t xml:space="preserve">；恆等式（非驗證）＝由建構或定義恆成立、擬合點重現或輸入加總，不計入；對照＝只列外部參照、判讀為文字、沒有通過條件；治理＝資料登錄與結構完整性（</t>
    </r>
    <r>
      <rPr>
        <sz val="9"/>
        <color rgb="FF595959"/>
        <rFont val="Arial"/>
        <family val="0"/>
        <charset val="1"/>
      </rPr>
      <t xml:space="preserve">ERROR </t>
    </r>
    <r>
      <rPr>
        <sz val="9"/>
        <color rgb="FF595959"/>
        <rFont val="Noto Sans CJK SC"/>
        <family val="2"/>
      </rPr>
      <t xml:space="preserve">計入 </t>
    </r>
    <r>
      <rPr>
        <sz val="9"/>
        <color rgb="FF595959"/>
        <rFont val="Arial"/>
        <family val="0"/>
        <charset val="1"/>
      </rPr>
      <t xml:space="preserve">GOV_Errors</t>
    </r>
    <r>
      <rPr>
        <sz val="9"/>
        <color rgb="FF595959"/>
        <rFont val="Noto Sans CJK SC"/>
        <family val="2"/>
      </rPr>
      <t xml:space="preserve">）</t>
    </r>
  </si>
  <si>
    <t xml:space="preserve">本模型（基準）</t>
  </si>
  <si>
    <t xml:space="preserve">外部參照</t>
  </si>
  <si>
    <r>
      <rPr>
        <b val="true"/>
        <sz val="10"/>
        <rFont val="Noto Sans CJK SC"/>
        <family val="2"/>
      </rPr>
      <t xml:space="preserve">性質（</t>
    </r>
    <r>
      <rPr>
        <b val="true"/>
        <sz val="10"/>
        <rFont val="Arial"/>
        <family val="0"/>
        <charset val="1"/>
      </rPr>
      <t xml:space="preserve">v10.0 N3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</si>
  <si>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總資本支出</t>
    </r>
  </si>
  <si>
    <t xml:space="preserve">黃仁勳 2025-08：每 GW $50–60B（S16，Interested-party；口徑未明）［SRC_DC_010］</t>
  </si>
  <si>
    <t xml:space="preserve">對照（無通過條件）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</si>
  <si>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NVIDIA </t>
    </r>
    <r>
      <rPr>
        <sz val="10"/>
        <color rgb="FF000000"/>
        <rFont val="Noto Sans CJK SC"/>
        <family val="2"/>
      </rPr>
      <t xml:space="preserve">內容（機架）</t>
    </r>
  </si>
  <si>
    <t xml:space="preserve">同上：其中約 $35B 為 NVIDIA 晶片與系統［SRC_DC_011］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</si>
  <si>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全球平均建物與核心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S12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</si>
  <si>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</si>
  <si>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引用，</t>
    </r>
    <r>
      <rPr>
        <sz val="10"/>
        <color rgb="FF000000"/>
        <rFont val="Arial"/>
        <family val="0"/>
        <charset val="1"/>
      </rPr>
      <t xml:space="preserve">S17</t>
    </r>
    <r>
      <rPr>
        <sz val="10"/>
        <color rgb="FF000000"/>
        <rFont val="Noto Sans CJK SC"/>
        <family val="2"/>
      </rPr>
      <t xml:space="preserve">）［</t>
    </r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</si>
  <si>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經濟口徑 </t>
    </r>
    <r>
      <rPr>
        <sz val="10"/>
        <color rgb="FF000000"/>
        <rFont val="Arial"/>
        <family val="0"/>
        <charset val="1"/>
      </rPr>
      <t xml:space="preserve">$/GPU-hr</t>
    </r>
  </si>
  <si>
    <t xml:space="preserve">同上［SRC_DC_013］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</si>
  <si>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市場牌價對照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</si>
  <si>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公開價 </t>
    </r>
    <r>
      <rPr>
        <sz val="10"/>
        <color rgb="FF000000"/>
        <rFont val="Arial"/>
        <family val="0"/>
        <charset val="1"/>
      </rPr>
      <t xml:space="preserve">4-GPU GB200 $42/hr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S18</t>
    </r>
    <r>
      <rPr>
        <sz val="10"/>
        <color rgb="FF000000"/>
        <rFont val="Noto Sans CJK SC"/>
        <family val="2"/>
      </rPr>
      <t xml:space="preserve">）；隨需牌價非合約價［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＝每執行個體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數］［→ </t>
    </r>
    <r>
      <rPr>
        <sz val="10"/>
        <color rgb="FF000000"/>
        <rFont val="Arial"/>
        <family val="0"/>
        <charset val="1"/>
      </rPr>
      <t xml:space="preserve">L1_GPUhr_GB200_vsCW</t>
    </r>
    <r>
      <rPr>
        <sz val="10"/>
        <color rgb="FF000000"/>
        <rFont val="Noto Sans CJK SC"/>
        <family val="2"/>
      </rPr>
      <t xml:space="preserve">］</t>
    </r>
  </si>
  <si>
    <t xml:space="preserve">新雲損益兩平參照</t>
  </si>
  <si>
    <t xml:space="preserve">第三方以 85% 利用率、9.12% 資金成本、6 年回收推算之每 GPU 小時租金門檻（S19；機型未明）［SRC_PRC_002］［→ L1_GPUhr_GB300_vsBE］</t>
  </si>
  <si>
    <r>
      <rPr>
        <b val="true"/>
        <sz val="10"/>
        <rFont val="Arial"/>
        <family val="0"/>
        <charset val="1"/>
      </rPr>
      <t xml:space="preserve">Block 2 </t>
    </r>
    <r>
      <rPr>
        <b val="true"/>
        <sz val="10"/>
        <rFont val="Noto Sans CJK SC"/>
        <family val="2"/>
      </rPr>
      <t xml:space="preserve">檢查</t>
    </r>
  </si>
  <si>
    <t xml:space="preserve">本模型</t>
  </si>
  <si>
    <r>
      <rPr>
        <sz val="10"/>
        <color rgb="FF000000"/>
        <rFont val="Noto Sans CJK SC"/>
        <family val="2"/>
      </rPr>
      <t xml:space="preserve">校準：擬合點重現（應為 </t>
    </r>
    <r>
      <rPr>
        <sz val="10"/>
        <color rgb="FF000000"/>
        <rFont val="Arial"/>
        <family val="0"/>
        <charset val="1"/>
      </rPr>
      <t xml:space="preserve">1.00</t>
    </r>
    <r>
      <rPr>
        <sz val="10"/>
        <color rgb="FF000000"/>
        <rFont val="Noto Sans CJK SC"/>
        <family val="2"/>
      </rPr>
      <t xml:space="preserve">）</t>
    </r>
  </si>
  <si>
    <t xml:space="preserve">1.00</t>
  </si>
  <si>
    <t xml:space="preserve">擬合正確性</t>
  </si>
  <si>
    <r>
      <rPr>
        <sz val="9"/>
        <color rgb="FF595959"/>
        <rFont val="Arial"/>
        <family val="0"/>
        <charset val="1"/>
      </rPr>
      <t xml:space="preserve">Calib F </t>
    </r>
    <r>
      <rPr>
        <sz val="9"/>
        <color rgb="FF595959"/>
        <rFont val="Noto Sans CJK SC"/>
        <family val="2"/>
      </rPr>
      <t xml:space="preserve">節</t>
    </r>
  </si>
  <si>
    <t xml:space="preserve">恆等式（非驗證）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</si>
  <si>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</t>
    </r>
  </si>
  <si>
    <r>
      <rPr>
        <sz val="10"/>
        <color rgb="FF000000"/>
        <rFont val="Noto Sans CJK SC"/>
        <family val="2"/>
      </rPr>
      <t xml:space="preserve">模型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實測</t>
    </r>
  </si>
  <si>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</t>
    </r>
  </si>
  <si>
    <r>
      <rPr>
        <sz val="9"/>
        <color rgb="FF595959"/>
        <rFont val="Arial"/>
        <family val="0"/>
        <charset val="1"/>
      </rPr>
      <t xml:space="preserve">S21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］</t>
    </r>
  </si>
  <si>
    <r>
      <rPr>
        <b val="true"/>
        <sz val="10"/>
        <rFont val="Noto Sans CJK SC"/>
        <family val="2"/>
      </rPr>
      <t xml:space="preserve">驗證（能失敗；計入 </t>
    </r>
    <r>
      <rPr>
        <b val="true"/>
        <sz val="10"/>
        <rFont val="Arial"/>
        <family val="0"/>
        <charset val="1"/>
      </rPr>
      <t xml:space="preserve">V </t>
    </r>
    <r>
      <rPr>
        <b val="true"/>
        <sz val="10"/>
        <rFont val="Noto Sans CJK SC"/>
        <family val="2"/>
      </rPr>
      <t xml:space="preserve">節）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</si>
  <si>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</si>
  <si>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</si>
  <si>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</si>
  <si>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</t>
    </r>
  </si>
  <si>
    <r>
      <rPr>
        <sz val="9"/>
        <color rgb="FF595959"/>
        <rFont val="Noto Sans CJK SC"/>
        <family val="2"/>
      </rPr>
      <t xml:space="preserve">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</si>
  <si>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</si>
  <si>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GB300 110 tok/s</t>
    </r>
  </si>
  <si>
    <t xml:space="preserve">口徑待查</t>
  </si>
  <si>
    <r>
      <rPr>
        <sz val="9"/>
        <color rgb="FF595959"/>
        <rFont val="Arial"/>
        <family val="0"/>
        <charset val="1"/>
      </rPr>
      <t xml:space="preserve">S23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SRC_PERF_014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</si>
  <si>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GB300 Sol </t>
    </r>
    <r>
      <rPr>
        <sz val="10"/>
        <color rgb="FF000000"/>
        <rFont val="Noto Sans CJK SC"/>
        <family val="2"/>
      </rPr>
      <t xml:space="preserve">經濟成本 </t>
    </r>
    <r>
      <rPr>
        <sz val="10"/>
        <color rgb="FF000000"/>
        <rFont val="Arial"/>
        <family val="0"/>
        <charset val="1"/>
      </rPr>
      <t xml:space="preserve">vs 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tok/s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8K/1K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</si>
  <si>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差異來自每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TCO</t>
    </r>
    <r>
      <rPr>
        <sz val="9"/>
        <color rgb="FF595959"/>
        <rFont val="Noto Sans CJK SC"/>
        <family val="2"/>
      </rPr>
      <t xml:space="preserve">（本模型 </t>
    </r>
    <r>
      <rPr>
        <sz val="9"/>
        <color rgb="FF595959"/>
        <rFont val="Arial"/>
        <family val="0"/>
        <charset val="1"/>
      </rPr>
      <t xml:space="preserve">2.99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2.65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</si>
  <si>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S22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SRC_PERF_011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</si>
  <si>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</si>
  <si>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9"/>
        <color rgb="FF595959"/>
        <rFont val="Noto Sans CJK SC"/>
        <family val="2"/>
      </rPr>
      <t xml:space="preserve">外部參照欄＝損益兩平（每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持有成本比）；高於此值時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較便宜</t>
    </r>
  </si>
  <si>
    <t xml:space="preserve">Sens_Perf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</si>
  <si>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功率：本模型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平均用電</t>
    </r>
  </si>
  <si>
    <t xml:space="preserve">2.12</t>
  </si>
  <si>
    <t xml:space="preserve">kW/GPU</t>
  </si>
  <si>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內部常數（</t>
    </r>
    <r>
      <rPr>
        <sz val="9"/>
        <color rgb="FF595959"/>
        <rFont val="Arial"/>
        <family val="0"/>
        <charset val="1"/>
      </rPr>
      <t xml:space="preserve">GB300 2.12 kW/GPU</t>
    </r>
    <r>
      <rPr>
        <sz val="9"/>
        <color rgb="FF595959"/>
        <rFont val="Noto Sans CJK SC"/>
        <family val="2"/>
      </rPr>
      <t xml:space="preserve">），非獨立對照：該頁 </t>
    </r>
    <r>
      <rPr>
        <sz val="9"/>
        <color rgb="FF595959"/>
        <rFont val="Arial"/>
        <family val="0"/>
        <charset val="1"/>
      </rPr>
      <t xml:space="preserve">tok/s/MW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tok/s/GPU÷</t>
    </r>
    <r>
      <rPr>
        <sz val="9"/>
        <color rgb="FF595959"/>
        <rFont val="Noto Sans CJK SC"/>
        <family val="2"/>
      </rPr>
      <t xml:space="preserve">此常數（</t>
    </r>
    <r>
      <rPr>
        <sz val="9"/>
        <color rgb="FF595959"/>
        <rFont val="Arial"/>
        <family val="0"/>
        <charset val="1"/>
      </rPr>
      <t xml:space="preserve">9,506.83÷4,484,352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2,120 W</t>
    </r>
    <r>
      <rPr>
        <sz val="9"/>
        <color rgb="FF595959"/>
        <rFont val="Noto Sans CJK SC"/>
        <family val="2"/>
      </rPr>
      <t xml:space="preserve">），由 </t>
    </r>
    <r>
      <rPr>
        <sz val="9"/>
        <color rgb="FF595959"/>
        <rFont val="Arial"/>
        <family val="0"/>
        <charset val="1"/>
      </rPr>
      <t xml:space="preserve">9,384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4.43M </t>
    </r>
    <r>
      <rPr>
        <sz val="9"/>
        <color rgb="FF595959"/>
        <rFont val="Noto Sans CJK SC"/>
        <family val="2"/>
      </rPr>
      <t xml:space="preserve">反推 </t>
    </r>
    <r>
      <rPr>
        <sz val="9"/>
        <color rgb="FF595959"/>
        <rFont val="Arial"/>
        <family val="0"/>
        <charset val="1"/>
      </rPr>
      <t xml:space="preserve">2.12 </t>
    </r>
    <r>
      <rPr>
        <sz val="9"/>
        <color rgb="FF595959"/>
        <rFont val="Noto Sans CJK SC"/>
        <family val="2"/>
      </rPr>
      <t xml:space="preserve">是循環；常數是否含設施頁面未載明；不作外部驗證（</t>
    </r>
    <r>
      <rPr>
        <sz val="9"/>
        <color rgb="FF595959"/>
        <rFont val="Arial"/>
        <family val="0"/>
        <charset val="1"/>
      </rPr>
      <t xml:space="preserve">v5.18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</si>
  <si>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</si>
  <si>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&lt;1 </t>
    </r>
    <r>
      <rPr>
        <sz val="10"/>
        <color rgb="FF000000"/>
        <rFont val="Noto Sans CJK SC"/>
        <family val="2"/>
      </rPr>
      <t xml:space="preserve">較便宜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</si>
  <si>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GB300 interactive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</si>
  <si>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&lt;1</t>
    </r>
    <r>
      <rPr>
        <sz val="9"/>
        <color rgb="FF595959"/>
        <rFont val="Noto Sans CJK SC"/>
        <family val="2"/>
      </rPr>
      <t xml:space="preserve">：本模型低於 </t>
    </r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InferenceX </t>
    </r>
    <r>
      <rPr>
        <sz val="9"/>
        <color rgb="FF595959"/>
        <rFont val="Noto Sans CJK SC"/>
        <family val="2"/>
      </rPr>
      <t xml:space="preserve">校準未比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樂觀</t>
    </r>
  </si>
  <si>
    <r>
      <rPr>
        <sz val="9"/>
        <color rgb="FF595959"/>
        <rFont val="Arial"/>
        <family val="0"/>
        <charset val="1"/>
      </rPr>
      <t xml:space="preserve">S31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</si>
  <si>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第二來源：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</si>
  <si>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Noto Sans CJK SC"/>
        <family val="2"/>
      </rPr>
      <t xml:space="preserve">兩者接近即支持 </t>
    </r>
    <r>
      <rPr>
        <sz val="9"/>
        <color rgb="FF595959"/>
        <rFont val="Arial"/>
        <family val="0"/>
        <charset val="1"/>
      </rPr>
      <t xml:space="preserve">VR </t>
    </r>
    <r>
      <rPr>
        <sz val="9"/>
        <color rgb="FF595959"/>
        <rFont val="Noto Sans CJK SC"/>
        <family val="2"/>
      </rPr>
      <t xml:space="preserve">沿用 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效率係數</t>
    </r>
  </si>
  <si>
    <t xml:space="preserve">S32</t>
  </si>
  <si>
    <r>
      <rPr>
        <sz val="10"/>
        <color rgb="FF000000"/>
        <rFont val="Noto Sans CJK SC"/>
        <family val="2"/>
      </rPr>
      <t xml:space="preserve">來源衝突：</t>
    </r>
    <r>
      <rPr>
        <sz val="10"/>
        <color rgb="FF000000"/>
        <rFont val="Arial"/>
        <family val="0"/>
        <charset val="1"/>
      </rPr>
      <t xml:space="preserve">GB300 ÷ GB200 </t>
    </r>
    <r>
      <rPr>
        <sz val="10"/>
        <color rgb="FF000000"/>
        <rFont val="Noto Sans CJK SC"/>
        <family val="2"/>
      </rPr>
      <t xml:space="preserve">模型 對 </t>
    </r>
    <r>
      <rPr>
        <sz val="10"/>
        <color rgb="FF000000"/>
        <rFont val="Arial"/>
        <family val="0"/>
        <charset val="1"/>
      </rPr>
      <t xml:space="preserve">MLPerf</t>
    </r>
  </si>
  <si>
    <r>
      <rPr>
        <sz val="9"/>
        <color rgb="FF595959"/>
        <rFont val="Arial"/>
        <family val="0"/>
        <charset val="1"/>
      </rPr>
      <t xml:space="preserve">InferenceX 1.7–2.8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1.05</t>
    </r>
    <r>
      <rPr>
        <sz val="9"/>
        <color rgb="FF595959"/>
        <rFont val="Noto Sans CJK SC"/>
        <family val="2"/>
      </rPr>
      <t xml:space="preserve">、模型居中</t>
    </r>
  </si>
  <si>
    <r>
      <rPr>
        <sz val="9"/>
        <color rgb="FF595959"/>
        <rFont val="Arial"/>
        <family val="0"/>
        <charset val="1"/>
      </rPr>
      <t xml:space="preserve">S20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S31</t>
    </r>
  </si>
  <si>
    <t xml:space="preserve">能量閉合：各欄最大閉合比</t>
  </si>
  <si>
    <t xml:space="preserve">≤ 100%</t>
  </si>
  <si>
    <t xml:space="preserve">超過代表產出或能量常數有誤</t>
  </si>
  <si>
    <r>
      <rPr>
        <sz val="9"/>
        <color rgb="FF595959"/>
        <rFont val="Arial"/>
        <family val="0"/>
        <charset val="1"/>
      </rPr>
      <t xml:space="preserve">Perf J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</si>
  <si>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不可達的欄數（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欄中）</t>
    </r>
  </si>
  <si>
    <t xml:space="preserve">欄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</si>
  <si>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15 </t>
    </r>
    <r>
      <rPr>
        <sz val="9"/>
        <color rgb="FF595959"/>
        <rFont val="Noto Sans CJK SC"/>
        <family val="2"/>
      </rPr>
      <t xml:space="preserve">欄皆可達；</t>
    </r>
    <r>
      <rPr>
        <sz val="9"/>
        <color rgb="FF595959"/>
        <rFont val="Arial"/>
        <family val="0"/>
        <charset val="1"/>
      </rPr>
      <t xml:space="preserve">v6.2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TTFT </t>
    </r>
    <r>
      <rPr>
        <sz val="9"/>
        <color rgb="FF595959"/>
        <rFont val="Noto Sans CJK SC"/>
        <family val="2"/>
      </rPr>
      <t xml:space="preserve">納入可達判斷：</t>
    </r>
    <r>
      <rPr>
        <sz val="9"/>
        <color rgb="FF595959"/>
        <rFont val="Arial"/>
        <family val="0"/>
        <charset val="1"/>
      </rPr>
      <t xml:space="preserve">v6.2–v8.0 </t>
    </r>
    <r>
      <rPr>
        <sz val="9"/>
        <color rgb="FF595959"/>
        <rFont val="Noto Sans CJK SC"/>
        <family val="2"/>
      </rPr>
      <t xml:space="preserve">基準下 </t>
    </r>
    <r>
      <rPr>
        <sz val="9"/>
        <color rgb="FF595959"/>
        <rFont val="Arial"/>
        <family val="0"/>
        <charset val="1"/>
      </rPr>
      <t xml:space="preserve">Hopper × Astra </t>
    </r>
    <r>
      <rPr>
        <sz val="9"/>
        <color rgb="FF595959"/>
        <rFont val="Noto Sans CJK SC"/>
        <family val="2"/>
      </rPr>
      <t xml:space="preserve">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時間約 </t>
    </r>
    <r>
      <rPr>
        <sz val="9"/>
        <color rgb="FF595959"/>
        <rFont val="Arial"/>
        <family val="0"/>
        <charset val="1"/>
      </rPr>
      <t xml:space="preserve">6.1 </t>
    </r>
    <r>
      <rPr>
        <sz val="9"/>
        <color rgb="FF595959"/>
        <rFont val="Noto Sans CJK SC"/>
        <family val="2"/>
      </rPr>
      <t xml:space="preserve">秒，高於上限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秒，計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欄；</t>
    </r>
    <r>
      <rPr>
        <sz val="9"/>
        <color rgb="FF595959"/>
        <rFont val="Arial"/>
        <family val="0"/>
        <charset val="1"/>
      </rPr>
      <t xml:space="preserve">v9.0 </t>
    </r>
    <r>
      <rPr>
        <sz val="9"/>
        <color rgb="FF595959"/>
        <rFont val="Noto Sans CJK SC"/>
        <family val="2"/>
      </rPr>
      <t xml:space="preserve">起快取命中進 </t>
    </r>
    <r>
      <rPr>
        <sz val="9"/>
        <color rgb="FF595959"/>
        <rFont val="Arial"/>
        <family val="0"/>
        <charset val="1"/>
      </rPr>
      <t xml:space="preserve">prefill </t>
    </r>
    <r>
      <rPr>
        <sz val="9"/>
        <color rgb="FF595959"/>
        <rFont val="Noto Sans CJK SC"/>
        <family val="2"/>
      </rPr>
      <t xml:space="preserve">產能（只計新鮮輸入），該欄約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秒、符合上限，基準為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</si>
  <si>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Perf G </t>
    </r>
    <r>
      <rPr>
        <sz val="9"/>
        <color rgb="FF595959"/>
        <rFont val="Noto Sans CJK SC"/>
        <family val="2"/>
      </rPr>
      <t xml:space="preserve">節（綁定約束列）</t>
    </r>
  </si>
  <si>
    <r>
      <rPr>
        <sz val="10"/>
        <color rgb="FF000000"/>
        <rFont val="Noto Sans CJK SC"/>
        <family val="2"/>
      </rPr>
      <t xml:space="preserve">牌價空間：</t>
    </r>
    <r>
      <rPr>
        <sz val="10"/>
        <color rgb="FF000000"/>
        <rFont val="Arial"/>
        <family val="0"/>
        <charset val="1"/>
      </rPr>
      <t xml:space="preserve">V4-Pro 8K/1K </t>
    </r>
    <r>
      <rPr>
        <sz val="10"/>
        <color rgb="FF000000"/>
        <rFont val="Noto Sans CJK SC"/>
        <family val="2"/>
      </rPr>
      <t xml:space="preserve">牌價 </t>
    </r>
    <r>
      <rPr>
        <sz val="10"/>
        <color rgb="FF000000"/>
        <rFont val="Arial"/>
        <family val="0"/>
        <charset val="1"/>
      </rPr>
      <t xml:space="preserve">÷ GB300 Sol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</si>
  <si>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DeepSeek V4-Pro API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$1.32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$3.96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2026-09 </t>
    </r>
    <r>
      <rPr>
        <sz val="9"/>
        <color rgb="FF595959"/>
        <rFont val="Noto Sans CJK SC"/>
        <family val="2"/>
      </rPr>
      <t xml:space="preserve">價格追蹤站；記錄於 </t>
    </r>
    <r>
      <rPr>
        <sz val="9"/>
        <color rgb="FF595959"/>
        <rFont val="Arial"/>
        <family val="0"/>
        <charset val="1"/>
      </rPr>
      <t xml:space="preserve">Tokenomics v4 </t>
    </r>
    <r>
      <rPr>
        <sz val="9"/>
        <color rgb="FF595959"/>
        <rFont val="Noto Sans CJK SC"/>
        <family val="2"/>
      </rPr>
      <t xml:space="preserve">活頁簿預設表）；只說明空間，不代表 </t>
    </r>
    <r>
      <rPr>
        <sz val="9"/>
        <color rgb="FF595959"/>
        <rFont val="Arial"/>
        <family val="0"/>
        <charset val="1"/>
      </rPr>
      <t xml:space="preserve">DeepSeek </t>
    </r>
    <r>
      <rPr>
        <sz val="9"/>
        <color rgb="FF595959"/>
        <rFont val="Noto Sans CJK SC"/>
        <family val="2"/>
      </rPr>
      <t xml:space="preserve">毛利</t>
    </r>
  </si>
  <si>
    <t xml:space="preserve">S27</t>
  </si>
  <si>
    <r>
      <rPr>
        <b val="true"/>
        <sz val="10"/>
        <rFont val="Arial"/>
        <family val="0"/>
        <charset val="1"/>
      </rPr>
      <t xml:space="preserve">Block 3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VR200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N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GB300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</si>
  <si>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V3 </t>
    </r>
    <r>
      <rPr>
        <sz val="10"/>
        <color rgb="FF000000"/>
        <rFont val="Noto Sans CJK SC"/>
        <family val="2"/>
      </rPr>
      <t xml:space="preserve">推導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</t>
    </r>
  </si>
  <si>
    <r>
      <rPr>
        <sz val="9"/>
        <color rgb="FF595959"/>
        <rFont val="Noto Sans CJK SC"/>
        <family val="2"/>
      </rPr>
      <t xml:space="preserve">外部參照欄＝本模型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MFU</t>
    </r>
    <r>
      <rPr>
        <sz val="9"/>
        <color rgb="FF595959"/>
        <rFont val="Noto Sans CJK SC"/>
        <family val="2"/>
      </rPr>
      <t xml:space="preserve">；兩者接近即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倍數 </t>
    </r>
    <r>
      <rPr>
        <sz val="9"/>
        <color rgb="FF595959"/>
        <rFont val="Arial"/>
        <family val="0"/>
        <charset val="1"/>
      </rPr>
      <t xml:space="preserve">0.8 </t>
    </r>
    <r>
      <rPr>
        <sz val="9"/>
        <color rgb="FF595959"/>
        <rFont val="Noto Sans CJK SC"/>
        <family val="2"/>
      </rPr>
      <t xml:space="preserve">成立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</si>
  <si>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Astra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</si>
  <si>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1.0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Grok 4 </t>
    </r>
    <r>
      <rPr>
        <sz val="9"/>
        <color rgb="FF595959"/>
        <rFont val="Noto Sans CJK SC"/>
        <family val="2"/>
      </rPr>
      <t xml:space="preserve">宣稱（口徑不明）</t>
    </r>
  </si>
  <si>
    <r>
      <rPr>
        <sz val="9"/>
        <color rgb="FF595959"/>
        <rFont val="Arial"/>
        <family val="0"/>
        <charset val="1"/>
      </rPr>
      <t xml:space="preserve">S42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L1_RLshare_Astra_VR200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</si>
  <si>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VR200 Sol</t>
    </r>
  </si>
  <si>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；參照為 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2025-01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</si>
  <si>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S40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L1_RLshare_Sol_VR200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</si>
  <si>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有效 </t>
    </r>
    <r>
      <rPr>
        <sz val="10"/>
        <color rgb="FF000000"/>
        <rFont val="Arial"/>
        <family val="0"/>
        <charset val="1"/>
      </rPr>
      <t xml:space="preserve">MFU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Astra</t>
    </r>
  </si>
  <si>
    <t xml:space="preserve">0.01–0.10</t>
  </si>
  <si>
    <r>
      <rPr>
        <sz val="9"/>
        <color rgb="FF595959"/>
        <rFont val="Noto Sans CJK SC"/>
        <family val="2"/>
      </rPr>
      <t xml:space="preserve">交接第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節區間；本模型為推導值</t>
    </r>
  </si>
  <si>
    <t xml:space="preserve">交接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</si>
  <si>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VR200 Astra</t>
    </r>
    <r>
      <rPr>
        <sz val="10"/>
        <color rgb="FF000000"/>
        <rFont val="Noto Sans CJK SC"/>
        <family val="2"/>
      </rPr>
      <t xml:space="preserve">）</t>
    </r>
  </si>
  <si>
    <t xml:space="preserve">≥ 0</t>
  </si>
  <si>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有效 </t>
    </r>
    <r>
      <rPr>
        <sz val="9"/>
        <color rgb="FF595959"/>
        <rFont val="Arial"/>
        <family val="0"/>
        <charset val="1"/>
      </rPr>
      <t xml:space="preserve">MFU </t>
    </r>
    <r>
      <rPr>
        <sz val="9"/>
        <color rgb="FF595959"/>
        <rFont val="Noto Sans CJK SC"/>
        <family val="2"/>
      </rPr>
      <t xml:space="preserve">低於預訓練，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小時占比必然較高</t>
    </r>
  </si>
  <si>
    <r>
      <rPr>
        <sz val="9"/>
        <color rgb="FF595959"/>
        <rFont val="Arial"/>
        <family val="0"/>
        <charset val="1"/>
      </rPr>
      <t xml:space="preserve">Training I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</si>
  <si>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最終訓練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研發計畫</t>
    </r>
  </si>
  <si>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三家公司區間</t>
    </r>
  </si>
  <si>
    <r>
      <rPr>
        <sz val="9"/>
        <color rgb="FF595959"/>
        <rFont val="Arial"/>
        <family val="0"/>
        <charset val="1"/>
      </rPr>
      <t xml:space="preserve">S38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SRC_DEM_001–003</t>
    </r>
    <r>
      <rPr>
        <sz val="9"/>
        <color rgb="FF595959"/>
        <rFont val="Noto Sans CJK SC"/>
        <family val="2"/>
      </rPr>
      <t xml:space="preserve">］［→ </t>
    </r>
    <r>
      <rPr>
        <sz val="9"/>
        <color rgb="FF595959"/>
        <rFont val="Arial"/>
        <family val="0"/>
        <charset val="1"/>
      </rPr>
      <t xml:space="preserve">L1_FinalTrainShare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</si>
  <si>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Noto Sans CJK SC"/>
        <family val="2"/>
      </rPr>
      <t xml:space="preserve">前沿錨點中值（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）反推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</si>
  <si>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：差距大代表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啟用參數或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假設偏低；錨點低／高值見 </t>
    </r>
    <r>
      <rPr>
        <sz val="9"/>
        <color rgb="FF595959"/>
        <rFont val="Arial"/>
        <family val="0"/>
        <charset val="1"/>
      </rPr>
      <t xml:space="preserve">Train_In</t>
    </r>
  </si>
  <si>
    <r>
      <rPr>
        <sz val="9"/>
        <color rgb="FF595959"/>
        <rFont val="Arial"/>
        <family val="0"/>
        <charset val="1"/>
      </rPr>
      <t xml:space="preserve">S39</t>
    </r>
    <r>
      <rPr>
        <sz val="9"/>
        <color rgb="FF595959"/>
        <rFont val="Noto Sans CJK SC"/>
        <family val="2"/>
      </rPr>
      <t xml:space="preserve">［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預訓練算力與 </t>
    </r>
    <r>
      <rPr>
        <sz val="9"/>
        <color rgb="FF595959"/>
        <rFont val="Arial"/>
        <family val="0"/>
        <charset val="1"/>
      </rPr>
      <t xml:space="preserve">SRC_MOD_033 </t>
    </r>
    <r>
      <rPr>
        <sz val="9"/>
        <color rgb="FF595959"/>
        <rFont val="Noto Sans CJK SC"/>
        <family val="2"/>
      </rPr>
      <t xml:space="preserve">的比較 → </t>
    </r>
    <r>
      <rPr>
        <sz val="9"/>
        <color rgb="FF595959"/>
        <rFont val="Arial"/>
        <family val="0"/>
        <charset val="1"/>
      </rPr>
      <t xml:space="preserve">L1_PretrainFLOP_Astra</t>
    </r>
    <r>
      <rPr>
        <sz val="9"/>
        <color rgb="FF595959"/>
        <rFont val="Noto Sans CJK SC"/>
        <family val="2"/>
      </rPr>
      <t xml:space="preserve">］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</si>
  <si>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最終訓練占 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一年：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／ 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</si>
  <si>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9"/>
        <color rgb="FF595959"/>
        <rFont val="Noto Sans CJK SC"/>
        <family val="2"/>
      </rPr>
      <t xml:space="preserve">本模型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值；外部參照欄為 </t>
    </r>
    <r>
      <rPr>
        <sz val="9"/>
        <color rgb="FF595959"/>
        <rFont val="Arial"/>
        <family val="0"/>
        <charset val="1"/>
      </rPr>
      <t xml:space="preserve">GB300</t>
    </r>
  </si>
  <si>
    <t xml:space="preserve">Training</t>
  </si>
  <si>
    <r>
      <rPr>
        <b val="true"/>
        <sz val="10"/>
        <rFont val="Arial"/>
        <family val="0"/>
        <charset val="1"/>
      </rPr>
      <t xml:space="preserve">Block 4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Hopper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GB200 </t>
    </r>
    <r>
      <rPr>
        <b val="true"/>
        <sz val="10"/>
        <rFont val="Noto Sans CJK SC"/>
        <family val="2"/>
      </rPr>
      <t xml:space="preserve">基準、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VR200 </t>
    </r>
    <r>
      <rPr>
        <b val="true"/>
        <sz val="10"/>
        <rFont val="Noto Sans CJK SC"/>
        <family val="2"/>
      </rPr>
      <t xml:space="preserve">基準）</t>
    </r>
  </si>
  <si>
    <t xml:space="preserve">對帳常數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</si>
  <si>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對帳：機隊付費營收（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加權、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有效單價）</t>
    </r>
  </si>
  <si>
    <r>
      <rPr>
        <sz val="10"/>
        <color rgb="FF000000"/>
        <rFont val="Arial"/>
        <family val="0"/>
        <charset val="1"/>
      </rPr>
      <t xml:space="preserve">$B/GW </t>
    </r>
    <r>
      <rPr>
        <sz val="10"/>
        <color rgb="FF000000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</si>
  <si>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外部參照＝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口徑未明，</t>
    </r>
    <r>
      <rPr>
        <sz val="9"/>
        <color rgb="FF595959"/>
        <rFont val="Arial"/>
        <family val="0"/>
        <charset val="1"/>
      </rPr>
      <t xml:space="preserve">D1</t>
    </r>
    <r>
      <rPr>
        <sz val="9"/>
        <color rgb="FF595959"/>
        <rFont val="Noto Sans CJK SC"/>
        <family val="2"/>
      </rPr>
      <t xml:space="preserve">）；同量級即機隊配置與單價可閉合。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實際單價高於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快照。</t>
    </r>
    <r>
      <rPr>
        <sz val="9"/>
        <color rgb="FF595959"/>
        <rFont val="Arial"/>
        <family val="0"/>
        <charset val="1"/>
      </rPr>
      <t xml:space="preserve">v8.0 L4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占比讀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服務世代組合 </t>
    </r>
    <r>
      <rPr>
        <sz val="9"/>
        <color rgb="FF595959"/>
        <rFont val="Arial"/>
        <family val="0"/>
        <charset val="1"/>
      </rPr>
      <t xml:space="preserve">0.6</t>
    </r>
    <r>
      <rPr>
        <sz val="9"/>
        <color rgb="FF595959"/>
        <rFont val="Noto Sans CJK SC"/>
        <family val="2"/>
      </rPr>
      <t xml:space="preserve">），不再讀本頁 </t>
    </r>
    <r>
      <rPr>
        <sz val="9"/>
        <color rgb="FF595959"/>
        <rFont val="Arial"/>
        <family val="0"/>
        <charset val="1"/>
      </rPr>
      <t xml:space="preserve">I46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0.57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</si>
  <si>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Cap_In D </t>
    </r>
    <r>
      <rPr>
        <sz val="9"/>
        <color rgb="FF595959"/>
        <rFont val="Noto Sans CJK SC"/>
        <family val="2"/>
      </rPr>
      <t xml:space="preserve">節；</t>
    </r>
    <r>
      <rPr>
        <sz val="9"/>
        <color rgb="FF595959"/>
        <rFont val="Arial"/>
        <family val="0"/>
        <charset val="1"/>
      </rPr>
      <t xml:space="preserve">E010</t>
    </r>
    <r>
      <rPr>
        <sz val="9"/>
        <color rgb="FF595959"/>
        <rFont val="Noto Sans CJK SC"/>
        <family val="2"/>
      </rPr>
      <t xml:space="preserve">［→ </t>
    </r>
    <r>
      <rPr>
        <sz val="9"/>
        <color rgb="FF595959"/>
        <rFont val="Arial"/>
        <family val="0"/>
        <charset val="1"/>
      </rPr>
      <t xml:space="preserve">L1_RevGWFleet_OAI2025</t>
    </r>
    <r>
      <rPr>
        <sz val="9"/>
        <color rgb="FF595959"/>
        <rFont val="Noto Sans CJK SC"/>
        <family val="2"/>
      </rPr>
      <t xml:space="preserve">］</t>
    </r>
  </si>
  <si>
    <r>
      <rPr>
        <sz val="9"/>
        <color rgb="FF595959"/>
        <rFont val="Arial"/>
        <family val="0"/>
        <charset val="1"/>
      </rPr>
      <t xml:space="preserve">OpenAI 2025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$B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</si>
  <si>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本模型 </t>
    </r>
    <r>
      <rPr>
        <sz val="10"/>
        <color rgb="FF000000"/>
        <rFont val="Arial"/>
        <family val="0"/>
        <charset val="1"/>
      </rPr>
      <t xml:space="preserve">Hopper Sol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</si>
  <si>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S52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E011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</si>
  <si>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</si>
  <si>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離峰輸出價 </t>
    </r>
    <r>
      <rPr>
        <sz val="10"/>
        <color rgb="FF000000"/>
        <rFont val="Arial"/>
        <family val="0"/>
        <charset val="1"/>
      </rPr>
      <t xml:space="preserve">÷ Hopper Sol decode </t>
    </r>
    <r>
      <rPr>
        <sz val="10"/>
        <color rgb="FF000000"/>
        <rFont val="Noto Sans CJK SC"/>
        <family val="2"/>
      </rPr>
      <t xml:space="preserve">成本（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）</t>
    </r>
  </si>
  <si>
    <t xml:space="preserve">S52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</si>
  <si>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GW</t>
    </r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</si>
  <si>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尖峰輸出價 </t>
    </r>
    <r>
      <rPr>
        <sz val="10"/>
        <color rgb="FF000000"/>
        <rFont val="Arial"/>
        <family val="0"/>
        <charset val="1"/>
      </rPr>
      <t xml:space="preserve">÷ Hopper Luna decode </t>
    </r>
    <r>
      <rPr>
        <sz val="10"/>
        <color rgb="FF000000"/>
        <rFont val="Noto Sans CJK SC"/>
        <family val="2"/>
      </rPr>
      <t xml:space="preserve">成本（基準利用率）</t>
    </r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</si>
  <si>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架構未必同於 </t>
    </r>
    <r>
      <rPr>
        <sz val="9"/>
        <color rgb="FF595959"/>
        <rFont val="Arial"/>
        <family val="0"/>
        <charset val="1"/>
      </rPr>
      <t xml:space="preserve">V4-Flash</t>
    </r>
    <r>
      <rPr>
        <sz val="9"/>
        <color rgb="FF595959"/>
        <rFont val="Noto Sans CJK SC"/>
        <family val="2"/>
      </rPr>
      <t xml:space="preserve">；硬體與中國資本、電力成本不同</t>
    </r>
  </si>
  <si>
    <r>
      <rPr>
        <sz val="9"/>
        <color rgb="FF595959"/>
        <rFont val="Arial"/>
        <family val="0"/>
        <charset val="1"/>
      </rPr>
      <t xml:space="preserve">2025 Hopper </t>
    </r>
    <r>
      <rPr>
        <sz val="9"/>
        <color rgb="FF595959"/>
        <rFont val="Noto Sans CJK SC"/>
        <family val="2"/>
      </rPr>
      <t xml:space="preserve">占機隊（對照；</t>
    </r>
    <r>
      <rPr>
        <sz val="9"/>
        <color rgb="FF595959"/>
        <rFont val="Arial"/>
        <family val="0"/>
        <charset val="1"/>
      </rPr>
      <t xml:space="preserve">v8.0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B43 </t>
    </r>
    <r>
      <rPr>
        <sz val="9"/>
        <color rgb="FF595959"/>
        <rFont val="Noto Sans CJK SC"/>
        <family val="2"/>
      </rPr>
      <t xml:space="preserve">不讀本格，改讀 </t>
    </r>
    <r>
      <rPr>
        <sz val="9"/>
        <color rgb="FF595959"/>
        <rFont val="Arial"/>
        <family val="0"/>
        <charset val="1"/>
      </rPr>
      <t xml:space="preserve">AL_MixHopper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</si>
  <si>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Analogy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v5.18 D4</t>
    </r>
    <r>
      <rPr>
        <sz val="9"/>
        <color rgb="FF595959"/>
        <rFont val="Noto Sans CJK SC"/>
        <family val="2"/>
      </rPr>
      <t xml:space="preserve">）：區間 </t>
    </r>
    <r>
      <rPr>
        <sz val="9"/>
        <color rgb="FF595959"/>
        <rFont val="Arial"/>
        <family val="0"/>
        <charset val="1"/>
      </rPr>
      <t xml:space="preserve">0.5–0.6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Epoch </t>
    </r>
    <r>
      <rPr>
        <sz val="9"/>
        <color rgb="FF595959"/>
        <rFont val="Noto Sans CJK SC"/>
        <family val="2"/>
      </rPr>
      <t xml:space="preserve">轉述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揭露，至 </t>
    </r>
    <r>
      <rPr>
        <sz val="9"/>
        <color rgb="FF595959"/>
        <rFont val="Arial"/>
        <family val="0"/>
        <charset val="1"/>
      </rPr>
      <t xml:space="preserve">2025-10 </t>
    </r>
    <r>
      <rPr>
        <sz val="9"/>
        <color rgb="FF595959"/>
        <rFont val="Noto Sans CJK SC"/>
        <family val="2"/>
      </rPr>
      <t xml:space="preserve">累計出貨 </t>
    </r>
    <r>
      <rPr>
        <sz val="9"/>
        <color rgb="FF595959"/>
        <rFont val="Arial"/>
        <family val="0"/>
        <charset val="1"/>
      </rPr>
      <t xml:space="preserve">Hopper 4 M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Blackwell 3 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4/7</t>
    </r>
    <r>
      <rPr>
        <sz val="9"/>
        <color rgb="FF595959"/>
        <rFont val="Noto Sans CJK SC"/>
        <family val="2"/>
      </rPr>
      <t xml:space="preserve">；全球口徑，非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機隊；證據見 </t>
    </r>
    <r>
      <rPr>
        <sz val="9"/>
        <color rgb="FF595959"/>
        <rFont val="Arial"/>
        <family val="0"/>
        <charset val="1"/>
      </rPr>
      <t xml:space="preserve">DB_Evidence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</si>
  <si>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Luna</t>
    </r>
  </si>
  <si>
    <t xml:space="preserve">K2 (i)</t>
  </si>
  <si>
    <t xml:space="preserve">Price_Frontier</t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</si>
  <si>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</si>
  <si>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Noto Sans CJK SC"/>
        <family val="2"/>
      </rPr>
      <t xml:space="preserve">單價前緣模型：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</si>
  <si>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9"/>
        <color rgb="FF595959"/>
        <rFont val="Arial"/>
        <family val="0"/>
        <charset val="1"/>
      </rPr>
      <t xml:space="preserve">Claude Opus 5.5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$4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$20</t>
    </r>
    <r>
      <rPr>
        <sz val="9"/>
        <color rgb="FF595959"/>
        <rFont val="Noto Sans CJK SC"/>
        <family val="2"/>
      </rPr>
      <t xml:space="preserve">）指數未取得；若 ≥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門檻，前緣將下移</t>
    </r>
  </si>
  <si>
    <r>
      <rPr>
        <sz val="10"/>
        <color rgb="FF000000"/>
        <rFont val="Noto Sans CJK SC"/>
        <family val="2"/>
      </rPr>
      <t xml:space="preserve">中國合格者最低 </t>
    </r>
    <r>
      <rPr>
        <sz val="10"/>
        <color rgb="FF000000"/>
        <rFont val="Arial"/>
        <family val="0"/>
        <charset val="1"/>
      </rPr>
      <t xml:space="preserve">÷ OpenAI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</si>
  <si>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&gt;1</t>
  </si>
  <si>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：同能力下中國廠商未比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便宜</t>
    </r>
  </si>
  <si>
    <r>
      <rPr>
        <sz val="10"/>
        <color rgb="FF000000"/>
        <rFont val="Noto Sans CJK SC"/>
        <family val="2"/>
      </rPr>
      <t xml:space="preserve">隱含每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年家族研發計畫數（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</si>
  <si>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1–3</t>
  </si>
  <si>
    <r>
      <rPr>
        <sz val="9"/>
        <color rgb="FF595959"/>
        <rFont val="Noto Sans CJK SC"/>
        <family val="2"/>
      </rPr>
      <t xml:space="preserve">遠高於 </t>
    </r>
    <r>
      <rPr>
        <sz val="9"/>
        <color rgb="FF595959"/>
        <rFont val="Arial"/>
        <family val="0"/>
        <charset val="1"/>
      </rPr>
      <t xml:space="preserve">1–3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J8 </t>
    </r>
    <r>
      <rPr>
        <sz val="9"/>
        <color rgb="FF595959"/>
        <rFont val="Noto Sans CJK SC"/>
        <family val="2"/>
      </rPr>
      <t xml:space="preserve">單一計畫規模偏小或訓練占比偏高</t>
    </r>
  </si>
  <si>
    <t xml:space="preserve">Fleet_1GW</t>
  </si>
  <si>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閉合（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</si>
  <si>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0</t>
  </si>
  <si>
    <r>
      <rPr>
        <sz val="10"/>
        <color rgb="FF000000"/>
        <rFont val="Noto Sans CJK SC"/>
        <family val="2"/>
      </rPr>
      <t xml:space="preserve">自下而上攤提 </t>
    </r>
    <r>
      <rPr>
        <sz val="10"/>
        <color rgb="FF000000"/>
        <rFont val="Arial"/>
        <family val="0"/>
        <charset val="1"/>
      </rPr>
      <t xml:space="preserve">÷ Sol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</si>
  <si>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t xml:space="preserve">回本所需溢價占單價的比例</t>
  </si>
  <si>
    <t xml:space="preserve">Amortize</t>
  </si>
  <si>
    <r>
      <rPr>
        <sz val="10"/>
        <color rgb="FF000000"/>
        <rFont val="Arial"/>
        <family val="0"/>
        <charset val="1"/>
      </rPr>
      <t xml:space="preserve">K6 </t>
    </r>
    <r>
      <rPr>
        <sz val="10"/>
        <color rgb="FF000000"/>
        <rFont val="Noto Sans CJK SC"/>
        <family val="2"/>
      </rPr>
      <t xml:space="preserve">縮放倍數：由上而下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自下而上年化總額（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</si>
  <si>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個計畫時約 </t>
    </r>
    <r>
      <rPr>
        <sz val="10"/>
        <color rgb="FF000000"/>
        <rFont val="Arial"/>
        <family val="0"/>
        <charset val="1"/>
      </rPr>
      <t xml:space="preserve">1</t>
    </r>
  </si>
  <si>
    <r>
      <rPr>
        <sz val="9"/>
        <color rgb="FF595959"/>
        <rFont val="Noto Sans CJK SC"/>
        <family val="2"/>
      </rPr>
      <t xml:space="preserve">與『隱含家族研發計畫數』同源（</t>
    </r>
    <r>
      <rPr>
        <sz val="9"/>
        <color rgb="FF595959"/>
        <rFont val="Arial"/>
        <family val="0"/>
        <charset val="1"/>
      </rPr>
      <t xml:space="preserve">J8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(c) </t>
    </r>
    <r>
      <rPr>
        <sz val="9"/>
        <color rgb="FF595959"/>
        <rFont val="Noto Sans CJK SC"/>
        <family val="2"/>
      </rPr>
      <t xml:space="preserve">以此倍數放大自下而上攤提</t>
    </r>
  </si>
  <si>
    <r>
      <rPr>
        <sz val="10"/>
        <color rgb="FF000000"/>
        <rFont val="Arial"/>
        <family val="0"/>
        <charset val="1"/>
      </rPr>
      <t xml:space="preserve">K6 (c)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預設攤提 </t>
    </r>
    <r>
      <rPr>
        <sz val="10"/>
        <color rgb="FF000000"/>
        <rFont val="Arial"/>
        <family val="0"/>
        <charset val="1"/>
      </rPr>
      <t xml:space="preserve">÷ Astra </t>
    </r>
    <r>
      <rPr>
        <sz val="10"/>
        <color rgb="FF000000"/>
        <rFont val="Noto Sans CJK SC"/>
        <family val="2"/>
      </rPr>
      <t xml:space="preserve">有效混合單價（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</si>
  <si>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預設口徑下 </t>
    </r>
    <r>
      <rPr>
        <sz val="9"/>
        <color rgb="FF595959"/>
        <rFont val="Arial"/>
        <family val="0"/>
        <charset val="1"/>
      </rPr>
      <t xml:space="preserve">Astra </t>
    </r>
    <r>
      <rPr>
        <sz val="9"/>
        <color rgb="FF595959"/>
        <rFont val="Noto Sans CJK SC"/>
        <family val="2"/>
      </rPr>
      <t xml:space="preserve">單價中訓練攤提所占比例</t>
    </r>
  </si>
  <si>
    <r>
      <rPr>
        <sz val="10"/>
        <color rgb="FF000000"/>
        <rFont val="Noto Sans CJK SC"/>
        <family val="2"/>
      </rPr>
      <t xml:space="preserve">機隊各層級貢獻合計 − 機隊合計（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</si>
  <si>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B </t>
    </r>
    <r>
      <rPr>
        <sz val="9"/>
        <color rgb="FF595959"/>
        <rFont val="Noto Sans CJK SC"/>
        <family val="2"/>
      </rPr>
      <t xml:space="preserve">節</t>
    </r>
  </si>
  <si>
    <r>
      <rPr>
        <b val="true"/>
        <sz val="10"/>
        <rFont val="Arial"/>
        <family val="0"/>
        <charset val="1"/>
      </rPr>
      <t xml:space="preserve">Block 5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Coding agent</t>
    </r>
    <r>
      <rPr>
        <b val="true"/>
        <sz val="10"/>
        <rFont val="Noto Sans CJK SC"/>
        <family val="2"/>
      </rPr>
      <t xml:space="preserve">（長程）＝</t>
    </r>
    <r>
      <rPr>
        <b val="true"/>
        <sz val="10"/>
        <rFont val="Arial"/>
        <family val="0"/>
        <charset val="1"/>
      </rPr>
      <t xml:space="preserve">Harness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Workload </t>
    </r>
    <r>
      <rPr>
        <b val="true"/>
        <sz val="10"/>
        <rFont val="Noto Sans CJK SC"/>
        <family val="2"/>
      </rPr>
      <t xml:space="preserve">欄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</si>
  <si>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混合權重 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（基準應為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</si>
  <si>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 </t>
    </r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＝標準 </t>
    </r>
    <r>
      <rPr>
        <sz val="9"/>
        <color rgb="FF595959"/>
        <rFont val="Arial"/>
        <family val="0"/>
        <charset val="1"/>
      </rPr>
      <t xml:space="preserve">harness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Block 1–4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v5.8 </t>
    </r>
    <r>
      <rPr>
        <sz val="9"/>
        <color rgb="FF595959"/>
        <rFont val="Noto Sans CJK SC"/>
        <family val="2"/>
      </rPr>
      <t xml:space="preserve">逐格一致</t>
    </r>
  </si>
  <si>
    <t xml:space="preserve">Tech_Registry T12</t>
  </si>
  <si>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總 </t>
    </r>
    <r>
      <rPr>
        <sz val="10"/>
        <color rgb="FF000000"/>
        <rFont val="Arial"/>
        <family val="0"/>
        <charset val="1"/>
      </rPr>
      <t xml:space="preserve">token − Harness </t>
    </r>
    <r>
      <rPr>
        <sz val="10"/>
        <color rgb="FF000000"/>
        <rFont val="Noto Sans CJK SC"/>
        <family val="2"/>
      </rPr>
      <t xml:space="preserve">標準總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任務絕對差合計）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</si>
  <si>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時）</t>
    </r>
  </si>
  <si>
    <r>
      <rPr>
        <sz val="9"/>
        <color rgb="FF595959"/>
        <rFont val="Arial"/>
        <family val="0"/>
        <charset val="1"/>
      </rPr>
      <t xml:space="preserve">w</t>
    </r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時應 </t>
    </r>
    <r>
      <rPr>
        <sz val="9"/>
        <color rgb="FF595959"/>
        <rFont val="Arial"/>
        <family val="0"/>
        <charset val="1"/>
      </rPr>
      <t xml:space="preserve">&gt; 0</t>
    </r>
  </si>
  <si>
    <r>
      <rPr>
        <sz val="9"/>
        <color rgb="FF595959"/>
        <rFont val="Arial"/>
        <family val="0"/>
        <charset val="1"/>
      </rPr>
      <t xml:space="preserve">Workload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Harness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</si>
  <si>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）：選定檔案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總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</si>
  <si>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9"/>
        <color rgb="FF595959"/>
        <rFont val="Noto Sans CJK SC"/>
        <family val="2"/>
      </rPr>
      <t xml:space="preserve">外部參照＝『少用約 </t>
    </r>
    <r>
      <rPr>
        <sz val="9"/>
        <color rgb="FF595959"/>
        <rFont val="Arial"/>
        <family val="0"/>
        <charset val="1"/>
      </rPr>
      <t xml:space="preserve">49% token</t>
    </r>
    <r>
      <rPr>
        <sz val="9"/>
        <color rgb="FF595959"/>
        <rFont val="Noto Sans CJK SC"/>
        <family val="2"/>
      </rPr>
      <t xml:space="preserve">』；只看方向（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為互動遊戲，不是 </t>
    </r>
    <r>
      <rPr>
        <sz val="9"/>
        <color rgb="FF595959"/>
        <rFont val="Arial"/>
        <family val="0"/>
        <charset val="1"/>
      </rPr>
      <t xml:space="preserve">Workload </t>
    </r>
    <r>
      <rPr>
        <sz val="9"/>
        <color rgb="FF595959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</si>
  <si>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重現（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× Coding agent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</si>
  <si>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外部參照＝同為最高推理的成本比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成功率比（≈</t>
    </r>
    <r>
      <rPr>
        <sz val="9"/>
        <color rgb="FF595959"/>
        <rFont val="Arial"/>
        <family val="0"/>
        <charset val="1"/>
      </rPr>
      <t xml:space="preserve">0.42</t>
    </r>
    <r>
      <rPr>
        <sz val="9"/>
        <color rgb="FF595959"/>
        <rFont val="Noto Sans CJK SC"/>
        <family val="2"/>
      </rPr>
      <t xml:space="preserve">）；方向一致即可</t>
    </r>
  </si>
  <si>
    <r>
      <rPr>
        <sz val="10"/>
        <color rgb="FF000000"/>
        <rFont val="Arial"/>
        <family val="0"/>
        <charset val="1"/>
      </rPr>
      <t xml:space="preserve">ARC </t>
    </r>
    <r>
      <rPr>
        <sz val="10"/>
        <color rgb="FF000000"/>
        <rFont val="Noto Sans CJK SC"/>
        <family val="2"/>
      </rPr>
      <t xml:space="preserve">成功率換算為時間範圍倍數（</t>
    </r>
    <r>
      <rPr>
        <sz val="10"/>
        <color rgb="FF000000"/>
        <rFont val="Arial"/>
        <family val="0"/>
        <charset val="1"/>
      </rPr>
      <t xml:space="preserve">β </t>
    </r>
    <r>
      <rPr>
        <sz val="10"/>
        <color rgb="FF000000"/>
        <rFont val="Noto Sans CJK SC"/>
        <family val="2"/>
      </rPr>
      <t xml:space="preserve">基準）</t>
    </r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</si>
  <si>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區間）</t>
    </r>
  </si>
  <si>
    <r>
      <rPr>
        <sz val="9"/>
        <color rgb="FF595959"/>
        <rFont val="Noto Sans CJK SC"/>
        <family val="2"/>
      </rPr>
      <t xml:space="preserve">遠大於區間：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的提升無法用 </t>
    </r>
    <r>
      <rPr>
        <sz val="9"/>
        <color rgb="FF595959"/>
        <rFont val="Arial"/>
        <family val="0"/>
        <charset val="1"/>
      </rPr>
      <t xml:space="preserve">METR </t>
    </r>
    <r>
      <rPr>
        <sz val="9"/>
        <color rgb="FF595959"/>
        <rFont val="Noto Sans CJK SC"/>
        <family val="2"/>
      </rPr>
      <t xml:space="preserve">型曲線表達，故 </t>
    </r>
    <r>
      <rPr>
        <sz val="9"/>
        <color rgb="FF595959"/>
        <rFont val="Arial"/>
        <family val="0"/>
        <charset val="1"/>
      </rPr>
      <t xml:space="preserve">ARC </t>
    </r>
    <r>
      <rPr>
        <sz val="9"/>
        <color rgb="FF595959"/>
        <rFont val="Noto Sans CJK SC"/>
        <family val="2"/>
      </rPr>
      <t xml:space="preserve">只作方向檢查、不校準時間範圍倍數</t>
    </r>
  </si>
  <si>
    <r>
      <rPr>
        <sz val="9"/>
        <color rgb="FF595959"/>
        <rFont val="Arial"/>
        <family val="0"/>
        <charset val="1"/>
      </rPr>
      <t xml:space="preserve">S58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S59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</si>
  <si>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（四個模型平均）</t>
    </r>
  </si>
  <si>
    <t xml:space="preserve">外部參照欄＝本模型採用值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</si>
  <si>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成功率</t>
    </r>
  </si>
  <si>
    <r>
      <rPr>
        <sz val="9"/>
        <color rgb="FF595959"/>
        <rFont val="Noto Sans CJK SC"/>
        <family val="2"/>
      </rPr>
      <t xml:space="preserve">任務長度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小時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時間範圍 </t>
    </r>
    <r>
      <rPr>
        <sz val="9"/>
        <color rgb="FF595959"/>
        <rFont val="Arial"/>
        <family val="0"/>
        <charset val="1"/>
      </rPr>
      <t xml:space="preserve">16 </t>
    </r>
    <r>
      <rPr>
        <sz val="9"/>
        <color rgb="FF595959"/>
        <rFont val="Noto Sans CJK SC"/>
        <family val="2"/>
      </rPr>
      <t xml:space="preserve">小時</t>
    </r>
  </si>
  <si>
    <r>
      <rPr>
        <sz val="9"/>
        <color rgb="FF595959"/>
        <rFont val="Arial"/>
        <family val="0"/>
        <charset val="1"/>
      </rPr>
      <t xml:space="preserve">Har_In C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</si>
  <si>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每成功任務：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前緣組合（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 ≥ p_min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</si>
  <si>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外部參照欄＝不設下限的前緣（對照）；兩者不同＝下限排除了較便宜但不可靠的組合（</t>
    </r>
    <r>
      <rPr>
        <sz val="9"/>
        <color rgb="FF595959"/>
        <rFont val="Arial"/>
        <family val="0"/>
        <charset val="1"/>
      </rPr>
      <t xml:space="preserve">M1 (b)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</si>
  <si>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Harness H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</si>
  <si>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Sens_Har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R </t>
    </r>
    <r>
      <rPr>
        <sz val="10"/>
        <color rgb="FF000000"/>
        <rFont val="Noto Sans CJK SC"/>
        <family val="2"/>
      </rPr>
      <t xml:space="preserve">最小～最大（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</si>
  <si>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最大值 </t>
    </r>
    <r>
      <rPr>
        <sz val="9"/>
        <color rgb="FF595959"/>
        <rFont val="Arial"/>
        <family val="0"/>
        <charset val="1"/>
      </rPr>
      <t xml:space="preserve">&gt; 1 </t>
    </r>
    <r>
      <rPr>
        <sz val="9"/>
        <color rgb="FF595959"/>
        <rFont val="Noto Sans CJK SC"/>
        <family val="2"/>
      </rPr>
      <t xml:space="preserve">即 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在區間內可能提高每成功任務成本</t>
    </r>
  </si>
  <si>
    <t xml:space="preserve">Sens_Har</t>
  </si>
  <si>
    <r>
      <rPr>
        <sz val="10"/>
        <color rgb="FF000000"/>
        <rFont val="Noto Sans CJK SC"/>
        <family val="2"/>
      </rPr>
      <t xml:space="preserve">可靠度下限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</si>
  <si>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</si>
  <si>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＝不設下限（等同 </t>
    </r>
    <r>
      <rPr>
        <sz val="9"/>
        <color rgb="FF595959"/>
        <rFont val="Arial"/>
        <family val="0"/>
        <charset val="1"/>
      </rPr>
      <t xml:space="preserve">(a)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</si>
  <si>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Har_In A </t>
    </r>
    <r>
      <rPr>
        <sz val="9"/>
        <color rgb="FF595959"/>
        <rFont val="Noto Sans CJK SC"/>
        <family val="2"/>
      </rPr>
      <t xml:space="preserve">節</t>
    </r>
  </si>
  <si>
    <r>
      <rPr>
        <sz val="10"/>
        <color rgb="FF000000"/>
        <rFont val="Noto Sans CJK SC"/>
        <family val="2"/>
      </rPr>
      <t xml:space="preserve">前緣『無合格』的任務數（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任務）</t>
    </r>
  </si>
  <si>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（基準）</t>
    </r>
  </si>
  <si>
    <r>
      <rPr>
        <sz val="9"/>
        <color rgb="FF595959"/>
        <rFont val="Arial"/>
        <family val="0"/>
        <charset val="1"/>
      </rPr>
      <t xml:space="preserve">&gt; 0</t>
    </r>
    <r>
      <rPr>
        <sz val="9"/>
        <color rgb="FF595959"/>
        <rFont val="Noto Sans CJK SC"/>
        <family val="2"/>
      </rPr>
      <t xml:space="preserve">＝下限高於該任務所有組合的成功率</t>
    </r>
  </si>
  <si>
    <r>
      <rPr>
        <b val="true"/>
        <sz val="10"/>
        <rFont val="Arial"/>
        <family val="0"/>
        <charset val="1"/>
      </rPr>
      <t xml:space="preserve">G. </t>
    </r>
    <r>
      <rPr>
        <b val="true"/>
        <sz val="10"/>
        <rFont val="Noto Sans CJK SC"/>
        <family val="2"/>
      </rPr>
      <t xml:space="preserve">治理檢查（</t>
    </r>
    <r>
      <rPr>
        <b val="true"/>
        <sz val="10"/>
        <rFont val="Arial"/>
        <family val="0"/>
        <charset val="1"/>
      </rPr>
      <t xml:space="preserve">Stage 1 </t>
    </r>
    <r>
      <rPr>
        <b val="true"/>
        <sz val="10"/>
        <rFont val="Noto Sans CJK SC"/>
        <family val="2"/>
      </rPr>
      <t xml:space="preserve">切片一，</t>
    </r>
    <r>
      <rPr>
        <b val="true"/>
        <sz val="10"/>
        <rFont val="Arial"/>
        <family val="0"/>
        <charset val="1"/>
      </rPr>
      <t xml:space="preserve">v5.11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E13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v5.13 SRC </t>
    </r>
    <r>
      <rPr>
        <b val="true"/>
        <sz val="10"/>
        <rFont val="Noto Sans CJK SC"/>
        <family val="2"/>
      </rPr>
      <t xml:space="preserve">頁 </t>
    </r>
    <r>
      <rPr>
        <b val="true"/>
        <sz val="10"/>
        <rFont val="Arial"/>
        <family val="0"/>
        <charset val="1"/>
      </rPr>
      <t xml:space="preserve">4→8</t>
    </r>
    <r>
      <rPr>
        <b val="true"/>
        <sz val="10"/>
        <rFont val="Noto Sans CJK SC"/>
        <family val="2"/>
      </rPr>
      <t xml:space="preserve">；規劃書第 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節）：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合計必須為 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才可合併</t>
    </r>
  </si>
  <si>
    <t xml:space="preserve">編號</t>
  </si>
  <si>
    <t xml:space="preserve">檢查</t>
  </si>
  <si>
    <t xml:space="preserve">等級</t>
  </si>
  <si>
    <t xml:space="preserve">筆數</t>
  </si>
  <si>
    <t xml:space="preserve">範圍與算法</t>
  </si>
  <si>
    <t xml:space="preserve">E1</t>
  </si>
  <si>
    <r>
      <rPr>
        <sz val="10"/>
        <color rgb="FF000000"/>
        <rFont val="Noto Sans CJK SC"/>
        <family val="2"/>
      </rPr>
      <t xml:space="preserve">模型頁原始數據寫死（未連結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</si>
  <si>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ERROR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</si>
  <si>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類別＝原始數據、建置時狀態≠連結 </t>
    </r>
    <r>
      <rPr>
        <sz val="9"/>
        <color rgb="FF595959"/>
        <rFont val="Arial"/>
        <family val="0"/>
        <charset val="1"/>
      </rPr>
      <t xml:space="preserve">SRC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G0-2 </t>
    </r>
    <r>
      <rPr>
        <sz val="9"/>
        <color rgb="FF595959"/>
        <rFont val="Noto Sans CJK SC"/>
        <family val="2"/>
      </rPr>
      <t xml:space="preserve">保留與切片二另計）</t>
    </r>
  </si>
  <si>
    <t xml:space="preserve">治理（結構檢查）</t>
  </si>
  <si>
    <t xml:space="preserve">E2</t>
  </si>
  <si>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缺可比對象 </t>
    </r>
    <r>
      <rPr>
        <sz val="10"/>
        <color rgb="FF000000"/>
        <rFont val="Arial"/>
        <family val="0"/>
        <charset val="1"/>
      </rPr>
      <t xml:space="preserve">SRC_ID</t>
    </r>
  </si>
  <si>
    <t xml:space="preserve">Gov_Map</t>
  </si>
  <si>
    <t xml:space="preserve">E3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</si>
  <si>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缺區間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</si>
  <si>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；端點格（區間角色＝低／高）不另檢查</t>
    </r>
  </si>
  <si>
    <t xml:space="preserve">E4</t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</si>
  <si>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缺理由</t>
    </r>
  </si>
  <si>
    <t xml:space="preserve">E5</t>
  </si>
  <si>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格缺決策 </t>
    </r>
    <r>
      <rPr>
        <sz val="10"/>
        <color rgb="FF000000"/>
        <rFont val="Arial"/>
        <family val="0"/>
        <charset val="1"/>
      </rPr>
      <t xml:space="preserve">ID</t>
    </r>
  </si>
  <si>
    <t xml:space="preserve">E6</t>
  </si>
  <si>
    <r>
      <rPr>
        <sz val="10"/>
        <color rgb="FF000000"/>
        <rFont val="Noto Sans CJK SC"/>
        <family val="2"/>
      </rPr>
      <t xml:space="preserve">決策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不在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頁</t>
    </r>
  </si>
  <si>
    <t xml:space="preserve">Gov_Map × Decisions</t>
  </si>
  <si>
    <t xml:space="preserve">E7</t>
  </si>
  <si>
    <r>
      <rPr>
        <sz val="10"/>
        <color rgb="FF000000"/>
        <rFont val="Noto Sans CJK SC"/>
        <family val="2"/>
      </rPr>
      <t xml:space="preserve">同指標、同口徑、同對象有兩筆以上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</si>
  <si>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SRC_* X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AC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；逐筆計數，重複者每筆各計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）</t>
    </r>
  </si>
  <si>
    <t xml:space="preserve">E8</t>
  </si>
  <si>
    <r>
      <rPr>
        <sz val="10"/>
        <color rgb="FF000000"/>
        <rFont val="Arial"/>
        <family val="0"/>
        <charset val="1"/>
      </rPr>
      <t xml:space="preserve">Active SRC </t>
    </r>
    <r>
      <rPr>
        <sz val="10"/>
        <color rgb="FF000000"/>
        <rFont val="Noto Sans CJK SC"/>
        <family val="2"/>
      </rPr>
      <t xml:space="preserve">缺 </t>
    </r>
    <r>
      <rPr>
        <sz val="10"/>
        <color rgb="FF000000"/>
        <rFont val="Arial"/>
        <family val="0"/>
        <charset val="1"/>
      </rPr>
      <t xml:space="preserve">Evidence ID</t>
    </r>
  </si>
  <si>
    <r>
      <rPr>
        <sz val="9"/>
        <color rgb="FF595959"/>
        <rFont val="Arial"/>
        <family val="0"/>
        <charset val="1"/>
      </rPr>
      <t xml:space="preserve">SRC_* 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AD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）</t>
    </r>
  </si>
  <si>
    <t xml:space="preserve">E9</t>
  </si>
  <si>
    <r>
      <rPr>
        <sz val="10"/>
        <color rgb="FF000000"/>
        <rFont val="Noto Sans CJK SC"/>
        <family val="2"/>
      </rPr>
      <t xml:space="preserve">模型連結的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紀錄不是 </t>
    </r>
    <r>
      <rPr>
        <sz val="10"/>
        <color rgb="FF000000"/>
        <rFont val="Arial"/>
        <family val="0"/>
        <charset val="1"/>
      </rPr>
      <t xml:space="preserve">Active</t>
    </r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</si>
  <si>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</t>
    </r>
  </si>
  <si>
    <t xml:space="preserve">E10</t>
  </si>
  <si>
    <t xml:space="preserve">基準值不在低／高之間</t>
  </si>
  <si>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數值區間（低、高不分方向）</t>
    </r>
  </si>
  <si>
    <t xml:space="preserve">E11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</si>
  <si>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數值欄不是公式（貼值）</t>
    </r>
  </si>
  <si>
    <r>
      <rPr>
        <sz val="9"/>
        <color rgb="FF595959"/>
        <rFont val="Noto Sans CJK SC"/>
        <family val="2"/>
      </rPr>
      <t xml:space="preserve">建置時靜態檢查（</t>
    </r>
    <r>
      <rPr>
        <sz val="9"/>
        <color rgb="FF595959"/>
        <rFont val="Arial"/>
        <family val="0"/>
        <charset val="1"/>
      </rPr>
      <t xml:space="preserve">builder</t>
    </r>
    <r>
      <rPr>
        <sz val="9"/>
        <color rgb="FF595959"/>
        <rFont val="Noto Sans CJK SC"/>
        <family val="2"/>
      </rPr>
      <t xml:space="preserve">）</t>
    </r>
  </si>
  <si>
    <t xml:space="preserve">E12</t>
  </si>
  <si>
    <r>
      <rPr>
        <sz val="10"/>
        <color rgb="FF000000"/>
        <rFont val="Noto Sans CJK SC"/>
        <family val="2"/>
      </rPr>
      <t xml:space="preserve">引用的 </t>
    </r>
    <r>
      <rPr>
        <sz val="10"/>
        <color rgb="FF000000"/>
        <rFont val="Arial"/>
        <family val="0"/>
        <charset val="1"/>
      </rPr>
      <t xml:space="preserve">SRC_ID </t>
    </r>
    <r>
      <rPr>
        <sz val="10"/>
        <color rgb="FF000000"/>
        <rFont val="Noto Sans CJK SC"/>
        <family val="2"/>
      </rPr>
      <t xml:space="preserve">不存在</t>
    </r>
  </si>
  <si>
    <t xml:space="preserve">E13</t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</si>
  <si>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紀錄超出 </t>
    </r>
    <r>
      <rPr>
        <sz val="10"/>
        <color rgb="FF000000"/>
        <rFont val="Arial"/>
        <family val="0"/>
        <charset val="1"/>
      </rPr>
      <t xml:space="preserve">SRC_Index </t>
    </r>
    <r>
      <rPr>
        <sz val="10"/>
        <color rgb="FF000000"/>
        <rFont val="Noto Sans CJK SC"/>
        <family val="2"/>
      </rPr>
      <t xml:space="preserve">範圍（需重建）</t>
    </r>
  </si>
  <si>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欄在 </t>
    </r>
    <r>
      <rPr>
        <sz val="9"/>
        <color rgb="FF595959"/>
        <rFont val="Arial"/>
        <family val="0"/>
        <charset val="1"/>
      </rPr>
      <t xml:space="preserve">SRC_Index </t>
    </r>
    <r>
      <rPr>
        <sz val="9"/>
        <color rgb="FF595959"/>
        <rFont val="Noto Sans CJK SC"/>
        <family val="2"/>
      </rPr>
      <t xml:space="preserve">範圍之後、第 </t>
    </r>
    <r>
      <rPr>
        <sz val="9"/>
        <color rgb="FF595959"/>
        <rFont val="Arial"/>
        <family val="0"/>
        <charset val="1"/>
      </rPr>
      <t xml:space="preserve">400 </t>
    </r>
    <r>
      <rPr>
        <sz val="9"/>
        <color rgb="FF595959"/>
        <rFont val="Noto Sans CJK SC"/>
        <family val="2"/>
      </rPr>
      <t xml:space="preserve">列之前的非空白格（</t>
    </r>
    <r>
      <rPr>
        <sz val="9"/>
        <color rgb="FF595959"/>
        <rFont val="Arial"/>
        <family val="0"/>
        <charset val="1"/>
      </rPr>
      <t xml:space="preserve">v5.12</t>
    </r>
    <r>
      <rPr>
        <sz val="9"/>
        <color rgb="FF595959"/>
        <rFont val="Noto Sans CJK SC"/>
        <family val="2"/>
      </rPr>
      <t xml:space="preserve">）</t>
    </r>
  </si>
  <si>
    <t xml:space="preserve">W1</t>
  </si>
  <si>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紀錄缺第二來源</t>
    </r>
  </si>
  <si>
    <t xml:space="preserve">WARN</t>
  </si>
  <si>
    <r>
      <rPr>
        <sz val="9"/>
        <color rgb="FF595959"/>
        <rFont val="Arial"/>
        <family val="0"/>
        <charset val="1"/>
      </rPr>
      <t xml:space="preserve">SRC_* Z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SRC_Price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AE </t>
    </r>
    <r>
      <rPr>
        <sz val="9"/>
        <color rgb="FF595959"/>
        <rFont val="Noto Sans CJK SC"/>
        <family val="2"/>
      </rPr>
      <t xml:space="preserve">欄，</t>
    </r>
    <r>
      <rPr>
        <sz val="9"/>
        <color rgb="FF595959"/>
        <rFont val="Arial"/>
        <family val="0"/>
        <charset val="1"/>
      </rPr>
      <t xml:space="preserve">v5.29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SemiAnalysis </t>
    </r>
    <r>
      <rPr>
        <sz val="9"/>
        <color rgb="FF595959"/>
        <rFont val="Noto Sans CJK SC"/>
        <family val="2"/>
      </rPr>
      <t xml:space="preserve">規則推廣；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補）</t>
    </r>
  </si>
  <si>
    <t xml:space="preserve">W2</t>
  </si>
  <si>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級紀錄被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高段敏感度參數使用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</si>
  <si>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CC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輪分段）</t>
    </r>
  </si>
  <si>
    <t xml:space="preserve">I1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</si>
  <si>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待判定</t>
    </r>
  </si>
  <si>
    <t xml:space="preserve">INFO</t>
  </si>
  <si>
    <r>
      <rPr>
        <sz val="9"/>
        <color rgb="FF595959"/>
        <rFont val="Arial"/>
        <family val="0"/>
        <charset val="1"/>
      </rPr>
      <t xml:space="preserve">DB_Evidence L </t>
    </r>
    <r>
      <rPr>
        <sz val="9"/>
        <color rgb="FF595959"/>
        <rFont val="Noto Sans CJK SC"/>
        <family val="2"/>
      </rPr>
      <t xml:space="preserve">欄</t>
    </r>
  </si>
  <si>
    <t xml:space="preserve">I2</t>
  </si>
  <si>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</t>
    </r>
  </si>
  <si>
    <t xml:space="preserve">I3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</si>
  <si>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落在外部區間外或差距 </t>
    </r>
    <r>
      <rPr>
        <sz val="10"/>
        <color rgb="FF000000"/>
        <rFont val="Arial"/>
        <family val="0"/>
        <charset val="1"/>
      </rPr>
      <t xml:space="preserve">&gt;20% </t>
    </r>
    <r>
      <rPr>
        <sz val="10"/>
        <color rgb="FF000000"/>
        <rFont val="Noto Sans CJK SC"/>
        <family val="2"/>
      </rPr>
      <t xml:space="preserve">的列</t>
    </r>
  </si>
  <si>
    <r>
      <rPr>
        <sz val="9"/>
        <color rgb="FF595959"/>
        <rFont val="Arial"/>
        <family val="0"/>
        <charset val="1"/>
      </rPr>
      <t xml:space="preserve">L1 P </t>
    </r>
    <r>
      <rPr>
        <sz val="9"/>
        <color rgb="FF595959"/>
        <rFont val="Noto Sans CJK SC"/>
        <family val="2"/>
      </rPr>
      <t xml:space="preserve">欄</t>
    </r>
  </si>
  <si>
    <t xml:space="preserve">I4</t>
  </si>
  <si>
    <r>
      <rPr>
        <sz val="10"/>
        <color rgb="FF000000"/>
        <rFont val="Noto Sans CJK SC"/>
        <family val="2"/>
      </rPr>
      <t xml:space="preserve">原始數據 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保留藍字（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佇列）</t>
    </r>
  </si>
  <si>
    <t xml:space="preserve">I5</t>
  </si>
  <si>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寫死待改公式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</si>
  <si>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Arch 21–23 </t>
    </r>
    <r>
      <rPr>
        <sz val="9"/>
        <color rgb="FF595959"/>
        <rFont val="Noto Sans CJK SC"/>
        <family val="2"/>
      </rPr>
      <t xml:space="preserve">已於 </t>
    </r>
    <r>
      <rPr>
        <sz val="9"/>
        <color rgb="FF595959"/>
        <rFont val="Arial"/>
        <family val="0"/>
        <charset val="1"/>
      </rPr>
      <t xml:space="preserve">v5.13 D </t>
    </r>
    <r>
      <rPr>
        <sz val="9"/>
        <color rgb="FF595959"/>
        <rFont val="Noto Sans CJK SC"/>
        <family val="2"/>
      </rPr>
      <t xml:space="preserve">改公式；餘為 </t>
    </r>
    <r>
      <rPr>
        <sz val="9"/>
        <color rgb="FF595959"/>
        <rFont val="Arial"/>
        <family val="0"/>
        <charset val="1"/>
      </rPr>
      <t xml:space="preserve">Train_In C44 </t>
    </r>
    <r>
      <rPr>
        <sz val="9"/>
        <color rgb="FF595959"/>
        <rFont val="Noto Sans CJK SC"/>
        <family val="2"/>
      </rPr>
      <t xml:space="preserve">等）</t>
    </r>
  </si>
  <si>
    <t xml:space="preserve">I6</t>
  </si>
  <si>
    <t xml:space="preserve">結構選擇（無數值區間）</t>
  </si>
  <si>
    <t xml:space="preserve">I7</t>
  </si>
  <si>
    <r>
      <rPr>
        <sz val="10"/>
        <color rgb="FF000000"/>
        <rFont val="Noto Sans CJK SC"/>
        <family val="2"/>
      </rPr>
      <t xml:space="preserve">原始數據待連結（尚無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</si>
  <si>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v5.13 </t>
    </r>
    <r>
      <rPr>
        <sz val="9"/>
        <color rgb="FF595959"/>
        <rFont val="Noto Sans CJK SC"/>
        <family val="2"/>
      </rPr>
      <t xml:space="preserve">起：原始數據尚無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紀錄者，例如 </t>
    </r>
    <r>
      <rPr>
        <sz val="9"/>
        <color rgb="FF595959"/>
        <rFont val="Arial"/>
        <family val="0"/>
        <charset val="1"/>
      </rPr>
      <t xml:space="preserve">Tech_Registry </t>
    </r>
    <r>
      <rPr>
        <sz val="9"/>
        <color rgb="FF595959"/>
        <rFont val="Noto Sans CJK SC"/>
        <family val="2"/>
      </rPr>
      <t xml:space="preserve">採用數、</t>
    </r>
    <r>
      <rPr>
        <sz val="9"/>
        <color rgb="FF595959"/>
        <rFont val="Arial"/>
        <family val="0"/>
        <charset val="1"/>
      </rPr>
      <t xml:space="preserve">Cap_In </t>
    </r>
    <r>
      <rPr>
        <sz val="9"/>
        <color rgb="FF595959"/>
        <rFont val="Noto Sans CJK SC"/>
        <family val="2"/>
      </rPr>
      <t xml:space="preserve">尖峰離峰屬性；</t>
    </r>
    <r>
      <rPr>
        <sz val="9"/>
        <color rgb="FF595959"/>
        <rFont val="Arial"/>
        <family val="0"/>
        <charset val="1"/>
      </rPr>
      <t xml:space="preserve">Stage 2 </t>
    </r>
    <r>
      <rPr>
        <sz val="9"/>
        <color rgb="FF595959"/>
        <rFont val="Noto Sans CJK SC"/>
        <family val="2"/>
      </rPr>
      <t xml:space="preserve">補紀錄）</t>
    </r>
  </si>
  <si>
    <t xml:space="preserve">I8</t>
  </si>
  <si>
    <r>
      <rPr>
        <sz val="10"/>
        <color rgb="FF000000"/>
        <rFont val="Noto Sans CJK SC"/>
        <family val="2"/>
      </rPr>
      <t xml:space="preserve">標記變更（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起；</t>
    </r>
    <r>
      <rPr>
        <sz val="10"/>
        <color rgb="FF000000"/>
        <rFont val="Arial"/>
        <family val="0"/>
        <charset val="1"/>
      </rPr>
      <t xml:space="preserve">Analogy→Assumed </t>
    </r>
    <r>
      <rPr>
        <sz val="10"/>
        <color rgb="FF000000"/>
        <rFont val="Noto Sans CJK SC"/>
        <family val="2"/>
      </rPr>
      <t xml:space="preserve">等）</t>
    </r>
  </si>
  <si>
    <r>
      <rPr>
        <sz val="9"/>
        <color rgb="FF595959"/>
        <rFont val="Arial"/>
        <family val="0"/>
        <charset val="1"/>
      </rPr>
      <t xml:space="preserve">Gov_Map O </t>
    </r>
    <r>
      <rPr>
        <sz val="9"/>
        <color rgb="FF595959"/>
        <rFont val="Noto Sans CJK SC"/>
        <family val="2"/>
      </rPr>
      <t xml:space="preserve">欄；請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過目</t>
    </r>
  </si>
  <si>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CI </t>
    </r>
    <r>
      <rPr>
        <b val="true"/>
        <sz val="10"/>
        <rFont val="Noto Sans CJK SC"/>
        <family val="2"/>
      </rPr>
      <t xml:space="preserve">讀取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；含 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X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Y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節）</t>
    </r>
  </si>
  <si>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H3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M1–M4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</si>
  <si>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合計（含 </t>
    </r>
    <r>
      <rPr>
        <b val="true"/>
        <sz val="10"/>
        <rFont val="Arial"/>
        <family val="0"/>
        <charset val="1"/>
      </rPr>
      <t xml:space="preserve">K4–K7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M5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</si>
  <si>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建置時靜態檢查：</t>
    </r>
    <r>
      <rPr>
        <sz val="9"/>
        <color rgb="FF595959"/>
        <rFont val="Arial"/>
        <family val="0"/>
        <charset val="1"/>
      </rPr>
      <t xml:space="preserve">Gov_Map </t>
    </r>
    <r>
      <rPr>
        <sz val="9"/>
        <color rgb="FF595959"/>
        <rFont val="Noto Sans CJK SC"/>
        <family val="2"/>
      </rPr>
      <t xml:space="preserve">類別＝原始數據且為藍字常數的格數＝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E1 </t>
    </r>
    <r>
      <rPr>
        <sz val="9"/>
        <color rgb="FF595959"/>
        <rFont val="Noto Sans CJK SC"/>
        <family val="2"/>
      </rPr>
      <t xml:space="preserve">一致）</t>
    </r>
  </si>
  <si>
    <r>
      <rPr>
        <b val="true"/>
        <sz val="10"/>
        <rFont val="Arial"/>
        <family val="0"/>
        <charset val="1"/>
      </rPr>
      <t xml:space="preserve">H. Alloc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L1 </t>
    </r>
    <r>
      <rPr>
        <b val="true"/>
        <sz val="10"/>
        <rFont val="Noto Sans CJK SC"/>
        <family val="2"/>
      </rPr>
      <t xml:space="preserve">檢查（</t>
    </r>
    <r>
      <rPr>
        <b val="true"/>
        <sz val="10"/>
        <rFont val="Arial"/>
        <family val="0"/>
        <charset val="1"/>
      </rPr>
      <t xml:space="preserve">Block 6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v5.15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v5.16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H1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H2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H3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</si>
  <si>
    <t xml:space="preserve">H1</t>
  </si>
  <si>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</si>
  <si>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世代組合四格</t>
    </r>
  </si>
  <si>
    <t xml:space="preserve">H2</t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</si>
  <si>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節自我檢查不等於基準的列數（兩邊皆為文字時不報錯）</t>
    </r>
  </si>
  <si>
    <r>
      <rPr>
        <sz val="9"/>
        <color rgb="FF595959"/>
        <rFont val="Arial"/>
        <family val="0"/>
        <charset val="1"/>
      </rPr>
      <t xml:space="preserve">Alloc </t>
    </r>
    <r>
      <rPr>
        <sz val="9"/>
        <color rgb="FF595959"/>
        <rFont val="Noto Sans CJK SC"/>
        <family val="2"/>
      </rPr>
      <t xml:space="preserve">敏感度表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欄（容差 </t>
    </r>
    <r>
      <rPr>
        <sz val="9"/>
        <color rgb="FF595959"/>
        <rFont val="Arial"/>
        <family val="0"/>
        <charset val="1"/>
      </rPr>
      <t xml:space="preserve">1e-12</t>
    </r>
    <r>
      <rPr>
        <sz val="9"/>
        <color rgb="FF595959"/>
        <rFont val="Noto Sans CJK SC"/>
        <family val="2"/>
      </rPr>
      <t xml:space="preserve">）</t>
    </r>
  </si>
  <si>
    <t xml:space="preserve">H3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</si>
  <si>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皆為數字，但不滿足 </t>
    </r>
    <r>
      <rPr>
        <sz val="10"/>
        <color rgb="FF000000"/>
        <rFont val="Arial"/>
        <family val="0"/>
        <charset val="1"/>
      </rPr>
      <t xml:space="preserve">E ≤ D ≤ F </t>
    </r>
    <r>
      <rPr>
        <sz val="10"/>
        <color rgb="FF000000"/>
        <rFont val="Noto Sans CJK SC"/>
        <family val="2"/>
      </rPr>
      <t xml:space="preserve">的列數</t>
    </r>
  </si>
  <si>
    <r>
      <rPr>
        <sz val="9"/>
        <color rgb="FF595959"/>
        <rFont val="Arial"/>
        <family val="0"/>
        <charset val="1"/>
      </rPr>
      <t xml:space="preserve">L1 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＝基準、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＝低、</t>
    </r>
    <r>
      <rPr>
        <sz val="9"/>
        <color rgb="FF595959"/>
        <rFont val="Arial"/>
        <family val="0"/>
        <charset val="1"/>
      </rPr>
      <t xml:space="preserve">F</t>
    </r>
    <r>
      <rPr>
        <sz val="9"/>
        <color rgb="FF595959"/>
        <rFont val="Noto Sans CJK SC"/>
        <family val="2"/>
      </rPr>
      <t xml:space="preserve">＝高；只用比較、不做算術，故含文字的列不會產生錯誤值，也不套容差）；情境下利用率或成本參數改變時可能合理翻轉，不計入 </t>
    </r>
    <r>
      <rPr>
        <sz val="9"/>
        <color rgb="FF595959"/>
        <rFont val="Arial"/>
        <family val="0"/>
        <charset val="1"/>
      </rPr>
      <t xml:space="preserve">GOV_Errors</t>
    </r>
  </si>
  <si>
    <r>
      <rPr>
        <b val="true"/>
        <sz val="10"/>
        <rFont val="Arial"/>
        <family val="0"/>
        <charset val="1"/>
      </rPr>
      <t xml:space="preserve">X. </t>
    </r>
    <r>
      <rPr>
        <b val="true"/>
        <sz val="10"/>
        <rFont val="Noto Sans CJK SC"/>
        <family val="2"/>
      </rPr>
      <t xml:space="preserve">生產折減並列輸出檢查（工作單 </t>
    </r>
    <r>
      <rPr>
        <b val="true"/>
        <sz val="10"/>
        <rFont val="Arial"/>
        <family val="0"/>
        <charset val="1"/>
      </rPr>
      <t xml:space="preserve">X1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v5.19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</si>
  <si>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X1</t>
  </si>
  <si>
    <r>
      <rPr>
        <sz val="10"/>
        <color rgb="FF000000"/>
        <rFont val="Noto Sans CJK SC"/>
        <family val="2"/>
      </rPr>
      <t xml:space="preserve">生產折減並列輸出的自我檢查：替代值改回 </t>
    </r>
    <r>
      <rPr>
        <sz val="10"/>
        <color rgb="FF000000"/>
        <rFont val="Arial"/>
        <family val="0"/>
        <charset val="1"/>
      </rPr>
      <t xml:space="preserve">Serving!C18 </t>
    </r>
    <r>
      <rPr>
        <sz val="10"/>
        <color rgb="FF000000"/>
        <rFont val="Noto Sans CJK SC"/>
        <family val="2"/>
      </rPr>
      <t xml:space="preserve">時，七個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列不等於對應基準列的格數</t>
    </r>
  </si>
  <si>
    <r>
      <rPr>
        <sz val="9"/>
        <color rgb="FF595959"/>
        <rFont val="Arial"/>
        <family val="0"/>
        <charset val="1"/>
      </rPr>
      <t xml:space="preserve">Theory_Rev_Prod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90–96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105 </t>
    </r>
    <r>
      <rPr>
        <sz val="9"/>
        <color rgb="FF595959"/>
        <rFont val="Noto Sans CJK SC"/>
        <family val="2"/>
      </rPr>
      <t xml:space="preserve">格；檢查副本在 </t>
    </r>
    <r>
      <rPr>
        <sz val="9"/>
        <color rgb="FF595959"/>
        <rFont val="Arial"/>
        <family val="0"/>
        <charset val="1"/>
      </rPr>
      <t xml:space="preserve">S:AG</t>
    </r>
    <r>
      <rPr>
        <sz val="9"/>
        <color rgb="FF595959"/>
        <rFont val="Noto Sans CJK SC"/>
        <family val="2"/>
      </rPr>
      <t xml:space="preserve">，不需手動改輸入）</t>
    </r>
  </si>
  <si>
    <r>
      <rPr>
        <b val="true"/>
        <sz val="10"/>
        <rFont val="Arial"/>
        <family val="0"/>
        <charset val="1"/>
      </rPr>
      <t xml:space="preserve">Y. </t>
    </r>
    <r>
      <rPr>
        <b val="true"/>
        <sz val="10"/>
        <rFont val="Noto Sans CJK SC"/>
        <family val="2"/>
      </rPr>
      <t xml:space="preserve">營收實現並列輸出檢查（工作單 </t>
    </r>
    <r>
      <rPr>
        <b val="true"/>
        <sz val="10"/>
        <rFont val="Arial"/>
        <family val="0"/>
        <charset val="1"/>
      </rPr>
      <t xml:space="preserve">X7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v5.22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X7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</si>
  <si>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X7</t>
  </si>
  <si>
    <r>
      <rPr>
        <sz val="10"/>
        <color rgb="FF000000"/>
        <rFont val="Noto Sans CJK SC"/>
        <family val="2"/>
      </rPr>
      <t xml:space="preserve">營收實現別名：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IF_*_Life </t>
    </r>
    <r>
      <rPr>
        <sz val="10"/>
        <color rgb="FF000000"/>
        <rFont val="Noto Sans CJK SC"/>
        <family val="2"/>
      </rPr>
      <t xml:space="preserve">不等於對應 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的格數（絕對差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；文字列須相同；</t>
    </r>
    <r>
      <rPr>
        <sz val="10"/>
        <color rgb="FF000000"/>
        <rFont val="Arial"/>
        <family val="0"/>
        <charset val="1"/>
      </rPr>
      <t xml:space="preserve">v6.0 D7-3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</si>
  <si>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96–99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</si>
  <si>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K. </t>
    </r>
    <r>
      <rPr>
        <b val="true"/>
        <sz val="10"/>
        <rFont val="Noto Sans CJK SC"/>
        <family val="2"/>
      </rPr>
      <t xml:space="preserve">輸出契約、四層瀑布、損益兩平與 </t>
    </r>
    <r>
      <rPr>
        <b val="true"/>
        <sz val="10"/>
        <rFont val="Arial"/>
        <family val="0"/>
        <charset val="1"/>
      </rPr>
      <t xml:space="preserve">Load_Bearing </t>
    </r>
    <r>
      <rPr>
        <b val="true"/>
        <sz val="10"/>
        <rFont val="Noto Sans CJK SC"/>
        <family val="2"/>
      </rPr>
      <t xml:space="preserve">檢查（工作單 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K2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K3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K4–K7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INFO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GOV_Info</t>
    </r>
  </si>
  <si>
    <t xml:space="preserve">K1</t>
  </si>
  <si>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為「—」的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列數（反查不到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格）</t>
    </r>
  </si>
  <si>
    <t xml:space="preserve">Interface R6:R328</t>
  </si>
  <si>
    <t xml:space="preserve">K2</t>
  </si>
  <si>
    <r>
      <rPr>
        <sz val="10"/>
        <color rgb="FF000000"/>
        <rFont val="Arial"/>
        <family val="0"/>
        <charset val="1"/>
      </rPr>
      <t xml:space="preserve">R </t>
    </r>
    <r>
      <rPr>
        <sz val="10"/>
        <color rgb="FF000000"/>
        <rFont val="Noto Sans CJK SC"/>
        <family val="2"/>
      </rPr>
      <t xml:space="preserve">欄為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但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欄缺「上限」附註的列數：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產出列、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節理論營收列，以及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v5.30 X15 (c)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IFW_RevGW*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</t>
    </r>
  </si>
  <si>
    <r>
      <rPr>
        <sz val="9"/>
        <color rgb="FF595959"/>
        <rFont val="Arial"/>
        <family val="0"/>
        <charset val="1"/>
      </rPr>
      <t xml:space="preserve">Interface 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Y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Y</t>
    </r>
    <r>
      <rPr>
        <sz val="9"/>
        <color rgb="FF595959"/>
        <rFont val="Noto Sans CJK SC"/>
        <family val="2"/>
      </rPr>
      <t xml:space="preserve">＝應附上限的靜態旗標，</t>
    </r>
    <r>
      <rPr>
        <sz val="9"/>
        <color rgb="FF595959"/>
        <rFont val="Arial"/>
        <family val="0"/>
        <charset val="1"/>
      </rPr>
      <t xml:space="preserve">X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 </t>
    </r>
    <r>
      <rPr>
        <sz val="9"/>
        <color rgb="FF595959"/>
        <rFont val="Noto Sans CJK SC"/>
        <family val="2"/>
      </rPr>
      <t xml:space="preserve">含「上限」）</t>
    </r>
  </si>
  <si>
    <t xml:space="preserve">K3</t>
  </si>
  <si>
    <r>
      <rPr>
        <sz val="10"/>
        <color rgb="FF000000"/>
        <rFont val="Noto Sans CJK SC"/>
        <family val="2"/>
      </rPr>
      <t xml:space="preserve">四層瀑布自我檢查（</t>
    </r>
    <r>
      <rPr>
        <sz val="10"/>
        <color rgb="FF000000"/>
        <rFont val="Arial"/>
        <family val="0"/>
        <charset val="1"/>
      </rPr>
      <t xml:space="preserve">v5.30 X15 (a)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 </t>
    </r>
    <r>
      <rPr>
        <sz val="10"/>
        <color rgb="FF000000"/>
        <rFont val="Noto Sans CJK SC"/>
        <family val="2"/>
      </rPr>
      <t xml:space="preserve">不等於來源列（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節／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節）的格數＋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單調違反格數（</t>
    </r>
    <r>
      <rPr>
        <sz val="10"/>
        <color rgb="FF000000"/>
        <rFont val="Arial"/>
        <family val="0"/>
        <charset val="1"/>
      </rPr>
      <t xml:space="preserve">_100 ≥ _Util ≥ _Prod ≥ _Life</t>
    </r>
    <r>
      <rPr>
        <sz val="10"/>
        <color rgb="FF000000"/>
        <rFont val="Noto Sans CJK SC"/>
        <family val="2"/>
      </rPr>
      <t xml:space="preserve">；文字列略過）；原「＝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」比對已移除</t>
    </r>
  </si>
  <si>
    <r>
      <rPr>
        <sz val="9"/>
        <color rgb="FF595959"/>
        <rFont val="Arial"/>
        <family val="0"/>
        <charset val="1"/>
      </rPr>
      <t xml:space="preserve">Interface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289–299 </t>
    </r>
    <r>
      <rPr>
        <sz val="9"/>
        <color rgb="FF595959"/>
        <rFont val="Noto Sans CJK SC"/>
        <family val="2"/>
      </rPr>
      <t xml:space="preserve">列（來源比對）＋第 </t>
    </r>
    <r>
      <rPr>
        <sz val="9"/>
        <color rgb="FF595959"/>
        <rFont val="Arial"/>
        <family val="0"/>
        <charset val="1"/>
      </rPr>
      <t xml:space="preserve">300–310 </t>
    </r>
    <r>
      <rPr>
        <sz val="9"/>
        <color rgb="FF595959"/>
        <rFont val="Noto Sans CJK SC"/>
        <family val="2"/>
      </rPr>
      <t xml:space="preserve">列（單調）</t>
    </r>
    <r>
      <rPr>
        <sz val="9"/>
        <color rgb="FF595959"/>
        <rFont val="Arial"/>
        <family val="0"/>
        <charset val="1"/>
      </rPr>
      <t xml:space="preserve">× C:Q</t>
    </r>
  </si>
  <si>
    <t xml:space="preserve">K4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</si>
  <si>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後）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 </t>
    </r>
    <r>
      <rPr>
        <sz val="10"/>
        <color rgb="FF000000"/>
        <rFont val="Arial"/>
        <family val="0"/>
        <charset val="1"/>
      </rPr>
      <t xml:space="preserve">× CTL_PriceLife × CTL_Monetize </t>
    </r>
    <r>
      <rPr>
        <sz val="10"/>
        <color rgb="FF000000"/>
        <rFont val="Noto Sans CJK SC"/>
        <family val="2"/>
      </rPr>
      <t xml:space="preserve">之差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＝不等；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起讀重解值，不再線性乘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；應為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</si>
  <si>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L1_FleetMargin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IF_RevGWFleet_Prod[11] ÷ IF_HoldEcon[11] × CTL_PriceLife × CTL_Monetize</t>
    </r>
  </si>
  <si>
    <t xml:space="preserve">K5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</si>
  <si>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列數（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即時篩選：</t>
    </r>
    <r>
      <rPr>
        <sz val="10"/>
        <color rgb="FF000000"/>
        <rFont val="Arial"/>
        <family val="0"/>
        <charset val="1"/>
      </rPr>
      <t xml:space="preserve">P</t>
    </r>
    <r>
      <rPr>
        <sz val="10"/>
        <color rgb="FF000000"/>
        <rFont val="Noto Sans CJK SC"/>
        <family val="2"/>
      </rPr>
      <t xml:space="preserve">＝高 且 </t>
    </r>
    <r>
      <rPr>
        <sz val="10"/>
        <color rgb="FF000000"/>
        <rFont val="Arial"/>
        <family val="0"/>
        <charset val="1"/>
      </rPr>
      <t xml:space="preserve">F∈{Assumed, Analogy}</t>
    </r>
    <r>
      <rPr>
        <sz val="10"/>
        <color rgb="FF000000"/>
        <rFont val="Noto Sans CJK SC"/>
        <family val="2"/>
      </rPr>
      <t xml:space="preserve">；本頁靜態展開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列）</t>
    </r>
  </si>
  <si>
    <r>
      <rPr>
        <sz val="9"/>
        <color rgb="FF595959"/>
        <rFont val="Arial"/>
        <family val="0"/>
        <charset val="1"/>
      </rPr>
      <t xml:space="preserve">Load_Bearing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 P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</t>
    </r>
  </si>
  <si>
    <t xml:space="preserve">K6</t>
  </si>
  <si>
    <r>
      <rPr>
        <sz val="10"/>
        <color rgb="FF000000"/>
        <rFont val="Arial"/>
        <family val="0"/>
        <charset val="1"/>
      </rPr>
      <t xml:space="preserve">Load_Bearing </t>
    </r>
    <r>
      <rPr>
        <sz val="10"/>
        <color rgb="FF000000"/>
        <rFont val="Noto Sans CJK SC"/>
        <family val="2"/>
      </rPr>
      <t xml:space="preserve">中審查日超過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天（距建置日）者</t>
    </r>
  </si>
  <si>
    <r>
      <rPr>
        <sz val="9"/>
        <color rgb="FF595959"/>
        <rFont val="Arial"/>
        <family val="0"/>
        <charset val="1"/>
      </rPr>
      <t xml:space="preserve">Load_Bearing N </t>
    </r>
    <r>
      <rPr>
        <sz val="9"/>
        <color rgb="FF595959"/>
        <rFont val="Noto Sans CJK SC"/>
        <family val="2"/>
      </rPr>
      <t xml:space="preserve">欄（無審查日者不計）</t>
    </r>
  </si>
  <si>
    <t xml:space="preserve">K7</t>
  </si>
  <si>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的低高區間未涵蓋外部對照（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＝未涵蓋</t>
    </r>
  </si>
  <si>
    <r>
      <rPr>
        <sz val="9"/>
        <color rgb="FF595959"/>
        <rFont val="Arial"/>
        <family val="0"/>
        <charset val="1"/>
      </rPr>
      <t xml:space="preserve">L1_GapProduct_Lo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_Hi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L1_ScaleServe</t>
    </r>
  </si>
  <si>
    <r>
      <rPr>
        <b val="true"/>
        <sz val="10"/>
        <rFont val="Arial"/>
        <family val="0"/>
        <charset val="1"/>
      </rPr>
      <t xml:space="preserve">M. </t>
    </r>
    <r>
      <rPr>
        <b val="true"/>
        <sz val="10"/>
        <rFont val="Noto Sans CJK SC"/>
        <family val="2"/>
      </rPr>
      <t xml:space="preserve">變現率 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追蹤檢查（工作單 </t>
    </r>
    <r>
      <rPr>
        <b val="true"/>
        <sz val="10"/>
        <rFont val="Arial"/>
        <family val="0"/>
        <charset val="1"/>
      </rPr>
      <t xml:space="preserve">v5.32 r1 B3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J4 (a)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v5.33 r1 B4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M2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M3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v5.34 </t>
    </r>
    <r>
      <rPr>
        <b val="true"/>
        <sz val="10"/>
        <rFont val="Noto Sans CJK SC"/>
        <family val="2"/>
      </rPr>
      <t xml:space="preserve">加 </t>
    </r>
    <r>
      <rPr>
        <b val="true"/>
        <sz val="10"/>
        <rFont val="Arial"/>
        <family val="0"/>
        <charset val="1"/>
      </rPr>
      <t xml:space="preserve">M4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M1–M4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WARN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GOV_Warnings</t>
    </r>
    <r>
      <rPr>
        <b val="true"/>
        <sz val="10"/>
        <rFont val="Noto Sans CJK SC"/>
        <family val="2"/>
      </rPr>
      <t xml:space="preserve">（不阻擋）</t>
    </r>
  </si>
  <si>
    <t xml:space="preserve">M1</t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</si>
  <si>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</si>
  <si>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L1_MImplied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低、高）；模型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分母已知偏低，觸發屬預期（</t>
    </r>
    <r>
      <rPr>
        <sz val="9"/>
        <color rgb="FF595959"/>
        <rFont val="Arial"/>
        <family val="0"/>
        <charset val="1"/>
      </rPr>
      <t xml:space="preserve">J4 (a)</t>
    </r>
    <r>
      <rPr>
        <sz val="9"/>
        <color rgb="FF595959"/>
        <rFont val="Noto Sans CJK SC"/>
        <family val="2"/>
      </rPr>
      <t xml:space="preserve">）</t>
    </r>
  </si>
  <si>
    <t xml:space="preserve">對照（觸發＝提示）</t>
  </si>
  <si>
    <t xml:space="preserve">M2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</si>
  <si>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AL_DPaid </t>
    </r>
    <r>
      <rPr>
        <sz val="10"/>
        <color rgb="FF000000"/>
        <rFont val="Noto Sans CJK SC"/>
        <family val="2"/>
      </rPr>
      <t xml:space="preserve">超過機隊付費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＝超過（物理上不可能）</t>
    </r>
  </si>
  <si>
    <r>
      <rPr>
        <sz val="9"/>
        <color rgb="FF595959"/>
        <rFont val="Arial"/>
        <family val="0"/>
        <charset val="1"/>
      </rPr>
      <t xml:space="preserve">AL_DPaid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L1_TokCeiling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Cap_In H7 </t>
    </r>
    <r>
      <rPr>
        <sz val="9"/>
        <color rgb="FF595959"/>
        <rFont val="Noto Sans CJK SC"/>
        <family val="2"/>
      </rPr>
      <t xml:space="preserve">上限讀法）；依現值不觸發（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</si>
  <si>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M3</t>
  </si>
  <si>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，點估計）基準落在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區間外：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＝區間外</t>
    </r>
  </si>
  <si>
    <r>
      <rPr>
        <sz val="9"/>
        <color rgb="FF595959"/>
        <rFont val="Arial"/>
        <family val="0"/>
        <charset val="1"/>
      </rPr>
      <t xml:space="preserve">L1_MFleet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Gov_Map!K598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Gov_Map!L598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GM594 </t>
    </r>
    <r>
      <rPr>
        <sz val="9"/>
        <color rgb="FF595959"/>
        <rFont val="Noto Sans CJK SC"/>
        <family val="2"/>
      </rPr>
      <t xml:space="preserve">低、高）；依錨點 </t>
    </r>
    <r>
      <rPr>
        <sz val="9"/>
        <color rgb="FF595959"/>
        <rFont val="Arial"/>
        <family val="0"/>
        <charset val="1"/>
      </rPr>
      <t xml:space="preserve">0.81 </t>
    </r>
    <r>
      <rPr>
        <sz val="9"/>
        <color rgb="FF595959"/>
        <rFont val="Noto Sans CJK SC"/>
        <family val="2"/>
      </rPr>
      <t xml:space="preserve">不觸發（</t>
    </r>
    <r>
      <rPr>
        <sz val="9"/>
        <color rgb="FF595959"/>
        <rFont val="Arial"/>
        <family val="0"/>
        <charset val="1"/>
      </rPr>
      <t xml:space="preserve">v5.33 B4</t>
    </r>
    <r>
      <rPr>
        <sz val="9"/>
        <color rgb="FF595959"/>
        <rFont val="Noto Sans CJK SC"/>
        <family val="2"/>
      </rPr>
      <t xml:space="preserve">）</t>
    </r>
  </si>
  <si>
    <t xml:space="preserve">M4</t>
  </si>
  <si>
    <r>
      <rPr>
        <sz val="10"/>
        <color rgb="FF000000"/>
        <rFont val="Noto Sans CJK SC"/>
        <family val="2"/>
      </rPr>
      <t xml:space="preserve">需求路線付費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機隊付費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（點估計）</t>
    </r>
    <r>
      <rPr>
        <sz val="10"/>
        <color rgb="FF000000"/>
        <rFont val="Arial"/>
        <family val="0"/>
        <charset val="1"/>
      </rPr>
      <t xml:space="preserve">&lt; 0.5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&gt; 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＝兩路線不閉合</t>
    </r>
  </si>
  <si>
    <t xml:space="preserve">M5</t>
  </si>
  <si>
    <r>
      <rPr>
        <sz val="10"/>
        <color rgb="FF000000"/>
        <rFont val="Noto Sans CJK SC"/>
        <family val="2"/>
      </rPr>
      <t xml:space="preserve">缺口恆等式驗算差（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ScaleServe ÷</t>
    </r>
    <r>
      <rPr>
        <sz val="10"/>
        <color rgb="FF000000"/>
        <rFont val="Noto Sans CJK SC"/>
        <family val="2"/>
      </rPr>
      <t xml:space="preserve">（計價倍數 </t>
    </r>
    <r>
      <rPr>
        <sz val="10"/>
        <color rgb="FF000000"/>
        <rFont val="Arial"/>
        <family val="0"/>
        <charset val="1"/>
      </rPr>
      <t xml:space="preserve">× IF_Util ÷</t>
    </r>
    <r>
      <rPr>
        <sz val="10"/>
        <color rgb="FF000000"/>
        <rFont val="Noto Sans CJK SC"/>
        <family val="2"/>
      </rPr>
      <t xml:space="preserve">（實際利用率 </t>
    </r>
    <r>
      <rPr>
        <sz val="10"/>
        <color rgb="FF000000"/>
        <rFont val="Arial"/>
        <family val="0"/>
        <charset val="1"/>
      </rPr>
      <t xml:space="preserve">× κ</t>
    </r>
    <r>
      <rPr>
        <sz val="10"/>
        <color rgb="FF000000"/>
        <rFont val="Noto Sans CJK SC"/>
        <family val="2"/>
      </rPr>
      <t xml:space="preserve">））− </t>
    </r>
    <r>
      <rPr>
        <sz val="10"/>
        <color rgb="FF000000"/>
        <rFont val="Arial"/>
        <family val="0"/>
        <charset val="1"/>
      </rPr>
      <t xml:space="preserve">1 ÷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174 </t>
    </r>
    <r>
      <rPr>
        <sz val="10"/>
        <color rgb="FF000000"/>
        <rFont val="Noto Sans CJK SC"/>
        <family val="2"/>
      </rPr>
      <t xml:space="preserve">列）（基準欄）絕對值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＝恆等式不成立</t>
    </r>
  </si>
  <si>
    <r>
      <rPr>
        <sz val="9"/>
        <color rgb="FF595959"/>
        <rFont val="Arial"/>
        <family val="0"/>
        <charset val="1"/>
      </rPr>
      <t xml:space="preserve">Cap_In J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256 </t>
    </r>
    <r>
      <rPr>
        <sz val="9"/>
        <color rgb="FF595959"/>
        <rFont val="Noto Sans CJK SC"/>
        <family val="2"/>
      </rPr>
      <t xml:space="preserve">列（基準欄 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）；現值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v5.36 B5.4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</si>
  <si>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Z. </t>
    </r>
    <r>
      <rPr>
        <b val="true"/>
        <sz val="10"/>
        <rFont val="Noto Sans CJK SC"/>
        <family val="2"/>
      </rPr>
      <t xml:space="preserve">契約定義檢查（工作單 稽核修正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v6.0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Z1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</si>
  <si>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Z1</t>
  </si>
  <si>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恆等式：同一層級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 </t>
    </r>
    <r>
      <rPr>
        <sz val="10"/>
        <color rgb="FF000000"/>
        <rFont val="Noto Sans CJK SC"/>
        <family val="2"/>
      </rPr>
      <t xml:space="preserve">不等於該層級單價（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有效單價與前緣單價）的格數（相對差 </t>
    </r>
    <r>
      <rPr>
        <sz val="10"/>
        <color rgb="FF000000"/>
        <rFont val="Arial"/>
        <family val="0"/>
        <charset val="1"/>
      </rPr>
      <t xml:space="preserve">&gt; 1e-9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v6.0 D7-1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</si>
  <si>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Theory_Rev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102–107 </t>
    </r>
    <r>
      <rPr>
        <sz val="9"/>
        <color rgb="FF595959"/>
        <rFont val="Noto Sans CJK SC"/>
        <family val="2"/>
      </rPr>
      <t xml:space="preserve">列 </t>
    </r>
    <r>
      <rPr>
        <sz val="9"/>
        <color rgb="FF595959"/>
        <rFont val="Arial"/>
        <family val="0"/>
        <charset val="1"/>
      </rPr>
      <t xml:space="preserve">× C:Q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 × 15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90 </t>
    </r>
    <r>
      <rPr>
        <sz val="9"/>
        <color rgb="FF595959"/>
        <rFont val="Noto Sans CJK SC"/>
        <family val="2"/>
      </rPr>
      <t xml:space="preserve">格）</t>
    </r>
  </si>
  <si>
    <r>
      <rPr>
        <b val="true"/>
        <sz val="10"/>
        <rFont val="Arial"/>
        <family val="0"/>
        <charset val="1"/>
      </rPr>
      <t xml:space="preserve">Z2. </t>
    </r>
    <r>
      <rPr>
        <b val="true"/>
        <sz val="10"/>
        <rFont val="Noto Sans CJK SC"/>
        <family val="2"/>
      </rPr>
      <t xml:space="preserve">研發世代組合檢查（工作單 稽核修正</t>
    </r>
    <r>
      <rPr>
        <b val="true"/>
        <sz val="10"/>
        <rFont val="Arial"/>
        <family val="0"/>
        <charset val="1"/>
      </rPr>
      <t xml:space="preserve">2 4r1 L3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v8.0</t>
    </r>
    <r>
      <rPr>
        <b val="true"/>
        <sz val="10"/>
        <rFont val="Noto Sans CJK SC"/>
        <family val="2"/>
      </rPr>
      <t xml:space="preserve">）：</t>
    </r>
    <r>
      <rPr>
        <b val="true"/>
        <sz val="10"/>
        <rFont val="Arial"/>
        <family val="0"/>
        <charset val="1"/>
      </rPr>
      <t xml:space="preserve">Z2 </t>
    </r>
    <r>
      <rPr>
        <b val="true"/>
        <sz val="10"/>
        <rFont val="Noto Sans CJK SC"/>
        <family val="2"/>
      </rPr>
      <t xml:space="preserve">為 </t>
    </r>
    <r>
      <rPr>
        <b val="true"/>
        <sz val="10"/>
        <rFont val="Arial"/>
        <family val="0"/>
        <charset val="1"/>
      </rPr>
      <t xml:space="preserve">ERROR </t>
    </r>
    <r>
      <rPr>
        <b val="true"/>
        <sz val="10"/>
        <rFont val="Noto Sans CJK SC"/>
        <family val="2"/>
      </rPr>
      <t xml:space="preserve">計入 </t>
    </r>
    <r>
      <rPr>
        <b val="true"/>
        <sz val="10"/>
        <rFont val="Arial"/>
        <family val="0"/>
        <charset val="1"/>
      </rPr>
      <t xml:space="preserve">GOV_Errors</t>
    </r>
  </si>
  <si>
    <t xml:space="preserve">性質（v10.0 N3）</t>
  </si>
  <si>
    <t xml:space="preserve">Z2</t>
  </si>
  <si>
    <r>
      <rPr>
        <sz val="10"/>
        <color rgb="FF000000"/>
        <rFont val="Noto Sans CJK SC"/>
        <family val="2"/>
      </rPr>
      <t xml:space="preserve">研發世代組合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）合計 ≠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（容差 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</si>
  <si>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Alloc_In </t>
    </r>
    <r>
      <rPr>
        <sz val="9"/>
        <color rgb="FF595959"/>
        <rFont val="Noto Sans CJK SC"/>
        <family val="2"/>
      </rPr>
      <t xml:space="preserve">研發世代組合四格（基準欄）</t>
    </r>
  </si>
  <si>
    <r>
      <rPr>
        <b val="true"/>
        <sz val="10"/>
        <rFont val="Arial"/>
        <family val="0"/>
        <charset val="1"/>
      </rPr>
      <t xml:space="preserve">V. </t>
    </r>
    <r>
      <rPr>
        <b val="true"/>
        <sz val="10"/>
        <rFont val="Noto Sans CJK SC"/>
        <family val="2"/>
      </rPr>
      <t xml:space="preserve">驗證計數（工作單 稽核修正</t>
    </r>
    <r>
      <rPr>
        <b val="true"/>
        <sz val="10"/>
        <rFont val="Arial"/>
        <family val="0"/>
        <charset val="1"/>
      </rPr>
      <t xml:space="preserve">2 6r1 N3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D5</t>
    </r>
    <r>
      <rPr>
        <b val="true"/>
        <sz val="10"/>
        <rFont val="Noto Sans CJK SC"/>
        <family val="2"/>
      </rPr>
      <t xml:space="preserve">，</t>
    </r>
    <r>
      <rPr>
        <b val="true"/>
        <sz val="10"/>
        <rFont val="Arial"/>
        <family val="0"/>
        <charset val="1"/>
      </rPr>
      <t xml:space="preserve">v10.0</t>
    </r>
    <r>
      <rPr>
        <b val="true"/>
        <sz val="10"/>
        <rFont val="Noto Sans CJK SC"/>
        <family val="2"/>
      </rPr>
      <t xml:space="preserve">）：只計能失敗的檢查；驗證失敗不進 </t>
    </r>
    <r>
      <rPr>
        <b val="true"/>
        <sz val="10"/>
        <rFont val="Arial"/>
        <family val="0"/>
        <charset val="1"/>
      </rPr>
      <t xml:space="preserve">GOV_Errors</t>
    </r>
    <r>
      <rPr>
        <b val="true"/>
        <sz val="10"/>
        <rFont val="Noto Sans CJK SC"/>
        <family val="2"/>
      </rPr>
      <t xml:space="preserve">（不阻擋合併），報告必須列出</t>
    </r>
  </si>
  <si>
    <r>
      <rPr>
        <sz val="9"/>
        <color rgb="FF595959"/>
        <rFont val="Noto Sans CJK SC"/>
        <family val="2"/>
      </rPr>
      <t xml:space="preserve">判準寫在 </t>
    </r>
    <r>
      <rPr>
        <sz val="9"/>
        <color rgb="FF595959"/>
        <rFont val="Arial"/>
        <family val="0"/>
        <charset val="1"/>
      </rPr>
      <t xml:space="preserve">H</t>
    </r>
    <r>
      <rPr>
        <sz val="9"/>
        <color rgb="FF595959"/>
        <rFont val="Noto Sans CJK SC"/>
        <family val="2"/>
      </rPr>
      <t xml:space="preserve">（下限）與 </t>
    </r>
    <r>
      <rPr>
        <sz val="9"/>
        <color rgb="FF595959"/>
        <rFont val="Arial"/>
        <family val="0"/>
        <charset val="1"/>
      </rPr>
      <t xml:space="preserve">I</t>
    </r>
    <r>
      <rPr>
        <sz val="9"/>
        <color rgb="FF595959"/>
        <rFont val="Noto Sans CJK SC"/>
        <family val="2"/>
      </rPr>
      <t xml:space="preserve">（上限）兩格（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 </t>
    </r>
    <r>
      <rPr>
        <sz val="9"/>
        <color rgb="FF595959"/>
        <rFont val="Arial"/>
        <family val="0"/>
        <charset val="1"/>
      </rPr>
      <t xml:space="preserve">J2 </t>
    </r>
    <r>
      <rPr>
        <sz val="9"/>
        <color rgb="FF595959"/>
        <rFont val="Noto Sans CJK SC"/>
        <family val="2"/>
      </rPr>
      <t xml:space="preserve">決定；黑字，不登錄 </t>
    </r>
    <r>
      <rPr>
        <sz val="9"/>
        <color rgb="FF595959"/>
        <rFont val="Arial"/>
        <family val="0"/>
        <charset val="1"/>
      </rPr>
      <t xml:space="preserve">Gov_Map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通過、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失敗、—＝不適用（任一側非數字）。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為廠商最佳化後的可達上限（模型高於 </t>
    </r>
    <r>
      <rPr>
        <sz val="9"/>
        <color rgb="FF595959"/>
        <rFont val="Arial"/>
        <family val="0"/>
        <charset val="1"/>
      </rPr>
      <t xml:space="preserve">MLPerf </t>
    </r>
    <r>
      <rPr>
        <sz val="9"/>
        <color rgb="FF595959"/>
        <rFont val="Noto Sans CJK SC"/>
        <family val="2"/>
      </rPr>
      <t xml:space="preserve">才判失敗）；</t>
    </r>
    <r>
      <rPr>
        <sz val="9"/>
        <color rgb="FF595959"/>
        <rFont val="Arial"/>
        <family val="0"/>
        <charset val="1"/>
      </rPr>
      <t xml:space="preserve">LMSYS </t>
    </r>
    <r>
      <rPr>
        <sz val="9"/>
        <color rgb="FF595959"/>
        <rFont val="Noto Sans CJK SC"/>
        <family val="2"/>
      </rPr>
      <t xml:space="preserve">兩點口徑不嚴（無明確 </t>
    </r>
    <r>
      <rPr>
        <sz val="9"/>
        <color rgb="FF595959"/>
        <rFont val="Arial"/>
        <family val="0"/>
        <charset val="1"/>
      </rPr>
      <t xml:space="preserve">SLO</t>
    </r>
    <r>
      <rPr>
        <sz val="9"/>
        <color rgb="FF595959"/>
        <rFont val="Noto Sans CJK SC"/>
        <family val="2"/>
      </rPr>
      <t xml:space="preserve">，模型 </t>
    </r>
    <r>
      <rPr>
        <sz val="9"/>
        <color rgb="FF595959"/>
        <rFont val="Arial"/>
        <family val="0"/>
        <charset val="1"/>
      </rPr>
      <t xml:space="preserve">Sol </t>
    </r>
    <r>
      <rPr>
        <sz val="9"/>
        <color rgb="FF595959"/>
        <rFont val="Noto Sans CJK SC"/>
        <family val="2"/>
      </rPr>
      <t xml:space="preserve">級≠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規模），帶寬 </t>
    </r>
    <r>
      <rPr>
        <sz val="9"/>
        <color rgb="FF595959"/>
        <rFont val="Arial"/>
        <family val="0"/>
        <charset val="1"/>
      </rPr>
      <t xml:space="preserve">0.5–2.0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RL </t>
    </r>
    <r>
      <rPr>
        <sz val="9"/>
        <color rgb="FF595959"/>
        <rFont val="Noto Sans CJK SC"/>
        <family val="2"/>
      </rPr>
      <t xml:space="preserve">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harness </t>
    </r>
    <r>
      <rPr>
        <sz val="9"/>
        <color rgb="FF595959"/>
        <rFont val="Noto Sans CJK SC"/>
        <family val="2"/>
      </rPr>
      <t xml:space="preserve">輪數倍數 ≥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</t>
    </r>
    <r>
      <rPr>
        <sz val="9"/>
        <color rgb="FF595959"/>
        <rFont val="Noto Sans CJK SC"/>
        <family val="2"/>
      </rPr>
      <t xml:space="preserve">方向證據，只判方向）</t>
    </r>
  </si>
  <si>
    <t xml:space="preserve">VT</t>
  </si>
  <si>
    <r>
      <rPr>
        <b val="true"/>
        <sz val="10"/>
        <rFont val="Noto Sans CJK SC"/>
        <family val="2"/>
      </rPr>
      <t xml:space="preserve">驗證項目數（</t>
    </r>
    <r>
      <rPr>
        <b val="true"/>
        <sz val="10"/>
        <rFont val="Arial"/>
        <family val="0"/>
        <charset val="1"/>
      </rPr>
      <t xml:space="preserve">F </t>
    </r>
    <r>
      <rPr>
        <b val="true"/>
        <sz val="10"/>
        <rFont val="Noto Sans CJK SC"/>
        <family val="2"/>
      </rPr>
      <t xml:space="preserve">欄為數字者）</t>
    </r>
  </si>
  <si>
    <t xml:space="preserve">VP</t>
  </si>
  <si>
    <t xml:space="preserve">通過</t>
  </si>
  <si>
    <t xml:space="preserve">VF</t>
  </si>
  <si>
    <t xml:space="preserve">失敗</t>
  </si>
  <si>
    <t xml:space="preserve">驗證項目</t>
  </si>
  <si>
    <t xml:space="preserve">模型值</t>
  </si>
  <si>
    <t xml:space="preserve">對照值（實測或上限）</t>
  </si>
  <si>
    <r>
      <rPr>
        <b val="true"/>
        <sz val="10"/>
        <rFont val="Noto Sans CJK SC"/>
        <family val="2"/>
      </rPr>
      <t xml:space="preserve">模型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對照（或模型值）</t>
    </r>
  </si>
  <si>
    <r>
      <rPr>
        <b val="true"/>
        <sz val="10"/>
        <rFont val="Noto Sans CJK SC"/>
        <family val="2"/>
      </rPr>
      <t xml:space="preserve">結果（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通過／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失敗／—）</t>
    </r>
  </si>
  <si>
    <t xml:space="preserve">性質</t>
  </si>
  <si>
    <t xml:space="preserve">通過帶下限</t>
  </si>
  <si>
    <t xml:space="preserve">通過帶上限</t>
  </si>
  <si>
    <t xml:space="preserve">口徑與來源</t>
  </si>
  <si>
    <t xml:space="preserve">V1</t>
  </si>
  <si>
    <r>
      <rPr>
        <sz val="10"/>
        <color rgb="FF000000"/>
        <rFont val="Arial"/>
        <family val="0"/>
        <charset val="1"/>
      </rPr>
      <t xml:space="preserve">MLPerf v5.1 server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</si>
  <si>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DGX H200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8 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提交，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註明 </t>
    </r>
    <r>
      <rPr>
        <sz val="9"/>
        <color rgb="FF595959"/>
        <rFont val="Arial"/>
        <family val="0"/>
        <charset val="1"/>
      </rPr>
      <t xml:space="preserve">Hopper </t>
    </r>
    <r>
      <rPr>
        <sz val="9"/>
        <color rgb="FF595959"/>
        <rFont val="Noto Sans CJK SC"/>
        <family val="2"/>
      </rPr>
      <t xml:space="preserve">結果未經 </t>
    </r>
    <r>
      <rPr>
        <sz val="9"/>
        <color rgb="FF595959"/>
        <rFont val="Arial"/>
        <family val="0"/>
        <charset val="1"/>
      </rPr>
      <t xml:space="preserve">MLCommons </t>
    </r>
    <r>
      <rPr>
        <sz val="9"/>
        <color rgb="FF595959"/>
        <rFont val="Noto Sans CJK SC"/>
        <family val="2"/>
      </rPr>
      <t xml:space="preserve">驗證）；模型為 </t>
    </r>
    <r>
      <rPr>
        <sz val="9"/>
        <color rgb="FF595959"/>
        <rFont val="Arial"/>
        <family val="0"/>
        <charset val="1"/>
      </rPr>
      <t xml:space="preserve">H100 </t>
    </r>
    <r>
      <rPr>
        <sz val="9"/>
        <color rgb="FF595959"/>
        <rFont val="Noto Sans CJK SC"/>
        <family val="2"/>
      </rPr>
      <t xml:space="preserve">規格（頻寬較 </t>
    </r>
    <r>
      <rPr>
        <sz val="9"/>
        <color rgb="FF595959"/>
        <rFont val="Arial"/>
        <family val="0"/>
        <charset val="1"/>
      </rPr>
      <t xml:space="preserve">H200 </t>
    </r>
    <r>
      <rPr>
        <sz val="9"/>
        <color rgb="FF595959"/>
        <rFont val="Noto Sans CJK SC"/>
        <family val="2"/>
      </rPr>
      <t xml:space="preserve">低，上限偏寬）</t>
    </r>
  </si>
  <si>
    <t xml:space="preserve">V2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</si>
  <si>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</si>
  <si>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4,668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v5.1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SRC_PERF_061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2,327</t>
    </r>
    <r>
      <rPr>
        <sz val="9"/>
        <color rgb="FF595959"/>
        <rFont val="Noto Sans CJK SC"/>
        <family val="2"/>
      </rPr>
      <t xml:space="preserve">）；第二來源 </t>
    </r>
    <r>
      <rPr>
        <sz val="9"/>
        <color rgb="FF595959"/>
        <rFont val="Arial"/>
        <family val="0"/>
        <charset val="1"/>
      </rPr>
      <t xml:space="preserve">CoreWeave 64 GPU 4,868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SRC_PERF_077</t>
    </r>
    <r>
      <rPr>
        <sz val="9"/>
        <color rgb="FF595959"/>
        <rFont val="Noto Sans CJK SC"/>
        <family val="2"/>
      </rPr>
      <t xml:space="preserve">）</t>
    </r>
  </si>
  <si>
    <t xml:space="preserve">V3</t>
  </si>
  <si>
    <r>
      <rPr>
        <sz val="10"/>
        <color rgb="FF000000"/>
        <rFont val="Arial"/>
        <family val="0"/>
        <charset val="1"/>
      </rPr>
      <t xml:space="preserve">MLPerf v6.0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 </t>
    </r>
    <r>
      <rPr>
        <sz val="10"/>
        <color rgb="FF000000"/>
        <rFont val="Noto Sans CJK SC"/>
        <family val="2"/>
      </rPr>
      <t xml:space="preserve">機櫃）——模型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</si>
  <si>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SRC_PERF_076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5,562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NVIDIA 72 GPU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取代 </t>
    </r>
    <r>
      <rPr>
        <sz val="9"/>
        <color rgb="FF595959"/>
        <rFont val="Arial"/>
        <family val="0"/>
        <charset val="1"/>
      </rPr>
      <t xml:space="preserve">Nebius 8 GPU </t>
    </r>
    <r>
      <rPr>
        <sz val="9"/>
        <color rgb="FF595959"/>
        <rFont val="Noto Sans CJK SC"/>
        <family val="2"/>
      </rPr>
      <t xml:space="preserve">單機 </t>
    </r>
    <r>
      <rPr>
        <sz val="9"/>
        <color rgb="FF595959"/>
        <rFont val="Arial"/>
        <family val="0"/>
        <charset val="1"/>
      </rPr>
      <t xml:space="preserve">8,064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SRC_PERF_026</t>
    </r>
    <r>
      <rPr>
        <sz val="9"/>
        <color rgb="FF595959"/>
        <rFont val="Noto Sans CJK SC"/>
        <family val="2"/>
      </rPr>
      <t xml:space="preserve">）；同輪機櫃範圍 </t>
    </r>
    <r>
      <rPr>
        <sz val="9"/>
        <color rgb="FF595959"/>
        <rFont val="Arial"/>
        <family val="0"/>
        <charset val="1"/>
      </rPr>
      <t xml:space="preserve">5,562–7,994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Nebius 72 GPU 7,994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SRC_PERF_078</t>
    </r>
    <r>
      <rPr>
        <sz val="9"/>
        <color rgb="FF595959"/>
        <rFont val="Noto Sans CJK SC"/>
        <family val="2"/>
      </rPr>
      <t xml:space="preserve">）</t>
    </r>
  </si>
  <si>
    <t xml:space="preserve">V4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</si>
  <si>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</si>
  <si>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驗證點</t>
    </r>
  </si>
  <si>
    <t xml:space="preserve">V5</t>
  </si>
  <si>
    <r>
      <rPr>
        <sz val="10"/>
        <color rgb="FF000000"/>
        <rFont val="Arial"/>
        <family val="0"/>
        <charset val="1"/>
      </rPr>
      <t xml:space="preserve">MLPerf v6.0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</si>
  <si>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驗證點</t>
    </r>
  </si>
  <si>
    <t xml:space="preserve">V6</t>
  </si>
  <si>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（預覽類）——模型 </t>
    </r>
    <r>
      <rPr>
        <sz val="10"/>
        <color rgb="FF000000"/>
        <rFont val="Arial"/>
        <family val="0"/>
        <charset val="1"/>
      </rPr>
      <t xml:space="preserve">÷ MLPerf ≤ 1</t>
    </r>
  </si>
  <si>
    <r>
      <rPr>
        <sz val="9"/>
        <color rgb="FF595959"/>
        <rFont val="Arial"/>
        <family val="0"/>
        <charset val="1"/>
      </rPr>
      <t xml:space="preserve">MLPerf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SRC_PERF_027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SRC_HW_047</t>
    </r>
    <r>
      <rPr>
        <sz val="9"/>
        <color rgb="FF595959"/>
        <rFont val="Noto Sans CJK SC"/>
        <family val="2"/>
      </rPr>
      <t xml:space="preserve">；預覽類提交，</t>
    </r>
    <r>
      <rPr>
        <sz val="9"/>
        <color rgb="FF595959"/>
        <rFont val="Arial"/>
        <family val="0"/>
        <charset val="1"/>
      </rPr>
      <t xml:space="preserve">Calib H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驗證點</t>
    </r>
  </si>
  <si>
    <t xml:space="preserve">V7</t>
  </si>
  <si>
    <r>
      <rPr>
        <sz val="10"/>
        <color rgb="FF000000"/>
        <rFont val="Arial"/>
        <family val="0"/>
        <charset val="1"/>
      </rPr>
      <t xml:space="preserve">LMSYS H100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</si>
  <si>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96×H100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ITL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100 ms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Atlas Cloud </t>
    </r>
    <r>
      <rPr>
        <sz val="9"/>
        <color rgb="FF595959"/>
        <rFont val="Noto Sans CJK SC"/>
        <family val="2"/>
      </rPr>
      <t xml:space="preserve">有商業動機）；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欄（條件對齊：</t>
    </r>
    <r>
      <rPr>
        <sz val="9"/>
        <color rgb="FF595959"/>
        <rFont val="Arial"/>
        <family val="0"/>
        <charset val="1"/>
      </rPr>
      <t xml:space="preserve">DeepSeek-V3 </t>
    </r>
    <r>
      <rPr>
        <sz val="9"/>
        <color rgb="FF595959"/>
        <rFont val="Noto Sans CJK SC"/>
        <family val="2"/>
      </rPr>
      <t xml:space="preserve">規模、輸入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ITL 100 ms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10 tok/s/user</t>
    </r>
    <r>
      <rPr>
        <sz val="9"/>
        <color rgb="FF595959"/>
        <rFont val="Noto Sans CJK SC"/>
        <family val="2"/>
      </rPr>
      <t xml:space="preserve">，批次由速度下限與 </t>
    </r>
    <r>
      <rPr>
        <sz val="9"/>
        <color rgb="FF595959"/>
        <rFont val="Arial"/>
        <family val="0"/>
        <charset val="1"/>
      </rPr>
      <t xml:space="preserve">HBM </t>
    </r>
    <r>
      <rPr>
        <sz val="9"/>
        <color rgb="FF595959"/>
        <rFont val="Noto Sans CJK SC"/>
        <family val="2"/>
      </rPr>
      <t xml:space="preserve">決定）；不用於校準</t>
    </r>
  </si>
  <si>
    <t xml:space="preserve">V8</t>
  </si>
  <si>
    <r>
      <rPr>
        <sz val="10"/>
        <color rgb="FF000000"/>
        <rFont val="Arial"/>
        <family val="0"/>
        <charset val="1"/>
      </rPr>
      <t xml:space="preserve">LMSYS GB200 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GB200——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decode tok/s/GPU 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</si>
  <si>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SRC_PERF_063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LMSYS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SGLang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GB200 NVL72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NVFP4</t>
    </r>
    <r>
      <rPr>
        <sz val="9"/>
        <color rgb="FF595959"/>
        <rFont val="Noto Sans CJK SC"/>
        <family val="2"/>
      </rPr>
      <t xml:space="preserve">，輸入 </t>
    </r>
    <r>
      <rPr>
        <sz val="9"/>
        <color rgb="FF595959"/>
        <rFont val="Arial"/>
        <family val="0"/>
        <charset val="1"/>
      </rPr>
      <t xml:space="preserve">2,000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decode 48 rank</t>
    </r>
    <r>
      <rPr>
        <sz val="9"/>
        <color rgb="FF595959"/>
        <rFont val="Noto Sans CJK SC"/>
        <family val="2"/>
      </rPr>
      <t xml:space="preserve">，無 </t>
    </r>
    <r>
      <rPr>
        <sz val="9"/>
        <color rgb="FF595959"/>
        <rFont val="Arial"/>
        <family val="0"/>
        <charset val="1"/>
      </rPr>
      <t xml:space="preserve">TPOT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合作，</t>
    </r>
    <r>
      <rPr>
        <sz val="9"/>
        <color rgb="FF595959"/>
        <rFont val="Arial"/>
        <family val="0"/>
        <charset val="1"/>
      </rPr>
      <t xml:space="preserve">Interested-party </t>
    </r>
    <r>
      <rPr>
        <sz val="9"/>
        <color rgb="FF595959"/>
        <rFont val="Noto Sans CJK SC"/>
        <family val="2"/>
      </rPr>
      <t xml:space="preserve">成分高）；</t>
    </r>
    <r>
      <rPr>
        <sz val="9"/>
        <color rgb="FF595959"/>
        <rFont val="Arial"/>
        <family val="0"/>
        <charset val="1"/>
      </rPr>
      <t xml:space="preserve">v10.2 E3</t>
    </r>
    <r>
      <rPr>
        <sz val="9"/>
        <color rgb="FF595959"/>
        <rFont val="Noto Sans CJK SC"/>
        <family val="2"/>
      </rPr>
      <t xml:space="preserve">：模型值改為 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欄（條件對齊，同 </t>
    </r>
    <r>
      <rPr>
        <sz val="9"/>
        <color rgb="FF595959"/>
        <rFont val="Arial"/>
        <family val="0"/>
        <charset val="1"/>
      </rPr>
      <t xml:space="preserve">V7</t>
    </r>
    <r>
      <rPr>
        <sz val="9"/>
        <color rgb="FF595959"/>
        <rFont val="Noto Sans CJK SC"/>
        <family val="2"/>
      </rPr>
      <t xml:space="preserve">）；不用於校準</t>
    </r>
  </si>
  <si>
    <t xml:space="preserve">V9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</si>
  <si>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</si>
  <si>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對照值＝</t>
    </r>
    <r>
      <rPr>
        <sz val="9"/>
        <color rgb="FF595959"/>
        <rFont val="Arial"/>
        <family val="0"/>
        <charset val="1"/>
      </rPr>
      <t xml:space="preserve">Olmo 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RL ÷ </t>
    </r>
    <r>
      <rPr>
        <sz val="9"/>
        <color rgb="FF595959"/>
        <rFont val="Noto Sans CJK SC"/>
        <family val="2"/>
      </rPr>
      <t xml:space="preserve">預訓練約 </t>
    </r>
    <r>
      <rPr>
        <sz val="9"/>
        <color rgb="FF595959"/>
        <rFont val="Arial"/>
        <family val="0"/>
        <charset val="1"/>
      </rPr>
      <t xml:space="preserve">0.11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SRC_PERF_064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DeepSeek-V3.2 ≥ 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SRC_PERF_065</t>
    </r>
    <r>
      <rPr>
        <sz val="9"/>
        <color rgb="FF595959"/>
        <rFont val="Noto Sans CJK SC"/>
        <family val="2"/>
      </rPr>
      <t xml:space="preserve">）；帶 </t>
    </r>
    <r>
      <rPr>
        <sz val="9"/>
        <color rgb="FF595959"/>
        <rFont val="Arial"/>
        <family val="0"/>
        <charset val="1"/>
      </rPr>
      <t xml:space="preserve">0.1–0.3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3A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節）；模型值＝</t>
    </r>
    <r>
      <rPr>
        <sz val="9"/>
        <color rgb="FF595959"/>
        <rFont val="Arial"/>
        <family val="0"/>
        <charset val="1"/>
      </rPr>
      <t xml:space="preserve">Training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78 </t>
    </r>
    <r>
      <rPr>
        <sz val="9"/>
        <color rgb="FF595959"/>
        <rFont val="Noto Sans CJK SC"/>
        <family val="2"/>
      </rPr>
      <t xml:space="preserve">列（</t>
    </r>
    <r>
      <rPr>
        <sz val="9"/>
        <color rgb="FF595959"/>
        <rFont val="Arial"/>
        <family val="0"/>
        <charset val="1"/>
      </rPr>
      <t xml:space="preserve">J9 </t>
    </r>
    <r>
      <rPr>
        <sz val="9"/>
        <color rgb="FF595959"/>
        <rFont val="Noto Sans CJK SC"/>
        <family val="2"/>
      </rPr>
      <t xml:space="preserve">目標約 </t>
    </r>
    <r>
      <rPr>
        <sz val="9"/>
        <color rgb="FF595959"/>
        <rFont val="Arial"/>
        <family val="0"/>
        <charset val="1"/>
      </rPr>
      <t xml:space="preserve">0.3</t>
    </r>
    <r>
      <rPr>
        <sz val="9"/>
        <color rgb="FF595959"/>
        <rFont val="Noto Sans CJK SC"/>
        <family val="2"/>
      </rPr>
      <t xml:space="preserve">，基準校準值，不是證據）</t>
    </r>
  </si>
  <si>
    <t xml:space="preserve">V10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</si>
  <si>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小時：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）——通過帶 </t>
    </r>
    <r>
      <rPr>
        <sz val="10"/>
        <color rgb="FF000000"/>
        <rFont val="Arial"/>
        <family val="0"/>
        <charset val="1"/>
      </rPr>
      <t xml:space="preserve">0.1–0.3</t>
    </r>
  </si>
  <si>
    <r>
      <rPr>
        <sz val="9"/>
        <color rgb="FF595959"/>
        <rFont val="Noto Sans CJK SC"/>
        <family val="2"/>
      </rPr>
      <t xml:space="preserve">同上；</t>
    </r>
    <r>
      <rPr>
        <sz val="9"/>
        <color rgb="FF595959"/>
        <rFont val="Arial"/>
        <family val="0"/>
        <charset val="1"/>
      </rPr>
      <t xml:space="preserve">Sol</t>
    </r>
  </si>
  <si>
    <t xml:space="preserve">V11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</si>
  <si>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Coding agent</t>
    </r>
    <r>
      <rPr>
        <sz val="10"/>
        <color rgb="FF000000"/>
        <rFont val="Noto Sans CJK SC"/>
        <family val="2"/>
      </rPr>
      <t xml:space="preserve">；選定檔案；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倍，只判方向）</t>
    </r>
  </si>
  <si>
    <r>
      <rPr>
        <sz val="9"/>
        <color rgb="FF595959"/>
        <rFont val="Arial"/>
        <family val="0"/>
        <charset val="1"/>
      </rPr>
      <t xml:space="preserve">SRC_HAR_016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SWE Atlas arXiv 2605.08366</t>
    </r>
    <r>
      <rPr>
        <sz val="9"/>
        <color rgb="FF595959"/>
        <rFont val="Noto Sans CJK SC"/>
        <family val="2"/>
      </rPr>
      <t xml:space="preserve">：原生 </t>
    </r>
    <r>
      <rPr>
        <sz val="9"/>
        <color rgb="FF595959"/>
        <rFont val="Arial"/>
        <family val="0"/>
        <charset val="1"/>
      </rPr>
      <t xml:space="preserve">scaffold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mini-SWE-agent </t>
    </r>
    <r>
      <rPr>
        <sz val="9"/>
        <color rgb="FF595959"/>
        <rFont val="Noto Sans CJK SC"/>
        <family val="2"/>
      </rPr>
      <t xml:space="preserve">工具呼叫 </t>
    </r>
    <r>
      <rPr>
        <sz val="9"/>
        <color rgb="FF595959"/>
        <rFont val="Arial"/>
        <family val="0"/>
        <charset val="1"/>
      </rPr>
      <t xml:space="preserve">1.5–2 </t>
    </r>
    <r>
      <rPr>
        <sz val="9"/>
        <color rgb="FF595959"/>
        <rFont val="Noto Sans CJK SC"/>
        <family val="2"/>
      </rPr>
      <t xml:space="preserve">倍）；基準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Har_In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列，</t>
    </r>
    <r>
      <rPr>
        <sz val="9"/>
        <color rgb="FF595959"/>
        <rFont val="Arial"/>
        <family val="0"/>
        <charset val="1"/>
      </rPr>
      <t xml:space="preserve">Q3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R1</t>
    </r>
    <r>
      <rPr>
        <sz val="9"/>
        <color rgb="FF595959"/>
        <rFont val="Noto Sans CJK SC"/>
        <family val="2"/>
      </rPr>
      <t xml:space="preserve">）預期失敗，如實顯示，不調輸入；工具呼叫數不等於輪數，只作方向證據</t>
    </r>
  </si>
  <si>
    <t xml:space="preserve">V12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</si>
  <si>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50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±10%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B15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</si>
  <si>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B15 </t>
    </r>
    <r>
      <rPr>
        <sz val="9"/>
        <color rgb="FF595959"/>
        <rFont val="Noto Sans CJK SC"/>
        <family val="2"/>
      </rPr>
      <t xml:space="preserve">原判準「</t>
    </r>
    <r>
      <rPr>
        <sz val="9"/>
        <color rgb="FF595959"/>
        <rFont val="Arial"/>
        <family val="0"/>
        <charset val="1"/>
      </rPr>
      <t xml:space="preserve">±10% </t>
    </r>
    <r>
      <rPr>
        <sz val="9"/>
        <color rgb="FF595959"/>
        <rFont val="Noto Sans CJK SC"/>
        <family val="2"/>
      </rPr>
      <t xml:space="preserve">內視為前緣形狀成立」</t>
    </r>
  </si>
  <si>
    <t xml:space="preserve">V13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</si>
  <si>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GB300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</si>
  <si>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B16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chat </t>
    </r>
    <r>
      <rPr>
        <sz val="9"/>
        <color rgb="FF595959"/>
        <rFont val="Noto Sans CJK SC"/>
        <family val="2"/>
      </rPr>
      <t xml:space="preserve">端預設，可撤回）：舊軟體點模型應高於實測，但不應高出數倍</t>
    </r>
  </si>
  <si>
    <t xml:space="preserve">V14</t>
  </si>
  <si>
    <r>
      <rPr>
        <sz val="10"/>
        <color rgb="FF000000"/>
        <rFont val="Noto Sans CJK SC"/>
        <family val="2"/>
      </rPr>
      <t xml:space="preserve">樣本外：</t>
    </r>
    <r>
      <rPr>
        <sz val="10"/>
        <color rgb="FF000000"/>
        <rFont val="Arial"/>
        <family val="0"/>
        <charset val="1"/>
      </rPr>
      <t xml:space="preserve">GB200 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 27 tok/s——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&gt; 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B17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</si>
  <si>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SRC_PERF_002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Checks B17 </t>
    </r>
    <r>
      <rPr>
        <sz val="9"/>
        <color rgb="FF595959"/>
        <rFont val="Noto Sans CJK SC"/>
        <family val="2"/>
      </rPr>
      <t xml:space="preserve">原判準「應 </t>
    </r>
    <r>
      <rPr>
        <sz val="9"/>
        <color rgb="FF595959"/>
        <rFont val="Arial"/>
        <family val="0"/>
        <charset val="1"/>
      </rPr>
      <t xml:space="preserve">&gt;1</t>
    </r>
    <r>
      <rPr>
        <sz val="9"/>
        <color rgb="FF595959"/>
        <rFont val="Noto Sans CJK SC"/>
        <family val="2"/>
      </rPr>
      <t xml:space="preserve">：舊軟體＋記憶體限制配方」；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加上限 ≤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（同 </t>
    </r>
    <r>
      <rPr>
        <sz val="9"/>
        <color rgb="FF595959"/>
        <rFont val="Arial"/>
        <family val="0"/>
        <charset val="1"/>
      </rPr>
      <t xml:space="preserve">V13</t>
    </r>
    <r>
      <rPr>
        <sz val="9"/>
        <color rgb="FF595959"/>
        <rFont val="Noto Sans CJK SC"/>
        <family val="2"/>
      </rPr>
      <t xml:space="preserve">，可撤回）</t>
    </r>
  </si>
  <si>
    <t xml:space="preserve">V15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</si>
  <si>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（條件對齊）：</t>
    </r>
    <r>
      <rPr>
        <sz val="10"/>
        <color rgb="FF000000"/>
        <rFont val="Arial"/>
        <family val="0"/>
        <charset val="1"/>
      </rPr>
      <t xml:space="preserve">Hopper H800——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實測，通過帶 </t>
    </r>
    <r>
      <rPr>
        <sz val="10"/>
        <color rgb="FF000000"/>
        <rFont val="Arial"/>
        <family val="0"/>
        <charset val="1"/>
      </rPr>
      <t xml:space="preserve">0.5–2.0</t>
    </r>
  </si>
  <si>
    <r>
      <rPr>
        <sz val="9"/>
        <color rgb="FF595959"/>
        <rFont val="Arial"/>
        <family val="0"/>
        <charset val="1"/>
      </rPr>
      <t xml:space="preserve">SRC_PERF_073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1,850 tok/s/GPU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24 </t>
    </r>
    <r>
      <rPr>
        <sz val="9"/>
        <color rgb="FF595959"/>
        <rFont val="Noto Sans CJK SC"/>
        <family val="2"/>
      </rPr>
      <t xml:space="preserve">小時平均）；與校準點 </t>
    </r>
    <r>
      <rPr>
        <sz val="9"/>
        <color rgb="FF595959"/>
        <rFont val="Arial"/>
        <family val="0"/>
        <charset val="1"/>
      </rPr>
      <t xml:space="preserve">2,324 </t>
    </r>
    <r>
      <rPr>
        <sz val="9"/>
        <color rgb="FF595959"/>
        <rFont val="Noto Sans CJK SC"/>
        <family val="2"/>
      </rPr>
      <t xml:space="preserve">同一家公司，相關性高；模型值＝</t>
    </r>
    <r>
      <rPr>
        <sz val="9"/>
        <color rgb="FF595959"/>
        <rFont val="Arial"/>
        <family val="0"/>
        <charset val="1"/>
      </rPr>
      <t xml:space="preserve">Calib J </t>
    </r>
    <r>
      <rPr>
        <sz val="9"/>
        <color rgb="FF595959"/>
        <rFont val="Noto Sans CJK SC"/>
        <family val="2"/>
      </rPr>
      <t xml:space="preserve">節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KV 4,989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EP144</t>
    </r>
    <r>
      <rPr>
        <sz val="9"/>
        <color rgb="FF595959"/>
        <rFont val="Noto Sans CJK SC"/>
        <family val="2"/>
      </rPr>
      <t xml:space="preserve">、約 </t>
    </r>
    <r>
      <rPr>
        <sz val="9"/>
        <color rgb="FF595959"/>
        <rFont val="Arial"/>
        <family val="0"/>
        <charset val="1"/>
      </rPr>
      <t xml:space="preserve">21 tok/s/user</t>
    </r>
    <r>
      <rPr>
        <sz val="9"/>
        <color rgb="FF595959"/>
        <rFont val="Noto Sans CJK SC"/>
        <family val="2"/>
      </rPr>
      <t xml:space="preserve">）；不用於校準</t>
    </r>
  </si>
  <si>
    <t xml:space="preserve">V16</t>
  </si>
  <si>
    <r>
      <rPr>
        <sz val="10"/>
        <color rgb="FF000000"/>
        <rFont val="Noto Sans CJK SC"/>
        <family val="2"/>
      </rPr>
      <t xml:space="preserve">能量閉合：各欄最大閉合比 ≤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B26</t>
    </r>
    <r>
      <rPr>
        <sz val="10"/>
        <color rgb="FF00000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</si>
  <si>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原『恆等式（非驗證）』；單邊界限，輸入改變時可能失敗，</t>
    </r>
    <r>
      <rPr>
        <sz val="9"/>
        <color rgb="FF595959"/>
        <rFont val="Arial"/>
        <family val="0"/>
        <charset val="1"/>
      </rPr>
      <t xml:space="preserve">v10.2 E3 </t>
    </r>
    <r>
      <rPr>
        <sz val="9"/>
        <color rgb="FF595959"/>
        <rFont val="Noto Sans CJK SC"/>
        <family val="2"/>
      </rPr>
      <t xml:space="preserve">改回驗證計數</t>
    </r>
  </si>
  <si>
    <t xml:space="preserve">V17</t>
  </si>
  <si>
    <r>
      <rPr>
        <sz val="10"/>
        <color rgb="FF000000"/>
        <rFont val="Noto Sans CJK SC"/>
        <family val="2"/>
      </rPr>
      <t xml:space="preserve">後訓練占比：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小時口徑 − </t>
    </r>
    <r>
      <rPr>
        <sz val="10"/>
        <color rgb="FF000000"/>
        <rFont val="Arial"/>
        <family val="0"/>
        <charset val="1"/>
      </rPr>
      <t xml:space="preserve">FLOPs </t>
    </r>
    <r>
      <rPr>
        <sz val="10"/>
        <color rgb="FF000000"/>
        <rFont val="Noto Sans CJK SC"/>
        <family val="2"/>
      </rPr>
      <t xml:space="preserve">口徑 ≥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B36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</si>
  <si>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Gov_Map — </t>
    </r>
    <r>
      <rPr>
        <b val="true"/>
        <sz val="13"/>
        <rFont val="Noto Sans CJK SC"/>
        <family val="2"/>
      </rPr>
      <t xml:space="preserve">模型頁藍字格登錄（</t>
    </r>
    <r>
      <rPr>
        <b val="true"/>
        <sz val="13"/>
        <rFont val="Arial"/>
        <family val="0"/>
        <charset val="1"/>
      </rPr>
      <t xml:space="preserve">Stage 1 </t>
    </r>
    <r>
      <rPr>
        <b val="true"/>
        <sz val="13"/>
        <rFont val="Noto Sans CJK SC"/>
        <family val="2"/>
      </rPr>
      <t xml:space="preserve">切片一：</t>
    </r>
    <r>
      <rPr>
        <b val="true"/>
        <sz val="13"/>
        <rFont val="Arial"/>
        <family val="0"/>
        <charset val="1"/>
      </rPr>
      <t xml:space="preserve">Inputs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Spec_Rack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Arch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Serving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Workload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Calib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Energy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NonNV </t>
    </r>
    <r>
      <rPr>
        <b val="true"/>
        <sz val="13"/>
        <rFont val="Noto Sans CJK SC"/>
        <family val="2"/>
      </rPr>
      <t xml:space="preserve">與其敏感度情境格）</t>
    </r>
  </si>
  <si>
    <r>
      <rPr>
        <sz val="9"/>
        <color rgb="FF595959"/>
        <rFont val="Arial"/>
        <family val="0"/>
        <charset val="1"/>
      </rPr>
      <t xml:space="preserve">A–P </t>
    </r>
    <r>
      <rPr>
        <sz val="9"/>
        <color rgb="FF595959"/>
        <rFont val="Noto Sans CJK SC"/>
        <family val="2"/>
      </rPr>
      <t xml:space="preserve">欄為判斷（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擁有；類別、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、決策 </t>
    </r>
    <r>
      <rPr>
        <sz val="9"/>
        <color rgb="FF595959"/>
        <rFont val="Arial"/>
        <family val="0"/>
        <charset val="1"/>
      </rPr>
      <t xml:space="preserve">ID</t>
    </r>
    <r>
      <rPr>
        <sz val="9"/>
        <color rgb="FF595959"/>
        <rFont val="Noto Sans CJK SC"/>
        <family val="2"/>
      </rPr>
      <t xml:space="preserve">、區間、理由）；</t>
    </r>
    <r>
      <rPr>
        <sz val="9"/>
        <color rgb="FF595959"/>
        <rFont val="Arial"/>
        <family val="0"/>
        <charset val="1"/>
      </rPr>
      <t xml:space="preserve">Q–AE </t>
    </r>
    <r>
      <rPr>
        <sz val="9"/>
        <color rgb="FF595959"/>
        <rFont val="Noto Sans CJK SC"/>
        <family val="2"/>
      </rPr>
      <t xml:space="preserve">欄為 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每次重建的公式與建置時狀態。</t>
    </r>
    <r>
      <rPr>
        <sz val="9"/>
        <color rgb="FF595959"/>
        <rFont val="Arial"/>
        <family val="0"/>
        <charset val="1"/>
      </rPr>
      <t xml:space="preserve">Checks G </t>
    </r>
    <r>
      <rPr>
        <sz val="9"/>
        <color rgb="FF595959"/>
        <rFont val="Noto Sans CJK SC"/>
        <family val="2"/>
      </rPr>
      <t xml:space="preserve">節加總 </t>
    </r>
    <r>
      <rPr>
        <sz val="9"/>
        <color rgb="FF595959"/>
        <rFont val="Arial"/>
        <family val="0"/>
        <charset val="1"/>
      </rPr>
      <t xml:space="preserve">V–AE </t>
    </r>
    <r>
      <rPr>
        <sz val="9"/>
        <color rgb="FF595959"/>
        <rFont val="Noto Sans CJK SC"/>
        <family val="2"/>
      </rPr>
      <t xml:space="preserve">欄。區間角色＝低／高者為另一格的端點，不另檢查區間。</t>
    </r>
  </si>
  <si>
    <t xml:space="preserve">範圍</t>
  </si>
  <si>
    <t xml:space="preserve">區間角色</t>
  </si>
  <si>
    <r>
      <rPr>
        <b val="true"/>
        <sz val="10"/>
        <rFont val="Arial"/>
        <family val="0"/>
        <charset val="1"/>
      </rPr>
      <t xml:space="preserve">SRC_ID</t>
    </r>
    <r>
      <rPr>
        <b val="true"/>
        <sz val="10"/>
        <rFont val="Noto Sans CJK SC"/>
        <family val="2"/>
      </rPr>
      <t xml:space="preserve">（來源或可比對象）</t>
    </r>
  </si>
  <si>
    <t xml:space="preserve">關係</t>
  </si>
  <si>
    <t xml:space="preserve">決策 ID</t>
  </si>
  <si>
    <t xml:space="preserve">區間文字</t>
  </si>
  <si>
    <t xml:space="preserve">理由</t>
  </si>
  <si>
    <t xml:space="preserve">標記變更（v5.11）</t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</si>
  <si>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值</t>
    </r>
  </si>
  <si>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狀態</t>
    </r>
  </si>
  <si>
    <t xml:space="preserve">實際狀態（建置時）</t>
  </si>
  <si>
    <r>
      <rPr>
        <b val="true"/>
        <sz val="10"/>
        <rFont val="Arial"/>
        <family val="0"/>
        <charset val="1"/>
      </rPr>
      <t xml:space="preserve">E1 </t>
    </r>
    <r>
      <rPr>
        <b val="true"/>
        <sz val="10"/>
        <rFont val="Noto Sans CJK SC"/>
        <family val="2"/>
      </rPr>
      <t xml:space="preserve">原始寫死</t>
    </r>
  </si>
  <si>
    <r>
      <rPr>
        <b val="true"/>
        <sz val="10"/>
        <rFont val="Arial"/>
        <family val="0"/>
        <charset val="1"/>
      </rPr>
      <t xml:space="preserve">E2 Analogy </t>
    </r>
    <r>
      <rPr>
        <b val="true"/>
        <sz val="10"/>
        <rFont val="Noto Sans CJK SC"/>
        <family val="2"/>
      </rPr>
      <t xml:space="preserve">缺可比</t>
    </r>
  </si>
  <si>
    <r>
      <rPr>
        <b val="true"/>
        <sz val="10"/>
        <rFont val="Arial"/>
        <family val="0"/>
        <charset val="1"/>
      </rPr>
      <t xml:space="preserve">E3 </t>
    </r>
    <r>
      <rPr>
        <b val="true"/>
        <sz val="10"/>
        <rFont val="Noto Sans CJK SC"/>
        <family val="2"/>
      </rPr>
      <t xml:space="preserve">缺區間</t>
    </r>
  </si>
  <si>
    <r>
      <rPr>
        <b val="true"/>
        <sz val="10"/>
        <rFont val="Arial"/>
        <family val="0"/>
        <charset val="1"/>
      </rPr>
      <t xml:space="preserve">E4 </t>
    </r>
    <r>
      <rPr>
        <b val="true"/>
        <sz val="10"/>
        <rFont val="Noto Sans CJK SC"/>
        <family val="2"/>
      </rPr>
      <t xml:space="preserve">缺理由</t>
    </r>
  </si>
  <si>
    <r>
      <rPr>
        <b val="true"/>
        <sz val="10"/>
        <rFont val="Arial"/>
        <family val="0"/>
        <charset val="1"/>
      </rPr>
      <t xml:space="preserve">E5 Decision </t>
    </r>
    <r>
      <rPr>
        <b val="true"/>
        <sz val="10"/>
        <rFont val="Noto Sans CJK SC"/>
        <family val="2"/>
      </rPr>
      <t xml:space="preserve">缺 </t>
    </r>
    <r>
      <rPr>
        <b val="true"/>
        <sz val="10"/>
        <rFont val="Arial"/>
        <family val="0"/>
        <charset val="1"/>
      </rPr>
      <t xml:space="preserve">ID</t>
    </r>
  </si>
  <si>
    <r>
      <rPr>
        <b val="true"/>
        <sz val="10"/>
        <rFont val="Arial"/>
        <family val="0"/>
        <charset val="1"/>
      </rPr>
      <t xml:space="preserve">E6 </t>
    </r>
    <r>
      <rPr>
        <b val="true"/>
        <sz val="10"/>
        <rFont val="Noto Sans CJK SC"/>
        <family val="2"/>
      </rPr>
      <t xml:space="preserve">決策 </t>
    </r>
    <r>
      <rPr>
        <b val="true"/>
        <sz val="10"/>
        <rFont val="Arial"/>
        <family val="0"/>
        <charset val="1"/>
      </rPr>
      <t xml:space="preserve">ID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</si>
  <si>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E9 SRC </t>
    </r>
    <r>
      <rPr>
        <b val="true"/>
        <sz val="10"/>
        <rFont val="Noto Sans CJK SC"/>
        <family val="2"/>
      </rPr>
      <t xml:space="preserve">非 </t>
    </r>
    <r>
      <rPr>
        <b val="true"/>
        <sz val="10"/>
        <rFont val="Arial"/>
        <family val="0"/>
        <charset val="1"/>
      </rPr>
      <t xml:space="preserve">Active</t>
    </r>
  </si>
  <si>
    <r>
      <rPr>
        <b val="true"/>
        <sz val="10"/>
        <rFont val="Arial"/>
        <family val="0"/>
        <charset val="1"/>
      </rPr>
      <t xml:space="preserve">E10 </t>
    </r>
    <r>
      <rPr>
        <b val="true"/>
        <sz val="10"/>
        <rFont val="Noto Sans CJK SC"/>
        <family val="2"/>
      </rPr>
      <t xml:space="preserve">區間順序</t>
    </r>
  </si>
  <si>
    <r>
      <rPr>
        <b val="true"/>
        <sz val="10"/>
        <rFont val="Arial"/>
        <family val="0"/>
        <charset val="1"/>
      </rPr>
      <t xml:space="preserve">W2 3 </t>
    </r>
    <r>
      <rPr>
        <b val="true"/>
        <sz val="10"/>
        <rFont val="Noto Sans CJK SC"/>
        <family val="2"/>
      </rPr>
      <t xml:space="preserve">級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高段</t>
    </r>
  </si>
  <si>
    <r>
      <rPr>
        <b val="true"/>
        <sz val="10"/>
        <rFont val="Arial"/>
        <family val="0"/>
        <charset val="1"/>
      </rPr>
      <t xml:space="preserve">E12 SRC </t>
    </r>
    <r>
      <rPr>
        <b val="true"/>
        <sz val="10"/>
        <rFont val="Noto Sans CJK SC"/>
        <family val="2"/>
      </rPr>
      <t xml:space="preserve">不存在</t>
    </r>
  </si>
  <si>
    <r>
      <rPr>
        <b val="true"/>
        <sz val="10"/>
        <rFont val="Arial"/>
        <family val="0"/>
        <charset val="1"/>
      </rPr>
      <t xml:space="preserve">SRC_Index </t>
    </r>
    <r>
      <rPr>
        <b val="true"/>
        <sz val="10"/>
        <rFont val="Noto Sans CJK SC"/>
        <family val="2"/>
      </rPr>
      <t xml:space="preserve">列（</t>
    </r>
    <r>
      <rPr>
        <b val="true"/>
        <sz val="10"/>
        <rFont val="Arial"/>
        <family val="0"/>
        <charset val="1"/>
      </rPr>
      <t xml:space="preserve">MATCH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</si>
  <si>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級旗標（高段且 </t>
    </r>
    <r>
      <rPr>
        <b val="true"/>
        <sz val="10"/>
        <rFont val="Arial"/>
        <family val="0"/>
        <charset val="1"/>
      </rPr>
      <t xml:space="preserve">3 </t>
    </r>
    <r>
      <rPr>
        <b val="true"/>
        <sz val="10"/>
        <rFont val="Noto Sans CJK SC"/>
        <family val="2"/>
      </rPr>
      <t xml:space="preserve">級或缺區間；公式，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</si>
  <si>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級旗標（高段且非原始數據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級；公式，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</si>
  <si>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</t>
    </r>
    <r>
      <rPr>
        <b val="true"/>
        <sz val="10"/>
        <rFont val="Arial"/>
        <family val="0"/>
        <charset val="1"/>
      </rPr>
      <t xml:space="preserve">SRC </t>
    </r>
    <r>
      <rPr>
        <b val="true"/>
        <sz val="10"/>
        <rFont val="Noto Sans CJK SC"/>
        <family val="2"/>
      </rPr>
      <t xml:space="preserve">審查日（高段；公式，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</si>
  <si>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0"/>
        <rFont val="Arial"/>
        <family val="0"/>
        <charset val="1"/>
      </rPr>
      <t xml:space="preserve">IFC</t>
    </r>
    <r>
      <rPr>
        <b val="true"/>
        <sz val="10"/>
        <rFont val="Noto Sans CJK SC"/>
        <family val="2"/>
      </rPr>
      <t xml:space="preserve">：審查日數值 </t>
    </r>
    <r>
      <rPr>
        <b val="true"/>
        <sz val="10"/>
        <rFont val="Arial"/>
        <family val="0"/>
        <charset val="1"/>
      </rPr>
      <t xml:space="preserve">yyyymmdd</t>
    </r>
    <r>
      <rPr>
        <b val="true"/>
        <sz val="10"/>
        <rFont val="Noto Sans CJK SC"/>
        <family val="2"/>
      </rPr>
      <t xml:space="preserve">（公式，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</si>
  <si>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反轉門檻（v5.29；Excel 擁有，chat 端以 Sens_* 反算填入；builder 不覆寫）</t>
  </si>
  <si>
    <t xml:space="preserve">GM001</t>
  </si>
  <si>
    <t xml:space="preserve">切片一</t>
  </si>
  <si>
    <t xml:space="preserve">Inputs</t>
  </si>
  <si>
    <t xml:space="preserve">單值</t>
  </si>
  <si>
    <t xml:space="preserve">D1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</si>
  <si>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電力規模；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：每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輸出已除以本格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全欄分段，非分段依據）：低</t>
    </r>
  </si>
  <si>
    <t xml:space="preserve">無</t>
  </si>
  <si>
    <t xml:space="preserve">藍字（常數）</t>
  </si>
  <si>
    <t xml:space="preserve">GM002</t>
  </si>
  <si>
    <t xml:space="preserve">D3</t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</si>
  <si>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功率情境</t>
    </r>
  </si>
  <si>
    <t xml:space="preserve">GM003</t>
  </si>
  <si>
    <t xml:space="preserve">5–12%</t>
  </si>
  <si>
    <t xml:space="preserve">GM004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</si>
  <si>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不遷入，無可比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值）；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</si>
  <si>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GM005</t>
  </si>
  <si>
    <t xml:space="preserve">D9</t>
  </si>
  <si>
    <t xml:space="preserve">GM006</t>
  </si>
  <si>
    <t xml:space="preserve">F9</t>
  </si>
  <si>
    <t xml:space="preserve">GM007</t>
  </si>
  <si>
    <t xml:space="preserve">GM008</t>
  </si>
  <si>
    <t xml:space="preserve">D10</t>
  </si>
  <si>
    <t xml:space="preserve">GM009</t>
  </si>
  <si>
    <t xml:space="preserve">F10</t>
  </si>
  <si>
    <t xml:space="preserve">GM010</t>
  </si>
  <si>
    <t xml:space="preserve">SRC_DC_006</t>
  </si>
  <si>
    <t xml:space="preserve">可比</t>
  </si>
  <si>
    <t xml:space="preserve">GM011</t>
  </si>
  <si>
    <t xml:space="preserve">D11</t>
  </si>
  <si>
    <t xml:space="preserve">GM012</t>
  </si>
  <si>
    <t xml:space="preserve">F11</t>
  </si>
  <si>
    <t xml:space="preserve">GM013</t>
  </si>
  <si>
    <t xml:space="preserve">SRC_DC_001</t>
  </si>
  <si>
    <t xml:space="preserve">GM014</t>
  </si>
  <si>
    <t xml:space="preserve">D13</t>
  </si>
  <si>
    <t xml:space="preserve">GM015</t>
  </si>
  <si>
    <t xml:space="preserve">F13</t>
  </si>
  <si>
    <t xml:space="preserve">SRC_DC_002</t>
  </si>
  <si>
    <t xml:space="preserve">直接</t>
  </si>
  <si>
    <t xml:space="preserve">連結 SRC（G1） ｜補充旗標（IF 全欄分段，非分段依據）：中</t>
  </si>
  <si>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SRC</t>
    </r>
  </si>
  <si>
    <t xml:space="preserve">GM016</t>
  </si>
  <si>
    <t xml:space="preserve">E14</t>
  </si>
  <si>
    <t xml:space="preserve">GM017</t>
  </si>
  <si>
    <t xml:space="preserve">D14</t>
  </si>
  <si>
    <t xml:space="preserve">GM018</t>
  </si>
  <si>
    <t xml:space="preserve">F14</t>
  </si>
  <si>
    <t xml:space="preserve">GM019</t>
  </si>
  <si>
    <t xml:space="preserve">E16</t>
  </si>
  <si>
    <t xml:space="preserve">GM020</t>
  </si>
  <si>
    <t xml:space="preserve">D16</t>
  </si>
  <si>
    <t xml:space="preserve">GM021</t>
  </si>
  <si>
    <t xml:space="preserve">F16</t>
  </si>
  <si>
    <t xml:space="preserve">GM022</t>
  </si>
  <si>
    <t xml:space="preserve">E17</t>
  </si>
  <si>
    <t xml:space="preserve">GM023</t>
  </si>
  <si>
    <t xml:space="preserve">D17</t>
  </si>
  <si>
    <t xml:space="preserve">GM024</t>
  </si>
  <si>
    <t xml:space="preserve">F17</t>
  </si>
  <si>
    <t xml:space="preserve">GM025</t>
  </si>
  <si>
    <t xml:space="preserve">E18</t>
  </si>
  <si>
    <t xml:space="preserve">分項為假設；總額以 JLL 校準（S12 → SRC_DC_003）</t>
  </si>
  <si>
    <t xml:space="preserve">中</t>
  </si>
  <si>
    <t xml:space="preserve">GM026</t>
  </si>
  <si>
    <t xml:space="preserve">D18</t>
  </si>
  <si>
    <t xml:space="preserve">GM027</t>
  </si>
  <si>
    <t xml:space="preserve">F18</t>
  </si>
  <si>
    <t xml:space="preserve">GM028</t>
  </si>
  <si>
    <t xml:space="preserve">E19</t>
  </si>
  <si>
    <t xml:space="preserve">GM029</t>
  </si>
  <si>
    <t xml:space="preserve">D19</t>
  </si>
  <si>
    <t xml:space="preserve">GM030</t>
  </si>
  <si>
    <t xml:space="preserve">F19</t>
  </si>
  <si>
    <t xml:space="preserve">GM031</t>
  </si>
  <si>
    <t xml:space="preserve">E20</t>
  </si>
  <si>
    <t xml:space="preserve">同第 17–19 列：分項假設、總額以 JLL 校準</t>
  </si>
  <si>
    <t xml:space="preserve">GM032</t>
  </si>
  <si>
    <t xml:space="preserve">D20</t>
  </si>
  <si>
    <t xml:space="preserve">GM033</t>
  </si>
  <si>
    <t xml:space="preserve">F20</t>
  </si>
  <si>
    <t xml:space="preserve">GM034</t>
  </si>
  <si>
    <t xml:space="preserve">E21</t>
  </si>
  <si>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；工程預備費慣例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</si>
  <si>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GM035</t>
  </si>
  <si>
    <t xml:space="preserve">D21</t>
  </si>
  <si>
    <t xml:space="preserve">GM036</t>
  </si>
  <si>
    <t xml:space="preserve">F21</t>
  </si>
  <si>
    <t xml:space="preserve">GM037</t>
  </si>
  <si>
    <t xml:space="preserve">E28</t>
  </si>
  <si>
    <t xml:space="preserve">GM038</t>
  </si>
  <si>
    <t xml:space="preserve">D28</t>
  </si>
  <si>
    <t xml:space="preserve">GM039</t>
  </si>
  <si>
    <t xml:space="preserve">F28</t>
  </si>
  <si>
    <t xml:space="preserve">GM040</t>
  </si>
  <si>
    <t xml:space="preserve">E30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</si>
  <si>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（公式）</t>
    </r>
  </si>
  <si>
    <t xml:space="preserve">X17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</si>
  <si>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</si>
  <si>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同意；</t>
    </r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（公式）</t>
    </r>
  </si>
  <si>
    <t xml:space="preserve">公式</t>
  </si>
  <si>
    <t xml:space="preserve">GM041</t>
  </si>
  <si>
    <t xml:space="preserve">D30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</si>
  <si>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）（低成本欄）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</si>
  <si>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GM042</t>
  </si>
  <si>
    <t xml:space="preserve">F30</t>
  </si>
  <si>
    <r>
      <rPr>
        <sz val="10"/>
        <color rgb="FF000000"/>
        <rFont val="Arial"/>
        <family val="0"/>
        <charset val="1"/>
      </rPr>
      <t xml:space="preserve">v5.31 X17</t>
    </r>
    <r>
      <rPr>
        <sz val="10"/>
        <color rgb="FF000000"/>
        <rFont val="Noto Sans CJK SC"/>
        <family val="2"/>
      </rPr>
      <t xml:space="preserve">：壽命期等值單一費率（公式）＝保固期內費率（第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列）與保固期滿後費率（第 </t>
    </r>
    <r>
      <rPr>
        <sz val="10"/>
        <color rgb="FF000000"/>
        <rFont val="Arial"/>
        <family val="0"/>
        <charset val="1"/>
      </rPr>
      <t xml:space="preserve">38 </t>
    </r>
    <r>
      <rPr>
        <sz val="10"/>
        <color rgb="FF000000"/>
        <rFont val="Noto Sans CJK SC"/>
        <family val="2"/>
      </rPr>
      <t xml:space="preserve">列）以同欄 </t>
    </r>
    <r>
      <rPr>
        <sz val="10"/>
        <color rgb="FF000000"/>
        <rFont val="Arial"/>
        <family val="0"/>
        <charset val="1"/>
      </rPr>
      <t xml:space="preserve">WACC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折舊年限年金加權；保固年限第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）（高成本欄）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全欄分段，非分段依據）：中</t>
    </r>
  </si>
  <si>
    <t xml:space="preserve">GM043</t>
  </si>
  <si>
    <t xml:space="preserve">E31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</si>
  <si>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（同上）；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</si>
  <si>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GM044</t>
  </si>
  <si>
    <t xml:space="preserve">D31</t>
  </si>
  <si>
    <t xml:space="preserve">GM045</t>
  </si>
  <si>
    <t xml:space="preserve">F31</t>
  </si>
  <si>
    <t xml:space="preserve">GM046</t>
  </si>
  <si>
    <t xml:space="preserve">E32</t>
  </si>
  <si>
    <t xml:space="preserve">GM047</t>
  </si>
  <si>
    <t xml:space="preserve">D32</t>
  </si>
  <si>
    <t xml:space="preserve">GM048</t>
  </si>
  <si>
    <t xml:space="preserve">F32</t>
  </si>
  <si>
    <t xml:space="preserve">GM049</t>
  </si>
  <si>
    <t xml:space="preserve">E33</t>
  </si>
  <si>
    <t xml:space="preserve">GM050</t>
  </si>
  <si>
    <t xml:space="preserve">D33</t>
  </si>
  <si>
    <t xml:space="preserve">GM051</t>
  </si>
  <si>
    <t xml:space="preserve">F33</t>
  </si>
  <si>
    <t xml:space="preserve">GM052</t>
  </si>
  <si>
    <t xml:space="preserve">E34</t>
  </si>
  <si>
    <t xml:space="preserve">GM053</t>
  </si>
  <si>
    <t xml:space="preserve">D34</t>
  </si>
  <si>
    <t xml:space="preserve">GM054</t>
  </si>
  <si>
    <t xml:space="preserve">F34</t>
  </si>
  <si>
    <t xml:space="preserve">GM055</t>
  </si>
  <si>
    <t xml:space="preserve">E35</t>
  </si>
  <si>
    <t xml:space="preserve">GM056</t>
  </si>
  <si>
    <t xml:space="preserve">D35</t>
  </si>
  <si>
    <t xml:space="preserve">GM057</t>
  </si>
  <si>
    <t xml:space="preserve">F35</t>
  </si>
  <si>
    <t xml:space="preserve">GM058</t>
  </si>
  <si>
    <t xml:space="preserve">D23</t>
  </si>
  <si>
    <t xml:space="preserve">SRC_DC_007</t>
  </si>
  <si>
    <t xml:space="preserve">D4</t>
  </si>
  <si>
    <t xml:space="preserve">連結 SRC（G1）</t>
  </si>
  <si>
    <t xml:space="preserve">GM059</t>
  </si>
  <si>
    <t xml:space="preserve">E23</t>
  </si>
  <si>
    <t xml:space="preserve">GM060</t>
  </si>
  <si>
    <t xml:space="preserve">F23</t>
  </si>
  <si>
    <t xml:space="preserve">SRC_DC_008</t>
  </si>
  <si>
    <t xml:space="preserve">GM061</t>
  </si>
  <si>
    <t xml:space="preserve">E24</t>
  </si>
  <si>
    <r>
      <rPr>
        <sz val="10"/>
        <color rgb="FF000000"/>
        <rFont val="Arial"/>
        <family val="0"/>
        <charset val="1"/>
      </rPr>
      <t xml:space="preserve">25–40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</si>
  <si>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建物年限：v4＝30；一般商用建物 25–40 年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</si>
  <si>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（可比對象為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，非外部來源）；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</si>
  <si>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GM062</t>
  </si>
  <si>
    <t xml:space="preserve">E25</t>
  </si>
  <si>
    <r>
      <rPr>
        <sz val="10"/>
        <color rgb="FF000000"/>
        <rFont val="Arial"/>
        <family val="0"/>
        <charset val="1"/>
      </rPr>
      <t xml:space="preserve">15–25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</si>
  <si>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電力設施年限：v4＝20；變電與 UPS 15–25 年</t>
  </si>
  <si>
    <t xml:space="preserve">GM063</t>
  </si>
  <si>
    <t xml:space="preserve">E26</t>
  </si>
  <si>
    <r>
      <rPr>
        <sz val="10"/>
        <color rgb="FF000000"/>
        <rFont val="Arial"/>
        <family val="0"/>
        <charset val="1"/>
      </rPr>
      <t xml:space="preserve">10–20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</si>
  <si>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機械與散熱年限：v4＝15；液冷設備 10–20 年</t>
  </si>
  <si>
    <t xml:space="preserve">GM064</t>
  </si>
  <si>
    <t xml:space="preserve">E27</t>
  </si>
  <si>
    <r>
      <rPr>
        <sz val="10"/>
        <color rgb="FF000000"/>
        <rFont val="Arial"/>
        <family val="0"/>
        <charset val="1"/>
      </rPr>
      <t xml:space="preserve">7–15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</si>
  <si>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光纖與保全年限：v4＝10；7–15 年</t>
  </si>
  <si>
    <t xml:space="preserve">GM065</t>
  </si>
  <si>
    <t xml:space="preserve">Spec_Rack</t>
  </si>
  <si>
    <t xml:space="preserve">C6</t>
  </si>
  <si>
    <t xml:space="preserve">CV1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</si>
  <si>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</t>
    </r>
    <r>
      <rPr>
        <sz val="10"/>
        <color rgb="FF000000"/>
        <rFont val="Noto Sans CJK SC"/>
        <family val="2"/>
      </rPr>
      <t xml:space="preserve">構成一架（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</t>
    </r>
  </si>
  <si>
    <t xml:space="preserve">GM066</t>
  </si>
  <si>
    <t xml:space="preserve">D6</t>
  </si>
  <si>
    <t xml:space="preserve">SRC_HW_047</t>
  </si>
  <si>
    <t xml:space="preserve">GM067</t>
  </si>
  <si>
    <t xml:space="preserve">GM068</t>
  </si>
  <si>
    <t xml:space="preserve">F6</t>
  </si>
  <si>
    <t xml:space="preserve">GM069</t>
  </si>
  <si>
    <t xml:space="preserve">G6</t>
  </si>
  <si>
    <t xml:space="preserve">SRC_HW_061</t>
  </si>
  <si>
    <t xml:space="preserve">GM070</t>
  </si>
  <si>
    <t xml:space="preserve">C8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</si>
  <si>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低端：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下修</t>
    </r>
  </si>
  <si>
    <t xml:space="preserve">GM071</t>
  </si>
  <si>
    <t xml:space="preserve">D8</t>
  </si>
  <si>
    <t xml:space="preserve">SRC_HW_004</t>
  </si>
  <si>
    <t xml:space="preserve">GM072</t>
  </si>
  <si>
    <t xml:space="preserve">SRC_HW_005</t>
  </si>
  <si>
    <t xml:space="preserve">GM073</t>
  </si>
  <si>
    <t xml:space="preserve">F8</t>
  </si>
  <si>
    <t xml:space="preserve">SRC_HW_011</t>
  </si>
  <si>
    <t xml:space="preserve">GM074</t>
  </si>
  <si>
    <t xml:space="preserve">G8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</si>
  <si>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300</t>
    </r>
    <r>
      <rPr>
        <sz val="10"/>
        <color rgb="FF000000"/>
        <rFont val="Noto Sans CJK SC"/>
        <family val="2"/>
      </rPr>
      <t xml:space="preserve">＝舊路線圖 </t>
    </r>
    <r>
      <rPr>
        <sz val="10"/>
        <color rgb="FF000000"/>
        <rFont val="Arial"/>
        <family val="0"/>
        <charset val="1"/>
      </rPr>
      <t xml:space="preserve">600 kW × 72/144</t>
    </r>
    <r>
      <rPr>
        <sz val="10"/>
        <color rgb="FF000000"/>
        <rFont val="Noto Sans CJK SC"/>
        <family val="2"/>
      </rPr>
      <t xml:space="preserve">（每封裝功率等比）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未公布單架 </t>
    </r>
    <r>
      <rPr>
        <sz val="10"/>
        <color rgb="FF000000"/>
        <rFont val="Arial"/>
        <family val="0"/>
        <charset val="1"/>
      </rPr>
      <t xml:space="preserve">kW</t>
    </r>
  </si>
  <si>
    <t xml:space="preserve">GM075</t>
  </si>
  <si>
    <t xml:space="preserve">C9</t>
  </si>
  <si>
    <t xml:space="preserve">原始數據（G0-2 保留）</t>
  </si>
  <si>
    <t xml:space="preserve">SRC_HW_001</t>
  </si>
  <si>
    <t xml:space="preserve">取整（10.2 × 4＝40.8 → 41）</t>
  </si>
  <si>
    <t xml:space="preserve">值與來源不等（取整（10.2 × 4＝40.8 → 41））：Stage 1 保留藍字，Stage 2 逐筆決定（G0-2）</t>
  </si>
  <si>
    <t xml:space="preserve">GM076</t>
  </si>
  <si>
    <t xml:space="preserve">直接（SRC_HW_004 上緣 132；HPE QuickSpecs V6 TDP 132 kW nominal）</t>
  </si>
  <si>
    <t xml:space="preserve">v5.18 G2：基準 132＝SRC_HW_004 上緣（連結）；低 120（SemiAnalysis）；高 140 為 Assumed</t>
  </si>
  <si>
    <t xml:space="preserve">GM077</t>
  </si>
  <si>
    <t xml:space="preserve">Derived：區間中點 (132＋140)/2＝136</t>
  </si>
  <si>
    <t xml:space="preserve">v5.18 G3：基準 136＝SRC_HW_005 區間 132–140（wing.vc）中點 [Derived]</t>
  </si>
  <si>
    <t xml:space="preserve">原始數據（G0-2 保留）→Derived（v5.18 G3）</t>
  </si>
  <si>
    <t xml:space="preserve">GM078</t>
  </si>
  <si>
    <t xml:space="preserve">SRC_HW_014</t>
  </si>
  <si>
    <t xml:space="preserve">GM079</t>
  </si>
  <si>
    <t xml:space="preserve">G9</t>
  </si>
  <si>
    <t xml:space="preserve">換算（72×3.6 kW GPU＋VR 機架非 GPU 功率 61–97 kW → 320–357，取 340）</t>
  </si>
  <si>
    <t xml:space="preserve">v5.18 RU：基準 340＝72×3.6 kW ＋ (227 − 72×1.8–2.3 kW)＝320–357 取 340 [Derived]；SRC_HW_013（單架 600 kW）已 Superseded</t>
  </si>
  <si>
    <t xml:space="preserve">原始數據→Derived（v5.18 RU）</t>
  </si>
  <si>
    <t xml:space="preserve">GM080</t>
  </si>
  <si>
    <t xml:space="preserve">C10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</si>
  <si>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高端：</t>
    </r>
    <r>
      <rPr>
        <sz val="10"/>
        <color rgb="FF000000"/>
        <rFont val="Arial"/>
        <family val="0"/>
        <charset val="1"/>
      </rPr>
      <t xml:space="preserve">DGX 10.2 kW × 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40.8 kW </t>
    </r>
    <r>
      <rPr>
        <sz val="10"/>
        <color rgb="FF000000"/>
        <rFont val="Noto Sans CJK SC"/>
        <family val="2"/>
      </rPr>
      <t xml:space="preserve">上修</t>
    </r>
  </si>
  <si>
    <t xml:space="preserve">GM081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</si>
  <si>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140 </t>
    </r>
    <r>
      <rPr>
        <sz val="10"/>
        <color rgb="FF000000"/>
        <rFont val="Noto Sans CJK SC"/>
        <family val="2"/>
      </rPr>
      <t xml:space="preserve">無對應來源（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139</t>
    </r>
    <r>
      <rPr>
        <sz val="10"/>
        <color rgb="FF000000"/>
        <rFont val="Noto Sans CJK SC"/>
        <family val="2"/>
      </rPr>
      <t xml:space="preserve">）</t>
    </r>
  </si>
  <si>
    <t xml:space="preserve">GM082</t>
  </si>
  <si>
    <t xml:space="preserve">GM083</t>
  </si>
  <si>
    <t xml:space="preserve">SRC_HW_012</t>
  </si>
  <si>
    <t xml:space="preserve">GM084</t>
  </si>
  <si>
    <t xml:space="preserve">G10</t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</si>
  <si>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454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259 kW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72×3.6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VR </t>
    </r>
    <r>
      <rPr>
        <sz val="10"/>
        <color rgb="FF000000"/>
        <rFont val="Noto Sans CJK SC"/>
        <family val="2"/>
      </rPr>
      <t xml:space="preserve">整架／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功率比值 </t>
    </r>
    <r>
      <rPr>
        <sz val="10"/>
        <color rgb="FF000000"/>
        <rFont val="Arial"/>
        <family val="0"/>
        <charset val="1"/>
      </rPr>
      <t xml:space="preserve">227/(72×1.8)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1.75 [Derived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Analogy]</t>
    </r>
  </si>
  <si>
    <t xml:space="preserve">GM085</t>
  </si>
  <si>
    <t xml:space="preserve">C11</t>
  </si>
  <si>
    <t xml:space="preserve">SRC_HW_003</t>
  </si>
  <si>
    <t xml:space="preserve">換算取整（$220K × 4 → 0.9）</t>
  </si>
  <si>
    <t xml:space="preserve">值與來源不等（換算取整（$220K × 4 → 0.9））：Stage 1 保留藍字，Stage 2 逐筆決定（G0-2） ｜補充旗標（IF 全欄分段，非分段依據）：高</t>
  </si>
  <si>
    <t xml:space="preserve">GM086</t>
  </si>
  <si>
    <t xml:space="preserve">SRC_HW_006</t>
  </si>
  <si>
    <t xml:space="preserve">連結 SRC（G1） ｜補充旗標（IF 全欄分段，非分段依據）：高</t>
  </si>
  <si>
    <t xml:space="preserve">GM087</t>
  </si>
  <si>
    <t xml:space="preserve">SRC_HW_052</t>
  </si>
  <si>
    <t xml:space="preserve">X16</t>
  </si>
  <si>
    <t xml:space="preserve">連結 SRC（G1） ｜補充旗標（IF 全欄分段，非分段依據）：高 ｜v5.31 X16：SRC_HW_052 等級 3→2（MS BOM 表推算，換算式見該筆備註）</t>
  </si>
  <si>
    <t xml:space="preserve">GM088</t>
  </si>
  <si>
    <t xml:space="preserve">SRC_HW_015</t>
  </si>
  <si>
    <t xml:space="preserve">Derived：MS BOM 7.8（零毛利下限；r3 I2）</t>
  </si>
  <si>
    <t xml:space="preserve">v5.18 G4／I2：低 7.8＝MS BOM（零毛利下限；BOM 本身為分析師估計，區間保留其不確定）；原 6.7（SRC_HW_016）不再連結 ｜補充旗標（IF 全欄分段，非分段依據）：高</t>
  </si>
  <si>
    <t xml:space="preserve">原始數據（G0-2 保留）→Derived（v5.18 G4）</t>
  </si>
  <si>
    <t xml:space="preserve">GM089</t>
  </si>
  <si>
    <t xml:space="preserve">G11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</si>
  <si>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</si>
  <si>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（倍數）＋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（以 </t>
    </r>
    <r>
      <rPr>
        <sz val="10"/>
        <color rgb="FF000000"/>
        <rFont val="Arial"/>
        <family val="0"/>
        <charset val="1"/>
      </rPr>
      <t xml:space="preserve">F12 </t>
    </r>
    <r>
      <rPr>
        <sz val="10"/>
        <color rgb="FF000000"/>
        <rFont val="Noto Sans CJK SC"/>
        <family val="2"/>
      </rPr>
      <t xml:space="preserve">為底；</t>
    </r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）</t>
    </r>
  </si>
  <si>
    <t xml:space="preserve">GM090</t>
  </si>
  <si>
    <t xml:space="preserve">C12</t>
  </si>
  <si>
    <t xml:space="preserve">換算（4 台 HGX 中值 → 1.1）</t>
  </si>
  <si>
    <t xml:space="preserve">值與來源不等（換算（4 台 HGX 中值 → 1.1））：Stage 1 保留藍字，Stage 2 逐筆決定（G0-2）</t>
  </si>
  <si>
    <t xml:space="preserve">GM091</t>
  </si>
  <si>
    <t xml:space="preserve">D12</t>
  </si>
  <si>
    <t xml:space="preserve">區間中點</t>
  </si>
  <si>
    <t xml:space="preserve">值與來源不等（區間中點）：Stage 1 保留藍字，Stage 2 逐筆決定（G0-2）</t>
  </si>
  <si>
    <t xml:space="preserve">GM092</t>
  </si>
  <si>
    <t xml:space="preserve">Derived：MS BOM 推算 4.0 ×（1＋代工毛利 7.5%，Assumed）＝4.3；Wolfe 4.3（SRC_HW_065，Alt）相符</t>
  </si>
  <si>
    <t xml:space="preserve">v5.31 X16（J1 (a)）：基準 4.3＝4.0 × (1＋7.5%)，與 VR200 F12 算法相同；4.0 為 Morgan Stanley 成本（BOM）推算，不是售價；低 4.0、高 5.0（Data Gravity 採購單）</t>
  </si>
  <si>
    <t xml:space="preserve">原始數據→Derived（v5.31 X16）</t>
  </si>
  <si>
    <t xml:space="preserve">GM093</t>
  </si>
  <si>
    <t xml:space="preserve">F12</t>
  </si>
  <si>
    <t xml:space="preserve">Derived：MS BOM 7.8 ×（1＋代工毛利 7.5%，Assumed）＝8.4</t>
  </si>
  <si>
    <t xml:space="preserve">v5.18 G4：基準 8.4＝7.8 × (1＋7.5%)；7.8 為 Morgan Stanley 成本（BOM），不是售價，差距以代工毛利假設補（Assumed，區間 5–10%）；低 7.8、高 9.1</t>
  </si>
  <si>
    <t xml:space="preserve">原始數據→Derived（v5.18 G4）</t>
  </si>
  <si>
    <t xml:space="preserve">GM094</t>
  </si>
  <si>
    <t xml:space="preserve">G12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</si>
  <si>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G12 </t>
    </r>
    <r>
      <rPr>
        <sz val="10"/>
        <color rgb="FF000000"/>
        <rFont val="Noto Sans CJK SC"/>
        <family val="2"/>
      </rPr>
      <t xml:space="preserve">公式 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尚未定價，無外部報價（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已記查詢詞）</t>
    </r>
  </si>
  <si>
    <t xml:space="preserve">GM095</t>
  </si>
  <si>
    <t xml:space="preserve">C13</t>
  </si>
  <si>
    <t xml:space="preserve">換算取整（$320K × 4 → 1.3）</t>
  </si>
  <si>
    <t xml:space="preserve">值與來源不等（換算取整（$320K × 4 → 1.3））：Stage 1 保留藍字，Stage 2 逐筆決定（G0-2） ｜補充旗標（IF 全欄分段，非分段依據）：高</t>
  </si>
  <si>
    <t xml:space="preserve">GM096</t>
  </si>
  <si>
    <t xml:space="preserve">GM097</t>
  </si>
  <si>
    <t xml:space="preserve">SRC_HW_010</t>
  </si>
  <si>
    <t xml:space="preserve">連結 SRC（G1） ｜補充旗標（IF 全欄分段，非分段依據）：高 ｜v5.31 X16：高情境改連 SRC_HW_010（Data Gravity 2026-08 採購單 5.0，原文已讀）；SRC_HW_007（媒體 6.0–6.5）改列 Alt</t>
  </si>
  <si>
    <t xml:space="preserve">GM098</t>
  </si>
  <si>
    <t xml:space="preserve">SRC_HW_017</t>
  </si>
  <si>
    <t xml:space="preserve">取整（Bernstein 9.09 → 9.1）；來源為 Alt（G13）</t>
  </si>
  <si>
    <t xml:space="preserve">值與來源不等（取整（Bernstein 9.09 → 9.1）；來源為 Alt（G13））：Stage 1 保留藍字，Stage 2 逐筆決定（G0-2） ｜補充旗標（IF 全欄分段，非分段依據）：高</t>
  </si>
  <si>
    <t xml:space="preserve">GM099</t>
  </si>
  <si>
    <t xml:space="preserve">G13</t>
  </si>
  <si>
    <r>
      <rPr>
        <sz val="10"/>
        <color rgb="FF000000"/>
        <rFont val="Arial"/>
        <family val="0"/>
        <charset val="1"/>
      </rPr>
      <t xml:space="preserve">v5.18 J2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機架價格（售價口徑，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2.5</t>
    </r>
    <r>
      <rPr>
        <sz val="10"/>
        <color rgb="FF000000"/>
        <rFont val="Noto Sans CJK SC"/>
        <family val="2"/>
      </rPr>
      <t xml:space="preserve">；公式 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（倍數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</si>
  <si>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GM100</t>
  </si>
  <si>
    <t xml:space="preserve">C23</t>
  </si>
  <si>
    <t xml:space="preserve">峰值 dense（基準）PF/GPU</t>
  </si>
  <si>
    <t xml:space="preserve">SRC_HW_040</t>
  </si>
  <si>
    <t xml:space="preserve">GM101</t>
  </si>
  <si>
    <t xml:space="preserve">SRC_HW_022</t>
  </si>
  <si>
    <t xml:space="preserve">GM102</t>
  </si>
  <si>
    <t xml:space="preserve">SRC_HW_025</t>
  </si>
  <si>
    <t xml:space="preserve">GM103</t>
  </si>
  <si>
    <t xml:space="preserve">SRC_HW_028</t>
  </si>
  <si>
    <t xml:space="preserve">GM104</t>
  </si>
  <si>
    <t xml:space="preserve">G23</t>
  </si>
  <si>
    <t xml:space="preserve">SRC_HW_063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</si>
  <si>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 × VR 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dense 35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2,520 PF ÷ 72</t>
    </r>
    <r>
      <rPr>
        <sz val="10"/>
        <color rgb="FF000000"/>
        <rFont val="Noto Sans CJK SC"/>
        <family val="2"/>
      </rPr>
      <t xml:space="preserve">，註 </t>
    </r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Ultra 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Rubin 2 die</t>
    </r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</si>
  <si>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</si>
  <si>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 × 35 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未直接公布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 </t>
    </r>
    <r>
      <rPr>
        <sz val="10"/>
        <color rgb="FF000000"/>
        <rFont val="Arial"/>
        <family val="0"/>
        <charset val="1"/>
      </rPr>
      <t xml:space="preserve">NVFP4 dense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+43.5%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23.3%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IF_FullCost_Sol Rubin Ultra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</t>
    </r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</si>
  <si>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v5.18 RU</t>
    </r>
    <r>
      <rPr>
        <sz val="10"/>
        <color rgb="FF000000"/>
        <rFont val="Noto Sans CJK SC"/>
        <family val="2"/>
      </rPr>
      <t xml:space="preserve">）</t>
    </r>
  </si>
  <si>
    <t xml:space="preserve">GM105</t>
  </si>
  <si>
    <t xml:space="preserve">C24</t>
  </si>
  <si>
    <t xml:space="preserve">峰值（高情境：NVFP4 推論口徑）PF/GPU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</si>
  <si>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不支援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C23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</si>
  <si>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GM106</t>
  </si>
  <si>
    <t xml:space="preserve">D24</t>
  </si>
  <si>
    <t xml:space="preserve">GM107</t>
  </si>
  <si>
    <t xml:space="preserve">GM108</t>
  </si>
  <si>
    <t xml:space="preserve">F24</t>
  </si>
  <si>
    <t xml:space="preserve">SRC_HW_027</t>
  </si>
  <si>
    <t xml:space="preserve">GM109</t>
  </si>
  <si>
    <t xml:space="preserve">G24</t>
  </si>
  <si>
    <t xml:space="preserve">Derived：2 × VR NVFP4 推論 50（Sparse；3,600 PF ÷ 72）＝100</t>
  </si>
  <si>
    <t xml:space="preserve">v5.18 RU：100＝2 × 50 [Derived]；SRC_HW_031（15 EF ÷ 144＝104）屬 Kyber 舊路線圖，差 4%</t>
  </si>
  <si>
    <t xml:space="preserve">原始數據（G0-2 保留）→Derived（v5.18 RU）</t>
  </si>
  <si>
    <t xml:space="preserve">GM110</t>
  </si>
  <si>
    <t xml:space="preserve">C25</t>
  </si>
  <si>
    <t xml:space="preserve">SRC_HW_020</t>
  </si>
  <si>
    <t xml:space="preserve">GM111</t>
  </si>
  <si>
    <t xml:space="preserve">D25</t>
  </si>
  <si>
    <t xml:space="preserve">SRC_HW_041</t>
  </si>
  <si>
    <t xml:space="preserve">換算取整（13.4 TB ÷ 72＝186.1 → 186）</t>
  </si>
  <si>
    <t xml:space="preserve">值與來源不等（換算取整（13.4 TB ÷ 72＝186.1 → 186））：Stage 1 保留藍字，Stage 2 逐筆決定（G0-2） ｜補充旗標（IF 全欄分段，非分段依據）：高</t>
  </si>
  <si>
    <t xml:space="preserve">GM112</t>
  </si>
  <si>
    <t xml:space="preserve">SRC_HW_026</t>
  </si>
  <si>
    <t xml:space="preserve">GM113</t>
  </si>
  <si>
    <t xml:space="preserve">F25</t>
  </si>
  <si>
    <t xml:space="preserve">SRC_HW_029</t>
  </si>
  <si>
    <t xml:space="preserve">GM114</t>
  </si>
  <si>
    <t xml:space="preserve">G25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</si>
  <si>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</si>
  <si>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GM115</t>
  </si>
  <si>
    <t xml:space="preserve">C26</t>
  </si>
  <si>
    <t xml:space="preserve">SRC_HW_021</t>
  </si>
  <si>
    <t xml:space="preserve">GM116</t>
  </si>
  <si>
    <t xml:space="preserve">D26</t>
  </si>
  <si>
    <t xml:space="preserve">SRC_HW_023</t>
  </si>
  <si>
    <t xml:space="preserve">GM117</t>
  </si>
  <si>
    <t xml:space="preserve">SRC_HW_059</t>
  </si>
  <si>
    <t xml:space="preserve">GM118</t>
  </si>
  <si>
    <t xml:space="preserve">F26</t>
  </si>
  <si>
    <t xml:space="preserve">SRC_HW_030</t>
  </si>
  <si>
    <t xml:space="preserve">GM119</t>
  </si>
  <si>
    <t xml:space="preserve">G26</t>
  </si>
  <si>
    <t xml:space="preserve">SRC_HW_044</t>
  </si>
  <si>
    <t xml:space="preserve">取整（4,600 ÷ 144＝31.9 → 32）</t>
  </si>
  <si>
    <t xml:space="preserve">值與來源不等（取整（4,600 ÷ 144＝31.9 → 32））：Stage 1 保留藍字，Stage 2 逐筆決定（G0-2） ｜補充旗標（IF 全欄分段，非分段依據）：高</t>
  </si>
  <si>
    <t xml:space="preserve">GM120</t>
  </si>
  <si>
    <t xml:space="preserve">C27</t>
  </si>
  <si>
    <t xml:space="preserve">SRC_HW_060</t>
  </si>
  <si>
    <t xml:space="preserve">公式換算</t>
  </si>
  <si>
    <t xml:space="preserve">GM121</t>
  </si>
  <si>
    <t xml:space="preserve">D27</t>
  </si>
  <si>
    <t xml:space="preserve">SRC_HW_048</t>
  </si>
  <si>
    <t xml:space="preserve">GM122</t>
  </si>
  <si>
    <t xml:space="preserve">GM123</t>
  </si>
  <si>
    <t xml:space="preserve">F27</t>
  </si>
  <si>
    <t xml:space="preserve">SRC_HW_049</t>
  </si>
  <si>
    <t xml:space="preserve">GM124</t>
  </si>
  <si>
    <t xml:space="preserve">G27</t>
  </si>
  <si>
    <r>
      <rPr>
        <sz val="10"/>
        <color rgb="FF000000"/>
        <rFont val="Arial"/>
        <family val="0"/>
        <charset val="1"/>
      </rPr>
      <t xml:space="preserve">1.8–3.6 TB/s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</si>
  <si>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RU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VR NVLink 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7 </t>
    </r>
    <r>
      <rPr>
        <sz val="10"/>
        <color rgb="FF000000"/>
        <rFont val="Noto Sans CJK SC"/>
        <family val="2"/>
      </rPr>
      <t xml:space="preserve">未公布</t>
    </r>
  </si>
  <si>
    <t xml:space="preserve">GM125</t>
  </si>
  <si>
    <t xml:space="preserve">C28</t>
  </si>
  <si>
    <t xml:space="preserve">SRC_HW_053</t>
  </si>
  <si>
    <t xml:space="preserve">GM126</t>
  </si>
  <si>
    <t xml:space="preserve">GM127</t>
  </si>
  <si>
    <t xml:space="preserve">GM128</t>
  </si>
  <si>
    <t xml:space="preserve">GM129</t>
  </si>
  <si>
    <t xml:space="preserve">G28</t>
  </si>
  <si>
    <t xml:space="preserve">SRC_HW_062</t>
  </si>
  <si>
    <t xml:space="preserve">低 72＝單架內全互連；高 576＝NVL576 兩層 NVLink 域（v5.18）</t>
  </si>
  <si>
    <t xml:space="preserve">GM130</t>
  </si>
  <si>
    <t xml:space="preserve">C29</t>
  </si>
  <si>
    <t xml:space="preserve">SRC_PERF_051</t>
  </si>
  <si>
    <t xml:space="preserve">可比（DeepSeek H800 decode EP144，18 節點）</t>
  </si>
  <si>
    <r>
      <rPr>
        <sz val="10"/>
        <color rgb="FF000000"/>
        <rFont val="Arial"/>
        <family val="0"/>
        <charset val="1"/>
      </rPr>
      <t xml:space="preserve">32–144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</si>
  <si>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跨節點 </t>
    </r>
    <r>
      <rPr>
        <sz val="10"/>
        <color rgb="FF000000"/>
        <rFont val="Arial"/>
        <family val="0"/>
        <charset val="1"/>
      </rPr>
      <t xml:space="preserve">EP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v5.13 S30 </t>
    </r>
    <r>
      <rPr>
        <sz val="10"/>
        <color rgb="FF000000"/>
        <rFont val="Noto Sans CJK SC"/>
        <family val="2"/>
      </rPr>
      <t xml:space="preserve">補登後恢復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曾因無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</si>
  <si>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GM131</t>
  </si>
  <si>
    <t xml:space="preserve">D29</t>
  </si>
  <si>
    <t xml:space="preserve">SRC_PERF_008</t>
  </si>
  <si>
    <t xml:space="preserve">可比（沿用 GB300 公開配方）</t>
  </si>
  <si>
    <r>
      <rPr>
        <sz val="10"/>
        <color rgb="FF000000"/>
        <rFont val="Arial"/>
        <family val="0"/>
        <charset val="1"/>
      </rPr>
      <t xml:space="preserve">16–72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域內）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</si>
  <si>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dep32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</si>
  <si>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GM132</t>
  </si>
  <si>
    <t xml:space="preserve">E29</t>
  </si>
  <si>
    <t xml:space="preserve">GM133</t>
  </si>
  <si>
    <t xml:space="preserve">F29</t>
  </si>
  <si>
    <t xml:space="preserve">GM134</t>
  </si>
  <si>
    <t xml:space="preserve">G29</t>
  </si>
  <si>
    <t xml:space="preserve">GM135</t>
  </si>
  <si>
    <t xml:space="preserve">C30</t>
  </si>
  <si>
    <t xml:space="preserve">專家權重 bytes/param</t>
  </si>
  <si>
    <t xml:space="preserve">SRC_HW_055</t>
  </si>
  <si>
    <t xml:space="preserve">GM136</t>
  </si>
  <si>
    <t xml:space="preserve">SRC_HW_050</t>
  </si>
  <si>
    <t xml:space="preserve">GM137</t>
  </si>
  <si>
    <t xml:space="preserve">GM138</t>
  </si>
  <si>
    <t xml:space="preserve">GM139</t>
  </si>
  <si>
    <t xml:space="preserve">G30</t>
  </si>
  <si>
    <t xml:space="preserve">GM140</t>
  </si>
  <si>
    <t xml:space="preserve">C31</t>
  </si>
  <si>
    <t xml:space="preserve">非專家權重 bytes/param</t>
  </si>
  <si>
    <r>
      <rPr>
        <sz val="10"/>
        <color rgb="FF000000"/>
        <rFont val="Arial"/>
        <family val="0"/>
        <charset val="1"/>
      </rPr>
      <t xml:space="preserve">1–2 bytes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）</t>
    </r>
  </si>
  <si>
    <t xml:space="preserve">注意力、路由、embedding 以 FP8 存放；原標 Analogy V4，無 SRC 紀錄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</si>
  <si>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</t>
    </r>
  </si>
  <si>
    <t xml:space="preserve">GM141</t>
  </si>
  <si>
    <t xml:space="preserve">GM142</t>
  </si>
  <si>
    <t xml:space="preserve">GM143</t>
  </si>
  <si>
    <t xml:space="preserve">GM144</t>
  </si>
  <si>
    <t xml:space="preserve">G31</t>
  </si>
  <si>
    <t xml:space="preserve">GM145</t>
  </si>
  <si>
    <t xml:space="preserve">C32</t>
  </si>
  <si>
    <t xml:space="preserve">每 prefill 實例 GPU 數（算 TTFT）</t>
  </si>
  <si>
    <r>
      <rPr>
        <sz val="10"/>
        <color rgb="FF000000"/>
        <rFont val="Arial"/>
        <family val="0"/>
        <charset val="1"/>
      </rPr>
      <t xml:space="preserve">4–16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</si>
  <si>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Hopper 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</si>
  <si>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GM146</t>
  </si>
  <si>
    <t xml:space="preserve">SRC_PERF_007</t>
  </si>
  <si>
    <t xml:space="preserve">可比（沿用 GB300 配方）</t>
  </si>
  <si>
    <t xml:space="preserve">2–8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</si>
  <si>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配方 </t>
    </r>
    <r>
      <rPr>
        <sz val="10"/>
        <color rgb="FF000000"/>
        <rFont val="Arial"/>
        <family val="0"/>
        <charset val="1"/>
      </rPr>
      <t xml:space="preserve">dep4 prefill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S21</t>
    </r>
    <r>
      <rPr>
        <sz val="10"/>
        <color rgb="FF000000"/>
        <rFont val="Noto Sans CJK SC"/>
        <family val="2"/>
      </rPr>
      <t xml:space="preserve">）</t>
    </r>
  </si>
  <si>
    <t xml:space="preserve">GM147</t>
  </si>
  <si>
    <t xml:space="preserve">GM148</t>
  </si>
  <si>
    <t xml:space="preserve">GM149</t>
  </si>
  <si>
    <t xml:space="preserve">G32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</si>
  <si>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為推估欄（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），不進基準比較</t>
    </r>
  </si>
  <si>
    <t xml:space="preserve">GM150</t>
  </si>
  <si>
    <t xml:space="preserve">C33</t>
  </si>
  <si>
    <t xml:space="preserve">SRC_HW_056</t>
  </si>
  <si>
    <t xml:space="preserve">GM151</t>
  </si>
  <si>
    <t xml:space="preserve">SRC_HW_057</t>
  </si>
  <si>
    <t xml:space="preserve">GM152</t>
  </si>
  <si>
    <t xml:space="preserve">SRC_HW_058</t>
  </si>
  <si>
    <t xml:space="preserve">GM153</t>
  </si>
  <si>
    <t xml:space="preserve">SRC_HW_046</t>
  </si>
  <si>
    <t xml:space="preserve">GM154</t>
  </si>
  <si>
    <t xml:space="preserve">G33</t>
  </si>
  <si>
    <t xml:space="preserve">GM155</t>
  </si>
  <si>
    <t xml:space="preserve">C34</t>
  </si>
  <si>
    <t xml:space="preserve">SRC_HW_032</t>
  </si>
  <si>
    <t xml:space="preserve">可比（pJ/bit × 8，取整）</t>
  </si>
  <si>
    <r>
      <rPr>
        <sz val="10"/>
        <color rgb="FF000000"/>
        <rFont val="Arial"/>
        <family val="0"/>
        <charset val="1"/>
      </rPr>
      <t xml:space="preserve">±30%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S29</t>
    </r>
    <r>
      <rPr>
        <sz val="10"/>
        <color rgb="FF000000"/>
        <rFont val="Noto Sans CJK SC"/>
        <family val="2"/>
      </rPr>
      <t xml:space="preserve">）</t>
    </r>
  </si>
  <si>
    <t xml:space="preserve">GM156</t>
  </si>
  <si>
    <t xml:space="preserve">SRC_HW_033</t>
  </si>
  <si>
    <t xml:space="preserve">GM157</t>
  </si>
  <si>
    <t xml:space="preserve">GM158</t>
  </si>
  <si>
    <t xml:space="preserve">SRC_HW_034</t>
  </si>
  <si>
    <t xml:space="preserve">GM159</t>
  </si>
  <si>
    <t xml:space="preserve">G34</t>
  </si>
  <si>
    <t xml:space="preserve">GM160</t>
  </si>
  <si>
    <t xml:space="preserve">C39</t>
  </si>
  <si>
    <t xml:space="preserve">SRC_HW_019</t>
  </si>
  <si>
    <t xml:space="preserve">GM161</t>
  </si>
  <si>
    <t xml:space="preserve">D39</t>
  </si>
  <si>
    <t xml:space="preserve">SRC_HW_042</t>
  </si>
  <si>
    <t xml:space="preserve">GM162</t>
  </si>
  <si>
    <t xml:space="preserve">E39</t>
  </si>
  <si>
    <t xml:space="preserve">GM163</t>
  </si>
  <si>
    <t xml:space="preserve">F39</t>
  </si>
  <si>
    <t xml:space="preserve">SRC_HW_039</t>
  </si>
  <si>
    <t xml:space="preserve">GM164</t>
  </si>
  <si>
    <t xml:space="preserve">G39</t>
  </si>
  <si>
    <t xml:space="preserve">GM165</t>
  </si>
  <si>
    <t xml:space="preserve">C40</t>
  </si>
  <si>
    <t xml:space="preserve">GM166</t>
  </si>
  <si>
    <t xml:space="preserve">D40</t>
  </si>
  <si>
    <t xml:space="preserve">SRC_HW_043</t>
  </si>
  <si>
    <t xml:space="preserve">GM167</t>
  </si>
  <si>
    <t xml:space="preserve">E40</t>
  </si>
  <si>
    <t xml:space="preserve">GM168</t>
  </si>
  <si>
    <t xml:space="preserve">F40</t>
  </si>
  <si>
    <t xml:space="preserve">SRC_HW_038</t>
  </si>
  <si>
    <t xml:space="preserve">GM169</t>
  </si>
  <si>
    <t xml:space="preserve">G40</t>
  </si>
  <si>
    <t xml:space="preserve">Derived：2 × VR FP8/FP6 訓練 dense 17.5（1,260 PF ÷ 72，註 Dense）＝35.0</t>
  </si>
  <si>
    <t xml:space="preserve">v5.18 RU：35.0＝2 × 17.5 [Derived]；SRC_HW_045（5,000 PF 整機）Superseded ｜補充旗標（IF 全欄分段，非分段依據）：高</t>
  </si>
  <si>
    <t xml:space="preserve">GM170</t>
  </si>
  <si>
    <t xml:space="preserve">C41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</si>
  <si>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，取 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值（＝</t>
    </r>
    <r>
      <rPr>
        <sz val="10"/>
        <color rgb="FF000000"/>
        <rFont val="Arial"/>
        <family val="0"/>
        <charset val="1"/>
      </rPr>
      <t xml:space="preserve">C40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改公式）</t>
    </r>
  </si>
  <si>
    <t xml:space="preserve">GM171</t>
  </si>
  <si>
    <t xml:space="preserve">D41</t>
  </si>
  <si>
    <t xml:space="preserve">SRC_HW_037</t>
  </si>
  <si>
    <t xml:space="preserve">可比（Rubin 為 Blackwell 3.5 倍：35 ÷ 3.5）</t>
  </si>
  <si>
    <t xml:space="preserve">5–10 PF</t>
  </si>
  <si>
    <t xml:space="preserve">GM172</t>
  </si>
  <si>
    <t xml:space="preserve">E41</t>
  </si>
  <si>
    <t xml:space="preserve">10–15 PF</t>
  </si>
  <si>
    <t xml:space="preserve">GM173</t>
  </si>
  <si>
    <t xml:space="preserve">F41</t>
  </si>
  <si>
    <t xml:space="preserve">GM174</t>
  </si>
  <si>
    <t xml:space="preserve">G41</t>
  </si>
  <si>
    <t xml:space="preserve">GM175</t>
  </si>
  <si>
    <t xml:space="preserve">Arch</t>
  </si>
  <si>
    <t xml:space="preserve">SRC_MOD_005</t>
  </si>
  <si>
    <t xml:space="preserve">GM176</t>
  </si>
  <si>
    <t xml:space="preserve">SRC_MOD_001</t>
  </si>
  <si>
    <t xml:space="preserve">GM177</t>
  </si>
  <si>
    <t xml:space="preserve">C7</t>
  </si>
  <si>
    <t xml:space="preserve">SRC_MOD_006</t>
  </si>
  <si>
    <t xml:space="preserve">GM178</t>
  </si>
  <si>
    <t xml:space="preserve">D7</t>
  </si>
  <si>
    <t xml:space="preserve">SRC_MOD_002</t>
  </si>
  <si>
    <t xml:space="preserve">GM179</t>
  </si>
  <si>
    <t xml:space="preserve">SRC_MOD_007</t>
  </si>
  <si>
    <t xml:space="preserve">GM180</t>
  </si>
  <si>
    <t xml:space="preserve">SRC_MOD_003</t>
  </si>
  <si>
    <t xml:space="preserve">GM181</t>
  </si>
  <si>
    <t xml:space="preserve">SRC_MOD_009</t>
  </si>
  <si>
    <t xml:space="preserve">GM182</t>
  </si>
  <si>
    <t xml:space="preserve">GM183</t>
  </si>
  <si>
    <t xml:space="preserve">SRC_MOD_010</t>
  </si>
  <si>
    <t xml:space="preserve">GM184</t>
  </si>
  <si>
    <t xml:space="preserve">SRC_MOD_011</t>
  </si>
  <si>
    <t xml:space="preserve">GM185</t>
  </si>
  <si>
    <t xml:space="preserve">每 token 啟用 routed experts</t>
  </si>
  <si>
    <t xml:space="preserve">SRC_MOD_012</t>
  </si>
  <si>
    <t xml:space="preserve">GM186</t>
  </si>
  <si>
    <t xml:space="preserve">GM187</t>
  </si>
  <si>
    <t xml:space="preserve">C14</t>
  </si>
  <si>
    <t xml:space="preserve">SRC_MOD_013</t>
  </si>
  <si>
    <t xml:space="preserve">GM188</t>
  </si>
  <si>
    <t xml:space="preserve">GM189</t>
  </si>
  <si>
    <t xml:space="preserve">C15</t>
  </si>
  <si>
    <t xml:space="preserve">SRC_MOD_014</t>
  </si>
  <si>
    <t xml:space="preserve">GM190</t>
  </si>
  <si>
    <t xml:space="preserve">D15</t>
  </si>
  <si>
    <t xml:space="preserve">GM191</t>
  </si>
  <si>
    <t xml:space="preserve">C16</t>
  </si>
  <si>
    <t xml:space="preserve">SRC_MOD_015</t>
  </si>
  <si>
    <t xml:space="preserve">GM192</t>
  </si>
  <si>
    <t xml:space="preserve">GM193</t>
  </si>
  <si>
    <t xml:space="preserve">C18</t>
  </si>
  <si>
    <t xml:space="preserve">SRC_MOD_016</t>
  </si>
  <si>
    <t xml:space="preserve">GM194</t>
  </si>
  <si>
    <t xml:space="preserve">GM195</t>
  </si>
  <si>
    <t xml:space="preserve">C19</t>
  </si>
  <si>
    <t xml:space="preserve">SRC_MOD_017</t>
  </si>
  <si>
    <t xml:space="preserve">GM196</t>
  </si>
  <si>
    <t xml:space="preserve">GM197</t>
  </si>
  <si>
    <t xml:space="preserve">SRC_MOD_004</t>
  </si>
  <si>
    <t xml:space="preserve">GM198</t>
  </si>
  <si>
    <t xml:space="preserve">SRC_MOD_008</t>
  </si>
  <si>
    <t xml:space="preserve">GM199</t>
  </si>
  <si>
    <t xml:space="preserve">SRC_MOD_052</t>
  </si>
  <si>
    <t xml:space="preserve">連結 SRC（V4-Flash 官方 config.json，v5.13 D）</t>
  </si>
  <si>
    <t xml:space="preserve">GM200</t>
  </si>
  <si>
    <t xml:space="preserve">SRC_MOD_053</t>
  </si>
  <si>
    <r>
      <rPr>
        <sz val="10"/>
        <color rgb="FF000000"/>
        <rFont val="Arial"/>
        <family val="0"/>
        <charset val="1"/>
      </rPr>
      <t xml:space="preserve">Analogy→</t>
    </r>
    <r>
      <rPr>
        <sz val="10"/>
        <color rgb="FF000000"/>
        <rFont val="Noto Sans CJK SC"/>
        <family val="2"/>
      </rPr>
      <t xml:space="preserve">原始數據（官方 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已讀，</t>
    </r>
    <r>
      <rPr>
        <sz val="10"/>
        <color rgb="FF000000"/>
        <rFont val="Arial"/>
        <family val="0"/>
        <charset val="1"/>
      </rPr>
      <t xml:space="preserve">v5.13 D</t>
    </r>
    <r>
      <rPr>
        <sz val="10"/>
        <color rgb="FF000000"/>
        <rFont val="Noto Sans CJK SC"/>
        <family val="2"/>
      </rPr>
      <t xml:space="preserve">）</t>
    </r>
  </si>
  <si>
    <t xml:space="preserve">GM201</t>
  </si>
  <si>
    <t xml:space="preserve">C17</t>
  </si>
  <si>
    <t xml:space="preserve">全注意力層跨度上限（0＝全上下文）</t>
  </si>
  <si>
    <t xml:space="preserve">SRC_MOD_018</t>
  </si>
  <si>
    <t xml:space="preserve">GM202</t>
  </si>
  <si>
    <t xml:space="preserve">GM203</t>
  </si>
  <si>
    <r>
      <rPr>
        <sz val="10"/>
        <color rgb="FF000000"/>
        <rFont val="Arial"/>
        <family val="0"/>
        <charset val="1"/>
      </rPr>
      <t xml:space="preserve">2–10T</t>
    </r>
    <r>
      <rPr>
        <sz val="10"/>
        <color rgb="FF000000"/>
        <rFont val="Noto Sans CJK SC"/>
        <family val="2"/>
      </rPr>
      <t xml:space="preserve">（原註）</t>
    </r>
  </si>
  <si>
    <t xml:space="preserve">GM204</t>
  </si>
  <si>
    <r>
      <rPr>
        <sz val="10"/>
        <color rgb="FF000000"/>
        <rFont val="Arial"/>
        <family val="0"/>
        <charset val="1"/>
      </rPr>
      <t xml:space="preserve">60–250B</t>
    </r>
    <r>
      <rPr>
        <sz val="10"/>
        <color rgb="FF000000"/>
        <rFont val="Noto Sans CJK SC"/>
        <family val="2"/>
      </rPr>
      <t xml:space="preserve">（原註）</t>
    </r>
  </si>
  <si>
    <t xml:space="preserve">GM205</t>
  </si>
  <si>
    <r>
      <rPr>
        <sz val="10"/>
        <color rgb="FF000000"/>
        <rFont val="Arial"/>
        <family val="0"/>
        <charset val="1"/>
      </rPr>
      <t xml:space="preserve">80–160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</si>
  <si>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14.8%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+82.4%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IF_FullCost_Astra VR200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E236</t>
    </r>
    <r>
      <rPr>
        <sz val="10"/>
        <color rgb="FF000000"/>
        <rFont val="Noto Sans CJK SC"/>
        <family val="2"/>
      </rPr>
      <t xml:space="preserve">；摘要級）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</si>
  <si>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GM206</t>
  </si>
  <si>
    <r>
      <rPr>
        <sz val="10"/>
        <color rgb="FF000000"/>
        <rFont val="Arial"/>
        <family val="0"/>
        <charset val="1"/>
      </rPr>
      <t xml:space="preserve">8,192–16,384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</si>
  <si>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</t>
    </r>
  </si>
  <si>
    <t xml:space="preserve">GM207</t>
  </si>
  <si>
    <r>
      <rPr>
        <sz val="10"/>
        <color rgb="FF000000"/>
        <rFont val="Arial"/>
        <family val="0"/>
        <charset val="1"/>
      </rPr>
      <t xml:space="preserve">64–128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</si>
  <si>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GM208</t>
  </si>
  <si>
    <r>
      <rPr>
        <sz val="10"/>
        <color rgb="FF000000"/>
        <rFont val="Arial"/>
        <family val="0"/>
        <charset val="1"/>
      </rPr>
      <t xml:space="preserve">128–192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</si>
  <si>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GM209</t>
  </si>
  <si>
    <r>
      <rPr>
        <sz val="10"/>
        <color rgb="FF000000"/>
        <rFont val="Arial"/>
        <family val="0"/>
        <charset val="1"/>
      </rPr>
      <t xml:space="preserve">256–1,024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</si>
  <si>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為封閉前沿代理（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E253</t>
    </r>
    <r>
      <rPr>
        <sz val="10"/>
        <color rgb="FF000000"/>
        <rFont val="Noto Sans CJK SC"/>
        <family val="2"/>
      </rPr>
      <t xml:space="preserve">）</t>
    </r>
  </si>
  <si>
    <t xml:space="preserve">GM210</t>
  </si>
  <si>
    <r>
      <rPr>
        <sz val="10"/>
        <color rgb="FF000000"/>
        <rFont val="Arial"/>
        <family val="0"/>
        <charset val="1"/>
      </rPr>
      <t xml:space="preserve">8–32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</si>
  <si>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GM211</t>
  </si>
  <si>
    <t xml:space="preserve">E15</t>
  </si>
  <si>
    <r>
      <rPr>
        <sz val="10"/>
        <color rgb="FF000000"/>
        <rFont val="Arial"/>
        <family val="0"/>
        <charset val="1"/>
      </rPr>
      <t xml:space="preserve">128K–256K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</si>
  <si>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GM212</t>
  </si>
  <si>
    <r>
      <rPr>
        <sz val="10"/>
        <color rgb="FF000000"/>
        <rFont val="Arial"/>
        <family val="0"/>
        <charset val="1"/>
      </rPr>
      <t xml:space="preserve">Astra shared experts </t>
    </r>
    <r>
      <rPr>
        <sz val="10"/>
        <color rgb="FF000000"/>
        <rFont val="Noto Sans CJK SC"/>
        <family val="2"/>
      </rPr>
      <t xml:space="preserve">沿用 </t>
    </r>
    <r>
      <rPr>
        <sz val="10"/>
        <color rgb="FF000000"/>
        <rFont val="Arial"/>
        <family val="0"/>
        <charset val="1"/>
      </rPr>
      <t xml:space="preserve">V4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</si>
  <si>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GM213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</si>
  <si>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全層注意力（設計選擇；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影響以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情境處理）</t>
    </r>
  </si>
  <si>
    <t xml:space="preserve">GM214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</si>
  <si>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全上下文（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</si>
  <si>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GM215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</si>
  <si>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不壓縮（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</si>
  <si>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GM216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</si>
  <si>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無滑動窗（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</si>
  <si>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t xml:space="preserve">GM217</t>
  </si>
  <si>
    <t xml:space="preserve">J1</t>
  </si>
  <si>
    <r>
      <rPr>
        <sz val="10"/>
        <color rgb="FF000000"/>
        <rFont val="Arial"/>
        <family val="0"/>
        <charset val="1"/>
      </rPr>
      <t xml:space="preserve">Astra KV </t>
    </r>
    <r>
      <rPr>
        <sz val="10"/>
        <color rgb="FF000000"/>
        <rFont val="Noto Sans CJK SC"/>
        <family val="2"/>
      </rPr>
      <t xml:space="preserve">情境（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）</t>
    </r>
  </si>
  <si>
    <t xml:space="preserve">GM218</t>
  </si>
  <si>
    <t xml:space="preserve">C21</t>
  </si>
  <si>
    <t xml:space="preserve">v5.13 D 改公式（值不變）：輸入見 Arch「KV 推導輸入」列</t>
  </si>
  <si>
    <t xml:space="preserve">GM219</t>
  </si>
  <si>
    <t xml:space="preserve">GM220</t>
  </si>
  <si>
    <t xml:space="preserve">GM221</t>
  </si>
  <si>
    <t xml:space="preserve">C22</t>
  </si>
  <si>
    <t xml:space="preserve">GM222</t>
  </si>
  <si>
    <t xml:space="preserve">D22</t>
  </si>
  <si>
    <t xml:space="preserve">GM223</t>
  </si>
  <si>
    <t xml:space="preserve">E22</t>
  </si>
  <si>
    <t xml:space="preserve">GM224</t>
  </si>
  <si>
    <t xml:space="preserve">GM225</t>
  </si>
  <si>
    <t xml:space="preserve">GM226</t>
  </si>
  <si>
    <t xml:space="preserve">GM227</t>
  </si>
  <si>
    <t xml:space="preserve">Serving</t>
  </si>
  <si>
    <t xml:space="preserve">SRC_PERF_035</t>
  </si>
  <si>
    <t xml:space="preserve">可比（MLCommons 允許 MTP 3 步）</t>
  </si>
  <si>
    <r>
      <rPr>
        <sz val="10"/>
        <color rgb="FF000000"/>
        <rFont val="Arial"/>
        <family val="0"/>
        <charset val="1"/>
      </rPr>
      <t xml:space="preserve">1–5</t>
    </r>
    <r>
      <rPr>
        <sz val="10"/>
        <color rgb="FF000000"/>
        <rFont val="Noto Sans CJK SC"/>
        <family val="2"/>
      </rPr>
      <t xml:space="preserve">（原註）</t>
    </r>
  </si>
  <si>
    <t xml:space="preserve">GM228</t>
  </si>
  <si>
    <t xml:space="preserve">每個草稿 token 接受率 α</t>
  </si>
  <si>
    <t xml:space="preserve">SRC_PERF_005</t>
  </si>
  <si>
    <t xml:space="preserve">GM229</t>
  </si>
  <si>
    <r>
      <rPr>
        <sz val="10"/>
        <color rgb="FF000000"/>
        <rFont val="Arial"/>
        <family val="0"/>
        <charset val="1"/>
      </rPr>
      <t xml:space="preserve">5–20%</t>
    </r>
    <r>
      <rPr>
        <sz val="10"/>
        <color rgb="FF000000"/>
        <rFont val="Noto Sans CJK SC"/>
        <family val="2"/>
      </rPr>
      <t xml:space="preserve">（原註）</t>
    </r>
  </si>
  <si>
    <t xml:space="preserve">GM230</t>
  </si>
  <si>
    <t xml:space="preserve">非專家權重占可用 HBM 上限</t>
  </si>
  <si>
    <r>
      <rPr>
        <sz val="10"/>
        <color rgb="FF000000"/>
        <rFont val="Arial"/>
        <family val="0"/>
        <charset val="1"/>
      </rPr>
      <t xml:space="preserve">10–30%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</si>
  <si>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GM231</t>
  </si>
  <si>
    <t xml:space="preserve">專家權重占可用 HBM 上限</t>
  </si>
  <si>
    <r>
      <rPr>
        <sz val="10"/>
        <color rgb="FF000000"/>
        <rFont val="Arial"/>
        <family val="0"/>
        <charset val="1"/>
      </rPr>
      <t xml:space="preserve">30–50%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</si>
  <si>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GM232</t>
  </si>
  <si>
    <r>
      <rPr>
        <sz val="10"/>
        <color rgb="FF000000"/>
        <rFont val="Arial"/>
        <family val="0"/>
        <charset val="1"/>
      </rPr>
      <t xml:space="preserve">2–4 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BF16 </t>
    </r>
    <r>
      <rPr>
        <sz val="10"/>
        <color rgb="FF000000"/>
        <rFont val="Noto Sans CJK SC"/>
        <family val="2"/>
      </rPr>
      <t xml:space="preserve">組合）</t>
    </r>
  </si>
  <si>
    <t xml:space="preserve">GM233</t>
  </si>
  <si>
    <r>
      <rPr>
        <sz val="10"/>
        <color rgb="FF000000"/>
        <rFont val="Arial"/>
        <family val="0"/>
        <charset val="1"/>
      </rPr>
      <t xml:space="preserve">0.5–0.85</t>
    </r>
    <r>
      <rPr>
        <sz val="10"/>
        <color rgb="FF000000"/>
        <rFont val="Noto Sans CJK SC"/>
        <family val="2"/>
      </rPr>
      <t xml:space="preserve">（原註）</t>
    </r>
  </si>
  <si>
    <t xml:space="preserve">GM234</t>
  </si>
  <si>
    <t xml:space="preserve">GM235</t>
  </si>
  <si>
    <t xml:space="preserve">快取命中 KV 載入頻寬</t>
  </si>
  <si>
    <r>
      <rPr>
        <sz val="10"/>
        <color rgb="FF000000"/>
        <rFont val="Arial"/>
        <family val="0"/>
        <charset val="1"/>
      </rPr>
      <t xml:space="preserve">0.05–0.4</t>
    </r>
    <r>
      <rPr>
        <sz val="10"/>
        <color rgb="FF000000"/>
        <rFont val="Noto Sans CJK SC"/>
        <family val="2"/>
      </rPr>
      <t xml:space="preserve">（原註）</t>
    </r>
  </si>
  <si>
    <t xml:space="preserve">GM236</t>
  </si>
  <si>
    <t xml:space="preserve">基準利用率（第 0 層）</t>
  </si>
  <si>
    <t xml:space="preserve">K11</t>
  </si>
  <si>
    <r>
      <rPr>
        <sz val="10"/>
        <color rgb="FF000000"/>
        <rFont val="Arial"/>
        <family val="0"/>
        <charset val="1"/>
      </rPr>
      <t xml:space="preserve">40–80%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原註；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：暫定、待證據）</t>
    </r>
  </si>
  <si>
    <t xml:space="preserve">GM237</t>
  </si>
  <si>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確認；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：暫定、待證據；基準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在區間端點）</t>
    </r>
  </si>
  <si>
    <t xml:space="preserve">GM238</t>
  </si>
  <si>
    <t xml:space="preserve">峰值情境（1＝dense 基準／2＝NVFP4 推論高）</t>
  </si>
  <si>
    <t xml:space="preserve">J2</t>
  </si>
  <si>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峰值情境：基準 </t>
    </r>
    <r>
      <rPr>
        <sz val="10"/>
        <color rgb="FF000000"/>
        <rFont val="Arial"/>
        <family val="0"/>
        <charset val="1"/>
      </rPr>
      <t xml:space="preserve">1</t>
    </r>
  </si>
  <si>
    <t xml:space="preserve">GM239</t>
  </si>
  <si>
    <t xml:space="preserve">Derived（公式）</t>
  </si>
  <si>
    <t xml:space="preserve">SRC_PERF_066</t>
  </si>
  <si>
    <t xml:space="preserve">換算（√(SRC_PERF_066 × SRC_PERF_067)＝√(AA 116.5 × OpenRouter 61)＝84.3）</t>
  </si>
  <si>
    <t xml:space="preserve">ETA-E2</t>
  </si>
  <si>
    <r>
      <rPr>
        <sz val="10"/>
        <color rgb="FF000000"/>
        <rFont val="Arial"/>
        <family val="0"/>
        <charset val="1"/>
      </rPr>
      <t xml:space="preserve">61–116.5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</si>
  <si>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v10.2 E2（ETA-E2）：SLO 改為 AA 與 OpenRouter 兩家中位數的幾何平均（Derived）；舊值 120／65／55 為 GPT-5.6 時代的單一來源（S26），留作情境 slo_v10；兩家系統性相差 1.5–2 倍（AA 探測請求、OpenRouter 實際流量），原因未查明，故區間涵蓋兩者；Sol 對應 GPT-6.1 Sol（chat 端預設，可撤回）</t>
  </si>
  <si>
    <r>
      <rPr>
        <sz val="10"/>
        <color rgb="FF000000"/>
        <rFont val="Noto Sans CJK SC"/>
        <family val="2"/>
      </rPr>
      <t xml:space="preserve">原始數據／</t>
    </r>
    <r>
      <rPr>
        <sz val="10"/>
        <color rgb="FF000000"/>
        <rFont val="Arial"/>
        <family val="0"/>
        <charset val="1"/>
      </rPr>
      <t xml:space="preserve">Decision → Derived</t>
    </r>
    <r>
      <rPr>
        <sz val="10"/>
        <color rgb="FF000000"/>
        <rFont val="Noto Sans CJK SC"/>
        <family val="2"/>
      </rPr>
      <t xml:space="preserve">（公式）（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）</t>
    </r>
  </si>
  <si>
    <t xml:space="preserve">GM240</t>
  </si>
  <si>
    <t xml:space="preserve">SRC_PERF_068</t>
  </si>
  <si>
    <t xml:space="preserve">換算（√(SRC_PERF_068 × SRC_PERF_069)＝√(AA 50.7 × OpenRouter 37)＝43.3；GPT-6.1 Sol）</t>
  </si>
  <si>
    <r>
      <rPr>
        <sz val="10"/>
        <color rgb="FF000000"/>
        <rFont val="Arial"/>
        <family val="0"/>
        <charset val="1"/>
      </rPr>
      <t xml:space="preserve">37–50.7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</si>
  <si>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兩家中位數的幾何平均（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）；舊值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GPT-5.6 </t>
    </r>
    <r>
      <rPr>
        <sz val="10"/>
        <color rgb="FF000000"/>
        <rFont val="Noto Sans CJK SC"/>
        <family val="2"/>
      </rPr>
      <t xml:space="preserve">時代的單一來源（</t>
    </r>
    <r>
      <rPr>
        <sz val="10"/>
        <color rgb="FF000000"/>
        <rFont val="Arial"/>
        <family val="0"/>
        <charset val="1"/>
      </rPr>
      <t xml:space="preserve">S26</t>
    </r>
    <r>
      <rPr>
        <sz val="10"/>
        <color rgb="FF000000"/>
        <rFont val="Noto Sans CJK SC"/>
        <family val="2"/>
      </rPr>
      <t xml:space="preserve">），留作情境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；兩家系統性相差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實際流量），原因未查明，故區間涵蓋兩者；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</t>
    </r>
  </si>
  <si>
    <t xml:space="preserve">GM241</t>
  </si>
  <si>
    <t xml:space="preserve">SRC_PERF_070</t>
  </si>
  <si>
    <t xml:space="preserve">換算（√(SRC_PERF_070 × SRC_PERF_071)＝√(AA 52.1 × OpenRouter 32)＝40.8；GPT-6 Astra）</t>
  </si>
  <si>
    <r>
      <rPr>
        <sz val="10"/>
        <color rgb="FF000000"/>
        <rFont val="Arial"/>
        <family val="0"/>
        <charset val="1"/>
      </rPr>
      <t xml:space="preserve">32–52.1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中位至 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</si>
  <si>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t xml:space="preserve">GM242</t>
  </si>
  <si>
    <r>
      <rPr>
        <sz val="10"/>
        <color rgb="FF000000"/>
        <rFont val="Arial"/>
        <family val="0"/>
        <charset val="1"/>
      </rPr>
      <t xml:space="preserve">×0.5–×2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</si>
  <si>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上限只作檢查</t>
    </r>
  </si>
  <si>
    <t xml:space="preserve">GM243</t>
  </si>
  <si>
    <t xml:space="preserve">GM244</t>
  </si>
  <si>
    <t xml:space="preserve">GM245</t>
  </si>
  <si>
    <t xml:space="preserve">參考 ISL（每次請求輸入）</t>
  </si>
  <si>
    <t xml:space="preserve">參考 ISL：Astra 用於長任務；上下文敏感度見 Sens_Perf ｜v5.25 X12：OpenRouter 市場平均輸入 &gt;6K、輸出約 400（E247）；基準不改</t>
  </si>
  <si>
    <t xml:space="preserve">GM246</t>
  </si>
  <si>
    <t xml:space="preserve">參考 ISL：Astra 用於長任務；上下文敏感度見 Sens_Perf ｜v5.18 D5（r3 I1）：區間高擴至 68,000 以涵蓋 Copilot 每呼叫提示中位（E211；Analogy）；基準不動；C23（Luna）不套用 ｜v5.25 X12：OpenRouter 市場平均輸入 &gt;6K、輸出約 400（E247）；基準不改</t>
  </si>
  <si>
    <t xml:space="preserve">GM247</t>
  </si>
  <si>
    <t xml:space="preserve">GM248</t>
  </si>
  <si>
    <t xml:space="preserve">參考 OSL（含思考）</t>
  </si>
  <si>
    <r>
      <rPr>
        <sz val="10"/>
        <color rgb="FF000000"/>
        <rFont val="Arial"/>
        <family val="0"/>
        <charset val="1"/>
      </rPr>
      <t xml:space="preserve">400–2,048</t>
    </r>
    <r>
      <rPr>
        <sz val="10"/>
        <color rgb="FF000000"/>
        <rFont val="Noto Sans CJK SC"/>
        <family val="2"/>
      </rPr>
      <t xml:space="preserve">（下限依 </t>
    </r>
    <r>
      <rPr>
        <sz val="10"/>
        <color rgb="FF000000"/>
        <rFont val="Arial"/>
        <family val="0"/>
        <charset val="1"/>
      </rPr>
      <t xml:space="preserve">E247 </t>
    </r>
    <r>
      <rPr>
        <sz val="10"/>
        <color rgb="FF000000"/>
        <rFont val="Noto Sans CJK SC"/>
        <family val="2"/>
      </rPr>
      <t xml:space="preserve">放寬，</t>
    </r>
    <r>
      <rPr>
        <sz val="10"/>
        <color rgb="FF000000"/>
        <rFont val="Arial"/>
        <family val="0"/>
        <charset val="1"/>
      </rPr>
      <t xml:space="preserve">X12</t>
    </r>
    <r>
      <rPr>
        <sz val="10"/>
        <color rgb="FF000000"/>
        <rFont val="Noto Sans CJK SC"/>
        <family val="2"/>
      </rPr>
      <t xml:space="preserve">）</t>
    </r>
  </si>
  <si>
    <t xml:space="preserve">參考 OSL（含思考） ｜v5.25 X12：OpenRouter 市場平均輸入 &gt;6K、輸出約 400（E247）；基準不改</t>
  </si>
  <si>
    <t xml:space="preserve">GM249</t>
  </si>
  <si>
    <t xml:space="preserve">GM250</t>
  </si>
  <si>
    <t xml:space="preserve">GM251</t>
  </si>
  <si>
    <t xml:space="preserve">Workload</t>
  </si>
  <si>
    <t xml:space="preserve">C5</t>
  </si>
  <si>
    <t xml:space="preserve">輪數 T</t>
  </si>
  <si>
    <r>
      <rPr>
        <sz val="10"/>
        <color rgb="FF000000"/>
        <rFont val="Arial"/>
        <family val="0"/>
        <charset val="1"/>
      </rPr>
      <t xml:space="preserve">max(1, ×0.5)–×2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</si>
  <si>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標準任務定義（Assumed）；Stage 2 以 Har_In 證據校準</t>
  </si>
  <si>
    <t xml:space="preserve">GM252</t>
  </si>
  <si>
    <t xml:space="preserve">D5</t>
  </si>
  <si>
    <t xml:space="preserve">GM253</t>
  </si>
  <si>
    <t xml:space="preserve">GM254</t>
  </si>
  <si>
    <t xml:space="preserve">F5</t>
  </si>
  <si>
    <t xml:space="preserve">GM255</t>
  </si>
  <si>
    <t xml:space="preserve">G5</t>
  </si>
  <si>
    <t xml:space="preserve">標準任務定義（Assumed）；Stage 2 以 Har_In 證據校準 ｜v5.18 r3 I1：區間不改，Copilot 追蹤已讀且已涵蓋（E208；單位對應見該列）</t>
  </si>
  <si>
    <t xml:space="preserve">GM256</t>
  </si>
  <si>
    <t xml:space="preserve">初始上下文 S（系統提示、歷史、工具定義）</t>
  </si>
  <si>
    <t xml:space="preserve">標準任務定義（Assumed）；Stage 2 以 Har_In 證據校準 ｜補充旗標（IF 全欄分段，非分段依據）：高</t>
  </si>
  <si>
    <t xml:space="preserve">GM257</t>
  </si>
  <si>
    <t xml:space="preserve">GM258</t>
  </si>
  <si>
    <t xml:space="preserve">GM259</t>
  </si>
  <si>
    <t xml:space="preserve">GM260</t>
  </si>
  <si>
    <t xml:space="preserve">GM261</t>
  </si>
  <si>
    <t xml:space="preserve">每輪新輸入 u（使用者或工具結果）</t>
  </si>
  <si>
    <t xml:space="preserve">GM262</t>
  </si>
  <si>
    <t xml:space="preserve">GM263</t>
  </si>
  <si>
    <t xml:space="preserve">GM264</t>
  </si>
  <si>
    <t xml:space="preserve">F7</t>
  </si>
  <si>
    <t xml:space="preserve">GM265</t>
  </si>
  <si>
    <t xml:space="preserve">G7</t>
  </si>
  <si>
    <t xml:space="preserve">GM266</t>
  </si>
  <si>
    <t xml:space="preserve">每輪思考 token h</t>
  </si>
  <si>
    <t xml:space="preserve">GM267</t>
  </si>
  <si>
    <t xml:space="preserve">GM268</t>
  </si>
  <si>
    <t xml:space="preserve">GM269</t>
  </si>
  <si>
    <t xml:space="preserve">GM270</t>
  </si>
  <si>
    <t xml:space="preserve">GM271</t>
  </si>
  <si>
    <t xml:space="preserve">每輪可見輸出 o</t>
  </si>
  <si>
    <t xml:space="preserve">GM272</t>
  </si>
  <si>
    <t xml:space="preserve">GM273</t>
  </si>
  <si>
    <t xml:space="preserve">GM274</t>
  </si>
  <si>
    <t xml:space="preserve">GM275</t>
  </si>
  <si>
    <t xml:space="preserve">標準任務定義（Assumed）；Stage 2 以 Har_In 證據校準 ｜補充旗標（IF 全欄分段，非分段依據）：高 ｜v5.19 X2 升段：單變數擺動 −17.9%／+35.9%（低／高端；L1_Ans9）；chat 端掃描 2026-10-06 ｜v5.20 X3：已搜尋、無可比對象（Andy 2026-10-06 核准，C2）</t>
  </si>
  <si>
    <t xml:space="preserve">GM276</t>
  </si>
  <si>
    <t xml:space="preserve">思考保留於上下文比例 ρ</t>
  </si>
  <si>
    <t xml:space="preserve">0–1</t>
  </si>
  <si>
    <t xml:space="preserve">GM277</t>
  </si>
  <si>
    <t xml:space="preserve">GM278</t>
  </si>
  <si>
    <t xml:space="preserve">GM279</t>
  </si>
  <si>
    <t xml:space="preserve">GM280</t>
  </si>
  <si>
    <t xml:space="preserve">GM281</t>
  </si>
  <si>
    <t xml:space="preserve">歷史快取命中率 χ</t>
  </si>
  <si>
    <r>
      <rPr>
        <sz val="10"/>
        <color rgb="FF000000"/>
        <rFont val="Arial"/>
        <family val="0"/>
        <charset val="1"/>
      </rPr>
      <t xml:space="preserve">30–70%</t>
    </r>
    <r>
      <rPr>
        <sz val="10"/>
        <color rgb="FF000000"/>
        <rFont val="Noto Sans CJK SC"/>
        <family val="2"/>
      </rPr>
      <t xml:space="preserve">（聊天；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</si>
  <si>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GM282</t>
  </si>
  <si>
    <t xml:space="preserve">GM283</t>
  </si>
  <si>
    <r>
      <rPr>
        <sz val="10"/>
        <color rgb="FF000000"/>
        <rFont val="Arial"/>
        <family val="0"/>
        <charset val="1"/>
      </rPr>
      <t xml:space="preserve">70–95%</t>
    </r>
    <r>
      <rPr>
        <sz val="10"/>
        <color rgb="FF000000"/>
        <rFont val="Noto Sans CJK SC"/>
        <family val="2"/>
      </rPr>
      <t xml:space="preserve">（代理；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</si>
  <si>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GM284</t>
  </si>
  <si>
    <t xml:space="preserve">GM285</t>
  </si>
  <si>
    <t xml:space="preserve">GM286</t>
  </si>
  <si>
    <t xml:space="preserve">並行子代理數 m</t>
  </si>
  <si>
    <r>
      <rPr>
        <sz val="10"/>
        <color rgb="FF000000"/>
        <rFont val="Arial"/>
        <family val="0"/>
        <charset val="1"/>
      </rPr>
      <t xml:space="preserve">0–max(1, ×2)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</si>
  <si>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GM287</t>
  </si>
  <si>
    <t xml:space="preserve">GM288</t>
  </si>
  <si>
    <t xml:space="preserve">GM289</t>
  </si>
  <si>
    <t xml:space="preserve">GM290</t>
  </si>
  <si>
    <t xml:space="preserve">GM291</t>
  </si>
  <si>
    <t xml:space="preserve">L1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</si>
  <si>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殘差倍數預設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）</t>
    </r>
  </si>
  <si>
    <t xml:space="preserve">GM292</t>
  </si>
  <si>
    <t xml:space="preserve">歷史保留比 c（壓縮後保留的歷史比例；1＝不壓縮）</t>
  </si>
  <si>
    <t xml:space="preserve">L3</t>
  </si>
  <si>
    <t xml:space="preserve">標準 harness 不壓縮（L3） ｜補充旗標（IF 全欄分段，非分段依據）：高</t>
  </si>
  <si>
    <t xml:space="preserve">GM293</t>
  </si>
  <si>
    <t xml:space="preserve">GM294</t>
  </si>
  <si>
    <t xml:space="preserve">GM295</t>
  </si>
  <si>
    <t xml:space="preserve">GM296</t>
  </si>
  <si>
    <t xml:space="preserve">GM297</t>
  </si>
  <si>
    <t xml:space="preserve">GM298</t>
  </si>
  <si>
    <t xml:space="preserve">GM299</t>
  </si>
  <si>
    <t xml:space="preserve">GM300</t>
  </si>
  <si>
    <t xml:space="preserve">G14</t>
  </si>
  <si>
    <t xml:space="preserve">GM301</t>
  </si>
  <si>
    <t xml:space="preserve">切片二（v5.13）</t>
  </si>
  <si>
    <t xml:space="preserve">參照：Anthropic 揭露倍數（相對聊天）</t>
  </si>
  <si>
    <t xml:space="preserve">比較基準：一般聊天＝1（SRC_HAR_001／002 都以聊天為分母）；v5.13 由原始數據改類</t>
  </si>
  <si>
    <t xml:space="preserve">GM302</t>
  </si>
  <si>
    <t xml:space="preserve">SRC_HAR_001</t>
  </si>
  <si>
    <t xml:space="preserve">參照列；v5.13 連結 SRC_Harness</t>
  </si>
  <si>
    <t xml:space="preserve">GM303</t>
  </si>
  <si>
    <t xml:space="preserve">SRC_HAR_002</t>
  </si>
  <si>
    <t xml:space="preserve">GM304</t>
  </si>
  <si>
    <t xml:space="preserve">Calib</t>
  </si>
  <si>
    <t xml:space="preserve">SRC_PERF_041</t>
  </si>
  <si>
    <t xml:space="preserve">可比（DeepSeek H800 prefill 每節點吞吐；換算 η_p 需每 token FLOPs）</t>
  </si>
  <si>
    <r>
      <rPr>
        <sz val="10"/>
        <color rgb="FF000000"/>
        <rFont val="Arial"/>
        <family val="0"/>
        <charset val="1"/>
      </rPr>
      <t xml:space="preserve">0.15–0.45</t>
    </r>
    <r>
      <rPr>
        <sz val="10"/>
        <color rgb="FF000000"/>
        <rFont val="Noto Sans CJK SC"/>
        <family val="2"/>
      </rPr>
      <t xml:space="preserve">（原註）</t>
    </r>
  </si>
  <si>
    <t xml:space="preserve">GM305</t>
  </si>
  <si>
    <t xml:space="preserve">C10:I10</t>
  </si>
  <si>
    <t xml:space="preserve">情境選擇</t>
  </si>
  <si>
    <t xml:space="preserve">群組</t>
  </si>
  <si>
    <t xml:space="preserve">錨點世代索引</t>
  </si>
  <si>
    <t xml:space="preserve">GM306</t>
  </si>
  <si>
    <t xml:space="preserve">SRC_PERF_009</t>
  </si>
  <si>
    <t xml:space="preserve">GM307</t>
  </si>
  <si>
    <t xml:space="preserve">GM308</t>
  </si>
  <si>
    <t xml:space="preserve">GM309</t>
  </si>
  <si>
    <t xml:space="preserve">GM310</t>
  </si>
  <si>
    <t xml:space="preserve">實測 tok/s/GPU（總 token）</t>
  </si>
  <si>
    <t xml:space="preserve">直接（內插值 9,342.1，Derived；H1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</si>
  <si>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9,384.4→9,342.1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）</t>
    </r>
  </si>
  <si>
    <t xml:space="preserve">GM311</t>
  </si>
  <si>
    <t xml:space="preserve">SRC_PERF_010</t>
  </si>
  <si>
    <t xml:space="preserve">GM312</t>
  </si>
  <si>
    <t xml:space="preserve">GM313</t>
  </si>
  <si>
    <t xml:space="preserve">GM314</t>
  </si>
  <si>
    <t xml:space="preserve">GM315</t>
  </si>
  <si>
    <t xml:space="preserve">直接（內插值 3,405.2，Derived；H1 規則 2 級；W1 待第二來源）</t>
  </si>
  <si>
    <r>
      <rPr>
        <sz val="10"/>
        <color rgb="FF000000"/>
        <rFont val="Arial"/>
        <family val="0"/>
        <charset val="1"/>
      </rPr>
      <t xml:space="preserve">v5.18 D1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3,473.9→3,405.2</t>
    </r>
    <r>
      <rPr>
        <sz val="10"/>
        <color rgb="FF000000"/>
        <rFont val="Noto Sans CJK SC"/>
        <family val="2"/>
      </rPr>
      <t xml:space="preserve">（內插式見 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）</t>
    </r>
  </si>
  <si>
    <t xml:space="preserve">GM316</t>
  </si>
  <si>
    <t xml:space="preserve">SRC_PERF_004</t>
  </si>
  <si>
    <t xml:space="preserve">GM317</t>
  </si>
  <si>
    <t xml:space="preserve">GM318</t>
  </si>
  <si>
    <t xml:space="preserve">GM319</t>
  </si>
  <si>
    <t xml:space="preserve">GM320</t>
  </si>
  <si>
    <t xml:space="preserve">GM321</t>
  </si>
  <si>
    <t xml:space="preserve">SRC_PERF_001</t>
  </si>
  <si>
    <t xml:space="preserve">GM322</t>
  </si>
  <si>
    <t xml:space="preserve">GM323</t>
  </si>
  <si>
    <t xml:space="preserve">F15</t>
  </si>
  <si>
    <t xml:space="preserve">GM324</t>
  </si>
  <si>
    <t xml:space="preserve">GM325</t>
  </si>
  <si>
    <t xml:space="preserve">GM326</t>
  </si>
  <si>
    <t xml:space="preserve">SRC_PERF_002</t>
  </si>
  <si>
    <t xml:space="preserve">GM327</t>
  </si>
  <si>
    <t xml:space="preserve">GM328</t>
  </si>
  <si>
    <t xml:space="preserve">G15</t>
  </si>
  <si>
    <t xml:space="preserve">GM329</t>
  </si>
  <si>
    <t xml:space="preserve">G16</t>
  </si>
  <si>
    <t xml:space="preserve">GM330</t>
  </si>
  <si>
    <t xml:space="preserve">G17</t>
  </si>
  <si>
    <t xml:space="preserve">GM331</t>
  </si>
  <si>
    <t xml:space="preserve">H13</t>
  </si>
  <si>
    <t xml:space="preserve">SRC_PERF_014</t>
  </si>
  <si>
    <t xml:space="preserve">GM332</t>
  </si>
  <si>
    <t xml:space="preserve">H14</t>
  </si>
  <si>
    <t xml:space="preserve">GM333</t>
  </si>
  <si>
    <t xml:space="preserve">H15</t>
  </si>
  <si>
    <t xml:space="preserve">GM334</t>
  </si>
  <si>
    <t xml:space="preserve">H16</t>
  </si>
  <si>
    <t xml:space="preserve">GM335</t>
  </si>
  <si>
    <t xml:space="preserve">H17</t>
  </si>
  <si>
    <t xml:space="preserve">GM336</t>
  </si>
  <si>
    <t xml:space="preserve">I13</t>
  </si>
  <si>
    <t xml:space="preserve">SRC_PERF_015</t>
  </si>
  <si>
    <t xml:space="preserve">GM337</t>
  </si>
  <si>
    <t xml:space="preserve">I14</t>
  </si>
  <si>
    <t xml:space="preserve">GM338</t>
  </si>
  <si>
    <t xml:space="preserve">I15</t>
  </si>
  <si>
    <t xml:space="preserve">GM339</t>
  </si>
  <si>
    <t xml:space="preserve">I16</t>
  </si>
  <si>
    <t xml:space="preserve">GM340</t>
  </si>
  <si>
    <t xml:space="preserve">I17</t>
  </si>
  <si>
    <t xml:space="preserve">GM341</t>
  </si>
  <si>
    <t xml:space="preserve">C67</t>
  </si>
  <si>
    <t xml:space="preserve">SRC_PERF_042</t>
  </si>
  <si>
    <t xml:space="preserve">可比（DeepSeek H800 decode 每節點吞吐）</t>
  </si>
  <si>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Q4</t>
    </r>
    <r>
      <rPr>
        <sz val="10"/>
        <color rgb="FF000000"/>
        <rFont val="Noto Sans CJK SC"/>
        <family val="2"/>
      </rPr>
      <t xml:space="preserve">；決定紀錄第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D6</t>
    </r>
    <r>
      <rPr>
        <sz val="10"/>
        <color rgb="FF000000"/>
        <rFont val="Noto Sans CJK SC"/>
        <family val="2"/>
      </rPr>
      <t xml:space="preserve">）</t>
    </r>
  </si>
  <si>
    <t xml:space="preserve">GM342</t>
  </si>
  <si>
    <t xml:space="preserve">D67</t>
  </si>
  <si>
    <t xml:space="preserve">可比（沿用 GB300 校準）</t>
  </si>
  <si>
    <r>
      <rPr>
        <sz val="10"/>
        <color rgb="FF000000"/>
        <rFont val="Arial"/>
        <family val="0"/>
        <charset val="1"/>
      </rPr>
      <t xml:space="preserve">×0.5–×1.5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情境）</t>
    </r>
  </si>
  <si>
    <t xml:space="preserve">非 Hopper 世代沿用 GB300 擬合的 η_d（Block 2 最大 Analogy）</t>
  </si>
  <si>
    <t xml:space="preserve">GM343</t>
  </si>
  <si>
    <t xml:space="preserve">E67</t>
  </si>
  <si>
    <t xml:space="preserve">GM344</t>
  </si>
  <si>
    <t xml:space="preserve">F67</t>
  </si>
  <si>
    <t xml:space="preserve">非 Hopper 世代沿用 GB300 擬合的 η_d（Block 2 最大 Analogy） ｜v5.20 X4：低端有一筆未查證第三方換算（DB_Evidence E244），原文補查中 ｜v5.21 X6：X4 結案——情境不同、非衝突（DB_Evidence E245；MLPerf v6.1 一手）；F67 不改</t>
  </si>
  <si>
    <t xml:space="preserve">GM345</t>
  </si>
  <si>
    <t xml:space="preserve">G67</t>
  </si>
  <si>
    <t xml:space="preserve">GM346</t>
  </si>
  <si>
    <t xml:space="preserve">C68</t>
  </si>
  <si>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（原註）</t>
    </r>
  </si>
  <si>
    <t xml:space="preserve">GM347</t>
  </si>
  <si>
    <t xml:space="preserve">D68</t>
  </si>
  <si>
    <r>
      <rPr>
        <sz val="10"/>
        <color rgb="FF000000"/>
        <rFont val="Arial"/>
        <family val="0"/>
        <charset val="1"/>
      </rPr>
      <t xml:space="preserve">1–1.5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Sens_Perf ×1.5 </t>
    </r>
    <r>
      <rPr>
        <sz val="10"/>
        <color rgb="FF000000"/>
        <rFont val="Noto Sans CJK SC"/>
        <family val="2"/>
      </rPr>
      <t xml:space="preserve">情境）</t>
    </r>
  </si>
  <si>
    <t xml:space="preserve">沿用 GB300 擬合的每層延遲</t>
  </si>
  <si>
    <t xml:space="preserve">GM348</t>
  </si>
  <si>
    <t xml:space="preserve">E68</t>
  </si>
  <si>
    <t xml:space="preserve">GM349</t>
  </si>
  <si>
    <t xml:space="preserve">F68</t>
  </si>
  <si>
    <t xml:space="preserve">GM350</t>
  </si>
  <si>
    <t xml:space="preserve">G68</t>
  </si>
  <si>
    <t xml:space="preserve">GM351</t>
  </si>
  <si>
    <t xml:space="preserve">C69</t>
  </si>
  <si>
    <t xml:space="preserve">換算（SRC_HW_019 ÷ SRC_HW_040＝0.989 ÷ 1.979＝0.49975）</t>
  </si>
  <si>
    <t xml:space="preserve">v5.18 C69：改為公式 =SRC_HW_019/SRC_HW_040（0.49975）；不確定性仍由 Calib C5 η_p 區間承擔，不另給區間 ｜補充旗標（IF 全欄分段，非分段依據）：高</t>
  </si>
  <si>
    <r>
      <rPr>
        <sz val="10"/>
        <color rgb="FF000000"/>
        <rFont val="Arial"/>
        <family val="0"/>
        <charset val="1"/>
      </rPr>
      <t xml:space="preserve">Assumed→Derived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同意）</t>
    </r>
  </si>
  <si>
    <t xml:space="preserve">GM352</t>
  </si>
  <si>
    <t xml:space="preserve">D69</t>
  </si>
  <si>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</si>
  <si>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</si>
  <si>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GM353</t>
  </si>
  <si>
    <t xml:space="preserve">E69</t>
  </si>
  <si>
    <t xml:space="preserve">GM354</t>
  </si>
  <si>
    <t xml:space="preserve">F69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</si>
  <si>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：沿用 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</t>
    </r>
    <r>
      <rPr>
        <sz val="10"/>
        <color rgb="FF000000"/>
        <rFont val="Arial"/>
        <family val="0"/>
        <charset val="1"/>
      </rPr>
      <t xml:space="preserve">+23.0%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7.7%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：已搜尋、無可比對象（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）</t>
    </r>
  </si>
  <si>
    <t xml:space="preserve">GM355</t>
  </si>
  <si>
    <t xml:space="preserve">G69</t>
  </si>
  <si>
    <t xml:space="preserve">GM356</t>
  </si>
  <si>
    <t xml:space="preserve">C90:E90</t>
  </si>
  <si>
    <t xml:space="preserve">情境值</t>
  </si>
  <si>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敏感度格點</t>
    </r>
  </si>
  <si>
    <t xml:space="preserve">GM357</t>
  </si>
  <si>
    <t xml:space="preserve">C100</t>
  </si>
  <si>
    <t xml:space="preserve">SRC_MOD_020</t>
  </si>
  <si>
    <t xml:space="preserve">GM358</t>
  </si>
  <si>
    <t xml:space="preserve">C101</t>
  </si>
  <si>
    <t xml:space="preserve">SRC_MOD_021</t>
  </si>
  <si>
    <t xml:space="preserve">GM359</t>
  </si>
  <si>
    <t xml:space="preserve">C102</t>
  </si>
  <si>
    <t xml:space="preserve">SRC_MOD_022</t>
  </si>
  <si>
    <t xml:space="preserve">GM360</t>
  </si>
  <si>
    <t xml:space="preserve">C103</t>
  </si>
  <si>
    <t xml:space="preserve">SRC_MOD_023</t>
  </si>
  <si>
    <t xml:space="preserve">GM361</t>
  </si>
  <si>
    <t xml:space="preserve">C104</t>
  </si>
  <si>
    <t xml:space="preserve">SRC_MOD_024</t>
  </si>
  <si>
    <t xml:space="preserve">GM362</t>
  </si>
  <si>
    <t xml:space="preserve">C105</t>
  </si>
  <si>
    <t xml:space="preserve">啟用 experts</t>
  </si>
  <si>
    <t xml:space="preserve">SRC_MOD_025</t>
  </si>
  <si>
    <t xml:space="preserve">GM363</t>
  </si>
  <si>
    <t xml:space="preserve">C106</t>
  </si>
  <si>
    <t xml:space="preserve">SRC_MOD_026</t>
  </si>
  <si>
    <t xml:space="preserve">GM364</t>
  </si>
  <si>
    <t xml:space="preserve">C107</t>
  </si>
  <si>
    <t xml:space="preserve">SRC_MOD_027</t>
  </si>
  <si>
    <t xml:space="preserve">GM365</t>
  </si>
  <si>
    <t xml:space="preserve">C108</t>
  </si>
  <si>
    <t xml:space="preserve">SRC_MOD_028</t>
  </si>
  <si>
    <t xml:space="preserve">GM366</t>
  </si>
  <si>
    <t xml:space="preserve">C109</t>
  </si>
  <si>
    <t xml:space="preserve">注意力 FLOPs／被注意 token（MLA：2×128×192＋2×128×128，× 61）</t>
  </si>
  <si>
    <t xml:space="preserve">SRC_MOD_049</t>
  </si>
  <si>
    <t xml:space="preserve">GM367</t>
  </si>
  <si>
    <t xml:space="preserve">C110</t>
  </si>
  <si>
    <t xml:space="preserve">平均 ISL（MLCommons 資料集）</t>
  </si>
  <si>
    <t xml:space="preserve">SRC_PERF_029</t>
  </si>
  <si>
    <t xml:space="preserve">GM368</t>
  </si>
  <si>
    <t xml:space="preserve">C111</t>
  </si>
  <si>
    <t xml:space="preserve">平均 OSL</t>
  </si>
  <si>
    <t xml:space="preserve">SRC_PERF_030</t>
  </si>
  <si>
    <t xml:space="preserve">GM369</t>
  </si>
  <si>
    <t xml:space="preserve">C117:F117</t>
  </si>
  <si>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驗證點世代索引</t>
    </r>
  </si>
  <si>
    <t xml:space="preserve">GM370</t>
  </si>
  <si>
    <t xml:space="preserve">C118</t>
  </si>
  <si>
    <t xml:space="preserve">每用戶速度下限（1000 ÷ TPOT）</t>
  </si>
  <si>
    <t xml:space="preserve">SRC_PERF_031</t>
  </si>
  <si>
    <t xml:space="preserve">GM371</t>
  </si>
  <si>
    <t xml:space="preserve">D118</t>
  </si>
  <si>
    <t xml:space="preserve">GM372</t>
  </si>
  <si>
    <t xml:space="preserve">E118</t>
  </si>
  <si>
    <t xml:space="preserve">GM373</t>
  </si>
  <si>
    <t xml:space="preserve">F118</t>
  </si>
  <si>
    <t xml:space="preserve">SRC_PERF_032</t>
  </si>
  <si>
    <t xml:space="preserve">GM374</t>
  </si>
  <si>
    <t xml:space="preserve">C119</t>
  </si>
  <si>
    <t xml:space="preserve">推測解碼（1＝有）</t>
  </si>
  <si>
    <t xml:space="preserve">換算（MTP 3 步 → 旗標 1）</t>
  </si>
  <si>
    <t xml:space="preserve">值與來源不等（換算（MTP 3 步 → 旗標 1））：Stage 1 保留藍字，Stage 2 逐筆決定（G0-2）</t>
  </si>
  <si>
    <t xml:space="preserve">GM375</t>
  </si>
  <si>
    <t xml:space="preserve">D119</t>
  </si>
  <si>
    <t xml:space="preserve">GM376</t>
  </si>
  <si>
    <t xml:space="preserve">E119</t>
  </si>
  <si>
    <t xml:space="preserve">GM377</t>
  </si>
  <si>
    <t xml:space="preserve">F119</t>
  </si>
  <si>
    <t xml:space="preserve">換算（server 未列 MTP → 0）</t>
  </si>
  <si>
    <t xml:space="preserve">值與來源不等（換算（server 未列 MTP → 0））：Stage 1 保留藍字，Stage 2 逐筆決定（G0-2）</t>
  </si>
  <si>
    <t xml:space="preserve">GM378</t>
  </si>
  <si>
    <t xml:space="preserve">C120</t>
  </si>
  <si>
    <t xml:space="preserve">SRC_PERF_028</t>
  </si>
  <si>
    <t xml:space="preserve">GM379</t>
  </si>
  <si>
    <t xml:space="preserve">D120</t>
  </si>
  <si>
    <t xml:space="preserve">SRC_PERF_025</t>
  </si>
  <si>
    <t xml:space="preserve">GM380</t>
  </si>
  <si>
    <t xml:space="preserve">E120</t>
  </si>
  <si>
    <t xml:space="preserve">SRC_PERF_027</t>
  </si>
  <si>
    <t xml:space="preserve">GM381</t>
  </si>
  <si>
    <t xml:space="preserve">F120</t>
  </si>
  <si>
    <r>
      <rPr>
        <sz val="10"/>
        <color rgb="FF000000"/>
        <rFont val="Arial"/>
        <family val="0"/>
        <charset val="1"/>
      </rPr>
      <t xml:space="preserve">MLPerf v6.0 server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</si>
  <si>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SRC_PERF_076</t>
  </si>
  <si>
    <t xml:space="preserve">連結 SRC（G1） ｜v10.2 E3：V3 對照由 Nebius 8 GPU 單機 8,064（SRC_PERF_026）改為同輪 NVIDIA 72 GPU 機櫃 5,562（SRC_PERF_076）；SRC_PERF_026 保留作單機參考</t>
  </si>
  <si>
    <t xml:space="preserve">GM382</t>
  </si>
  <si>
    <t xml:space="preserve">Energy</t>
  </si>
  <si>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（原註）</t>
    </r>
  </si>
  <si>
    <t xml:space="preserve">GM383</t>
  </si>
  <si>
    <t xml:space="preserve">SRC_HW_035</t>
  </si>
  <si>
    <t xml:space="preserve">可比（SerDes 1–2 pJ/bit）</t>
  </si>
  <si>
    <r>
      <rPr>
        <sz val="10"/>
        <color rgb="FF000000"/>
        <rFont val="Arial"/>
        <family val="0"/>
        <charset val="1"/>
      </rPr>
      <t xml:space="preserve">5–20</t>
    </r>
    <r>
      <rPr>
        <sz val="10"/>
        <color rgb="FF000000"/>
        <rFont val="Noto Sans CJK SC"/>
        <family val="2"/>
      </rPr>
      <t xml:space="preserve">（原註）</t>
    </r>
  </si>
  <si>
    <t xml:space="preserve">GM384</t>
  </si>
  <si>
    <r>
      <rPr>
        <sz val="10"/>
        <color rgb="FF000000"/>
        <rFont val="Arial"/>
        <family val="0"/>
        <charset val="1"/>
      </rPr>
      <t xml:space="preserve">20–80</t>
    </r>
    <r>
      <rPr>
        <sz val="10"/>
        <color rgb="FF000000"/>
        <rFont val="Noto Sans CJK SC"/>
        <family val="2"/>
      </rPr>
      <t xml:space="preserve">（原註）</t>
    </r>
  </si>
  <si>
    <t xml:space="preserve">GM385</t>
  </si>
  <si>
    <t xml:space="preserve">NonNV</t>
  </si>
  <si>
    <t xml:space="preserve">GM386</t>
  </si>
  <si>
    <t xml:space="preserve">GM387</t>
  </si>
  <si>
    <t xml:space="preserve">B5</t>
  </si>
  <si>
    <t xml:space="preserve">GM388</t>
  </si>
  <si>
    <t xml:space="preserve">GM389</t>
  </si>
  <si>
    <t xml:space="preserve">GM390</t>
  </si>
  <si>
    <t xml:space="preserve">GM391</t>
  </si>
  <si>
    <t xml:space="preserve">GM392</t>
  </si>
  <si>
    <t xml:space="preserve">GM393</t>
  </si>
  <si>
    <t xml:space="preserve">B6</t>
  </si>
  <si>
    <t xml:space="preserve">GM394</t>
  </si>
  <si>
    <t xml:space="preserve">GM395</t>
  </si>
  <si>
    <t xml:space="preserve">GM396</t>
  </si>
  <si>
    <t xml:space="preserve">GM397</t>
  </si>
  <si>
    <t xml:space="preserve">GM398</t>
  </si>
  <si>
    <t xml:space="preserve">GM399</t>
  </si>
  <si>
    <t xml:space="preserve">B7</t>
  </si>
  <si>
    <t xml:space="preserve">GM400</t>
  </si>
  <si>
    <t xml:space="preserve">GM401</t>
  </si>
  <si>
    <t xml:space="preserve">GM402</t>
  </si>
  <si>
    <t xml:space="preserve">GM403</t>
  </si>
  <si>
    <t xml:space="preserve">GM404</t>
  </si>
  <si>
    <t xml:space="preserve">GM405</t>
  </si>
  <si>
    <t xml:space="preserve">B8</t>
  </si>
  <si>
    <t xml:space="preserve">GM406</t>
  </si>
  <si>
    <t xml:space="preserve">GM407</t>
  </si>
  <si>
    <t xml:space="preserve">GM408</t>
  </si>
  <si>
    <t xml:space="preserve">GM409</t>
  </si>
  <si>
    <t xml:space="preserve">GM410</t>
  </si>
  <si>
    <t xml:space="preserve">GM411</t>
  </si>
  <si>
    <t xml:space="preserve">B9</t>
  </si>
  <si>
    <t xml:space="preserve">GM412</t>
  </si>
  <si>
    <t xml:space="preserve">GM413</t>
  </si>
  <si>
    <t xml:space="preserve">GM414</t>
  </si>
  <si>
    <t xml:space="preserve">GM415</t>
  </si>
  <si>
    <t xml:space="preserve">Perf</t>
  </si>
  <si>
    <t xml:space="preserve">C6:Q6</t>
  </si>
  <si>
    <t xml:space="preserve">世代／層級索引</t>
  </si>
  <si>
    <t xml:space="preserve">GM416</t>
  </si>
  <si>
    <t xml:space="preserve">C7:Q7</t>
  </si>
  <si>
    <t xml:space="preserve">GM417</t>
  </si>
  <si>
    <t xml:space="preserve">C6:AH6</t>
  </si>
  <si>
    <t xml:space="preserve">GM418</t>
  </si>
  <si>
    <t xml:space="preserve">C7:AH7</t>
  </si>
  <si>
    <t xml:space="preserve">GM419</t>
  </si>
  <si>
    <t xml:space="preserve">M14</t>
  </si>
  <si>
    <t xml:space="preserve">敏感度情境設定</t>
  </si>
  <si>
    <t xml:space="preserve">GM420</t>
  </si>
  <si>
    <t xml:space="preserve">O41:R41</t>
  </si>
  <si>
    <t xml:space="preserve">GM421</t>
  </si>
  <si>
    <t xml:space="preserve">W43:Z43</t>
  </si>
  <si>
    <t xml:space="preserve">參考 ISL</t>
  </si>
  <si>
    <t xml:space="preserve">GM422</t>
  </si>
  <si>
    <t xml:space="preserve">S48:V48</t>
  </si>
  <si>
    <t xml:space="preserve">GM423</t>
  </si>
  <si>
    <t xml:space="preserve">AA50:AB50</t>
  </si>
  <si>
    <t xml:space="preserve">GM424</t>
  </si>
  <si>
    <t xml:space="preserve">E52:G52</t>
  </si>
  <si>
    <t xml:space="preserve">【含公式格】範圍中間格 F52 是公式（基準欄，讀 Tech_Registry!$E$20），其餘兩格是情境輸入。 敏感度情境設定</t>
  </si>
  <si>
    <t xml:space="preserve">含公式格</t>
  </si>
  <si>
    <t xml:space="preserve">GM425</t>
  </si>
  <si>
    <t xml:space="preserve">I54:K54</t>
  </si>
  <si>
    <t xml:space="preserve">每層延遲倍數（Tech_Registry H_TL；Sens_Perf 情境覆寫）</t>
  </si>
  <si>
    <t xml:space="preserve">【含公式格】範圍中間格 J54 是公式（基準欄，讀 Tech_Registry!$E$21），其餘兩格是情境輸入。 敏感度情境設定</t>
  </si>
  <si>
    <t xml:space="preserve">GM426</t>
  </si>
  <si>
    <t xml:space="preserve">Unit_Cost</t>
  </si>
  <si>
    <t xml:space="preserve">GM427</t>
  </si>
  <si>
    <t xml:space="preserve">切片二頁（v5.11 只登錄已連結格）</t>
  </si>
  <si>
    <t xml:space="preserve">Train_In</t>
  </si>
  <si>
    <t xml:space="preserve">預訓練 token</t>
  </si>
  <si>
    <t xml:space="preserve">SRC_MOD_029</t>
  </si>
  <si>
    <t xml:space="preserve">GM428</t>
  </si>
  <si>
    <t xml:space="preserve">SRC_MOD_030</t>
  </si>
  <si>
    <t xml:space="preserve">GM429</t>
  </si>
  <si>
    <t xml:space="preserve">預訓練序列長（dense 注意力）</t>
  </si>
  <si>
    <t xml:space="preserve">SRC_MOD_031</t>
  </si>
  <si>
    <t xml:space="preserve">GM430</t>
  </si>
  <si>
    <t xml:space="preserve">GM431</t>
  </si>
  <si>
    <t xml:space="preserve">SRC_MOD_039</t>
  </si>
  <si>
    <t xml:space="preserve">GM432</t>
  </si>
  <si>
    <t xml:space="preserve">C42</t>
  </si>
  <si>
    <t xml:space="preserve">SRC_MOD_040</t>
  </si>
  <si>
    <t xml:space="preserve">GM433</t>
  </si>
  <si>
    <t xml:space="preserve">C43</t>
  </si>
  <si>
    <t xml:space="preserve">SRC_MOD_042</t>
  </si>
  <si>
    <t xml:space="preserve">GM434</t>
  </si>
  <si>
    <t xml:space="preserve">C45</t>
  </si>
  <si>
    <t xml:space="preserve">GM435</t>
  </si>
  <si>
    <t xml:space="preserve">J14</t>
  </si>
  <si>
    <t xml:space="preserve">SRC_MOD_043</t>
  </si>
  <si>
    <t xml:space="preserve">計數（S45–S48 採用紀錄，G0-6）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</si>
  <si>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公開採用實驗室數＝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採用紀錄加總</t>
    </r>
  </si>
  <si>
    <t xml:space="preserve">GM436</t>
  </si>
  <si>
    <t xml:space="preserve">上下文長度（128K 上下文每序列 KV 顯示列）</t>
  </si>
  <si>
    <t xml:space="preserve">顯示列口徑 128,000 tok（非 131,072），無任何引用；v5.12 自 Arch C31:E31 公式移出（值不變）</t>
  </si>
  <si>
    <t xml:space="preserve">GM437</t>
  </si>
  <si>
    <t xml:space="preserve">切片二頁（v5.12 A 包）</t>
  </si>
  <si>
    <t xml:space="preserve">Sens_Train</t>
  </si>
  <si>
    <t xml:space="preserve">O8:R8</t>
  </si>
  <si>
    <t xml:space="preserve">情境倍數（×）：RL rollout token × 0.3／×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</si>
  <si>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O53:R53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</si>
  <si>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GM438</t>
  </si>
  <si>
    <t xml:space="preserve">Y8:AB8</t>
  </si>
  <si>
    <t xml:space="preserve">情境倍數（×）：合成資料 token × 0／× 3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</si>
  <si>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AA93:AB93 </t>
    </r>
    <r>
      <rPr>
        <sz val="10"/>
        <color rgb="FF000000"/>
        <rFont val="Noto Sans CJK SC"/>
        <family val="2"/>
      </rPr>
      <t xml:space="preserve">公式與 </t>
    </r>
    <r>
      <rPr>
        <sz val="10"/>
        <color rgb="FF000000"/>
        <rFont val="Arial"/>
        <family val="0"/>
        <charset val="1"/>
      </rPr>
      <t xml:space="preserve">Y93:Z93 </t>
    </r>
    <r>
      <rPr>
        <sz val="10"/>
        <color rgb="FF000000"/>
        <rFont val="Noto Sans CJK SC"/>
        <family val="2"/>
      </rPr>
      <t xml:space="preserve">直接寫入的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移出（值不變）</t>
    </r>
  </si>
  <si>
    <t xml:space="preserve">GM439</t>
  </si>
  <si>
    <t xml:space="preserve">Sens_Rev</t>
  </si>
  <si>
    <t xml:space="preserve">B18</t>
  </si>
  <si>
    <r>
      <rPr>
        <sz val="10"/>
        <color rgb="FF000000"/>
        <rFont val="Arial"/>
        <family val="0"/>
        <charset val="1"/>
      </rPr>
      <t xml:space="preserve">ε</t>
    </r>
    <r>
      <rPr>
        <sz val="10"/>
        <color rgb="FF000000"/>
        <rFont val="Noto Sans CJK SC"/>
        <family val="2"/>
      </rPr>
      <t xml:space="preserve">（上一列量級情境的指數；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</si>
  <si>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若採用的量級情境；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D17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F17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</si>
  <si>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GM440</t>
  </si>
  <si>
    <t xml:space="preserve">J17</t>
  </si>
  <si>
    <t xml:space="preserve">主流判定門檻（公開採用實驗室數）</t>
  </si>
  <si>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：至少兩家實驗室公開採用即為主流；</t>
    </r>
    <r>
      <rPr>
        <sz val="10"/>
        <color rgb="FF000000"/>
        <rFont val="Arial"/>
        <family val="0"/>
        <charset val="1"/>
      </rPr>
      <t xml:space="preserve">v5.12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K5:K16 </t>
    </r>
    <r>
      <rPr>
        <sz val="10"/>
        <color rgb="FF000000"/>
        <rFont val="Noto Sans CJK SC"/>
        <family val="2"/>
      </rPr>
      <t xml:space="preserve">公式移出（值不變）</t>
    </r>
  </si>
  <si>
    <t xml:space="preserve">GM441</t>
  </si>
  <si>
    <t xml:space="preserve">切片二（v5.13 C 包）</t>
  </si>
  <si>
    <t xml:space="preserve">Cap_In</t>
  </si>
  <si>
    <t xml:space="preserve">有效折扣（Batch／Flex 半價＋企業議價，加權）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</si>
  <si>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J20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0.3 → 0.4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0.2 </t>
    </r>
    <r>
      <rPr>
        <sz val="10"/>
        <color rgb="FF000000"/>
        <rFont val="Noto Sans CJK SC"/>
        <family val="2"/>
      </rPr>
      <t xml:space="preserve">不改）</t>
    </r>
  </si>
  <si>
    <t xml:space="preserve">加權有效折扣（Batch／Flex 半價為牌價事實，企業議價比例為假設）；與 OpenAI 模型 v0.5 一致 ｜v5.34 J20：高端 0.3 → 0.4（Cap_In E12）；依據：企業議價折扣顧問自述中位數 27%、20–35%（對開價，未驗證）與公開牌價特性（Batch 五折、Flex、快取 90% 折）；Batch／Flex 占 token 比例與企業平均折扣未找到（E333、E334）；基準 0.2、低端 0.1 不改，IF_Price* 不變</t>
  </si>
  <si>
    <t xml:space="preserve">GM442</t>
  </si>
  <si>
    <t xml:space="preserve">D12:E12</t>
  </si>
  <si>
    <t xml:space="preserve">低／高</t>
  </si>
  <si>
    <r>
      <rPr>
        <sz val="10"/>
        <color rgb="FF000000"/>
        <rFont val="Arial"/>
        <family val="0"/>
        <charset val="1"/>
      </rPr>
      <t xml:space="preserve">C12 </t>
    </r>
    <r>
      <rPr>
        <sz val="10"/>
        <color rgb="FF000000"/>
        <rFont val="Noto Sans CJK SC"/>
        <family val="2"/>
      </rPr>
      <t xml:space="preserve">的低、高端點</t>
    </r>
  </si>
  <si>
    <t xml:space="preserve">GM443</t>
  </si>
  <si>
    <t xml:space="preserve">參考請求快取命中率 χ（輸入中屬快取命中的比例）</t>
  </si>
  <si>
    <t xml:space="preserve">參考請求快取命中率；成本與營收用同一 χ；與 OpenAI 模型 v0.5 一致</t>
  </si>
  <si>
    <t xml:space="preserve">GM444</t>
  </si>
  <si>
    <t xml:space="preserve">D13:E13</t>
  </si>
  <si>
    <r>
      <rPr>
        <sz val="10"/>
        <color rgb="FF000000"/>
        <rFont val="Arial"/>
        <family val="0"/>
        <charset val="1"/>
      </rPr>
      <t xml:space="preserve">C13 </t>
    </r>
    <r>
      <rPr>
        <sz val="10"/>
        <color rgb="FF000000"/>
        <rFont val="Noto Sans CJK SC"/>
        <family val="2"/>
      </rPr>
      <t xml:space="preserve">的低、高端點</t>
    </r>
  </si>
  <si>
    <t xml:space="preserve">GM445</t>
  </si>
  <si>
    <t xml:space="preserve">能力 → 單價彈性 ε（單價 ∝ 有效算力倍數^ε）</t>
  </si>
  <si>
    <r>
      <rPr>
        <sz val="10"/>
        <color rgb="FF000000"/>
        <rFont val="Arial"/>
        <family val="0"/>
        <charset val="1"/>
      </rPr>
      <t xml:space="preserve">K4 (c)</t>
    </r>
    <r>
      <rPr>
        <sz val="10"/>
        <color rgb="FF000000"/>
        <rFont val="Noto Sans CJK SC"/>
        <family val="2"/>
      </rPr>
      <t xml:space="preserve">：機制保留、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）；斜率無法由公開資料分離</t>
    </r>
  </si>
  <si>
    <t xml:space="preserve">GM446</t>
  </si>
  <si>
    <t xml:space="preserve">D14:E14</t>
  </si>
  <si>
    <r>
      <rPr>
        <sz val="10"/>
        <color rgb="FF000000"/>
        <rFont val="Arial"/>
        <family val="0"/>
        <charset val="1"/>
      </rPr>
      <t xml:space="preserve">C14 </t>
    </r>
    <r>
      <rPr>
        <sz val="10"/>
        <color rgb="FF000000"/>
        <rFont val="Noto Sans CJK SC"/>
        <family val="2"/>
      </rPr>
      <t xml:space="preserve">的低、高端點</t>
    </r>
  </si>
  <si>
    <t xml:space="preserve">GM447</t>
  </si>
  <si>
    <t xml:space="preserve">有效訓練算力倍數（相對 Block 3 基準；情境用）</t>
  </si>
  <si>
    <t xml:space="preserve">有效訓練算力倍數，只供 ε 情境；高值 7＝J8 前沿錨點中值相對 Astra 基準（K4）</t>
  </si>
  <si>
    <t xml:space="preserve">GM448</t>
  </si>
  <si>
    <t xml:space="preserve">D15:E15</t>
  </si>
  <si>
    <r>
      <rPr>
        <sz val="10"/>
        <color rgb="FF000000"/>
        <rFont val="Arial"/>
        <family val="0"/>
        <charset val="1"/>
      </rPr>
      <t xml:space="preserve">C15 </t>
    </r>
    <r>
      <rPr>
        <sz val="10"/>
        <color rgb="FF000000"/>
        <rFont val="Noto Sans CJK SC"/>
        <family val="2"/>
      </rPr>
      <t xml:space="preserve">的低、高端點</t>
    </r>
  </si>
  <si>
    <t xml:space="preserve">GM449</t>
  </si>
  <si>
    <t xml:space="preserve">C16:E16</t>
  </si>
  <si>
    <t xml:space="preserve">尖峰／離峰口徑（1＝尖峰價；2＝依時數加權）</t>
  </si>
  <si>
    <t xml:space="preserve">K12</t>
  </si>
  <si>
    <r>
      <rPr>
        <sz val="10"/>
        <color rgb="FF000000"/>
        <rFont val="Arial"/>
        <family val="0"/>
        <charset val="1"/>
      </rPr>
      <t xml:space="preserve">K12</t>
    </r>
    <r>
      <rPr>
        <sz val="10"/>
        <color rgb="FF000000"/>
        <rFont val="Noto Sans CJK SC"/>
        <family val="2"/>
      </rPr>
      <t xml:space="preserve">：尖峰與依時數加權並列，前緣基準用 </t>
    </r>
    <r>
      <rPr>
        <sz val="10"/>
        <color rgb="FF000000"/>
        <rFont val="Arial"/>
        <family val="0"/>
        <charset val="1"/>
      </rPr>
      <t xml:space="preserve">2</t>
    </r>
  </si>
  <si>
    <t xml:space="preserve">GM450</t>
  </si>
  <si>
    <t xml:space="preserve">C22:E22</t>
  </si>
  <si>
    <t xml:space="preserve">低＝第 23 列、高＝第 24 列</t>
  </si>
  <si>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；旗艦更替快</t>
    </r>
  </si>
  <si>
    <t xml:space="preserve">GM451</t>
  </si>
  <si>
    <t xml:space="preserve">C23:E23</t>
  </si>
  <si>
    <t xml:space="preserve">GM452</t>
  </si>
  <si>
    <t xml:space="preserve">C24:E24</t>
  </si>
  <si>
    <t xml:space="preserve">GM453</t>
  </si>
  <si>
    <t xml:space="preserve">換算（8.4 ÷（8.4＋12）＝0.4118，模型取 0.41；另用 SRC_DEM_006）</t>
  </si>
  <si>
    <t xml:space="preserve">值與來源換算不等（取整）：Stage 1 保留藍字，Stage 2 逐筆決定（G0-2）；以支出比代 GW 比為 Derived ｜v5.29 X14 (k) r2：維持連 SRC_DEM_004（8.4，json 一致集；換算 0.4118，C28 0.41 不改，G0-2 保留）；SRC_DEM_018 為 Azure 口徑，不用於比例</t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</si>
  <si>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</si>
  <si>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GM454</t>
  </si>
  <si>
    <t xml:space="preserve">D28:E28</t>
  </si>
  <si>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</si>
  <si>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：服務占比 </t>
    </r>
    <r>
      <rPr>
        <sz val="10"/>
        <color rgb="FF000000"/>
        <rFont val="Arial"/>
        <family val="0"/>
        <charset val="1"/>
      </rPr>
      <t xml:space="preserve">30–60%</t>
    </r>
  </si>
  <si>
    <t xml:space="preserve">GM455</t>
  </si>
  <si>
    <t xml:space="preserve">換算（3.9 ÷ 8.4＝0.4643，模型取 0.46）</t>
  </si>
  <si>
    <t xml:space="preserve">值與來源換算不等（取整）：Stage 1 保留藍字，Stage 2 逐筆決定（G0-2）</t>
  </si>
  <si>
    <r>
      <rPr>
        <sz val="10"/>
        <color rgb="FF000000"/>
        <rFont val="Arial"/>
        <family val="0"/>
        <charset val="1"/>
      </rPr>
      <t xml:space="preserve">Interested-party→</t>
    </r>
    <r>
      <rPr>
        <sz val="10"/>
        <color rgb="FF000000"/>
        <rFont val="Noto Sans CJK SC"/>
        <family val="2"/>
      </rPr>
      <t xml:space="preserve">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</t>
    </r>
  </si>
  <si>
    <t xml:space="preserve">GM456</t>
  </si>
  <si>
    <t xml:space="preserve">D29:E29</t>
  </si>
  <si>
    <r>
      <rPr>
        <sz val="10"/>
        <color rgb="FF000000"/>
        <rFont val="Arial"/>
        <family val="0"/>
        <charset val="1"/>
      </rPr>
      <t xml:space="preserve">C29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</si>
  <si>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：免費占服務 </t>
    </r>
    <r>
      <rPr>
        <sz val="10"/>
        <color rgb="FF000000"/>
        <rFont val="Arial"/>
        <family val="0"/>
        <charset val="1"/>
      </rPr>
      <t xml:space="preserve">35–60%</t>
    </r>
  </si>
  <si>
    <t xml:space="preserve">GM457</t>
  </si>
  <si>
    <t xml:space="preserve">C31:E31</t>
  </si>
  <si>
    <t xml:space="preserve">付費服務 token 層級組合</t>
  </si>
  <si>
    <t xml:space="preserve">各層 ±0.15，合計維持 1（Claude 提議，Andy 2026-10-03 確認）</t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</si>
  <si>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：付費層級組合 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tokenMix</t>
    </r>
  </si>
  <si>
    <t xml:space="preserve">GM458</t>
  </si>
  <si>
    <t xml:space="preserve">C32:E32</t>
  </si>
  <si>
    <t xml:space="preserve">免費服務 token 層級組合</t>
  </si>
  <si>
    <r>
      <rPr>
        <sz val="10"/>
        <color rgb="FF000000"/>
        <rFont val="Arial"/>
        <family val="0"/>
        <charset val="1"/>
      </rPr>
      <t xml:space="preserve">Luna 0.75–1.0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0–0.25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</t>
    </r>
    <r>
      <rPr>
        <sz val="10"/>
        <color rgb="FF000000"/>
        <rFont val="Noto Sans CJK SC"/>
        <family val="2"/>
      </rPr>
      <t xml:space="preserve">，合計維持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</si>
  <si>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：免費層級組合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0%</t>
    </r>
  </si>
  <si>
    <t xml:space="preserve">GM459</t>
  </si>
  <si>
    <t xml:space="preserve">C36</t>
  </si>
  <si>
    <t xml:space="preserve">儲存層（1＝SSD；2＝DRAM；3＝HBM）</t>
  </si>
  <si>
    <t xml:space="preserve">K10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</si>
  <si>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0.7%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+39.5%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L1_Ans9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E238</t>
    </r>
    <r>
      <rPr>
        <sz val="10"/>
        <color rgb="FF000000"/>
        <rFont val="Noto Sans CJK SC"/>
        <family val="2"/>
      </rPr>
      <t xml:space="preserve">；摘要級）</t>
    </r>
  </si>
  <si>
    <t xml:space="preserve">GM460</t>
  </si>
  <si>
    <t xml:space="preserve">D36:E36</t>
  </si>
  <si>
    <r>
      <rPr>
        <sz val="10"/>
        <color rgb="FF000000"/>
        <rFont val="Arial"/>
        <family val="0"/>
        <charset val="1"/>
      </rPr>
      <t xml:space="preserve">C36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</si>
  <si>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：比照公開快取條款，長保留通常下放 </t>
    </r>
    <r>
      <rPr>
        <sz val="10"/>
        <color rgb="FF000000"/>
        <rFont val="Arial"/>
        <family val="0"/>
        <charset val="1"/>
      </rPr>
      <t xml:space="preserve">DRAM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SSD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為儲存層代碼</t>
    </r>
  </si>
  <si>
    <t xml:space="preserve">GM461</t>
  </si>
  <si>
    <t xml:space="preserve">C37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</si>
  <si>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</si>
  <si>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Analogy→Assumed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</si>
  <si>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GM462</t>
  </si>
  <si>
    <t xml:space="preserve">D37:E37</t>
  </si>
  <si>
    <r>
      <rPr>
        <sz val="10"/>
        <color rgb="FF000000"/>
        <rFont val="Arial"/>
        <family val="0"/>
        <charset val="1"/>
      </rPr>
      <t xml:space="preserve">C37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</si>
  <si>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：預設 </t>
    </r>
    <r>
      <rPr>
        <sz val="10"/>
        <color rgb="FF000000"/>
        <rFont val="Arial"/>
        <family val="0"/>
        <charset val="1"/>
      </rPr>
      <t xml:space="preserve">TTL 5 </t>
    </r>
    <r>
      <rPr>
        <sz val="10"/>
        <color rgb="FF000000"/>
        <rFont val="Noto Sans CJK SC"/>
        <family val="2"/>
      </rPr>
      <t xml:space="preserve">分鐘至延長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S51 → SRC_PRC_019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020 </t>
    </r>
    <r>
      <rPr>
        <sz val="10"/>
        <color rgb="FF000000"/>
        <rFont val="Noto Sans CJK SC"/>
        <family val="2"/>
      </rPr>
      <t xml:space="preserve">的寫入倍數為同一條款）；原標 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但無保留時間的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</t>
    </r>
  </si>
  <si>
    <t xml:space="preserve">GM463</t>
  </si>
  <si>
    <t xml:space="preserve">C38</t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</si>
  <si>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</si>
  <si>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GM464</t>
  </si>
  <si>
    <t xml:space="preserve">D38:E38</t>
  </si>
  <si>
    <r>
      <rPr>
        <sz val="10"/>
        <color rgb="FF000000"/>
        <rFont val="Arial"/>
        <family val="0"/>
        <charset val="1"/>
      </rPr>
      <t xml:space="preserve">C38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</si>
  <si>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K10</t>
    </r>
    <r>
      <rPr>
        <sz val="10"/>
        <color rgb="FF000000"/>
        <rFont val="Noto Sans CJK SC"/>
        <family val="2"/>
      </rPr>
      <t xml:space="preserve">：每次寫入命中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次（</t>
    </r>
    <r>
      <rPr>
        <sz val="10"/>
        <color rgb="FF000000"/>
        <rFont val="Arial"/>
        <family val="0"/>
        <charset val="1"/>
      </rPr>
      <t xml:space="preserve">1–20</t>
    </r>
    <r>
      <rPr>
        <sz val="10"/>
        <color rgb="FF000000"/>
        <rFont val="Noto Sans CJK SC"/>
        <family val="2"/>
      </rPr>
      <t xml:space="preserve">）；代理迴圈高、單次問答低</t>
    </r>
  </si>
  <si>
    <t xml:space="preserve">GM465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</si>
  <si>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</si>
  <si>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GM466</t>
  </si>
  <si>
    <t xml:space="preserve">D39:E39</t>
  </si>
  <si>
    <r>
      <rPr>
        <sz val="10"/>
        <color rgb="FF000000"/>
        <rFont val="Arial"/>
        <family val="0"/>
        <charset val="1"/>
      </rPr>
      <t xml:space="preserve">C39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</si>
  <si>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記憶體漲價期；含伺服器分攤</t>
    </r>
  </si>
  <si>
    <t xml:space="preserve">GM467</t>
  </si>
  <si>
    <r>
      <rPr>
        <sz val="10"/>
        <color rgb="FF000000"/>
        <rFont val="Arial"/>
        <family val="0"/>
        <charset val="1"/>
      </rPr>
      <t xml:space="preserve">DRAM </t>
    </r>
    <r>
      <rPr>
        <sz val="10"/>
        <color rgb="FF000000"/>
        <rFont val="Noto Sans CJK SC"/>
        <family val="2"/>
      </rPr>
      <t xml:space="preserve">折舊年限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</si>
  <si>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GM468</t>
  </si>
  <si>
    <t xml:space="preserve">D40:E40</t>
  </si>
  <si>
    <r>
      <rPr>
        <sz val="10"/>
        <color rgb="FF000000"/>
        <rFont val="Arial"/>
        <family val="0"/>
        <charset val="1"/>
      </rPr>
      <t xml:space="preserve">C40 </t>
    </r>
    <r>
      <rPr>
        <sz val="10"/>
        <color rgb="FF000000"/>
        <rFont val="Noto Sans CJK SC"/>
        <family val="2"/>
      </rPr>
      <t xml:space="preserve">的低、高端點</t>
    </r>
  </si>
  <si>
    <t xml:space="preserve">GM469</t>
  </si>
  <si>
    <t xml:space="preserve">企業級 NVMe 取得成本</t>
  </si>
  <si>
    <t xml:space="preserve">GM470</t>
  </si>
  <si>
    <t xml:space="preserve">D41:E41</t>
  </si>
  <si>
    <r>
      <rPr>
        <sz val="10"/>
        <color rgb="FF000000"/>
        <rFont val="Arial"/>
        <family val="0"/>
        <charset val="1"/>
      </rPr>
      <t xml:space="preserve">C41 </t>
    </r>
    <r>
      <rPr>
        <sz val="10"/>
        <color rgb="FF000000"/>
        <rFont val="Noto Sans CJK SC"/>
        <family val="2"/>
      </rPr>
      <t xml:space="preserve">的低、高端點</t>
    </r>
  </si>
  <si>
    <t xml:space="preserve">GM471</t>
  </si>
  <si>
    <t xml:space="preserve">GM472</t>
  </si>
  <si>
    <t xml:space="preserve">D42:E42</t>
  </si>
  <si>
    <r>
      <rPr>
        <sz val="10"/>
        <color rgb="FF000000"/>
        <rFont val="Arial"/>
        <family val="0"/>
        <charset val="1"/>
      </rPr>
      <t xml:space="preserve">C42 </t>
    </r>
    <r>
      <rPr>
        <sz val="10"/>
        <color rgb="FF000000"/>
        <rFont val="Noto Sans CJK SC"/>
        <family val="2"/>
      </rPr>
      <t xml:space="preserve">的低、高端點</t>
    </r>
  </si>
  <si>
    <t xml:space="preserve">GM473</t>
  </si>
  <si>
    <t xml:space="preserve">H46:H58</t>
  </si>
  <si>
    <t xml:space="preserve">原始數據（切片二）</t>
  </si>
  <si>
    <t xml:space="preserve">SRC_PRC_027</t>
  </si>
  <si>
    <t xml:space="preserve">屬性（是否有尖峰離峰價）</t>
  </si>
  <si>
    <t xml:space="preserve">牌價結構屬性：目前只有 DeepSeek 有尖峰離峰價（S52）；其餘廠商的屬性尚無逐家 SRC 紀錄（Stage 2 補）</t>
  </si>
  <si>
    <t xml:space="preserve">GM474</t>
  </si>
  <si>
    <t xml:space="preserve">N46:N58</t>
  </si>
  <si>
    <t xml:space="preserve">K13</t>
  </si>
  <si>
    <t xml:space="preserve">中國廠商旗標＝C 欄國別是否為中國；v5.13 D 包改為公式（值不變）</t>
  </si>
  <si>
    <t xml:space="preserve">GM475</t>
  </si>
  <si>
    <t xml:space="preserve">F50</t>
  </si>
  <si>
    <r>
      <rPr>
        <sz val="10"/>
        <color rgb="FF000000"/>
        <rFont val="Arial"/>
        <family val="0"/>
        <charset val="1"/>
      </rPr>
      <t xml:space="preserve">0.125–0.5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；下緣比照 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0.25÷10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</si>
  <si>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快取讀取價無來源；推測為輸入價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慣例）</t>
    </r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</si>
  <si>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（無來源）</t>
    </r>
  </si>
  <si>
    <t xml:space="preserve">GM476</t>
  </si>
  <si>
    <t xml:space="preserve">F51</t>
  </si>
  <si>
    <r>
      <rPr>
        <sz val="10"/>
        <color rgb="FF000000"/>
        <rFont val="Arial"/>
        <family val="0"/>
        <charset val="1"/>
      </rPr>
      <t xml:space="preserve">0.1–0.4</t>
    </r>
    <r>
      <rPr>
        <sz val="10"/>
        <color rgb="FF000000"/>
        <rFont val="Noto Sans CJK SC"/>
        <family val="2"/>
      </rPr>
      <t xml:space="preserve">（輸入價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2.5%–10%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</si>
  <si>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Opus 5.5 </t>
    </r>
    <r>
      <rPr>
        <sz val="10"/>
        <color rgb="FF000000"/>
        <rFont val="Noto Sans CJK SC"/>
        <family val="2"/>
      </rPr>
      <t xml:space="preserve">快取讀取價無來源</t>
    </r>
  </si>
  <si>
    <t xml:space="preserve">GM477</t>
  </si>
  <si>
    <t xml:space="preserve">I53</t>
  </si>
  <si>
    <t xml:space="preserve">SRC_CAP_007</t>
  </si>
  <si>
    <t xml:space="preserve">可比（AA v4.3 的「DeepSeek V4 Pro」；與 V4-Pro-0813 是否同版待查）</t>
  </si>
  <si>
    <r>
      <rPr>
        <sz val="10"/>
        <color rgb="FF000000"/>
        <rFont val="Arial"/>
        <family val="0"/>
        <charset val="1"/>
      </rPr>
      <t xml:space="preserve">33–39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</si>
  <si>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值等於可比對象，但版本未確認，不直接連結（G0-2 選取）</t>
  </si>
  <si>
    <r>
      <rPr>
        <sz val="10"/>
        <color rgb="FF000000"/>
        <rFont val="Arial"/>
        <family val="0"/>
        <charset val="1"/>
      </rPr>
      <t xml:space="preserve">Verified→Analogy</t>
    </r>
    <r>
      <rPr>
        <sz val="10"/>
        <color rgb="FF000000"/>
        <rFont val="Noto Sans CJK SC"/>
        <family val="2"/>
      </rPr>
      <t xml:space="preserve">（版本未確認）</t>
    </r>
  </si>
  <si>
    <t xml:space="preserve">GM478</t>
  </si>
  <si>
    <t xml:space="preserve">I56</t>
  </si>
  <si>
    <t xml:space="preserve">SRC_CAP_006</t>
  </si>
  <si>
    <t xml:space="preserve">可比（AA v4.3 的「Qwen3.8 2.4T」；與 Qwen3.8-Max 是否同一模型待查）</t>
  </si>
  <si>
    <r>
      <rPr>
        <sz val="10"/>
        <color rgb="FF000000"/>
        <rFont val="Arial"/>
        <family val="0"/>
        <charset val="1"/>
      </rPr>
      <t xml:space="preserve">37–43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±3 </t>
    </r>
    <r>
      <rPr>
        <sz val="10"/>
        <color rgb="FF000000"/>
        <rFont val="Noto Sans CJK SC"/>
        <family val="2"/>
      </rPr>
      <t xml:space="preserve">點）（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</si>
  <si>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值等於可比對象，但模型未確認，不直接連結（G0-2 選取）</t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</si>
  <si>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（模型未確認）</t>
    </r>
  </si>
  <si>
    <t xml:space="preserve">GM479</t>
  </si>
  <si>
    <t xml:space="preserve">Har_In</t>
  </si>
  <si>
    <t xml:space="preserve">情境檔案（2＝供應商原生增強；3＝多代理編排）</t>
  </si>
  <si>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：增強檔只作情境；本格選定情境檔案（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＝供應商原生、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＝多代理），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時不作用</t>
    </r>
  </si>
  <si>
    <t xml:space="preserve">GM480</t>
  </si>
  <si>
    <t xml:space="preserve">可靠度下限 p_min（成功任務成本前緣只比較 p ≥ 此值者）</t>
  </si>
  <si>
    <r>
      <rPr>
        <sz val="10"/>
        <color rgb="FF000000"/>
        <rFont val="Arial"/>
        <family val="0"/>
        <charset val="1"/>
      </rPr>
      <t xml:space="preserve">0–80%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＝不設下限；</t>
    </r>
    <r>
      <rPr>
        <sz val="10"/>
        <color rgb="FF000000"/>
        <rFont val="Arial"/>
        <family val="0"/>
        <charset val="1"/>
      </rPr>
      <t xml:space="preserve">80%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Coding agent </t>
    </r>
    <r>
      <rPr>
        <sz val="10"/>
        <color rgb="FF000000"/>
        <rFont val="Noto Sans CJK SC"/>
        <family val="2"/>
      </rPr>
      <t xml:space="preserve">無合格，</t>
    </r>
    <r>
      <rPr>
        <sz val="10"/>
        <color rgb="FF000000"/>
        <rFont val="Arial"/>
        <family val="0"/>
        <charset val="1"/>
      </rPr>
      <t xml:space="preserve">v5.10 </t>
    </r>
    <r>
      <rPr>
        <sz val="10"/>
        <color rgb="FF000000"/>
        <rFont val="Noto Sans CJK SC"/>
        <family val="2"/>
      </rPr>
      <t xml:space="preserve">情境）</t>
    </r>
  </si>
  <si>
    <r>
      <rPr>
        <sz val="10"/>
        <color rgb="FF000000"/>
        <rFont val="Arial"/>
        <family val="0"/>
        <charset val="1"/>
      </rPr>
      <t xml:space="preserve">M1 (b)</t>
    </r>
    <r>
      <rPr>
        <sz val="10"/>
        <color rgb="FF000000"/>
        <rFont val="Noto Sans CJK SC"/>
        <family val="2"/>
      </rPr>
      <t xml:space="preserve">：可靠度下限，基準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</si>
  <si>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GM481</t>
  </si>
  <si>
    <t xml:space="preserve">C12:D12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</si>
  <si>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）</t>
    </r>
  </si>
  <si>
    <t xml:space="preserve">檔案 2（供應商原生增強）：保留推理狀態後重複探索減少；以 ARC-AGI-3「少用約 49% token」校準（廠商與 ARC 自測，L7 只作對照） ｜v6.1 Q3（AF3B-Q3）：基準 0.7 不變，位於區間下端（3A Q3：SWE Atlas 原生 scaffold 工具呼叫多 1.5–2 倍） ｜v10.1 4-1：E12:G12 與 GM655 重複登錄，本列改為只登錄 C12:D12（4-0 盤點 G1）</t>
  </si>
  <si>
    <t xml:space="preserve">GM482</t>
  </si>
  <si>
    <t xml:space="preserve">C13:G13</t>
  </si>
  <si>
    <t xml:space="preserve">思考保留 ρ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</si>
  <si>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（定義域）</t>
    </r>
  </si>
  <si>
    <t xml:space="preserve">檔案 2（供應商原生增強）：Provider Adapter 保留推理狀態為機制事實（S58）；ρ 的數值為參數設定</t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</si>
  <si>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（機制）→</t>
    </r>
    <r>
      <rPr>
        <sz val="10"/>
        <color rgb="FF000000"/>
        <rFont val="Arial"/>
        <family val="0"/>
        <charset val="1"/>
      </rPr>
      <t xml:space="preserve">Assumed</t>
    </r>
  </si>
  <si>
    <t xml:space="preserve">GM483</t>
  </si>
  <si>
    <t xml:space="preserve">C14:G14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</si>
  <si>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</si>
  <si>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2（供應商原生增強）：前輪推理可見，每輪重推減少</t>
  </si>
  <si>
    <t xml:space="preserve">GM484</t>
  </si>
  <si>
    <t xml:space="preserve">C15:G15</t>
  </si>
  <si>
    <t xml:space="preserve">歷史保留比 c（壓縮後）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</si>
  <si>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</si>
  <si>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2（供應商原生增強）：壓縮較長對話（S58）；壓縮比例未揭露</t>
  </si>
  <si>
    <t xml:space="preserve">GM485</t>
  </si>
  <si>
    <t xml:space="preserve">C16:G16</t>
  </si>
  <si>
    <r>
      <rPr>
        <sz val="10"/>
        <color rgb="FF000000"/>
        <rFont val="Arial"/>
        <family val="0"/>
        <charset val="1"/>
      </rPr>
      <t xml:space="preserve">0–20 </t>
    </r>
    <r>
      <rPr>
        <sz val="10"/>
        <color rgb="FF000000"/>
        <rFont val="Noto Sans CJK SC"/>
        <family val="2"/>
      </rPr>
      <t xml:space="preserve">百分點（格值 </t>
    </r>
    <r>
      <rPr>
        <sz val="10"/>
        <color rgb="FF000000"/>
        <rFont val="Arial"/>
        <family val="0"/>
        <charset val="1"/>
      </rPr>
      <t xml:space="preserve">0–0.2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</si>
  <si>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11 列之上；基準 0</t>
  </si>
  <si>
    <t xml:space="preserve">GM486</t>
  </si>
  <si>
    <t xml:space="preserve">C17:G17</t>
  </si>
  <si>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</si>
  <si>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2（供應商原生增強）：加在 Workload 第 12 列之上；基準 0</t>
  </si>
  <si>
    <t xml:space="preserve">GM487</t>
  </si>
  <si>
    <t xml:space="preserve">C19:G19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</si>
  <si>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</si>
  <si>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2（供應商原生增強）：L2：harness 乘在層級 50% 時間範圍上；ARC 結果無法換算為此倍數</t>
  </si>
  <si>
    <t xml:space="preserve">GM488</t>
  </si>
  <si>
    <t xml:space="preserve">C18:G18</t>
  </si>
  <si>
    <t xml:space="preserve">SRC_HAR_003</t>
  </si>
  <si>
    <t xml:space="preserve">可比（ARC-AGI-3 每局約 40 分鐘；單輪任務沿用 5 分鐘 TTL）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</si>
  <si>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</si>
  <si>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2（供應商原生增強）：狀態保留時間</t>
  </si>
  <si>
    <t xml:space="preserve">GM489</t>
  </si>
  <si>
    <t xml:space="preserve">C20:G20</t>
  </si>
  <si>
    <t xml:space="preserve">供應商專屬（1＝是）</t>
  </si>
  <si>
    <t xml:space="preserve">檔案 2（供應商原生增強）：不透明推理狀態只能在原廠 API 使用（S58，機制事實）；1＝供應商專屬為檔案定義</t>
  </si>
  <si>
    <r>
      <rPr>
        <sz val="10"/>
        <color rgb="FF000000"/>
        <rFont val="Arial"/>
        <family val="0"/>
        <charset val="1"/>
      </rPr>
      <t xml:space="preserve">Verified→Assumed</t>
    </r>
    <r>
      <rPr>
        <sz val="10"/>
        <color rgb="FF000000"/>
        <rFont val="Noto Sans CJK SC"/>
        <family val="2"/>
      </rPr>
      <t xml:space="preserve">（檔案定義）</t>
    </r>
  </si>
  <si>
    <t xml:space="preserve">GM490</t>
  </si>
  <si>
    <t xml:space="preserve">C24:G24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</si>
  <si>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</si>
  <si>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3（多代理編排）：輪數倍數；基準同標準檔</t>
  </si>
  <si>
    <t xml:space="preserve">GM491</t>
  </si>
  <si>
    <t xml:space="preserve">C25:G25</t>
  </si>
  <si>
    <t xml:space="preserve">檔案 3（多代理編排）：思考保留；基準 0</t>
  </si>
  <si>
    <t xml:space="preserve">GM492</t>
  </si>
  <si>
    <t xml:space="preserve">C26:G26</t>
  </si>
  <si>
    <r>
      <rPr>
        <sz val="10"/>
        <color rgb="FF000000"/>
        <rFont val="Arial"/>
        <family val="0"/>
        <charset val="1"/>
      </rPr>
      <t xml:space="preserve">0.6–1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</si>
  <si>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3（多代理編排）：每輪思考倍數</t>
  </si>
  <si>
    <t xml:space="preserve">GM493</t>
  </si>
  <si>
    <t xml:space="preserve">C27:G27</t>
  </si>
  <si>
    <r>
      <rPr>
        <sz val="10"/>
        <color rgb="FF000000"/>
        <rFont val="Arial"/>
        <family val="0"/>
        <charset val="1"/>
      </rPr>
      <t xml:space="preserve">0.5–1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</si>
  <si>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3（多代理編排）：歷史保留比</t>
  </si>
  <si>
    <t xml:space="preserve">GM494</t>
  </si>
  <si>
    <t xml:space="preserve">C28:G28</t>
  </si>
  <si>
    <t xml:space="preserve">檔案 3（多代理編排）：快取命中變動；基準 0</t>
  </si>
  <si>
    <t xml:space="preserve">GM495</t>
  </si>
  <si>
    <t xml:space="preserve">C30:G30</t>
  </si>
  <si>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分鐘–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小時（同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66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</si>
  <si>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3（多代理編排）：狀態保留時間</t>
  </si>
  <si>
    <t xml:space="preserve">GM496</t>
  </si>
  <si>
    <t xml:space="preserve">C31:G31</t>
  </si>
  <si>
    <r>
      <rPr>
        <sz val="10"/>
        <color rgb="FF000000"/>
        <rFont val="Arial"/>
        <family val="0"/>
        <charset val="1"/>
      </rPr>
      <t xml:space="preserve">1–4</t>
    </r>
    <r>
      <rPr>
        <sz val="10"/>
        <color rgb="FF000000"/>
        <rFont val="Noto Sans CJK SC"/>
        <family val="2"/>
      </rPr>
      <t xml:space="preserve">（同 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列）</t>
    </r>
  </si>
  <si>
    <t xml:space="preserve">檔案 3（多代理編排）：時間範圍倍數；Anthropic 自報 +90.2% 只作對照（L7）</t>
  </si>
  <si>
    <t xml:space="preserve">GM497</t>
  </si>
  <si>
    <t xml:space="preserve">C32:G32</t>
  </si>
  <si>
    <t xml:space="preserve">檔案 3（多代理編排）：供應商專屬旗標：編排框架多為開源或自建（0）</t>
  </si>
  <si>
    <t xml:space="preserve">GM498</t>
  </si>
  <si>
    <t xml:space="preserve">C29:G29</t>
  </si>
  <si>
    <t xml:space="preserve">可比（Anthropic 多代理研究系統含 3 個子代理；token 約單代理 4 倍）</t>
  </si>
  <si>
    <r>
      <rPr>
        <sz val="10"/>
        <color rgb="FF000000"/>
        <rFont val="Arial"/>
        <family val="0"/>
        <charset val="1"/>
      </rPr>
      <t xml:space="preserve">0–5 </t>
    </r>
    <r>
      <rPr>
        <sz val="10"/>
        <color rgb="FF000000"/>
        <rFont val="Noto Sans CJK SC"/>
        <family val="2"/>
      </rPr>
      <t xml:space="preserve">個（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</si>
  <si>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檔案 3（多代理編排）：子代理數增量；來源為 Interested-party（Anthropic）</t>
  </si>
  <si>
    <t xml:space="preserve">GM499</t>
  </si>
  <si>
    <t xml:space="preserve">C48:E48</t>
  </si>
  <si>
    <t xml:space="preserve">SRC_CAP_020</t>
  </si>
  <si>
    <t xml:space="preserve">可比（METR TH1.1：GPT-5.6 Sol 11.3 小時、Claude Mythos Preview 17.4 小時）</t>
  </si>
  <si>
    <t xml:space="preserve">低＝第 49 列、高＝第 50 列</t>
  </si>
  <si>
    <t xml:space="preserve">層級 50% 時間範圍基準；GPT-6 各層級未有 METR 實測（E018）</t>
  </si>
  <si>
    <t xml:space="preserve">GM500</t>
  </si>
  <si>
    <t xml:space="preserve">C49:E49</t>
  </si>
  <si>
    <t xml:space="preserve">層級 50% 時間範圍低值</t>
  </si>
  <si>
    <t xml:space="preserve">GM501</t>
  </si>
  <si>
    <t xml:space="preserve">C50:E50</t>
  </si>
  <si>
    <t xml:space="preserve">SRC_CAP_021</t>
  </si>
  <si>
    <t xml:space="preserve">可比（Mythos 級 ECI 推估 18.8–40 小時為第三方推算）</t>
  </si>
  <si>
    <t xml:space="preserve">層級 50% 時間範圍高值</t>
  </si>
  <si>
    <t xml:space="preserve">GM502</t>
  </si>
  <si>
    <t xml:space="preserve">C51</t>
  </si>
  <si>
    <t xml:space="preserve">斜率 β（C＝基準、D＝低、E＝高）</t>
  </si>
  <si>
    <t xml:space="preserve">SRC_CAP_012</t>
  </si>
  <si>
    <t xml:space="preserve">可比（Har_In 第 77–80 列以 SRC_CAP_012–019 反推）</t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</si>
  <si>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</si>
  <si>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r>
      <rPr>
        <sz val="10"/>
        <color rgb="FF000000"/>
        <rFont val="Arial"/>
        <family val="0"/>
        <charset val="1"/>
      </rPr>
      <t xml:space="preserve">Derived→Analogy</t>
    </r>
    <r>
      <rPr>
        <sz val="10"/>
        <color rgb="FF000000"/>
        <rFont val="Noto Sans CJK SC"/>
        <family val="2"/>
      </rPr>
      <t xml:space="preserve">（選取值）</t>
    </r>
  </si>
  <si>
    <t xml:space="preserve">GM503</t>
  </si>
  <si>
    <t xml:space="preserve">D51:E51</t>
  </si>
  <si>
    <r>
      <rPr>
        <sz val="10"/>
        <color rgb="FF000000"/>
        <rFont val="Arial"/>
        <family val="0"/>
        <charset val="1"/>
      </rPr>
      <t xml:space="preserve">C51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</si>
  <si>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ln4 ÷ ln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50%÷80% </t>
    </r>
    <r>
      <rPr>
        <sz val="10"/>
        <color rgb="FF000000"/>
        <rFont val="Noto Sans CJK SC"/>
        <family val="2"/>
      </rPr>
      <t xml:space="preserve">比）；</t>
    </r>
    <r>
      <rPr>
        <sz val="10"/>
        <color rgb="FF000000"/>
        <rFont val="Arial"/>
        <family val="0"/>
        <charset val="1"/>
      </rPr>
      <t xml:space="preserve">GPT-5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5.4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0.70–0.75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3.1 Pro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S59</t>
    </r>
    <r>
      <rPr>
        <sz val="10"/>
        <color rgb="FF000000"/>
        <rFont val="Noto Sans CJK SC"/>
        <family val="2"/>
      </rPr>
      <t xml:space="preserve">）後選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；選取屬判斷</t>
    </r>
  </si>
  <si>
    <t xml:space="preserve">GM504</t>
  </si>
  <si>
    <t xml:space="preserve">C53:G53</t>
  </si>
  <si>
    <t xml:space="preserve">各任務 ×0.5–×2（Claude 提議，Andy 2026-10-03 確認）</t>
  </si>
  <si>
    <r>
      <rPr>
        <sz val="10"/>
        <color rgb="FF000000"/>
        <rFont val="Arial"/>
        <family val="0"/>
        <charset val="1"/>
      </rPr>
      <t xml:space="preserve">L2</t>
    </r>
    <r>
      <rPr>
        <sz val="10"/>
        <color rgb="FF000000"/>
        <rFont val="Noto Sans CJK SC"/>
        <family val="2"/>
      </rPr>
      <t xml:space="preserve">：任務長度（人類完成時間）；一般聊天約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分鐘、長程 </t>
    </r>
    <r>
      <rPr>
        <sz val="10"/>
        <color rgb="FF000000"/>
        <rFont val="Arial"/>
        <family val="0"/>
        <charset val="1"/>
      </rPr>
      <t xml:space="preserve">coding </t>
    </r>
    <r>
      <rPr>
        <sz val="10"/>
        <color rgb="FF000000"/>
        <rFont val="Noto Sans CJK SC"/>
        <family val="2"/>
      </rPr>
      <t xml:space="preserve">約一個工作日</t>
    </r>
  </si>
  <si>
    <t xml:space="preserve">GM505</t>
  </si>
  <si>
    <t xml:space="preserve">C61:D66</t>
  </si>
  <si>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敏感度區間（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＝高）；同時作為 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節參數組的區間依據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）：輪數倍數 </t>
    </r>
    <r>
      <rPr>
        <sz val="10"/>
        <color rgb="FF000000"/>
        <rFont val="Arial"/>
        <family val="0"/>
        <charset val="1"/>
      </rPr>
      <t xml:space="preserve">C61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D61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1.7</t>
    </r>
  </si>
  <si>
    <t xml:space="preserve">GM506</t>
  </si>
  <si>
    <t xml:space="preserve">E5:G9</t>
  </si>
  <si>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已在基準（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欄＝是），倍數欄不使用（固定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</si>
  <si>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GM507</t>
  </si>
  <si>
    <t xml:space="preserve">E10:G10</t>
  </si>
  <si>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＝低、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＝高（同列）</t>
    </r>
  </si>
  <si>
    <r>
      <rPr>
        <sz val="10"/>
        <color rgb="FF000000"/>
        <rFont val="Arial"/>
        <family val="0"/>
        <charset val="1"/>
      </rPr>
      <t xml:space="preserve">T06 Muon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節省倍數；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為實際值，已隱含效果</t>
    </r>
  </si>
  <si>
    <t xml:space="preserve">GM508</t>
  </si>
  <si>
    <t xml:space="preserve">E11:G11</t>
  </si>
  <si>
    <t xml:space="preserve">可比（VR NVFP4 訓練峰值 2520 ÷ FP8 1260＝2；GB300 的 3 為 Assumed）</t>
  </si>
  <si>
    <r>
      <rPr>
        <sz val="10"/>
        <color rgb="FF000000"/>
        <rFont val="Arial"/>
        <family val="0"/>
        <charset val="1"/>
      </rPr>
      <t xml:space="preserve">T07 NVFP4 </t>
    </r>
    <r>
      <rPr>
        <sz val="10"/>
        <color rgb="FF000000"/>
        <rFont val="Noto Sans CJK SC"/>
        <family val="2"/>
      </rPr>
      <t xml:space="preserve">預訓練：訓練峰值倍數</t>
    </r>
  </si>
  <si>
    <r>
      <rPr>
        <sz val="10"/>
        <color rgb="FF000000"/>
        <rFont val="Arial"/>
        <family val="0"/>
        <charset val="1"/>
      </rPr>
      <t xml:space="preserve">Interested-party→Analogy</t>
    </r>
    <r>
      <rPr>
        <sz val="10"/>
        <color rgb="FF000000"/>
        <rFont val="Noto Sans CJK SC"/>
        <family val="2"/>
      </rPr>
      <t xml:space="preserve">（倍數由 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038 </t>
    </r>
    <r>
      <rPr>
        <sz val="10"/>
        <color rgb="FF000000"/>
        <rFont val="Noto Sans CJK SC"/>
        <family val="2"/>
      </rPr>
      <t xml:space="preserve">換算）</t>
    </r>
  </si>
  <si>
    <t xml:space="preserve">GM509</t>
  </si>
  <si>
    <t xml:space="preserve">E12:G12</t>
  </si>
  <si>
    <r>
      <rPr>
        <sz val="10"/>
        <color rgb="FF000000"/>
        <rFont val="Arial"/>
        <family val="0"/>
        <charset val="1"/>
      </rPr>
      <t xml:space="preserve">T08 Looped transformer</t>
    </r>
    <r>
      <rPr>
        <sz val="10"/>
        <color rgb="FF000000"/>
        <rFont val="Noto Sans CJK SC"/>
        <family val="2"/>
      </rPr>
      <t xml:space="preserve">：迴圈次數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FLOPs × k</t>
    </r>
    <r>
      <rPr>
        <sz val="10"/>
        <color rgb="FF000000"/>
        <rFont val="Noto Sans CJK SC"/>
        <family val="2"/>
      </rPr>
      <t xml:space="preserve">）</t>
    </r>
  </si>
  <si>
    <t xml:space="preserve">GM510</t>
  </si>
  <si>
    <t xml:space="preserve">E13:G13</t>
  </si>
  <si>
    <r>
      <rPr>
        <sz val="10"/>
        <color rgb="FF000000"/>
        <rFont val="Arial"/>
        <family val="0"/>
        <charset val="1"/>
      </rPr>
      <t xml:space="preserve">T09 Looped transformer</t>
    </r>
    <r>
      <rPr>
        <sz val="10"/>
        <color rgb="FF000000"/>
        <rFont val="Noto Sans CJK SC"/>
        <family val="2"/>
      </rPr>
      <t xml:space="preserve">：每層延遲 </t>
    </r>
    <r>
      <rPr>
        <sz val="10"/>
        <color rgb="FF000000"/>
        <rFont val="Arial"/>
        <family val="0"/>
        <charset val="1"/>
      </rPr>
      <t xml:space="preserve">× k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T08 </t>
    </r>
    <r>
      <rPr>
        <sz val="10"/>
        <color rgb="FF000000"/>
        <rFont val="Noto Sans CJK SC"/>
        <family val="2"/>
      </rPr>
      <t xml:space="preserve">同時開關</t>
    </r>
  </si>
  <si>
    <t xml:space="preserve">GM511</t>
  </si>
  <si>
    <t xml:space="preserve">E14:G14</t>
  </si>
  <si>
    <t xml:space="preserve">SRC_MOD_046</t>
  </si>
  <si>
    <t xml:space="preserve">可比（Kimi 完全非同步 rollout 1.5 倍；ROLL Flash 2.24–2.72、AReaL 2 倍見 SRC_PERF_038–040）</t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</si>
  <si>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效率倍數（已在基準，倍數不另套）</t>
    </r>
  </si>
  <si>
    <t xml:space="preserve">Interested-party→Analogy</t>
  </si>
  <si>
    <t xml:space="preserve">GM512</t>
  </si>
  <si>
    <t xml:space="preserve">E15:G15</t>
  </si>
  <si>
    <r>
      <rPr>
        <sz val="10"/>
        <color rgb="FF000000"/>
        <rFont val="Arial"/>
        <family val="0"/>
        <charset val="1"/>
      </rPr>
      <t xml:space="preserve">T11 KV </t>
    </r>
    <r>
      <rPr>
        <sz val="10"/>
        <color rgb="FF000000"/>
        <rFont val="Noto Sans CJK SC"/>
        <family val="2"/>
      </rPr>
      <t xml:space="preserve">快取壓縮：</t>
    </r>
    <r>
      <rPr>
        <sz val="10"/>
        <color rgb="FF000000"/>
        <rFont val="Arial"/>
        <family val="0"/>
        <charset val="1"/>
      </rPr>
      <t xml:space="preserve">FP8 → FP4 bytes × 0.5</t>
    </r>
    <r>
      <rPr>
        <sz val="10"/>
        <color rgb="FF000000"/>
        <rFont val="Noto Sans CJK SC"/>
        <family val="2"/>
      </rPr>
      <t xml:space="preserve">；準確率損失待查</t>
    </r>
  </si>
  <si>
    <t xml:space="preserve">GM513</t>
  </si>
  <si>
    <t xml:space="preserve">E16:G16</t>
  </si>
  <si>
    <r>
      <rPr>
        <sz val="10"/>
        <color rgb="FF000000"/>
        <rFont val="Arial"/>
        <family val="0"/>
        <charset val="1"/>
      </rPr>
      <t xml:space="preserve">T12 Harness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v5.9 </t>
    </r>
    <r>
      <rPr>
        <sz val="10"/>
        <color rgb="FF000000"/>
        <rFont val="Noto Sans CJK SC"/>
        <family val="2"/>
      </rPr>
      <t xml:space="preserve">起以 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參數組表達，倍數欄不使用（固定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</si>
  <si>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GM514</t>
  </si>
  <si>
    <t xml:space="preserve">H5:H16</t>
  </si>
  <si>
    <t xml:space="preserve">各技術倍數採用低／基準／高（1／2／3）；基準 2</t>
  </si>
  <si>
    <t xml:space="preserve">GM515</t>
  </si>
  <si>
    <t xml:space="preserve">J5:J13</t>
  </si>
  <si>
    <t xml:space="preserve">計數（R 欄所列實驗室）</t>
  </si>
  <si>
    <t xml:space="preserve">G0-6</t>
  </si>
  <si>
    <t xml:space="preserve">公開採用實驗室數；G0-6：T01–T09 待 Stage 2 補採用紀錄（SRC_Model）後改為計數公式</t>
  </si>
  <si>
    <t xml:space="preserve">GM516</t>
  </si>
  <si>
    <t xml:space="preserve">J15:J16</t>
  </si>
  <si>
    <t xml:space="preserve">同上（T11、T12）；T10 的 J14 已由 SRC 採用紀錄計數</t>
  </si>
  <si>
    <t xml:space="preserve">GM517</t>
  </si>
  <si>
    <t xml:space="preserve">N5:N16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</si>
  <si>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（定義域；基準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＝全面採用）</t>
    </r>
  </si>
  <si>
    <t xml:space="preserve">採用比例：開關為 1 時倍數效果乘以此比例</t>
  </si>
  <si>
    <t xml:space="preserve">GM518</t>
  </si>
  <si>
    <t xml:space="preserve">O5:O16</t>
  </si>
  <si>
    <t xml:space="preserve">開關：依 J14 主流判定與「已在基準」決定（已在基準者為 1 但不另套倍數）；T07 依 J7、T12 依 L3 為 0</t>
  </si>
  <si>
    <t xml:space="preserve">GM519</t>
  </si>
  <si>
    <t xml:space="preserve">預訓練 MFU 基準（FP8 分母；GB200／GB300）</t>
  </si>
  <si>
    <t xml:space="preserve">SRC_PERF_036</t>
  </si>
  <si>
    <t xml:space="preserve">可比（Llama 3 405B BF16 MFU 38–43%＝FP8 口徑約 19–22%；DeepSeek V3 推導約 20%）</t>
  </si>
  <si>
    <r>
      <rPr>
        <sz val="10"/>
        <color rgb="FF000000"/>
        <rFont val="Arial"/>
        <family val="0"/>
        <charset val="1"/>
      </rPr>
      <t xml:space="preserve">18%–35%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分母）（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</si>
  <si>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t xml:space="preserve">預訓練 MFU（FP8 分母；GB200／GB300）</t>
  </si>
  <si>
    <t xml:space="preserve">GM520</t>
  </si>
  <si>
    <t xml:space="preserve">SRC_PERF_037</t>
  </si>
  <si>
    <t xml:space="preserve">可比（Llama 3 有效訓練時間 &gt;90%；值相等但為不同模型與叢集，不直接連結）</t>
  </si>
  <si>
    <r>
      <rPr>
        <sz val="10"/>
        <color rgb="FF000000"/>
        <rFont val="Arial"/>
        <family val="0"/>
        <charset val="1"/>
      </rPr>
      <t xml:space="preserve">0.80–0.95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</si>
  <si>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；選取值（</t>
    </r>
    <r>
      <rPr>
        <sz val="10"/>
        <color rgb="FF000000"/>
        <rFont val="Arial"/>
        <family val="0"/>
        <charset val="1"/>
      </rPr>
      <t xml:space="preserve">G0-2</t>
    </r>
    <r>
      <rPr>
        <sz val="10"/>
        <color rgb="FF000000"/>
        <rFont val="Noto Sans CJK SC"/>
        <family val="2"/>
      </rPr>
      <t xml:space="preserve">）</t>
    </r>
  </si>
  <si>
    <t xml:space="preserve">GM521</t>
  </si>
  <si>
    <r>
      <rPr>
        <sz val="10"/>
        <color rgb="FF000000"/>
        <rFont val="Arial"/>
        <family val="0"/>
        <charset val="1"/>
      </rPr>
      <t xml:space="preserve">0.6–1.0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</si>
  <si>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：批次較短、變長序列較多</t>
    </r>
  </si>
  <si>
    <t xml:space="preserve">GM522</t>
  </si>
  <si>
    <r>
      <rPr>
        <sz val="10"/>
        <color rgb="FF000000"/>
        <rFont val="Arial"/>
        <family val="0"/>
        <charset val="1"/>
      </rPr>
      <t xml:space="preserve">0.4–0.9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</si>
  <si>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RL trainer</t>
    </r>
    <r>
      <rPr>
        <sz val="10"/>
        <color rgb="FF000000"/>
        <rFont val="Noto Sans CJK SC"/>
        <family val="2"/>
      </rPr>
      <t xml:space="preserve">：長序列、小批次、與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交替；蒸餾學生更新沿用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</si>
  <si>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GM523</t>
  </si>
  <si>
    <t xml:space="preserve">參考模型前向（KL 懲罰；0＝無、1＝有）</t>
  </si>
  <si>
    <r>
      <rPr>
        <sz val="10"/>
        <color rgb="FF000000"/>
        <rFont val="Arial"/>
        <family val="0"/>
        <charset val="1"/>
      </rPr>
      <t xml:space="preserve">0–1</t>
    </r>
    <r>
      <rPr>
        <sz val="10"/>
        <color rgb="FF000000"/>
        <rFont val="Noto Sans CJK SC"/>
        <family val="2"/>
      </rPr>
      <t xml:space="preserve">（原註；選擇）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</si>
  <si>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原版含 </t>
    </r>
    <r>
      <rPr>
        <sz val="10"/>
        <color rgb="FF000000"/>
        <rFont val="Arial"/>
        <family val="0"/>
        <charset val="1"/>
      </rPr>
      <t xml:space="preserve">KL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DAPO </t>
    </r>
    <r>
      <rPr>
        <sz val="10"/>
        <color rgb="FF000000"/>
        <rFont val="Noto Sans CJK SC"/>
        <family val="2"/>
      </rPr>
      <t xml:space="preserve">等後續做法移除</t>
    </r>
  </si>
  <si>
    <t xml:space="preserve">GM524</t>
  </si>
  <si>
    <t xml:space="preserve">可比（非同步增益 1.5–2.7 倍，SRC_MOD_046、SRC_PERF_038–040）</t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</si>
  <si>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效率；</t>
    </r>
    <r>
      <rPr>
        <sz val="10"/>
        <color rgb="FF000000"/>
        <rFont val="Arial"/>
        <family val="0"/>
        <charset val="1"/>
      </rPr>
      <t xml:space="preserve">v5.6 </t>
    </r>
    <r>
      <rPr>
        <sz val="10"/>
        <color rgb="FF000000"/>
        <rFont val="Noto Sans CJK SC"/>
        <family val="2"/>
      </rPr>
      <t xml:space="preserve">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為主流（</t>
    </r>
    <r>
      <rPr>
        <sz val="10"/>
        <color rgb="FF000000"/>
        <rFont val="Arial"/>
        <family val="0"/>
        <charset val="1"/>
      </rPr>
      <t xml:space="preserve">T10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</si>
  <si>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GM525</t>
  </si>
  <si>
    <r>
      <rPr>
        <sz val="10"/>
        <color rgb="FF000000"/>
        <rFont val="Arial"/>
        <family val="0"/>
        <charset val="1"/>
      </rPr>
      <t xml:space="preserve">8–64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</si>
  <si>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GRPO </t>
    </r>
    <r>
      <rPr>
        <sz val="10"/>
        <color rgb="FF000000"/>
        <rFont val="Noto Sans CJK SC"/>
        <family val="2"/>
      </rPr>
      <t xml:space="preserve">群組大小；</t>
    </r>
    <r>
      <rPr>
        <sz val="10"/>
        <color rgb="FF000000"/>
        <rFont val="Arial"/>
        <family val="0"/>
        <charset val="1"/>
      </rPr>
      <t xml:space="preserve">DeepSeekMath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16</t>
    </r>
    <r>
      <rPr>
        <sz val="10"/>
        <color rgb="FF000000"/>
        <rFont val="Noto Sans CJK SC"/>
        <family val="2"/>
      </rPr>
      <t xml:space="preserve">（尚無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</si>
  <si>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t xml:space="preserve">GM526</t>
  </si>
  <si>
    <t xml:space="preserve">研發倍數（研發總 GPU 小時 ÷ 最終訓練）</t>
  </si>
  <si>
    <t xml:space="preserve">可比（Epoch 最終訓練占研發支出 9.6%–22.6% → 倍數 4.4–10.4；SRC_DEM_001–003）</t>
  </si>
  <si>
    <t xml:space="preserve">J10</t>
  </si>
  <si>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：研發倍數基準 </t>
    </r>
    <r>
      <rPr>
        <sz val="10"/>
        <color rgb="FF000000"/>
        <rFont val="Arial"/>
        <family val="0"/>
        <charset val="1"/>
      </rPr>
      <t xml:space="preserve">8</t>
    </r>
  </si>
  <si>
    <t xml:space="preserve">GM527</t>
  </si>
  <si>
    <t xml:space="preserve">合成資料生成層級（1 Luna／2 Sol／3 Astra）</t>
  </si>
  <si>
    <r>
      <rPr>
        <sz val="10"/>
        <color rgb="FF000000"/>
        <rFont val="Arial"/>
        <family val="0"/>
        <charset val="1"/>
      </rPr>
      <t xml:space="preserve">2–3</t>
    </r>
    <r>
      <rPr>
        <sz val="10"/>
        <color rgb="FF000000"/>
        <rFont val="Noto Sans CJK SC"/>
        <family val="2"/>
      </rPr>
      <t xml:space="preserve">（原註）</t>
    </r>
  </si>
  <si>
    <t xml:space="preserve">合成資料以頂層模型生成</t>
  </si>
  <si>
    <t xml:space="preserve">GM528</t>
  </si>
  <si>
    <t xml:space="preserve">J13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</si>
  <si>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：下游預設訓練世代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）</t>
    </r>
  </si>
  <si>
    <t xml:space="preserve">GM529</t>
  </si>
  <si>
    <r>
      <rPr>
        <sz val="10"/>
        <color rgb="FF000000"/>
        <rFont val="Arial"/>
        <family val="0"/>
        <charset val="1"/>
      </rPr>
      <t xml:space="preserve">J13</t>
    </r>
    <r>
      <rPr>
        <sz val="10"/>
        <color rgb="FF000000"/>
        <rFont val="Noto Sans CJK SC"/>
        <family val="2"/>
      </rPr>
      <t xml:space="preserve">：並列世代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（索引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</t>
    </r>
  </si>
  <si>
    <t xml:space="preserve">GM530</t>
  </si>
  <si>
    <t xml:space="preserve">C21:G21</t>
  </si>
  <si>
    <t xml:space="preserve">預訓練 MFU 世代倍數</t>
  </si>
  <si>
    <t xml:space="preserve">各世代 ±0.2（Claude 提議，Andy 2026-10-03 確認）；v5.18 E1：Hopper（C21）基準 0.8→1.0，區間 0.8–1.2（Assumed）</t>
  </si>
  <si>
    <t xml:space="preserve">預訓練 MFU 世代倍數；v5.18 E1：Hopper 基準 1.0（原 0.8 使 MFU＝20%，對應 DeepSeek V3 推導值）；MegaScale-MoE 方向性證據（MFU 隨 GPU 運算能力下降）與現行倍數相反，已讀未採用，列待判斷</t>
  </si>
  <si>
    <t xml:space="preserve">GM531</t>
  </si>
  <si>
    <t xml:space="preserve">J8</t>
  </si>
  <si>
    <r>
      <rPr>
        <sz val="10"/>
        <color rgb="FF000000"/>
        <rFont val="Arial"/>
        <family val="0"/>
        <charset val="1"/>
      </rPr>
      <t xml:space="preserve">30–100T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</si>
  <si>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為實際值（已連結 </t>
    </r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v5.25 X12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Epoch GPT-6 Astra 1.0e27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未結 ｜</t>
    </r>
    <r>
      <rPr>
        <sz val="10"/>
        <color rgb="FF000000"/>
        <rFont val="Arial"/>
        <family val="0"/>
        <charset val="1"/>
      </rPr>
      <t xml:space="preserve">v5.27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E255</t>
    </r>
  </si>
  <si>
    <t xml:space="preserve">GM532</t>
  </si>
  <si>
    <r>
      <rPr>
        <sz val="10"/>
        <color rgb="FF000000"/>
        <rFont val="Arial"/>
        <family val="0"/>
        <charset val="1"/>
      </rPr>
      <t xml:space="preserve">4K–16K</t>
    </r>
    <r>
      <rPr>
        <sz val="10"/>
        <color rgb="FF000000"/>
        <rFont val="Noto Sans CJK SC"/>
        <family val="2"/>
      </rPr>
      <t xml:space="preserve">（原註；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032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起訖）</t>
    </r>
  </si>
  <si>
    <r>
      <rPr>
        <sz val="10"/>
        <color rgb="FF000000"/>
        <rFont val="Arial"/>
        <family val="0"/>
        <charset val="1"/>
      </rPr>
      <t xml:space="preserve">Astra dense </t>
    </r>
    <r>
      <rPr>
        <sz val="10"/>
        <color rgb="FF000000"/>
        <rFont val="Noto Sans CJK SC"/>
        <family val="2"/>
      </rPr>
      <t xml:space="preserve">注意力預訓練序列長</t>
    </r>
  </si>
  <si>
    <t xml:space="preserve">GM533</t>
  </si>
  <si>
    <t xml:space="preserve">C27:E27</t>
  </si>
  <si>
    <t xml:space="preserve">長上下文延伸 token</t>
  </si>
  <si>
    <r>
      <rPr>
        <sz val="10"/>
        <color rgb="FF000000"/>
        <rFont val="Arial"/>
        <family val="0"/>
        <charset val="1"/>
      </rPr>
      <t xml:space="preserve">0.3–3T</t>
    </r>
    <r>
      <rPr>
        <sz val="10"/>
        <color rgb="FF000000"/>
        <rFont val="Noto Sans CJK SC"/>
        <family val="2"/>
      </rPr>
      <t xml:space="preserve">（原註）</t>
    </r>
  </si>
  <si>
    <t xml:space="preserve">長上下文延伸 token；V4 未揭露</t>
  </si>
  <si>
    <t xml:space="preserve">GM534</t>
  </si>
  <si>
    <t xml:space="preserve">C28:E28</t>
  </si>
  <si>
    <t xml:space="preserve">長上下文延伸序列長 128K（設計選擇）</t>
  </si>
  <si>
    <t xml:space="preserve">GM535</t>
  </si>
  <si>
    <t xml:space="preserve">C29:E29</t>
  </si>
  <si>
    <r>
      <rPr>
        <sz val="10"/>
        <color rgb="FF000000"/>
        <rFont val="Arial"/>
        <family val="0"/>
        <charset val="1"/>
      </rPr>
      <t xml:space="preserve">0.01–0.3T</t>
    </r>
    <r>
      <rPr>
        <sz val="10"/>
        <color rgb="FF000000"/>
        <rFont val="Noto Sans CJK SC"/>
        <family val="2"/>
      </rPr>
      <t xml:space="preserve">（原註）</t>
    </r>
  </si>
  <si>
    <t xml:space="preserve">GM536</t>
  </si>
  <si>
    <t xml:space="preserve">C30:E30</t>
  </si>
  <si>
    <r>
      <rPr>
        <sz val="10"/>
        <color rgb="FF000000"/>
        <rFont val="Arial"/>
        <family val="0"/>
        <charset val="1"/>
      </rPr>
      <t xml:space="preserve">SFT </t>
    </r>
    <r>
      <rPr>
        <sz val="10"/>
        <color rgb="FF000000"/>
        <rFont val="Noto Sans CJK SC"/>
        <family val="2"/>
      </rPr>
      <t xml:space="preserve">序列長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（設計選擇）</t>
    </r>
  </si>
  <si>
    <t xml:space="preserve">GM537</t>
  </si>
  <si>
    <t xml:space="preserve">批次推論速度下限（rollout、合成、評測）</t>
  </si>
  <si>
    <r>
      <rPr>
        <sz val="10"/>
        <color rgb="FF000000"/>
        <rFont val="Arial"/>
        <family val="0"/>
        <charset val="1"/>
      </rPr>
      <t xml:space="preserve">10–40 tok/s</t>
    </r>
    <r>
      <rPr>
        <sz val="10"/>
        <color rgb="FF000000"/>
        <rFont val="Noto Sans CJK SC"/>
        <family val="2"/>
      </rPr>
      <t xml:space="preserve">（原註）</t>
    </r>
  </si>
  <si>
    <t xml:space="preserve">批次推論速度下限，取代互動 SLO</t>
  </si>
  <si>
    <t xml:space="preserve">GM538</t>
  </si>
  <si>
    <t xml:space="preserve">各層 ×0.5–×2（Claude 提議，Andy 2026-10-03 確認）</t>
  </si>
  <si>
    <t xml:space="preserve">GM539</t>
  </si>
  <si>
    <t xml:space="preserve">C33:E33</t>
  </si>
  <si>
    <t xml:space="preserve">GM540</t>
  </si>
  <si>
    <t xml:space="preserve">（停用）C34:E34</t>
  </si>
  <si>
    <t xml:space="preserve">J9</t>
  </si>
  <si>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0.1–0.3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0.1–2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；三格個別區間見 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各列；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列情境倍數 </t>
    </r>
    <r>
      <rPr>
        <sz val="10"/>
        <color rgb="FF000000"/>
        <rFont val="Arial"/>
        <family val="0"/>
        <charset val="1"/>
      </rPr>
      <t xml:space="preserve">×0.3–×3 </t>
    </r>
    <r>
      <rPr>
        <sz val="10"/>
        <color rgb="FF000000"/>
        <rFont val="Noto Sans CJK SC"/>
        <family val="2"/>
      </rPr>
      <t xml:space="preserve">另計）</t>
    </r>
  </si>
  <si>
    <r>
      <rPr>
        <sz val="10"/>
        <color rgb="FF000000"/>
        <rFont val="Arial"/>
        <family val="0"/>
        <charset val="1"/>
      </rPr>
      <t xml:space="preserve">J9</t>
    </r>
    <r>
      <rPr>
        <sz val="10"/>
        <color rgb="FF000000"/>
        <rFont val="Noto Sans CJK SC"/>
        <family val="2"/>
      </rPr>
      <t xml:space="preserve">：基準校到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上 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；外部錨點 </t>
    </r>
    <r>
      <rPr>
        <sz val="10"/>
        <color rgb="FF000000"/>
        <rFont val="Arial"/>
        <family val="0"/>
        <charset val="1"/>
      </rPr>
      <t xml:space="preserve">SRC_MOD_034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036 </t>
    </r>
    <r>
      <rPr>
        <sz val="10"/>
        <color rgb="FF000000"/>
        <rFont val="Noto Sans CJK SC"/>
        <family val="2"/>
      </rPr>
      <t xml:space="preserve">只作對照 ｜</t>
    </r>
    <r>
      <rPr>
        <sz val="10"/>
        <color rgb="FF000000"/>
        <rFont val="Arial"/>
        <family val="0"/>
        <charset val="1"/>
      </rPr>
      <t xml:space="preserve">v6.1 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）：只登錄區間，基準不變（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：基準在區間上端／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區間內） ｜</t>
    </r>
    <r>
      <rPr>
        <sz val="10"/>
        <color rgb="FF000000"/>
        <rFont val="Arial"/>
        <family val="0"/>
        <charset val="1"/>
      </rPr>
      <t xml:space="preserve">v10.1 4-1</t>
    </r>
    <r>
      <rPr>
        <sz val="10"/>
        <color rgb="FF000000"/>
        <rFont val="Noto Sans CJK SC"/>
        <family val="2"/>
      </rPr>
      <t xml:space="preserve">：停用——</t>
    </r>
    <r>
      <rPr>
        <sz val="10"/>
        <color rgb="FF000000"/>
        <rFont val="Arial"/>
        <family val="0"/>
        <charset val="1"/>
      </rPr>
      <t xml:space="preserve">C34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E34 </t>
    </r>
    <r>
      <rPr>
        <sz val="10"/>
        <color rgb="FF000000"/>
        <rFont val="Noto Sans CJK SC"/>
        <family val="2"/>
      </rPr>
      <t xml:space="preserve">已由 </t>
    </r>
    <r>
      <rPr>
        <sz val="10"/>
        <color rgb="FF000000"/>
        <rFont val="Arial"/>
        <family val="0"/>
        <charset val="1"/>
      </rPr>
      <t xml:space="preserve">GM652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GM654 </t>
    </r>
    <r>
      <rPr>
        <sz val="10"/>
        <color rgb="FF000000"/>
        <rFont val="Noto Sans CJK SC"/>
        <family val="2"/>
      </rPr>
      <t xml:space="preserve">逐格登錄（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）；本列保留作為歷史與區間說明</t>
    </r>
  </si>
  <si>
    <t xml:space="preserve">GM541</t>
  </si>
  <si>
    <t xml:space="preserve">C35:E35</t>
  </si>
  <si>
    <r>
      <rPr>
        <sz val="10"/>
        <color rgb="FF000000"/>
        <rFont val="Arial"/>
        <family val="0"/>
        <charset val="1"/>
      </rPr>
      <t xml:space="preserve">0.05–1T</t>
    </r>
    <r>
      <rPr>
        <sz val="10"/>
        <color rgb="FF000000"/>
        <rFont val="Noto Sans CJK SC"/>
        <family val="2"/>
      </rPr>
      <t xml:space="preserve">（原註）</t>
    </r>
  </si>
  <si>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蒸餾學生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</si>
  <si>
    <t xml:space="preserve">GM542</t>
  </si>
  <si>
    <t xml:space="preserve">C36:E36</t>
  </si>
  <si>
    <t xml:space="preserve">蒸餾教師層級（1／2／3）</t>
  </si>
  <si>
    <t xml:space="preserve">蒸餾教師層級：同層級專家為教師（V4 做法，S35）</t>
  </si>
  <si>
    <r>
      <rPr>
        <sz val="10"/>
        <color rgb="FF000000"/>
        <rFont val="Arial"/>
        <family val="0"/>
        <charset val="1"/>
      </rPr>
      <t xml:space="preserve">Interested-party→Assumed</t>
    </r>
    <r>
      <rPr>
        <sz val="10"/>
        <color rgb="FF000000"/>
        <rFont val="Noto Sans CJK SC"/>
        <family val="2"/>
      </rPr>
      <t xml:space="preserve">（設計選擇）</t>
    </r>
  </si>
  <si>
    <t xml:space="preserve">GM543</t>
  </si>
  <si>
    <t xml:space="preserve">C37:E37</t>
  </si>
  <si>
    <t xml:space="preserve">合成資料生成 token</t>
  </si>
  <si>
    <r>
      <rPr>
        <sz val="10"/>
        <color rgb="FF000000"/>
        <rFont val="Arial"/>
        <family val="0"/>
        <charset val="1"/>
      </rPr>
      <t xml:space="preserve">0.5–10T</t>
    </r>
    <r>
      <rPr>
        <sz val="10"/>
        <color rgb="FF000000"/>
        <rFont val="Noto Sans CJK SC"/>
        <family val="2"/>
      </rPr>
      <t xml:space="preserve">（原註）</t>
    </r>
  </si>
  <si>
    <t xml:space="preserve">GM544</t>
  </si>
  <si>
    <t xml:space="preserve">C38:E38</t>
  </si>
  <si>
    <t xml:space="preserve">評測 token</t>
  </si>
  <si>
    <t xml:space="preserve">GM545</t>
  </si>
  <si>
    <t xml:space="preserve">C44</t>
  </si>
  <si>
    <t xml:space="preserve">換算（147K ÷ 2.664M＝0.0552，模型取 0.055；分母 SRC_MOD_040）</t>
  </si>
  <si>
    <t xml:space="preserve">v5.18 C44：改為公式 =SRC_MOD_034/SRC_MOD_040（0.05518）；所有輸出影響 0</t>
  </si>
  <si>
    <t xml:space="preserve">GM546</t>
  </si>
  <si>
    <t xml:space="preserve">C47</t>
  </si>
  <si>
    <t xml:space="preserve">SRC_MOD_033</t>
  </si>
  <si>
    <t xml:space="preserve">可比（Epoch：Grok-3 約 4.6e26）</t>
  </si>
  <si>
    <r>
      <rPr>
        <sz val="10"/>
        <color rgb="FF000000"/>
        <rFont val="Arial"/>
        <family val="0"/>
        <charset val="1"/>
      </rPr>
      <t xml:space="preserve">J8</t>
    </r>
    <r>
      <rPr>
        <sz val="10"/>
        <color rgb="FF000000"/>
        <rFont val="Noto Sans CJK SC"/>
        <family val="2"/>
      </rPr>
      <t xml:space="preserve">：前沿預訓練錨點；誤差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</si>
  <si>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GM547</t>
  </si>
  <si>
    <t xml:space="preserve">C46</t>
  </si>
  <si>
    <t xml:space="preserve">前沿預訓練錨點低值</t>
  </si>
  <si>
    <t xml:space="preserve">GM548</t>
  </si>
  <si>
    <t xml:space="preserve">C48</t>
  </si>
  <si>
    <t xml:space="preserve">前沿預訓練錨點高值</t>
  </si>
  <si>
    <t xml:space="preserve">GM549</t>
  </si>
  <si>
    <t xml:space="preserve">GM550</t>
  </si>
  <si>
    <t xml:space="preserve">GM551</t>
  </si>
  <si>
    <t xml:space="preserve">E13:H13</t>
  </si>
  <si>
    <t xml:space="preserve">預訓練 MFU 基準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</si>
  <si>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情境：預訓練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低／高</t>
    </r>
  </si>
  <si>
    <t xml:space="preserve">GM552</t>
  </si>
  <si>
    <t xml:space="preserve">AG17:AH17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</si>
  <si>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goodput </t>
    </r>
    <r>
      <rPr>
        <sz val="10"/>
        <color rgb="FF000000"/>
        <rFont val="Noto Sans CJK SC"/>
        <family val="2"/>
      </rPr>
      <t xml:space="preserve">低</t>
    </r>
  </si>
  <si>
    <t xml:space="preserve">GM553</t>
  </si>
  <si>
    <t xml:space="preserve">K30:N30</t>
  </si>
  <si>
    <t xml:space="preserve">所需 token 倍數（H_TOK）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</si>
  <si>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情境：所需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倍數（</t>
    </r>
    <r>
      <rPr>
        <sz val="10"/>
        <color rgb="FF000000"/>
        <rFont val="Arial"/>
        <family val="0"/>
        <charset val="1"/>
      </rPr>
      <t xml:space="preserve">H_TOK</t>
    </r>
    <r>
      <rPr>
        <sz val="10"/>
        <color rgb="FF000000"/>
        <rFont val="Noto Sans CJK SC"/>
        <family val="2"/>
      </rPr>
      <t xml:space="preserve">）</t>
    </r>
  </si>
  <si>
    <t xml:space="preserve">GM554</t>
  </si>
  <si>
    <t xml:space="preserve">S64:V64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</si>
  <si>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效率低／高</t>
    </r>
  </si>
  <si>
    <t xml:space="preserve">GM555</t>
  </si>
  <si>
    <t xml:space="preserve">AC119:AF119</t>
  </si>
  <si>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情境：研發倍數 </t>
    </r>
    <r>
      <rPr>
        <sz val="10"/>
        <color rgb="FF000000"/>
        <rFont val="Arial"/>
        <family val="0"/>
        <charset val="1"/>
      </rPr>
      <t xml:space="preserve">4.4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10.4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J10</t>
    </r>
    <r>
      <rPr>
        <sz val="10"/>
        <color rgb="FF000000"/>
        <rFont val="Noto Sans CJK SC"/>
        <family val="2"/>
      </rPr>
      <t xml:space="preserve">）</t>
    </r>
  </si>
  <si>
    <t xml:space="preserve">GM556</t>
  </si>
  <si>
    <t xml:space="preserve">Perf_Batch</t>
  </si>
  <si>
    <t xml:space="preserve">C6:S6</t>
  </si>
  <si>
    <t xml:space="preserve">GM557</t>
  </si>
  <si>
    <t xml:space="preserve">C7:S7</t>
  </si>
  <si>
    <t xml:space="preserve">GM558</t>
  </si>
  <si>
    <t xml:space="preserve">R19:S20</t>
  </si>
  <si>
    <t xml:space="preserve">專家權重 bytes/param（含 H_WB）</t>
  </si>
  <si>
    <t xml:space="preserve">J12</t>
  </si>
  <si>
    <r>
      <rPr>
        <sz val="10"/>
        <color rgb="FF000000"/>
        <rFont val="Arial"/>
        <family val="0"/>
        <charset val="1"/>
      </rPr>
      <t xml:space="preserve">J12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情境的權重 </t>
    </r>
    <r>
      <rPr>
        <sz val="10"/>
        <color rgb="FF000000"/>
        <rFont val="Arial"/>
        <family val="0"/>
        <charset val="1"/>
      </rPr>
      <t xml:space="preserve">bytes/param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v10.2 E4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ETA-E4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欄保留，只供敏感度情境（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輸出）；取代 </t>
    </r>
    <r>
      <rPr>
        <sz val="10"/>
        <color rgb="FF000000"/>
        <rFont val="Arial"/>
        <family val="0"/>
        <charset val="1"/>
      </rPr>
      <t xml:space="preserve">4-1 </t>
    </r>
    <r>
      <rPr>
        <sz val="10"/>
        <color rgb="FF000000"/>
        <rFont val="Noto Sans CJK SC"/>
        <family val="2"/>
      </rPr>
      <t xml:space="preserve">的『刪除』</t>
    </r>
  </si>
  <si>
    <t xml:space="preserve">GM559</t>
  </si>
  <si>
    <t xml:space="preserve">GM560</t>
  </si>
  <si>
    <t xml:space="preserve">GM561</t>
  </si>
  <si>
    <t xml:space="preserve">B6:B7</t>
  </si>
  <si>
    <t xml:space="preserve">利用率 40%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</si>
  <si>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情境：利用率 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區間）</t>
    </r>
  </si>
  <si>
    <t xml:space="preserve">GM562</t>
  </si>
  <si>
    <t xml:space="preserve">B8:B9</t>
  </si>
  <si>
    <t xml:space="preserve">折扣 10%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</si>
  <si>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情境：折扣 </t>
    </r>
    <r>
      <rPr>
        <sz val="10"/>
        <color rgb="FF000000"/>
        <rFont val="Arial"/>
        <family val="0"/>
        <charset val="1"/>
      </rPr>
      <t xml:space="preserve">10%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30%</t>
    </r>
  </si>
  <si>
    <t xml:space="preserve">GM563</t>
  </si>
  <si>
    <t xml:space="preserve">B10:B11</t>
  </si>
  <si>
    <t xml:space="preserve">快取命中 χ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</si>
  <si>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情境：快取命中 </t>
    </r>
    <r>
      <rPr>
        <sz val="10"/>
        <color rgb="FF000000"/>
        <rFont val="Arial"/>
        <family val="0"/>
        <charset val="1"/>
      </rPr>
      <t xml:space="preserve">χ 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75%</t>
    </r>
  </si>
  <si>
    <t xml:space="preserve">GM564</t>
  </si>
  <si>
    <t xml:space="preserve">B12:B13</t>
  </si>
  <si>
    <t xml:space="preserve">對外服務占機隊 30%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</si>
  <si>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情境：對外服務占機隊 </t>
    </r>
    <r>
      <rPr>
        <sz val="10"/>
        <color rgb="FF000000"/>
        <rFont val="Arial"/>
        <family val="0"/>
        <charset val="1"/>
      </rPr>
      <t xml:space="preserve">30%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</si>
  <si>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GM565</t>
  </si>
  <si>
    <t xml:space="preserve">B14:B15</t>
  </si>
  <si>
    <t xml:space="preserve">免費占服務 35%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</si>
  <si>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情境：免費占服務 </t>
    </r>
    <r>
      <rPr>
        <sz val="10"/>
        <color rgb="FF000000"/>
        <rFont val="Arial"/>
        <family val="0"/>
        <charset val="1"/>
      </rPr>
      <t xml:space="preserve">35%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K7</t>
    </r>
    <r>
      <rPr>
        <sz val="10"/>
        <color rgb="FF000000"/>
        <rFont val="Noto Sans CJK SC"/>
        <family val="2"/>
      </rPr>
      <t xml:space="preserve">）</t>
    </r>
  </si>
  <si>
    <t xml:space="preserve">GM566</t>
  </si>
  <si>
    <t xml:space="preserve">B17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</si>
  <si>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情境：有效算力 </t>
    </r>
    <r>
      <rPr>
        <sz val="10"/>
        <color rgb="FF000000"/>
        <rFont val="Arial"/>
        <family val="0"/>
        <charset val="1"/>
      </rPr>
      <t xml:space="preserve">×7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K4 (a) </t>
    </r>
    <r>
      <rPr>
        <sz val="10"/>
        <color rgb="FF000000"/>
        <rFont val="Noto Sans CJK SC"/>
        <family val="2"/>
      </rPr>
      <t xml:space="preserve">量級情境）</t>
    </r>
  </si>
  <si>
    <t xml:space="preserve">GM567</t>
  </si>
  <si>
    <t xml:space="preserve">B20:B21</t>
  </si>
  <si>
    <t xml:space="preserve">壽命 6 個月</t>
  </si>
  <si>
    <r>
      <rPr>
        <sz val="10"/>
        <color rgb="FF000000"/>
        <rFont val="Arial"/>
        <family val="0"/>
        <charset val="1"/>
      </rPr>
      <t xml:space="preserve">Sens_Rev </t>
    </r>
    <r>
      <rPr>
        <sz val="10"/>
        <color rgb="FF000000"/>
        <rFont val="Noto Sans CJK SC"/>
        <family val="2"/>
      </rPr>
      <t xml:space="preserve">情境：商業壽命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K5</t>
    </r>
    <r>
      <rPr>
        <sz val="10"/>
        <color rgb="FF000000"/>
        <rFont val="Noto Sans CJK SC"/>
        <family val="2"/>
      </rPr>
      <t xml:space="preserve">）</t>
    </r>
  </si>
  <si>
    <t xml:space="preserve">GM568</t>
  </si>
  <si>
    <t xml:space="preserve">Sensitivity</t>
  </si>
  <si>
    <t xml:space="preserve">X8:Y8</t>
  </si>
  <si>
    <t xml:space="preserve">機架外 IT 電力占比低／高（Inputs E8 的區間端點）</t>
  </si>
  <si>
    <t xml:space="preserve">GM569</t>
  </si>
  <si>
    <t xml:space="preserve">N37</t>
  </si>
  <si>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折舊年限情境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年</t>
    </r>
  </si>
  <si>
    <t xml:space="preserve">GM570</t>
  </si>
  <si>
    <t xml:space="preserve">切片一（v5.13 D 包）</t>
  </si>
  <si>
    <t xml:space="preserve">C34:D34</t>
  </si>
  <si>
    <t xml:space="preserve">每層 KV bytes/token（壓縮後平均，FP8）</t>
  </si>
  <si>
    <r>
      <rPr>
        <sz val="10"/>
        <color rgb="FF000000"/>
        <rFont val="Arial"/>
        <family val="0"/>
        <charset val="1"/>
      </rPr>
      <t xml:space="preserve">4–130 B</t>
    </r>
    <r>
      <rPr>
        <sz val="10"/>
        <color rgb="FF000000"/>
        <rFont val="Noto Sans CJK SC"/>
        <family val="2"/>
      </rPr>
      <t xml:space="preserve">（全 </t>
    </r>
    <r>
      <rPr>
        <sz val="10"/>
        <color rgb="FF000000"/>
        <rFont val="Arial"/>
        <family val="0"/>
        <charset val="1"/>
      </rPr>
      <t xml:space="preserve">HCA 128× </t>
    </r>
    <r>
      <rPr>
        <sz val="10"/>
        <color rgb="FF000000"/>
        <rFont val="Noto Sans CJK SC"/>
        <family val="2"/>
      </rPr>
      <t xml:space="preserve">至全 </t>
    </r>
    <r>
      <rPr>
        <sz val="10"/>
        <color rgb="FF000000"/>
        <rFont val="Arial"/>
        <family val="0"/>
        <charset val="1"/>
      </rPr>
      <t xml:space="preserve">CSA 4× </t>
    </r>
    <r>
      <rPr>
        <sz val="10"/>
        <color rgb="FF000000"/>
        <rFont val="Noto Sans CJK SC"/>
        <family val="2"/>
      </rPr>
      <t xml:space="preserve">的每層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D3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E4</t>
    </r>
    <r>
      <rPr>
        <sz val="10"/>
        <color rgb="FF000000"/>
        <rFont val="Noto Sans CJK SC"/>
        <family val="2"/>
      </rPr>
      <t xml:space="preserve">：高 </t>
    </r>
    <r>
      <rPr>
        <sz val="10"/>
        <color rgb="FF000000"/>
        <rFont val="Arial"/>
        <family val="0"/>
        <charset val="1"/>
      </rPr>
      <t xml:space="preserve">130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bf16 KV</t>
    </r>
    <r>
      <rPr>
        <sz val="10"/>
        <color rgb="FF000000"/>
        <rFont val="Noto Sans CJK SC"/>
        <family val="2"/>
      </rPr>
      <t xml:space="preserve">、涵蓋 </t>
    </r>
    <r>
      <rPr>
        <sz val="10"/>
        <color rgb="FF000000"/>
        <rFont val="Arial"/>
        <family val="0"/>
        <charset val="1"/>
      </rPr>
      <t xml:space="preserve">indexer key </t>
    </r>
    <r>
      <rPr>
        <sz val="10"/>
        <color rgb="FF000000"/>
        <rFont val="Noto Sans CJK SC"/>
        <family val="2"/>
      </rPr>
      <t xml:space="preserve">情境；基準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不動）</t>
    </r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</si>
  <si>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bytes 65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推導值；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結構重算（只計壓縮 </t>
    </r>
    <r>
      <rPr>
        <sz val="10"/>
        <color rgb="FF000000"/>
        <rFont val="Arial"/>
        <family val="0"/>
        <charset val="1"/>
      </rPr>
      <t xml:space="preserve">KV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Flash 64.37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Pro 64.98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65 </t>
    </r>
    <r>
      <rPr>
        <sz val="10"/>
        <color rgb="FF000000"/>
        <rFont val="Noto Sans CJK SC"/>
        <family val="2"/>
      </rPr>
      <t xml:space="preserve">相差 </t>
    </r>
    <r>
      <rPr>
        <sz val="10"/>
        <color rgb="FF000000"/>
        <rFont val="Arial"/>
        <family val="0"/>
        <charset val="1"/>
      </rPr>
      <t xml:space="preserve">&lt;1.1%</t>
    </r>
    <r>
      <rPr>
        <sz val="10"/>
        <color rgb="FF000000"/>
        <rFont val="Noto Sans CJK SC"/>
        <family val="2"/>
      </rPr>
      <t xml:space="preserve">；計入 </t>
    </r>
    <r>
      <rPr>
        <sz val="10"/>
        <color rgb="FF000000"/>
        <rFont val="Arial"/>
        <family val="0"/>
        <charset val="1"/>
      </rPr>
      <t xml:space="preserve">indexer key 80.0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80.7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bf16 KV 128.7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130.0</t>
    </r>
    <r>
      <rPr>
        <sz val="10"/>
        <color rgb="FF000000"/>
        <rFont val="Noto Sans CJK SC"/>
        <family val="2"/>
      </rPr>
      <t xml:space="preserve">（參考程式預設 </t>
    </r>
    <r>
      <rPr>
        <sz val="10"/>
        <color rgb="FF000000"/>
        <rFont val="Arial"/>
        <family val="0"/>
        <charset val="1"/>
      </rPr>
      <t xml:space="preserve">dtype</t>
    </r>
    <r>
      <rPr>
        <sz val="10"/>
        <color rgb="FF000000"/>
        <rFont val="Noto Sans CJK SC"/>
        <family val="2"/>
      </rPr>
      <t xml:space="preserve">；生產精度未找到出處）</t>
    </r>
  </si>
  <si>
    <t xml:space="preserve">GM571</t>
  </si>
  <si>
    <t xml:space="preserve">可比（DeepSeek-V3 MLA 512＋64；Astra 為封閉前沿代理，不直接連結）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</si>
  <si>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每層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元素數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</si>
  <si>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GM572</t>
  </si>
  <si>
    <t xml:space="preserve">E36</t>
  </si>
  <si>
    <r>
      <rPr>
        <sz val="10"/>
        <color rgb="FF000000"/>
        <rFont val="Arial"/>
        <family val="0"/>
        <charset val="1"/>
      </rPr>
      <t xml:space="preserve">15%–50%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提議，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確認）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</si>
  <si>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混合注意力中 </t>
    </r>
    <r>
      <rPr>
        <sz val="10"/>
        <color rgb="FF000000"/>
        <rFont val="Arial"/>
        <family val="0"/>
        <charset val="1"/>
      </rPr>
      <t xml:space="preserve">MLA </t>
    </r>
    <r>
      <rPr>
        <sz val="10"/>
        <color rgb="FF000000"/>
        <rFont val="Noto Sans CJK SC"/>
        <family val="2"/>
      </rPr>
      <t xml:space="preserve">層比例（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26%</t>
    </r>
    <r>
      <rPr>
        <sz val="10"/>
        <color rgb="FF000000"/>
        <rFont val="Noto Sans CJK SC"/>
        <family val="2"/>
      </rPr>
      <t xml:space="preserve">，原註「類 </t>
    </r>
    <r>
      <rPr>
        <sz val="10"/>
        <color rgb="FF000000"/>
        <rFont val="Arial"/>
        <family val="0"/>
        <charset val="1"/>
      </rPr>
      <t xml:space="preserve">K3</t>
    </r>
    <r>
      <rPr>
        <sz val="10"/>
        <color rgb="FF000000"/>
        <rFont val="Noto Sans CJK SC"/>
        <family val="2"/>
      </rPr>
      <t xml:space="preserve">」）</t>
    </r>
  </si>
  <si>
    <t xml:space="preserve">GM573</t>
  </si>
  <si>
    <t xml:space="preserve">E37</t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</si>
  <si>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GQA KV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GQA-8 </t>
    </r>
    <r>
      <rPr>
        <sz val="10"/>
        <color rgb="FF000000"/>
        <rFont val="Noto Sans CJK SC"/>
        <family val="2"/>
      </rPr>
      <t xml:space="preserve">為情境定義）</t>
    </r>
  </si>
  <si>
    <t xml:space="preserve">GM574</t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</si>
  <si>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每元素 </t>
    </r>
    <r>
      <rPr>
        <sz val="10"/>
        <color rgb="FF000000"/>
        <rFont val="Arial"/>
        <family val="0"/>
        <charset val="1"/>
      </rPr>
      <t xml:space="preserve">1 byte</t>
    </r>
    <r>
      <rPr>
        <sz val="10"/>
        <color rgb="FF000000"/>
        <rFont val="Noto Sans CJK SC"/>
        <family val="2"/>
      </rPr>
      <t xml:space="preserve">；連結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</si>
  <si>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GM575</t>
  </si>
  <si>
    <t xml:space="preserve">切片三（v5.15 Block 6）</t>
  </si>
  <si>
    <t xml:space="preserve">Alloc_In</t>
  </si>
  <si>
    <t xml:space="preserve">A8</t>
  </si>
  <si>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：建「實驗室」選擇器，只放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一組；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待來源查核後加入</t>
    </r>
  </si>
  <si>
    <t xml:space="preserve">GM576</t>
  </si>
  <si>
    <t xml:space="preserve">家族計畫數 N_major（個／年）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</si>
  <si>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</si>
  <si>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GM577</t>
  </si>
  <si>
    <t xml:space="preserve">D6:E6</t>
  </si>
  <si>
    <r>
      <rPr>
        <sz val="10"/>
        <color rgb="FF000000"/>
        <rFont val="Arial"/>
        <family val="0"/>
        <charset val="1"/>
      </rPr>
      <t xml:space="preserve">C6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</si>
  <si>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驅動表：前沿實驗室每年約 </t>
    </r>
    <r>
      <rPr>
        <sz val="10"/>
        <color rgb="FF000000"/>
        <rFont val="Arial"/>
        <family val="0"/>
        <charset val="1"/>
      </rPr>
      <t xml:space="preserve">1–2 </t>
    </r>
    <r>
      <rPr>
        <sz val="10"/>
        <color rgb="FF000000"/>
        <rFont val="Noto Sans CJK SC"/>
        <family val="2"/>
      </rPr>
      <t xml:space="preserve">個旗艦家族（基準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</si>
  <si>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GM578</t>
  </si>
  <si>
    <t xml:space="preserve">改版計畫數 N_refresh（個／年）</t>
  </si>
  <si>
    <r>
      <rPr>
        <sz val="10"/>
        <color rgb="FF000000"/>
        <rFont val="Arial"/>
        <family val="0"/>
        <charset val="1"/>
      </rPr>
      <t xml:space="preserve">0–6</t>
    </r>
    <r>
      <rPr>
        <sz val="10"/>
        <color rgb="FF000000"/>
        <rFont val="Noto Sans CJK SC"/>
        <family val="2"/>
      </rPr>
      <t xml:space="preserve">（上限依 </t>
    </r>
    <r>
      <rPr>
        <sz val="10"/>
        <color rgb="FF000000"/>
        <rFont val="Arial"/>
        <family val="0"/>
        <charset val="1"/>
      </rPr>
      <t xml:space="preserve">GPT-5.x </t>
    </r>
    <r>
      <rPr>
        <sz val="10"/>
        <color rgb="FF000000"/>
        <rFont val="Noto Sans CJK SC"/>
        <family val="2"/>
      </rPr>
      <t xml:space="preserve">點版本節奏，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</si>
  <si>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45.0%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+45.0%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v5.20 X3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齊備（</t>
    </r>
    <r>
      <rPr>
        <sz val="10"/>
        <color rgb="FF000000"/>
        <rFont val="Arial"/>
        <family val="0"/>
        <charset val="1"/>
      </rPr>
      <t xml:space="preserve">DB_Evidence E241</t>
    </r>
    <r>
      <rPr>
        <sz val="10"/>
        <color rgb="FF000000"/>
        <rFont val="Noto Sans CJK SC"/>
        <family val="2"/>
      </rPr>
      <t xml:space="preserve">；摘要級）；區間上限 </t>
    </r>
    <r>
      <rPr>
        <sz val="10"/>
        <color rgb="FF000000"/>
        <rFont val="Arial"/>
        <family val="0"/>
        <charset val="1"/>
      </rPr>
      <t xml:space="preserve">4→6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</si>
  <si>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GM579</t>
  </si>
  <si>
    <t xml:space="preserve">D7:E7</t>
  </si>
  <si>
    <r>
      <rPr>
        <sz val="10"/>
        <color rgb="FF000000"/>
        <rFont val="Arial"/>
        <family val="0"/>
        <charset val="1"/>
      </rPr>
      <t xml:space="preserve">C7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</si>
  <si>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：改版計畫計入（基準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0–4</t>
    </r>
    <r>
      <rPr>
        <sz val="10"/>
        <color rgb="FF000000"/>
        <rFont val="Noto Sans CJK SC"/>
        <family val="2"/>
      </rPr>
      <t xml:space="preserve">）</t>
    </r>
  </si>
  <si>
    <t xml:space="preserve">GM580</t>
  </si>
  <si>
    <t xml:space="preserve">計畫規模倍數 k（相對 Block 3）</t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</si>
  <si>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v5.27 X13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E254</t>
    </r>
    <r>
      <rPr>
        <sz val="10"/>
        <color rgb="FF000000"/>
        <rFont val="Noto Sans CJK SC"/>
        <family val="2"/>
      </rPr>
      <t xml:space="preserve">；基準不改，比值口徑</t>
    </r>
  </si>
  <si>
    <t xml:space="preserve">GM581</t>
  </si>
  <si>
    <t xml:space="preserve">D8:E8</t>
  </si>
  <si>
    <r>
      <rPr>
        <sz val="10"/>
        <color rgb="FF000000"/>
        <rFont val="Arial"/>
        <family val="0"/>
        <charset val="1"/>
      </rPr>
      <t xml:space="preserve">C8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</si>
  <si>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A3</t>
    </r>
    <r>
      <rPr>
        <sz val="10"/>
        <color rgb="FF000000"/>
        <rFont val="Noto Sans CJK SC"/>
        <family val="2"/>
      </rPr>
      <t xml:space="preserve">：不以 </t>
    </r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，校準值只反推隱含 </t>
    </r>
    <r>
      <rPr>
        <sz val="10"/>
        <color rgb="FF000000"/>
        <rFont val="Arial"/>
        <family val="0"/>
        <charset val="1"/>
      </rPr>
      <t xml:space="preserve">N × k </t>
    </r>
    <r>
      <rPr>
        <sz val="10"/>
        <color rgb="FF000000"/>
        <rFont val="Noto Sans CJK SC"/>
        <family val="2"/>
      </rPr>
      <t xml:space="preserve">並列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落差（區間 </t>
    </r>
    <r>
      <rPr>
        <sz val="10"/>
        <color rgb="FF000000"/>
        <rFont val="Arial"/>
        <family val="0"/>
        <charset val="1"/>
      </rPr>
      <t xml:space="preserve">0.5–7</t>
    </r>
    <r>
      <rPr>
        <sz val="10"/>
        <color rgb="FF000000"/>
        <rFont val="Noto Sans CJK SC"/>
        <family val="2"/>
      </rPr>
      <t xml:space="preserve">）</t>
    </r>
  </si>
  <si>
    <t xml:space="preserve">GM582</t>
  </si>
  <si>
    <t xml:space="preserve">機隊年成長率 g</t>
  </si>
  <si>
    <r>
      <rPr>
        <sz val="10"/>
        <color rgb="FF000000"/>
        <rFont val="Arial"/>
        <family val="0"/>
        <charset val="1"/>
      </rPr>
      <t xml:space="preserve">A6</t>
    </r>
    <r>
      <rPr>
        <sz val="10"/>
        <color rgb="FF000000"/>
        <rFont val="Noto Sans CJK SC"/>
        <family val="2"/>
      </rPr>
      <t xml:space="preserve">：成長只作情境；基準為穩態年度（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）；成長情境下研發計畫依未來需求定規模</t>
    </r>
  </si>
  <si>
    <t xml:space="preserve">GM583</t>
  </si>
  <si>
    <t xml:space="preserve">GM584</t>
  </si>
  <si>
    <t xml:space="preserve">SRC_DEM_010</t>
  </si>
  <si>
    <t xml:space="preserve">換算（時點值→全年平均）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</si>
  <si>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｜補充旗標（</t>
    </r>
    <r>
      <rPr>
        <sz val="10"/>
        <color rgb="FF000000"/>
        <rFont val="Arial"/>
        <family val="0"/>
        <charset val="1"/>
      </rPr>
      <t xml:space="preserve">IF </t>
    </r>
    <r>
      <rPr>
        <sz val="10"/>
        <color rgb="FF000000"/>
        <rFont val="Noto Sans CJK SC"/>
        <family val="2"/>
      </rPr>
      <t xml:space="preserve">全欄分段，非分段依據）：高</t>
    </r>
  </si>
  <si>
    <t xml:space="preserve">GM585</t>
  </si>
  <si>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處理量為 </t>
    </r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時點值，乘全年平均比例換成全年平均（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</si>
  <si>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GM586</t>
  </si>
  <si>
    <t xml:space="preserve">每則提示 token 數</t>
  </si>
  <si>
    <t xml:space="preserve">SRC_DEM_012</t>
  </si>
  <si>
    <t xml:space="preserve">換算（每日提示數 × 每則 token；2025-07 視同全年平均）</t>
  </si>
  <si>
    <r>
      <rPr>
        <sz val="10"/>
        <color rgb="FF000000"/>
        <rFont val="Arial"/>
        <family val="0"/>
        <charset val="1"/>
      </rPr>
      <t xml:space="preserve">2,000–11,000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：下限 </t>
    </r>
    <r>
      <rPr>
        <sz val="10"/>
        <color rgb="FF000000"/>
        <rFont val="Arial"/>
        <family val="0"/>
        <charset val="1"/>
      </rPr>
      <t xml:space="preserve">Robonomics </t>
    </r>
    <r>
      <rPr>
        <sz val="10"/>
        <color rgb="FF000000"/>
        <rFont val="Noto Sans CJK SC"/>
        <family val="2"/>
      </rPr>
      <t xml:space="preserve">假設上緣（</t>
    </r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），上限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取整；原上限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 </t>
    </r>
    <r>
      <rPr>
        <sz val="10"/>
        <color rgb="FF000000"/>
        <rFont val="Arial"/>
        <family val="0"/>
        <charset val="1"/>
      </rPr>
      <t xml:space="preserve">6,400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</si>
  <si>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v5.19 X2 </t>
    </r>
    <r>
      <rPr>
        <sz val="10"/>
        <color rgb="FF000000"/>
        <rFont val="Noto Sans CJK SC"/>
        <family val="2"/>
      </rPr>
      <t xml:space="preserve">升段：單變數擺動 −</t>
    </r>
    <r>
      <rPr>
        <sz val="10"/>
        <color rgb="FF000000"/>
        <rFont val="Arial"/>
        <family val="0"/>
        <charset val="1"/>
      </rPr>
      <t xml:space="preserve">15.1%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+60.2%</t>
    </r>
    <r>
      <rPr>
        <sz val="10"/>
        <color rgb="FF000000"/>
        <rFont val="Noto Sans CJK SC"/>
        <family val="2"/>
      </rPr>
      <t xml:space="preserve">（低／高端；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端掃描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v5.29 X14 (l)</t>
    </r>
    <r>
      <rPr>
        <sz val="10"/>
        <color rgb="FF000000"/>
        <rFont val="Noto Sans CJK SC"/>
        <family val="2"/>
      </rPr>
      <t xml:space="preserve">：基準 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2,000 → 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L1_GapPrompt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為分母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</si>
  <si>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GM587</t>
  </si>
  <si>
    <r>
      <rPr>
        <sz val="10"/>
        <color rgb="FF000000"/>
        <rFont val="Arial"/>
        <family val="0"/>
        <charset val="1"/>
      </rPr>
      <t xml:space="preserve">A10</t>
    </r>
    <r>
      <rPr>
        <sz val="10"/>
        <color rgb="FF000000"/>
        <rFont val="Noto Sans CJK SC"/>
        <family val="2"/>
      </rPr>
      <t xml:space="preserve">：含輸入、上下文、推理與輸出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6,000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端依推理模型與長對話酌定，沒有直接來源；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最弱輸入。</t>
    </r>
    <r>
      <rPr>
        <sz val="10"/>
        <color rgb="FF000000"/>
        <rFont val="Arial"/>
        <family val="0"/>
        <charset val="1"/>
      </rPr>
      <t xml:space="preserve">A9 </t>
    </r>
    <r>
      <rPr>
        <sz val="10"/>
        <color rgb="FF000000"/>
        <rFont val="Noto Sans CJK SC"/>
        <family val="2"/>
      </rPr>
      <t xml:space="preserve">年化：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每日提示數為年中時點值，在年內近似線性成長下約等於全年平均，因此直接視同全年平均，不另設輸入（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 J9</t>
    </r>
    <r>
      <rPr>
        <sz val="10"/>
        <color rgb="FF000000"/>
        <rFont val="Noto Sans CJK SC"/>
        <family val="2"/>
      </rPr>
      <t xml:space="preserve">：高端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取整；基準與低端不改；不拆成多個輸入）</t>
    </r>
  </si>
  <si>
    <t xml:space="preserve">GM588</t>
  </si>
  <si>
    <t xml:space="preserve">外部對照（免費推論支出占比，支出口徑）</t>
  </si>
  <si>
    <t xml:space="preserve">新增；以 L1 外部對照（免費服務算力占比對 SRC_DEM_005 ÷ SRC_DEM_004）檢查 ｜補充旗標（IF 全欄分段，非分段依據）：中</t>
  </si>
  <si>
    <t xml:space="preserve">GM589</t>
  </si>
  <si>
    <t xml:space="preserve">D16:E16</t>
  </si>
  <si>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的低、高端點</t>
    </r>
  </si>
  <si>
    <t xml:space="preserve">新增；以 L1 外部對照（免費服務算力占比對 SRC_DEM_005 ÷ SRC_DEM_004）檢查</t>
  </si>
  <si>
    <t xml:space="preserve">GM590</t>
  </si>
  <si>
    <t xml:space="preserve">C9:C12</t>
  </si>
  <si>
    <t xml:space="preserve">服務世代組合（Hopper／GB200／GB300／VR200）</t>
  </si>
  <si>
    <t xml:space="preserve">基準 0.6／0.4／0／0（不變）；區間見 D9:E12；各 0–100%，合計 100%（Checks H1）</t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</si>
  <si>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；補充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 </t>
    </r>
    <r>
      <rPr>
        <sz val="10"/>
        <color rgb="FF000000"/>
        <rFont val="Arial"/>
        <family val="0"/>
        <charset val="1"/>
      </rPr>
      <t xml:space="preserve">Hopper 60%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40%</t>
    </r>
    <r>
      <rPr>
        <sz val="10"/>
        <color rgb="FF000000"/>
        <rFont val="Noto Sans CJK SC"/>
        <family val="2"/>
      </rPr>
      <t xml:space="preserve">）；四者合計須為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。保留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實際機隊選項；基準定義待 </t>
    </r>
    <r>
      <rPr>
        <sz val="10"/>
        <color rgb="FF000000"/>
        <rFont val="Arial"/>
        <family val="0"/>
        <charset val="1"/>
      </rPr>
      <t xml:space="preserve">v0.6 </t>
    </r>
    <r>
      <rPr>
        <sz val="10"/>
        <color rgb="FF000000"/>
        <rFont val="Noto Sans CJK SC"/>
        <family val="2"/>
      </rPr>
      <t xml:space="preserve">討論 ｜</t>
    </r>
    <r>
      <rPr>
        <sz val="10"/>
        <color rgb="FF000000"/>
        <rFont val="Arial"/>
        <family val="0"/>
        <charset val="1"/>
      </rPr>
      <t xml:space="preserve">v5.33 J8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基準年實際組合改為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情境轉為基準；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）；低／高區間不改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推導）；基準值不變</t>
    </r>
  </si>
  <si>
    <t xml:space="preserve">GM591</t>
  </si>
  <si>
    <t xml:space="preserve">D9:E12</t>
  </si>
  <si>
    <r>
      <rPr>
        <sz val="10"/>
        <color rgb="FF000000"/>
        <rFont val="Arial"/>
        <family val="0"/>
        <charset val="1"/>
      </rPr>
      <t xml:space="preserve">C9:C12 </t>
    </r>
    <r>
      <rPr>
        <sz val="10"/>
        <color rgb="FF000000"/>
        <rFont val="Noto Sans CJK SC"/>
        <family val="2"/>
      </rPr>
      <t xml:space="preserve">的低、高端點：</t>
    </r>
    <r>
      <rPr>
        <sz val="10"/>
        <color rgb="FF000000"/>
        <rFont val="Arial"/>
        <family val="0"/>
        <charset val="1"/>
      </rPr>
      <t xml:space="preserve">Hopper 50–70%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25–40%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0–10%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全年平均；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</si>
  <si>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8f </t>
    </r>
    <r>
      <rPr>
        <sz val="10"/>
        <color rgb="FF000000"/>
        <rFont val="Noto Sans CJK SC"/>
        <family val="2"/>
      </rPr>
      <t xml:space="preserve">驅動表：服務機隊的世代組合 ｜</t>
    </r>
    <r>
      <rPr>
        <sz val="10"/>
        <color rgb="FF000000"/>
        <rFont val="Arial"/>
        <family val="0"/>
        <charset val="1"/>
      </rPr>
      <t xml:space="preserve">v6.1 D3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AF3B-D3</t>
    </r>
    <r>
      <rPr>
        <sz val="10"/>
        <color rgb="FF000000"/>
        <rFont val="Noto Sans CJK SC"/>
        <family val="2"/>
      </rPr>
      <t xml:space="preserve">）：低／高改為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全年平均區間；年底組合 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為敏感度（情境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）；無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</t>
    </r>
  </si>
  <si>
    <t xml:space="preserve">GM592</t>
  </si>
  <si>
    <t xml:space="preserve">切片三（v5.19 X1）</t>
  </si>
  <si>
    <t xml:space="preserve">並列輸出用生產折減（CTL_ProdDerate）</t>
  </si>
  <si>
    <t xml:space="preserve">區間 0.7–1.0（C18 區間的中點；v6.1 D13：暫定、待證據）</t>
  </si>
  <si>
    <r>
      <rPr>
        <sz val="10"/>
        <color rgb="FF000000"/>
        <rFont val="Arial"/>
        <family val="0"/>
        <charset val="1"/>
      </rPr>
      <t xml:space="preserve">X1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區間中點；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）：標記 情境值 →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（區間中點為假設）；暫定、待證據；同時作為 </t>
    </r>
    <r>
      <rPr>
        <sz val="10"/>
        <color rgb="FF000000"/>
        <rFont val="Arial"/>
        <family val="0"/>
        <charset val="1"/>
      </rPr>
      <t xml:space="preserve">Alloc_In C24 </t>
    </r>
    <r>
      <rPr>
        <sz val="10"/>
        <color rgb="FF000000"/>
        <rFont val="Noto Sans CJK SC"/>
        <family val="2"/>
      </rPr>
      <t xml:space="preserve">純利用率的生產折減 ｜</t>
    </r>
    <r>
      <rPr>
        <sz val="10"/>
        <color rgb="FF000000"/>
        <rFont val="Arial"/>
        <family val="0"/>
        <charset val="1"/>
      </rPr>
      <t xml:space="preserve">v7.0 J3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AF2c-J3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C28 </t>
    </r>
    <r>
      <rPr>
        <sz val="10"/>
        <color rgb="FF000000"/>
        <rFont val="Noto Sans CJK SC"/>
        <family val="2"/>
      </rPr>
      <t xml:space="preserve">是生產折減的唯一入口；</t>
    </r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改以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驅動</t>
    </r>
  </si>
  <si>
    <t xml:space="preserve">GM593</t>
  </si>
  <si>
    <t xml:space="preserve">切片三（v5.22 X7）</t>
  </si>
  <si>
    <t xml:space="preserve">C63</t>
  </si>
  <si>
    <t xml:space="preserve">壽命期價格係數 L（X7；CTL_PriceLife）</t>
  </si>
  <si>
    <t xml:space="preserve">區間 0.3–1.0（Andy 2026-10-06，X7；C1）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</si>
  <si>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＝不跌價（模型現行假設）；下端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以短缺高峰為起點的第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年比值；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證據見 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（類比區間 </t>
    </r>
    <r>
      <rPr>
        <sz val="10"/>
        <color rgb="FF000000"/>
        <rFont val="Arial"/>
        <family val="0"/>
        <charset val="1"/>
      </rPr>
      <t xml:space="preserve">0.42–0.70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</t>
    </r>
  </si>
  <si>
    <t xml:space="preserve">GM594</t>
  </si>
  <si>
    <t xml:space="preserve">C64</t>
  </si>
  <si>
    <t xml:space="preserve">變現率 m（X7；CTL_Monetize）</t>
  </si>
  <si>
    <r>
      <rPr>
        <sz val="10"/>
        <color rgb="FF000000"/>
        <rFont val="Arial"/>
        <family val="0"/>
        <charset val="1"/>
      </rPr>
      <t xml:space="preserve">X7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；無實證（缺每位付費用戶年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消耗量）；上端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＝模型現行假設 ｜</t>
    </r>
    <r>
      <rPr>
        <sz val="10"/>
        <color rgb="FF000000"/>
        <rFont val="Arial"/>
        <family val="0"/>
        <charset val="1"/>
      </rPr>
      <t xml:space="preserve">v5.29</t>
    </r>
    <r>
      <rPr>
        <sz val="10"/>
        <color rgb="FF000000"/>
        <rFont val="Noto Sans CJK SC"/>
        <family val="2"/>
      </rPr>
      <t xml:space="preserve">：進 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段：可信證據多在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，方向偏高估；基準暫不改（</t>
    </r>
    <r>
      <rPr>
        <sz val="10"/>
        <color rgb="FF000000"/>
        <rFont val="Arial"/>
        <family val="0"/>
        <charset val="1"/>
      </rPr>
      <t xml:space="preserve">J1 (a′)</t>
    </r>
    <r>
      <rPr>
        <sz val="10"/>
        <color rgb="FF000000"/>
        <rFont val="Noto Sans CJK SC"/>
        <family val="2"/>
      </rPr>
      <t xml:space="preserve">），以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 </t>
    </r>
    <r>
      <rPr>
        <sz val="10"/>
        <color rgb="FF000000"/>
        <rFont val="Noto Sans CJK SC"/>
        <family val="2"/>
      </rPr>
      <t xml:space="preserve">追蹤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：機隊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點估計約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組合）、下限約 </t>
    </r>
    <r>
      <rPr>
        <sz val="10"/>
        <color rgb="FF000000"/>
        <rFont val="Arial"/>
        <family val="0"/>
        <charset val="1"/>
      </rPr>
      <t xml:space="preserve">0.56</t>
    </r>
    <r>
      <rPr>
        <sz val="10"/>
        <color rgb="FF000000"/>
        <rFont val="Noto Sans CJK SC"/>
        <family val="2"/>
      </rPr>
      <t xml:space="preserve">；需求路線 </t>
    </r>
    <r>
      <rPr>
        <sz val="10"/>
        <color rgb="FF000000"/>
        <rFont val="Arial"/>
        <family val="0"/>
        <charset val="1"/>
      </rPr>
      <t xml:space="preserve">m &gt; 1 </t>
    </r>
    <r>
      <rPr>
        <sz val="10"/>
        <color rgb="FF000000"/>
        <rFont val="Noto Sans CJK SC"/>
        <family val="2"/>
      </rPr>
      <t xml:space="preserve">不是分母偏低的證據；基準暫不改</t>
    </r>
  </si>
  <si>
    <t xml:space="preserve">GM595</t>
  </si>
  <si>
    <t xml:space="preserve">切片三（v5.23 X10）</t>
  </si>
  <si>
    <t xml:space="preserve">F156</t>
  </si>
  <si>
    <t xml:space="preserve">批次口徑 η_d 倍數（X10；CAL_BatchEtaD）</t>
  </si>
  <si>
    <t xml:space="preserve">SRC_PERF_056</t>
  </si>
  <si>
    <t xml:space="preserve">換算（MLPerf v6.1 DeepSeek-R1 Offline VR200÷GB300 每 GPU：Nebius 1.62＝SRC_PERF_052÷054、NVIDIA 1.74＝SRC_PERF_056÷058；÷ 模型高批次比值 2.33＝0.70–0.75，基準取上端 0.75；Server 1.96–1.97＝SRC_PERF_053÷055、057÷059；Gov_Map SRC_ID 欄只放一個 ID，取對應基準的 056）</t>
  </si>
  <si>
    <t xml:space="preserve">X10</t>
  </si>
  <si>
    <t xml:space="preserve">區間 0.70–1.0（Andy 2026-10-07，X10；上端 1.0＝v5.22 現值）</t>
  </si>
  <si>
    <r>
      <rPr>
        <sz val="10"/>
        <color rgb="FF000000"/>
        <rFont val="Arial"/>
        <family val="0"/>
        <charset val="1"/>
      </rPr>
      <t xml:space="preserve">X10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口徑 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）；兩提交者互為第二來源（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（服務側）不動 ｜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清單輸出的單變數擺動（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）最大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），未達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，故不升高段（中）</t>
    </r>
  </si>
  <si>
    <t xml:space="preserve">GM596</t>
  </si>
  <si>
    <t xml:space="preserve">切片三（v5.29 X14 (m)）</t>
  </si>
  <si>
    <t xml:space="preserve">推論支出 ÷ 持有成本（計價倍數；含供應商利潤與資本回收）</t>
  </si>
  <si>
    <t xml:space="preserve">X14m</t>
  </si>
  <si>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：經濟口徑，</t>
    </r>
    <r>
      <rPr>
        <sz val="10"/>
        <color rgb="FF000000"/>
        <rFont val="Arial"/>
        <family val="0"/>
        <charset val="1"/>
      </rPr>
      <t xml:space="preserve">1.16 × 0.73 ≈ 0.85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1.0–1.6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</si>
  <si>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的實質命題）；標記 </t>
    </r>
    <r>
      <rPr>
        <sz val="10"/>
        <color rgb="FF000000"/>
        <rFont val="Arial"/>
        <family val="0"/>
        <charset val="1"/>
      </rPr>
      <t xml:space="preserve">Assumed → Derived</t>
    </r>
  </si>
  <si>
    <t xml:space="preserve">GM597</t>
  </si>
  <si>
    <t xml:space="preserve">D23:E23</t>
  </si>
  <si>
    <r>
      <rPr>
        <sz val="10"/>
        <color rgb="FF000000"/>
        <rFont val="Arial"/>
        <family val="0"/>
        <charset val="1"/>
      </rPr>
      <t xml:space="preserve">C23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</si>
  <si>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：支出路線的推論支出為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計價（含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利潤與資本回收），對持有成本口徑的倍數無公開數字；已搜尋未找到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實付單價 ｜</t>
    </r>
    <r>
      <rPr>
        <sz val="10"/>
        <color rgb="FF000000"/>
        <rFont val="Arial"/>
        <family val="0"/>
        <charset val="1"/>
      </rPr>
      <t xml:space="preserve">v5.36 B2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X46</t>
    </r>
    <r>
      <rPr>
        <sz val="10"/>
        <color rgb="FF000000"/>
        <rFont val="Noto Sans CJK SC"/>
        <family val="2"/>
      </rPr>
      <t xml:space="preserve">）：基準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內部文件；二手，</t>
    </r>
    <r>
      <rPr>
        <sz val="10"/>
        <color rgb="FF000000"/>
        <rFont val="Arial"/>
        <family val="0"/>
        <charset val="1"/>
      </rPr>
      <t xml:space="preserve">E365</t>
    </r>
    <r>
      <rPr>
        <sz val="10"/>
        <color rgb="FF000000"/>
        <rFont val="Noto Sans CJK SC"/>
        <family val="2"/>
      </rPr>
      <t xml:space="preserve">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÷ (1 − 0.14)</t>
    </r>
    <r>
      <rPr>
        <sz val="10"/>
        <color rgb="FF000000"/>
        <rFont val="Noto Sans CJK SC"/>
        <family val="2"/>
      </rPr>
      <t xml:space="preserve">），毛利率成本含折舊與營運、不含資本成本，故此倍數為早期 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的上限讀法；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的計價未找到，高端保留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v5.36 r0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AF3B-D10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0.73–1.17</t>
    </r>
    <r>
      <rPr>
        <sz val="10"/>
        <color rgb="FF000000"/>
        <rFont val="Noto Sans CJK SC"/>
        <family val="2"/>
      </rPr>
      <t xml:space="preserve">（經濟口徑）</t>
    </r>
  </si>
  <si>
    <t xml:space="preserve">GM598</t>
  </si>
  <si>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：純利用率；上端 </t>
    </r>
    <r>
      <rPr>
        <sz val="10"/>
        <color rgb="FF000000"/>
        <rFont val="Arial"/>
        <family val="0"/>
        <charset val="1"/>
      </rPr>
      <t xml:space="preserve">DeepSeek 2025-02 </t>
    </r>
    <r>
      <rPr>
        <sz val="10"/>
        <color rgb="FF000000"/>
        <rFont val="Noto Sans CJK SC"/>
        <family val="2"/>
      </rPr>
      <t xml:space="preserve">單一模型代理值 </t>
    </r>
    <r>
      <rPr>
        <sz val="10"/>
        <color rgb="FF000000"/>
        <rFont val="Arial"/>
        <family val="0"/>
        <charset val="1"/>
      </rPr>
      <t xml:space="preserve">0.54–0.65</t>
    </r>
    <r>
      <rPr>
        <sz val="10"/>
        <color rgb="FF000000"/>
        <rFont val="Noto Sans CJK SC"/>
        <family val="2"/>
      </rPr>
      <t xml:space="preserve">；暫定、待證據）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</si>
  <si>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落差分解列，不進任何 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輸出 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（＝原 </t>
    </r>
    <r>
      <rPr>
        <sz val="10"/>
        <color rgb="FF000000"/>
        <rFont val="Arial"/>
        <family val="0"/>
        <charset val="1"/>
      </rPr>
      <t xml:space="preserve">0.35 ÷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），區間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；生產折減由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在消費端（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列）乘入；暫定、待證據</t>
    </r>
  </si>
  <si>
    <t xml:space="preserve">GM599</t>
  </si>
  <si>
    <t xml:space="preserve">D24:E24</t>
  </si>
  <si>
    <r>
      <rPr>
        <sz val="10"/>
        <color rgb="FF000000"/>
        <rFont val="Arial"/>
        <family val="0"/>
        <charset val="1"/>
      </rPr>
      <t xml:space="preserve">C24 </t>
    </r>
    <r>
      <rPr>
        <sz val="10"/>
        <color rgb="FF000000"/>
        <rFont val="Noto Sans CJK SC"/>
        <family val="2"/>
      </rPr>
      <t xml:space="preserve">的低、高端點</t>
    </r>
  </si>
  <si>
    <r>
      <rPr>
        <sz val="10"/>
        <color rgb="FF000000"/>
        <rFont val="Arial"/>
        <family val="0"/>
        <charset val="1"/>
      </rPr>
      <t xml:space="preserve">X14 (m)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E262</t>
    </r>
    <r>
      <rPr>
        <sz val="10"/>
        <color rgb="FF000000"/>
        <rFont val="Noto Sans CJK SC"/>
        <family val="2"/>
      </rPr>
      <t xml:space="preserve">：實際利用率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生產折減低於模型的 </t>
    </r>
    <r>
      <rPr>
        <sz val="10"/>
        <color rgb="FF000000"/>
        <rFont val="Arial"/>
        <family val="0"/>
        <charset val="1"/>
      </rPr>
      <t xml:space="preserve">IF_Util × 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 × 0.85</t>
    </r>
    <r>
      <rPr>
        <sz val="10"/>
        <color rgb="FF000000"/>
        <rFont val="Noto Sans CJK SC"/>
        <family val="2"/>
      </rPr>
      <t xml:space="preserve">）；無直接證據，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v6.1 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）：區間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（純利用率）</t>
    </r>
  </si>
  <si>
    <t xml:space="preserve">GM600</t>
  </si>
  <si>
    <t xml:space="preserve">每則提示 token 數 v5.28 基準（常數，落差分解分母；CST_TokPerPromptV528）</t>
  </si>
  <si>
    <t xml:space="preserve">固定常數（v5.28 基準值 2,000；不隨區間變動）</t>
  </si>
  <si>
    <r>
      <rPr>
        <sz val="10"/>
        <color rgb="FF000000"/>
        <rFont val="Arial"/>
        <family val="0"/>
        <charset val="1"/>
      </rPr>
      <t xml:space="preserve">X14 (l)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(m)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＝新每則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÷ v5.28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；分母固定，使落差分解可逐項驗證</t>
    </r>
  </si>
  <si>
    <t xml:space="preserve">GM601</t>
  </si>
  <si>
    <t xml:space="preserve">切片一（v5.31 X17／X18）</t>
  </si>
  <si>
    <t xml:space="preserve">SRC_DC_015</t>
  </si>
  <si>
    <t xml:space="preserve">X18</t>
  </si>
  <si>
    <t xml:space="preserve">單值（低、高欄＝基準）</t>
  </si>
  <si>
    <t xml:space="preserve">連結 SRC（G1）；v5.31 X18：HPE GB300 NVL72 QuickSpecs（2026-09-08）3 年零件、3 年人工、3 年到場（SRC_DC_015）；Supermicro GPU 系統人工 3 年、零件 1 年（SRC_DC_016；零件 1 年由保固期內高情境 1% 涵蓋）；Dell XE9680 經銷頁 3 年 ProSupport。單值（低、高＝基準）</t>
  </si>
  <si>
    <t xml:space="preserve">GM602</t>
  </si>
  <si>
    <t xml:space="preserve">類比：保固期內零件與人工由原廠負擔（HPE 3 年）；CoreWeave Q2 反推約 0–0.8%（E276）</t>
  </si>
  <si>
    <r>
      <rPr>
        <sz val="10"/>
        <color rgb="FF000000"/>
        <rFont val="Arial"/>
        <family val="0"/>
        <charset val="1"/>
      </rPr>
      <t xml:space="preserve">0.25%–1%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</si>
  <si>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GM603</t>
  </si>
  <si>
    <t xml:space="preserve">D37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</si>
  <si>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的低端點</t>
    </r>
  </si>
  <si>
    <t xml:space="preserve">GM604</t>
  </si>
  <si>
    <t xml:space="preserve">F37</t>
  </si>
  <si>
    <r>
      <rPr>
        <sz val="10"/>
        <color rgb="FF000000"/>
        <rFont val="Arial"/>
        <family val="0"/>
        <charset val="1"/>
      </rPr>
      <t xml:space="preserve">E37 </t>
    </r>
    <r>
      <rPr>
        <sz val="10"/>
        <color rgb="FF000000"/>
        <rFont val="Noto Sans CJK SC"/>
        <family val="2"/>
      </rPr>
      <t xml:space="preserve">的高端點</t>
    </r>
  </si>
  <si>
    <t xml:space="preserve">GM605</t>
  </si>
  <si>
    <t xml:space="preserve">E38</t>
  </si>
  <si>
    <t xml:space="preserve">SRC_DC_017</t>
  </si>
  <si>
    <t xml:space="preserve">類比：NVIDIA DGX B200 續約 ≈ 3.8%／年（零售牌價）；Introl 5%（E275）</t>
  </si>
  <si>
    <r>
      <rPr>
        <sz val="10"/>
        <color rgb="FF000000"/>
        <rFont val="Arial"/>
        <family val="0"/>
        <charset val="1"/>
      </rPr>
      <t xml:space="preserve">2%–5%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段建議，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「不反對，請繼續」；可撤回）</t>
    </r>
  </si>
  <si>
    <t xml:space="preserve">GM606</t>
  </si>
  <si>
    <t xml:space="preserve">D38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</si>
  <si>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的低端點</t>
    </r>
  </si>
  <si>
    <t xml:space="preserve">GM607</t>
  </si>
  <si>
    <t xml:space="preserve">F38</t>
  </si>
  <si>
    <r>
      <rPr>
        <sz val="10"/>
        <color rgb="FF000000"/>
        <rFont val="Arial"/>
        <family val="0"/>
        <charset val="1"/>
      </rPr>
      <t xml:space="preserve">E38 </t>
    </r>
    <r>
      <rPr>
        <sz val="10"/>
        <color rgb="FF000000"/>
        <rFont val="Noto Sans CJK SC"/>
        <family val="2"/>
      </rPr>
      <t xml:space="preserve">的高端點</t>
    </r>
  </si>
  <si>
    <t xml:space="preserve">GM608</t>
  </si>
  <si>
    <t xml:space="preserve">切片三（v5.32 m 追蹤）</t>
  </si>
  <si>
    <t xml:space="preserve">E70</t>
  </si>
  <si>
    <t xml:space="preserve">訂閱占比（OpenAI 2025 營收中的消費訂閱）</t>
  </si>
  <si>
    <t xml:space="preserve">SRC_DEM_039</t>
  </si>
  <si>
    <t xml:space="preserve">類比：A 段 N10 區間上緣（E288）</t>
  </si>
  <si>
    <t xml:space="preserve">X21</t>
  </si>
  <si>
    <r>
      <rPr>
        <sz val="10"/>
        <color rgb="FF000000"/>
        <rFont val="Arial"/>
        <family val="0"/>
        <charset val="1"/>
      </rPr>
      <t xml:space="preserve">C70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高端端點；</t>
    </r>
    <r>
      <rPr>
        <sz val="10"/>
        <color rgb="FF000000"/>
        <rFont val="Arial"/>
        <family val="0"/>
        <charset val="1"/>
      </rPr>
      <t xml:space="preserve">0.61–0.82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</si>
  <si>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節：訂閱營收高端 </t>
    </r>
    <r>
      <rPr>
        <sz val="10"/>
        <color rgb="FF000000"/>
        <rFont val="Arial"/>
        <family val="0"/>
        <charset val="1"/>
      </rPr>
      <t xml:space="preserve">10.7 $B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13.07 × 82%</t>
    </r>
    <r>
      <rPr>
        <sz val="10"/>
        <color rgb="FF000000"/>
        <rFont val="Noto Sans CJK SC"/>
        <family val="2"/>
      </rPr>
      <t xml:space="preserve">；未能追溯到單一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（低端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0.70 </t>
    </r>
    <r>
      <rPr>
        <sz val="10"/>
        <color rgb="FF000000"/>
        <rFont val="Noto Sans CJK SC"/>
        <family val="2"/>
      </rPr>
      <t xml:space="preserve">已連結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）</t>
    </r>
  </si>
  <si>
    <t xml:space="preserve">GM609</t>
  </si>
  <si>
    <t xml:space="preserve">單值（A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</si>
  <si>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每日花費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每月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個活躍工作日；只用於程式代理對照列，不進合併</t>
    </r>
  </si>
  <si>
    <t xml:space="preserve">GM610</t>
  </si>
  <si>
    <t xml:space="preserve">程式代理訂閱方案月費（Claude Max 20x 列價；對照用）</t>
  </si>
  <si>
    <t xml:space="preserve">單值（方案列價，A 段對照 C）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</si>
  <si>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段對照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Max 20x </t>
    </r>
    <r>
      <rPr>
        <sz val="10"/>
        <color rgb="FF000000"/>
        <rFont val="Noto Sans CJK SC"/>
        <family val="2"/>
      </rPr>
      <t xml:space="preserve">月費列價 </t>
    </r>
    <r>
      <rPr>
        <sz val="10"/>
        <color rgb="FF000000"/>
        <rFont val="Arial"/>
        <family val="0"/>
        <charset val="1"/>
      </rPr>
      <t xml:space="preserve">$200</t>
    </r>
    <r>
      <rPr>
        <sz val="10"/>
        <color rgb="FF000000"/>
        <rFont val="Noto Sans CJK SC"/>
        <family val="2"/>
      </rPr>
      <t xml:space="preserve">；未另登錄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</si>
  <si>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GM611</t>
  </si>
  <si>
    <t xml:space="preserve">程式代理輸入占全部 token（Requesty 情境）</t>
  </si>
  <si>
    <t xml:space="preserve">單值（A 段第 4.2 節 Requesty 情境 995：5）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</si>
  <si>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節：程式代理輸入占 </t>
    </r>
    <r>
      <rPr>
        <sz val="10"/>
        <color rgb="FF000000"/>
        <rFont val="Arial"/>
        <family val="0"/>
        <charset val="1"/>
      </rPr>
      <t xml:space="preserve">99%+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情境取 </t>
    </r>
    <r>
      <rPr>
        <sz val="10"/>
        <color rgb="FF000000"/>
        <rFont val="Arial"/>
        <family val="0"/>
        <charset val="1"/>
      </rPr>
      <t xml:space="preserve">995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；只用於程式代理對照列</t>
    </r>
  </si>
  <si>
    <t xml:space="preserve">GM612</t>
  </si>
  <si>
    <t xml:space="preserve">切片三（v5.33 機隊口徑）</t>
  </si>
  <si>
    <t xml:space="preserve">C127</t>
  </si>
  <si>
    <t xml:space="preserve">非文字服務份額（圖像、語音、影片；只扣訂閱分子；J11 對照用）</t>
  </si>
  <si>
    <t xml:space="preserve">SRC_DEM_051</t>
  </si>
  <si>
    <t xml:space="preserve">類比：NBER 多媒體類訊息占比（E303）</t>
  </si>
  <si>
    <t xml:space="preserve">X31</t>
  </si>
  <si>
    <r>
      <rPr>
        <sz val="10"/>
        <color rgb="FF000000"/>
        <rFont val="Arial"/>
        <family val="0"/>
        <charset val="1"/>
      </rPr>
      <t xml:space="preserve">0.05–0.20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</si>
  <si>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J11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Assumed 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（唯一一手代理 </t>
    </r>
    <r>
      <rPr>
        <sz val="10"/>
        <color rgb="FF000000"/>
        <rFont val="Arial"/>
        <family val="0"/>
        <charset val="1"/>
      </rPr>
      <t xml:space="preserve">SRC_DEM_051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NBER </t>
    </r>
    <r>
      <rPr>
        <sz val="10"/>
        <color rgb="FF000000"/>
        <rFont val="Noto Sans CJK SC"/>
        <family val="2"/>
      </rPr>
      <t xml:space="preserve">多媒體類訊息 </t>
    </r>
    <r>
      <rPr>
        <sz val="10"/>
        <color rgb="FF000000"/>
        <rFont val="Arial"/>
        <family val="0"/>
        <charset val="1"/>
      </rPr>
      <t xml:space="preserve">7%</t>
    </r>
    <r>
      <rPr>
        <sz val="10"/>
        <color rgb="FF000000"/>
        <rFont val="Noto Sans CJK SC"/>
        <family val="2"/>
      </rPr>
      <t xml:space="preserve">，訊息口徑非營收口徑）；只從訂閱分子扣除、只作顯示，不進 </t>
    </r>
    <r>
      <rPr>
        <sz val="10"/>
        <color rgb="FF000000"/>
        <rFont val="Arial"/>
        <family val="0"/>
        <charset val="1"/>
      </rPr>
      <t xml:space="preserve">H1</t>
    </r>
    <r>
      <rPr>
        <sz val="10"/>
        <color rgb="FF000000"/>
        <rFont val="Noto Sans CJK SC"/>
        <family val="2"/>
      </rPr>
      <t xml:space="preserve">；要讓訂閱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降到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以下需 </t>
    </r>
    <r>
      <rPr>
        <sz val="10"/>
        <color rgb="FF000000"/>
        <rFont val="Arial"/>
        <family val="0"/>
        <charset val="1"/>
      </rPr>
      <t xml:space="preserve">69%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節）</t>
    </r>
  </si>
  <si>
    <t xml:space="preserve">GM613</t>
  </si>
  <si>
    <t xml:space="preserve">D127:E127</t>
  </si>
  <si>
    <r>
      <rPr>
        <sz val="10"/>
        <color rgb="FF000000"/>
        <rFont val="Arial"/>
        <family val="0"/>
        <charset val="1"/>
      </rPr>
      <t xml:space="preserve">C127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）端點</t>
    </r>
  </si>
  <si>
    <t xml:space="preserve">GM614</t>
  </si>
  <si>
    <t xml:space="preserve">切片三（v5.34 m 分拆）</t>
  </si>
  <si>
    <t xml:space="preserve">C131</t>
  </si>
  <si>
    <t xml:space="preserve">SRC_DEM_071</t>
  </si>
  <si>
    <t xml:space="preserve">對照：API 餘額 0.20 落在 Sacra 15–20%（E328）</t>
  </si>
  <si>
    <t xml:space="preserve">X38</t>
  </si>
  <si>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欄＝席次營收取低 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</si>
  <si>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營收三分，商用席次份額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</si>
  <si>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GM615</t>
  </si>
  <si>
    <t xml:space="preserve">D131:E131</t>
  </si>
  <si>
    <r>
      <rPr>
        <sz val="10"/>
        <color rgb="FF000000"/>
        <rFont val="Arial"/>
        <family val="0"/>
        <charset val="1"/>
      </rPr>
      <t xml:space="preserve">C131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0.05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）端點</t>
    </r>
  </si>
  <si>
    <t xml:space="preserve">GM616</t>
  </si>
  <si>
    <t xml:space="preserve">C132</t>
  </si>
  <si>
    <t xml:space="preserve">消費訂閱占 ChatGPT 付費 token 份額（J19；Assumed）</t>
  </si>
  <si>
    <t xml:space="preserve">X39</t>
  </si>
  <si>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欄＝消費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取高 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</si>
  <si>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J19</t>
    </r>
    <r>
      <rPr>
        <sz val="10"/>
        <color rgb="FF000000"/>
        <rFont val="Noto Sans CJK SC"/>
        <family val="2"/>
      </rPr>
      <t xml:space="preserve">：消費訂閱占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 </t>
    </r>
    <r>
      <rPr>
        <sz val="10"/>
        <color rgb="FF000000"/>
        <rFont val="Arial"/>
        <family val="0"/>
        <charset val="1"/>
      </rPr>
      <t xml:space="preserve">Assumed 0.75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0.60–0.90</t>
    </r>
    <r>
      <rPr>
        <sz val="10"/>
        <color rgb="FF000000"/>
        <rFont val="Noto Sans CJK SC"/>
        <family val="2"/>
      </rPr>
      <t xml:space="preserve">）；席次用量占比缺證據（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／中位數＝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</si>
  <si>
    <t xml:space="preserve">GM617</t>
  </si>
  <si>
    <t xml:space="preserve">D132:E132</t>
  </si>
  <si>
    <r>
      <rPr>
        <sz val="10"/>
        <color rgb="FF000000"/>
        <rFont val="Arial"/>
        <family val="0"/>
        <charset val="1"/>
      </rPr>
      <t xml:space="preserve">C132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低端（</t>
    </r>
    <r>
      <rPr>
        <sz val="10"/>
        <color rgb="FF000000"/>
        <rFont val="Arial"/>
        <family val="0"/>
        <charset val="1"/>
      </rPr>
      <t xml:space="preserve">0.90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高端（</t>
    </r>
    <r>
      <rPr>
        <sz val="10"/>
        <color rgb="FF000000"/>
        <rFont val="Arial"/>
        <family val="0"/>
        <charset val="1"/>
      </rPr>
      <t xml:space="preserve">0.60</t>
    </r>
    <r>
      <rPr>
        <sz val="10"/>
        <color rgb="FF000000"/>
        <rFont val="Noto Sans CJK SC"/>
        <family val="2"/>
      </rPr>
      <t xml:space="preserve">）端點</t>
    </r>
  </si>
  <si>
    <t xml:space="preserve">GM618</t>
  </si>
  <si>
    <t xml:space="preserve">C133</t>
  </si>
  <si>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</si>
  <si>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v5.34 J18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Assumed 0.5 $B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欄自 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整體／</t>
    </r>
    <r>
      <rPr>
        <sz val="10"/>
        <color rgb="FF000000"/>
        <rFont val="Arial"/>
        <family val="0"/>
        <charset val="1"/>
      </rPr>
      <t xml:space="preserve">m_fleet </t>
    </r>
    <r>
      <rPr>
        <sz val="10"/>
        <color rgb="FF000000"/>
        <rFont val="Noto Sans CJK SC"/>
        <family val="2"/>
      </rPr>
      <t xml:space="preserve">分子扣除；顯示用</t>
    </r>
  </si>
  <si>
    <t xml:space="preserve">GM619</t>
  </si>
  <si>
    <t xml:space="preserve">D133:E133</t>
  </si>
  <si>
    <r>
      <rPr>
        <sz val="10"/>
        <color rgb="FF000000"/>
        <rFont val="Arial"/>
        <family val="0"/>
        <charset val="1"/>
      </rPr>
      <t xml:space="preserve">C133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）端點</t>
    </r>
  </si>
  <si>
    <t xml:space="preserve">GM620</t>
  </si>
  <si>
    <t xml:space="preserve">C154</t>
  </si>
  <si>
    <t xml:space="preserve">方案上限讀法：Plus 月費（N06；對照用）</t>
  </si>
  <si>
    <t xml:space="preserve">X37</t>
  </si>
  <si>
    <t xml:space="preserve">單值（ChatGPT Plus 月費 $20）</t>
  </si>
  <si>
    <r>
      <rPr>
        <sz val="10"/>
        <color rgb="FF000000"/>
        <rFont val="Arial"/>
        <family val="0"/>
        <charset val="1"/>
      </rPr>
      <t xml:space="preserve">v5.34 B2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項（</t>
    </r>
    <r>
      <rPr>
        <sz val="10"/>
        <color rgb="FF000000"/>
        <rFont val="Arial"/>
        <family val="0"/>
        <charset val="1"/>
      </rPr>
      <t xml:space="preserve">J17</t>
    </r>
    <r>
      <rPr>
        <sz val="10"/>
        <color rgb="FF000000"/>
        <rFont val="Noto Sans CJK SC"/>
        <family val="2"/>
      </rPr>
      <t xml:space="preserve">）：方案上限讀法只作訂閱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的下限（若所有訂閱者用滿額度）；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轉述、不可單獨引用，不登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；對照用，不進任何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</t>
    </r>
  </si>
  <si>
    <t xml:space="preserve">GM621</t>
  </si>
  <si>
    <t xml:space="preserve">C155</t>
  </si>
  <si>
    <t xml:space="preserve">方案上限讀法：Plus 週額度 API 等值換算月額（N06；對照用）</t>
  </si>
  <si>
    <t xml:space="preserve">單值（$20 方案約 $700／月 API 等值）</t>
  </si>
  <si>
    <t xml:space="preserve">GM622</t>
  </si>
  <si>
    <t xml:space="preserve">C156</t>
  </si>
  <si>
    <t xml:space="preserve">方案上限讀法：Pro 月費（N06；對照用）</t>
  </si>
  <si>
    <t xml:space="preserve">單值（ChatGPT Pro 月費 $200）</t>
  </si>
  <si>
    <t xml:space="preserve">GM623</t>
  </si>
  <si>
    <t xml:space="preserve">C157</t>
  </si>
  <si>
    <t xml:space="preserve">方案上限讀法：Pro 週額度 API 等值換算月額（N06；對照用）</t>
  </si>
  <si>
    <t xml:space="preserve">單值（$200 方案約 $14,000／月 API 等值）</t>
  </si>
  <si>
    <t xml:space="preserve">GM624</t>
  </si>
  <si>
    <t xml:space="preserve">F185</t>
  </si>
  <si>
    <t xml:space="preserve">營收（$B／年；2026 欄＝季營收 × 4；FY2026 為內部預測 Assumed）</t>
  </si>
  <si>
    <t xml:space="preserve">SRC_DEM_042</t>
  </si>
  <si>
    <t xml:space="preserve">對照：2026 Q2 年化 26.8（SRC_DEM_042 × 4）與 Q1 年化 22.8（SRC_DEM_069 × 4）</t>
  </si>
  <si>
    <t xml:space="preserve">單值 36（FY2026 內部預測；不登 SRC）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</si>
  <si>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</t>
    </r>
    <r>
      <rPr>
        <sz val="10"/>
        <color rgb="FF000000"/>
        <rFont val="Noto Sans CJK SC"/>
        <family val="2"/>
      </rPr>
      <t xml:space="preserve">營收預測 </t>
    </r>
    <r>
      <rPr>
        <sz val="10"/>
        <color rgb="FF000000"/>
        <rFont val="Arial"/>
        <family val="0"/>
        <charset val="1"/>
      </rPr>
      <t xml:space="preserve">36 $B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：內部預測，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不登）；只進 </t>
    </r>
    <r>
      <rPr>
        <sz val="10"/>
        <color rgb="FF000000"/>
        <rFont val="Arial"/>
        <family val="0"/>
        <charset val="1"/>
      </rPr>
      <t xml:space="preserve">H10 FY2026 </t>
    </r>
    <r>
      <rPr>
        <sz val="10"/>
        <color rgb="FF000000"/>
        <rFont val="Noto Sans CJK SC"/>
        <family val="2"/>
      </rPr>
      <t xml:space="preserve">欄</t>
    </r>
  </si>
  <si>
    <t xml:space="preserve">GM625</t>
  </si>
  <si>
    <t xml:space="preserve">D188:F188</t>
  </si>
  <si>
    <t xml:space="preserve">營收份額：消費訂閱（每欄各自輸入；2025 連結 H1）</t>
  </si>
  <si>
    <t xml:space="preserve">SRC_DEM_023</t>
  </si>
  <si>
    <t xml:space="preserve">對照：2026-03 企業 &gt;40%（SRC_DEM_023）、2024-10 消費 75%（SRC_DEM_038）、2025 70%（SRC_DEM_039）</t>
  </si>
  <si>
    <t xml:space="preserve">三個單值：2026 Q1 0.60、Q2 0.55、FY2026 0.45（r0.1：每欄各自輸入）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</si>
  <si>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15:49 </t>
    </r>
    <r>
      <rPr>
        <sz val="10"/>
        <color rgb="FF000000"/>
        <rFont val="Noto Sans CJK SC"/>
        <family val="2"/>
      </rPr>
      <t xml:space="preserve">提醒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企業營收已超過消費）：消費份額序列 </t>
    </r>
    <r>
      <rPr>
        <sz val="10"/>
        <color rgb="FF000000"/>
        <rFont val="Arial"/>
        <family val="0"/>
        <charset val="1"/>
      </rPr>
      <t xml:space="preserve">0.70 → 0.60 → 0.55 → 0.45</t>
    </r>
    <r>
      <rPr>
        <sz val="10"/>
        <color rgb="FF000000"/>
        <rFont val="Noto Sans CJK SC"/>
        <family val="2"/>
      </rPr>
      <t xml:space="preserve">；依據 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2026-07 </t>
    </r>
    <r>
      <rPr>
        <sz val="10"/>
        <color rgb="FF000000"/>
        <rFont val="Noto Sans CJK SC"/>
        <family val="2"/>
      </rPr>
      <t xml:space="preserve">企業超過消費，</t>
    </r>
    <r>
      <rPr>
        <sz val="10"/>
        <color rgb="FF000000"/>
        <rFont val="Arial"/>
        <family val="0"/>
        <charset val="1"/>
      </rPr>
      <t xml:space="preserve">E329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E337</t>
    </r>
    <r>
      <rPr>
        <sz val="10"/>
        <color rgb="FF000000"/>
        <rFont val="Noto Sans CJK SC"/>
        <family val="2"/>
      </rPr>
      <t xml:space="preserve">）；「企業」口徑未定義</t>
    </r>
  </si>
  <si>
    <t xml:space="preserve">GM626</t>
  </si>
  <si>
    <t xml:space="preserve">D189:F189</t>
  </si>
  <si>
    <t xml:space="preserve">營收份額：商用席次（每欄各自輸入；2025 連結 H8）</t>
  </si>
  <si>
    <t xml:space="preserve">對照：API 份額依 Sacra 15–20% 維持 0.20（SRC_DEM_071），企業增量歸席次</t>
  </si>
  <si>
    <t xml:space="preserve">三個單值：2026 Q1 0.20、Q2 0.25、FY2026 0.35（r0.1）</t>
  </si>
  <si>
    <r>
      <rPr>
        <sz val="10"/>
        <color rgb="FF000000"/>
        <rFont val="Arial"/>
        <family val="0"/>
        <charset val="1"/>
      </rPr>
      <t xml:space="preserve">v5.34 r0.1</t>
    </r>
    <r>
      <rPr>
        <sz val="10"/>
        <color rgb="FF000000"/>
        <rFont val="Noto Sans CJK SC"/>
        <family val="2"/>
      </rPr>
      <t xml:space="preserve">：席次份額 </t>
    </r>
    <r>
      <rPr>
        <sz val="10"/>
        <color rgb="FF000000"/>
        <rFont val="Arial"/>
        <family val="0"/>
        <charset val="1"/>
      </rPr>
      <t xml:space="preserve">0.10 → 0.20 → 0.25 → 0.35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＝餘額各欄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；企業（席次＋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）增量全歸席次</t>
    </r>
  </si>
  <si>
    <t xml:space="preserve">GM627</t>
  </si>
  <si>
    <t xml:space="preserve">F195</t>
  </si>
  <si>
    <t xml:space="preserve">SRC_DEM_011</t>
  </si>
  <si>
    <t xml:space="preserve">對照：SRC_DEM_011 2026-03 時點值 15 B tok/min</t>
  </si>
  <si>
    <t xml:space="preserve">單值 1.3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</si>
  <si>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FY2026 API token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2026 Q2 </t>
    </r>
    <r>
      <rPr>
        <sz val="10"/>
        <color rgb="FF000000"/>
        <rFont val="Noto Sans CJK SC"/>
        <family val="2"/>
      </rPr>
      <t xml:space="preserve">時點值年化 </t>
    </r>
    <r>
      <rPr>
        <sz val="10"/>
        <color rgb="FF000000"/>
        <rFont val="Arial"/>
        <family val="0"/>
        <charset val="1"/>
      </rPr>
      <t xml:space="preserve">× 1.3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全年再成長）</t>
    </r>
  </si>
  <si>
    <t xml:space="preserve">GM628</t>
  </si>
  <si>
    <t xml:space="preserve">D197:F197</t>
  </si>
  <si>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SRC_DEM_012 2.5 B</t>
    </r>
    <r>
      <rPr>
        <sz val="10"/>
        <color rgb="FF000000"/>
        <rFont val="Noto Sans CJK SC"/>
        <family val="2"/>
      </rPr>
      <t xml:space="preserve">／日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週活比例（</t>
    </r>
    <r>
      <rPr>
        <sz val="10"/>
        <color rgb="FF000000"/>
        <rFont val="Arial"/>
        <family val="0"/>
        <charset val="1"/>
      </rPr>
      <t xml:space="preserve">1.0 B ÷ 0.7 B</t>
    </r>
    <r>
      <rPr>
        <sz val="10"/>
        <color rgb="FF000000"/>
        <rFont val="Noto Sans CJK SC"/>
        <family val="2"/>
      </rPr>
      <t xml:space="preserve">）</t>
    </r>
  </si>
  <si>
    <t xml:space="preserve">三個單值：2026 Q1 3.2、Q2 3.6、FY2026 3.8 B 則／日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</si>
  <si>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每日則數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三點為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（週活比例放大；</t>
    </r>
    <r>
      <rPr>
        <sz val="10"/>
        <color rgb="FF000000"/>
        <rFont val="Arial"/>
        <family val="0"/>
        <charset val="1"/>
      </rPr>
      <t xml:space="preserve">SRC_DEM_012 2.5 × 1.0 ÷ 0.7 ≈ 3.6</t>
    </r>
    <r>
      <rPr>
        <sz val="10"/>
        <color rgb="FF000000"/>
        <rFont val="Noto Sans CJK SC"/>
        <family val="2"/>
      </rPr>
      <t xml:space="preserve">）；每則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數與免費占比沿用 </t>
    </r>
    <r>
      <rPr>
        <sz val="10"/>
        <color rgb="FF000000"/>
        <rFont val="Arial"/>
        <family val="0"/>
        <charset val="1"/>
      </rPr>
      <t xml:space="preserve">Alloc_In</t>
    </r>
  </si>
  <si>
    <t xml:space="preserve">GM629</t>
  </si>
  <si>
    <t xml:space="preserve">C204:F204</t>
  </si>
  <si>
    <t xml:space="preserve">L_price（I 節；顯示用，不進 m）</t>
  </si>
  <si>
    <t xml:space="preserve">顯示用（公式）</t>
  </si>
  <si>
    <t xml:space="preserve">無（公式列；v5.35）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</si>
  <si>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：中階牌價指數預留列，先填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；本版不乘入任何計算（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的牌價序列另案 </t>
    </r>
    <r>
      <rPr>
        <sz val="10"/>
        <color rgb="FF000000"/>
        <rFont val="Arial"/>
        <family val="0"/>
        <charset val="1"/>
      </rPr>
      <t xml:space="preserve">v5.35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v5.35 B2</t>
    </r>
    <r>
      <rPr>
        <sz val="10"/>
        <color rgb="FF000000"/>
        <rFont val="Noto Sans CJK SC"/>
        <family val="2"/>
      </rPr>
      <t xml:space="preserve">：本列改為公式（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D–F </t>
    </r>
    <r>
      <rPr>
        <sz val="10"/>
        <color rgb="FF000000"/>
        <rFont val="Noto Sans CJK SC"/>
        <family val="2"/>
      </rPr>
      <t xml:space="preserve">連結 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），四個藍字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退役；類別改「顯示用（公式）」，不進任何計算；工作單 </t>
    </r>
    <r>
      <rPr>
        <sz val="10"/>
        <color rgb="FF000000"/>
        <rFont val="Arial"/>
        <family val="0"/>
        <charset val="1"/>
      </rPr>
      <t xml:space="preserve">v5.35 r0 B5</t>
    </r>
  </si>
  <si>
    <t xml:space="preserve">GM630</t>
  </si>
  <si>
    <t xml:space="preserve">D211</t>
  </si>
  <si>
    <t xml:space="preserve">單值 0.25（四格合計 1）</t>
  </si>
  <si>
    <r>
      <rPr>
        <sz val="10"/>
        <color rgb="FF000000"/>
        <rFont val="Arial"/>
        <family val="0"/>
        <charset val="1"/>
      </rPr>
      <t xml:space="preserve">v5.34 B5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服務世代組合 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；只進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欄的 </t>
    </r>
    <r>
      <rPr>
        <sz val="10"/>
        <color rgb="FF000000"/>
        <rFont val="Arial"/>
        <family val="0"/>
        <charset val="1"/>
      </rPr>
      <t xml:space="preserve">m_fleet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2025 </t>
    </r>
    <r>
      <rPr>
        <sz val="10"/>
        <color rgb="FF000000"/>
        <rFont val="Noto Sans CJK SC"/>
        <family val="2"/>
      </rPr>
      <t xml:space="preserve">組合不改）</t>
    </r>
  </si>
  <si>
    <t xml:space="preserve">GM631</t>
  </si>
  <si>
    <t xml:space="preserve">D212</t>
  </si>
  <si>
    <t xml:space="preserve">單值 0.45（四格合計 1）</t>
  </si>
  <si>
    <t xml:space="preserve">GM632</t>
  </si>
  <si>
    <t xml:space="preserve">D213</t>
  </si>
  <si>
    <t xml:space="preserve">GM633</t>
  </si>
  <si>
    <t xml:space="preserve">D214</t>
  </si>
  <si>
    <t xml:space="preserve">單值 0.05（四格合計 1）</t>
  </si>
  <si>
    <t xml:space="preserve">GM634</t>
  </si>
  <si>
    <t xml:space="preserve">切片三（v5.35 L 拆分）</t>
  </si>
  <si>
    <t xml:space="preserve">C226</t>
  </si>
  <si>
    <t xml:space="preserve">中階 token 牌價年變化率 g（I-1；Assumed）</t>
  </si>
  <si>
    <t xml:space="preserve">X42</t>
  </si>
  <si>
    <r>
      <rPr>
        <sz val="10"/>
        <color rgb="FF000000"/>
        <rFont val="Arial"/>
        <family val="0"/>
        <charset val="1"/>
      </rPr>
      <t xml:space="preserve">−0.25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</si>
  <si>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：中階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牌價年變化率 </t>
    </r>
    <r>
      <rPr>
        <sz val="10"/>
        <color rgb="FF000000"/>
        <rFont val="Arial"/>
        <family val="0"/>
        <charset val="1"/>
      </rPr>
      <t xml:space="preserve">g Assumed −0.10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）；依據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端牌價序列迴歸（</t>
    </r>
    <r>
      <rPr>
        <sz val="10"/>
        <color rgb="FF000000"/>
        <rFont val="Arial"/>
        <family val="0"/>
        <charset val="1"/>
      </rPr>
      <t xml:space="preserve">E341</t>
    </r>
    <r>
      <rPr>
        <sz val="10"/>
        <color rgb="FF000000"/>
        <rFont val="Noto Sans CJK SC"/>
        <family val="2"/>
      </rPr>
      <t xml:space="preserve">；序列 </t>
    </r>
    <r>
      <rPr>
        <sz val="10"/>
        <color rgb="FF000000"/>
        <rFont val="Arial"/>
        <family val="0"/>
        <charset val="1"/>
      </rPr>
      <t xml:space="preserve">E338–E340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  <r>
      <rPr>
        <sz val="10"/>
        <color rgb="FF000000"/>
        <rFont val="Noto Sans CJK SC"/>
        <family val="2"/>
      </rPr>
      <t xml:space="preserve">，不進任何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CTL_PriceLife </t>
    </r>
    <r>
      <rPr>
        <sz val="10"/>
        <color rgb="FF000000"/>
        <rFont val="Noto Sans CJK SC"/>
        <family val="2"/>
      </rPr>
      <t xml:space="preserve">不改 ｜</t>
    </r>
    <r>
      <rPr>
        <sz val="10"/>
        <color rgb="FF000000"/>
        <rFont val="Arial"/>
        <family val="0"/>
        <charset val="1"/>
      </rPr>
      <t xml:space="preserve">v7.0 B-0 Q2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AF2c-GEN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的依據是換代價格比較，壽命內衰減與世代間價格變化應分開；世代間以 </t>
    </r>
    <r>
      <rPr>
        <sz val="10"/>
        <color rgb="FF000000"/>
        <rFont val="Arial"/>
        <family val="0"/>
        <charset val="1"/>
      </rPr>
      <t xml:space="preserve">L1_GenPxThr_* </t>
    </r>
    <r>
      <rPr>
        <sz val="10"/>
        <color rgb="FF000000"/>
        <rFont val="Noto Sans CJK SC"/>
        <family val="2"/>
      </rPr>
      <t xml:space="preserve">門檻表達，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的數值與區間不變</t>
    </r>
  </si>
  <si>
    <t xml:space="preserve">GM635</t>
  </si>
  <si>
    <t xml:space="preserve">D226:E226</t>
  </si>
  <si>
    <r>
      <rPr>
        <sz val="10"/>
        <color rgb="FF000000"/>
        <rFont val="Arial"/>
        <family val="0"/>
        <charset val="1"/>
      </rPr>
      <t xml:space="preserve">C226 </t>
    </r>
    <r>
      <rPr>
        <sz val="10"/>
        <color rgb="FF000000"/>
        <rFont val="Noto Sans CJK SC"/>
        <family val="2"/>
      </rPr>
      <t xml:space="preserve">的低（−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+0.05</t>
    </r>
    <r>
      <rPr>
        <sz val="10"/>
        <color rgb="FF000000"/>
        <rFont val="Noto Sans CJK SC"/>
        <family val="2"/>
      </rPr>
      <t xml:space="preserve">）端點</t>
    </r>
  </si>
  <si>
    <t xml:space="preserve">GM636</t>
  </si>
  <si>
    <t xml:space="preserve">C227</t>
  </si>
  <si>
    <t xml:space="preserve">降級前服務中階的年數 T1（年；I-2；Assumed）</t>
  </si>
  <si>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欄＝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</si>
  <si>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：降級前服務中階的年數 </t>
    </r>
    <r>
      <rPr>
        <sz val="10"/>
        <color rgb="FF000000"/>
        <rFont val="Arial"/>
        <family val="0"/>
        <charset val="1"/>
      </rPr>
      <t xml:space="preserve">T1 Assumed 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3–5</t>
    </r>
    <r>
      <rPr>
        <sz val="10"/>
        <color rgb="FF000000"/>
        <rFont val="Noto Sans CJK SC"/>
        <family val="2"/>
      </rPr>
      <t xml:space="preserve">）；對照 </t>
    </r>
    <r>
      <rPr>
        <sz val="10"/>
        <color rgb="FF000000"/>
        <rFont val="Arial"/>
        <family val="0"/>
        <charset val="1"/>
      </rPr>
      <t xml:space="preserve">B4_Life </t>
    </r>
    <r>
      <rPr>
        <sz val="10"/>
        <color rgb="FF000000"/>
        <rFont val="Noto Sans CJK SC"/>
        <family val="2"/>
      </rPr>
      <t xml:space="preserve">商業壽命 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月為模型更替，</t>
    </r>
    <r>
      <rPr>
        <sz val="10"/>
        <color rgb="FF000000"/>
        <rFont val="Arial"/>
        <family val="0"/>
        <charset val="1"/>
      </rPr>
      <t xml:space="preserve">T1 </t>
    </r>
    <r>
      <rPr>
        <sz val="10"/>
        <color rgb="FF000000"/>
        <rFont val="Noto Sans CJK SC"/>
        <family val="2"/>
      </rPr>
      <t xml:space="preserve">為硬體所服務層級的更替；只進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</si>
  <si>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GM637</t>
  </si>
  <si>
    <t xml:space="preserve">D227:E227</t>
  </si>
  <si>
    <r>
      <rPr>
        <sz val="10"/>
        <color rgb="FF000000"/>
        <rFont val="Arial"/>
        <family val="0"/>
        <charset val="1"/>
      </rPr>
      <t xml:space="preserve">C227 </t>
    </r>
    <r>
      <rPr>
        <sz val="10"/>
        <color rgb="FF000000"/>
        <rFont val="Noto Sans CJK SC"/>
        <family val="2"/>
      </rPr>
      <t xml:space="preserve">的低（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）、高（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）端點</t>
    </r>
  </si>
  <si>
    <t xml:space="preserve">GM638</t>
  </si>
  <si>
    <t xml:space="preserve">C228</t>
  </si>
  <si>
    <t xml:space="preserve">降級後價值比 ρ（I-3；Assumed；D 欄＝IF_PriceRef_Luna ÷ IF_PriceRef_Sol）</t>
  </si>
  <si>
    <r>
      <rPr>
        <sz val="10"/>
        <color rgb="FF000000"/>
        <rFont val="Arial"/>
        <family val="0"/>
        <charset val="1"/>
      </rPr>
      <t xml:space="preserve">0.05–1.0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 </t>
    </r>
    <r>
      <rPr>
        <sz val="10"/>
        <color rgb="FF000000"/>
        <rFont val="Arial"/>
        <family val="0"/>
        <charset val="1"/>
      </rPr>
      <t xml:space="preserve">IF_PriceRef_Luna ÷ IF_PriceRef_Sol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</si>
  <si>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v5.35 J22</t>
    </r>
    <r>
      <rPr>
        <sz val="10"/>
        <color rgb="FF000000"/>
        <rFont val="Noto Sans CJK SC"/>
        <family val="2"/>
      </rPr>
      <t xml:space="preserve">：降級後價值比 </t>
    </r>
    <r>
      <rPr>
        <sz val="10"/>
        <color rgb="FF000000"/>
        <rFont val="Arial"/>
        <family val="0"/>
        <charset val="1"/>
      </rPr>
      <t xml:space="preserve">ρ Assumed 0.5</t>
    </r>
    <r>
      <rPr>
        <sz val="10"/>
        <color rgb="FF000000"/>
        <rFont val="Noto Sans CJK SC"/>
        <family val="2"/>
      </rPr>
      <t xml:space="preserve">（低端＝</t>
    </r>
    <r>
      <rPr>
        <sz val="10"/>
        <color rgb="FF000000"/>
        <rFont val="Arial"/>
        <family val="0"/>
        <charset val="1"/>
      </rPr>
      <t xml:space="preserve">IF_PriceRef_Luna ÷ IF_PriceRef_Sol ≈ 0.05 </t>
    </r>
    <r>
      <rPr>
        <sz val="10"/>
        <color rgb="FF000000"/>
        <rFont val="Noto Sans CJK SC"/>
        <family val="2"/>
      </rPr>
      <t xml:space="preserve">為公式、高端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＝不降級）；只進 </t>
    </r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LDemote</t>
    </r>
  </si>
  <si>
    <t xml:space="preserve">GM639</t>
  </si>
  <si>
    <t xml:space="preserve">E228</t>
  </si>
  <si>
    <r>
      <rPr>
        <sz val="10"/>
        <color rgb="FF000000"/>
        <rFont val="Arial"/>
        <family val="0"/>
        <charset val="1"/>
      </rPr>
      <t xml:space="preserve">C228 </t>
    </r>
    <r>
      <rPr>
        <sz val="10"/>
        <color rgb="FF000000"/>
        <rFont val="Noto Sans CJK SC"/>
        <family val="2"/>
      </rPr>
      <t xml:space="preserve">的高端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（不降級）；低端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欄為公式，不登錄</t>
    </r>
  </si>
  <si>
    <t xml:space="preserve">GM640</t>
  </si>
  <si>
    <t xml:space="preserve">切片三（v5.35 m 序列修正）</t>
  </si>
  <si>
    <t xml:space="preserve">D186</t>
  </si>
  <si>
    <t xml:space="preserve">廣告營收（2026 起；每欄各自輸入；不進任何 m 的分子；v5.35 J23 (2)；Assumed）</t>
  </si>
  <si>
    <t xml:space="preserve">SRC_DEM_072</t>
  </si>
  <si>
    <t xml:space="preserve">對照：2026-08 廣告年化 $1B（SRC_DEM_072）；Q2 年化 0.5 為上線初期、FY2026 1.0 為全年</t>
  </si>
  <si>
    <t xml:space="preserve">X43</t>
  </si>
  <si>
    <t xml:space="preserve">單值 0（2026 Q1；0–0.2）</t>
  </si>
  <si>
    <r>
      <rPr>
        <sz val="10"/>
        <color rgb="FF000000"/>
        <rFont val="Arial"/>
        <family val="0"/>
        <charset val="1"/>
      </rPr>
      <t xml:space="preserve">v5.35 J23 (2)</t>
    </r>
    <r>
      <rPr>
        <sz val="10"/>
        <color rgb="FF000000"/>
        <rFont val="Noto Sans CJK SC"/>
        <family val="2"/>
      </rPr>
      <t xml:space="preserve">：廣告年化每欄各自輸入（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）；廣告不進任何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的分子，只在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分子營收扣除；顯示用</t>
    </r>
  </si>
  <si>
    <t xml:space="preserve">GM641</t>
  </si>
  <si>
    <t xml:space="preserve">E186</t>
  </si>
  <si>
    <t xml:space="preserve">單值 0.5（2026 Q2；0.3–0.8）</t>
  </si>
  <si>
    <t xml:space="preserve">GM642</t>
  </si>
  <si>
    <t xml:space="preserve">F186</t>
  </si>
  <si>
    <t xml:space="preserve">單值 1.0（FY2026；0.5–1.5）</t>
  </si>
  <si>
    <t xml:space="preserve">GM643</t>
  </si>
  <si>
    <t xml:space="preserve">D200</t>
  </si>
  <si>
    <t xml:space="preserve">單值 0.65（0.5–0.8）；E／F 連結 D；2025 欄連結 H8 0.75</t>
  </si>
  <si>
    <r>
      <rPr>
        <sz val="10"/>
        <color rgb="FF000000"/>
        <rFont val="Arial"/>
        <family val="0"/>
        <charset val="1"/>
      </rPr>
      <t xml:space="preserve">v5.35 J23 (3)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三欄的消費訂閱占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；席次用量占比缺證據（</t>
    </r>
    <r>
      <rPr>
        <sz val="10"/>
        <color rgb="FF000000"/>
        <rFont val="Arial"/>
        <family val="0"/>
        <charset val="1"/>
      </rPr>
      <t xml:space="preserve">SRC_DEM_045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p95</t>
    </r>
    <r>
      <rPr>
        <sz val="10"/>
        <color rgb="FF000000"/>
        <rFont val="Noto Sans CJK SC"/>
        <family val="2"/>
      </rPr>
      <t xml:space="preserve">／中位數）</t>
    </r>
  </si>
  <si>
    <t xml:space="preserve">GM644</t>
  </si>
  <si>
    <t xml:space="preserve">切片三（v5.36 κ）</t>
  </si>
  <si>
    <t xml:space="preserve">請求形狀修正 κ（實際流量每 GPU 秒總 token ÷ 參考請求）</t>
  </si>
  <si>
    <t xml:space="preserve">X47</t>
  </si>
  <si>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3.2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API χ 0.9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型推理 </t>
    </r>
    <r>
      <rPr>
        <sz val="10"/>
        <color rgb="FF000000"/>
        <rFont val="Arial"/>
        <family val="0"/>
        <charset val="1"/>
      </rPr>
      <t xml:space="preserve">0.66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</si>
  <si>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v5.36 B4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）：請求形狀修正 </t>
    </r>
    <r>
      <rPr>
        <sz val="10"/>
        <color rgb="FF000000"/>
        <rFont val="Arial"/>
        <family val="0"/>
        <charset val="1"/>
      </rPr>
      <t xml:space="preserve">κ Derived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列校準 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成本代入實際輸入輸出比與快取命中，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加權 </t>
    </r>
    <r>
      <rPr>
        <sz val="10"/>
        <color rgb="FF000000"/>
        <rFont val="Arial"/>
        <family val="0"/>
        <charset val="1"/>
      </rPr>
      <t xml:space="preserve">1.035</t>
    </r>
    <r>
      <rPr>
        <sz val="10"/>
        <color rgb="FF000000"/>
        <rFont val="Noto Sans CJK SC"/>
        <family val="2"/>
      </rPr>
      <t xml:space="preserve">；驗證：同公式算 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得 </t>
    </r>
    <r>
      <rPr>
        <sz val="10"/>
        <color rgb="FF000000"/>
        <rFont val="Arial"/>
        <family val="0"/>
        <charset val="1"/>
      </rPr>
      <t xml:space="preserve">0.4336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L1_GapISL(v5.35)</t>
    </r>
    <r>
      <rPr>
        <sz val="10"/>
        <color rgb="FF000000"/>
        <rFont val="Noto Sans CJK SC"/>
        <family val="2"/>
      </rPr>
      <t xml:space="preserve">；乘入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列的有效服務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時數值不變），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E356</t>
    </r>
    <r>
      <rPr>
        <sz val="10"/>
        <color rgb="FF000000"/>
        <rFont val="Noto Sans CJK SC"/>
        <family val="2"/>
      </rPr>
      <t xml:space="preserve">）</t>
    </r>
  </si>
  <si>
    <t xml:space="preserve">GM645</t>
  </si>
  <si>
    <t xml:space="preserve">D26:E26</t>
  </si>
  <si>
    <r>
      <rPr>
        <sz val="10"/>
        <color rgb="FF000000"/>
        <rFont val="Arial"/>
        <family val="0"/>
        <charset val="1"/>
      </rPr>
      <t xml:space="preserve">C26 </t>
    </r>
    <r>
      <rPr>
        <sz val="10"/>
        <color rgb="FF000000"/>
        <rFont val="Noto Sans CJK SC"/>
        <family val="2"/>
      </rPr>
      <t xml:space="preserve">的低、高端點</t>
    </r>
  </si>
  <si>
    <t xml:space="preserve">GM646</t>
  </si>
  <si>
    <t xml:space="preserve">切片三（v5.36 價格時間錯配）</t>
  </si>
  <si>
    <t xml:space="preserve">C258</t>
  </si>
  <si>
    <t xml:space="preserve">單值（牌價序列，等級 3；ρ 區間由三者最低／最高決定）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</si>
  <si>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GPT-4o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07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</si>
  <si>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GM647</t>
  </si>
  <si>
    <t xml:space="preserve">D258</t>
  </si>
  <si>
    <t xml:space="preserve">單值（7 月（2025-01～07））</t>
  </si>
  <si>
    <t xml:space="preserve">GM648</t>
  </si>
  <si>
    <t xml:space="preserve">C259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</si>
  <si>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</si>
  <si>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GM649</t>
  </si>
  <si>
    <t xml:space="preserve">D259</t>
  </si>
  <si>
    <t xml:space="preserve">單值（4 月（2025-08～11））</t>
  </si>
  <si>
    <t xml:space="preserve">GM650</t>
  </si>
  <si>
    <t xml:space="preserve">C260</t>
  </si>
  <si>
    <r>
      <rPr>
        <sz val="10"/>
        <color rgb="FF000000"/>
        <rFont val="Arial"/>
        <family val="0"/>
        <charset val="1"/>
      </rPr>
      <t xml:space="preserve">v5.36 B6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X47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參考請求（</t>
    </r>
    <r>
      <rPr>
        <sz val="10"/>
        <color rgb="FF000000"/>
        <rFont val="Arial"/>
        <family val="0"/>
        <charset val="1"/>
      </rPr>
      <t xml:space="preserve">16K </t>
    </r>
    <r>
      <rPr>
        <sz val="10"/>
        <color rgb="FF000000"/>
        <rFont val="Noto Sans CJK SC"/>
        <family val="2"/>
      </rPr>
      <t xml:space="preserve">入／</t>
    </r>
    <r>
      <rPr>
        <sz val="10"/>
        <color rgb="FF000000"/>
        <rFont val="Arial"/>
        <family val="0"/>
        <charset val="1"/>
      </rPr>
      <t xml:space="preserve">2K </t>
    </r>
    <r>
      <rPr>
        <sz val="10"/>
        <color rgb="FF000000"/>
        <rFont val="Noto Sans CJK SC"/>
        <family val="2"/>
      </rPr>
      <t xml:space="preserve">出／</t>
    </r>
    <r>
      <rPr>
        <sz val="10"/>
        <color rgb="FF000000"/>
        <rFont val="Arial"/>
        <family val="0"/>
        <charset val="1"/>
      </rPr>
      <t xml:space="preserve">χ 0.55</t>
    </r>
    <r>
      <rPr>
        <sz val="10"/>
        <color rgb="FF000000"/>
        <rFont val="Noto Sans CJK SC"/>
        <family val="2"/>
      </rPr>
      <t xml:space="preserve">）未折扣單價（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，牌價等級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，待一手確認；快取價為假設）與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年在線月數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月（</t>
    </r>
    <r>
      <rPr>
        <sz val="10"/>
        <color rgb="FF000000"/>
        <rFont val="Arial"/>
        <family val="0"/>
        <charset val="1"/>
      </rPr>
      <t xml:space="preserve">2025-12</t>
    </r>
    <r>
      <rPr>
        <sz val="10"/>
        <color rgb="FF000000"/>
        <rFont val="Noto Sans CJK SC"/>
        <family val="2"/>
      </rPr>
      <t xml:space="preserve">）；只進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ρ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，顯示用，不進任何計算（</t>
    </r>
    <r>
      <rPr>
        <sz val="10"/>
        <color rgb="FF000000"/>
        <rFont val="Arial"/>
        <family val="0"/>
        <charset val="1"/>
      </rPr>
      <t xml:space="preserve">E357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E358</t>
    </r>
    <r>
      <rPr>
        <sz val="10"/>
        <color rgb="FF000000"/>
        <rFont val="Noto Sans CJK SC"/>
        <family val="2"/>
      </rPr>
      <t xml:space="preserve">）</t>
    </r>
  </si>
  <si>
    <t xml:space="preserve">GM651</t>
  </si>
  <si>
    <t xml:space="preserve">D260</t>
  </si>
  <si>
    <t xml:space="preserve">單值（1 月（2025-12））</t>
  </si>
  <si>
    <t xml:space="preserve">GM652</t>
  </si>
  <si>
    <t xml:space="preserve">切片三（v6.1 Q3）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</si>
  <si>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</si>
  <si>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t xml:space="preserve">AF3B-Q3</t>
  </si>
  <si>
    <r>
      <rPr>
        <sz val="10"/>
        <color rgb="FF000000"/>
        <rFont val="Arial"/>
        <family val="0"/>
        <charset val="1"/>
      </rPr>
      <t xml:space="preserve">0.1–0.3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0.79–2.36T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</si>
  <si>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2.36T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）位於區間上端</t>
    </r>
  </si>
  <si>
    <t xml:space="preserve">GM653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</si>
  <si>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</t>
    </r>
  </si>
  <si>
    <t xml:space="preserve">GM654</t>
  </si>
  <si>
    <r>
      <rPr>
        <sz val="10"/>
        <color rgb="FF000000"/>
        <rFont val="Arial"/>
        <family val="0"/>
        <charset val="1"/>
      </rPr>
      <t xml:space="preserve">RL rollout </t>
    </r>
    <r>
      <rPr>
        <sz val="10"/>
        <color rgb="FF000000"/>
        <rFont val="Noto Sans CJK SC"/>
        <family val="2"/>
      </rPr>
      <t xml:space="preserve">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</si>
  <si>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0.1–2 × </t>
    </r>
    <r>
      <rPr>
        <sz val="10"/>
        <color rgb="FF000000"/>
        <rFont val="Noto Sans CJK SC"/>
        <family val="2"/>
      </rPr>
      <t xml:space="preserve">預訓練 ≈ </t>
    </r>
    <r>
      <rPr>
        <sz val="10"/>
        <color rgb="FF000000"/>
        <rFont val="Arial"/>
        <family val="0"/>
        <charset val="1"/>
      </rPr>
      <t xml:space="preserve">0.96–19.2T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假設，非證據）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</si>
  <si>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小時與 </t>
    </r>
    <r>
      <rPr>
        <sz val="10"/>
        <color rgb="FF000000"/>
        <rFont val="Arial"/>
        <family val="0"/>
        <charset val="1"/>
      </rPr>
      <t xml:space="preserve">rollout token </t>
    </r>
    <r>
      <rPr>
        <sz val="10"/>
        <color rgb="FF000000"/>
        <rFont val="Noto Sans CJK SC"/>
        <family val="2"/>
      </rPr>
      <t xml:space="preserve">成正比的近似，把比值區間換算為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；開放實驗室 </t>
    </r>
    <r>
      <rPr>
        <sz val="10"/>
        <color rgb="FF000000"/>
        <rFont val="Arial"/>
        <family val="0"/>
        <charset val="1"/>
      </rPr>
      <t xml:space="preserve">0.1–0.2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DeepSeek-V3.2 ≥0.1</t>
    </r>
    <r>
      <rPr>
        <sz val="10"/>
        <color rgb="FF000000"/>
        <rFont val="Noto Sans CJK SC"/>
        <family val="2"/>
      </rPr>
      <t xml:space="preserve">；已搜尋（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）、可比對象 </t>
    </r>
    <r>
      <rPr>
        <sz val="10"/>
        <color rgb="FF000000"/>
        <rFont val="Arial"/>
        <family val="0"/>
        <charset val="1"/>
      </rPr>
      <t xml:space="preserve">Olmo 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、區間依據即本列；基準維持原校準值（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9.6T</t>
    </r>
    <r>
      <rPr>
        <sz val="10"/>
        <color rgb="FF000000"/>
        <rFont val="Noto Sans CJK SC"/>
        <family val="2"/>
      </rPr>
      <t xml:space="preserve">（比值約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）在區間內；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只給區間</t>
    </r>
  </si>
  <si>
    <t xml:space="preserve">GM655</t>
  </si>
  <si>
    <t xml:space="preserve">輪數倍數（檔案 2：單代理、多代理研究、Coding agent）</t>
  </si>
  <si>
    <r>
      <rPr>
        <sz val="10"/>
        <color rgb="FF000000"/>
        <rFont val="Arial"/>
        <family val="0"/>
        <charset val="1"/>
      </rPr>
      <t xml:space="preserve">0.7–1.7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Q3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在區間下端</t>
    </r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</si>
  <si>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AF3B-Q3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查證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SWE Atlas </t>
    </r>
    <r>
      <rPr>
        <sz val="10"/>
        <color rgb="FF000000"/>
        <rFont val="Noto Sans CJK SC"/>
        <family val="2"/>
      </rPr>
      <t xml:space="preserve">顯示原生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工具呼叫多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方向相反；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只有 </t>
    </r>
    <r>
      <rPr>
        <sz val="10"/>
        <color rgb="FF000000"/>
        <rFont val="Arial"/>
        <family val="0"/>
        <charset val="1"/>
      </rPr>
      <t xml:space="preserve">ARC token </t>
    </r>
    <r>
      <rPr>
        <sz val="10"/>
        <color rgb="FF000000"/>
        <rFont val="Noto Sans CJK SC"/>
        <family val="2"/>
      </rPr>
      <t xml:space="preserve">比一個來源；已搜尋、可比對象 </t>
    </r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、區間依據即本列；基準維持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列區間由 </t>
    </r>
    <r>
      <rPr>
        <sz val="10"/>
        <color rgb="FF000000"/>
        <rFont val="Arial"/>
        <family val="0"/>
        <charset val="1"/>
      </rPr>
      <t xml:space="preserve">0.5–1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0.7–1.7</t>
    </r>
  </si>
  <si>
    <t xml:space="preserve">GM656</t>
  </si>
  <si>
    <t xml:space="preserve">切片三（v6.2 D1(c)）</t>
  </si>
  <si>
    <t xml:space="preserve">C44:G44</t>
  </si>
  <si>
    <t xml:space="preserve">模型規模倍數（基準；ARCH_ScaleGen）</t>
  </si>
  <si>
    <t xml:space="preserve">AF2-D1c</t>
  </si>
  <si>
    <t xml:space="preserve">基準 1（固定模型口徑）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</si>
  <si>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：情境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（基準列仍全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</si>
  <si>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t xml:space="preserve">GM657</t>
  </si>
  <si>
    <t xml:space="preserve">C45:G45</t>
  </si>
  <si>
    <t xml:space="preserve">模型規模倍數（低；ARCH_ScaleGen_Lo）</t>
  </si>
  <si>
    <t xml:space="preserve">低端：Hopper 0.5、GB200 0.3、GB300 1、VR200 1（r1，2Q Q2）</t>
  </si>
  <si>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）：每世代的層級代表模型會變大，用啟用參數倍數作情境，不重建 </t>
    </r>
    <r>
      <rPr>
        <sz val="10"/>
        <color rgb="FF000000"/>
        <rFont val="Arial"/>
        <family val="0"/>
        <charset val="1"/>
      </rPr>
      <t xml:space="preserve">Arch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＝固定模型口徑。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兩種讀法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（預設：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）；幅度取啟用參數：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數百億 </t>
    </r>
    <r>
      <rPr>
        <sz val="10"/>
        <color rgb="FF000000"/>
        <rFont val="Arial"/>
        <family val="0"/>
        <charset val="1"/>
      </rPr>
      <t xml:space="preserve">÷ 180B ≈ 0.1–0.5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VR200 400–800B ÷ 180B ≈ 2.2–4.4</t>
    </r>
    <r>
      <rPr>
        <sz val="10"/>
        <color rgb="FF000000"/>
        <rFont val="Noto Sans CJK SC"/>
        <family val="2"/>
      </rPr>
      <t xml:space="preserve">，中間以幾何內插；原話的『例如』是舉例不是邊界，只作區間不作證據；已搜尋：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查證段進行中；可比對象無；區間依據即本列 ｜</t>
    </r>
    <r>
      <rPr>
        <sz val="10"/>
        <color rgb="FF000000"/>
        <rFont val="Arial"/>
        <family val="0"/>
        <charset val="1"/>
      </rPr>
      <t xml:space="preserve">v6.3 J1 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AF2-D1c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0.5–1.3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1.0–2.5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為定義；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未設定，固定 </t>
    </r>
    <r>
      <rPr>
        <sz val="10"/>
        <color rgb="FF000000"/>
        <rFont val="Arial"/>
        <family val="0"/>
        <charset val="1"/>
      </rPr>
      <t xml:space="preserve">1</t>
    </r>
  </si>
  <si>
    <t xml:space="preserve">GM658</t>
  </si>
  <si>
    <t xml:space="preserve">C46:G46</t>
  </si>
  <si>
    <t xml:space="preserve">模型規模倍數（高；ARCH_ScaleGen_Hi）</t>
  </si>
  <si>
    <t xml:space="preserve">高端：Hopper 1.3、GB200 1.0、GB300 1、VR200 2.5（r1，2Q Q2）</t>
  </si>
  <si>
    <t xml:space="preserve">GM659</t>
  </si>
  <si>
    <t xml:space="preserve">切片三（v7.0 世代價格 B 段）</t>
  </si>
  <si>
    <t xml:space="preserve">C272</t>
  </si>
  <si>
    <t xml:space="preserve">世代上市間隔 Δ：Hopper→GB200（CAP_GenGap_GB200；年）</t>
  </si>
  <si>
    <t xml:space="preserve">AF2c-GEN</t>
  </si>
  <si>
    <r>
      <rPr>
        <sz val="10"/>
        <color rgb="FF000000"/>
        <rFont val="Arial"/>
        <family val="0"/>
        <charset val="1"/>
      </rPr>
      <t xml:space="preserve">1.88–2.17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</si>
  <si>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端建議預設））：Hopper→GB200 世代上市間隔，基準 1.88 年（1.88–2.17）；低＝雲端開始供應對雲端開始供應：H100（CoreWeave、Cirrascale GA 2023-03-21）→ GB200（CoreWeave GA 2025-02-04）＝1.88 年；高＝量產宣布對量產宣布（2022-09-20 → 2024-11-20）＝2.17 年；基準取低端。單一樣本。標記：工作單寫 Analogy（單一樣本）；Gov_Map 類別暫登 Assumed——Gov_Map 的 Analogy 須有可比 SRC_ID（Checks E2），而上市日期尚無 SRC 紀錄（A 段報告第 5 節；列待 Project 判斷）。只進 L1_GenPxThr_Rev_GB200／_Pay_GB200，不進任何 IF_；docs/workorders/20261015_世代價格B.md r0 B-1</t>
  </si>
  <si>
    <t xml:space="preserve">GM660</t>
  </si>
  <si>
    <t xml:space="preserve">D272:E272</t>
  </si>
  <si>
    <r>
      <rPr>
        <sz val="10"/>
        <color rgb="FF000000"/>
        <rFont val="Arial"/>
        <family val="0"/>
        <charset val="1"/>
      </rPr>
      <t xml:space="preserve">C272 </t>
    </r>
    <r>
      <rPr>
        <sz val="10"/>
        <color rgb="FF000000"/>
        <rFont val="Noto Sans CJK SC"/>
        <family val="2"/>
      </rPr>
      <t xml:space="preserve">的低、高端點</t>
    </r>
  </si>
  <si>
    <t xml:space="preserve">GM661</t>
  </si>
  <si>
    <t xml:space="preserve">C273</t>
  </si>
  <si>
    <t xml:space="preserve">世代上市間隔 Δ：GB200→GB300（CAP_GenGap_GB300；年）</t>
  </si>
  <si>
    <r>
      <rPr>
        <sz val="10"/>
        <color rgb="FF000000"/>
        <rFont val="Arial"/>
        <family val="0"/>
        <charset val="1"/>
      </rPr>
      <t xml:space="preserve">0.41–0.54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</si>
  <si>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端建議預設））：GB200→GB300 世代上市間隔，基準 0.41 年（0.41–0.54）；低＝首家部署對首家部署（GB200 2025-02-04 → GB300 CoreWeave 2025-07-03）＝0.41 年；高＝GB300 實例上線 2025-08-19＝0.54 年；基準取低端。GB200→GB300 是約半年的小改款，Δ 很短，年化價格變化率對 Δ 極敏感。標記：工作單寫 Analogy（單一樣本）；Gov_Map 類別暫登 Assumed——Gov_Map 的 Analogy 須有可比 SRC_ID（Checks E2），而上市日期尚無 SRC 紀錄（A 段報告第 5 節；列待 Project 判斷）。只進 L1_GenPxThr_Rev_GB300／_Pay_GB300，不進任何 IF_；docs/workorders/20261015_世代價格B.md r0 B-1</t>
  </si>
  <si>
    <t xml:space="preserve">GM662</t>
  </si>
  <si>
    <t xml:space="preserve">D273:E273</t>
  </si>
  <si>
    <r>
      <rPr>
        <sz val="10"/>
        <color rgb="FF000000"/>
        <rFont val="Arial"/>
        <family val="0"/>
        <charset val="1"/>
      </rPr>
      <t xml:space="preserve">C273 </t>
    </r>
    <r>
      <rPr>
        <sz val="10"/>
        <color rgb="FF000000"/>
        <rFont val="Noto Sans CJK SC"/>
        <family val="2"/>
      </rPr>
      <t xml:space="preserve">的低、高端點</t>
    </r>
  </si>
  <si>
    <t xml:space="preserve">GM663</t>
  </si>
  <si>
    <t xml:space="preserve">C274</t>
  </si>
  <si>
    <t xml:space="preserve">世代上市間隔 Δ：GB300→VR200（CAP_GenGap_VR200；年）</t>
  </si>
  <si>
    <r>
      <rPr>
        <sz val="10"/>
        <color rgb="FF000000"/>
        <rFont val="Arial"/>
        <family val="0"/>
        <charset val="1"/>
      </rPr>
      <t xml:space="preserve">1.11–1.24 </t>
    </r>
    <r>
      <rPr>
        <sz val="10"/>
        <color rgb="FF000000"/>
        <rFont val="Noto Sans CJK SC"/>
        <family val="2"/>
      </rPr>
      <t xml:space="preserve">年（低＝雲端對雲端／首家部署；高＝量產宣布對量產宣布／實例上線）</t>
    </r>
  </si>
  <si>
    <t xml:space="preserve">世代價格 B 段 B-1（Andy 2026-10-15 15:22「照預設」（採世代價格 A 段報告第 8 節的 chat 端建議預設））：GB300→VR200 世代上市間隔，基準 1.18 年（1.11–1.24）；基準＝GB300 兩種日期（2025-07-03 首家部署、2025-08-19 實例上線）到 VR200 雲端供應（CoreWeave 2026-09-30）的平均 1.18 年；低＝自 2025-08-19 起 1.11 年；高＝自 2025-07-03 起 1.24 年。VR200 頁面未稱 GA。標記：工作單寫 Analogy（單一樣本）；Gov_Map 類別暫登 Assumed——Gov_Map 的 Analogy 須有可比 SRC_ID（Checks E2），而上市日期尚無 SRC 紀錄（A 段報告第 5 節；列待 Project 判斷）。只進 L1_GenPxThr_Rev_VR200／_Pay_VR200，不進任何 IF_；docs/workorders/20261015_世代價格B.md r0 B-1</t>
  </si>
  <si>
    <t xml:space="preserve">GM664</t>
  </si>
  <si>
    <t xml:space="preserve">D274:E274</t>
  </si>
  <si>
    <r>
      <rPr>
        <sz val="10"/>
        <color rgb="FF000000"/>
        <rFont val="Arial"/>
        <family val="0"/>
        <charset val="1"/>
      </rPr>
      <t xml:space="preserve">C274 </t>
    </r>
    <r>
      <rPr>
        <sz val="10"/>
        <color rgb="FF000000"/>
        <rFont val="Noto Sans CJK SC"/>
        <family val="2"/>
      </rPr>
      <t xml:space="preserve">的低、高端點</t>
    </r>
  </si>
  <si>
    <t xml:space="preserve">GM665</t>
  </si>
  <si>
    <t xml:space="preserve">切片三（v8.0 D2／D14）</t>
  </si>
  <si>
    <t xml:space="preserve">C278</t>
  </si>
  <si>
    <t xml:space="preserve">AF2d-L1</t>
  </si>
  <si>
    <r>
      <rPr>
        <sz val="10"/>
        <color rgb="FF000000"/>
        <rFont val="Arial"/>
        <family val="0"/>
        <charset val="1"/>
      </rPr>
      <t xml:space="preserve">0.0669–0.3026 $/M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</si>
  <si>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nano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頁指向 </t>
    </r>
    <r>
      <rPr>
        <sz val="10"/>
        <color rgb="FF000000"/>
        <rFont val="Arial"/>
        <family val="0"/>
        <charset val="1"/>
      </rPr>
      <t xml:space="preserve">GPT-5.6 Luna</t>
    </r>
    <r>
      <rPr>
        <sz val="10"/>
        <color rgb="FF000000"/>
        <rFont val="Noto Sans CJK SC"/>
        <family val="2"/>
      </rPr>
      <t xml:space="preserve">）；高＝</t>
    </r>
    <r>
      <rPr>
        <sz val="10"/>
        <color rgb="FF000000"/>
        <rFont val="Arial"/>
        <family val="0"/>
        <charset val="1"/>
      </rPr>
      <t xml:space="preserve">mini </t>
    </r>
    <r>
      <rPr>
        <sz val="10"/>
        <color rgb="FF000000"/>
        <rFont val="Noto Sans CJK SC"/>
        <family val="2"/>
      </rPr>
      <t xml:space="preserve">線（</t>
    </r>
    <r>
      <rPr>
        <sz val="10"/>
        <color rgb="FF000000"/>
        <rFont val="Arial"/>
        <family val="0"/>
        <charset val="1"/>
      </rPr>
      <t xml:space="preserve">4o-mini→4.1-mini→GPT-5 mini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nano </t>
    </r>
    <r>
      <rPr>
        <sz val="10"/>
        <color rgb="FF000000"/>
        <rFont val="Noto Sans CJK SC"/>
        <family val="2"/>
      </rPr>
      <t xml:space="preserve">全年。按在售天數加權，不是按用量；牌價本身是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</si>
  <si>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GM666</t>
  </si>
  <si>
    <t xml:space="preserve">D278:E278</t>
  </si>
  <si>
    <r>
      <rPr>
        <sz val="10"/>
        <color rgb="FF000000"/>
        <rFont val="Arial"/>
        <family val="0"/>
        <charset val="1"/>
      </rPr>
      <t xml:space="preserve">C278 </t>
    </r>
    <r>
      <rPr>
        <sz val="10"/>
        <color rgb="FF000000"/>
        <rFont val="Noto Sans CJK SC"/>
        <family val="2"/>
      </rPr>
      <t xml:space="preserve">的低、高端點</t>
    </r>
  </si>
  <si>
    <t xml:space="preserve">GM667</t>
  </si>
  <si>
    <t xml:space="preserve">C279</t>
  </si>
  <si>
    <r>
      <rPr>
        <sz val="10"/>
        <color rgb="FF000000"/>
        <rFont val="Arial"/>
        <family val="0"/>
        <charset val="1"/>
      </rPr>
      <t xml:space="preserve">1.672–2.338 $/M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</si>
  <si>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主力（</t>
    </r>
    <r>
      <rPr>
        <sz val="10"/>
        <color rgb="FF000000"/>
        <rFont val="Arial"/>
        <family val="0"/>
        <charset val="1"/>
      </rPr>
      <t xml:space="preserve">4o→4.1→GPT-5→5.2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預設按付費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加權（</t>
    </r>
    <r>
      <rPr>
        <sz val="10"/>
        <color rgb="FF000000"/>
        <rFont val="Arial"/>
        <family val="0"/>
        <charset val="1"/>
      </rPr>
      <t xml:space="preserve">API 2,365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ChatGPT 1,460</t>
    </r>
    <r>
      <rPr>
        <sz val="10"/>
        <color rgb="FF000000"/>
        <rFont val="Noto Sans CJK SC"/>
        <family val="2"/>
      </rPr>
      <t xml:space="preserve">）；低＝</t>
    </r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全年；高＝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預設序列。按在售天數加權，不是按用量；牌價本身是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</si>
  <si>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GM668</t>
  </si>
  <si>
    <t xml:space="preserve">D279:E279</t>
  </si>
  <si>
    <r>
      <rPr>
        <sz val="10"/>
        <color rgb="FF000000"/>
        <rFont val="Arial"/>
        <family val="0"/>
        <charset val="1"/>
      </rPr>
      <t xml:space="preserve">C279 </t>
    </r>
    <r>
      <rPr>
        <sz val="10"/>
        <color rgb="FF000000"/>
        <rFont val="Noto Sans CJK SC"/>
        <family val="2"/>
      </rPr>
      <t xml:space="preserve">的低、高端點</t>
    </r>
  </si>
  <si>
    <t xml:space="preserve">GM669</t>
  </si>
  <si>
    <t xml:space="preserve">C280</t>
  </si>
  <si>
    <r>
      <rPr>
        <sz val="10"/>
        <color rgb="FF000000"/>
        <rFont val="Arial"/>
        <family val="0"/>
        <charset val="1"/>
      </rPr>
      <t xml:space="preserve">2.089–16.33 $/M</t>
    </r>
    <r>
      <rPr>
        <sz val="10"/>
        <color rgb="FF000000"/>
        <rFont val="Noto Sans CJK SC"/>
        <family val="2"/>
      </rPr>
      <t xml:space="preserve">（低、高端的層級對應見註）</t>
    </r>
  </si>
  <si>
    <r>
      <rPr>
        <sz val="10"/>
        <color rgb="FF000000"/>
        <rFont val="Arial"/>
        <family val="0"/>
        <charset val="1"/>
      </rPr>
      <t xml:space="preserve">v8.0 L1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年度層級單價，參考請求混合單價（表列未折扣；乘 </t>
    </r>
    <r>
      <rPr>
        <sz val="10"/>
        <color rgb="FF000000"/>
        <rFont val="Arial"/>
        <family val="0"/>
        <charset val="1"/>
      </rPr>
      <t xml:space="preserve">1 − B4_Disc </t>
    </r>
    <r>
      <rPr>
        <sz val="10"/>
        <color rgb="FF000000"/>
        <rFont val="Noto Sans CJK SC"/>
        <family val="2"/>
      </rPr>
      <t xml:space="preserve">後進入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混合有效單價）。推理旗艦序列（</t>
    </r>
    <r>
      <rPr>
        <sz val="10"/>
        <color rgb="FF000000"/>
        <rFont val="Arial"/>
        <family val="0"/>
        <charset val="1"/>
      </rPr>
      <t xml:space="preserve">o1→o3→GPT-5 thinking</t>
    </r>
    <r>
      <rPr>
        <sz val="10"/>
        <color rgb="FF000000"/>
        <rFont val="Noto Sans CJK SC"/>
        <family val="2"/>
      </rPr>
      <t xml:space="preserve">）；低＝同 </t>
    </r>
    <r>
      <rPr>
        <sz val="10"/>
        <color rgb="FF000000"/>
        <rFont val="Arial"/>
        <family val="0"/>
        <charset val="1"/>
      </rPr>
      <t xml:space="preserve">Sol API </t>
    </r>
    <r>
      <rPr>
        <sz val="10"/>
        <color rgb="FF000000"/>
        <rFont val="Noto Sans CJK SC"/>
        <family val="2"/>
      </rPr>
      <t xml:space="preserve">主力；高＝</t>
    </r>
    <r>
      <rPr>
        <sz val="10"/>
        <color rgb="FF000000"/>
        <rFont val="Arial"/>
        <family val="0"/>
        <charset val="1"/>
      </rPr>
      <t xml:space="preserve">o1 </t>
    </r>
    <r>
      <rPr>
        <sz val="10"/>
        <color rgb="FF000000"/>
        <rFont val="Noto Sans CJK SC"/>
        <family val="2"/>
      </rPr>
      <t xml:space="preserve">全年；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63.9</t>
    </r>
    <r>
      <rPr>
        <sz val="10"/>
        <color rgb="FF000000"/>
        <rFont val="Noto Sans CJK SC"/>
        <family val="2"/>
      </rPr>
      <t xml:space="preserve">）排除。按在售天數加權，不是按用量；牌價本身是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；不再乘能力倍數。來源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1.2–1.3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）。只進 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</si>
  <si>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GM670</t>
  </si>
  <si>
    <t xml:space="preserve">D280:E280</t>
  </si>
  <si>
    <r>
      <rPr>
        <sz val="10"/>
        <color rgb="FF000000"/>
        <rFont val="Arial"/>
        <family val="0"/>
        <charset val="1"/>
      </rPr>
      <t xml:space="preserve">C280 </t>
    </r>
    <r>
      <rPr>
        <sz val="10"/>
        <color rgb="FF000000"/>
        <rFont val="Noto Sans CJK SC"/>
        <family val="2"/>
      </rPr>
      <t xml:space="preserve">的低、高端點</t>
    </r>
  </si>
  <si>
    <t xml:space="preserve">GM671</t>
  </si>
  <si>
    <t xml:space="preserve">研發世代組合（2025）：Hopper</t>
  </si>
  <si>
    <t xml:space="preserve">AF2d-L3</t>
  </si>
  <si>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</si>
  <si>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40%–75%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</si>
  <si>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GM672</t>
  </si>
  <si>
    <t xml:space="preserve">GM673</t>
  </si>
  <si>
    <t xml:space="preserve">研發世代組合（2025）：GB200</t>
  </si>
  <si>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</si>
  <si>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38%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25%–55%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</si>
  <si>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GM674</t>
  </si>
  <si>
    <t xml:space="preserve">D30:E30</t>
  </si>
  <si>
    <r>
      <rPr>
        <sz val="10"/>
        <color rgb="FF000000"/>
        <rFont val="Arial"/>
        <family val="0"/>
        <charset val="1"/>
      </rPr>
      <t xml:space="preserve">C30 </t>
    </r>
    <r>
      <rPr>
        <sz val="10"/>
        <color rgb="FF000000"/>
        <rFont val="Noto Sans CJK SC"/>
        <family val="2"/>
      </rPr>
      <t xml:space="preserve">的低、高端點</t>
    </r>
  </si>
  <si>
    <t xml:space="preserve">GM675</t>
  </si>
  <si>
    <t xml:space="preserve">研發世代組合（2025）：GB300</t>
  </si>
  <si>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</si>
  <si>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0%–5%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</si>
  <si>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GM676</t>
  </si>
  <si>
    <t xml:space="preserve">D31:E31</t>
  </si>
  <si>
    <r>
      <rPr>
        <sz val="10"/>
        <color rgb="FF000000"/>
        <rFont val="Arial"/>
        <family val="0"/>
        <charset val="1"/>
      </rPr>
      <t xml:space="preserve">C31 </t>
    </r>
    <r>
      <rPr>
        <sz val="10"/>
        <color rgb="FF000000"/>
        <rFont val="Noto Sans CJK SC"/>
        <family val="2"/>
      </rPr>
      <t xml:space="preserve">的低、高端點</t>
    </r>
  </si>
  <si>
    <t xml:space="preserve">GM677</t>
  </si>
  <si>
    <t xml:space="preserve">研發世代組合（2025）：VR200</t>
  </si>
  <si>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（區間端點，非情境）</t>
    </r>
  </si>
  <si>
    <r>
      <rPr>
        <sz val="10"/>
        <color rgb="FF000000"/>
        <rFont val="Arial"/>
        <family val="0"/>
        <charset val="1"/>
      </rPr>
      <t xml:space="preserve">v8.0 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研發算力的世代組合（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占比），基準 </t>
    </r>
    <r>
      <rPr>
        <sz val="10"/>
        <color rgb="FF000000"/>
        <rFont val="Arial"/>
        <family val="0"/>
        <charset val="1"/>
      </rPr>
      <t xml:space="preserve">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0%–0%</t>
    </r>
    <r>
      <rPr>
        <sz val="10"/>
        <color rgb="FF000000"/>
        <rFont val="Noto Sans CJK SC"/>
        <family val="2"/>
      </rPr>
      <t xml:space="preserve">）。依據 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節（證據表 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GPT-5.2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上訓練，</t>
    </r>
    <r>
      <rPr>
        <sz val="10"/>
        <color rgb="FF000000"/>
        <rFont val="Arial"/>
        <family val="0"/>
        <charset val="1"/>
      </rPr>
      <t xml:space="preserve">Abilene GB200 </t>
    </r>
    <r>
      <rPr>
        <sz val="10"/>
        <color rgb="FF000000"/>
        <rFont val="Noto Sans CJK SC"/>
        <family val="2"/>
      </rPr>
      <t xml:space="preserve">自 </t>
    </r>
    <r>
      <rPr>
        <sz val="10"/>
        <color rgb="FF000000"/>
        <rFont val="Arial"/>
        <family val="0"/>
        <charset val="1"/>
      </rPr>
      <t xml:space="preserve">2025-06 </t>
    </r>
    <r>
      <rPr>
        <sz val="10"/>
        <color rgb="FF000000"/>
        <rFont val="Noto Sans CJK SC"/>
        <family val="2"/>
      </rPr>
      <t xml:space="preserve">交付，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雲端最早 </t>
    </r>
    <r>
      <rPr>
        <sz val="10"/>
        <color rgb="FF000000"/>
        <rFont val="Arial"/>
        <family val="0"/>
        <charset val="1"/>
      </rPr>
      <t xml:space="preserve">2026-09-30 </t>
    </r>
    <r>
      <rPr>
        <sz val="10"/>
        <color rgb="FF000000"/>
        <rFont val="Noto Sans CJK SC"/>
        <family val="2"/>
      </rPr>
      <t xml:space="preserve">才供應（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為高信心結論，其餘為低信心推導）。只進 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AL_RefGWyr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AL_HoldTrain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頁不動；四格合計 </t>
    </r>
    <r>
      <rPr>
        <sz val="10"/>
        <color rgb="FF000000"/>
        <rFont val="Arial"/>
        <family val="0"/>
        <charset val="1"/>
      </rPr>
      <t xml:space="preserve">100%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Checks Z2</t>
    </r>
    <r>
      <rPr>
        <sz val="10"/>
        <color rgb="FF000000"/>
        <rFont val="Noto Sans CJK SC"/>
        <family val="2"/>
      </rPr>
      <t xml:space="preserve">）</t>
    </r>
  </si>
  <si>
    <t xml:space="preserve">GM678</t>
  </si>
  <si>
    <t xml:space="preserve">D32:E32</t>
  </si>
  <si>
    <r>
      <rPr>
        <sz val="10"/>
        <color rgb="FF000000"/>
        <rFont val="Arial"/>
        <family val="0"/>
        <charset val="1"/>
      </rPr>
      <t xml:space="preserve">C32 </t>
    </r>
    <r>
      <rPr>
        <sz val="10"/>
        <color rgb="FF000000"/>
        <rFont val="Noto Sans CJK SC"/>
        <family val="2"/>
      </rPr>
      <t xml:space="preserve">的低、高端點</t>
    </r>
  </si>
  <si>
    <t xml:space="preserve">GM679</t>
  </si>
  <si>
    <t xml:space="preserve">C292</t>
  </si>
  <si>
    <t xml:space="preserve">AF2d-L5</t>
  </si>
  <si>
    <t xml:space="preserve">單值（400B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</si>
  <si>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L1_AstraExtTok_400B</t>
    </r>
  </si>
  <si>
    <t xml:space="preserve">GM680</t>
  </si>
  <si>
    <t xml:space="preserve">C293</t>
  </si>
  <si>
    <t xml:space="preserve">單值（800B 情境）</t>
  </si>
  <si>
    <r>
      <rPr>
        <sz val="10"/>
        <color rgb="FF000000"/>
        <rFont val="Arial"/>
        <family val="0"/>
        <charset val="1"/>
      </rPr>
      <t xml:space="preserve">v8.0 D14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），可撤回）：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全算為預訓練時，隱含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對啟用參數的敏感度情境（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節。不進任何計算，只用於 </t>
    </r>
    <r>
      <rPr>
        <sz val="10"/>
        <color rgb="FF000000"/>
        <rFont val="Arial"/>
        <family val="0"/>
        <charset val="1"/>
      </rPr>
      <t xml:space="preserve">Cap_In M-4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L1_AstraExtTok_800B</t>
    </r>
  </si>
  <si>
    <t xml:space="preserve">GM681</t>
  </si>
  <si>
    <t xml:space="preserve">切片四（v10.1 瘦身 4-1）</t>
  </si>
  <si>
    <t xml:space="preserve">Alloc</t>
  </si>
  <si>
    <t xml:space="preserve">I94:L95</t>
  </si>
  <si>
    <t xml:space="preserve">服務世代組合：全 GB200／全 VR200（G 節敏感度 one-hot 輸入）</t>
  </si>
  <si>
    <t xml:space="preserve">敏感度情境設定：G 節第 94 列＝全 GB200（J94＝1）、第 95 列＝全 VR200（L95＝1），其餘為 0；黃底藍字。v6.2 起存在但未登錄，v10.1 補登（4-0 盤點 G2）；不改任何輸入值</t>
  </si>
  <si>
    <r>
      <rPr>
        <b val="true"/>
        <sz val="13"/>
        <rFont val="Arial"/>
        <family val="0"/>
        <charset val="1"/>
      </rPr>
      <t xml:space="preserve">Decisions — </t>
    </r>
    <r>
      <rPr>
        <b val="true"/>
        <sz val="13"/>
        <rFont val="Noto Sans CJK SC"/>
        <family val="2"/>
      </rPr>
      <t xml:space="preserve">決策登錄（</t>
    </r>
    <r>
      <rPr>
        <b val="true"/>
        <sz val="13"/>
        <rFont val="Arial"/>
        <family val="0"/>
        <charset val="1"/>
      </rPr>
      <t xml:space="preserve">G11</t>
    </r>
    <r>
      <rPr>
        <b val="true"/>
        <sz val="13"/>
        <rFont val="Noto Sans CJK SC"/>
        <family val="2"/>
      </rPr>
      <t xml:space="preserve">：交接文件第 </t>
    </r>
    <r>
      <rPr>
        <b val="true"/>
        <sz val="13"/>
        <rFont val="Arial"/>
        <family val="0"/>
        <charset val="1"/>
      </rPr>
      <t xml:space="preserve">2 </t>
    </r>
    <r>
      <rPr>
        <b val="true"/>
        <sz val="13"/>
        <rFont val="Noto Sans CJK SC"/>
        <family val="2"/>
      </rPr>
      <t xml:space="preserve">節移入；之後交接文件只保留決策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</si>
  <si>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擁有：</t>
    </r>
    <r>
      <rPr>
        <sz val="9"/>
        <color rgb="FF595959"/>
        <rFont val="Arial"/>
        <family val="0"/>
        <charset val="1"/>
      </rPr>
      <t xml:space="preserve">builder </t>
    </r>
    <r>
      <rPr>
        <sz val="9"/>
        <color rgb="FF595959"/>
        <rFont val="Noto Sans CJK SC"/>
        <family val="2"/>
      </rPr>
      <t xml:space="preserve">只在本頁不存在時建立。模型頁的 </t>
    </r>
    <r>
      <rPr>
        <sz val="9"/>
        <color rgb="FF595959"/>
        <rFont val="Arial"/>
        <family val="0"/>
        <charset val="1"/>
      </rPr>
      <t xml:space="preserve">Decision </t>
    </r>
    <r>
      <rPr>
        <sz val="9"/>
        <color rgb="FF595959"/>
        <rFont val="Noto Sans CJK SC"/>
        <family val="2"/>
      </rPr>
      <t xml:space="preserve">格以決策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引用（見 </t>
    </r>
    <r>
      <rPr>
        <sz val="9"/>
        <color rgb="FF595959"/>
        <rFont val="Arial"/>
        <family val="0"/>
        <charset val="1"/>
      </rPr>
      <t xml:space="preserve">Gov_Map J </t>
    </r>
    <r>
      <rPr>
        <sz val="9"/>
        <color rgb="FF595959"/>
        <rFont val="Noto Sans CJK SC"/>
        <family val="2"/>
      </rPr>
      <t xml:space="preserve">欄）；</t>
    </r>
    <r>
      <rPr>
        <sz val="9"/>
        <color rgb="FF595959"/>
        <rFont val="Arial"/>
        <family val="0"/>
        <charset val="1"/>
      </rPr>
      <t xml:space="preserve">Checks </t>
    </r>
    <r>
      <rPr>
        <sz val="9"/>
        <color rgb="FF595959"/>
        <rFont val="Noto Sans CJK SC"/>
        <family val="2"/>
      </rPr>
      <t xml:space="preserve">檢查 </t>
    </r>
    <r>
      <rPr>
        <sz val="9"/>
        <color rgb="FF595959"/>
        <rFont val="Arial"/>
        <family val="0"/>
        <charset val="1"/>
      </rPr>
      <t xml:space="preserve">ID </t>
    </r>
    <r>
      <rPr>
        <sz val="9"/>
        <color rgb="FF595959"/>
        <rFont val="Noto Sans CJK SC"/>
        <family val="2"/>
      </rPr>
      <t xml:space="preserve">是否存在。「原話待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確認」＝是：轉錄自交接文件，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確認原話後改為否。</t>
    </r>
  </si>
  <si>
    <t xml:space="preserve">決議</t>
  </si>
  <si>
    <t xml:space="preserve">日期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</si>
  <si>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原話／依據</t>
    </r>
  </si>
  <si>
    <t xml:space="preserve">影響範圍（工作表、格、名稱）</t>
  </si>
  <si>
    <t xml:space="preserve">出處</t>
  </si>
  <si>
    <t xml:space="preserve">原話待 Andy 確認</t>
  </si>
  <si>
    <r>
      <rPr>
        <sz val="10"/>
        <color rgb="FF000000"/>
        <rFont val="Arial"/>
        <family val="0"/>
        <charset val="1"/>
      </rPr>
      <t xml:space="preserve">Block 1 </t>
    </r>
    <r>
      <rPr>
        <sz val="10"/>
        <color rgb="FF00000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</si>
  <si>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關鍵電力為準；設施電力＝</t>
    </r>
    <r>
      <rPr>
        <sz val="10"/>
        <color rgb="FF000000"/>
        <rFont val="Arial"/>
        <family val="0"/>
        <charset val="1"/>
      </rPr>
      <t xml:space="preserve">IT × PUE</t>
    </r>
    <r>
      <rPr>
        <sz val="10"/>
        <color rgb="FF000000"/>
        <rFont val="Noto Sans CJK SC"/>
        <family val="2"/>
      </rPr>
      <t xml:space="preserve">，兩者並列。外部揭露的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數字逐一標註口徑：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、設施或未明</t>
    </r>
  </si>
  <si>
    <r>
      <rPr>
        <sz val="10"/>
        <color rgb="FF000000"/>
        <rFont val="Arial"/>
        <family val="0"/>
        <charset val="1"/>
      </rPr>
      <t xml:space="preserve">2026-09-30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10-02</t>
    </r>
    <r>
      <rPr>
        <sz val="10"/>
        <color rgb="FF000000"/>
        <rFont val="Noto Sans CJK SC"/>
        <family val="2"/>
      </rPr>
      <t xml:space="preserve">（交接文件第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</t>
    </r>
  </si>
  <si>
    <t xml:space="preserve">生效</t>
  </si>
  <si>
    <r>
      <rPr>
        <sz val="10"/>
        <color rgb="FF000000"/>
        <rFont val="Arial"/>
        <family val="0"/>
        <charset val="1"/>
      </rPr>
      <t xml:space="preserve">Inputs!E5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已除以 </t>
    </r>
    <r>
      <rPr>
        <sz val="10"/>
        <color rgb="FF000000"/>
        <rFont val="Arial"/>
        <family val="0"/>
        <charset val="1"/>
      </rPr>
      <t xml:space="preserve">E5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F14</t>
    </r>
    <r>
      <rPr>
        <sz val="10"/>
        <color rgb="FF000000"/>
        <rFont val="Noto Sans CJK SC"/>
        <family val="2"/>
      </rPr>
      <t xml:space="preserve">）</t>
    </r>
  </si>
  <si>
    <t xml:space="preserve">交接第 2 節</t>
  </si>
  <si>
    <t xml:space="preserve">D2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</si>
  <si>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完整欄位：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推估欄。非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世代只放比例列 </t>
    </r>
    <r>
      <rPr>
        <sz val="10"/>
        <color rgb="FF000000"/>
        <rFont val="Arial"/>
        <family val="0"/>
        <charset val="1"/>
      </rPr>
      <t xml:space="preserve">[Assumed]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Block 2 </t>
    </r>
    <r>
      <rPr>
        <sz val="10"/>
        <color rgb="FF000000"/>
        <rFont val="Noto Sans CJK SC"/>
        <family val="2"/>
      </rPr>
      <t xml:space="preserve">加入</t>
    </r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</si>
  <si>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機架功率</t>
    </r>
  </si>
  <si>
    <t xml:space="preserve">做成情境：190／227／230 kW，基準 227 kW。機架數由配電設計功率決定；運轉模式（Max-Q／Max-P）只影響用電與產出</t>
  </si>
  <si>
    <r>
      <rPr>
        <sz val="10"/>
        <color rgb="FF000000"/>
        <rFont val="Arial"/>
        <family val="0"/>
        <charset val="1"/>
      </rPr>
      <t xml:space="preserve">Inputs!E6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8–10</t>
    </r>
  </si>
  <si>
    <t xml:space="preserve">持有成本</t>
  </si>
  <si>
    <t xml:space="preserve">會計口徑（直線折舊）與經濟口徑（資本回收年金）並列。IT 折舊年限基準 6 年，須與 CRWV 模型一致</t>
  </si>
  <si>
    <t xml:space="preserve">Inputs!D23:F23</t>
  </si>
  <si>
    <t xml:space="preserve">三個層級（Luna／Sol／Astra 類）各選一個代表架構</t>
  </si>
  <si>
    <t xml:space="preserve">每架產出</t>
  </si>
  <si>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分列；各層級分別設定 </t>
    </r>
    <r>
      <rPr>
        <sz val="10"/>
        <color rgb="FF000000"/>
        <rFont val="Arial"/>
        <family val="0"/>
        <charset val="1"/>
      </rPr>
      <t xml:space="preserve">SLO</t>
    </r>
  </si>
  <si>
    <t xml:space="preserve">營收</t>
  </si>
  <si>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，另加 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（理想上限）</t>
    </r>
  </si>
  <si>
    <t xml:space="preserve">下游介面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</si>
  <si>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輸出各層級的每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成本；</t>
    </r>
    <r>
      <rPr>
        <sz val="10"/>
        <color rgb="FF000000"/>
        <rFont val="Arial"/>
        <family val="0"/>
        <charset val="1"/>
      </rPr>
      <t xml:space="preserve">OpenAI v0.6 </t>
    </r>
    <r>
      <rPr>
        <sz val="10"/>
        <color rgb="FF000000"/>
        <rFont val="Noto Sans CJK SC"/>
        <family val="2"/>
      </rPr>
      <t xml:space="preserve">停用自己的 </t>
    </r>
    <r>
      <rPr>
        <sz val="10"/>
        <color rgb="FF000000"/>
        <rFont val="Arial"/>
        <family val="0"/>
        <charset val="1"/>
      </rPr>
      <t xml:space="preserve">roofline</t>
    </r>
    <r>
      <rPr>
        <sz val="10"/>
        <color rgb="FF000000"/>
        <rFont val="Noto Sans CJK SC"/>
        <family val="2"/>
      </rPr>
      <t xml:space="preserve">，改為連結 </t>
    </r>
    <r>
      <rPr>
        <sz val="10"/>
        <color rgb="FF000000"/>
        <rFont val="Arial"/>
        <family val="0"/>
        <charset val="1"/>
      </rPr>
      <t xml:space="preserve">Interface</t>
    </r>
  </si>
  <si>
    <t xml:space="preserve">零組件成本</t>
  </si>
  <si>
    <t xml:space="preserve">機架價格為輸入；另做 BOM 拆解作交叉檢查</t>
  </si>
  <si>
    <t xml:space="preserve">與擁有者無關的單一輸入：基準 10%、區間 8–13%。下游公司模型以自身 WACC 覆寫</t>
  </si>
  <si>
    <t xml:space="preserve">Inputs!D28:F28</t>
  </si>
  <si>
    <t xml:space="preserve">已移除</t>
  </si>
  <si>
    <r>
      <rPr>
        <sz val="10"/>
        <color rgb="FF000000"/>
        <rFont val="Arial"/>
        <family val="0"/>
        <charset val="1"/>
      </rPr>
      <t xml:space="preserve">OpenAI_Sim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FT_Sep2026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起 </t>
    </r>
    <r>
      <rPr>
        <sz val="10"/>
        <color rgb="FF000000"/>
        <rFont val="Arial"/>
        <family val="0"/>
        <charset val="1"/>
      </rPr>
      <t xml:space="preserve">Config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TL_Param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WP_Param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Revenue_Model </t>
    </r>
    <r>
      <rPr>
        <sz val="10"/>
        <color rgb="FF000000"/>
        <rFont val="Noto Sans CJK SC"/>
        <family val="2"/>
      </rPr>
      <t xml:space="preserve">由新頁取代</t>
    </r>
  </si>
  <si>
    <r>
      <rPr>
        <sz val="10"/>
        <color rgb="FF000000"/>
        <rFont val="Arial"/>
        <family val="0"/>
        <charset val="1"/>
      </rPr>
      <t xml:space="preserve">Block 2–3 </t>
    </r>
    <r>
      <rPr>
        <sz val="10"/>
        <color rgb="FF000000"/>
        <rFont val="Noto Sans CJK SC"/>
        <family val="2"/>
      </rPr>
      <t xml:space="preserve">建模</t>
    </r>
  </si>
  <si>
    <t xml:space="preserve">Astra KV</t>
  </si>
  <si>
    <t xml:space="preserve">情境：混合 14,976／全層 MLA 57,600（基準）／GQA-8 204,800 B/token</t>
  </si>
  <si>
    <t xml:space="preserve">Arch!E20–E23</t>
  </si>
  <si>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峰值</t>
    </r>
  </si>
  <si>
    <t xml:space="preserve">基準 dense 35 PF；NVFP4 推論 50 PF 只作高情境</t>
  </si>
  <si>
    <r>
      <rPr>
        <sz val="10"/>
        <color rgb="FF000000"/>
        <rFont val="Arial"/>
        <family val="0"/>
        <charset val="1"/>
      </rPr>
      <t xml:space="preserve">Serving!C16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24</t>
    </r>
  </si>
  <si>
    <t xml:space="preserve">J3</t>
  </si>
  <si>
    <t xml:space="preserve">SLO</t>
  </si>
  <si>
    <t xml:space="preserve">採市場觀測輸出速度：Luna 120、Sol 65、Astra 55 tok/s/user（Artificial Analysis 2026-09）</t>
  </si>
  <si>
    <t xml:space="preserve">Serving!C21:E21</t>
  </si>
  <si>
    <t xml:space="preserve">J4</t>
  </si>
  <si>
    <t xml:space="preserve">VR-eq</t>
  </si>
  <si>
    <t xml:space="preserve">依層級分列；下游單一數字預設用 Sol</t>
  </si>
  <si>
    <t xml:space="preserve">J5</t>
  </si>
  <si>
    <t xml:space="preserve">任務組合</t>
  </si>
  <si>
    <t xml:space="preserve">組合權重在下游；Tokenomics 只定義標準任務，Block 4 保留一組參考組合</t>
  </si>
  <si>
    <t xml:space="preserve">J6</t>
  </si>
  <si>
    <t xml:space="preserve">利用率</t>
  </si>
  <si>
    <r>
      <rPr>
        <sz val="10"/>
        <color rgb="FF000000"/>
        <rFont val="Arial"/>
        <family val="0"/>
        <charset val="1"/>
      </rPr>
      <t xml:space="preserve">Unit_Cost </t>
    </r>
    <r>
      <rPr>
        <sz val="10"/>
        <color rgb="FF000000"/>
        <rFont val="Noto Sans CJK SC"/>
        <family val="2"/>
      </rPr>
      <t xml:space="preserve">同時輸出 </t>
    </r>
    <r>
      <rPr>
        <sz val="10"/>
        <color rgb="FF000000"/>
        <rFont val="Arial"/>
        <family val="0"/>
        <charset val="1"/>
      </rPr>
      <t xml:space="preserve">100% </t>
    </r>
    <r>
      <rPr>
        <sz val="10"/>
        <color rgb="FF000000"/>
        <rFont val="Noto Sans CJK SC"/>
        <family val="2"/>
      </rPr>
      <t xml:space="preserve">與基準利用率；基準值暫用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</si>
  <si>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生效（暫用值）</t>
  </si>
  <si>
    <t xml:space="preserve">Serving!C17</t>
  </si>
  <si>
    <t xml:space="preserve">J15</t>
  </si>
  <si>
    <t xml:space="preserve">生產折減</t>
  </si>
  <si>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「實測→生產效率折減」：</t>
    </r>
    <r>
      <rPr>
        <sz val="10"/>
        <color rgb="FF000000"/>
        <rFont val="Arial"/>
        <family val="0"/>
        <charset val="1"/>
      </rPr>
      <t xml:space="preserve">η_p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乘此值，每層延遲除以此值；暫用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給值</t>
    </r>
  </si>
  <si>
    <t xml:space="preserve">「實測→生產效率折減」</t>
  </si>
  <si>
    <t xml:space="preserve">Serving!C18</t>
  </si>
  <si>
    <t xml:space="preserve">P1</t>
  </si>
  <si>
    <t xml:space="preserve">原則與分工</t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</si>
  <si>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）資料須有第二來源佐證，並標記 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2026-09-30</t>
    </r>
    <r>
      <rPr>
        <sz val="10"/>
        <color rgb="FF000000"/>
        <rFont val="Noto Sans CJK SC"/>
        <family val="2"/>
      </rPr>
      <t xml:space="preserve">：其資料傾向樂觀）</t>
    </r>
  </si>
  <si>
    <t xml:space="preserve">2026-09-30</t>
  </si>
  <si>
    <t xml:space="preserve">J7</t>
  </si>
  <si>
    <t xml:space="preserve">訓練精度</t>
  </si>
  <si>
    <r>
      <rPr>
        <sz val="10"/>
        <color rgb="FF000000"/>
        <rFont val="Arial"/>
        <family val="0"/>
        <charset val="1"/>
      </rPr>
      <t xml:space="preserve">FP8 dense </t>
    </r>
    <r>
      <rPr>
        <sz val="10"/>
        <color rgb="FF000000"/>
        <rFont val="Noto Sans CJK SC"/>
        <family val="2"/>
      </rPr>
      <t xml:space="preserve">為訓練峰值與 </t>
    </r>
    <r>
      <rPr>
        <sz val="10"/>
        <color rgb="FF000000"/>
        <rFont val="Arial"/>
        <family val="0"/>
        <charset val="1"/>
      </rPr>
      <t xml:space="preserve">MFU </t>
    </r>
    <r>
      <rPr>
        <sz val="10"/>
        <color rgb="FF000000"/>
        <rFont val="Noto Sans CJK SC"/>
        <family val="2"/>
      </rPr>
      <t xml:space="preserve">分母；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預訓練列 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（未啟用）</t>
    </r>
  </si>
  <si>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預訓練規模</t>
    </r>
  </si>
  <si>
    <t xml:space="preserve">與 Arch 一致（180B 啟用 × 60T token）為基準；前沿錨點（2e26／5e26／2e27）列 Checks 顯示差距</t>
  </si>
  <si>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規模</t>
    </r>
  </si>
  <si>
    <t xml:space="preserve">由下而上以 rollout 輸出 token 為輸入；基準校到 VR200 上 RL ÷ 預訓練 GPU 小時 Luna／Sol 約 0.3、Astra 約 1.0（外部錨點為 GPU 小時口徑，故效率改變時重校 rollout token、維持 GPU 小時：Andy 2026-10-01 決定 (a)）</t>
  </si>
  <si>
    <t xml:space="preserve">基準 8（Epoch 三家 4.4–10.4）；乘在 GPU 小時上；家族合計、依最終訓練比例分攤</t>
  </si>
  <si>
    <t xml:space="preserve">J11</t>
  </si>
  <si>
    <t xml:space="preserve">用途 × 型態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</si>
  <si>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只列單一模型計畫；</t>
    </r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機隊參考配置放 </t>
    </r>
    <r>
      <rPr>
        <sz val="10"/>
        <color rgb="FF000000"/>
        <rFont val="Arial"/>
        <family val="0"/>
        <charset val="1"/>
      </rPr>
      <t xml:space="preserve">Block 4</t>
    </r>
  </si>
  <si>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精度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</si>
  <si>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做法）；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預設）為 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情境</t>
    </r>
  </si>
  <si>
    <t xml:space="preserve">下游預設訓練世代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</si>
  <si>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預設，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並列（</t>
    </r>
    <r>
      <rPr>
        <sz val="10"/>
        <color rgb="FF000000"/>
        <rFont val="Arial"/>
        <family val="0"/>
        <charset val="1"/>
      </rPr>
      <t xml:space="preserve">Andy 2026-09-30 </t>
    </r>
    <r>
      <rPr>
        <sz val="10"/>
        <color rgb="FF000000"/>
        <rFont val="Noto Sans CJK SC"/>
        <family val="2"/>
      </rPr>
      <t xml:space="preserve">決定，改自建議的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</si>
  <si>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t xml:space="preserve">IF_TrainGenDefault</t>
  </si>
  <si>
    <t xml:space="preserve">主流判定</t>
  </si>
  <si>
    <t xml:space="preserve">至少兩家實驗室公開採用；Tech_Registry L 欄可由 Andy 覆寫</t>
  </si>
  <si>
    <t xml:space="preserve">P2</t>
  </si>
  <si>
    <t xml:space="preserve">唯一事實來源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</si>
  <si>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所有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相關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HTML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的唯一事實來源；新發現一律與它比對，正確者更新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並記入 </t>
    </r>
    <r>
      <rPr>
        <sz val="10"/>
        <color rgb="FF000000"/>
        <rFont val="Arial"/>
        <family val="0"/>
        <charset val="1"/>
      </rPr>
      <t xml:space="preserve">DB_Evidence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）。涵蓋範圍與流程已於 </t>
    </r>
    <r>
      <rPr>
        <sz val="10"/>
        <color rgb="FF000000"/>
        <rFont val="Arial"/>
        <family val="0"/>
        <charset val="1"/>
      </rPr>
      <t xml:space="preserve">2026-10-02 </t>
    </r>
    <r>
      <rPr>
        <sz val="10"/>
        <color rgb="FF000000"/>
        <rFont val="Noto Sans CJK SC"/>
        <family val="2"/>
      </rPr>
      <t xml:space="preserve">定案：</t>
    </r>
    <r>
      <rPr>
        <sz val="10"/>
        <color rgb="FF000000"/>
        <rFont val="Arial"/>
        <family val="0"/>
        <charset val="1"/>
      </rPr>
      <t xml:space="preserve">G1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G8</t>
    </r>
  </si>
  <si>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2026-10-02</t>
    </r>
  </si>
  <si>
    <t xml:space="preserve">P3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</si>
  <si>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優先（</t>
    </r>
    <r>
      <rPr>
        <sz val="10"/>
        <color rgb="FF000000"/>
        <rFont val="Arial"/>
        <family val="0"/>
        <charset val="1"/>
      </rPr>
      <t xml:space="preserve">v5.7</t>
    </r>
    <r>
      <rPr>
        <sz val="10"/>
        <color rgb="FF000000"/>
        <rFont val="Noto Sans CJK SC"/>
        <family val="2"/>
      </rPr>
      <t xml:space="preserve">）</t>
    </r>
  </si>
  <si>
    <t xml:space="preserve">輸入值由 Excel 擁有（藍字格）；builder 重建公式頁時讀回輸入，程式預設只用於新增列。改輸入一律改 Excel。Stage 1 起，原始數據的藍字移到 SRC_* 頁，模型頁改以公式連結（G1）；Analogy、Assumed、Decision 的藍字仍留在模型頁</t>
  </si>
  <si>
    <t xml:space="preserve">P4</t>
  </si>
  <si>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修改分工（</t>
    </r>
    <r>
      <rPr>
        <sz val="10"/>
        <color rgb="FF000000"/>
        <rFont val="Arial"/>
        <family val="0"/>
        <charset val="1"/>
      </rPr>
      <t xml:space="preserve">2026-10-01</t>
    </r>
    <r>
      <rPr>
        <sz val="10"/>
        <color rgb="FF000000"/>
        <rFont val="Noto Sans CJK SC"/>
        <family val="2"/>
      </rPr>
      <t xml:space="preserve">）</t>
    </r>
  </si>
  <si>
    <t xml:space="preserve">判斷類（輸入值、機制、參數、來源標記、Tech_Registry、DB_Evidence 判定）只在 chat 端；工程類（具名範圍、標籤、格式、顯示列、不改數值的 builder 重構）由 CC 以 repo builder/ 直接執行（CLAUDE.md 修訂四第 4a 節）。分不清時視為判斷類</t>
  </si>
  <si>
    <t xml:space="preserve">P5</t>
  </si>
  <si>
    <t xml:space="preserve">檔案存放（2026-10-01）</t>
  </si>
  <si>
    <r>
      <rPr>
        <sz val="10"/>
        <color rgb="FF000000"/>
        <rFont val="Arial"/>
        <family val="0"/>
        <charset val="1"/>
      </rPr>
      <t xml:space="preserve">repo master </t>
    </r>
    <r>
      <rPr>
        <sz val="10"/>
        <color rgb="FF000000"/>
        <rFont val="Noto Sans CJK SC"/>
        <family val="2"/>
      </rPr>
      <t xml:space="preserve">是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的存放處；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端從 </t>
    </r>
    <r>
      <rPr>
        <sz val="10"/>
        <color rgb="FF000000"/>
        <rFont val="Arial"/>
        <family val="0"/>
        <charset val="1"/>
      </rPr>
      <t xml:space="preserve">raw.githubusercontent.com </t>
    </r>
    <r>
      <rPr>
        <sz val="10"/>
        <color rgb="FF000000"/>
        <rFont val="Noto Sans CJK SC"/>
        <family val="2"/>
      </rPr>
      <t xml:space="preserve">下載 </t>
    </r>
    <r>
      <rPr>
        <sz val="10"/>
        <color rgb="FF000000"/>
        <rFont val="Arial"/>
        <family val="0"/>
        <charset val="1"/>
      </rPr>
      <t xml:space="preserve">model/CURRENT </t>
    </r>
    <r>
      <rPr>
        <sz val="10"/>
        <color rgb="FF000000"/>
        <rFont val="Noto Sans CJK SC"/>
        <family val="2"/>
      </rPr>
      <t xml:space="preserve">指向的現行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builder/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只需交接文件；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只要把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交付的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builder md </t>
    </r>
    <r>
      <rPr>
        <sz val="10"/>
        <color rgb="FF000000"/>
        <rFont val="Noto Sans CJK SC"/>
        <family val="2"/>
      </rPr>
      <t xml:space="preserve">上傳到 </t>
    </r>
    <r>
      <rPr>
        <sz val="10"/>
        <color rgb="FF000000"/>
        <rFont val="Arial"/>
        <family val="0"/>
        <charset val="1"/>
      </rPr>
      <t xml:space="preserve">repo</t>
    </r>
  </si>
  <si>
    <t xml:space="preserve">P6</t>
  </si>
  <si>
    <t xml:space="preserve">具名公式（Block 4 起）</t>
  </si>
  <si>
    <t xml:space="preserve">新公式的關鍵物理量以具名範圍引用，使公式可讀；Block 1–3 既有公式不追溯</t>
  </si>
  <si>
    <t xml:space="preserve">單價基準（Block 4）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</si>
  <si>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層級牌價為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主線；需呈現中國廠商定價（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</si>
  <si>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「K1:單價以OAI為基準我們意見。」（2026-10-01；「我們意見」為「我沒意見」之誤，Andy 2026-10-03 確認）</t>
  </si>
  <si>
    <t xml:space="preserve">單價前緣</t>
  </si>
  <si>
    <r>
      <rPr>
        <sz val="10"/>
        <color rgb="FF000000"/>
        <rFont val="Arial"/>
        <family val="0"/>
        <charset val="1"/>
      </rPr>
      <t xml:space="preserve">(i)</t>
    </r>
    <r>
      <rPr>
        <sz val="10"/>
        <color rgb="FF000000"/>
        <rFont val="Noto Sans CJK SC"/>
        <family val="2"/>
      </rPr>
      <t xml:space="preserve">：能力指數 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層級模型者之中，參考請求混合單價最低者；以整筆請求比較，不逐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類型取最低</t>
    </r>
  </si>
  <si>
    <t xml:space="preserve">「K2: (i)」（2026-10-01）</t>
  </si>
  <si>
    <t xml:space="preserve">能力指標</t>
  </si>
  <si>
    <r>
      <rPr>
        <sz val="10"/>
        <color rgb="FF000000"/>
        <rFont val="Arial"/>
        <family val="0"/>
        <charset val="1"/>
      </rPr>
      <t xml:space="preserve">Artificial Analysis Intelligence Index </t>
    </r>
    <r>
      <rPr>
        <sz val="10"/>
        <color rgb="FF000000"/>
        <rFont val="Noto Sans CJK SC"/>
        <family val="2"/>
      </rPr>
      <t xml:space="preserve">為主（全表固定同一版本，</t>
    </r>
    <r>
      <rPr>
        <sz val="10"/>
        <color rgb="FF000000"/>
        <rFont val="Arial"/>
        <family val="0"/>
        <charset val="1"/>
      </rPr>
      <t xml:space="preserve">v4.3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時間長度為檢查（未入表）</t>
    </r>
  </si>
  <si>
    <t xml:space="preserve">能力 → 單價</t>
  </si>
  <si>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(d)</t>
    </r>
    <r>
      <rPr>
        <sz val="10"/>
        <color rgb="FF000000"/>
        <rFont val="Noto Sans CJK SC"/>
        <family val="2"/>
      </rPr>
      <t xml:space="preserve">：機制保留、彈性 </t>
    </r>
    <r>
      <rPr>
        <sz val="10"/>
        <color rgb="FF000000"/>
        <rFont val="Arial"/>
        <family val="0"/>
        <charset val="1"/>
      </rPr>
      <t xml:space="preserve">ε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0–0.5</t>
    </r>
    <r>
      <rPr>
        <sz val="10"/>
        <color rgb="FF000000"/>
        <rFont val="Noto Sans CJK SC"/>
        <family val="2"/>
      </rPr>
      <t xml:space="preserve">）；另列「回本所需單價溢價」與觀測層級價差比較。不採 </t>
    </r>
    <r>
      <rPr>
        <sz val="10"/>
        <color rgb="FF000000"/>
        <rFont val="Arial"/>
        <family val="0"/>
        <charset val="1"/>
      </rPr>
      <t xml:space="preserve">(a) </t>
    </r>
    <r>
      <rPr>
        <sz val="10"/>
        <color rgb="FF000000"/>
        <rFont val="Noto Sans CJK SC"/>
        <family val="2"/>
      </rPr>
      <t xml:space="preserve">的理由：斜率無法識別、前緣由接近成本者決定致循環、層級牌價已含能力、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誤差相乘</t>
    </r>
  </si>
  <si>
    <t xml:space="preserve">「回本所需單價溢價」</t>
  </si>
  <si>
    <t xml:space="preserve">商業壽命</t>
  </si>
  <si>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12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6–24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Astra 9 </t>
    </r>
    <r>
      <rPr>
        <sz val="10"/>
        <color rgb="FF000000"/>
        <rFont val="Noto Sans CJK SC"/>
        <family val="2"/>
      </rPr>
      <t xml:space="preserve">個月（</t>
    </r>
    <r>
      <rPr>
        <sz val="10"/>
        <color rgb="FF000000"/>
        <rFont val="Arial"/>
        <family val="0"/>
        <charset val="1"/>
      </rPr>
      <t xml:space="preserve">6–18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[Assumed]</t>
    </r>
  </si>
  <si>
    <t xml:space="preserve">攤提口徑</t>
  </si>
  <si>
    <t xml:space="preserve">自下而上與由上而下並列；下游預設採 (c)：由上而下總額（機隊訓練＋研發支出）× 自下而上權重（各層級研發計畫年化成本）分配（Andy 2026-10-01）。另列 (d) 營收權重分配；毛利率一律另列不含攤提的口徑，以便與公司揭露毛利率比較</t>
  </si>
  <si>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IF_AmortDefault_*</t>
    </r>
  </si>
  <si>
    <r>
      <rPr>
        <sz val="10"/>
        <color rgb="FF000000"/>
        <rFont val="Arial"/>
        <family val="0"/>
        <charset val="1"/>
      </rPr>
      <t xml:space="preserve">1 GW </t>
    </r>
    <r>
      <rPr>
        <sz val="10"/>
        <color rgb="FF000000"/>
        <rFont val="Noto Sans CJK SC"/>
        <family val="2"/>
      </rPr>
      <t xml:space="preserve">參考配置</t>
    </r>
  </si>
  <si>
    <t xml:space="preserve">以 OpenAI 2025 支出校準：服務 41%（30–60%）、免費占服務 46%（35–60%）；付費層級組合 40／45／15%、免費 90／10／0%</t>
  </si>
  <si>
    <t xml:space="preserve">K8</t>
  </si>
  <si>
    <t xml:space="preserve">營收範圍</t>
  </si>
  <si>
    <t xml:space="preserve">只計 API 計次單價；訂閱在下游</t>
  </si>
  <si>
    <t xml:space="preserve">K9</t>
  </si>
  <si>
    <t xml:space="preserve">世代 × 單價</t>
  </si>
  <si>
    <t xml:space="preserve">各世代共用 2026-09／10 單價快照；年降幅不入基準（中國廠商 2026 年反而調漲，E012）</t>
  </si>
  <si>
    <t xml:space="preserve">快取儲存</t>
  </si>
  <si>
    <t xml:space="preserve">比照公開快取條款：DRAM、保留 5 分鐘（至 1 小時）、每次寫入命中 5 次（1–20）[Assumed]</t>
  </si>
  <si>
    <t xml:space="preserve">利用率與折減</t>
  </si>
  <si>
    <t xml:space="preserve">維持 60%、1.0 暫用值；Andy 2026-10-02 再確認「先維持暫用值」（G0-11）：標記維持 Assumed，不以 A 級寫入 Source；Andy 日後給值時再以 A 級登錄</t>
  </si>
  <si>
    <t xml:space="preserve">2026-10-02</t>
  </si>
  <si>
    <t xml:space="preserve">「先維持暫用值」</t>
  </si>
  <si>
    <t xml:space="preserve">Serving!C17:C18</t>
  </si>
  <si>
    <t xml:space="preserve">尖峰離峰</t>
  </si>
  <si>
    <t xml:space="preserve">兩者並列；前緣用依時數加權（DeepSeek 尖峰每週 35 小時，加權係數 0.604）</t>
  </si>
  <si>
    <t xml:space="preserve">中國廠商</t>
  </si>
  <si>
    <t xml:space="preserve">全部納入（含閉源），以欄位標示開放權重</t>
  </si>
  <si>
    <t xml:space="preserve">「單價(不一定要在K1)要有中國元素(中國開源廠商的定價)，來展示有中國廠商競爭下的市場樣貌(雖然可能集中在低端)」（2026-10-01）</t>
  </si>
  <si>
    <t xml:space="preserve">K14</t>
  </si>
  <si>
    <t xml:space="preserve">幣別</t>
  </si>
  <si>
    <t xml:space="preserve">國際站美元價；人民幣國內價留待擴充</t>
  </si>
  <si>
    <t xml:space="preserve">Block 5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</si>
  <si>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表達</t>
    </r>
  </si>
  <si>
    <t xml:space="preserve">依任務分列的參數組（輪數倍數、思考保留 ρ、每輪思考倍數、歷史壓縮比、快取命中 χ、子代理 m、狀態保留時間、供應商專屬標記），取代 Workload 列 13 單一 token 倍數（Andy 2026-10-01：擴充其「token 倍數：預設 1.0」原話）</t>
  </si>
  <si>
    <t xml:space="preserve">「token 倍數：預設 1.0」</t>
  </si>
  <si>
    <r>
      <rPr>
        <sz val="10"/>
        <color rgb="FF000000"/>
        <rFont val="Arial"/>
        <family val="0"/>
        <charset val="1"/>
      </rPr>
      <t xml:space="preserve">Workload 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</t>
    </r>
  </si>
  <si>
    <t xml:space="preserve">L2</t>
  </si>
  <si>
    <t xml:space="preserve">成功率機制</t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</si>
  <si>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型：成功率由任務長度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50% </t>
    </r>
    <r>
      <rPr>
        <sz val="10"/>
        <color rgb="FF000000"/>
        <rFont val="Noto Sans CJK SC"/>
        <family val="2"/>
      </rPr>
      <t xml:space="preserve">時間範圍推出（斜率 </t>
    </r>
    <r>
      <rPr>
        <sz val="10"/>
        <color rgb="FF000000"/>
        <rFont val="Arial"/>
        <family val="0"/>
        <charset val="1"/>
      </rPr>
      <t xml:space="preserve">β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乘在時間範圍上，短程／長程分列；另設「層級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任務」成功率覆寫欄</t>
    </r>
  </si>
  <si>
    <t xml:space="preserve">「層級 × 任務」</t>
  </si>
  <si>
    <t xml:space="preserve">增強檔入基準</t>
  </si>
  <si>
    <t xml:space="preserve">不入基準：開關 0、能力提升倍數 1、token 參數同標準檔（沿用 Andy「預設 0／1.0」）；增強檔只作情境</t>
  </si>
  <si>
    <t xml:space="preserve">「預設 0／1.0」</t>
  </si>
  <si>
    <r>
      <rPr>
        <sz val="10"/>
        <color rgb="FF000000"/>
        <rFont val="Arial"/>
        <family val="0"/>
        <charset val="1"/>
      </rPr>
      <t xml:space="preserve">Workload 13–14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Tech_Registry T12</t>
    </r>
  </si>
  <si>
    <t xml:space="preserve">L4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</si>
  <si>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</t>
    </r>
  </si>
  <si>
    <t xml:space="preserve">不影響：每 GW 理論營收為產能上限，harness 只作用於每任務層（Workload、Theory_Rev C、Harness 頁）；J5 不動</t>
  </si>
  <si>
    <t xml:space="preserve">L5</t>
  </si>
  <si>
    <t xml:space="preserve">每成功任務成本</t>
  </si>
  <si>
    <t xml:space="preserve">每次嘗試成本 ÷ 成功率 p（重試獨立、失敗可偵測）；失敗可偵測比例留作敏感度</t>
  </si>
  <si>
    <t xml:space="preserve">L6</t>
  </si>
  <si>
    <t xml:space="preserve">非 GPU harness 成本</t>
  </si>
  <si>
    <t xml:space="preserve">不入第 0 層，列待辦（缺每任務沙盒／CPU 成本公開數據）</t>
  </si>
  <si>
    <t xml:space="preserve">L7</t>
  </si>
  <si>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證據規則</t>
    </r>
  </si>
  <si>
    <t xml:space="preserve">只有中立方（ARC Prize、METR、Artificial Analysis 等）在同條件測得者可作情境值；廠商自報一律 Interested-party，只作對照</t>
  </si>
  <si>
    <t xml:space="preserve">M0</t>
  </si>
  <si>
    <t xml:space="preserve">機隊層級標示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</si>
  <si>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：機隊合計保留，另列各層級貢獻（</t>
    </r>
    <r>
      <rPr>
        <sz val="10"/>
        <color rgb="FF000000"/>
        <rFont val="Arial"/>
        <family val="0"/>
        <charset val="1"/>
      </rPr>
      <t xml:space="preserve">IF_RevGWFleet_*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IF_RevGWFleetFront_*</t>
    </r>
    <r>
      <rPr>
        <sz val="10"/>
        <color rgb="FF000000"/>
        <rFont val="Noto Sans CJK SC"/>
        <family val="2"/>
      </rPr>
      <t xml:space="preserve">），合計＝三層級之和（</t>
    </r>
    <r>
      <rPr>
        <sz val="10"/>
        <color rgb="FF000000"/>
        <rFont val="Arial"/>
        <family val="0"/>
        <charset val="1"/>
      </rPr>
      <t xml:space="preserve">Andy 2026-10-01</t>
    </r>
    <r>
      <rPr>
        <sz val="10"/>
        <color rgb="FF000000"/>
        <rFont val="Noto Sans CJK SC"/>
        <family val="2"/>
      </rPr>
      <t xml:space="preserve">）</t>
    </r>
  </si>
  <si>
    <t xml:space="preserve">Interface IF_RevGWFleet_*</t>
  </si>
  <si>
    <t xml:space="preserve">非同步 RL（T10）</t>
  </si>
  <si>
    <t xml:space="preserve">主流、已在基準（2026-10-01）：旗艦模型披露 DeepSeek V4.1、Zhipu GLM-5、Moonshot Kimi、Meta Llama 3；閉源四家未找到披露。rollout 效率 0.6 → 0.85，rollout token 2／2／8 → 2.36／2.36／9.6T</t>
  </si>
  <si>
    <t xml:space="preserve">G1</t>
  </si>
  <si>
    <t xml:space="preserve">治理</t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</si>
  <si>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層</t>
    </r>
  </si>
  <si>
    <r>
      <rPr>
        <sz val="10"/>
        <color rgb="FF000000"/>
        <rFont val="Arial"/>
        <family val="0"/>
        <charset val="1"/>
      </rPr>
      <t xml:space="preserve">Source </t>
    </r>
    <r>
      <rPr>
        <sz val="10"/>
        <color rgb="FF000000"/>
        <rFont val="Noto Sans CJK SC"/>
        <family val="2"/>
      </rPr>
      <t xml:space="preserve">只存已取得的原始訊息（非計算、非假設），存數值；模型頁的原始數據以公式連結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（附可比對象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（附區間與理由）、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（附決策 </t>
    </r>
    <r>
      <rPr>
        <sz val="10"/>
        <color rgb="FF000000"/>
        <rFont val="Arial"/>
        <family val="0"/>
        <charset val="1"/>
      </rPr>
      <t xml:space="preserve">ID</t>
    </r>
    <r>
      <rPr>
        <sz val="10"/>
        <color rgb="FF000000"/>
        <rFont val="Noto Sans CJK SC"/>
        <family val="2"/>
      </rPr>
      <t xml:space="preserve">）留在模型頁（</t>
    </r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）</t>
    </r>
  </si>
  <si>
    <t xml:space="preserve">G2</t>
  </si>
  <si>
    <t xml:space="preserve">新訊息流程</t>
  </si>
  <si>
    <t xml:space="preserve">需求出現 → 查 Source → 查 DB_Evidence（已看過或曾不採納者不重複處理）→ 候選逐筆登錄 DB_Evidence → 比較 → 取代／並列（Alt）／不採納／待 Andy → 寫入 SRC、重算、Checks ERROR 0 → 登錄結果。Andy 提供的訊息走同一流程。比較判定屬判斷類（chat 端）</t>
  </si>
  <si>
    <t xml:space="preserve">G3</t>
  </si>
  <si>
    <t xml:space="preserve">來源等級</t>
  </si>
  <si>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（被證偽前最高；主要為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主觀看法，保留原話）、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＝未查核；立場（中立／利害關係方）為另一軸；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規則不變</t>
    </r>
  </si>
  <si>
    <t xml:space="preserve">G4</t>
  </si>
  <si>
    <t xml:space="preserve">比較規則</t>
  </si>
  <si>
    <t xml:space="preserve">只比同指標、同口徑；順序：等級 → 立場 → 口徑接近度 → 日期（D3）</t>
  </si>
  <si>
    <t xml:space="preserve">舊資料保留</t>
  </si>
  <si>
    <t xml:space="preserve">被取代者留在 SRC（Superseded，記取代者）；不採納者留在 DB_Evidence 作「已看過」清單（D1）</t>
  </si>
  <si>
    <t xml:space="preserve">「已看過」</t>
  </si>
  <si>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級證偽</t>
    </r>
  </si>
  <si>
    <r>
      <rPr>
        <sz val="10"/>
        <color rgb="FF000000"/>
        <rFont val="Arial"/>
        <family val="0"/>
        <charset val="1"/>
      </rPr>
      <t xml:space="preserve">Claude </t>
    </r>
    <r>
      <rPr>
        <sz val="10"/>
        <color rgb="FF000000"/>
        <rFont val="Noto Sans CJK SC"/>
        <family val="2"/>
      </rPr>
      <t xml:space="preserve">不自動取代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級；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級中立證據落在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值或區間外即逐筆提交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，判定前維持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</si>
  <si>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分頁</t>
    </r>
  </si>
  <si>
    <t xml:space="preserve">依欄位結構拆頁，不看筆數：SRC_HW、SRC_DC、SRC_Model、SRC_Perf、SRC_Price、SRC_Cap、SRC_Demand、SRC_Harness；新增分頁屬工程類。現有 Sources（61 筆文字、0 格數值）拆成數值紀錄後改名 Sources_Legacy</t>
  </si>
  <si>
    <t xml:space="preserve">下游取數與邊界</t>
  </si>
  <si>
    <t xml:space="preserve">下游可直接取 Source（以 SRC_ID、只取 Active；D4）。AI 技術、算力需求、供給、價格、成本數據屬 Tokenomics；公司特有的資本結構、合約條款、估值屬下游（D5）。其他產業或個股用到 AI 技術／算力數據，一律走 G2</t>
  </si>
  <si>
    <t xml:space="preserve">第 1 層 L1</t>
  </si>
  <si>
    <t xml:space="preserve">常用推算值存為獨立頁 L1（前綴 L1_），即時公式、不貼值、不放進 SRC；與 Answers 合併（取代第 8f 節的 Answers 頁與 AN_ 前綴）；Checks 的外部比對移入 L1，對照欄連結 SRC。入選：兩個以上取用者、Andy 提問或報告引用、或有對應外部主張（D8，Andy「你的規劃OK」）</t>
  </si>
  <si>
    <t xml:space="preserve">「你的規劃OK」</t>
  </si>
  <si>
    <t xml:space="preserve">排序</t>
  </si>
  <si>
    <t xml:space="preserve">方案甲：PR #9 → Stage 0 → v5.11 切片一 → v5.12 工程基礎 → v5.13 切片二 → v5.14 Block 6 → OpenAI v0.6（D6）</t>
  </si>
  <si>
    <t xml:space="preserve">決策登錄</t>
  </si>
  <si>
    <t xml:space="preserve">本表各項於 Stage 1 移入活頁簿 Decisions 頁；之後本文件只保留決策 ID（D7）</t>
  </si>
  <si>
    <t xml:space="preserve">資料範圍</t>
  </si>
  <si>
    <t xml:space="preserve">公開資料＋Andy 的資料，同存活頁簿與公開 repo；不考慮法遵，不建機密分級（Andy 2026-10-02：法遵由 Andy 自行處理）</t>
  </si>
  <si>
    <t xml:space="preserve">Stage 0 Gate 0</t>
  </si>
  <si>
    <r>
      <rPr>
        <sz val="10"/>
        <color rgb="FF000000"/>
        <rFont val="Arial"/>
        <family val="0"/>
        <charset val="1"/>
      </rPr>
      <t xml:space="preserve">Andy 2026-10-02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「同意」、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「先維持暫用值」、其餘「依建議」）：</t>
    </r>
    <r>
      <rPr>
        <sz val="10"/>
        <color rgb="FF000000"/>
        <rFont val="Arial"/>
        <family val="0"/>
        <charset val="1"/>
      </rPr>
      <t xml:space="preserve">G0-1 </t>
    </r>
    <r>
      <rPr>
        <sz val="10"/>
        <color rgb="FF000000"/>
        <rFont val="Noto Sans CJK SC"/>
        <family val="2"/>
      </rPr>
      <t xml:space="preserve">逐格遷移；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模型格值等於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者改連結，取整、中點、選取值與改公式會變值者 </t>
    </r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保留藍字並補標記與 </t>
    </r>
    <r>
      <rPr>
        <sz val="10"/>
        <color rgb="FF000000"/>
        <rFont val="Arial"/>
        <family val="0"/>
        <charset val="1"/>
      </rPr>
      <t xml:space="preserve">SRC_ID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逐筆改值（次版）；</t>
    </r>
    <r>
      <rPr>
        <sz val="10"/>
        <color rgb="FF000000"/>
        <rFont val="Arial"/>
        <family val="0"/>
        <charset val="1"/>
      </rPr>
      <t xml:space="preserve">G0-3 J3 Sol SLO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後再定；</t>
    </r>
    <r>
      <rPr>
        <sz val="10"/>
        <color rgb="FF000000"/>
        <rFont val="Arial"/>
        <family val="0"/>
        <charset val="1"/>
      </rPr>
      <t xml:space="preserve">G0-4 </t>
    </r>
    <r>
      <rPr>
        <sz val="10"/>
        <color rgb="FF000000"/>
        <rFont val="Noto Sans CJK SC"/>
        <family val="2"/>
      </rPr>
      <t xml:space="preserve">能力指數統一 </t>
    </r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重抓 </t>
    </r>
    <r>
      <rPr>
        <sz val="10"/>
        <color rgb="FF000000"/>
        <rFont val="Arial"/>
        <family val="0"/>
        <charset val="1"/>
      </rPr>
      <t xml:space="preserve">v4.3 </t>
    </r>
    <r>
      <rPr>
        <sz val="10"/>
        <color rgb="FF000000"/>
        <rFont val="Noto Sans CJK SC"/>
        <family val="2"/>
      </rPr>
      <t xml:space="preserve">的值，統一前 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前緣附註版本混用；</t>
    </r>
    <r>
      <rPr>
        <sz val="10"/>
        <color rgb="FF000000"/>
        <rFont val="Arial"/>
        <family val="0"/>
        <charset val="1"/>
      </rPr>
      <t xml:space="preserve">G0-5 </t>
    </r>
    <r>
      <rPr>
        <sz val="10"/>
        <color rgb="FF000000"/>
        <rFont val="Noto Sans CJK SC"/>
        <family val="2"/>
      </rPr>
      <t xml:space="preserve">公式內嵌原始數據納入 </t>
    </r>
    <r>
      <rPr>
        <sz val="10"/>
        <color rgb="FF000000"/>
        <rFont val="Arial"/>
        <family val="0"/>
        <charset val="1"/>
      </rPr>
      <t xml:space="preserve">Stage 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G0-6 T10 </t>
    </r>
    <r>
      <rPr>
        <sz val="10"/>
        <color rgb="FF000000"/>
        <rFont val="Noto Sans CJK SC"/>
        <family val="2"/>
      </rPr>
      <t xml:space="preserve">採用數改由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採用紀錄計數（其餘待補紀錄）；</t>
    </r>
    <r>
      <rPr>
        <sz val="10"/>
        <color rgb="FF000000"/>
        <rFont val="Arial"/>
        <family val="0"/>
        <charset val="1"/>
      </rPr>
      <t xml:space="preserve">G0-7 </t>
    </r>
    <r>
      <rPr>
        <sz val="10"/>
        <color rgb="FF000000"/>
        <rFont val="Noto Sans CJK SC"/>
        <family val="2"/>
      </rPr>
      <t xml:space="preserve">來源等級細則：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＝一手且已讀原文、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＝二手已讀或一手文件轉載、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＝模型內建知識、只見摘錄或「待查核」；</t>
    </r>
    <r>
      <rPr>
        <sz val="10"/>
        <color rgb="FF000000"/>
        <rFont val="Arial"/>
        <family val="0"/>
        <charset val="1"/>
      </rPr>
      <t xml:space="preserve">G0-8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G0-9 S14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S43 </t>
    </r>
    <r>
      <rPr>
        <sz val="10"/>
        <color rgb="FF000000"/>
        <rFont val="Noto Sans CJK SC"/>
        <family val="2"/>
      </rPr>
      <t xml:space="preserve">不遷入；</t>
    </r>
    <r>
      <rPr>
        <sz val="10"/>
        <color rgb="FF000000"/>
        <rFont val="Arial"/>
        <family val="0"/>
        <charset val="1"/>
      </rPr>
      <t xml:space="preserve">G0-10 </t>
    </r>
    <r>
      <rPr>
        <sz val="10"/>
        <color rgb="FF000000"/>
        <rFont val="Noto Sans CJK SC"/>
        <family val="2"/>
      </rPr>
      <t xml:space="preserve">未登錄來源以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級新增；</t>
    </r>
    <r>
      <rPr>
        <sz val="10"/>
        <color rgb="FF000000"/>
        <rFont val="Arial"/>
        <family val="0"/>
        <charset val="1"/>
      </rPr>
      <t xml:space="preserve">G0-11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K11</t>
    </r>
  </si>
  <si>
    <t xml:space="preserve">「同意」；「先維持暫用值」；「依建議」；「待查核」</t>
  </si>
  <si>
    <t xml:space="preserve">多家獨立估計</t>
  </si>
  <si>
    <t xml:space="preserve">同口徑的多家獨立估計（例：VR200 機架價格 MS 7.8、Bernstein 9.09）不套 G4「日期較新者勝」，全部並列；基準＝中位數、低＝最小、高＝最大；Andy 可個別覆寫並登錄決策 ID。改值在 Stage 2 執行，不進 Stage 1 遷移版本（Andy 2026-10-02「同意」；Gate 0 G0-8）</t>
  </si>
  <si>
    <t xml:space="preserve">「日期較新者勝」；「同意」</t>
  </si>
  <si>
    <t xml:space="preserve">成功任務成本前緣可靠度下限</t>
  </si>
  <si>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：前緣只比較成功率 ≥ </t>
    </r>
    <r>
      <rPr>
        <sz val="10"/>
        <color rgb="FF000000"/>
        <rFont val="Arial"/>
        <family val="0"/>
        <charset val="1"/>
      </rPr>
      <t xml:space="preserve">p_min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）者；無合格回傳「無合格」；不設下限之前緣列為對照</t>
    </r>
  </si>
  <si>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 </t>
    </r>
    <r>
      <rPr>
        <sz val="10"/>
        <color rgb="FF000000"/>
        <rFont val="Arial"/>
        <family val="0"/>
        <charset val="1"/>
      </rPr>
      <t xml:space="preserve">(b)</t>
    </r>
  </si>
  <si>
    <r>
      <rPr>
        <sz val="10"/>
        <color rgb="FF000000"/>
        <rFont val="Arial"/>
        <family val="0"/>
        <charset val="1"/>
      </rPr>
      <t xml:space="preserve">Har_In!C8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B5_PFloor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Harness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IF_FrontSuccVR*</t>
    </r>
  </si>
  <si>
    <t xml:space="preserve">交接第 8d、8e 節</t>
  </si>
  <si>
    <t xml:space="preserve">A1</t>
  </si>
  <si>
    <t xml:space="preserve">Block 6</t>
  </si>
  <si>
    <t xml:space="preserve">基準年度</t>
  </si>
  <si>
    <t xml:space="preserve">穩態年度（研發＋服務）為基準；成長效應另列情境（A6）</t>
  </si>
  <si>
    <t xml:space="preserve">「All OK」「OK」（全部依建議）</t>
  </si>
  <si>
    <t xml:space="preserve">v5.15 已建</t>
  </si>
  <si>
    <r>
      <rPr>
        <sz val="10"/>
        <color rgb="FF000000"/>
        <rFont val="Arial"/>
        <family val="0"/>
        <charset val="1"/>
      </rPr>
      <t xml:space="preserve">Block 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v5.13</t>
    </r>
    <r>
      <rPr>
        <sz val="10"/>
        <color rgb="FF000000"/>
        <rFont val="Noto Sans CJK SC"/>
        <family val="2"/>
      </rPr>
      <t xml:space="preserve">）</t>
    </r>
  </si>
  <si>
    <t xml:space="preserve">交接第 8f 節</t>
  </si>
  <si>
    <t xml:space="preserve">A2</t>
  </si>
  <si>
    <t xml:space="preserve">改版計畫</t>
  </si>
  <si>
    <t xml:space="preserve">計入改版計畫</t>
  </si>
  <si>
    <t xml:space="preserve">A3</t>
  </si>
  <si>
    <r>
      <rPr>
        <sz val="10"/>
        <color rgb="FF000000"/>
        <rFont val="Arial"/>
        <family val="0"/>
        <charset val="1"/>
      </rPr>
      <t xml:space="preserve">59% </t>
    </r>
    <r>
      <rPr>
        <sz val="10"/>
        <color rgb="FF000000"/>
        <rFont val="Noto Sans CJK SC"/>
        <family val="2"/>
      </rPr>
      <t xml:space="preserve">校準</t>
    </r>
  </si>
  <si>
    <t xml:space="preserve">不以 59% 校準 k；基準 k＝1，校準值只反推隱含 N × k 並列 J8 落差</t>
  </si>
  <si>
    <t xml:space="preserve">A4</t>
  </si>
  <si>
    <t xml:space="preserve">服務 GW</t>
  </si>
  <si>
    <t xml:space="preserve">以需求 D 推導服務 GW；實驗室總 GW 只作檢查</t>
  </si>
  <si>
    <t xml:space="preserve">A5</t>
  </si>
  <si>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算力成本</t>
    </r>
  </si>
  <si>
    <t xml:space="preserve">已裝 GW × 各世代每 GW 年持有成本；訓練用最新世代、服務用世代組合；利用率不影響成本占比；雲端與自有差異留在下游</t>
  </si>
  <si>
    <t xml:space="preserve">A6</t>
  </si>
  <si>
    <t xml:space="preserve">成長情境</t>
  </si>
  <si>
    <t xml:space="preserve">成長只作情境：為下一代準備的研發計畫依未來需求定規模</t>
  </si>
  <si>
    <t xml:space="preserve">A7</t>
  </si>
  <si>
    <t xml:space="preserve">研發口徑</t>
  </si>
  <si>
    <t xml:space="preserve">基準輸出 R1；R2 並列；R3 列為缺口、不設參數</t>
  </si>
  <si>
    <t xml:space="preserve">實驗室選擇器</t>
  </si>
  <si>
    <t xml:space="preserve">建「實驗室」選擇器，只放 OpenAI 一組；Anthropic 待來源查核後加入</t>
  </si>
  <si>
    <t xml:space="preserve">G0-1</t>
  </si>
  <si>
    <t xml:space="preserve">治理（Gate 0）</t>
  </si>
  <si>
    <t xml:space="preserve">遷移粒度</t>
  </si>
  <si>
    <t xml:space="preserve">逐格遷移（不是逐列）</t>
  </si>
  <si>
    <t xml:space="preserve">工程類：chat 直接定案</t>
  </si>
  <si>
    <t xml:space="preserve">交接第 2 節 G14；Stage 0 審閱檔 Gate0_決策</t>
  </si>
  <si>
    <t xml:space="preserve">G0-2</t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</si>
  <si>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數值不變與「值不等於來源」的格</t>
    </r>
  </si>
  <si>
    <t xml:space="preserve">模型格值等於 SRC 值者改連結；取整、區間中點、選取值、改公式會變值者，Stage 1 保留藍字並補標記（Analogy／Decision）與 SRC_ID；Stage 2 再逐筆決定是否改連結（改值即升次版）</t>
  </si>
  <si>
    <t xml:space="preserve">依建議（2026-10-02）</t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</si>
  <si>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類別「原始數據（</t>
    </r>
    <r>
      <rPr>
        <sz val="10"/>
        <color rgb="FF000000"/>
        <rFont val="Arial"/>
        <family val="0"/>
        <charset val="1"/>
      </rPr>
      <t xml:space="preserve">G0-2 </t>
    </r>
    <r>
      <rPr>
        <sz val="10"/>
        <color rgb="FF000000"/>
        <rFont val="Noto Sans CJK SC"/>
        <family val="2"/>
      </rPr>
      <t xml:space="preserve">保留）」</t>
    </r>
  </si>
  <si>
    <t xml:space="preserve">G0-3</t>
  </si>
  <si>
    <r>
      <rPr>
        <sz val="10"/>
        <color rgb="FF000000"/>
        <rFont val="Arial"/>
        <family val="0"/>
        <charset val="1"/>
      </rPr>
      <t xml:space="preserve">J3 Sol SLO 65 </t>
    </r>
    <r>
      <rPr>
        <sz val="10"/>
        <color rgb="FF000000"/>
        <rFont val="Noto Sans CJK SC"/>
        <family val="2"/>
      </rPr>
      <t xml:space="preserve">對來源 </t>
    </r>
    <r>
      <rPr>
        <sz val="10"/>
        <color rgb="FF000000"/>
        <rFont val="Arial"/>
        <family val="0"/>
        <charset val="1"/>
      </rPr>
      <t xml:space="preserve">68</t>
    </r>
  </si>
  <si>
    <r>
      <rPr>
        <sz val="10"/>
        <color rgb="FF000000"/>
        <rFont val="Arial"/>
        <family val="0"/>
        <charset val="1"/>
      </rPr>
      <t xml:space="preserve">Stage 1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重讀 </t>
    </r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頁後由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決定是否改 </t>
    </r>
    <r>
      <rPr>
        <sz val="10"/>
        <color rgb="FF000000"/>
        <rFont val="Arial"/>
        <family val="0"/>
        <charset val="1"/>
      </rPr>
      <t xml:space="preserve">68</t>
    </r>
  </si>
  <si>
    <t xml:space="preserve">Serving!D21</t>
  </si>
  <si>
    <t xml:space="preserve">G0-4</t>
  </si>
  <si>
    <t xml:space="preserve">能力指數版本</t>
  </si>
  <si>
    <t xml:space="preserve">建議統一用 v4.3.2（較新）；Stage 2 重抓 v4.3 的七個值。統一前，K2 前緣判定附註「版本混用」</t>
  </si>
  <si>
    <t xml:space="preserve">G0-5</t>
  </si>
  <si>
    <t xml:space="preserve">公式內嵌原始數據納入 Stage 1 範圍</t>
  </si>
  <si>
    <t xml:space="preserve">納入；CC 第 11 輪加一項「公式內數值常數掃描」（排除單位換算常數），清單由 chat 端判定</t>
  </si>
  <si>
    <r>
      <rPr>
        <sz val="10"/>
        <color rgb="FF000000"/>
        <rFont val="Arial"/>
        <family val="0"/>
        <charset val="1"/>
      </rPr>
      <t xml:space="preserve">Calib!C118:F118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C120:E120</t>
    </r>
  </si>
  <si>
    <r>
      <rPr>
        <sz val="10"/>
        <color rgb="FF000000"/>
        <rFont val="Arial"/>
        <family val="0"/>
        <charset val="1"/>
      </rPr>
      <t xml:space="preserve">Tech_Registry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</si>
  <si>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的公開採用實驗室數改由 </t>
    </r>
    <r>
      <rPr>
        <sz val="10"/>
        <color rgb="FF000000"/>
        <rFont val="Arial"/>
        <family val="0"/>
        <charset val="1"/>
      </rPr>
      <t xml:space="preserve">SRC_Model </t>
    </r>
    <r>
      <rPr>
        <sz val="10"/>
        <color rgb="FF000000"/>
        <rFont val="Noto Sans CJK SC"/>
        <family val="2"/>
      </rPr>
      <t xml:space="preserve">採用紀錄計數（已建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筆）；</t>
    </r>
    <r>
      <rPr>
        <sz val="10"/>
        <color rgb="FF000000"/>
        <rFont val="Arial"/>
        <family val="0"/>
        <charset val="1"/>
      </rPr>
      <t xml:space="preserve">T01–T05 </t>
    </r>
    <r>
      <rPr>
        <sz val="10"/>
        <color rgb="FF000000"/>
        <rFont val="Noto Sans CJK SC"/>
        <family val="2"/>
      </rPr>
      <t xml:space="preserve">等待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補採用紀錄後再改</t>
    </r>
  </si>
  <si>
    <t xml:space="preserve">Tech_Registry!J14</t>
  </si>
  <si>
    <t xml:space="preserve">G0-7</t>
  </si>
  <si>
    <t xml:space="preserve">來源等級對應規則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</si>
  <si>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＝一手且已讀原文；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＝二手且已讀，或一手文件轉載；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＝模型內建知識、只見搜尋摘錄、或查核狀態為「待查核」</t>
    </r>
  </si>
  <si>
    <t xml:space="preserve">G0-8</t>
  </si>
  <si>
    <t xml:space="preserve">同指標的多家獨立估計（例：VR200 機架價格 MS 7.8、Bernstein 9.09）</t>
  </si>
  <si>
    <t xml:space="preserve">固定規則：同口徑的多家獨立估計全部並列（Alt 不取代），基準＝中位數、低＝最小、高＝最大；Andy 可個別覆寫（登錄決策 ID）。值的改變在 Stage 2 執行，不進 Stage 1 遷移版本</t>
  </si>
  <si>
    <t xml:space="preserve">同意（2026-10-02）</t>
  </si>
  <si>
    <t xml:space="preserve">G0-9</t>
  </si>
  <si>
    <t xml:space="preserve">不遷入 Source 的 Sources 條目</t>
  </si>
  <si>
    <r>
      <rPr>
        <sz val="10"/>
        <color rgb="FF000000"/>
        <rFont val="Arial"/>
        <family val="0"/>
        <charset val="1"/>
      </rPr>
      <t xml:space="preserve">S14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PUE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假設）、</t>
    </r>
    <r>
      <rPr>
        <sz val="10"/>
        <color rgb="FF000000"/>
        <rFont val="Arial"/>
        <family val="0"/>
        <charset val="1"/>
      </rPr>
      <t xml:space="preserve">S34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 </t>
    </r>
    <r>
      <rPr>
        <sz val="10"/>
        <color rgb="FF000000"/>
        <rFont val="Noto Sans CJK SC"/>
        <family val="2"/>
      </rPr>
      <t xml:space="preserve">定性提醒）、</t>
    </r>
    <r>
      <rPr>
        <sz val="10"/>
        <color rgb="FF000000"/>
        <rFont val="Arial"/>
        <family val="0"/>
        <charset val="1"/>
      </rPr>
      <t xml:space="preserve">S43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verl </t>
    </r>
    <r>
      <rPr>
        <sz val="10"/>
        <color rgb="FF000000"/>
        <rFont val="Noto Sans CJK SC"/>
        <family val="2"/>
      </rPr>
      <t xml:space="preserve">定性設定）不遷入；</t>
    </r>
    <r>
      <rPr>
        <sz val="10"/>
        <color rgb="FF000000"/>
        <rFont val="Arial"/>
        <family val="0"/>
        <charset val="1"/>
      </rPr>
      <t xml:space="preserve">S14 </t>
    </r>
    <r>
      <rPr>
        <sz val="10"/>
        <color rgb="FF000000"/>
        <rFont val="Noto Sans CJK SC"/>
        <family val="2"/>
      </rPr>
      <t xml:space="preserve">對應的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改標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（無可比 </t>
    </r>
    <r>
      <rPr>
        <sz val="10"/>
        <color rgb="FF000000"/>
        <rFont val="Arial"/>
        <family val="0"/>
        <charset val="1"/>
      </rPr>
      <t xml:space="preserve">SRC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Andy 2026-10-03 </t>
    </r>
    <r>
      <rPr>
        <sz val="10"/>
        <color rgb="FF000000"/>
        <rFont val="Noto Sans CJK SC"/>
        <family val="2"/>
      </rPr>
      <t xml:space="preserve">同意修正原文「維持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」），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另找來源</t>
    </r>
  </si>
  <si>
    <t xml:space="preserve">G0-10</t>
  </si>
  <si>
    <t xml:space="preserve">未登錄來源</t>
  </si>
  <si>
    <t xml:space="preserve">以 U-NV、U-PR、U-DS 新增 3 級候選紀錄（F06）</t>
  </si>
  <si>
    <t xml:space="preserve">G0-11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</si>
  <si>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利用率、生產折減的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值</t>
    </r>
  </si>
  <si>
    <t xml:space="preserve">維持暫用值 60%、1.0（K11），標記仍為 Assumed，不以 A 級寫入 Source；Andy 日後給值時再以 A 級登錄</t>
  </si>
  <si>
    <t xml:space="preserve">先維持暫用值（2026-10-02）</t>
  </si>
  <si>
    <t xml:space="preserve">建模慣例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</si>
  <si>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機架定義</t>
    </r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</si>
  <si>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台 </t>
    </r>
    <r>
      <rPr>
        <sz val="10"/>
        <color rgb="FF000000"/>
        <rFont val="Arial"/>
        <family val="0"/>
        <charset val="1"/>
      </rPr>
      <t xml:space="preserve">HGX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32 GPU</t>
    </r>
    <r>
      <rPr>
        <sz val="10"/>
        <color rgb="FF000000"/>
        <rFont val="Noto Sans CJK SC"/>
        <family val="2"/>
      </rPr>
      <t xml:space="preserve">）構成一架，以便與 </t>
    </r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機架並列比較</t>
    </r>
  </si>
  <si>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起</t>
    </r>
  </si>
  <si>
    <t xml:space="preserve">Andy 2026-10-03 審閱：選 (a) 維持 4 台 HGX（32 GPU）為一架</t>
  </si>
  <si>
    <r>
      <rPr>
        <sz val="10"/>
        <color rgb="FF000000"/>
        <rFont val="Arial"/>
        <family val="0"/>
        <charset val="1"/>
      </rPr>
      <t xml:space="preserve">Spec_Rack!C6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C11:C13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</si>
  <si>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列說明</t>
    </r>
  </si>
  <si>
    <t xml:space="preserve">A9</t>
  </si>
  <si>
    <t xml:space="preserve">需求 D 的來源</t>
  </si>
  <si>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路線為基準，支出路線並列為外部對照（選項 </t>
    </r>
    <r>
      <rPr>
        <sz val="10"/>
        <color rgb="FF000000"/>
        <rFont val="Arial"/>
        <family val="0"/>
        <charset val="1"/>
      </rPr>
      <t xml:space="preserve">(c)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原始值（每分鐘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全年平均比例 </t>
    </r>
    <r>
      <rPr>
        <sz val="10"/>
        <color rgb="FF000000"/>
        <rFont val="Arial"/>
        <family val="0"/>
        <charset val="1"/>
      </rPr>
      <t xml:space="preserve">× 525,600 </t>
    </r>
    <r>
      <rPr>
        <sz val="10"/>
        <color rgb="FF000000"/>
        <rFont val="Noto Sans CJK SC"/>
        <family val="2"/>
      </rPr>
      <t xml:space="preserve">分鐘。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每日提示數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 </t>
    </r>
    <r>
      <rPr>
        <sz val="10"/>
        <color rgb="FF000000"/>
        <rFont val="Arial"/>
        <family val="0"/>
        <charset val="1"/>
      </rPr>
      <t xml:space="preserve">× 365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FY2025 2,628T </t>
    </r>
    <r>
      <rPr>
        <sz val="10"/>
        <color rgb="FF000000"/>
        <rFont val="Noto Sans CJK SC"/>
        <family val="2"/>
      </rPr>
      <t xml:space="preserve">是下游推導值，不進 </t>
    </r>
    <r>
      <rPr>
        <sz val="10"/>
        <color rgb="FF000000"/>
        <rFont val="Arial"/>
        <family val="0"/>
        <charset val="1"/>
      </rPr>
      <t xml:space="preserve">Source</t>
    </r>
    <r>
      <rPr>
        <sz val="10"/>
        <color rgb="FF000000"/>
        <rFont val="Noto Sans CJK SC"/>
        <family val="2"/>
      </rPr>
      <t xml:space="preserve">，也不連結。年化：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月時點值，乘「全年平均比例」；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每日提示數視同全年平均（年內近似線性成長），不另設輸入</t>
    </r>
  </si>
  <si>
    <t xml:space="preserve">2026-10-04</t>
  </si>
  <si>
    <t xml:space="preserve">「D: 先做網路搜索，看看有沒有新的資訊，若無:(c)」；「我沒意見，請繼續」；年化處理：「(a) 保留，Gov_Map 写明理由（建议）」</t>
  </si>
  <si>
    <r>
      <rPr>
        <sz val="10"/>
        <color rgb="FF000000"/>
        <rFont val="Arial"/>
        <family val="0"/>
        <charset val="1"/>
      </rPr>
      <t xml:space="preserve">v5.15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</si>
  <si>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A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SRC_DEM_010–013</t>
    </r>
  </si>
  <si>
    <t xml:space="preserve">工作單 v5.15 B1</t>
  </si>
  <si>
    <t xml:space="preserve">A10</t>
  </si>
  <si>
    <t xml:space="preserve">基準 2,000，區間 1,000–6,000，Assumed。包含輸入、上下文、推理與輸出 token。上限 6,000 為 chat 端依推理模型與長對話酌定，沒有直接來源。標為 Q1 的最弱輸入</t>
  </si>
  <si>
    <t xml:space="preserve">「我沒意見，請繼續」（工作單 v5.15 B1 新決定 A10）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</si>
  <si>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L1_Ans1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L1_Ans2</t>
    </r>
  </si>
  <si>
    <t xml:space="preserve">S1</t>
  </si>
  <si>
    <t xml:space="preserve">Stage 2</t>
  </si>
  <si>
    <t xml:space="preserve">來源等級的升級權限</t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</si>
  <si>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讀到原文、附網址與原文摘錄、原文值與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現值相同（容差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；換算後相同須列換算式）時列為升級候選；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端抽查後即寫入，不逐筆問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。值不同、涉及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級或改變標記者逐筆交 </t>
    </r>
    <r>
      <rPr>
        <sz val="10"/>
        <color rgb="FF000000"/>
        <rFont val="Arial"/>
        <family val="0"/>
        <charset val="1"/>
      </rPr>
      <t xml:space="preserve">Andy</t>
    </r>
  </si>
  <si>
    <t xml:space="preserve">2026-10-05</t>
  </si>
  <si>
    <t xml:space="preserve">「S1, S2:皆(a)」</t>
  </si>
  <si>
    <t xml:space="preserve">生效（v5.18）</t>
  </si>
  <si>
    <r>
      <rPr>
        <sz val="10"/>
        <color rgb="FF000000"/>
        <rFont val="Arial"/>
        <family val="0"/>
        <charset val="1"/>
      </rPr>
      <t xml:space="preserve">SRC_* </t>
    </r>
    <r>
      <rPr>
        <sz val="10"/>
        <color rgb="FF000000"/>
        <rFont val="Noto Sans CJK SC"/>
        <family val="2"/>
      </rPr>
      <t xml:space="preserve">等級欄；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</si>
  <si>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工作單 v5.18 第 0 節</t>
  </si>
  <si>
    <t xml:space="preserve">S2</t>
  </si>
  <si>
    <r>
      <rPr>
        <sz val="10"/>
        <color rgb="FF000000"/>
        <rFont val="Arial"/>
        <family val="0"/>
        <charset val="1"/>
      </rPr>
      <t xml:space="preserve">J6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生產折減的證據蒐集</t>
    </r>
  </si>
  <si>
    <r>
      <rPr>
        <sz val="10"/>
        <color rgb="FF000000"/>
        <rFont val="Arial"/>
        <family val="0"/>
        <charset val="1"/>
      </rPr>
      <t xml:space="preserve">(a)</t>
    </r>
    <r>
      <rPr>
        <sz val="10"/>
        <color rgb="FF000000"/>
        <rFont val="Noto Sans CJK SC"/>
        <family val="2"/>
      </rPr>
      <t xml:space="preserve">：本批蒐集，只作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參考：不提議數值、不改暫用值（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不變）；</t>
    </r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拆解仍依 </t>
    </r>
    <r>
      <rPr>
        <sz val="10"/>
        <color rgb="FF000000"/>
        <rFont val="Arial"/>
        <family val="0"/>
        <charset val="1"/>
      </rPr>
      <t xml:space="preserve">Andy</t>
    </r>
    <r>
      <rPr>
        <sz val="10"/>
        <color rgb="FF000000"/>
        <rFont val="Noto Sans CJK SC"/>
        <family val="2"/>
      </rPr>
      <t xml:space="preserve">『有新數據再說』暫緩</t>
    </r>
  </si>
  <si>
    <r>
      <rPr>
        <sz val="10"/>
        <color rgb="FF000000"/>
        <rFont val="Arial"/>
        <family val="0"/>
        <charset val="1"/>
      </rPr>
      <t xml:space="preserve">Serving 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</t>
    </r>
  </si>
  <si>
    <t xml:space="preserve">不得為唯一依據的來源（SemiAnalysis，含 InferenceX）的等級上限</t>
  </si>
  <si>
    <t xml:space="preserve">若某來源依規定不得作為唯一依據，且同時符合 (i) 已讀一手原始資料（網址、讀取日期、數值或內插式）、(ii) 已搜尋同口徑第二來源並記錄查詢詞與結果、(iii) 口徑與方法已寫明，則等級依 G0-7 判定但上限 2 級，W1 標『待第二來源』，不擋完成條件；三點不齊者維持 3 級。只適用於明確列名『不得為唯一依據』的來源（目前為 SemiAnalysis，含 InferenceX）</t>
  </si>
  <si>
    <t xml:space="preserve">「很好」（回覆 chat 端提出的規則草案）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</si>
  <si>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W1</t>
    </r>
  </si>
  <si>
    <t xml:space="preserve">工作單 v5.18 第 1 節</t>
  </si>
  <si>
    <t xml:space="preserve">區間型紀錄的等級（工作單 v5.18 稱『G1 規則』）</t>
  </si>
  <si>
    <t xml:space="preserve">區間型紀錄（分析師或經銷商估計）同時符合 (i) 至少一個值讀到原文、(ii) 基準落在已讀證據範圍內，即不為 3 級；未讀端點在備註標 Assumed；等級依讀到的最好來源記 1 或 2。編號 G15：Decisions 既有 G1 為另一條規則（原始數據須連結 SRC）</t>
  </si>
  <si>
    <t xml:space="preserve">「G1–G4: all ok」</t>
  </si>
  <si>
    <r>
      <rPr>
        <sz val="10"/>
        <color rgb="FF000000"/>
        <rFont val="Arial"/>
        <family val="0"/>
        <charset val="1"/>
      </rPr>
      <t xml:space="preserve">SRC_HW_003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015</t>
    </r>
  </si>
  <si>
    <t xml:space="preserve">C2</t>
  </si>
  <si>
    <t xml:space="preserve">完成檢查 6.2 第 (b) 項的定義（工作單稱 J1；K1 追認）</t>
  </si>
  <si>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的『候選來源或可比對象』一項：已搜尋（查詢詞列明）＋判定無可比對象＋理由，視為齊備。適用範圍僅限下列列名：</t>
    </r>
    <r>
      <rPr>
        <sz val="10"/>
        <color rgb="FF000000"/>
        <rFont val="Arial"/>
        <family val="0"/>
        <charset val="1"/>
      </rPr>
      <t xml:space="preserve">Calib C68:G68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GM346–350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GM456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D29:E29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C8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追認，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）。不作概括適用；之後若有新的列要適用，須逐列列名並經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決定。編號 </t>
    </r>
    <r>
      <rPr>
        <sz val="10"/>
        <color rgb="FF000000"/>
        <rFont val="Arial"/>
        <family val="0"/>
        <charset val="1"/>
      </rPr>
      <t xml:space="preserve">C2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為另一條決策；</t>
    </r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追加：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G9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F69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核准，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）</t>
    </r>
  </si>
  <si>
    <t xml:space="preserve">2026-10-06</t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</si>
  <si>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追認（</t>
    </r>
    <r>
      <rPr>
        <sz val="10"/>
        <color rgb="FF000000"/>
        <rFont val="Arial"/>
        <family val="0"/>
        <charset val="1"/>
      </rPr>
      <t xml:space="preserve">K1</t>
    </r>
    <r>
      <rPr>
        <sz val="10"/>
        <color rgb="FF000000"/>
        <rFont val="Noto Sans CJK SC"/>
        <family val="2"/>
      </rPr>
      <t xml:space="preserve">）（皆經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審查回覆轉達）；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核准（</t>
    </r>
    <r>
      <rPr>
        <sz val="10"/>
        <color rgb="FF000000"/>
        <rFont val="Arial"/>
        <family val="0"/>
        <charset val="1"/>
      </rPr>
      <t xml:space="preserve">X3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端轉達）</t>
    </r>
  </si>
  <si>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／報告第 </t>
    </r>
    <r>
      <rPr>
        <sz val="10"/>
        <color rgb="FF000000"/>
        <rFont val="Arial"/>
        <family val="0"/>
        <charset val="1"/>
      </rPr>
      <t xml:space="preserve">6.2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</si>
  <si>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v5.18 PR #19 審查回覆 4；第二輪審查回覆 1（K1）</t>
  </si>
  <si>
    <t xml:space="preserve">C3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</si>
  <si>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機架價格公式（工作單稱 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</si>
  <si>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Spec_Rack G11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G13 </t>
    </r>
    <r>
      <rPr>
        <sz val="10"/>
        <color rgb="FF000000"/>
        <rFont val="Noto Sans CJK SC"/>
        <family val="2"/>
      </rPr>
      <t xml:space="preserve">改為公式 </t>
    </r>
    <r>
      <rPr>
        <sz val="10"/>
        <color rgb="FF000000"/>
        <rFont val="Arial"/>
        <family val="0"/>
        <charset val="1"/>
      </rPr>
      <t xml:space="preserve">=F12*1.5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=F12*2.5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機架價格〔售價口徑，</t>
    </r>
    <r>
      <rPr>
        <sz val="10"/>
        <color rgb="FF000000"/>
        <rFont val="Arial"/>
        <family val="0"/>
        <charset val="1"/>
      </rPr>
      <t xml:space="preserve">I2</t>
    </r>
    <r>
      <rPr>
        <sz val="10"/>
        <color rgb="FF000000"/>
        <rFont val="Noto Sans CJK SC"/>
        <family val="2"/>
      </rPr>
      <t xml:space="preserve">〕</t>
    </r>
    <r>
      <rPr>
        <sz val="10"/>
        <color rgb="FF000000"/>
        <rFont val="Arial"/>
        <family val="0"/>
        <charset val="1"/>
      </rPr>
      <t xml:space="preserve">× 1.5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16.8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21.0</t>
    </r>
    <r>
      <rPr>
        <sz val="10"/>
        <color rgb="FF000000"/>
        <rFont val="Noto Sans CJK SC"/>
        <family val="2"/>
      </rPr>
      <t xml:space="preserve">）；倍數為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、價格為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。取代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初版的『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× 72</t>
    </r>
    <r>
      <rPr>
        <sz val="10"/>
        <color rgb="FF000000"/>
        <rFont val="Noto Sans CJK SC"/>
        <family val="2"/>
      </rPr>
      <t xml:space="preserve">』常數 </t>
    </r>
    <r>
      <rPr>
        <sz val="10"/>
        <color rgb="FF000000"/>
        <rFont val="Arial"/>
        <family val="0"/>
        <charset val="1"/>
      </rPr>
      <t xml:space="preserve">11.7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15.6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19.5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既有 </t>
    </r>
    <r>
      <rPr>
        <sz val="10"/>
        <color rgb="FF000000"/>
        <rFont val="Arial"/>
        <family val="0"/>
        <charset val="1"/>
      </rPr>
      <t xml:space="preserve">J2 </t>
    </r>
    <r>
      <rPr>
        <sz val="10"/>
        <color rgb="FF000000"/>
        <rFont val="Noto Sans CJK SC"/>
        <family val="2"/>
      </rPr>
      <t xml:space="preserve">為另一條決策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</si>
  <si>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審查回覆轉達）</t>
    </r>
  </si>
  <si>
    <r>
      <rPr>
        <sz val="10"/>
        <color rgb="FF000000"/>
        <rFont val="Arial"/>
        <family val="0"/>
        <charset val="1"/>
      </rPr>
      <t xml:space="preserve">Spec_Rack G11:G13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GM089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GM099</t>
    </r>
  </si>
  <si>
    <t xml:space="preserve">工作單 v5.18 PR #19 審查回覆 5</t>
  </si>
  <si>
    <t xml:space="preserve">C4</t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</si>
  <si>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（輪數 </t>
    </r>
    <r>
      <rPr>
        <sz val="10"/>
        <color rgb="FF000000"/>
        <rFont val="Arial"/>
        <family val="0"/>
        <charset val="1"/>
      </rPr>
      <t xml:space="preserve">T</t>
    </r>
    <r>
      <rPr>
        <sz val="10"/>
        <color rgb="FF000000"/>
        <rFont val="Noto Sans CJK SC"/>
        <family val="2"/>
      </rPr>
      <t xml:space="preserve">）與對話資料集的單位（工作單稱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</si>
  <si>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Workload C5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的數值與區間都不動。對話資料集（</t>
    </r>
    <r>
      <rPr>
        <sz val="10"/>
        <color rgb="FF000000"/>
        <rFont val="Arial"/>
        <family val="0"/>
        <charset val="1"/>
      </rPr>
      <t xml:space="preserve">LMSYS-Chat-1M 2.0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WildChat 2.52</t>
    </r>
    <r>
      <rPr>
        <sz val="10"/>
        <color rgb="FF000000"/>
        <rFont val="Noto Sans CJK SC"/>
        <family val="2"/>
      </rPr>
      <t xml:space="preserve">）量的是整段對話的輪數；本模型的任務＝單次請求，前幾輪歷史已含在初始上下文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列），單位不同，不與區間 </t>
    </r>
    <r>
      <rPr>
        <sz val="10"/>
        <color rgb="FF000000"/>
        <rFont val="Arial"/>
        <family val="0"/>
        <charset val="1"/>
      </rPr>
      <t xml:space="preserve">max(1,×0.5)–×2 </t>
    </r>
    <r>
      <rPr>
        <sz val="10"/>
        <color rgb="FF000000"/>
        <rFont val="Noto Sans CJK SC"/>
        <family val="2"/>
      </rPr>
      <t xml:space="preserve">比對。整段對話的每任務指標約 </t>
    </r>
    <r>
      <rPr>
        <sz val="10"/>
        <color rgb="FF000000"/>
        <rFont val="Arial"/>
        <family val="0"/>
        <charset val="1"/>
      </rPr>
      <t xml:space="preserve">×2–2.5</t>
    </r>
    <r>
      <rPr>
        <sz val="10"/>
        <color rgb="FF000000"/>
        <rFont val="Noto Sans CJK SC"/>
        <family val="2"/>
      </rPr>
      <t xml:space="preserve">，記於 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。編號 </t>
    </r>
    <r>
      <rPr>
        <sz val="10"/>
        <color rgb="FF000000"/>
        <rFont val="Arial"/>
        <family val="0"/>
        <charset val="1"/>
      </rPr>
      <t xml:space="preserve">C4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</si>
  <si>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決定（</t>
    </r>
    <r>
      <rPr>
        <sz val="10"/>
        <color rgb="FF000000"/>
        <rFont val="Arial"/>
        <family val="0"/>
        <charset val="1"/>
      </rPr>
      <t xml:space="preserve">K2</t>
    </r>
    <r>
      <rPr>
        <sz val="10"/>
        <color rgb="FF000000"/>
        <rFont val="Noto Sans CJK SC"/>
        <family val="2"/>
      </rPr>
      <t xml:space="preserve">；經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端於 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第二輪審查回覆轉達）</t>
    </r>
  </si>
  <si>
    <r>
      <rPr>
        <sz val="10"/>
        <color rgb="FF000000"/>
        <rFont val="Arial"/>
        <family val="0"/>
        <charset val="1"/>
      </rPr>
      <t xml:space="preserve">Workload C5:D5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Workload H5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E235</t>
    </r>
  </si>
  <si>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第二輪審查回覆 </t>
    </r>
    <r>
      <rPr>
        <sz val="10"/>
        <color rgb="FF000000"/>
        <rFont val="Arial"/>
        <family val="0"/>
        <charset val="1"/>
      </rPr>
      <t xml:space="preserve">3</t>
    </r>
  </si>
  <si>
    <t xml:space="preserve">C1</t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</si>
  <si>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完成條件（讀法 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）</t>
    </r>
  </si>
  <si>
    <t xml:space="preserve">完成＝工作單 v5.18 第 6 節三項檢查全數通過：W2（P＝高且所連 SRC 為 3 級）＝0；高段 Assumed 參數逐列三項齊備；H1 規則記 2 級者三點齊備</t>
  </si>
  <si>
    <t xml:space="preserve">「同意把「完成」定為讀法 A。」；「同意」（Assumed 參數完成標準）</t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</si>
  <si>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  <r>
      <rPr>
        <sz val="10"/>
        <color rgb="FF000000"/>
        <rFont val="Noto Sans CJK SC"/>
        <family val="2"/>
      </rPr>
      <t xml:space="preserve">；報告第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節</t>
    </r>
  </si>
  <si>
    <t xml:space="preserve">工作單 v5.18 第 0、6 節</t>
  </si>
  <si>
    <t xml:space="preserve">v5.19</t>
  </si>
  <si>
    <r>
      <rPr>
        <sz val="10"/>
        <color rgb="FF000000"/>
        <rFont val="Arial"/>
        <family val="0"/>
        <charset val="1"/>
      </rPr>
      <t xml:space="preserve">Serving C18 </t>
    </r>
    <r>
      <rPr>
        <sz val="10"/>
        <color rgb="FF000000"/>
        <rFont val="Noto Sans CJK SC"/>
        <family val="2"/>
      </rPr>
      <t xml:space="preserve">凍結並列輸出（生產折減）</t>
    </r>
  </si>
  <si>
    <r>
      <rPr>
        <sz val="10"/>
        <color rgb="FF000000"/>
        <rFont val="Arial"/>
        <family val="0"/>
        <charset val="1"/>
      </rPr>
      <t xml:space="preserve">Serving C18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J15 </t>
    </r>
    <r>
      <rPr>
        <sz val="10"/>
        <color rgb="FF000000"/>
        <rFont val="Noto Sans CJK SC"/>
        <family val="2"/>
      </rPr>
      <t xml:space="preserve">生產折減）維持凍結（</t>
    </r>
    <r>
      <rPr>
        <sz val="10"/>
        <color rgb="FF000000"/>
        <rFont val="Arial"/>
        <family val="0"/>
        <charset val="1"/>
      </rPr>
      <t xml:space="preserve">G0-11 </t>
    </r>
    <r>
      <rPr>
        <sz val="10"/>
        <color rgb="FF000000"/>
        <rFont val="Noto Sans CJK SC"/>
        <family val="2"/>
      </rPr>
      <t xml:space="preserve">不變），交接檔揭露擺動；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節新增七列並列輸出（</t>
    </r>
    <r>
      <rPr>
        <sz val="10"/>
        <color rgb="FF000000"/>
        <rFont val="Arial"/>
        <family val="0"/>
        <charset val="1"/>
      </rPr>
      <t xml:space="preserve">IF_FullCost_*_Prod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IF_RevGW_*_Prod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IF_RevGWFleet_Prod</t>
    </r>
    <r>
      <rPr>
        <sz val="10"/>
        <color rgb="FF000000"/>
        <rFont val="Noto Sans CJK SC"/>
        <family val="2"/>
      </rPr>
      <t xml:space="preserve">），由新輸入格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，預設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，情境值）驅動；推導鏈以 </t>
    </r>
    <r>
      <rPr>
        <sz val="10"/>
        <color rgb="FF000000"/>
        <rFont val="Arial"/>
        <family val="0"/>
        <charset val="1"/>
      </rPr>
      <t xml:space="preserve">*_Prod </t>
    </r>
    <r>
      <rPr>
        <sz val="10"/>
        <color rgb="FF000000"/>
        <rFont val="Noto Sans CJK SC"/>
        <family val="2"/>
      </rPr>
      <t xml:space="preserve">鏡像頁重算，自我檢查 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</si>
  <si>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「both OK」（回覆 chat 端 D1 建議：先 (a)，v5.19 做 (b)）</t>
  </si>
  <si>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</si>
  <si>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Serving!C28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G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Perf_Prod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Unit_Cost_Prod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Amortize_Prod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Theory_Rev_Prod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X1</t>
    </r>
  </si>
  <si>
    <t xml:space="preserve">工作單 v5.19 第 0、1 節</t>
  </si>
  <si>
    <t xml:space="preserve">X2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</si>
  <si>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欄升段規則（只升不降、不追溯）</t>
    </r>
  </si>
  <si>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數值區間端點單變數擺動 ≥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的非高段格升為高段（輸出範圍與排除見工作單 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2.1 </t>
    </r>
    <r>
      <rPr>
        <sz val="10"/>
        <color rgb="FF000000"/>
        <rFont val="Noto Sans CJK SC"/>
        <family val="2"/>
      </rPr>
      <t xml:space="preserve">節）；類別為 </t>
    </r>
    <r>
      <rPr>
        <sz val="10"/>
        <color rgb="FF000000"/>
        <rFont val="Arial"/>
        <family val="0"/>
        <charset val="1"/>
      </rPr>
      <t xml:space="preserve">Decision </t>
    </r>
    <r>
      <rPr>
        <sz val="10"/>
        <color rgb="FF000000"/>
        <rFont val="Noto Sans CJK SC"/>
        <family val="2"/>
      </rPr>
      <t xml:space="preserve">的格不適用；現為高段者不降；</t>
    </r>
    <r>
      <rPr>
        <sz val="10"/>
        <color rgb="FF000000"/>
        <rFont val="Arial"/>
        <family val="0"/>
        <charset val="1"/>
      </rPr>
      <t xml:space="preserve">v5.17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完成判定維持有效。</t>
    </r>
    <r>
      <rPr>
        <sz val="10"/>
        <color rgb="FF000000"/>
        <rFont val="Arial"/>
        <family val="0"/>
        <charset val="1"/>
      </rPr>
      <t xml:space="preserve">v5.19 </t>
    </r>
    <r>
      <rPr>
        <sz val="10"/>
        <color rgb="FF000000"/>
        <rFont val="Noto Sans CJK SC"/>
        <family val="2"/>
      </rPr>
      <t xml:space="preserve">升段 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格：</t>
    </r>
    <r>
      <rPr>
        <sz val="10"/>
        <color rgb="FF000000"/>
        <rFont val="Arial"/>
        <family val="0"/>
        <charset val="1"/>
      </rPr>
      <t xml:space="preserve">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GM586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GM578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</t>
    </r>
    <r>
      <rPr>
        <sz val="10"/>
        <color rgb="FF000000"/>
        <rFont val="Noto Sans CJK SC"/>
        <family val="2"/>
      </rPr>
      <t xml:space="preserve">；未升：</t>
    </r>
    <r>
      <rPr>
        <sz val="10"/>
        <color rgb="FF000000"/>
        <rFont val="Arial"/>
        <family val="0"/>
        <charset val="1"/>
      </rPr>
      <t xml:space="preserve">GM480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Decision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GM443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19.9%</t>
    </r>
    <r>
      <rPr>
        <sz val="10"/>
        <color rgb="FF000000"/>
        <rFont val="Noto Sans CJK SC"/>
        <family val="2"/>
      </rPr>
      <t xml:space="preserve">）</t>
    </r>
  </si>
  <si>
    <t xml:space="preserve">「both OK」（回覆 chat 端 D2 建議 (b)，門檻 20%）</t>
  </si>
  <si>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11 </t>
    </r>
    <r>
      <rPr>
        <sz val="10"/>
        <color rgb="FF000000"/>
        <rFont val="Noto Sans CJK SC"/>
        <family val="2"/>
      </rPr>
      <t xml:space="preserve">格）；</t>
    </r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W2</t>
    </r>
  </si>
  <si>
    <t xml:space="preserve">工作單 v5.19 第 0、2 節</t>
  </si>
  <si>
    <t xml:space="preserve">X3</t>
  </si>
  <si>
    <t xml:space="preserve">v5.20</t>
  </si>
  <si>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新高段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列補齊（</t>
    </r>
    <r>
      <rPr>
        <sz val="10"/>
        <color rgb="FF000000"/>
        <rFont val="Arial"/>
        <family val="0"/>
        <charset val="1"/>
      </rPr>
      <t xml:space="preserve">6.2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GM578 </t>
    </r>
    <r>
      <rPr>
        <sz val="10"/>
        <color rgb="FF000000"/>
        <rFont val="Noto Sans CJK SC"/>
        <family val="2"/>
      </rPr>
      <t xml:space="preserve">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C2 </t>
    </r>
    <r>
      <rPr>
        <sz val="10"/>
        <color rgb="FF000000"/>
        <rFont val="Noto Sans CJK SC"/>
        <family val="2"/>
      </rPr>
      <t xml:space="preserve">追加 </t>
    </r>
    <r>
      <rPr>
        <sz val="10"/>
        <color rgb="FF000000"/>
        <rFont val="Arial"/>
        <family val="0"/>
        <charset val="1"/>
      </rPr>
      <t xml:space="preserve">GM275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GM354</t>
    </r>
  </si>
  <si>
    <r>
      <rPr>
        <sz val="10"/>
        <color rgb="FF000000"/>
        <rFont val="Arial"/>
        <family val="0"/>
        <charset val="1"/>
      </rPr>
      <t xml:space="preserve">A1 GM205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GM459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GM270 </t>
    </r>
    <r>
      <rPr>
        <sz val="10"/>
        <color rgb="FF000000"/>
        <rFont val="Noto Sans CJK SC"/>
        <family val="2"/>
      </rPr>
      <t xml:space="preserve">判齊備；</t>
    </r>
    <r>
      <rPr>
        <sz val="10"/>
        <color rgb="FF000000"/>
        <rFont val="Arial"/>
        <family val="0"/>
        <charset val="1"/>
      </rPr>
      <t xml:space="preserve">A2 GM290 </t>
    </r>
    <r>
      <rPr>
        <sz val="10"/>
        <color rgb="FF000000"/>
        <rFont val="Noto Sans CJK SC"/>
        <family val="2"/>
      </rPr>
      <t xml:space="preserve">判齊備（基準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＝標準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為單代理，屬定義）；</t>
    </r>
    <r>
      <rPr>
        <sz val="10"/>
        <color rgb="FF000000"/>
        <rFont val="Arial"/>
        <family val="0"/>
        <charset val="1"/>
      </rPr>
      <t xml:space="preserve">A3 GM578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Alloc_In C7</t>
    </r>
    <r>
      <rPr>
        <sz val="10"/>
        <color rgb="FF000000"/>
        <rFont val="Noto Sans CJK SC"/>
        <family val="2"/>
      </rPr>
      <t xml:space="preserve">）區間上限 </t>
    </r>
    <r>
      <rPr>
        <sz val="10"/>
        <color rgb="FF000000"/>
        <rFont val="Arial"/>
        <family val="0"/>
        <charset val="1"/>
      </rPr>
      <t xml:space="preserve">4 → 6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不變（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AL_Nrefresh_Hi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A4 GM275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GM354 </t>
    </r>
    <r>
      <rPr>
        <sz val="10"/>
        <color rgb="FF000000"/>
        <rFont val="Noto Sans CJK SC"/>
        <family val="2"/>
      </rPr>
      <t xml:space="preserve">核准為「已搜尋、無可比對象」，併入 </t>
    </r>
    <r>
      <rPr>
        <sz val="10"/>
        <color rgb="FF000000"/>
        <rFont val="Arial"/>
        <family val="0"/>
        <charset val="1"/>
      </rPr>
      <t xml:space="preserve">Decisions C2 </t>
    </r>
    <r>
      <rPr>
        <sz val="10"/>
        <color rgb="FF000000"/>
        <rFont val="Noto Sans CJK SC"/>
        <family val="2"/>
      </rPr>
      <t xml:space="preserve">適用列名。證據 </t>
    </r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（全部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、摘要級、原文未讀）。</t>
    </r>
  </si>
  <si>
    <t xml:space="preserve">「all ok」（回覆 chat 端 A1–A4 建議）</t>
  </si>
  <si>
    <r>
      <rPr>
        <sz val="10"/>
        <color rgb="FF000000"/>
        <rFont val="Arial"/>
        <family val="0"/>
        <charset val="1"/>
      </rPr>
      <t xml:space="preserve">v5.20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</si>
  <si>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E236–E243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459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578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Alloc_In!E7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C2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docs/stage2_source_check_rules.md</t>
    </r>
  </si>
  <si>
    <t xml:space="preserve">工作單 v5.20 第 0、1 節</t>
  </si>
  <si>
    <t xml:space="preserve">X4</t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</si>
  <si>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維持，記錄衝突證據</t>
    </r>
  </si>
  <si>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 </t>
    </r>
    <r>
      <rPr>
        <sz val="10"/>
        <color rgb="FF000000"/>
        <rFont val="Noto Sans CJK SC"/>
        <family val="2"/>
      </rPr>
      <t xml:space="preserve">與區間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；記錄 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第三方換算（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）與模型內 </t>
    </r>
    <r>
      <rPr>
        <sz val="10"/>
        <color rgb="FF000000"/>
        <rFont val="Arial"/>
        <family val="0"/>
        <charset val="1"/>
      </rPr>
      <t xml:space="preserve">MLPerf v6.1 interactive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2.575×</t>
    </r>
    <r>
      <rPr>
        <sz val="10"/>
        <color rgb="FF000000"/>
        <rFont val="Noto Sans CJK SC"/>
        <family val="2"/>
      </rPr>
      <t xml:space="preserve">）的衝突未解（</t>
    </r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）；原文補查由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手動下載 </t>
    </r>
    <r>
      <rPr>
        <sz val="10"/>
        <color rgb="FF000000"/>
        <rFont val="Arial"/>
        <family val="0"/>
        <charset val="1"/>
      </rPr>
      <t xml:space="preserve">MLCommons v6.1 </t>
    </r>
    <r>
      <rPr>
        <sz val="10"/>
        <color rgb="FF000000"/>
        <rFont val="Noto Sans CJK SC"/>
        <family val="2"/>
      </rPr>
      <t xml:space="preserve">結果表後另開工作單；</t>
    </r>
    <r>
      <rPr>
        <sz val="10"/>
        <color rgb="FF000000"/>
        <rFont val="Arial"/>
        <family val="0"/>
        <charset val="1"/>
      </rPr>
      <t xml:space="preserve">GM345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G67</t>
    </r>
    <r>
      <rPr>
        <sz val="10"/>
        <color rgb="FF000000"/>
        <rFont val="Noto Sans CJK SC"/>
        <family val="2"/>
      </rPr>
      <t xml:space="preserve">）不動。</t>
    </r>
  </si>
  <si>
    <t xml:space="preserve">「all ok」（回覆 chat 端 B (a)＋(c)）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</si>
  <si>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結案（</t>
    </r>
    <r>
      <rPr>
        <sz val="10"/>
        <color rgb="FF000000"/>
        <rFont val="Arial"/>
        <family val="0"/>
        <charset val="1"/>
      </rPr>
      <t xml:space="preserve">X6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</si>
  <si>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DB_Evidence E244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</t>
    </r>
  </si>
  <si>
    <t xml:space="preserve">工作單 v5.20 第 0、2 節</t>
  </si>
  <si>
    <t xml:space="preserve">X5</t>
  </si>
  <si>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攤提耦合維持，加註說明</t>
    </r>
  </si>
  <si>
    <r>
      <rPr>
        <sz val="10"/>
        <color rgb="FF000000"/>
        <rFont val="Arial"/>
        <family val="0"/>
        <charset val="1"/>
      </rPr>
      <t xml:space="preserve">IF_FullCost_* </t>
    </r>
    <r>
      <rPr>
        <sz val="10"/>
        <color rgb="FF000000"/>
        <rFont val="Noto Sans CJK SC"/>
        <family val="2"/>
      </rPr>
      <t xml:space="preserve">含自下而上攤提，攤提分母為層級組合的機隊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；同一世代任一層級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不可達時，該世代所有層級的 </t>
    </r>
    <r>
      <rPr>
        <sz val="10"/>
        <color rgb="FF000000"/>
        <rFont val="Arial"/>
        <family val="0"/>
        <charset val="1"/>
      </rPr>
      <t xml:space="preserve">FullCost </t>
    </r>
    <r>
      <rPr>
        <sz val="10"/>
        <color rgb="FF000000"/>
        <rFont val="Noto Sans CJK SC"/>
        <family val="2"/>
      </rPr>
      <t xml:space="preserve">均回傳文字（例：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CTL_ProdDerate ≤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0.72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IF_RevGW_* </t>
    </r>
    <r>
      <rPr>
        <sz val="10"/>
        <color rgb="FF000000"/>
        <rFont val="Noto Sans CJK SC"/>
        <family val="2"/>
      </rPr>
      <t xml:space="preserve">只依自身層級，可能仍為數值。設計不改，只在 </t>
    </r>
    <r>
      <rPr>
        <sz val="10"/>
        <color rgb="FF000000"/>
        <rFont val="Arial"/>
        <family val="0"/>
        <charset val="1"/>
      </rPr>
      <t xml:space="preserve">Interface A3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加註。</t>
    </r>
  </si>
  <si>
    <t xml:space="preserve">「all ok」（回覆 chat 端 C (a)）</t>
  </si>
  <si>
    <r>
      <rPr>
        <sz val="10"/>
        <color rgb="FF000000"/>
        <rFont val="Arial"/>
        <family val="0"/>
        <charset val="1"/>
      </rPr>
      <t xml:space="preserve">Interface!A3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README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攤提耦合）</t>
    </r>
  </si>
  <si>
    <t xml:space="preserve">工作單 v5.20 第 0、3 節</t>
  </si>
  <si>
    <t xml:space="preserve">X6</t>
  </si>
  <si>
    <t xml:space="preserve">v5.21</t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</si>
  <si>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MLPerf v6.1 </t>
    </r>
    <r>
      <rPr>
        <sz val="10"/>
        <color rgb="FF000000"/>
        <rFont val="Noto Sans CJK SC"/>
        <family val="2"/>
      </rPr>
      <t xml:space="preserve">一手結果寫入；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</t>
    </r>
  </si>
  <si>
    <r>
      <rPr>
        <sz val="10"/>
        <color rgb="FF000000"/>
        <rFont val="Arial"/>
        <family val="0"/>
        <charset val="1"/>
      </rPr>
      <t xml:space="preserve">X4 </t>
    </r>
    <r>
      <rPr>
        <sz val="10"/>
        <color rgb="FF000000"/>
        <rFont val="Noto Sans CJK SC"/>
        <family val="2"/>
      </rPr>
      <t xml:space="preserve">結案：</t>
    </r>
    <r>
      <rPr>
        <sz val="10"/>
        <color rgb="FF000000"/>
        <rFont val="Arial"/>
        <family val="0"/>
        <charset val="1"/>
      </rPr>
      <t xml:space="preserve">Calib F67 </t>
    </r>
    <r>
      <rPr>
        <sz val="10"/>
        <color rgb="FF000000"/>
        <rFont val="Noto Sans CJK SC"/>
        <family val="2"/>
      </rPr>
      <t xml:space="preserve">維持基準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0.5–1.5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1.6–2×</t>
    </r>
    <r>
      <rPr>
        <sz val="10"/>
        <color rgb="FF000000"/>
        <rFont val="Noto Sans CJK SC"/>
        <family val="2"/>
      </rPr>
      <t xml:space="preserve">」判定為情境不同（</t>
    </r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），非與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對照衝突；證據改為一手已讀並登錄（</t>
    </r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 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 </t>
    </r>
    <r>
      <rPr>
        <sz val="10"/>
        <color rgb="FF000000"/>
        <rFont val="Noto Sans CJK SC"/>
        <family val="2"/>
      </rPr>
      <t xml:space="preserve">升為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級、新增 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）；做一次唯讀的高批次對照，只報告不改值。</t>
    </r>
  </si>
  <si>
    <t xml:space="preserve">「沒意見」（回覆 chat 端 X4 判讀與建議）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</si>
  <si>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</si>
  <si>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DB_Evidence E245</t>
    </r>
    <r>
      <rPr>
        <sz val="10"/>
        <color rgb="FF000000"/>
        <rFont val="Noto Sans CJK SC"/>
        <family val="2"/>
      </rPr>
      <t xml:space="preserve">（取代 </t>
    </r>
    <r>
      <rPr>
        <sz val="10"/>
        <color rgb="FF000000"/>
        <rFont val="Arial"/>
        <family val="0"/>
        <charset val="1"/>
      </rPr>
      <t xml:space="preserve">E244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SRC_Perf SRC_PERF_027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052–059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欄）；</t>
    </r>
    <r>
      <rPr>
        <sz val="10"/>
        <color rgb="FF000000"/>
        <rFont val="Arial"/>
        <family val="0"/>
        <charset val="1"/>
      </rPr>
      <t xml:space="preserve">Decisions X4</t>
    </r>
  </si>
  <si>
    <t xml:space="preserve">工作單 v5.21 第 0、1、2 節</t>
  </si>
  <si>
    <t xml:space="preserve">v5.22</t>
  </si>
  <si>
    <t xml:space="preserve">壽命期價格係數 L、變現率 m 並列輸出（基準 1）</t>
  </si>
  <si>
    <t xml:space="preserve">新增 L（CTL_PriceLife，Cap_In!C63）與 m（CTL_Monetize，Cap_In!C64）兩個控制參數，基準皆為 1（既有輸出不變），區間皆 0.3–1.0（Gov_Map，Assumed；L 另有類比證據 DB_Evidence E246，類比區間 0.42–0.70）；Interface H 節新增 IF_RevGW_Luna／Sol／Astra_Life、IF_RevGWFleet_Life＝對應基準列 × L × m；既有 IF_RevGW_*、IF_RevGWFleet、L1_Ans5 與 _Prod 列不改；Checks X7 自我檢查；不做 _Prod × L × m 組合列</t>
  </si>
  <si>
    <t xml:space="preserve">「同意」（回覆 chat 端建議：L 與 m 參數化且基準維持 1）；區間：「都照建議」（C1、C2）</t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</si>
  <si>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</si>
  <si>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Cap_In!C63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Theory_Rev 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X7 </t>
    </r>
    <r>
      <rPr>
        <sz val="10"/>
        <color rgb="FF000000"/>
        <rFont val="Noto Sans CJK SC"/>
        <family val="2"/>
      </rPr>
      <t xml:space="preserve">兩列</t>
    </r>
  </si>
  <si>
    <t xml:space="preserve">工作單 v5.22 第 0、1 節</t>
  </si>
  <si>
    <t xml:space="preserve">X8</t>
  </si>
  <si>
    <r>
      <rPr>
        <sz val="10"/>
        <color rgb="FF000000"/>
        <rFont val="Arial"/>
        <family val="0"/>
        <charset val="1"/>
      </rPr>
      <t xml:space="preserve">X8 </t>
    </r>
    <r>
      <rPr>
        <sz val="10"/>
        <color rgb="FF000000"/>
        <rFont val="Noto Sans CJK SC"/>
        <family val="2"/>
      </rPr>
      <t xml:space="preserve">補充：租金資料不進 </t>
    </r>
    <r>
      <rPr>
        <sz val="10"/>
        <color rgb="FF000000"/>
        <rFont val="Arial"/>
        <family val="0"/>
        <charset val="1"/>
      </rPr>
      <t xml:space="preserve">Tokenomics</t>
    </r>
  </si>
  <si>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只放與算力相關的資料。公司專屬租金（牌價、合約價、出租率）不再新增，既有 </t>
    </r>
    <r>
      <rPr>
        <sz val="10"/>
        <color rgb="FF000000"/>
        <rFont val="Arial"/>
        <family val="0"/>
        <charset val="1"/>
      </rPr>
      <t xml:space="preserve">SRC_PRC_001 </t>
    </r>
    <r>
      <rPr>
        <sz val="10"/>
        <color rgb="FF000000"/>
        <rFont val="Noto Sans CJK SC"/>
        <family val="2"/>
      </rPr>
      <t xml:space="preserve">維持；產業租金指數不建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時間序列、不建出租方層，只在 </t>
    </r>
    <r>
      <rPr>
        <sz val="10"/>
        <color rgb="FF000000"/>
        <rFont val="Arial"/>
        <family val="0"/>
        <charset val="1"/>
      </rPr>
      <t xml:space="preserve">DB_Evidence </t>
    </r>
    <r>
      <rPr>
        <sz val="10"/>
        <color rgb="FF000000"/>
        <rFont val="Noto Sans CJK SC"/>
        <family val="2"/>
      </rPr>
      <t xml:space="preserve">登錄一筆（</t>
    </r>
    <r>
      <rPr>
        <sz val="10"/>
        <color rgb="FF000000"/>
        <rFont val="Arial"/>
        <family val="0"/>
        <charset val="1"/>
      </rPr>
      <t xml:space="preserve">E246</t>
    </r>
    <r>
      <rPr>
        <sz val="10"/>
        <color rgb="FF000000"/>
        <rFont val="Noto Sans CJK SC"/>
        <family val="2"/>
      </rPr>
      <t xml:space="preserve">）作為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區間依據；</t>
    </r>
    <r>
      <rPr>
        <sz val="10"/>
        <color rgb="FF000000"/>
        <rFont val="Arial"/>
        <family val="0"/>
        <charset val="1"/>
      </rPr>
      <t xml:space="preserve">Checks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觀察值」取消；租金走勢由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端定期查核，寫入交接檔、不寫入模型</t>
    </r>
  </si>
  <si>
    <t xml:space="preserve">「你的建議我接受，就這樣做吧」</t>
  </si>
  <si>
    <r>
      <rPr>
        <sz val="10"/>
        <color rgb="FF000000"/>
        <rFont val="Arial"/>
        <family val="0"/>
        <charset val="1"/>
      </rPr>
      <t xml:space="preserve">DB_Evidence E246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002</t>
    </r>
    <r>
      <rPr>
        <sz val="10"/>
        <color rgb="FF000000"/>
        <rFont val="Noto Sans CJK SC"/>
        <family val="2"/>
      </rPr>
      <t xml:space="preserve">（不動）</t>
    </r>
  </si>
  <si>
    <t xml:space="preserve">工作單 v5.22 第 0、2 節</t>
  </si>
  <si>
    <t xml:space="preserve">X9</t>
  </si>
  <si>
    <r>
      <rPr>
        <sz val="10"/>
        <color rgb="FF000000"/>
        <rFont val="Arial"/>
        <family val="0"/>
        <charset val="1"/>
      </rPr>
      <t xml:space="preserve">v5.21 </t>
    </r>
    <r>
      <rPr>
        <sz val="10"/>
        <color rgb="FF000000"/>
        <rFont val="Noto Sans CJK SC"/>
        <family val="2"/>
      </rPr>
      <t xml:space="preserve">報告第九節 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項處理</t>
    </r>
  </si>
  <si>
    <r>
      <rPr>
        <sz val="10"/>
        <color rgb="FF000000"/>
        <rFont val="Arial"/>
        <family val="0"/>
        <charset val="1"/>
      </rPr>
      <t xml:space="preserve">Q1 Calib F67 </t>
    </r>
    <r>
      <rPr>
        <sz val="10"/>
        <color rgb="FF000000"/>
        <rFont val="Noto Sans CJK SC"/>
        <family val="2"/>
      </rPr>
      <t xml:space="preserve">不改，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效率先做唯讀敏感度（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報告，不改模型），再決定是否另立批次口徑參數；</t>
    </r>
    <r>
      <rPr>
        <sz val="10"/>
        <color rgb="FF000000"/>
        <rFont val="Arial"/>
        <family val="0"/>
        <charset val="1"/>
      </rPr>
      <t xml:space="preserve">Q2 Nebius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同世代同情境互填第二來源（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W1 −8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Q3 </t>
    </r>
    <r>
      <rPr>
        <sz val="10"/>
        <color rgb="FF000000"/>
        <rFont val="Noto Sans CJK SC"/>
        <family val="2"/>
      </rPr>
      <t xml:space="preserve">不補登其他提交者；</t>
    </r>
    <r>
      <rPr>
        <sz val="10"/>
        <color rgb="FF000000"/>
        <rFont val="Arial"/>
        <family val="0"/>
        <charset val="1"/>
      </rPr>
      <t xml:space="preserve">Q4 inferred </t>
    </r>
    <r>
      <rPr>
        <sz val="10"/>
        <color rgb="FF000000"/>
        <rFont val="Noto Sans CJK SC"/>
        <family val="2"/>
      </rPr>
      <t xml:space="preserve">維持「未查得」；</t>
    </r>
    <r>
      <rPr>
        <sz val="10"/>
        <color rgb="FF000000"/>
        <rFont val="Arial"/>
        <family val="0"/>
        <charset val="1"/>
      </rPr>
      <t xml:space="preserve">Q5 </t>
    </r>
    <r>
      <rPr>
        <sz val="10"/>
        <color rgb="FF000000"/>
        <rFont val="Noto Sans CJK SC"/>
        <family val="2"/>
      </rPr>
      <t xml:space="preserve">日期欄維持；</t>
    </r>
    <r>
      <rPr>
        <sz val="10"/>
        <color rgb="FF000000"/>
        <rFont val="Arial"/>
        <family val="0"/>
        <charset val="1"/>
      </rPr>
      <t xml:space="preserve">Q6 </t>
    </r>
    <r>
      <rPr>
        <sz val="10"/>
        <color rgb="FF000000"/>
        <rFont val="Noto Sans CJK SC"/>
        <family val="2"/>
      </rPr>
      <t xml:space="preserve">取整不處理；</t>
    </r>
    <r>
      <rPr>
        <sz val="10"/>
        <color rgb="FF000000"/>
        <rFont val="Arial"/>
        <family val="0"/>
        <charset val="1"/>
      </rPr>
      <t xml:space="preserve">Q7 restore_log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優先</t>
    </r>
  </si>
  <si>
    <t xml:space="preserve">「都照建議」</t>
  </si>
  <si>
    <r>
      <rPr>
        <sz val="10"/>
        <color rgb="FF000000"/>
        <rFont val="Arial"/>
        <family val="0"/>
        <charset val="1"/>
      </rPr>
      <t xml:space="preserve">SRC_Perf 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W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SRC_PERF_052–059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W1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節敏感度</t>
    </r>
  </si>
  <si>
    <t xml:space="preserve">工作單 v5.22 第 0、3、4 節</t>
  </si>
  <si>
    <t xml:space="preserve">v5.23</t>
  </si>
  <si>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</si>
  <si>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報告第七節第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項選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側另立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批次口徑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Calib!F156</t>
    </r>
    <r>
      <rPr>
        <sz val="10"/>
        <color rgb="FF000000"/>
        <rFont val="Noto Sans CJK SC"/>
        <family val="2"/>
      </rPr>
      <t xml:space="preserve">），基準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、區間 </t>
    </r>
    <r>
      <rPr>
        <sz val="10"/>
        <color rgb="FF000000"/>
        <rFont val="Arial"/>
        <family val="0"/>
        <charset val="1"/>
      </rPr>
      <t xml:space="preserve">0.70–1.0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（服務側，與 </t>
    </r>
    <r>
      <rPr>
        <sz val="10"/>
        <color rgb="FF000000"/>
        <rFont val="Arial"/>
        <family val="0"/>
        <charset val="1"/>
      </rPr>
      <t xml:space="preserve">MLPerf Interactive </t>
    </r>
    <r>
      <rPr>
        <sz val="10"/>
        <color rgb="FF000000"/>
        <rFont val="Noto Sans CJK SC"/>
        <family val="2"/>
      </rPr>
      <t xml:space="preserve">相符）不動。依據：</t>
    </r>
    <r>
      <rPr>
        <sz val="10"/>
        <color rgb="FF000000"/>
        <rFont val="Arial"/>
        <family val="0"/>
        <charset val="1"/>
      </rPr>
      <t xml:space="preserve">MLPerf v6.1 DeepSeek-R1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VR200÷GB300 Offline 1.62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054</t>
    </r>
    <r>
      <rPr>
        <sz val="10"/>
        <color rgb="FF000000"/>
        <rFont val="Noto Sans CJK SC"/>
        <family val="2"/>
      </rPr>
      <t xml:space="preserve">）至 </t>
    </r>
    <r>
      <rPr>
        <sz val="10"/>
        <color rgb="FF000000"/>
        <rFont val="Arial"/>
        <family val="0"/>
        <charset val="1"/>
      </rPr>
      <t xml:space="preserve">1.74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Server 1.96–1.97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053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059</t>
    </r>
    <r>
      <rPr>
        <sz val="10"/>
        <color rgb="FF000000"/>
        <rFont val="Noto Sans CJK SC"/>
        <family val="2"/>
      </rPr>
      <t xml:space="preserve">），兩提交者互為第二來源（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）；模型高批次口徑（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88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VR200÷GB300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2.35–2.56</t>
    </r>
    <r>
      <rPr>
        <sz val="10"/>
        <color rgb="FF000000"/>
        <rFont val="Noto Sans CJK SC"/>
        <family val="2"/>
      </rPr>
      <t xml:space="preserve">，約高出 </t>
    </r>
    <r>
      <rPr>
        <sz val="10"/>
        <color rgb="FF000000"/>
        <rFont val="Arial"/>
        <family val="0"/>
        <charset val="1"/>
      </rPr>
      <t xml:space="preserve">Offline </t>
    </r>
    <r>
      <rPr>
        <sz val="10"/>
        <color rgb="FF000000"/>
        <rFont val="Noto Sans CJK SC"/>
        <family val="2"/>
      </rPr>
      <t xml:space="preserve">四成，等於系統性低估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的訓練成本；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1.62–1.74÷2.33≈0.70–0.75</t>
    </r>
    <r>
      <rPr>
        <sz val="10"/>
        <color rgb="FF000000"/>
        <rFont val="Noto Sans CJK SC"/>
        <family val="2"/>
      </rPr>
      <t xml:space="preserve">，基準取上端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，保留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首次提交後軟體優化的空間，區間上端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v5.22 </t>
    </r>
    <r>
      <rPr>
        <sz val="10"/>
        <color rgb="FF000000"/>
        <rFont val="Noto Sans CJK SC"/>
        <family val="2"/>
      </rPr>
      <t xml:space="preserve">現值。主要反面：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軟體早期，後續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比值可能回升（</t>
    </r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前例）。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 </t>
    </r>
    <r>
      <rPr>
        <sz val="10"/>
        <color rgb="FF000000"/>
        <rFont val="Noto Sans CJK SC"/>
        <family val="2"/>
      </rPr>
      <t xml:space="preserve">乘以該倍數；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不改</t>
    </r>
  </si>
  <si>
    <t xml:space="preserve">2026-10-07</t>
  </si>
  <si>
    <t xml:space="preserve">「選(b)」</t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</si>
  <si>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</si>
  <si>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Calib!C156:G156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53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C:Q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X10 </t>
    </r>
    <r>
      <rPr>
        <sz val="10"/>
        <color rgb="FF000000"/>
        <rFont val="Noto Sans CJK SC"/>
        <family val="2"/>
      </rPr>
      <t xml:space="preserve">一列</t>
    </r>
  </si>
  <si>
    <t xml:space="preserve">工作單 v5.23 第 0、1 節</t>
  </si>
  <si>
    <t xml:space="preserve">X11</t>
  </si>
  <si>
    <t xml:space="preserve">v5.25</t>
  </si>
  <si>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欄維持「中」</t>
    </r>
  </si>
  <si>
    <r>
      <rPr>
        <sz val="10"/>
        <color rgb="FF000000"/>
        <rFont val="Arial"/>
        <family val="0"/>
        <charset val="1"/>
      </rPr>
      <t xml:space="preserve">v5.23 </t>
    </r>
    <r>
      <rPr>
        <sz val="10"/>
        <color rgb="FF000000"/>
        <rFont val="Noto Sans CJK SC"/>
        <family val="2"/>
      </rPr>
      <t xml:space="preserve">報告第十節第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CAL_BatchEtaD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Gov_Map P </t>
    </r>
    <r>
      <rPr>
        <sz val="10"/>
        <color rgb="FF000000"/>
        <rFont val="Noto Sans CJK SC"/>
        <family val="2"/>
      </rPr>
      <t xml:space="preserve">欄維持「中」。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清單輸出擺動最大 </t>
    </r>
    <r>
      <rPr>
        <sz val="10"/>
        <color rgb="FF000000"/>
        <rFont val="Arial"/>
        <family val="0"/>
        <charset val="1"/>
      </rPr>
      <t xml:space="preserve">+3.2%</t>
    </r>
    <r>
      <rPr>
        <sz val="10"/>
        <color rgb="FF000000"/>
        <rFont val="Noto Sans CJK SC"/>
        <family val="2"/>
      </rPr>
      <t xml:space="preserve">／−</t>
    </r>
    <r>
      <rPr>
        <sz val="10"/>
        <color rgb="FF000000"/>
        <rFont val="Arial"/>
        <family val="0"/>
        <charset val="1"/>
      </rPr>
      <t xml:space="preserve">11.0%</t>
    </r>
    <r>
      <rPr>
        <sz val="10"/>
        <color rgb="FF000000"/>
        <rFont val="Noto Sans CJK SC"/>
        <family val="2"/>
      </rPr>
      <t xml:space="preserve">，未達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；不在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清單的訓練成本與 </t>
    </r>
    <r>
      <rPr>
        <sz val="10"/>
        <color rgb="FF000000"/>
        <rFont val="Arial"/>
        <family val="0"/>
        <charset val="1"/>
      </rPr>
      <t xml:space="preserve">RL rollout GPU </t>
    </r>
    <r>
      <rPr>
        <sz val="10"/>
        <color rgb="FF000000"/>
        <rFont val="Noto Sans CJK SC"/>
        <family val="2"/>
      </rPr>
      <t xml:space="preserve">小時（</t>
    </r>
    <r>
      <rPr>
        <sz val="10"/>
        <color rgb="FF000000"/>
        <rFont val="Arial"/>
        <family val="0"/>
        <charset val="1"/>
      </rPr>
      <t xml:space="preserve">+14%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+20%</t>
    </r>
    <r>
      <rPr>
        <sz val="10"/>
        <color rgb="FF000000"/>
        <rFont val="Noto Sans CJK SC"/>
        <family val="2"/>
      </rPr>
      <t xml:space="preserve">）另列監控，日後若納入 </t>
    </r>
    <r>
      <rPr>
        <sz val="10"/>
        <color rgb="FF000000"/>
        <rFont val="Arial"/>
        <family val="0"/>
        <charset val="1"/>
      </rPr>
      <t xml:space="preserve">X2 </t>
    </r>
    <r>
      <rPr>
        <sz val="10"/>
        <color rgb="FF000000"/>
        <rFont val="Noto Sans CJK SC"/>
        <family val="2"/>
      </rPr>
      <t xml:space="preserve">清單再重判。依據：規則字面一致</t>
    </r>
  </si>
  <si>
    <t xml:space="preserve">「基本上就用你的建議值就好了，你自己先看着办吧」（2026-10-07，經 chat 端轉達）</t>
  </si>
  <si>
    <r>
      <rPr>
        <sz val="10"/>
        <color rgb="FF000000"/>
        <rFont val="Arial"/>
        <family val="0"/>
        <charset val="1"/>
      </rPr>
      <t xml:space="preserve">v5.25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</si>
  <si>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Gov_Map GM595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 </t>
    </r>
    <r>
      <rPr>
        <sz val="10"/>
        <color rgb="FF000000"/>
        <rFont val="Noto Sans CJK SC"/>
        <family val="2"/>
      </rPr>
      <t xml:space="preserve">欄不變）</t>
    </r>
  </si>
  <si>
    <t xml:space="preserve">工作單 v5.25 第 0 節</t>
  </si>
  <si>
    <t xml:space="preserve">X12</t>
  </si>
  <si>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架構證據登錄；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前沿算力對照改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</si>
  <si>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(a) Serving C23:E24</t>
    </r>
    <r>
      <rPr>
        <sz val="10"/>
        <color rgb="FF000000"/>
        <rFont val="Noto Sans CJK SC"/>
        <family val="2"/>
      </rPr>
      <t xml:space="preserve">（參考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）基準不改；只把 </t>
    </r>
    <r>
      <rPr>
        <sz val="10"/>
        <color rgb="FF000000"/>
        <rFont val="Arial"/>
        <family val="0"/>
        <charset val="1"/>
      </rPr>
      <t xml:space="preserve">GM248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C24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Luna OSL</t>
    </r>
    <r>
      <rPr>
        <sz val="10"/>
        <color rgb="FF000000"/>
        <rFont val="Noto Sans CJK SC"/>
        <family val="2"/>
      </rPr>
      <t xml:space="preserve">）區間下限 </t>
    </r>
    <r>
      <rPr>
        <sz val="10"/>
        <color rgb="FF000000"/>
        <rFont val="Arial"/>
        <family val="0"/>
        <charset val="1"/>
      </rPr>
      <t xml:space="preserve">512 → 400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Arch E6–E8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）基準不改，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維持未結。</t>
    </r>
    <r>
      <rPr>
        <sz val="10"/>
        <color rgb="FF000000"/>
        <rFont val="Arial"/>
        <family val="0"/>
        <charset val="1"/>
      </rPr>
      <t xml:space="preserve">(c) 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）外部對照由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OSL——OpenRouter </t>
    </r>
    <r>
      <rPr>
        <sz val="10"/>
        <color rgb="FF000000"/>
        <rFont val="Noto Sans CJK SC"/>
        <family val="2"/>
      </rPr>
      <t xml:space="preserve">全市場平均每請求輸入 </t>
    </r>
    <r>
      <rPr>
        <sz val="10"/>
        <color rgb="FF000000"/>
        <rFont val="Arial"/>
        <family val="0"/>
        <charset val="1"/>
      </rPr>
      <t xml:space="preserve">over 6K</t>
    </r>
    <r>
      <rPr>
        <sz val="10"/>
        <color rgb="FF000000"/>
        <rFont val="Noto Sans CJK SC"/>
        <family val="2"/>
      </rPr>
      <t xml:space="preserve">、輸出約 </t>
    </r>
    <r>
      <rPr>
        <sz val="10"/>
        <color rgb="FF000000"/>
        <rFont val="Arial"/>
        <family val="0"/>
        <charset val="1"/>
      </rPr>
      <t xml:space="preserve">400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），輸出占比約 </t>
    </r>
    <r>
      <rPr>
        <sz val="10"/>
        <color rgb="FF000000"/>
        <rFont val="Arial"/>
        <family val="0"/>
        <charset val="1"/>
      </rPr>
      <t xml:space="preserve">6%</t>
    </r>
    <r>
      <rPr>
        <sz val="10"/>
        <color rgb="FF000000"/>
        <rFont val="Noto Sans CJK SC"/>
        <family val="2"/>
      </rPr>
      <t xml:space="preserve">；模型三層級皆 </t>
    </r>
    <r>
      <rPr>
        <sz val="10"/>
        <color rgb="FF000000"/>
        <rFont val="Arial"/>
        <family val="0"/>
        <charset val="1"/>
      </rPr>
      <t xml:space="preserve">1/9≈11%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偏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與代理流量，本模型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頁的消費聊天輸出占比為一般聊天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3,000</t>
    </r>
    <r>
      <rPr>
        <sz val="10"/>
        <color rgb="FF000000"/>
        <rFont val="Noto Sans CJK SC"/>
        <family val="2"/>
      </rPr>
      <t xml:space="preserve">）、推理聊天 </t>
    </r>
    <r>
      <rPr>
        <sz val="10"/>
        <color rgb="FF000000"/>
        <rFont val="Arial"/>
        <family val="0"/>
        <charset val="1"/>
      </rPr>
      <t xml:space="preserve">60%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3,700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6,200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11% </t>
    </r>
    <r>
      <rPr>
        <sz val="10"/>
        <color rgb="FF000000"/>
        <rFont val="Noto Sans CJK SC"/>
        <family val="2"/>
      </rPr>
      <t xml:space="preserve">介於兩者之間，基準不改；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為最接近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主流量（</t>
    </r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級）的層級，其區間下限放寬到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以涵蓋市場平均。</t>
    </r>
    <r>
      <rPr>
        <sz val="10"/>
        <color rgb="FF000000"/>
        <rFont val="Arial"/>
        <family val="0"/>
        <charset val="1"/>
      </rPr>
      <t xml:space="preserve">ISL——</t>
    </r>
    <r>
      <rPr>
        <sz val="10"/>
        <color rgb="FF000000"/>
        <rFont val="Noto Sans CJK SC"/>
        <family val="2"/>
      </rPr>
      <t xml:space="preserve">市場平均 </t>
    </r>
    <r>
      <rPr>
        <sz val="10"/>
        <color rgb="FF000000"/>
        <rFont val="Arial"/>
        <family val="0"/>
        <charset val="1"/>
      </rPr>
      <t xml:space="preserve">6K </t>
    </r>
    <r>
      <rPr>
        <sz val="10"/>
        <color rgb="FF000000"/>
        <rFont val="Noto Sans CJK SC"/>
        <family val="2"/>
      </rPr>
      <t xml:space="preserve">落在 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4,096–16,384 </t>
    </r>
    <r>
      <rPr>
        <sz val="10"/>
        <color rgb="FF000000"/>
        <rFont val="Noto Sans CJK SC"/>
        <family val="2"/>
      </rPr>
      <t xml:space="preserve">內；程式類為一般的 </t>
    </r>
    <r>
      <rPr>
        <sz val="10"/>
        <color rgb="FF000000"/>
        <rFont val="Arial"/>
        <family val="0"/>
        <charset val="1"/>
      </rPr>
      <t xml:space="preserve">3–4 </t>
    </r>
    <r>
      <rPr>
        <sz val="10"/>
        <color rgb="FF000000"/>
        <rFont val="Noto Sans CJK SC"/>
        <family val="2"/>
      </rPr>
      <t xml:space="preserve">倍，與 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16K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32K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E211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Copilot </t>
    </r>
    <r>
      <rPr>
        <sz val="10"/>
        <color rgb="FF000000"/>
        <rFont val="Noto Sans CJK SC"/>
        <family val="2"/>
      </rPr>
      <t xml:space="preserve">每呼叫中位 </t>
    </r>
    <r>
      <rPr>
        <sz val="10"/>
        <color rgb="FF000000"/>
        <rFont val="Arial"/>
        <family val="0"/>
        <charset val="1"/>
      </rPr>
      <t xml:space="preserve">68K</t>
    </r>
    <r>
      <rPr>
        <sz val="10"/>
        <color rgb="FF000000"/>
        <rFont val="Noto Sans CJK SC"/>
        <family val="2"/>
      </rPr>
      <t xml:space="preserve">）一致；基準與區間皆不改。</t>
    </r>
    <r>
      <rPr>
        <sz val="10"/>
        <color rgb="FF000000"/>
        <rFont val="Arial"/>
        <family val="0"/>
        <charset val="1"/>
      </rPr>
      <t xml:space="preserve">J8——Epoch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的訓練算力估計 </t>
    </r>
    <r>
      <rPr>
        <sz val="10"/>
        <color rgb="FF000000"/>
        <rFont val="Arial"/>
        <family val="0"/>
        <charset val="1"/>
      </rPr>
      <t xml:space="preserve">1.0001e27 FLOP</t>
    </r>
    <r>
      <rPr>
        <sz val="10"/>
        <color rgb="FF000000"/>
        <rFont val="Noto Sans CJK SC"/>
        <family val="2"/>
      </rPr>
      <t xml:space="preserve">（硬體推估，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萬顆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為下限），模型 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6.84e25</t>
    </r>
    <r>
      <rPr>
        <sz val="10"/>
        <color rgb="FF000000"/>
        <rFont val="Noto Sans CJK SC"/>
        <family val="2"/>
      </rPr>
      <t xml:space="preserve">，比值約 </t>
    </r>
    <r>
      <rPr>
        <sz val="10"/>
        <color rgb="FF000000"/>
        <rFont val="Arial"/>
        <family val="0"/>
        <charset val="1"/>
      </rPr>
      <t xml:space="preserve">0.068</t>
    </r>
    <r>
      <rPr>
        <sz val="10"/>
        <color rgb="FF000000"/>
        <rFont val="Noto Sans CJK SC"/>
        <family val="2"/>
      </rPr>
      <t xml:space="preserve">；缺口來自啟用參數、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數或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占比中的哪一項，公開資料無法分離（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未揭露參數），故不改基準；把對照改為同一模型的估計，讓缺口直接可見。硬性停止條件檢查：本單無任何下游取數值變動，未觸及。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</si>
  <si>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Gov_Map GM248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 L36:N36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SRC_DEM_014–017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E247–E250</t>
    </r>
  </si>
  <si>
    <t xml:space="preserve">工作單 v5.25 第 0、1、2 節</t>
  </si>
  <si>
    <t xml:space="preserve">X13</t>
  </si>
  <si>
    <t xml:space="preserve">v5.27</t>
  </si>
  <si>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證據與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區間、</t>
    </r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查核、</t>
    </r>
    <r>
      <rPr>
        <sz val="10"/>
        <color rgb="FF000000"/>
        <rFont val="Arial"/>
        <family val="0"/>
        <charset val="1"/>
      </rPr>
      <t xml:space="preserve">Ans3 </t>
    </r>
    <r>
      <rPr>
        <sz val="10"/>
        <color rgb="FF000000"/>
        <rFont val="Noto Sans CJK SC"/>
        <family val="2"/>
      </rPr>
      <t xml:space="preserve">對照揭露支出）、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架構證據</t>
    </r>
  </si>
  <si>
    <r>
      <rPr>
        <sz val="10"/>
        <color rgb="FF000000"/>
        <rFont val="Arial"/>
        <family val="0"/>
        <charset val="1"/>
      </rPr>
      <t xml:space="preserve">(a) 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訓練算力，</t>
    </r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）登錄 </t>
    </r>
    <r>
      <rPr>
        <sz val="10"/>
        <color rgb="FF000000"/>
        <rFont val="Arial"/>
        <family val="0"/>
        <charset val="1"/>
      </rPr>
      <t xml:space="preserve">Epoch notes </t>
    </r>
    <r>
      <rPr>
        <sz val="10"/>
        <color rgb="FF000000"/>
        <rFont val="Noto Sans CJK SC"/>
        <family val="2"/>
      </rPr>
      <t xml:space="preserve">所述區間：低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列外部欄改連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(b) Grok-3 </t>
    </r>
    <r>
      <rPr>
        <sz val="10"/>
        <color rgb="FF000000"/>
        <rFont val="Noto Sans CJK SC"/>
        <family val="2"/>
      </rPr>
      <t xml:space="preserve">算力：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現行資料表為 </t>
    </r>
    <r>
      <rPr>
        <sz val="10"/>
        <color rgb="FF000000"/>
        <rFont val="Arial"/>
        <family val="0"/>
        <charset val="1"/>
      </rPr>
      <t xml:space="preserve">3.5e26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</t>
    </r>
    <r>
      <rPr>
        <sz val="10"/>
        <color rgb="FF000000"/>
        <rFont val="Noto Sans CJK SC"/>
        <family val="2"/>
      </rPr>
      <t xml:space="preserve">）；「</t>
    </r>
    <r>
      <rPr>
        <sz val="10"/>
        <color rgb="FF000000"/>
        <rFont val="Arial"/>
        <family val="0"/>
        <charset val="1"/>
      </rPr>
      <t xml:space="preserve">models over 1e25 FLOP</t>
    </r>
    <r>
      <rPr>
        <sz val="10"/>
        <color rgb="FF000000"/>
        <rFont val="Noto Sans CJK SC"/>
        <family val="2"/>
      </rPr>
      <t xml:space="preserve">」頁若已改為 </t>
    </r>
    <r>
      <rPr>
        <sz val="10"/>
        <color rgb="FF000000"/>
        <rFont val="Arial"/>
        <family val="0"/>
        <charset val="1"/>
      </rPr>
      <t xml:space="preserve">3.5e26 </t>
    </r>
    <r>
      <rPr>
        <sz val="10"/>
        <color rgb="FF000000"/>
        <rFont val="Noto Sans CJK SC"/>
        <family val="2"/>
      </rPr>
      <t xml:space="preserve">則新增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紀錄取代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，若仍為 </t>
    </r>
    <r>
      <rPr>
        <sz val="10"/>
        <color rgb="FF000000"/>
        <rFont val="Arial"/>
        <family val="0"/>
        <charset val="1"/>
      </rPr>
      <t xml:space="preserve">4.6e26 </t>
    </r>
    <r>
      <rPr>
        <sz val="10"/>
        <color rgb="FF000000"/>
        <rFont val="Noto Sans CJK SC"/>
        <family val="2"/>
      </rPr>
      <t xml:space="preserve">只在 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記錄兩處不一致、不改 </t>
    </r>
    <r>
      <rPr>
        <sz val="10"/>
        <color rgb="FF000000"/>
        <rFont val="Arial"/>
        <family val="0"/>
        <charset val="1"/>
      </rPr>
      <t xml:space="preserve">SRC——v5.27 CC </t>
    </r>
    <r>
      <rPr>
        <sz val="10"/>
        <color rgb="FF000000"/>
        <rFont val="Noto Sans CJK SC"/>
        <family val="2"/>
      </rPr>
      <t xml:space="preserve">讀取結果該頁仍為 </t>
    </r>
    <r>
      <rPr>
        <sz val="10"/>
        <color rgb="FF000000"/>
        <rFont val="Arial"/>
        <family val="0"/>
        <charset val="1"/>
      </rPr>
      <t xml:space="preserve">4.6e26</t>
    </r>
    <r>
      <rPr>
        <sz val="10"/>
        <color rgb="FF000000"/>
        <rFont val="Noto Sans CJK SC"/>
        <family val="2"/>
      </rPr>
      <t xml:space="preserve">，採後者（</t>
    </r>
    <r>
      <rPr>
        <sz val="10"/>
        <color rgb="FF000000"/>
        <rFont val="Arial"/>
        <family val="0"/>
        <charset val="1"/>
      </rPr>
      <t xml:space="preserve">E252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Train_In C46:C48 </t>
    </r>
    <r>
      <rPr>
        <sz val="10"/>
        <color rgb="FF000000"/>
        <rFont val="Noto Sans CJK SC"/>
        <family val="2"/>
      </rPr>
      <t xml:space="preserve">錨點（</t>
    </r>
    <r>
      <rPr>
        <sz val="10"/>
        <color rgb="FF000000"/>
        <rFont val="Arial"/>
        <family val="0"/>
        <charset val="1"/>
      </rPr>
      <t xml:space="preserve">2e26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2e27</t>
    </r>
    <r>
      <rPr>
        <sz val="10"/>
        <color rgb="FF000000"/>
        <rFont val="Noto Sans CJK SC"/>
        <family val="2"/>
      </rPr>
      <t xml:space="preserve">）不改。</t>
    </r>
    <r>
      <rPr>
        <sz val="10"/>
        <color rgb="FF000000"/>
        <rFont val="Arial"/>
        <family val="0"/>
        <charset val="1"/>
      </rPr>
      <t xml:space="preserve">(c) Alloc 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 </t>
    </r>
    <r>
      <rPr>
        <sz val="10"/>
        <color rgb="FF000000"/>
        <rFont val="Noto Sans CJK SC"/>
        <family val="2"/>
      </rPr>
      <t xml:space="preserve">基準不改（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N_major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）。理由：模型研發算力成本 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1.157 $B</t>
    </r>
    <r>
      <rPr>
        <sz val="10"/>
        <color rgb="FF000000"/>
        <rFont val="Noto Sans CJK SC"/>
        <family val="2"/>
      </rPr>
      <t xml:space="preserve">，約為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揭露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訓練支出 </t>
    </r>
    <r>
      <rPr>
        <sz val="10"/>
        <color rgb="FF000000"/>
        <rFont val="Arial"/>
        <family val="0"/>
        <charset val="1"/>
      </rPr>
      <t xml:space="preserve">12 $B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）的 </t>
    </r>
    <r>
      <rPr>
        <sz val="10"/>
        <color rgb="FF000000"/>
        <rFont val="Arial"/>
        <family val="0"/>
        <charset val="1"/>
      </rPr>
      <t xml:space="preserve">1/10</t>
    </r>
    <r>
      <rPr>
        <sz val="10"/>
        <color rgb="FF000000"/>
        <rFont val="Noto Sans CJK SC"/>
        <family val="2"/>
      </rPr>
      <t xml:space="preserve">；服務端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0.052</t>
    </r>
    <r>
      <rPr>
        <sz val="10"/>
        <color rgb="FF000000"/>
        <rFont val="Noto Sans CJK SC"/>
        <family val="2"/>
      </rPr>
      <t xml:space="preserve">）亦約為支出路線（</t>
    </r>
    <r>
      <rPr>
        <sz val="10"/>
        <color rgb="FF000000"/>
        <rFont val="Arial"/>
        <family val="0"/>
        <charset val="1"/>
      </rPr>
      <t xml:space="preserve">0.743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列）的 </t>
    </r>
    <r>
      <rPr>
        <sz val="10"/>
        <color rgb="FF000000"/>
        <rFont val="Arial"/>
        <family val="0"/>
        <charset val="1"/>
      </rPr>
      <t xml:space="preserve">1/14</t>
    </r>
    <r>
      <rPr>
        <sz val="10"/>
        <color rgb="FF000000"/>
        <rFont val="Noto Sans CJK SC"/>
        <family val="2"/>
      </rPr>
      <t xml:space="preserve">。兩端同幅度偏小，故比值 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0.636</t>
    </r>
    <r>
      <rPr>
        <sz val="10"/>
        <color rgb="FF000000"/>
        <rFont val="Noto Sans CJK SC"/>
        <family val="2"/>
      </rPr>
      <t xml:space="preserve">）接近揭露支出比 </t>
    </r>
    <r>
      <rPr>
        <sz val="10"/>
        <color rgb="FF000000"/>
        <rFont val="Arial"/>
        <family val="0"/>
        <charset val="1"/>
      </rPr>
      <t xml:space="preserve">0.588</t>
    </r>
    <r>
      <rPr>
        <sz val="10"/>
        <color rgb="FF000000"/>
        <rFont val="Noto Sans CJK SC"/>
        <family val="2"/>
      </rPr>
      <t xml:space="preserve">。只上調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（例如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硬體錨點隱含的 ≥</t>
    </r>
    <r>
      <rPr>
        <sz val="10"/>
        <color rgb="FF000000"/>
        <rFont val="Arial"/>
        <family val="0"/>
        <charset val="1"/>
      </rPr>
      <t xml:space="preserve">5.6</t>
    </r>
    <r>
      <rPr>
        <sz val="10"/>
        <color rgb="FF000000"/>
        <rFont val="Noto Sans CJK SC"/>
        <family val="2"/>
      </rPr>
      <t xml:space="preserve">）會使 </t>
    </r>
    <r>
      <rPr>
        <sz val="10"/>
        <color rgb="FF000000"/>
        <rFont val="Arial"/>
        <family val="0"/>
        <charset val="1"/>
      </rPr>
      <t xml:space="preserve">Q1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0.91</t>
    </r>
    <r>
      <rPr>
        <sz val="10"/>
        <color rgb="FF000000"/>
        <rFont val="Noto Sans CJK SC"/>
        <family val="2"/>
      </rPr>
      <t xml:space="preserve">，與支出比矛盾。絕對機隊規模屬公司資料（</t>
    </r>
    <r>
      <rPr>
        <sz val="10"/>
        <color rgb="FF000000"/>
        <rFont val="Arial"/>
        <family val="0"/>
        <charset val="1"/>
      </rPr>
      <t xml:space="preserve">Andy 2026-10-06 </t>
    </r>
    <r>
      <rPr>
        <sz val="10"/>
        <color rgb="FF000000"/>
        <rFont val="Noto Sans CJK SC"/>
        <family val="2"/>
      </rPr>
      <t xml:space="preserve">範圍決定），由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模型同時校準研發與服務兩端；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只揭露此落差。</t>
    </r>
    <r>
      <rPr>
        <sz val="10"/>
        <color rgb="FF000000"/>
        <rFont val="Arial"/>
        <family val="0"/>
        <charset val="1"/>
      </rPr>
      <t xml:space="preserve">(d) L1_Ans3 </t>
    </r>
    <r>
      <rPr>
        <sz val="10"/>
        <color rgb="FF000000"/>
        <rFont val="Noto Sans CJK SC"/>
        <family val="2"/>
      </rPr>
      <t xml:space="preserve">外部對照連 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訓練支出），使上項落差在 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直接可見。</t>
    </r>
    <r>
      <rPr>
        <sz val="10"/>
        <color rgb="FF000000"/>
        <rFont val="Arial"/>
        <family val="0"/>
        <charset val="1"/>
      </rPr>
      <t xml:space="preserve">(e) Train_In E25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60T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Arch E6–E8 </t>
    </r>
    <r>
      <rPr>
        <sz val="10"/>
        <color rgb="FF000000"/>
        <rFont val="Noto Sans CJK SC"/>
        <family val="2"/>
      </rPr>
      <t xml:space="preserve">基準不改；</t>
    </r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登錄為架構可比（純證據）。硬性停止條件檢查：本單無任何下游取數值變動，未觸及。</t>
    </r>
  </si>
  <si>
    <r>
      <rPr>
        <sz val="10"/>
        <color rgb="FF000000"/>
        <rFont val="Arial"/>
        <family val="0"/>
        <charset val="1"/>
      </rPr>
      <t xml:space="preserve">v5.27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</si>
  <si>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SRC_MOD_055 </t>
    </r>
    <r>
      <rPr>
        <sz val="10"/>
        <color rgb="FF000000"/>
        <rFont val="Noto Sans CJK SC"/>
        <family val="2"/>
      </rPr>
      <t xml:space="preserve">低／高、</t>
    </r>
    <r>
      <rPr>
        <sz val="10"/>
        <color rgb="FF000000"/>
        <rFont val="Arial"/>
        <family val="0"/>
        <charset val="1"/>
      </rPr>
      <t xml:space="preserve">L1 L36:P36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L39:P39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SRC_MOD_057–062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DB_Evidence E251–E255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E249 </t>
    </r>
    <r>
      <rPr>
        <sz val="10"/>
        <color rgb="FF000000"/>
        <rFont val="Noto Sans CJK SC"/>
        <family val="2"/>
      </rPr>
      <t xml:space="preserve">備註）、</t>
    </r>
    <r>
      <rPr>
        <sz val="10"/>
        <color rgb="FF000000"/>
        <rFont val="Arial"/>
        <family val="0"/>
        <charset val="1"/>
      </rPr>
      <t xml:space="preserve">Gov_Map GM576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GM203–205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GM531 </t>
    </r>
    <r>
      <rPr>
        <sz val="10"/>
        <color rgb="FF000000"/>
        <rFont val="Noto Sans CJK SC"/>
        <family val="2"/>
      </rPr>
      <t xml:space="preserve">理由欄</t>
    </r>
  </si>
  <si>
    <t xml:space="preserve">工作單 v5.27 第 0、1、2 節</t>
  </si>
  <si>
    <t xml:space="preserve">X14a</t>
  </si>
  <si>
    <t xml:space="preserve">v5.29</t>
  </si>
  <si>
    <r>
      <rPr>
        <sz val="10"/>
        <color rgb="FF000000"/>
        <rFont val="Arial"/>
        <family val="0"/>
        <charset val="1"/>
      </rPr>
      <t xml:space="preserve">X14 (a) </t>
    </r>
    <r>
      <rPr>
        <sz val="10"/>
        <color rgb="FF000000"/>
        <rFont val="Noto Sans CJK SC"/>
        <family val="2"/>
      </rPr>
      <t xml:space="preserve">輸出契約欄</t>
    </r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</si>
  <si>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每一列附 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Decision Use</t>
    </r>
    <r>
      <rPr>
        <sz val="10"/>
        <color rgb="FF000000"/>
        <rFont val="Noto Sans CJK SC"/>
        <family val="2"/>
      </rPr>
      <t xml:space="preserve">、口徑層、最弱輸入更新日四欄（</t>
    </r>
    <r>
      <rPr>
        <sz val="10"/>
        <color rgb="FF000000"/>
        <rFont val="Arial"/>
        <family val="0"/>
        <charset val="1"/>
      </rPr>
      <t xml:space="preserve">R–U</t>
    </r>
    <r>
      <rPr>
        <sz val="10"/>
        <color rgb="FF000000"/>
        <rFont val="Noto Sans CJK SC"/>
        <family val="2"/>
      </rPr>
      <t xml:space="preserve">），全部由公式自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徙出，不手填；依賴的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列由 </t>
    </r>
    <r>
      <rPr>
        <sz val="10"/>
        <color rgb="FF000000"/>
        <rFont val="Arial"/>
        <family val="0"/>
        <charset val="1"/>
      </rPr>
      <t xml:space="preserve">builder </t>
    </r>
    <r>
      <rPr>
        <sz val="10"/>
        <color rgb="FF000000"/>
        <rFont val="Noto Sans CJK SC"/>
        <family val="2"/>
      </rPr>
      <t xml:space="preserve">建置時反查（靜態展開），判斷欄仍即時讀 </t>
    </r>
    <r>
      <rPr>
        <sz val="10"/>
        <color rgb="FF000000"/>
        <rFont val="Arial"/>
        <family val="0"/>
        <charset val="1"/>
      </rPr>
      <t xml:space="preserve">Gov_Map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</si>
  <si>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：同意你的設計／三件一起做（整合版評估報告 </t>
    </r>
    <r>
      <rPr>
        <sz val="10"/>
        <color rgb="FF000000"/>
        <rFont val="Arial"/>
        <family val="0"/>
        <charset val="1"/>
      </rPr>
      <t xml:space="preserve">docs/reports/20261008_eval_integrated.md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</si>
  <si>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</si>
  <si>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R–U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IFC_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Gov_Map AG–AJ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SRC_Index 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K1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K2</t>
    </r>
  </si>
  <si>
    <t xml:space="preserve">工作單 v5.29 第 0 節</t>
  </si>
  <si>
    <t xml:space="preserve">X14b</t>
  </si>
  <si>
    <r>
      <rPr>
        <sz val="10"/>
        <color rgb="FF000000"/>
        <rFont val="Arial"/>
        <family val="0"/>
        <charset val="1"/>
      </rPr>
      <t xml:space="preserve">X14 (b) </t>
    </r>
    <r>
      <rPr>
        <sz val="10"/>
        <color rgb="FF000000"/>
        <rFont val="Noto Sans CJK SC"/>
        <family val="2"/>
      </rPr>
      <t xml:space="preserve">四層瀑布</t>
    </r>
  </si>
  <si>
    <t xml:space="preserve">四層瀑布為正式口徑：100% → × IF_Util → × CTL_ProdDerate → × L × m。既有 D／G／H 節列不動，新增 J 節把同一指標的四層並列（IFW_），供下游一次取齊</t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</si>
  <si>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</si>
  <si>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X14c</t>
  </si>
  <si>
    <r>
      <rPr>
        <sz val="10"/>
        <color rgb="FF000000"/>
        <rFont val="Arial"/>
        <family val="0"/>
        <charset val="1"/>
      </rPr>
      <t xml:space="preserve">X14 (c) </t>
    </r>
    <r>
      <rPr>
        <sz val="10"/>
        <color rgb="FF000000"/>
        <rFont val="Noto Sans CJK SC"/>
        <family val="2"/>
      </rPr>
      <t xml:space="preserve">機隊損益兩平列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</si>
  <si>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IF_HoldEcon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IF_RevGWFleet ÷ IF_Util</t>
    </r>
    <r>
      <rPr>
        <sz val="10"/>
        <color rgb="FF000000"/>
        <rFont val="Noto Sans CJK SC"/>
        <family val="2"/>
      </rPr>
      <t xml:space="preserve">）（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基準欄；令機隊營收等於持有成本所需的「利用率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折減 </t>
    </r>
    <r>
      <rPr>
        <sz val="10"/>
        <color rgb="FF000000"/>
        <rFont val="Arial"/>
        <family val="0"/>
        <charset val="1"/>
      </rPr>
      <t xml:space="preserve">× L × m</t>
    </r>
    <r>
      <rPr>
        <sz val="10"/>
        <color rgb="FF000000"/>
        <rFont val="Noto Sans CJK SC"/>
        <family val="2"/>
      </rPr>
      <t xml:space="preserve">」乘積）與 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× CTL_ProdDerate × CTL_PriceLife × CTL_Monetize ÷ L1_FleetBreakeven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r2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項：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 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比值 </t>
    </r>
    <r>
      <rPr>
        <sz val="10"/>
        <color rgb="FF000000"/>
        <rFont val="Arial"/>
        <family val="0"/>
        <charset val="1"/>
      </rPr>
      <t xml:space="preserve">× CTL_ProdDerate × L × m</t>
    </r>
    <r>
      <rPr>
        <sz val="10"/>
        <color rgb="FF000000"/>
        <rFont val="Noto Sans CJK SC"/>
        <family val="2"/>
      </rPr>
      <t xml:space="preserve">，折減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3.82</t>
    </r>
    <r>
      <rPr>
        <sz val="10"/>
        <color rgb="FF000000"/>
        <rFont val="Noto Sans CJK SC"/>
        <family val="2"/>
      </rPr>
      <t xml:space="preserve">、基準 </t>
    </r>
    <r>
      <rPr>
        <sz val="10"/>
        <color rgb="FF000000"/>
        <rFont val="Arial"/>
        <family val="0"/>
        <charset val="1"/>
      </rPr>
      <t xml:space="preserve">3.245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</si>
  <si>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GM594 </t>
    </r>
    <r>
      <rPr>
        <sz val="10"/>
        <color rgb="FF000000"/>
        <rFont val="Noto Sans CJK SC"/>
        <family val="2"/>
      </rPr>
      <t xml:space="preserve">理由欄；</t>
    </r>
    <r>
      <rPr>
        <sz val="10"/>
        <color rgb="FF000000"/>
        <rFont val="Arial"/>
        <family val="0"/>
        <charset val="1"/>
      </rPr>
      <t xml:space="preserve">Checks K4</t>
    </r>
  </si>
  <si>
    <t xml:space="preserve">X14d</t>
  </si>
  <si>
    <r>
      <rPr>
        <sz val="10"/>
        <color rgb="FF000000"/>
        <rFont val="Arial"/>
        <family val="0"/>
        <charset val="1"/>
      </rPr>
      <t xml:space="preserve">X14 (d)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介面</t>
    </r>
  </si>
  <si>
    <t xml:space="preserve">新增 L1_HoldEconMW_*（每世代，＝L1_HoldEconGW_* ÷ 1000）與 L1_TokMW_Gen_ratio_*（相鄰世代 Sol 每 GW 總產出比，附低高）；Tokenomics 不輸出每 MW 收入，下游依 q × p × c × 簽約率自算</t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</si>
  <si>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L1_TokMW_Gen_ratio_*</t>
    </r>
  </si>
  <si>
    <t xml:space="preserve">X14e</t>
  </si>
  <si>
    <r>
      <rPr>
        <sz val="10"/>
        <color rgb="FF000000"/>
        <rFont val="Arial"/>
        <family val="0"/>
        <charset val="1"/>
      </rPr>
      <t xml:space="preserve">X14 (e) harness </t>
    </r>
    <r>
      <rPr>
        <sz val="10"/>
        <color rgb="FF000000"/>
        <rFont val="Noto Sans CJK SC"/>
        <family val="2"/>
      </rPr>
      <t xml:space="preserve">對世代比較</t>
    </r>
  </si>
  <si>
    <r>
      <rPr>
        <sz val="10"/>
        <color rgb="FF000000"/>
        <rFont val="Arial"/>
        <family val="0"/>
        <charset val="1"/>
      </rPr>
      <t xml:space="preserve">L1_HarVsGen_&lt;task&gt;</t>
    </r>
    <r>
      <rPr>
        <sz val="10"/>
        <color rgb="FF000000"/>
        <rFont val="Noto Sans CJK SC"/>
        <family val="2"/>
      </rPr>
      <t xml:space="preserve">＝（選定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標準 每成功任務成本，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÷ GB300 decode $/M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）；依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五個任務分列；基準仍 </t>
    </r>
    <r>
      <rPr>
        <sz val="10"/>
        <color rgb="FF000000"/>
        <rFont val="Arial"/>
        <family val="0"/>
        <charset val="1"/>
      </rPr>
      <t xml:space="preserve">L3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L4 </t>
    </r>
    <r>
      <rPr>
        <sz val="10"/>
        <color rgb="FF000000"/>
        <rFont val="Noto Sans CJK SC"/>
        <family val="2"/>
      </rPr>
      <t xml:space="preserve">不動</t>
    </r>
  </si>
  <si>
    <r>
      <rPr>
        <sz val="10"/>
        <color rgb="FF000000"/>
        <rFont val="Arial"/>
        <family val="0"/>
        <charset val="1"/>
      </rPr>
      <t xml:space="preserve">L1_HarVsGen_*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列）</t>
    </r>
  </si>
  <si>
    <t xml:space="preserve">X14f</t>
  </si>
  <si>
    <r>
      <rPr>
        <sz val="10"/>
        <color rgb="FF000000"/>
        <rFont val="Arial"/>
        <family val="0"/>
        <charset val="1"/>
      </rPr>
      <t xml:space="preserve">X14 (f) Astra </t>
    </r>
    <r>
      <rPr>
        <sz val="10"/>
        <color rgb="FF000000"/>
        <rFont val="Noto Sans CJK SC"/>
        <family val="2"/>
      </rPr>
      <t xml:space="preserve">雙基準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</si>
  <si>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列保留 </t>
    </r>
    <r>
      <rPr>
        <sz val="10"/>
        <color rgb="FF000000"/>
        <rFont val="Arial"/>
        <family val="0"/>
        <charset val="1"/>
      </rPr>
      <t xml:space="preserve">bottom-up</t>
    </r>
    <r>
      <rPr>
        <sz val="10"/>
        <color rgb="FF000000"/>
        <rFont val="Noto Sans CJK SC"/>
        <family val="2"/>
      </rPr>
      <t xml:space="preserve">，新增 </t>
    </r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external-anchor</t>
    </r>
    <r>
      <rPr>
        <sz val="10"/>
        <color rgb="FF000000"/>
        <rFont val="Noto Sans CJK SC"/>
        <family val="2"/>
      </rPr>
      <t xml:space="preserve">，低高＝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L1_AstraScale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Ext ÷ bottom-up</t>
    </r>
    <r>
      <rPr>
        <sz val="10"/>
        <color rgb="FF000000"/>
        <rFont val="Noto Sans CJK SC"/>
        <family val="2"/>
      </rPr>
      <t xml:space="preserve">；不改 </t>
    </r>
    <r>
      <rPr>
        <sz val="10"/>
        <color rgb="FF000000"/>
        <rFont val="Arial"/>
        <family val="0"/>
        <charset val="1"/>
      </rPr>
      <t xml:space="preserve">Train_In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Arch </t>
    </r>
    <r>
      <rPr>
        <sz val="10"/>
        <color rgb="FF000000"/>
        <rFont val="Noto Sans CJK SC"/>
        <family val="2"/>
      </rPr>
      <t xml:space="preserve">任何輸入（</t>
    </r>
    <r>
      <rPr>
        <sz val="10"/>
        <color rgb="FF000000"/>
        <rFont val="Arial"/>
        <family val="0"/>
        <charset val="1"/>
      </rPr>
      <t xml:space="preserve">X13 (e)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</si>
  <si>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L1_PretrainFLOP_Astra_Ext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L1_AstraScale</t>
    </r>
  </si>
  <si>
    <t xml:space="preserve">X14g</t>
  </si>
  <si>
    <r>
      <rPr>
        <sz val="10"/>
        <color rgb="FF000000"/>
        <rFont val="Arial"/>
        <family val="0"/>
        <charset val="1"/>
      </rPr>
      <t xml:space="preserve">X14 (g) </t>
    </r>
    <r>
      <rPr>
        <sz val="10"/>
        <color rgb="FF000000"/>
        <rFont val="Noto Sans CJK SC"/>
        <family val="2"/>
      </rPr>
      <t xml:space="preserve">規模係數</t>
    </r>
  </si>
  <si>
    <t xml:space="preserve">新增 L1_ScaleRD＝SRC_DEM_006 ÷ L1_Ans3 與 L1_ScaleServe＝支出路線服務 GW ÷ token 路線服務 GW；兩列進輸出契約，Decision Use＝「下游校準用，不得當產能」</t>
  </si>
  <si>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</si>
  <si>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X14h</t>
  </si>
  <si>
    <r>
      <rPr>
        <sz val="10"/>
        <color rgb="FF000000"/>
        <rFont val="Arial"/>
        <family val="0"/>
        <charset val="1"/>
      </rPr>
      <t xml:space="preserve">X14 (h) Load_Bearing </t>
    </r>
    <r>
      <rPr>
        <sz val="10"/>
        <color rgb="FF000000"/>
        <rFont val="Noto Sans CJK SC"/>
        <family val="2"/>
      </rPr>
      <t xml:space="preserve">頁</t>
    </r>
  </si>
  <si>
    <t xml:space="preserve">由 Gov_Map 篩出「CC 敏感度分段＝高」且類別為 Assumed／Analogy 的格（engine 不支援 FILTER，builder 靜態展開，各欄即時連結 Gov_Map），加反轉門檻欄（r2 第 7 項：門檻值放 Gov_Map AK 欄「反轉門檻（v5.29）」，Excel 擁有、builder 只建表頭；Load_Bearing K 欄以公式讀取；本版空白）</t>
  </si>
  <si>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K5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K6</t>
    </r>
  </si>
  <si>
    <t xml:space="preserve">X14i</t>
  </si>
  <si>
    <r>
      <rPr>
        <sz val="10"/>
        <color rgb="FF000000"/>
        <rFont val="Arial"/>
        <family val="0"/>
        <charset val="1"/>
      </rPr>
      <t xml:space="preserve">X14 (i) Block 6 </t>
    </r>
    <r>
      <rPr>
        <sz val="10"/>
        <color rgb="FF000000"/>
        <rFont val="Noto Sans CJK SC"/>
        <family val="2"/>
      </rPr>
      <t xml:space="preserve">代表性實驗室</t>
    </r>
  </si>
  <si>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（工作單稱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，該 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已被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等級規則使用）：</t>
    </r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</t>
    </r>
  </si>
  <si>
    <t xml:space="preserve">Decisions G16</t>
  </si>
  <si>
    <t xml:space="preserve">X14j</t>
  </si>
  <si>
    <r>
      <rPr>
        <sz val="10"/>
        <color rgb="FF000000"/>
        <rFont val="Arial"/>
        <family val="0"/>
        <charset val="1"/>
      </rPr>
      <t xml:space="preserve">X14 (j)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 </t>
    </r>
    <r>
      <rPr>
        <sz val="10"/>
        <color rgb="FF000000"/>
        <rFont val="Arial"/>
        <family val="0"/>
        <charset val="1"/>
      </rPr>
      <t xml:space="preserve">50/50 </t>
    </r>
    <r>
      <rPr>
        <sz val="10"/>
        <color rgb="FF000000"/>
        <rFont val="Noto Sans CJK SC"/>
        <family val="2"/>
      </rPr>
      <t xml:space="preserve">平均停用</t>
    </r>
  </si>
  <si>
    <t xml:space="preserve">屬下游模型事項（Nebius／Oracle 現行）：只在 Decisions 登錄 X14 (d) 供下游引用，不在 Tokenomics 內處理</t>
  </si>
  <si>
    <t xml:space="preserve">無（下游）</t>
  </si>
  <si>
    <t xml:space="preserve">X14k</t>
  </si>
  <si>
    <r>
      <rPr>
        <sz val="10"/>
        <color rgb="FF000000"/>
        <rFont val="Arial"/>
        <family val="0"/>
        <charset val="1"/>
      </rPr>
      <t xml:space="preserve">X14 (k) SRC_DEM_018 </t>
    </r>
    <r>
      <rPr>
        <sz val="10"/>
        <color rgb="FF000000"/>
        <rFont val="Noto Sans CJK SC"/>
        <family val="2"/>
      </rPr>
      <t xml:space="preserve">新增（與 </t>
    </r>
    <r>
      <rPr>
        <sz val="10"/>
        <color rgb="FF000000"/>
        <rFont val="Arial"/>
        <family val="0"/>
        <charset val="1"/>
      </rPr>
      <t xml:space="preserve">004 </t>
    </r>
    <r>
      <rPr>
        <sz val="10"/>
        <color rgb="FF000000"/>
        <rFont val="Noto Sans CJK SC"/>
        <family val="2"/>
      </rPr>
      <t xml:space="preserve">並列）</t>
    </r>
  </si>
  <si>
    <t xml:space="preserve">新增 SRC_DEM_018「OpenAI 2025 推論支出（Azure 帳單，全年推估）」＝12.6 $B、低 12.3、高 13.0（等級 2、利害關係方、二手、Evidence E259）。r2（chat 端審查 PR #31 第九節 1，2026-10-08）：SRC_DEM_004 與 SRC_DEM_018 兩筆皆 Active，口徑不同（004：json 內部一致集；018：Azure 帳單全年推估），E7 以「同指標同口徑」判定故不衝突；只有支出路線服務 GW（Alloc C61、L1_ExtServeGW 外部欄）連 018；Alloc 支出比（C55）、免費支出占比（C63）、L1_ExtFreeShare／L1_Ans5_GM 外部欄與 Gov_Map GM453（Cap_In C28 換算）維持 004（同源分子分母）</t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</si>
  <si>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「依建議」（</t>
    </r>
    <r>
      <rPr>
        <sz val="10"/>
        <color rgb="FF000000"/>
        <rFont val="Arial"/>
        <family val="0"/>
        <charset val="1"/>
      </rPr>
      <t xml:space="preserve">docs/evidence/20261008/summary.md </t>
    </r>
    <r>
      <rPr>
        <sz val="10"/>
        <color rgb="FF000000"/>
        <rFont val="Noto Sans CJK SC"/>
        <family val="2"/>
      </rPr>
      <t xml:space="preserve">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判定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項）</t>
    </r>
  </si>
  <si>
    <r>
      <rPr>
        <sz val="10"/>
        <color rgb="FF000000"/>
        <rFont val="Arial"/>
        <family val="0"/>
        <charset val="1"/>
      </rPr>
      <t xml:space="preserve">SRC_Demand SRC_DEM_018</t>
    </r>
    <r>
      <rPr>
        <sz val="10"/>
        <color rgb="FF000000"/>
        <rFont val="Noto Sans CJK SC"/>
        <family val="2"/>
      </rPr>
      <t xml:space="preserve">（新）／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，口徑欄）；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Gov_Map GM453 </t>
    </r>
    <r>
      <rPr>
        <sz val="10"/>
        <color rgb="FF000000"/>
        <rFont val="Noto Sans CJK SC"/>
        <family val="2"/>
      </rPr>
      <t xml:space="preserve">附註；</t>
    </r>
    <r>
      <rPr>
        <sz val="10"/>
        <color rgb="FF000000"/>
        <rFont val="Arial"/>
        <family val="0"/>
        <charset val="1"/>
      </rPr>
      <t xml:space="preserve">DB_Evidence E259</t>
    </r>
  </si>
  <si>
    <t xml:space="preserve">X14l</t>
  </si>
  <si>
    <r>
      <rPr>
        <sz val="10"/>
        <color rgb="FF000000"/>
        <rFont val="Arial"/>
        <family val="0"/>
        <charset val="1"/>
      </rPr>
      <t xml:space="preserve">X14 (l)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</si>
  <si>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數」</t>
    </r>
    <r>
      <rPr>
        <sz val="10"/>
        <color rgb="FF000000"/>
        <rFont val="Arial"/>
        <family val="0"/>
        <charset val="1"/>
      </rPr>
      <t xml:space="preserve">2,000 → 4,000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2,000–6,400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OpenRouter 6,400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Robonomics 800–2,000 </t>
    </r>
    <r>
      <rPr>
        <sz val="10"/>
        <color rgb="FF000000"/>
        <rFont val="Noto Sans CJK SC"/>
        <family val="2"/>
      </rPr>
      <t xml:space="preserve">的幾何中點；上限改為 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實測）；標記維持 </t>
    </r>
    <r>
      <rPr>
        <sz val="10"/>
        <color rgb="FF000000"/>
        <rFont val="Arial"/>
        <family val="0"/>
        <charset val="1"/>
      </rPr>
      <t xml:space="preserve">Assumed</t>
    </r>
  </si>
  <si>
    <r>
      <rPr>
        <sz val="10"/>
        <color rgb="FF000000"/>
        <rFont val="Arial"/>
        <family val="0"/>
        <charset val="1"/>
      </rPr>
      <t xml:space="preserve">Alloc_In C15:E15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E261</t>
    </r>
  </si>
  <si>
    <r>
      <rPr>
        <sz val="10"/>
        <color rgb="FF000000"/>
        <rFont val="Arial"/>
        <family val="0"/>
        <charset val="1"/>
      </rPr>
      <t xml:space="preserve">X14 (m) token </t>
    </r>
    <r>
      <rPr>
        <sz val="10"/>
        <color rgb="FF000000"/>
        <rFont val="Noto Sans CJK SC"/>
        <family val="2"/>
      </rPr>
      <t xml:space="preserve">對帳落差分解列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</si>
  <si>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3b </t>
    </r>
    <r>
      <rPr>
        <sz val="10"/>
        <color rgb="FF000000"/>
        <rFont val="Noto Sans CJK SC"/>
        <family val="2"/>
      </rPr>
      <t xml:space="preserve">節；兩個新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輸入：推論支出計價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 </t>
    </r>
    <r>
      <rPr>
        <sz val="10"/>
        <color rgb="FF000000"/>
        <rFont val="Arial"/>
        <family val="0"/>
        <charset val="1"/>
      </rPr>
      <t xml:space="preserve">2.0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1.5–3.0</t>
    </r>
    <r>
      <rPr>
        <sz val="10"/>
        <color rgb="FF000000"/>
        <rFont val="Noto Sans CJK SC"/>
        <family val="2"/>
      </rPr>
      <t xml:space="preserve">］、實際利用率 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生產折減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［</t>
    </r>
    <r>
      <rPr>
        <sz val="10"/>
        <color rgb="FF000000"/>
        <rFont val="Arial"/>
        <family val="0"/>
        <charset val="1"/>
      </rPr>
      <t xml:space="preserve">0.3–0.4</t>
    </r>
    <r>
      <rPr>
        <sz val="10"/>
        <color rgb="FF000000"/>
        <rFont val="Noto Sans CJK SC"/>
        <family val="2"/>
      </rPr>
      <t xml:space="preserve">］）；契約第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項改寫為四項口徑差的逐項換算</t>
    </r>
  </si>
  <si>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已建；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部分由 </t>
    </r>
    <r>
      <rPr>
        <sz val="10"/>
        <color rgb="FF000000"/>
        <rFont val="Arial"/>
        <family val="0"/>
        <charset val="1"/>
      </rPr>
      <t xml:space="preserve">AF3B-D13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</si>
  <si>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新列（</t>
    </r>
    <r>
      <rPr>
        <sz val="10"/>
        <color rgb="FF000000"/>
        <rFont val="Arial"/>
        <family val="0"/>
        <charset val="1"/>
      </rPr>
      <t xml:space="preserve">AL_SpendBasis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CST_TokPerPromptV528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3b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K7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E262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</si>
  <si>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代表性實驗室（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；工作單稱 </t>
    </r>
    <r>
      <rPr>
        <sz val="10"/>
        <color rgb="FF000000"/>
        <rFont val="Arial"/>
        <family val="0"/>
        <charset val="1"/>
      </rPr>
      <t xml:space="preserve">G15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</si>
  <si>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Block 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為代表性實驗室代理；其他實驗室模型須自行覆寫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P2-3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ID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G16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G15 </t>
    </r>
    <r>
      <rPr>
        <sz val="10"/>
        <color rgb="FF000000"/>
        <rFont val="Noto Sans CJK SC"/>
        <family val="2"/>
      </rPr>
      <t xml:space="preserve">已於 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登錄為區間型紀錄等級規則</t>
    </r>
  </si>
  <si>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（實驗室選擇器 </t>
    </r>
    <r>
      <rPr>
        <sz val="10"/>
        <color rgb="FF000000"/>
        <rFont val="Arial"/>
        <family val="0"/>
        <charset val="1"/>
      </rPr>
      <t xml:space="preserve">A8</t>
    </r>
    <r>
      <rPr>
        <sz val="10"/>
        <color rgb="FF000000"/>
        <rFont val="Noto Sans CJK SC"/>
        <family val="2"/>
      </rPr>
      <t xml:space="preserve">）</t>
    </r>
  </si>
  <si>
    <t xml:space="preserve">工作單 v5.29 第 0 節 (i)</t>
  </si>
  <si>
    <t xml:space="preserve">X15a</t>
  </si>
  <si>
    <t xml:space="preserve">v5.30</t>
  </si>
  <si>
    <r>
      <rPr>
        <sz val="10"/>
        <color rgb="FF000000"/>
        <rFont val="Arial"/>
        <family val="0"/>
        <charset val="1"/>
      </rPr>
      <t xml:space="preserve">X15 (a) </t>
    </r>
    <r>
      <rPr>
        <sz val="10"/>
        <color rgb="FF000000"/>
        <rFont val="Noto Sans CJK SC"/>
        <family val="2"/>
      </rPr>
      <t xml:space="preserve">四層瀑布逐層累乘</t>
    </r>
  </si>
  <si>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四層改為逐層累乘、單調遞減：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_100 × IF_Util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_Util × CTL_ProdDerate</t>
    </r>
    <r>
      <rPr>
        <sz val="10"/>
        <color rgb="FF000000"/>
        <rFont val="Noto Sans CJK SC"/>
        <family val="2"/>
      </rPr>
      <t xml:space="preserve">（營收列維持讀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節重解值；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產能列改線性乘法，不再讀 </t>
    </r>
    <r>
      <rPr>
        <sz val="10"/>
        <color rgb="FF000000"/>
        <rFont val="Arial"/>
        <family val="0"/>
        <charset val="1"/>
      </rPr>
      <t xml:space="preserve">Interface_Prod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 × CTL_PriceLife × CTL_Monetize</t>
    </r>
    <r>
      <rPr>
        <sz val="10"/>
        <color rgb="FF000000"/>
        <rFont val="Noto Sans CJK SC"/>
        <family val="2"/>
      </rPr>
      <t xml:space="preserve">（營收列不再讀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產能 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Front </t>
    </r>
    <r>
      <rPr>
        <sz val="10"/>
        <color rgb="FF000000"/>
        <rFont val="Noto Sans CJK SC"/>
        <family val="2"/>
      </rPr>
      <t xml:space="preserve">四列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改公式（取代「—」）。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_Life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Interface_Prod </t>
    </r>
    <r>
      <rPr>
        <sz val="10"/>
        <color rgb="FF000000"/>
        <rFont val="Noto Sans CJK SC"/>
        <family val="2"/>
      </rPr>
      <t xml:space="preserve">保留原處作並列對照。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改為來源比對（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token _100</t>
    </r>
    <r>
      <rPr>
        <sz val="10"/>
        <color rgb="FF000000"/>
        <rFont val="Noto Sans CJK SC"/>
        <family val="2"/>
      </rPr>
      <t xml:space="preserve">）＋單調檢查；</t>
    </r>
    <r>
      <rPr>
        <sz val="10"/>
        <color rgb="FF000000"/>
        <rFont val="Arial"/>
        <family val="0"/>
        <charset val="1"/>
      </rPr>
      <t xml:space="preserve">v5.29 X14 (b) </t>
    </r>
    <r>
      <rPr>
        <sz val="10"/>
        <color rgb="FF000000"/>
        <rFont val="Noto Sans CJK SC"/>
        <family val="2"/>
      </rPr>
      <t xml:space="preserve">原意即逐層累乘，實作未落實</t>
    </r>
  </si>
  <si>
    <r>
      <rPr>
        <sz val="10"/>
        <color rgb="FF000000"/>
        <rFont val="Arial"/>
        <family val="0"/>
        <charset val="1"/>
      </rPr>
      <t xml:space="preserve">Andy 2026-10-08</t>
    </r>
    <r>
      <rPr>
        <sz val="10"/>
        <color rgb="FF000000"/>
        <rFont val="Noto Sans CJK SC"/>
        <family val="2"/>
      </rPr>
      <t xml:space="preserve">「請直接做」（八家公司模型審視報告 </t>
    </r>
    <r>
      <rPr>
        <sz val="10"/>
        <color rgb="FF000000"/>
        <rFont val="Arial"/>
        <family val="0"/>
        <charset val="1"/>
      </rPr>
      <t xml:space="preserve">company-models PR #36–#43 </t>
    </r>
    <r>
      <rPr>
        <sz val="10"/>
        <color rgb="FF000000"/>
        <rFont val="Noto Sans CJK SC"/>
        <family val="2"/>
      </rPr>
      <t xml:space="preserve">共同指出的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端問題）</t>
    </r>
  </si>
  <si>
    <r>
      <rPr>
        <sz val="10"/>
        <color rgb="FF000000"/>
        <rFont val="Arial"/>
        <family val="0"/>
        <charset val="1"/>
      </rPr>
      <t xml:space="preserve">v5.30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</si>
  <si>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Checks K3</t>
    </r>
  </si>
  <si>
    <t xml:space="preserve">工作單 v5.30 第 1 節</t>
  </si>
  <si>
    <t xml:space="preserve">X15b</t>
  </si>
  <si>
    <r>
      <rPr>
        <sz val="10"/>
        <color rgb="FF000000"/>
        <rFont val="Arial"/>
        <family val="0"/>
        <charset val="1"/>
      </rPr>
      <t xml:space="preserve">X15 (b) L1_HoldEconMW </t>
    </r>
    <r>
      <rPr>
        <sz val="10"/>
        <color rgb="FF000000"/>
        <rFont val="Noto Sans CJK SC"/>
        <family val="2"/>
      </rPr>
      <t xml:space="preserve">單位更正</t>
    </r>
  </si>
  <si>
    <r>
      <rPr>
        <sz val="10"/>
        <color rgb="FF000000"/>
        <rFont val="Arial"/>
        <family val="0"/>
        <charset val="1"/>
      </rPr>
      <t xml:space="preserve">L1_HoldEconMW_*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L1_HoldEconGW_*</t>
    </r>
    <r>
      <rPr>
        <sz val="10"/>
        <color rgb="FF000000"/>
        <rFont val="Noto Sans CJK SC"/>
        <family val="2"/>
      </rPr>
      <t xml:space="preserve">（不除以 </t>
    </r>
    <r>
      <rPr>
        <sz val="10"/>
        <color rgb="FF000000"/>
        <rFont val="Arial"/>
        <family val="0"/>
        <charset val="1"/>
      </rPr>
      <t xml:space="preserve">1000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1 $B/GW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1 $M/MW</t>
    </r>
    <r>
      <rPr>
        <sz val="10"/>
        <color rgb="FF000000"/>
        <rFont val="Noto Sans CJK SC"/>
        <family val="2"/>
      </rPr>
      <t xml:space="preserve">，數值與每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$B </t>
    </r>
    <r>
      <rPr>
        <sz val="10"/>
        <color rgb="FF000000"/>
        <rFont val="Noto Sans CJK SC"/>
        <family val="2"/>
      </rPr>
      <t xml:space="preserve">相同；單位欄維持「</t>
    </r>
    <r>
      <rPr>
        <sz val="10"/>
        <color rgb="FF000000"/>
        <rFont val="Arial"/>
        <family val="0"/>
        <charset val="1"/>
      </rPr>
      <t xml:space="preserve">$M/MW/</t>
    </r>
    <r>
      <rPr>
        <sz val="10"/>
        <color rgb="FF000000"/>
        <rFont val="Noto Sans CJK SC"/>
        <family val="2"/>
      </rPr>
      <t xml:space="preserve">年」；低／高同步。</t>
    </r>
    <r>
      <rPr>
        <sz val="10"/>
        <color rgb="FF000000"/>
        <rFont val="Arial"/>
        <family val="0"/>
        <charset val="1"/>
      </rPr>
      <t xml:space="preserve">v5.29 </t>
    </r>
    <r>
      <rPr>
        <sz val="10"/>
        <color rgb="FF000000"/>
        <rFont val="Noto Sans CJK SC"/>
        <family val="2"/>
      </rPr>
      <t xml:space="preserve">值（例：</t>
    </r>
    <r>
      <rPr>
        <sz val="10"/>
        <color rgb="FF000000"/>
        <rFont val="Arial"/>
        <family val="0"/>
        <charset val="1"/>
      </rPr>
      <t xml:space="preserve">GB300 0.0127</t>
    </r>
    <r>
      <rPr>
        <sz val="10"/>
        <color rgb="FF000000"/>
        <rFont val="Noto Sans CJK SC"/>
        <family val="2"/>
      </rPr>
      <t xml:space="preserve">）為 </t>
    </r>
    <r>
      <rPr>
        <sz val="10"/>
        <color rgb="FF000000"/>
        <rFont val="Arial"/>
        <family val="0"/>
        <charset val="1"/>
      </rPr>
      <t xml:space="preserve">$B/MW/</t>
    </r>
    <r>
      <rPr>
        <sz val="10"/>
        <color rgb="FF000000"/>
        <rFont val="Noto Sans CJK SC"/>
        <family val="2"/>
      </rPr>
      <t xml:space="preserve">年，差 </t>
    </r>
    <r>
      <rPr>
        <sz val="10"/>
        <color rgb="FF000000"/>
        <rFont val="Arial"/>
        <family val="0"/>
        <charset val="1"/>
      </rPr>
      <t xml:space="preserve">1,000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</si>
  <si>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54–57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L1_HoldEconMW_Hopper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）</t>
    </r>
  </si>
  <si>
    <t xml:space="preserve">工作單 v5.30 第 2 節</t>
  </si>
  <si>
    <t xml:space="preserve">X15c</t>
  </si>
  <si>
    <r>
      <rPr>
        <sz val="10"/>
        <color rgb="FF000000"/>
        <rFont val="Arial"/>
        <family val="0"/>
        <charset val="1"/>
      </rPr>
      <t xml:space="preserve">X15 (c) IFW_ </t>
    </r>
    <r>
      <rPr>
        <sz val="10"/>
        <color rgb="FF000000"/>
        <rFont val="Noto Sans CJK SC"/>
        <family val="2"/>
      </rPr>
      <t xml:space="preserve">上限標記</t>
    </r>
  </si>
  <si>
    <r>
      <rPr>
        <sz val="10"/>
        <color rgb="FF000000"/>
        <rFont val="Arial"/>
        <family val="0"/>
        <charset val="1"/>
      </rPr>
      <t xml:space="preserve">IFC_Use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欄）：</t>
    </r>
    <r>
      <rPr>
        <sz val="10"/>
        <color rgb="FF000000"/>
        <rFont val="Arial"/>
        <family val="0"/>
        <charset val="1"/>
      </rPr>
      <t xml:space="preserve">IFW_RevGW_*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 </t>
    </r>
    <r>
      <rPr>
        <sz val="10"/>
        <color rgb="FF000000"/>
        <rFont val="Noto Sans CJK SC"/>
        <family val="2"/>
      </rPr>
      <t xml:space="preserve">全部四層與 </t>
    </r>
    <r>
      <rPr>
        <sz val="10"/>
        <color rgb="FF000000"/>
        <rFont val="Arial"/>
        <family val="0"/>
        <charset val="1"/>
      </rPr>
      <t xml:space="preserve">IFW_TokGW_*_100 </t>
    </r>
    <r>
      <rPr>
        <sz val="10"/>
        <color rgb="FF000000"/>
        <rFont val="Noto Sans CJK SC"/>
        <family val="2"/>
      </rPr>
      <t xml:space="preserve">附「；上限，不得作預測」，與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節對應列一致；</t>
    </r>
    <r>
      <rPr>
        <sz val="10"/>
        <color rgb="FF000000"/>
        <rFont val="Arial"/>
        <family val="0"/>
        <charset val="1"/>
      </rPr>
      <t xml:space="preserve">Checks K2 </t>
    </r>
    <r>
      <rPr>
        <sz val="10"/>
        <color rgb="FF000000"/>
        <rFont val="Noto Sans CJK SC"/>
        <family val="2"/>
      </rPr>
      <t xml:space="preserve">的應附旗標（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欄）同步擴充，</t>
    </r>
    <r>
      <rPr>
        <sz val="10"/>
        <color rgb="FF000000"/>
        <rFont val="Arial"/>
        <family val="0"/>
        <charset val="1"/>
      </rPr>
      <t xml:space="preserve">K2 </t>
    </r>
    <r>
      <rPr>
        <sz val="10"/>
        <color rgb="FF000000"/>
        <rFont val="Noto Sans CJK SC"/>
        <family val="2"/>
      </rPr>
      <t xml:space="preserve">仍須為 </t>
    </r>
    <r>
      <rPr>
        <sz val="10"/>
        <color rgb="FF000000"/>
        <rFont val="Arial"/>
        <family val="0"/>
        <charset val="1"/>
      </rPr>
      <t xml:space="preserve">0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</si>
  <si>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K2</t>
    </r>
  </si>
  <si>
    <t xml:space="preserve">工作單 v5.30 第 3 節</t>
  </si>
  <si>
    <t xml:space="preserve">v5.31</t>
  </si>
  <si>
    <r>
      <rPr>
        <sz val="10"/>
        <color rgb="FF000000"/>
        <rFont val="Arial"/>
        <family val="0"/>
        <charset val="1"/>
      </rPr>
      <t xml:space="preserve">X16 J1 GB300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</si>
  <si>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Spec_Rack GB300 </t>
    </r>
    <r>
      <rPr>
        <sz val="10"/>
        <color rgb="FF000000"/>
        <rFont val="Noto Sans CJK SC"/>
        <family val="2"/>
      </rPr>
      <t xml:space="preserve">機架價格 低／基準／高 </t>
    </r>
    <r>
      <rPr>
        <sz val="10"/>
        <color rgb="FF000000"/>
        <rFont val="Arial"/>
        <family val="0"/>
        <charset val="1"/>
      </rPr>
      <t xml:space="preserve">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6.5 → 4.0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5.0 $M</t>
    </r>
    <r>
      <rPr>
        <sz val="10"/>
        <color rgb="FF000000"/>
        <rFont val="Noto Sans CJK SC"/>
        <family val="2"/>
      </rPr>
      <t xml:space="preserve">：低＝</t>
    </r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MS BOM </t>
    </r>
    <r>
      <rPr>
        <sz val="10"/>
        <color rgb="FF000000"/>
        <rFont val="Noto Sans CJK SC"/>
        <family val="2"/>
      </rPr>
      <t xml:space="preserve">推算，等級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）；基準＝</t>
    </r>
    <r>
      <rPr>
        <sz val="10"/>
        <color rgb="FF000000"/>
        <rFont val="Arial"/>
        <family val="0"/>
        <charset val="1"/>
      </rPr>
      <t xml:space="preserve">4.0 ×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＋代工毛利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）＝</t>
    </r>
    <r>
      <rPr>
        <sz val="10"/>
        <color rgb="FF000000"/>
        <rFont val="Arial"/>
        <family val="0"/>
        <charset val="1"/>
      </rPr>
      <t xml:space="preserve">4.3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常數，與 </t>
    </r>
    <r>
      <rPr>
        <sz val="10"/>
        <color rgb="FF000000"/>
        <rFont val="Arial"/>
        <family val="0"/>
        <charset val="1"/>
      </rPr>
      <t xml:space="preserve">VR200 F12 </t>
    </r>
    <r>
      <rPr>
        <sz val="10"/>
        <color rgb="FF000000"/>
        <rFont val="Noto Sans CJK SC"/>
        <family val="2"/>
      </rPr>
      <t xml:space="preserve">算法相同；</t>
    </r>
    <r>
      <rPr>
        <sz val="10"/>
        <color rgb="FF000000"/>
        <rFont val="Arial"/>
        <family val="0"/>
        <charset val="1"/>
      </rPr>
      <t xml:space="preserve">Wolfe 4.3 </t>
    </r>
    <r>
      <rPr>
        <sz val="10"/>
        <color rgb="FF000000"/>
        <rFont val="Noto Sans CJK SC"/>
        <family val="2"/>
      </rPr>
      <t xml:space="preserve">相符）；高＝</t>
    </r>
    <r>
      <rPr>
        <sz val="10"/>
        <color rgb="FF000000"/>
        <rFont val="Arial"/>
        <family val="0"/>
        <charset val="1"/>
      </rPr>
      <t xml:space="preserve">SRC_HW_010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Data Gravity </t>
    </r>
    <r>
      <rPr>
        <sz val="10"/>
        <color rgb="FF000000"/>
        <rFont val="Noto Sans CJK SC"/>
        <family val="2"/>
      </rPr>
      <t xml:space="preserve">採購單 </t>
    </r>
    <r>
      <rPr>
        <sz val="10"/>
        <color rgb="FF000000"/>
        <rFont val="Arial"/>
        <family val="0"/>
        <charset val="1"/>
      </rPr>
      <t xml:space="preserve">5.0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（媒體 </t>
    </r>
    <r>
      <rPr>
        <sz val="10"/>
        <color rgb="FF000000"/>
        <rFont val="Arial"/>
        <family val="0"/>
        <charset val="1"/>
      </rPr>
      <t xml:space="preserve">6.0–6.5</t>
    </r>
    <r>
      <rPr>
        <sz val="10"/>
        <color rgb="FF000000"/>
        <rFont val="Noto Sans CJK SC"/>
        <family val="2"/>
      </rPr>
      <t xml:space="preserve">）改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；價格涵蓋範圍（第 </t>
    </r>
    <r>
      <rPr>
        <sz val="10"/>
        <color rgb="FF000000"/>
        <rFont val="Arial"/>
        <family val="0"/>
        <charset val="1"/>
      </rPr>
      <t xml:space="preserve">14 </t>
    </r>
    <r>
      <rPr>
        <sz val="10"/>
        <color rgb="FF000000"/>
        <rFont val="Noto Sans CJK SC"/>
        <family val="2"/>
      </rPr>
      <t xml:space="preserve">列）維持「同上」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</si>
  <si>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#34 J1–J6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Andy 2026-10-08 22:31</t>
    </r>
    <r>
      <rPr>
        <sz val="10"/>
        <color rgb="FF000000"/>
        <rFont val="Noto Sans CJK SC"/>
        <family val="2"/>
      </rPr>
      <t xml:space="preserve">「不反對，請繼續」；可撤回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</si>
  <si>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</si>
  <si>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E11:E13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052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E11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E13</t>
    </r>
  </si>
  <si>
    <t xml:space="preserve">工作單 v5.31 r1 B1</t>
  </si>
  <si>
    <r>
      <rPr>
        <sz val="10"/>
        <color rgb="FF000000"/>
        <rFont val="Arial"/>
        <family val="0"/>
        <charset val="1"/>
      </rPr>
      <t xml:space="preserve">X17 J2 IT </t>
    </r>
    <r>
      <rPr>
        <sz val="10"/>
        <color rgb="FF000000"/>
        <rFont val="Noto Sans CJK SC"/>
        <family val="2"/>
      </rPr>
      <t xml:space="preserve">維護機齡兩段＋壽命期等值費率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</si>
  <si>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維護（保固期內）」</t>
    </r>
    <r>
      <rPr>
        <sz val="10"/>
        <color rgb="FF000000"/>
        <rFont val="Arial"/>
        <family val="0"/>
        <charset val="1"/>
      </rPr>
      <t xml:space="preserve">0.25%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1.0% </t>
    </r>
    <r>
      <rPr>
        <sz val="10"/>
        <color rgb="FF000000"/>
        <rFont val="Noto Sans CJK SC"/>
        <family val="2"/>
      </rPr>
      <t xml:space="preserve">與「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維護（保固期滿後）」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列改為公式：等值費率＝</t>
    </r>
    <r>
      <rPr>
        <sz val="10"/>
        <color rgb="FF000000"/>
        <rFont val="Arial"/>
        <family val="0"/>
        <charset val="1"/>
      </rPr>
      <t xml:space="preserve">[Σ r_y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 ÷ [Σ 1 ÷ (1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WACC)^y]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1…IT </t>
    </r>
    <r>
      <rPr>
        <sz val="10"/>
        <color rgb="FF000000"/>
        <rFont val="Noto Sans CJK SC"/>
        <family val="2"/>
      </rPr>
      <t xml:space="preserve">折舊年限，各欄用同欄 </t>
    </r>
    <r>
      <rPr>
        <sz val="10"/>
        <color rgb="FF000000"/>
        <rFont val="Arial"/>
        <family val="0"/>
        <charset val="1"/>
      </rPr>
      <t xml:space="preserve">WACC </t>
    </r>
    <r>
      <rPr>
        <sz val="10"/>
        <color rgb="FF000000"/>
        <rFont val="Noto Sans CJK SC"/>
        <family val="2"/>
      </rPr>
      <t xml:space="preserve">與年限），標記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 </t>
    </r>
    <r>
      <rPr>
        <sz val="10"/>
        <color rgb="FF000000"/>
        <rFont val="Noto Sans CJK SC"/>
        <family val="2"/>
      </rPr>
      <t xml:space="preserve">列公式不變；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節（續）新增 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  <r>
      <rPr>
        <sz val="10"/>
        <color rgb="FF000000"/>
        <rFont val="Noto Sans CJK SC"/>
        <family val="2"/>
      </rPr>
      <t xml:space="preserve">（下游依機隊年齡取用）</t>
    </r>
  </si>
  <si>
    <r>
      <rPr>
        <sz val="10"/>
        <color rgb="FF000000"/>
        <rFont val="Arial"/>
        <family val="0"/>
        <charset val="1"/>
      </rPr>
      <t xml:space="preserve">Inputs D30:H30</t>
    </r>
    <r>
      <rPr>
        <sz val="10"/>
        <color rgb="FF000000"/>
        <rFont val="Noto Sans CJK SC"/>
        <family val="2"/>
      </rPr>
      <t xml:space="preserve">、第 </t>
    </r>
    <r>
      <rPr>
        <sz val="10"/>
        <color rgb="FF000000"/>
        <rFont val="Arial"/>
        <family val="0"/>
        <charset val="1"/>
      </rPr>
      <t xml:space="preserve">37–38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I </t>
    </r>
    <r>
      <rPr>
        <sz val="10"/>
        <color rgb="FF000000"/>
        <rFont val="Noto Sans CJK SC"/>
        <family val="2"/>
      </rPr>
      <t xml:space="preserve">節（續）；</t>
    </r>
    <r>
      <rPr>
        <sz val="10"/>
        <color rgb="FF000000"/>
        <rFont val="Arial"/>
        <family val="0"/>
        <charset val="1"/>
      </rPr>
      <t xml:space="preserve">Gov_Map</t>
    </r>
  </si>
  <si>
    <t xml:space="preserve">工作單 v5.31 r1 B2</t>
  </si>
  <si>
    <r>
      <rPr>
        <sz val="10"/>
        <color rgb="FF000000"/>
        <rFont val="Arial"/>
        <family val="0"/>
        <charset val="1"/>
      </rPr>
      <t xml:space="preserve">X18 J3 IT </t>
    </r>
    <r>
      <rPr>
        <sz val="10"/>
        <color rgb="FF000000"/>
        <rFont val="Noto Sans CJK SC"/>
        <family val="2"/>
      </rPr>
      <t xml:space="preserve">原廠保固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</si>
  <si>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新增「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原廠保固年限」＝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 GB300 NVL72 QuickSpecs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年零件、人工、到場）；</t>
    </r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人工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年（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）由保固期內高情境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單格名稱 </t>
    </r>
    <r>
      <rPr>
        <sz val="10"/>
        <color rgb="FF000000"/>
        <rFont val="Arial"/>
        <family val="0"/>
        <charset val="1"/>
      </rPr>
      <t xml:space="preserve">IF_WarrantyYrs</t>
    </r>
  </si>
  <si>
    <r>
      <rPr>
        <sz val="10"/>
        <color rgb="FF000000"/>
        <rFont val="Arial"/>
        <family val="0"/>
        <charset val="1"/>
      </rPr>
      <t xml:space="preserve">Inputs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SRC_DC_015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IF_WarrantyYrs</t>
    </r>
  </si>
  <si>
    <t xml:space="preserve">X19</t>
  </si>
  <si>
    <r>
      <rPr>
        <sz val="10"/>
        <color rgb="FF000000"/>
        <rFont val="Arial"/>
        <family val="0"/>
        <charset val="1"/>
      </rPr>
      <t xml:space="preserve">X19 J4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J5 </t>
    </r>
    <r>
      <rPr>
        <sz val="10"/>
        <color rgb="FF000000"/>
        <rFont val="Noto Sans CJK SC"/>
        <family val="2"/>
      </rPr>
      <t xml:space="preserve">口徑註記</t>
    </r>
  </si>
  <si>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F14 </t>
    </r>
    <r>
      <rPr>
        <sz val="10"/>
        <color rgb="FF000000"/>
        <rFont val="Noto Sans CJK SC"/>
        <family val="2"/>
      </rPr>
      <t xml:space="preserve">補「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平均約 </t>
    </r>
    <r>
      <rPr>
        <sz val="10"/>
        <color rgb="FF000000"/>
        <rFont val="Arial"/>
        <family val="0"/>
        <charset val="1"/>
      </rPr>
      <t xml:space="preserve">$9.1M </t>
    </r>
    <r>
      <rPr>
        <sz val="10"/>
        <color rgb="FF000000"/>
        <rFont val="Noto Sans CJK SC"/>
        <family val="2"/>
      </rPr>
      <t xml:space="preserve">含網路約 </t>
    </r>
    <r>
      <rPr>
        <sz val="10"/>
        <color rgb="FF000000"/>
        <rFont val="Arial"/>
        <family val="0"/>
        <charset val="1"/>
      </rPr>
      <t xml:space="preserve">$1.2M</t>
    </r>
    <r>
      <rPr>
        <sz val="10"/>
        <color rgb="FF000000"/>
        <rFont val="Noto Sans CJK SC"/>
        <family val="2"/>
      </rPr>
      <t xml:space="preserve">；本模型另計 </t>
    </r>
    <r>
      <rPr>
        <sz val="10"/>
        <color rgb="FF000000"/>
        <rFont val="Arial"/>
        <family val="0"/>
        <charset val="1"/>
      </rPr>
      <t xml:space="preserve">Scale-out </t>
    </r>
    <r>
      <rPr>
        <sz val="10"/>
        <color rgb="FF000000"/>
        <rFont val="Noto Sans CJK SC"/>
        <family val="2"/>
      </rPr>
      <t xml:space="preserve">網路，高情境約重複 </t>
    </r>
    <r>
      <rPr>
        <sz val="10"/>
        <color rgb="FF000000"/>
        <rFont val="Arial"/>
        <family val="0"/>
        <charset val="1"/>
      </rPr>
      <t xml:space="preserve">2%</t>
    </r>
    <r>
      <rPr>
        <sz val="10"/>
        <color rgb="FF000000"/>
        <rFont val="Noto Sans CJK SC"/>
        <family val="2"/>
      </rPr>
      <t xml:space="preserve">」，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數值不改；</t>
    </r>
    <r>
      <rPr>
        <sz val="10"/>
        <color rgb="FF000000"/>
        <rFont val="Arial"/>
        <family val="0"/>
        <charset val="1"/>
      </rPr>
      <t xml:space="preserve">SRC_HW_017 </t>
    </r>
    <r>
      <rPr>
        <sz val="10"/>
        <color rgb="FF000000"/>
        <rFont val="Noto Sans CJK SC"/>
        <family val="2"/>
      </rPr>
      <t xml:space="preserve">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J5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IF_StaffSW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標籤與 </t>
    </r>
    <r>
      <rPr>
        <sz val="10"/>
        <color rgb="FF000000"/>
        <rFont val="Arial"/>
        <family val="0"/>
        <charset val="1"/>
      </rPr>
      <t xml:space="preserve">DC_Cost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列標籤補「（站點營運；不含平台研發）」，數值不改</t>
    </r>
  </si>
  <si>
    <r>
      <rPr>
        <sz val="10"/>
        <color rgb="FF000000"/>
        <rFont val="Arial"/>
        <family val="0"/>
        <charset val="1"/>
      </rPr>
      <t xml:space="preserve">Spec_Rack F14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IF_StaffSW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DC_Cost A46</t>
    </r>
  </si>
  <si>
    <t xml:space="preserve">工作單 v5.31 r1 B3</t>
  </si>
  <si>
    <t xml:space="preserve">X20</t>
  </si>
  <si>
    <r>
      <rPr>
        <sz val="10"/>
        <color rgb="FF000000"/>
        <rFont val="Arial"/>
        <family val="0"/>
        <charset val="1"/>
      </rPr>
      <t xml:space="preserve">X20 J6 IREN </t>
    </r>
    <r>
      <rPr>
        <sz val="10"/>
        <color rgb="FF000000"/>
        <rFont val="Noto Sans CJK SC"/>
        <family val="2"/>
      </rPr>
      <t xml:space="preserve">外部對照</t>
    </r>
  </si>
  <si>
    <t xml:space="preserve">新增 SRC_DC_014（IREN 2025-11-03：向 Dell 採購 GB300 設備 $5.8bn，含 InfiniBand、軟體、部署，對應 200 MW 關鍵 IT → 29.0 $M/IT MW）與 L1_CapexITMW_GB300_vsIREN（模型 GB300 IF_CapexIT 對 IREN 的比值與判讀）；CoreWeave 24.8 口徑不明，不加對照列</t>
  </si>
  <si>
    <r>
      <rPr>
        <sz val="10"/>
        <color rgb="FF000000"/>
        <rFont val="Arial"/>
        <family val="0"/>
        <charset val="1"/>
      </rPr>
      <t xml:space="preserve">SRC_DC_014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新列</t>
    </r>
  </si>
  <si>
    <t xml:space="preserve">工作單 v5.31 r1 B4</t>
  </si>
  <si>
    <t xml:space="preserve">v5.32</t>
  </si>
  <si>
    <r>
      <rPr>
        <sz val="10"/>
        <color rgb="FF000000"/>
        <rFont val="Arial"/>
        <family val="0"/>
        <charset val="1"/>
      </rPr>
      <t xml:space="preserve">X21 J2 m </t>
    </r>
    <r>
      <rPr>
        <sz val="10"/>
        <color rgb="FF000000"/>
        <rFont val="Noto Sans CJK SC"/>
        <family val="2"/>
      </rPr>
      <t xml:space="preserve">追蹤機制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</si>
  <si>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追蹤（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）」：隱含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＝付費營收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（付費 </t>
    </r>
    <r>
      <rPr>
        <sz val="10"/>
        <color rgb="FF000000"/>
        <rFont val="Arial"/>
        <family val="0"/>
        <charset val="1"/>
      </rPr>
      <t xml:space="preserve">token × </t>
    </r>
    <r>
      <rPr>
        <sz val="10"/>
        <color rgb="FF000000"/>
        <rFont val="Noto Sans CJK SC"/>
        <family val="2"/>
      </rPr>
      <t xml:space="preserve">混合有效單價），依路線（訂閱、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、合併）</t>
    </r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分母（模型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列；外部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SRC_DEM_011 </t>
    </r>
    <r>
      <rPr>
        <sz val="10"/>
        <color rgb="FF000000"/>
        <rFont val="Noto Sans CJK SC"/>
        <family val="2"/>
      </rPr>
      <t xml:space="preserve">年化、</t>
    </r>
    <r>
      <rPr>
        <sz val="10"/>
        <color rgb="FF000000"/>
        <rFont val="Arial"/>
        <family val="0"/>
        <charset val="1"/>
      </rPr>
      <t xml:space="preserve">SRC_DEM_013 × (1 − IF_FreeShare)</t>
    </r>
    <r>
      <rPr>
        <sz val="10"/>
        <color rgb="FF000000"/>
        <rFont val="Noto Sans CJK SC"/>
        <family val="2"/>
      </rPr>
      <t xml:space="preserve">）各給基準／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低端／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高端；單價＝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列層級組合 </t>
    </r>
    <r>
      <rPr>
        <sz val="10"/>
        <color rgb="FF000000"/>
        <rFont val="Arial"/>
        <family val="0"/>
        <charset val="1"/>
      </rPr>
      <t xml:space="preserve">× IF_PriceRef_*</t>
    </r>
    <r>
      <rPr>
        <sz val="10"/>
        <color rgb="FF000000"/>
        <rFont val="Noto Sans CJK SC"/>
        <family val="2"/>
      </rPr>
      <t xml:space="preserve">（不新增輸入）；程式代理路線（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，加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N16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組合）只作對照列，不進合併。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（合併、模型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（合併、外部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），外部欄＝</t>
    </r>
    <r>
      <rPr>
        <sz val="10"/>
        <color rgb="FF000000"/>
        <rFont val="Arial"/>
        <family val="0"/>
        <charset val="1"/>
      </rPr>
      <t xml:space="preserve">CTL_Monetize</t>
    </r>
    <r>
      <rPr>
        <sz val="10"/>
        <color rgb="FF000000"/>
        <rFont val="Noto Sans CJK SC"/>
        <family val="2"/>
      </rPr>
      <t xml:space="preserve">，判讀「落在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區間內／外」；</t>
    </r>
    <r>
      <rPr>
        <sz val="10"/>
        <color rgb="FF000000"/>
        <rFont val="Arial"/>
        <family val="0"/>
        <charset val="1"/>
      </rPr>
      <t xml:space="preserve">SRC_DEM_019–048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DB_Evidence E279–E301 </t>
    </r>
    <r>
      <rPr>
        <sz val="10"/>
        <color rgb="FF000000"/>
        <rFont val="Noto Sans CJK SC"/>
        <family val="2"/>
      </rPr>
      <t xml:space="preserve">登錄；只作追蹤，不驅動任何 </t>
    </r>
    <r>
      <rPr>
        <sz val="10"/>
        <color rgb="FF000000"/>
        <rFont val="Arial"/>
        <family val="0"/>
        <charset val="1"/>
      </rPr>
      <t xml:space="preserve">IF_</t>
    </r>
  </si>
  <si>
    <t xml:space="preserve">2026-10-11</t>
  </si>
  <si>
    <r>
      <rPr>
        <sz val="10"/>
        <color rgb="FF000000"/>
        <rFont val="Arial"/>
        <family val="0"/>
        <charset val="1"/>
      </rPr>
      <t xml:space="preserve">Andy 2026-10-11 09:41</t>
    </r>
    <r>
      <rPr>
        <sz val="10"/>
        <color rgb="FF000000"/>
        <rFont val="Noto Sans CJK SC"/>
        <family val="2"/>
      </rPr>
      <t xml:space="preserve">「把那个就是我们要追踪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的这个最直接的数据，付费用户数乘上每年每年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用量，这个把它追踪下去，就是放到工作单里面，叫那个 </t>
    </r>
    <r>
      <rPr>
        <sz val="10"/>
        <color rgb="FF000000"/>
        <rFont val="Arial"/>
        <family val="0"/>
        <charset val="1"/>
      </rPr>
      <t xml:space="preserve">tokenomics </t>
    </r>
    <r>
      <rPr>
        <sz val="10"/>
        <color rgb="FF000000"/>
        <rFont val="Noto Sans CJK SC"/>
        <family val="2"/>
      </rPr>
      <t xml:space="preserve">去更新版的时候，要把它放进去。」（語音轉寫，未改字）；</t>
    </r>
    <r>
      <rPr>
        <sz val="10"/>
        <color rgb="FF000000"/>
        <rFont val="Arial"/>
        <family val="0"/>
        <charset val="1"/>
      </rPr>
      <t xml:space="preserve">Andy 2026-10-11 11:21</t>
    </r>
    <r>
      <rPr>
        <sz val="10"/>
        <color rgb="FF000000"/>
        <rFont val="Noto Sans CJK SC"/>
        <family val="2"/>
      </rPr>
      <t xml:space="preserve">「了解，接著照建議依序執行」；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#38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</si>
  <si>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</si>
  <si>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SRC_DEM_019–048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E279–E301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</si>
  <si>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v5.32 r1 B1、B2、B3</t>
  </si>
  <si>
    <t xml:space="preserve">X22</t>
  </si>
  <si>
    <r>
      <rPr>
        <sz val="10"/>
        <color rgb="FF000000"/>
        <rFont val="Arial"/>
        <family val="0"/>
        <charset val="1"/>
      </rPr>
      <t xml:space="preserve">X22 J3 </t>
    </r>
    <r>
      <rPr>
        <sz val="10"/>
        <color rgb="FF000000"/>
        <rFont val="Noto Sans CJK SC"/>
        <family val="2"/>
      </rPr>
      <t xml:space="preserve">營收口徑：毛額</t>
    </r>
  </si>
  <si>
    <t xml:space="preserve">隱含 m 的分子用毛額營收（SRC_DEM_007，不扣 Microsoft 20% 分潤），與模型有效單價口徑一致；分潤是 m 偏離 1 的來源 (4)，不先扣；訂閱占比 0.61／0.70／0.82（N10，Derived），API 占比＝1 − 訂閱占比 ｜v5.33 J14：13.07 為 OpenAI 自身營收口徑（不含 Azure OpenAI Service 轉售），與分母的 OpenAI 自身 Azure 帳單口徑一致；待一手確認（v5.33 J14；Reuters／Axios 2026-10-08：OpenAI 年化數字不含經雲端夥伴銷售，SRC_DEM_062、E317）</t>
  </si>
  <si>
    <r>
      <rPr>
        <sz val="10"/>
        <color rgb="FF000000"/>
        <rFont val="Arial"/>
        <family val="0"/>
        <charset val="1"/>
      </rPr>
      <t xml:space="preserve">Cap_In H1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SRC_DEM_038–041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043</t>
    </r>
  </si>
  <si>
    <t xml:space="preserve">工作單 v5.32 r1 B2</t>
  </si>
  <si>
    <t xml:space="preserve">X23</t>
  </si>
  <si>
    <r>
      <rPr>
        <sz val="10"/>
        <color rgb="FF000000"/>
        <rFont val="Arial"/>
        <family val="0"/>
        <charset val="1"/>
      </rPr>
      <t xml:space="preserve">X23 J4 Warning </t>
    </r>
    <r>
      <rPr>
        <sz val="10"/>
        <color rgb="FF000000"/>
        <rFont val="Noto Sans CJK SC"/>
        <family val="2"/>
      </rPr>
      <t xml:space="preserve">條件</t>
    </r>
  </si>
  <si>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（合併路線、模型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分母）基準落在 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區間（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）外即 </t>
    </r>
    <r>
      <rPr>
        <sz val="10"/>
        <color rgb="FF000000"/>
        <rFont val="Arial"/>
        <family val="0"/>
        <charset val="1"/>
      </rPr>
      <t xml:space="preserve">WARN</t>
    </r>
    <r>
      <rPr>
        <sz val="10"/>
        <color rgb="FF000000"/>
        <rFont val="Noto Sans CJK SC"/>
        <family val="2"/>
      </rPr>
      <t xml:space="preserve">（計入 </t>
    </r>
    <r>
      <rPr>
        <sz val="10"/>
        <color rgb="FF000000"/>
        <rFont val="Arial"/>
        <family val="0"/>
        <charset val="1"/>
      </rPr>
      <t xml:space="preserve">GOV_Warnings</t>
    </r>
    <r>
      <rPr>
        <sz val="10"/>
        <color rgb="FF000000"/>
        <rFont val="Noto Sans CJK SC"/>
        <family val="2"/>
      </rPr>
      <t xml:space="preserve">，不阻擋）；依 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現值會觸發，屬預期（分母或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至少一個有問題）</t>
    </r>
  </si>
  <si>
    <r>
      <rPr>
        <sz val="10"/>
        <color rgb="FF000000"/>
        <rFont val="Arial"/>
        <family val="0"/>
        <charset val="1"/>
      </rPr>
      <t xml:space="preserve">Checks M </t>
    </r>
    <r>
      <rPr>
        <sz val="10"/>
        <color rgb="FF000000"/>
        <rFont val="Noto Sans CJK SC"/>
        <family val="2"/>
      </rPr>
      <t xml:space="preserve">節</t>
    </r>
  </si>
  <si>
    <t xml:space="preserve">工作單 v5.32 r1 B3</t>
  </si>
  <si>
    <t xml:space="preserve">X24</t>
  </si>
  <si>
    <r>
      <rPr>
        <sz val="10"/>
        <color rgb="FF000000"/>
        <rFont val="Arial"/>
        <family val="0"/>
        <charset val="1"/>
      </rPr>
      <t xml:space="preserve">X24 J5 </t>
    </r>
    <r>
      <rPr>
        <sz val="10"/>
        <color rgb="FF000000"/>
        <rFont val="Noto Sans CJK SC"/>
        <family val="2"/>
      </rPr>
      <t xml:space="preserve">追蹤頻率</t>
    </r>
  </si>
  <si>
    <t xml:space="preserve">每次 Tokenomics 升版工作單檢查 OpenAI、Anthropic 是否有新的付費用戶數、用量或營收拆分揭露（工作單 v5.32 第 4 節），另加季度固定檢查（季報、融資公告、DevDay 後）；Anthropic 公開 S-1 出來時另開工作單</t>
  </si>
  <si>
    <t xml:space="preserve">（流程；無模型格）</t>
  </si>
  <si>
    <t xml:space="preserve">工作單 v5.32 r1 B5</t>
  </si>
  <si>
    <t xml:space="preserve">X25</t>
  </si>
  <si>
    <r>
      <rPr>
        <sz val="10"/>
        <color rgb="FF000000"/>
        <rFont val="Arial"/>
        <family val="0"/>
        <charset val="1"/>
      </rPr>
      <t xml:space="preserve">X25 J6 </t>
    </r>
    <r>
      <rPr>
        <sz val="10"/>
        <color rgb="FF000000"/>
        <rFont val="Noto Sans CJK SC"/>
        <family val="2"/>
      </rPr>
      <t xml:space="preserve">人數口徑：期間平均</t>
    </r>
  </si>
  <si>
    <t xml:space="preserve">訂閱路線的人數分母用期間平均（2025：約 3,300 萬＝(2025-01 15.5M ＋ 2026-02 50M) ÷ 2），與年營收、年 token 對齊；只用於每人口徑的直覺檢查，不進 m</t>
  </si>
  <si>
    <t xml:space="preserve">Cap_In H2</t>
  </si>
  <si>
    <t xml:space="preserve">X26</t>
  </si>
  <si>
    <r>
      <rPr>
        <sz val="10"/>
        <color rgb="FF000000"/>
        <rFont val="Arial"/>
        <family val="0"/>
        <charset val="1"/>
      </rPr>
      <t xml:space="preserve">X26 J1 (a′)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</si>
  <si>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暫不改：數值量不準前不改，但追蹤區塊（</t>
    </r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_Ext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M1</t>
    </r>
    <r>
      <rPr>
        <sz val="10"/>
        <color rgb="FF000000"/>
        <rFont val="Noto Sans CJK SC"/>
        <family val="2"/>
      </rPr>
      <t xml:space="preserve">）讓高估程度可見；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端判斷「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很可能高估（方向中信心、數值低信心；可信證據多落在 </t>
    </r>
    <r>
      <rPr>
        <sz val="10"/>
        <color rgb="FF000000"/>
        <rFont val="Arial"/>
        <family val="0"/>
        <charset val="1"/>
      </rPr>
      <t xml:space="preserve">0.3–0.9</t>
    </r>
    <r>
      <rPr>
        <sz val="10"/>
        <color rgb="FF000000"/>
        <rFont val="Noto Sans CJK SC"/>
        <family val="2"/>
      </rPr>
      <t xml:space="preserve">）」 ｜</t>
    </r>
    <r>
      <rPr>
        <sz val="10"/>
        <color rgb="FF000000"/>
        <rFont val="Arial"/>
        <family val="0"/>
        <charset val="1"/>
      </rPr>
      <t xml:space="preserve">v5.33 A </t>
    </r>
    <r>
      <rPr>
        <sz val="10"/>
        <color rgb="FF000000"/>
        <rFont val="Noto Sans CJK SC"/>
        <family val="2"/>
      </rPr>
      <t xml:space="preserve">段後：「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很可能高估」的證據只剩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／程式代理路線與現行組合下的機隊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Hopper </t>
    </r>
    <r>
      <rPr>
        <sz val="10"/>
        <color rgb="FF000000"/>
        <rFont val="Noto Sans CJK SC"/>
        <family val="2"/>
      </rPr>
      <t xml:space="preserve">組合下機隊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0.8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</si>
  <si>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 </t>
    </r>
    <r>
      <rPr>
        <sz val="10"/>
        <color rgb="FF000000"/>
        <rFont val="Noto Sans CJK SC"/>
        <family val="2"/>
      </rPr>
      <t xml:space="preserve">理由欄</t>
    </r>
  </si>
  <si>
    <t xml:space="preserve">工作單 v5.32 r1 B4、B5</t>
  </si>
  <si>
    <t xml:space="preserve">X27</t>
  </si>
  <si>
    <t xml:space="preserve">v5.33</t>
  </si>
  <si>
    <r>
      <rPr>
        <sz val="10"/>
        <color rgb="FF000000"/>
        <rFont val="Arial"/>
        <family val="0"/>
        <charset val="1"/>
      </rPr>
      <t xml:space="preserve">X27 J7 </t>
    </r>
    <r>
      <rPr>
        <sz val="10"/>
        <color rgb="FF000000"/>
        <rFont val="Noto Sans CJK SC"/>
        <family val="2"/>
      </rPr>
      <t xml:space="preserve">物理路線兩種讀法</t>
    </r>
  </si>
  <si>
    <t xml:space="preserve">機隊口徑兩種讀法並列：(i) 點估計＝支出路線服務 GW（SRC_DEM_018 ÷ 持有成本 ÷ Azure 倍數）× 實際利用率修正（AL_UtilActual ÷ IF_Util）→ 機隊付費 token → 機隊 m；(ii) 上限＝同一 GW × CTL_ProdDerate 的最大產出 → 機隊付費 token 上限 → m 下限。兩者都進 Cap_In H7 與 L1（L1_MFleet、L1_TokCeiling）；對回本條件有意義的是機隊 m</t>
  </si>
  <si>
    <t xml:space="preserve">2026-10-13</t>
  </si>
  <si>
    <r>
      <rPr>
        <sz val="10"/>
        <color rgb="FF000000"/>
        <rFont val="Arial"/>
        <family val="0"/>
        <charset val="1"/>
      </rPr>
      <t xml:space="preserve">Andy 2026-10-12 07:43</t>
    </r>
    <r>
      <rPr>
        <sz val="10"/>
        <color rgb="FF000000"/>
        <rFont val="Noto Sans CJK SC"/>
        <family val="2"/>
      </rPr>
      <t xml:space="preserve">「起草工作單 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『付費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數量校準』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段（查證、不改 </t>
    </r>
    <r>
      <rPr>
        <sz val="10"/>
        <color rgb="FF000000"/>
        <rFont val="Arial"/>
        <family val="0"/>
        <charset val="1"/>
      </rPr>
      <t xml:space="preserve">Excel</t>
    </r>
    <r>
      <rPr>
        <sz val="10"/>
        <color rgb="FF000000"/>
        <rFont val="Noto Sans CJK SC"/>
        <family val="2"/>
      </rPr>
      <t xml:space="preserve">），內容依交接檔第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節四項」（文字，未改字）；</t>
    </r>
    <r>
      <rPr>
        <sz val="10"/>
        <color rgb="FF000000"/>
        <rFont val="Arial"/>
        <family val="0"/>
        <charset val="1"/>
      </rPr>
      <t xml:space="preserve">Andy 2026-10-13 06:46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2.2025 </t>
    </r>
    <r>
      <rPr>
        <sz val="10"/>
        <color rgb="FF000000"/>
        <rFont val="Noto Sans CJK SC"/>
        <family val="2"/>
      </rPr>
      <t xml:space="preserve">基準年世代組合：或改為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　其餘支持照你的建議」（文字，未改字）；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段查證報告 </t>
    </r>
    <r>
      <rPr>
        <sz val="10"/>
        <color rgb="FF000000"/>
        <rFont val="Arial"/>
        <family val="0"/>
        <charset val="1"/>
      </rPr>
      <t xml:space="preserve">PR #40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 </t>
    </r>
    <r>
      <rPr>
        <sz val="10"/>
        <color rgb="FF000000"/>
        <rFont val="Noto Sans CJK SC"/>
        <family val="2"/>
      </rPr>
      <t xml:space="preserve">節），可撤回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</si>
  <si>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</si>
  <si>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L1_TokCeiling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M3</t>
    </r>
  </si>
  <si>
    <t xml:space="preserve">工作單 v5.33 r1 B3、B4</t>
  </si>
  <si>
    <t xml:space="preserve">X28</t>
  </si>
  <si>
    <r>
      <rPr>
        <sz val="10"/>
        <color rgb="FF000000"/>
        <rFont val="Arial"/>
        <family val="0"/>
        <charset val="1"/>
      </rPr>
      <t xml:space="preserve">X28 J8 2025 </t>
    </r>
    <r>
      <rPr>
        <sz val="10"/>
        <color rgb="FF000000"/>
        <rFont val="Noto Sans CJK SC"/>
        <family val="2"/>
      </rPr>
      <t xml:space="preserve">基準年服務世代組合</t>
    </r>
  </si>
  <si>
    <r>
      <rPr>
        <sz val="10"/>
        <color rgb="FF000000"/>
        <rFont val="Arial"/>
        <family val="0"/>
        <charset val="1"/>
      </rPr>
      <t xml:space="preserve">Alloc_In C9–C12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Hopper 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2026-10-13</t>
    </r>
    <r>
      <rPr>
        <sz val="10"/>
        <color rgb="FF000000"/>
        <rFont val="Noto Sans CJK SC"/>
        <family val="2"/>
      </rPr>
      <t xml:space="preserve">：「或改為 </t>
    </r>
    <r>
      <rPr>
        <sz val="10"/>
        <color rgb="FF000000"/>
        <rFont val="Arial"/>
        <family val="0"/>
        <charset val="1"/>
      </rPr>
      <t xml:space="preserve">Hopper 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」）；低／高區間不改。理由：</t>
    </r>
    <r>
      <rPr>
        <sz val="10"/>
        <color rgb="FF000000"/>
        <rFont val="Arial"/>
        <family val="0"/>
        <charset val="1"/>
      </rPr>
      <t xml:space="preserve">VR200 2025 </t>
    </r>
    <r>
      <rPr>
        <sz val="10"/>
        <color rgb="FF000000"/>
        <rFont val="Noto Sans CJK SC"/>
        <family val="2"/>
      </rPr>
      <t xml:space="preserve">未出貨；</t>
    </r>
    <r>
      <rPr>
        <sz val="10"/>
        <color rgb="FF000000"/>
        <rFont val="Arial"/>
        <family val="0"/>
        <charset val="1"/>
      </rPr>
      <t xml:space="preserve">C9 </t>
    </r>
    <r>
      <rPr>
        <sz val="10"/>
        <color rgb="FF000000"/>
        <rFont val="Noto Sans CJK SC"/>
        <family val="2"/>
      </rPr>
      <t xml:space="preserve">備註的 </t>
    </r>
    <r>
      <rPr>
        <sz val="10"/>
        <color rgb="FF000000"/>
        <rFont val="Arial"/>
        <family val="0"/>
        <charset val="1"/>
      </rPr>
      <t xml:space="preserve">h_alloc_mix_2025 </t>
    </r>
    <r>
      <rPr>
        <sz val="10"/>
        <color rgb="FF000000"/>
        <rFont val="Noto Sans CJK SC"/>
        <family val="2"/>
      </rPr>
      <t xml:space="preserve">情境即此組合。連動：</t>
    </r>
    <r>
      <rPr>
        <sz val="10"/>
        <color rgb="FF000000"/>
        <rFont val="Arial"/>
        <family val="0"/>
        <charset val="1"/>
      </rPr>
      <t xml:space="preserve">Alloc B–G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Q1_R2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ImpliedNk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 </t>
    </r>
    <r>
      <rPr>
        <sz val="10"/>
        <color rgb="FF000000"/>
        <rFont val="Noto Sans CJK SC"/>
        <family val="2"/>
      </rPr>
      <t xml:space="preserve">不變）</t>
    </r>
  </si>
  <si>
    <r>
      <rPr>
        <sz val="10"/>
        <color rgb="FF000000"/>
        <rFont val="Arial"/>
        <family val="0"/>
        <charset val="1"/>
      </rPr>
      <t xml:space="preserve">Alloc_In C9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</si>
  <si>
    <t xml:space="preserve">工作單 v5.33 r1 B2</t>
  </si>
  <si>
    <t xml:space="preserve">X29</t>
  </si>
  <si>
    <r>
      <rPr>
        <sz val="10"/>
        <color rgb="FF000000"/>
        <rFont val="Arial"/>
        <family val="0"/>
        <charset val="1"/>
      </rPr>
      <t xml:space="preserve">X29 J9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數高端</t>
    </r>
  </si>
  <si>
    <r>
      <rPr>
        <sz val="10"/>
        <color rgb="FF000000"/>
        <rFont val="Arial"/>
        <family val="0"/>
        <charset val="1"/>
      </rPr>
      <t xml:space="preserve">Alloc_In C15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4,000 </t>
    </r>
    <r>
      <rPr>
        <sz val="10"/>
        <color rgb="FF000000"/>
        <rFont val="Noto Sans CJK SC"/>
        <family val="2"/>
      </rPr>
      <t xml:space="preserve">與低端 </t>
    </r>
    <r>
      <rPr>
        <sz val="10"/>
        <color rgb="FF000000"/>
        <rFont val="Arial"/>
        <family val="0"/>
        <charset val="1"/>
      </rPr>
      <t xml:space="preserve">2,000 </t>
    </r>
    <r>
      <rPr>
        <sz val="10"/>
        <color rgb="FF000000"/>
        <rFont val="Noto Sans CJK SC"/>
        <family val="2"/>
      </rPr>
      <t xml:space="preserve">不改；高端 </t>
    </r>
    <r>
      <rPr>
        <sz val="10"/>
        <color rgb="FF000000"/>
        <rFont val="Arial"/>
        <family val="0"/>
        <charset val="1"/>
      </rPr>
      <t xml:space="preserve">6,400 → 11,000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節五組成高端 </t>
    </r>
    <r>
      <rPr>
        <sz val="10"/>
        <color rgb="FF000000"/>
        <rFont val="Arial"/>
        <family val="0"/>
        <charset val="1"/>
      </rPr>
      <t xml:space="preserve">11,300 </t>
    </r>
    <r>
      <rPr>
        <sz val="10"/>
        <color rgb="FF000000"/>
        <rFont val="Noto Sans CJK SC"/>
        <family val="2"/>
      </rPr>
      <t xml:space="preserve">取整）；不拆成多個輸入（五組成全為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，無一手校準）</t>
    </r>
  </si>
  <si>
    <r>
      <rPr>
        <sz val="10"/>
        <color rgb="FF000000"/>
        <rFont val="Arial"/>
        <family val="0"/>
        <charset val="1"/>
      </rPr>
      <t xml:space="preserve">Alloc_In E15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GM586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GM587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L1_GapPrompt_Hi</t>
    </r>
  </si>
  <si>
    <t xml:space="preserve">X30</t>
  </si>
  <si>
    <r>
      <rPr>
        <sz val="10"/>
        <color rgb="FF000000"/>
        <rFont val="Arial"/>
        <family val="0"/>
        <charset val="1"/>
      </rPr>
      <t xml:space="preserve">X30 J10 </t>
    </r>
    <r>
      <rPr>
        <sz val="10"/>
        <color rgb="FF000000"/>
        <rFont val="Noto Sans CJK SC"/>
        <family val="2"/>
      </rPr>
      <t xml:space="preserve">免費占比不改＋支出口徑對照</t>
    </r>
  </si>
  <si>
    <r>
      <rPr>
        <sz val="10"/>
        <color rgb="FF000000"/>
        <rFont val="Arial"/>
        <family val="0"/>
        <charset val="1"/>
      </rPr>
      <t xml:space="preserve">Alloc_In C16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新增對照列：免費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 </t>
    </r>
    <r>
      <rPr>
        <sz val="10"/>
        <color rgb="FF000000"/>
        <rFont val="Arial"/>
        <family val="0"/>
        <charset val="1"/>
      </rPr>
      <t xml:space="preserve">r</t>
    </r>
    <r>
      <rPr>
        <sz val="10"/>
        <color rgb="FF000000"/>
        <rFont val="Noto Sans CJK SC"/>
        <family val="2"/>
      </rPr>
      <t xml:space="preserve">＝支出口徑換算（</t>
    </r>
    <r>
      <rPr>
        <sz val="10"/>
        <color rgb="FF000000"/>
        <rFont val="Arial"/>
        <family val="0"/>
        <charset val="1"/>
      </rPr>
      <t xml:space="preserve">IF_FreeShare × </t>
    </r>
    <r>
      <rPr>
        <sz val="10"/>
        <color rgb="FF000000"/>
        <rFont val="Noto Sans CJK SC"/>
        <family val="2"/>
      </rPr>
      <t xml:space="preserve">付費產能倍數 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1 − IF_FreeShare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P09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3.2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AL_DFree ÷ AL_DPaid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）；人數口徑 </t>
    </r>
    <r>
      <rPr>
        <sz val="10"/>
        <color rgb="FF000000"/>
        <rFont val="Arial"/>
        <family val="0"/>
        <charset val="1"/>
      </rPr>
      <t xml:space="preserve">5.7%</t>
    </r>
    <r>
      <rPr>
        <sz val="10"/>
        <color rgb="FF000000"/>
        <rFont val="Noto Sans CJK SC"/>
        <family val="2"/>
      </rPr>
      <t xml:space="preserve">、訊息 </t>
    </r>
    <r>
      <rPr>
        <sz val="10"/>
        <color rgb="FF000000"/>
        <rFont val="Arial"/>
        <family val="0"/>
        <charset val="1"/>
      </rPr>
      <t xml:space="preserve">15–38%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token 18–55%</t>
    </r>
    <r>
      <rPr>
        <sz val="10"/>
        <color rgb="FF000000"/>
        <rFont val="Noto Sans CJK SC"/>
        <family val="2"/>
      </rPr>
      <t xml:space="preserve">、支出 </t>
    </r>
    <r>
      <rPr>
        <sz val="10"/>
        <color rgb="FF000000"/>
        <rFont val="Arial"/>
        <family val="0"/>
        <charset val="1"/>
      </rPr>
      <t xml:space="preserve">24% </t>
    </r>
    <r>
      <rPr>
        <sz val="10"/>
        <color rgb="FF000000"/>
        <rFont val="Noto Sans CJK SC"/>
        <family val="2"/>
      </rPr>
      <t xml:space="preserve">並列於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2.2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</si>
  <si>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Cap_In H7 r </t>
    </r>
    <r>
      <rPr>
        <sz val="10"/>
        <color rgb="FF000000"/>
        <rFont val="Noto Sans CJK SC"/>
        <family val="2"/>
      </rPr>
      <t xml:space="preserve">兩列；</t>
    </r>
    <r>
      <rPr>
        <sz val="10"/>
        <color rgb="FF000000"/>
        <rFont val="Arial"/>
        <family val="0"/>
        <charset val="1"/>
      </rPr>
      <t xml:space="preserve">Alloc_In C16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</si>
  <si>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v5.33 r1 B3</t>
  </si>
  <si>
    <r>
      <rPr>
        <sz val="10"/>
        <color rgb="FF000000"/>
        <rFont val="Arial"/>
        <family val="0"/>
        <charset val="1"/>
      </rPr>
      <t xml:space="preserve">X31 J11 </t>
    </r>
    <r>
      <rPr>
        <sz val="10"/>
        <color rgb="FF000000"/>
        <rFont val="Noto Sans CJK SC"/>
        <family val="2"/>
      </rPr>
      <t xml:space="preserve">非文字服務份額對照</t>
    </r>
  </si>
  <si>
    <t xml:space="preserve">非文字份額不進 Cap_In H1 分子；H7 新增對照列：藍字 Assumed 0.05／0.10／0.20（登錄 Gov_Map），只重算「扣除後訂閱 m、合併 m」作顯示；Deep Research／代理不扣（文字 token）；API 不扣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</si>
  <si>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非文字三列；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</si>
  <si>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v5.33 r1 B3、B6</t>
  </si>
  <si>
    <t xml:space="preserve">X32</t>
  </si>
  <si>
    <r>
      <rPr>
        <sz val="10"/>
        <color rgb="FF000000"/>
        <rFont val="Arial"/>
        <family val="0"/>
        <charset val="1"/>
      </rPr>
      <t xml:space="preserve">X32 J12 </t>
    </r>
    <r>
      <rPr>
        <sz val="10"/>
        <color rgb="FF000000"/>
        <rFont val="Noto Sans CJK SC"/>
        <family val="2"/>
      </rPr>
      <t xml:space="preserve">訂閱占比結案</t>
    </r>
  </si>
  <si>
    <t xml:space="preserve">訂閱占比維持 0.70（SRC_DEM_039）；0.765（A 段試算副本）不登錄。v5.32 報告「待 Project 判斷」第 1 項結案</t>
  </si>
  <si>
    <r>
      <rPr>
        <sz val="10"/>
        <color rgb="FF000000"/>
        <rFont val="Arial"/>
        <family val="0"/>
        <charset val="1"/>
      </rPr>
      <t xml:space="preserve">Cap_In C70</t>
    </r>
    <r>
      <rPr>
        <sz val="10"/>
        <color rgb="FF000000"/>
        <rFont val="Noto Sans CJK SC"/>
        <family val="2"/>
      </rPr>
      <t xml:space="preserve">（不改）</t>
    </r>
  </si>
  <si>
    <t xml:space="preserve">X33</t>
  </si>
  <si>
    <r>
      <rPr>
        <sz val="10"/>
        <color rgb="FF000000"/>
        <rFont val="Arial"/>
        <family val="0"/>
        <charset val="1"/>
      </rPr>
      <t xml:space="preserve">X33 J13 </t>
    </r>
    <r>
      <rPr>
        <sz val="10"/>
        <color rgb="FF000000"/>
        <rFont val="Noto Sans CJK SC"/>
        <family val="2"/>
      </rPr>
      <t xml:space="preserve">利用率修正公式</t>
    </r>
  </si>
  <si>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列定義不改（只含 </t>
    </r>
    <r>
      <rPr>
        <sz val="10"/>
        <color rgb="FF000000"/>
        <rFont val="Arial"/>
        <family val="0"/>
        <charset val="1"/>
      </rPr>
      <t xml:space="preserve">IF_Util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H7 </t>
    </r>
    <r>
      <rPr>
        <sz val="10"/>
        <color rgb="FF000000"/>
        <rFont val="Noto Sans CJK SC"/>
        <family val="2"/>
      </rPr>
      <t xml:space="preserve">新列自帶修正：點估計乘 </t>
    </r>
    <r>
      <rPr>
        <sz val="10"/>
        <color rgb="FF000000"/>
        <rFont val="Arial"/>
        <family val="0"/>
        <charset val="1"/>
      </rPr>
      <t xml:space="preserve">AL_UtilActual ÷ IF_Util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0.35 ÷ 0.6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0.583</t>
    </r>
    <r>
      <rPr>
        <sz val="10"/>
        <color rgb="FF000000"/>
        <rFont val="Noto Sans CJK SC"/>
        <family val="2"/>
      </rPr>
      <t xml:space="preserve">）；上限乘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段用的 </t>
    </r>
    <r>
      <rPr>
        <sz val="10"/>
        <color rgb="FF000000"/>
        <rFont val="Arial"/>
        <family val="0"/>
        <charset val="1"/>
      </rPr>
      <t xml:space="preserve">0.686 </t>
    </r>
    <r>
      <rPr>
        <sz val="10"/>
        <color rgb="FF000000"/>
        <rFont val="Noto Sans CJK SC"/>
        <family val="2"/>
      </rPr>
      <t xml:space="preserve">不採用</t>
    </r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</si>
  <si>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修正兩列</t>
    </r>
  </si>
  <si>
    <t xml:space="preserve">X34</t>
  </si>
  <si>
    <r>
      <rPr>
        <sz val="10"/>
        <color rgb="FF000000"/>
        <rFont val="Arial"/>
        <family val="0"/>
        <charset val="1"/>
      </rPr>
      <t xml:space="preserve">X34 J14 </t>
    </r>
    <r>
      <rPr>
        <sz val="10"/>
        <color rgb="FF000000"/>
        <rFont val="Noto Sans CJK SC"/>
        <family val="2"/>
      </rPr>
      <t xml:space="preserve">營收口徑（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</si>
  <si>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數值不改。登錄 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 </t>
    </r>
    <r>
      <rPr>
        <sz val="10"/>
        <color rgb="FF000000"/>
        <rFont val="Noto Sans CJK SC"/>
        <family val="2"/>
      </rPr>
      <t xml:space="preserve">證據（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年化數字不含經雲端夥伴銷售）；</t>
    </r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備註與 </t>
    </r>
    <r>
      <rPr>
        <sz val="10"/>
        <color rgb="FF000000"/>
        <rFont val="Arial"/>
        <family val="0"/>
        <charset val="1"/>
      </rPr>
      <t xml:space="preserve">Decisions X22 </t>
    </r>
    <r>
      <rPr>
        <sz val="10"/>
        <color rgb="FF000000"/>
        <rFont val="Noto Sans CJK SC"/>
        <family val="2"/>
      </rPr>
      <t xml:space="preserve">備註補：「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帳單口徑一致；待一手確認」</t>
    </r>
  </si>
  <si>
    <r>
      <rPr>
        <sz val="10"/>
        <color rgb="FF000000"/>
        <rFont val="Arial"/>
        <family val="0"/>
        <charset val="1"/>
      </rPr>
      <t xml:space="preserve">SRC_DEM_007 </t>
    </r>
    <r>
      <rPr>
        <sz val="10"/>
        <color rgb="FF000000"/>
        <rFont val="Noto Sans CJK SC"/>
        <family val="2"/>
      </rPr>
      <t xml:space="preserve">備註；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X22</t>
    </r>
  </si>
  <si>
    <t xml:space="preserve">工作單 v5.33 r1 B1、B6</t>
  </si>
  <si>
    <t xml:space="preserve">X35</t>
  </si>
  <si>
    <t xml:space="preserve">v5.34</t>
  </si>
  <si>
    <r>
      <rPr>
        <sz val="10"/>
        <color rgb="FF000000"/>
        <rFont val="Arial"/>
        <family val="0"/>
        <charset val="1"/>
      </rPr>
      <t xml:space="preserve">X35 J15 CTL_Monetize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</si>
  <si>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區間 </t>
    </r>
    <r>
      <rPr>
        <sz val="10"/>
        <color rgb="FF000000"/>
        <rFont val="Arial"/>
        <family val="0"/>
        <charset val="1"/>
      </rPr>
      <t xml:space="preserve">0.3–1.0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序列穩定前不改；</t>
    </r>
    <r>
      <rPr>
        <sz val="10"/>
        <color rgb="FF000000"/>
        <rFont val="Arial"/>
        <family val="0"/>
        <charset val="1"/>
      </rPr>
      <t xml:space="preserve">X26 J1 (a′) </t>
    </r>
    <r>
      <rPr>
        <sz val="10"/>
        <color rgb="FF000000"/>
        <rFont val="Noto Sans CJK SC"/>
        <family val="2"/>
      </rPr>
      <t xml:space="preserve">延續）；本單新增的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）與序列（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）只作追蹤</t>
    </r>
  </si>
  <si>
    <t xml:space="preserve">2026-10-14</t>
  </si>
  <si>
    <r>
      <rPr>
        <sz val="10"/>
        <color rgb="FF000000"/>
        <rFont val="Arial"/>
        <family val="0"/>
        <charset val="1"/>
      </rPr>
      <t xml:space="preserve">Andy 2026-10-14 15:35</t>
    </r>
    <r>
      <rPr>
        <sz val="10"/>
        <color rgb="FF000000"/>
        <rFont val="Noto Sans CJK SC"/>
        <family val="2"/>
      </rPr>
      <t xml:space="preserve">「我能說甚麼呢，你已經包括我的想法了。關於第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點，這個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視角」（文字，未改字）；</t>
    </r>
    <r>
      <rPr>
        <sz val="10"/>
        <color rgb="FF000000"/>
        <rFont val="Arial"/>
        <family val="0"/>
        <charset val="1"/>
      </rPr>
      <t xml:space="preserve">Andy 2026-10-14 15:39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Gemini</t>
    </r>
    <r>
      <rPr>
        <sz val="10"/>
        <color rgb="FF000000"/>
        <rFont val="Noto Sans CJK SC"/>
        <family val="2"/>
      </rPr>
      <t xml:space="preserve">還沒設定好。請先自己做。」「同意，請進行。」（文字，未改字）；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「我確認一下，三個數字是</t>
    </r>
    <r>
      <rPr>
        <sz val="10"/>
        <color rgb="FF000000"/>
        <rFont val="Arial"/>
        <family val="0"/>
        <charset val="1"/>
      </rPr>
      <t xml:space="preserve">OAI 2025</t>
    </r>
    <r>
      <rPr>
        <sz val="10"/>
        <color rgb="FF000000"/>
        <rFont val="Noto Sans CJK SC"/>
        <family val="2"/>
      </rPr>
      <t xml:space="preserve">年的營收部門佔比嗎</t>
    </r>
    <r>
      <rPr>
        <sz val="10"/>
        <color rgb="FF000000"/>
        <rFont val="Arial"/>
        <family val="0"/>
        <charset val="1"/>
      </rPr>
      <t xml:space="preserve">?</t>
    </r>
    <r>
      <rPr>
        <sz val="10"/>
        <color rgb="FF000000"/>
        <rFont val="Noto Sans CJK SC"/>
        <family val="2"/>
      </rPr>
      <t xml:space="preserve">因為</t>
    </r>
    <r>
      <rPr>
        <sz val="10"/>
        <color rgb="FF000000"/>
        <rFont val="Arial"/>
        <family val="0"/>
        <charset val="1"/>
      </rPr>
      <t xml:space="preserve">2026</t>
    </r>
    <r>
      <rPr>
        <sz val="10"/>
        <color rgb="FF000000"/>
        <rFont val="Noto Sans CJK SC"/>
        <family val="2"/>
      </rPr>
      <t xml:space="preserve">年</t>
    </r>
    <r>
      <rPr>
        <sz val="10"/>
        <color rgb="FF000000"/>
        <rFont val="Arial"/>
        <family val="0"/>
        <charset val="1"/>
      </rPr>
      <t xml:space="preserve">OAI</t>
    </r>
    <r>
      <rPr>
        <sz val="10"/>
        <color rgb="FF000000"/>
        <rFont val="Noto Sans CJK SC"/>
        <family val="2"/>
      </rPr>
      <t xml:space="preserve">號稱企業營收已超過消費端」「兩件事我都同意。」（文字，未改字；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</si>
  <si>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</si>
  <si>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C64</t>
    </r>
    <r>
      <rPr>
        <sz val="10"/>
        <color rgb="FF000000"/>
        <rFont val="Noto Sans CJK SC"/>
        <family val="2"/>
      </rPr>
      <t xml:space="preserve">（不改）；</t>
    </r>
    <r>
      <rPr>
        <sz val="10"/>
        <color rgb="FF000000"/>
        <rFont val="Arial"/>
        <family val="0"/>
        <charset val="1"/>
      </rPr>
      <t xml:space="preserve">Gov_Map GM594</t>
    </r>
    <r>
      <rPr>
        <sz val="10"/>
        <color rgb="FF000000"/>
        <rFont val="Noto Sans CJK SC"/>
        <family val="2"/>
      </rPr>
      <t xml:space="preserve">（不改）</t>
    </r>
  </si>
  <si>
    <t xml:space="preserve">工作單 v5.34 r0.1 第 1 節</t>
  </si>
  <si>
    <t xml:space="preserve">X36</t>
  </si>
  <si>
    <r>
      <rPr>
        <sz val="10"/>
        <color rgb="FF000000"/>
        <rFont val="Arial"/>
        <family val="0"/>
        <charset val="1"/>
      </rPr>
      <t xml:space="preserve">X36 J16 </t>
    </r>
    <r>
      <rPr>
        <sz val="10"/>
        <color rgb="FF000000"/>
        <rFont val="Noto Sans CJK SC"/>
        <family val="2"/>
      </rPr>
      <t xml:space="preserve">分工規則</t>
    </r>
  </si>
  <si>
    <t xml:space="preserve">會同時改變成本的因子進 Q（每 GW 產出）側——快取命中率 χ、層級組合、ISL/OSL；只改變營收的因子進 m——折讓、訂閱用量落差、雲端分潤。理由：快取讀取 token 幾乎不耗 GPU 算力，若把組合效應放進 m 而 Q 仍按參考請求（χ＝0.55）算，等於對同一件事扣兩次。本單不改任何 Q 側輸入，只在 Cap_In H8-4 顯示 m_API 的組合因子 vs 折讓因子分解</t>
  </si>
  <si>
    <r>
      <rPr>
        <sz val="10"/>
        <color rgb="FF000000"/>
        <rFont val="Arial"/>
        <family val="0"/>
        <charset val="1"/>
      </rPr>
      <t xml:space="preserve">Cap_In H8-4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Excel README</t>
    </r>
    <r>
      <rPr>
        <sz val="10"/>
        <color rgb="FF000000"/>
        <rFont val="Noto Sans CJK SC"/>
        <family val="2"/>
      </rPr>
      <t xml:space="preserve">；本頁</t>
    </r>
  </si>
  <si>
    <t xml:space="preserve">工作單 v5.34 r0.1 第 1 節、B2</t>
  </si>
  <si>
    <r>
      <rPr>
        <sz val="10"/>
        <color rgb="FF000000"/>
        <rFont val="Arial"/>
        <family val="0"/>
        <charset val="1"/>
      </rPr>
      <t xml:space="preserve">X37 J17 m </t>
    </r>
    <r>
      <rPr>
        <sz val="10"/>
        <color rgb="FF000000"/>
        <rFont val="Noto Sans CJK SC"/>
        <family val="2"/>
      </rPr>
      <t xml:space="preserve">的視角與用途</t>
    </r>
  </si>
  <si>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是實驗室（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）視角的「付費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平均實收單價 </t>
    </r>
    <r>
      <rPr>
        <sz val="10"/>
        <color rgb="FF000000"/>
        <rFont val="Arial"/>
        <family val="0"/>
        <charset val="1"/>
      </rPr>
      <t xml:space="preserve">÷ OpenAI </t>
    </r>
    <r>
      <rPr>
        <sz val="10"/>
        <color rgb="FF000000"/>
        <rFont val="Noto Sans CJK SC"/>
        <family val="2"/>
      </rPr>
      <t xml:space="preserve">有效單價」（</t>
    </r>
    <r>
      <rPr>
        <sz val="10"/>
        <color rgb="FF000000"/>
        <rFont val="Arial"/>
        <family val="0"/>
        <charset val="1"/>
      </rPr>
      <t xml:space="preserve">Andy 15:35</t>
    </r>
    <r>
      <rPr>
        <sz val="10"/>
        <color rgb="FF000000"/>
        <rFont val="Noto Sans CJK SC"/>
        <family val="2"/>
      </rPr>
      <t xml:space="preserve">：「這個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當然是實驗室</t>
    </r>
    <r>
      <rPr>
        <sz val="10"/>
        <color rgb="FF000000"/>
        <rFont val="Arial"/>
        <family val="0"/>
        <charset val="1"/>
      </rPr>
      <t xml:space="preserve">(OAI)</t>
    </r>
    <r>
      <rPr>
        <sz val="10"/>
        <color rgb="FF000000"/>
        <rFont val="Noto Sans CJK SC"/>
        <family val="2"/>
      </rPr>
      <t xml:space="preserve">視角」）。下游用途是 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的回本條件（</t>
    </r>
    <r>
      <rPr>
        <sz val="10"/>
        <color rgb="FF000000"/>
        <rFont val="Arial"/>
        <family val="0"/>
        <charset val="1"/>
      </rPr>
      <t xml:space="preserve">L·m ≥ </t>
    </r>
    <r>
      <rPr>
        <sz val="10"/>
        <color rgb="FF000000"/>
        <rFont val="Noto Sans CJK SC"/>
        <family val="2"/>
      </rPr>
      <t xml:space="preserve">門檻），不是乘進每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營收的係數；交付物是區間與「必須為真」條件，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新名稱以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並列，不給單一「建議值」</t>
    </r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</si>
  <si>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TokPerPromptClose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H8-5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H8-6</t>
    </r>
  </si>
  <si>
    <t xml:space="preserve">工作單 v5.34 r0.1 第 1 節、B4</t>
  </si>
  <si>
    <r>
      <rPr>
        <sz val="10"/>
        <color rgb="FF000000"/>
        <rFont val="Arial"/>
        <family val="0"/>
        <charset val="1"/>
      </rPr>
      <t xml:space="preserve">X38 J18 </t>
    </r>
    <r>
      <rPr>
        <sz val="10"/>
        <color rgb="FF000000"/>
        <rFont val="Noto Sans CJK SC"/>
        <family val="2"/>
      </rPr>
      <t xml:space="preserve">營收三分法</t>
    </r>
  </si>
  <si>
    <r>
      <rPr>
        <sz val="10"/>
        <color rgb="FF000000"/>
        <rFont val="Arial"/>
        <family val="0"/>
        <charset val="1"/>
      </rPr>
      <t xml:space="preserve">Cap_In H1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71 </t>
    </r>
    <r>
      <rPr>
        <sz val="10"/>
        <color rgb="FF000000"/>
        <rFont val="Noto Sans CJK SC"/>
        <family val="2"/>
      </rPr>
      <t xml:space="preserve">列「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占比＝</t>
    </r>
    <r>
      <rPr>
        <sz val="10"/>
        <color rgb="FF000000"/>
        <rFont val="Arial"/>
        <family val="0"/>
        <charset val="1"/>
      </rPr>
      <t xml:space="preserve">1 − </t>
    </r>
    <r>
      <rPr>
        <sz val="10"/>
        <color rgb="FF000000"/>
        <rFont val="Noto Sans CJK SC"/>
        <family val="2"/>
      </rPr>
      <t xml:space="preserve">訂閱占比」改為三分（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）：消費訂閱（</t>
    </r>
    <r>
      <rPr>
        <sz val="10"/>
        <color rgb="FF000000"/>
        <rFont val="Arial"/>
        <family val="0"/>
        <charset val="1"/>
      </rPr>
      <t xml:space="preserve">SRC_DEM_039 0.70</t>
    </r>
    <r>
      <rPr>
        <sz val="10"/>
        <color rgb="FF000000"/>
        <rFont val="Noto Sans CJK SC"/>
        <family val="2"/>
      </rPr>
      <t xml:space="preserve">）／商用席次 </t>
    </r>
    <r>
      <rPr>
        <sz val="10"/>
        <color rgb="FF000000"/>
        <rFont val="Arial"/>
        <family val="0"/>
        <charset val="1"/>
      </rPr>
      <t xml:space="preserve">Assumed 0.10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0.05–0.15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 Sacra 15–20%</t>
    </r>
    <r>
      <rPr>
        <sz val="10"/>
        <color rgb="FF000000"/>
        <rFont val="Noto Sans CJK SC"/>
        <family val="2"/>
      </rPr>
      <t xml:space="preserve">）。廣告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起另列（</t>
    </r>
    <r>
      <rPr>
        <sz val="10"/>
        <color rgb="FF000000"/>
        <rFont val="Arial"/>
        <family val="0"/>
        <charset val="1"/>
      </rPr>
      <t xml:space="preserve">H8 </t>
    </r>
    <r>
      <rPr>
        <sz val="10"/>
        <color rgb="FF000000"/>
        <rFont val="Noto Sans CJK SC"/>
        <family val="2"/>
      </rPr>
      <t xml:space="preserve">藍字 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0–1.0</t>
    </r>
    <r>
      <rPr>
        <sz val="10"/>
        <color rgb="FF000000"/>
        <rFont val="Noto Sans CJK SC"/>
        <family val="2"/>
      </rPr>
      <t xml:space="preserve">），不進任何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的分子。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份額每欄各自輸入（</t>
    </r>
    <r>
      <rPr>
        <sz val="10"/>
        <color rgb="FF000000"/>
        <rFont val="Arial"/>
        <family val="0"/>
        <charset val="1"/>
      </rPr>
      <t xml:space="preserve">r0.1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2026 Q1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0.45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</si>
  <si>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H8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SRC_DEM_069–071</t>
    </r>
  </si>
  <si>
    <t xml:space="preserve">工作單 v5.34 r0.1 第 1 節、B1、B2、B5</t>
  </si>
  <si>
    <r>
      <rPr>
        <sz val="10"/>
        <color rgb="FF000000"/>
        <rFont val="Arial"/>
        <family val="0"/>
        <charset val="1"/>
      </rPr>
      <t xml:space="preserve">X39 J19 m </t>
    </r>
    <r>
      <rPr>
        <sz val="10"/>
        <color rgb="FF000000"/>
        <rFont val="Noto Sans CJK SC"/>
        <family val="2"/>
      </rPr>
      <t xml:space="preserve">按收費模式拆分</t>
    </r>
  </si>
  <si>
    <t xml:space="preserve">新增 m_API、m_消費訂閱、m_商用席次三列與 token 加權的 m_整體（自我檢查＝L1_MImplied）；分母：API token＝AL_DAPI；消費訂閱 token＝AL_DChatPaid × 消費占付費 token 份額（Assumed 0.75，0.6–0.9）；商用席次 token＝餘額</t>
  </si>
  <si>
    <r>
      <rPr>
        <sz val="10"/>
        <color rgb="FF000000"/>
        <rFont val="Arial"/>
        <family val="0"/>
        <charset val="1"/>
      </rPr>
      <t xml:space="preserve">Cap_In H8-2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MSub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</t>
    </r>
  </si>
  <si>
    <t xml:space="preserve">工作單 v5.34 r0.1 第 1 節、B2、B4</t>
  </si>
  <si>
    <t xml:space="preserve">X40</t>
  </si>
  <si>
    <r>
      <rPr>
        <sz val="10"/>
        <color rgb="FF000000"/>
        <rFont val="Arial"/>
        <family val="0"/>
        <charset val="1"/>
      </rPr>
      <t xml:space="preserve">X40 J20 B4_Disc </t>
    </r>
    <r>
      <rPr>
        <sz val="10"/>
        <color rgb="FF000000"/>
        <rFont val="Noto Sans CJK SC"/>
        <family val="2"/>
      </rPr>
      <t xml:space="preserve">區間</t>
    </r>
  </si>
  <si>
    <t xml:space="preserve">高端 0.3 → 0.4（0.5 節折讓證據：顧問議價中位數 27%、20–35%，E333）；基準 0.2、低端 0.1 不改。只動 Gov_Map GM441／GM442 區間文字與 Cap_In E12（藍字，只在仍為 0.3 時寫），不動基準值，IF_Price* 數值不變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</si>
  <si>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GM441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GM442</t>
    </r>
  </si>
  <si>
    <t xml:space="preserve">工作單 v5.34 r0.1 第 1 節、B6</t>
  </si>
  <si>
    <t xml:space="preserve">X41</t>
  </si>
  <si>
    <r>
      <rPr>
        <sz val="10"/>
        <color rgb="FF000000"/>
        <rFont val="Arial"/>
        <family val="0"/>
        <charset val="1"/>
      </rPr>
      <t xml:space="preserve">X41 J21 Anthropic </t>
    </r>
    <r>
      <rPr>
        <sz val="10"/>
        <color rgb="FF000000"/>
        <rFont val="Noto Sans CJK SC"/>
        <family val="2"/>
      </rPr>
      <t xml:space="preserve">第二方程式</t>
    </r>
  </si>
  <si>
    <t xml:space="preserve">本單只建對照列（Cap_In H8-7）：Anthropic 2025 用量計費 ÷ 總營收（SRC_DEM_034 ÷（034 ＋ 035）≈ 0.83）與雲端分潤比（SRC_DEM_037 ÷ 036 ≈ 0.16）；Anthropic token 分母未揭露，L1_MAPI_Anthropic 顯示「缺分母（需 Anthropic 年 API token）」並列出所需輸入。不新增 Alloc_In 實驗室選項</t>
  </si>
  <si>
    <r>
      <rPr>
        <sz val="10"/>
        <color rgb="FF000000"/>
        <rFont val="Arial"/>
        <family val="0"/>
        <charset val="1"/>
      </rPr>
      <t xml:space="preserve">Cap_In H8-7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L1_MAPI_Anthropic</t>
    </r>
  </si>
  <si>
    <t xml:space="preserve">v5.35</t>
  </si>
  <si>
    <r>
      <rPr>
        <sz val="10"/>
        <color rgb="FF000000"/>
        <rFont val="Arial"/>
        <family val="0"/>
        <charset val="1"/>
      </rPr>
      <t xml:space="preserve">X42 J22 L </t>
    </r>
    <r>
      <rPr>
        <sz val="10"/>
        <color rgb="FF000000"/>
        <rFont val="Noto Sans CJK SC"/>
        <family val="2"/>
      </rPr>
      <t xml:space="preserve">拆分</t>
    </r>
  </si>
  <si>
    <t xml:space="preserve">新增 Cap_In I 節：L_total＝L_price × L_demote。L_price 由中階 token 牌價年變化率 g（Assumed −0.10；−0.25～+0.05）與壽命 T＝IF_DeprLifeIT（6 年）推得（連續平均）；L_demote 由「前 T1 年（Assumed 4；3–5）服務中階、之後降級為低階（價值比 ρ Assumed 0.5；低端＝IF_PriceRef_Luna ÷ IF_PriceRef_Sol 0.05、高端 1.0）」推得。三者皆為追蹤列與 L1 名稱（L1_LPrice／LDemote／LTotal），CTL_PriceLife 基準 1 不改、Gov_Map 區間 0.3–1.0 不改。L 的回本「必須為真」列（L1_LReqFleet）與 m 並列。基準 L_price 0.7412、L_total 0.6426、L_demote 0.867</t>
  </si>
  <si>
    <r>
      <rPr>
        <sz val="10"/>
        <color rgb="FF000000"/>
        <rFont val="Arial"/>
        <family val="0"/>
        <charset val="1"/>
      </rPr>
      <t xml:space="preserve">Andy 2026-10-14 19:38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3. Assume 0.65</t>
    </r>
    <r>
      <rPr>
        <sz val="10"/>
        <color rgb="FF000000"/>
        <rFont val="Noto Sans CJK SC"/>
        <family val="2"/>
      </rPr>
      <t xml:space="preserve">，其餘照建議」（文字，未改字；對象＝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端建議）；</t>
    </r>
    <r>
      <rPr>
        <sz val="10"/>
        <color rgb="FF000000"/>
        <rFont val="Arial"/>
        <family val="0"/>
        <charset val="1"/>
      </rPr>
      <t xml:space="preserve">Andy 2026-10-14 15:49</t>
    </r>
    <r>
      <rPr>
        <sz val="10"/>
        <color rgb="FF000000"/>
        <rFont val="Noto Sans CJK SC"/>
        <family val="2"/>
      </rPr>
      <t xml:space="preserve">「兩件事我都同意。」（文字，未改字；對象＝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15:4x </t>
    </r>
    <r>
      <rPr>
        <sz val="10"/>
        <color rgb="FF000000"/>
        <rFont val="Noto Sans CJK SC"/>
        <family val="2"/>
      </rPr>
      <t xml:space="preserve">提出的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拆分）；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端建議（「</t>
    </r>
    <r>
      <rPr>
        <sz val="10"/>
        <color rgb="FF000000"/>
        <rFont val="Arial"/>
        <family val="0"/>
        <charset val="1"/>
      </rPr>
      <t xml:space="preserve">1 GW DC </t>
    </r>
    <r>
      <rPr>
        <sz val="10"/>
        <color rgb="FF000000"/>
        <rFont val="Noto Sans CJK SC"/>
        <family val="2"/>
      </rPr>
      <t xml:space="preserve">收入：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」對話串），可撤回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</si>
  <si>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</si>
  <si>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DB_Evidence E338–E342</t>
    </r>
  </si>
  <si>
    <t xml:space="preserve">工作單 v5.35 r0 第 1 節、B2、B4</t>
  </si>
  <si>
    <r>
      <rPr>
        <sz val="10"/>
        <color rgb="FF000000"/>
        <rFont val="Arial"/>
        <family val="0"/>
        <charset val="1"/>
      </rPr>
      <t xml:space="preserve">X43 J23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1–3 </t>
    </r>
    <r>
      <rPr>
        <sz val="10"/>
        <color rgb="FF000000"/>
        <rFont val="Noto Sans CJK SC"/>
        <family val="2"/>
      </rPr>
      <t xml:space="preserve">項</t>
    </r>
  </si>
  <si>
    <r>
      <rPr>
        <sz val="10"/>
        <color rgb="FF000000"/>
        <rFont val="Arial"/>
        <family val="0"/>
        <charset val="1"/>
      </rPr>
      <t xml:space="preserve">(1) H10 </t>
    </r>
    <r>
      <rPr>
        <sz val="10"/>
        <color rgb="FF000000"/>
        <rFont val="Noto Sans CJK SC"/>
        <family val="2"/>
      </rPr>
      <t xml:space="preserve">營收三分的分項營收改以「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分子營收（營收 − 廣告）」為基底，使三分之和＝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整體分子；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廣告年化每欄各自輸入：</t>
    </r>
    <r>
      <rPr>
        <sz val="10"/>
        <color rgb="FF000000"/>
        <rFont val="Arial"/>
        <family val="0"/>
        <charset val="1"/>
      </rPr>
      <t xml:space="preserve">2026 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SRC_DEM_072 2026-08 </t>
    </r>
    <r>
      <rPr>
        <sz val="10"/>
        <color rgb="FF000000"/>
        <rFont val="Noto Sans CJK SC"/>
        <family val="2"/>
      </rPr>
      <t xml:space="preserve">廣告年化 </t>
    </r>
    <r>
      <rPr>
        <sz val="10"/>
        <color rgb="FF000000"/>
        <rFont val="Arial"/>
        <family val="0"/>
        <charset val="1"/>
      </rPr>
      <t xml:space="preserve">$1B </t>
    </r>
    <r>
      <rPr>
        <sz val="10"/>
        <color rgb="FF000000"/>
        <rFont val="Noto Sans CJK SC"/>
        <family val="2"/>
      </rPr>
      <t xml:space="preserve">為依據）；</t>
    </r>
    <r>
      <rPr>
        <sz val="10"/>
        <color rgb="FF000000"/>
        <rFont val="Arial"/>
        <family val="0"/>
        <charset val="1"/>
      </rPr>
      <t xml:space="preserve">(3) 2026 </t>
    </r>
    <r>
      <rPr>
        <sz val="10"/>
        <color rgb="FF000000"/>
        <rFont val="Noto Sans CJK SC"/>
        <family val="2"/>
      </rPr>
      <t xml:space="preserve">三欄的「消費訂閱占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份額」改為獨立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0.5–0.8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欄維持 </t>
    </r>
    <r>
      <rPr>
        <sz val="10"/>
        <color rgb="FF000000"/>
        <rFont val="Arial"/>
        <family val="0"/>
        <charset val="1"/>
      </rPr>
      <t xml:space="preserve">H8 0.75</t>
    </r>
    <r>
      <rPr>
        <sz val="10"/>
        <color rgb="FF000000"/>
        <rFont val="Noto Sans CJK SC"/>
        <family val="2"/>
      </rPr>
      <t xml:space="preserve">。錨點 </t>
    </r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m_API 0.340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消費訂閱 </t>
    </r>
    <r>
      <rPr>
        <sz val="10"/>
        <color rgb="FF000000"/>
        <rFont val="Arial"/>
        <family val="0"/>
        <charset val="1"/>
      </rPr>
      <t xml:space="preserve">5.399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商用席次 </t>
    </r>
    <r>
      <rPr>
        <sz val="10"/>
        <color rgb="FF000000"/>
        <rFont val="Arial"/>
        <family val="0"/>
        <charset val="1"/>
      </rPr>
      <t xml:space="preserve">4.557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m_</t>
    </r>
    <r>
      <rPr>
        <sz val="10"/>
        <color rgb="FF000000"/>
        <rFont val="Noto Sans CJK SC"/>
        <family val="2"/>
      </rPr>
      <t xml:space="preserve">整體 </t>
    </r>
    <r>
      <rPr>
        <sz val="10"/>
        <color rgb="FF000000"/>
        <rFont val="Arial"/>
        <family val="0"/>
        <charset val="1"/>
      </rPr>
      <t xml:space="preserve">1.343</t>
    </r>
    <r>
      <rPr>
        <sz val="10"/>
        <color rgb="FF000000"/>
        <rFont val="Noto Sans CJK SC"/>
        <family val="2"/>
      </rPr>
      <t xml:space="preserve">（不變）、</t>
    </r>
    <r>
      <rPr>
        <sz val="10"/>
        <color rgb="FF000000"/>
        <rFont val="Arial"/>
        <family val="0"/>
        <charset val="1"/>
      </rPr>
      <t xml:space="preserve">m_fleet 0.781</t>
    </r>
    <r>
      <rPr>
        <sz val="10"/>
        <color rgb="FF000000"/>
        <rFont val="Noto Sans CJK SC"/>
        <family val="2"/>
      </rPr>
      <t xml:space="preserve">（不變）</t>
    </r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</si>
  <si>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廣告列、三分營收列、新列（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）、消費訂閱／商用席次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新列；</t>
    </r>
    <r>
      <rPr>
        <sz val="10"/>
        <color rgb="FF000000"/>
        <rFont val="Arial"/>
        <family val="0"/>
        <charset val="1"/>
      </rPr>
      <t xml:space="preserve">SRC_DEM_072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E343</t>
    </r>
  </si>
  <si>
    <t xml:space="preserve">工作單 v5.35 r0 第 1 節、B1、B3</t>
  </si>
  <si>
    <t xml:space="preserve">X44</t>
  </si>
  <si>
    <r>
      <rPr>
        <sz val="10"/>
        <color rgb="FF000000"/>
        <rFont val="Arial"/>
        <family val="0"/>
        <charset val="1"/>
      </rPr>
      <t xml:space="preserve">X44 J24 v5.34 </t>
    </r>
    <r>
      <rPr>
        <sz val="10"/>
        <color rgb="FF000000"/>
        <rFont val="Noto Sans CJK SC"/>
        <family val="2"/>
      </rPr>
      <t xml:space="preserve">待判斷第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項定案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</si>
  <si>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報告「待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判斷」第 </t>
    </r>
    <r>
      <rPr>
        <sz val="10"/>
        <color rgb="FF000000"/>
        <rFont val="Arial"/>
        <family val="0"/>
        <charset val="1"/>
      </rPr>
      <t xml:space="preserve">4–13 </t>
    </r>
    <r>
      <rPr>
        <sz val="10"/>
        <color rgb="FF000000"/>
        <rFont val="Noto Sans CJK SC"/>
        <family val="2"/>
      </rPr>
      <t xml:space="preserve">項全部照 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所做定案（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端裁定）：</t>
    </r>
    <r>
      <rPr>
        <sz val="10"/>
        <color rgb="FF000000"/>
        <rFont val="Arial"/>
        <family val="0"/>
        <charset val="1"/>
      </rPr>
      <t xml:space="preserve">(1) Cap_In H8 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欄依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方向擺放，</t>
    </r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MSeat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MixFactorAPI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新增顯示用具名範圍 </t>
    </r>
    <r>
      <rPr>
        <sz val="10"/>
        <color rgb="FF000000"/>
        <rFont val="Arial"/>
        <family val="0"/>
        <charset val="1"/>
      </rPr>
      <t xml:space="preserve">B4_Disc_Lo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B4_Disc_Hi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D12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(3) </t>
    </r>
    <r>
      <rPr>
        <sz val="10"/>
        <color rgb="FF000000"/>
        <rFont val="Noto Sans CJK SC"/>
        <family val="2"/>
      </rPr>
      <t xml:space="preserve">折讓因子分母寫 </t>
    </r>
    <r>
      <rPr>
        <sz val="10"/>
        <color rgb="FF000000"/>
        <rFont val="Arial"/>
        <family val="0"/>
        <charset val="1"/>
      </rPr>
      <t xml:space="preserve">(1 − B4_Disc)</t>
    </r>
    <r>
      <rPr>
        <sz val="10"/>
        <color rgb="FF000000"/>
        <rFont val="Noto Sans CJK SC"/>
        <family val="2"/>
      </rPr>
      <t xml:space="preserve">，不寫死常數；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中階牌價指數預留列本單改為連結 </t>
    </r>
    <r>
      <rPr>
        <sz val="10"/>
        <color rgb="FF000000"/>
        <rFont val="Arial"/>
        <family val="0"/>
        <charset val="1"/>
      </rPr>
      <t xml:space="preserve">I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（顯示用，不進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(5) Gov_Map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登錄方案上限四格與 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則數三點（理由欄註明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(6) SRC_DEM_071 </t>
    </r>
    <r>
      <rPr>
        <sz val="10"/>
        <color rgb="FF000000"/>
        <rFont val="Noto Sans CJK SC"/>
        <family val="2"/>
      </rPr>
      <t xml:space="preserve">數值欄取高端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、低欄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(7) L1_MAPI_Anthropic </t>
    </r>
    <r>
      <rPr>
        <sz val="10"/>
        <color rgb="FF000000"/>
        <rFont val="Noto Sans CJK SC"/>
        <family val="2"/>
      </rPr>
      <t xml:space="preserve">外部欄 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 </t>
    </r>
    <r>
      <rPr>
        <sz val="10"/>
        <color rgb="FF000000"/>
        <rFont val="Noto Sans CJK SC"/>
        <family val="2"/>
      </rPr>
      <t xml:space="preserve">放兩口徑（用量計費占營收 </t>
    </r>
    <r>
      <rPr>
        <sz val="10"/>
        <color rgb="FF000000"/>
        <rFont val="Arial"/>
        <family val="0"/>
        <charset val="1"/>
      </rPr>
      <t xml:space="preserve">0.83</t>
    </r>
    <r>
      <rPr>
        <sz val="10"/>
        <color rgb="FF000000"/>
        <rFont val="Noto Sans CJK SC"/>
        <family val="2"/>
      </rPr>
      <t xml:space="preserve">、分潤比 </t>
    </r>
    <r>
      <rPr>
        <sz val="10"/>
        <color rgb="FF000000"/>
        <rFont val="Arial"/>
        <family val="0"/>
        <charset val="1"/>
      </rPr>
      <t xml:space="preserve">0.16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(8) W1 Warnings +2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071 </t>
    </r>
    <r>
      <rPr>
        <sz val="10"/>
        <color rgb="FF000000"/>
        <rFont val="Noto Sans CJK SC"/>
        <family val="2"/>
      </rPr>
      <t xml:space="preserve">利害關係方 </t>
    </r>
    <r>
      <rPr>
        <sz val="10"/>
        <color rgb="FF000000"/>
        <rFont val="Arial"/>
        <family val="0"/>
        <charset val="1"/>
      </rPr>
      <t xml:space="preserve">Active </t>
    </r>
    <r>
      <rPr>
        <sz val="10"/>
        <color rgb="FF000000"/>
        <rFont val="Noto Sans CJK SC"/>
        <family val="2"/>
      </rPr>
      <t xml:space="preserve">無第二來源）接受；</t>
    </r>
    <r>
      <rPr>
        <sz val="10"/>
        <color rgb="FF000000"/>
        <rFont val="Arial"/>
        <family val="0"/>
        <charset val="1"/>
      </rPr>
      <t xml:space="preserve">(9) τ* </t>
    </r>
    <r>
      <rPr>
        <sz val="10"/>
        <color rgb="FF000000"/>
        <rFont val="Noto Sans CJK SC"/>
        <family val="2"/>
      </rPr>
      <t xml:space="preserve">判讀文字以 </t>
    </r>
    <r>
      <rPr>
        <sz val="10"/>
        <color rgb="FF000000"/>
        <rFont val="Arial"/>
        <family val="0"/>
        <charset val="1"/>
      </rPr>
      <t xml:space="preserve">AL_TokPerPrompt_Lo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動態產生；</t>
    </r>
    <r>
      <rPr>
        <sz val="10"/>
        <color rgb="FF000000"/>
        <rFont val="Arial"/>
        <family val="0"/>
        <charset val="1"/>
      </rPr>
      <t xml:space="preserve">(10) </t>
    </r>
    <r>
      <rPr>
        <sz val="10"/>
        <color rgb="FF000000"/>
        <rFont val="Noto Sans CJK SC"/>
        <family val="2"/>
      </rPr>
      <t xml:space="preserve">全簿重算 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秒不列入引擎選型討論（修訂六）</t>
    </r>
  </si>
  <si>
    <r>
      <rPr>
        <sz val="10"/>
        <color rgb="FF000000"/>
        <rFont val="Arial"/>
        <family val="0"/>
        <charset val="1"/>
      </rPr>
      <t xml:space="preserve">Cap_In 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GM620–GM633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SRC_DEM_071</t>
    </r>
    <r>
      <rPr>
        <sz val="10"/>
        <color rgb="FF000000"/>
        <rFont val="Noto Sans CJK SC"/>
        <family val="2"/>
      </rPr>
      <t xml:space="preserve">；本頁</t>
    </r>
  </si>
  <si>
    <t xml:space="preserve">工作單 v5.35 r0 第 1 節</t>
  </si>
  <si>
    <t xml:space="preserve">X45</t>
  </si>
  <si>
    <t xml:space="preserve">v5.36</t>
  </si>
  <si>
    <r>
      <rPr>
        <sz val="10"/>
        <color rgb="FF000000"/>
        <rFont val="Arial"/>
        <family val="0"/>
        <charset val="1"/>
      </rPr>
      <t xml:space="preserve">X45 B1 </t>
    </r>
    <r>
      <rPr>
        <sz val="10"/>
        <color rgb="FF000000"/>
        <rFont val="Noto Sans CJK SC"/>
        <family val="2"/>
      </rPr>
      <t xml:space="preserve">推論支出改用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</t>
    </r>
  </si>
  <si>
    <t xml:space="preserve">支出路線的推論支出由 Microsoft 端 SRC_DEM_018（12.6）改為 OpenAI 端 SRC_DEM_004（8.4；低 7.5＝查核財報營業成本 SRC_DEM_073、高 8.8＝投資人文件調整後毛利率 33% 換算）。理由：OpenAI 端三個來源（查核報表營業成本 75 億、投資人文件毛利率換算 88 億、算力毛利 70% 換算約 78 億）互相一致；Microsoft 端 126 億有一半無法對應到 OpenAI 的營業成本，最可能是研究用推論列在研發。改動：Alloc C61（AL_ServeGWSpend）＝SRC_DEM_004 ÷ Σ（世代占比 × 持有成本）；新增對照列「Microsoft 端 Azure 推論」；Cap_In 第 216 列 2025 欄＝SRC_DEM_004；SRC_DEM_018 維持 Active 為對照列。原話：Andy 2026-10-15 14:19「早上我跟Copilot討論過，我們更傾向84億。但如你所說，請先在追一下一手來源，再來決定」；Andy 2026-10-15 14:25「我找到的基本與你一致。同意你的建議。」</t>
  </si>
  <si>
    <t xml:space="preserve">2026-10-15</t>
  </si>
  <si>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14:19</t>
    </r>
    <r>
      <rPr>
        <sz val="10"/>
        <color rgb="FF000000"/>
        <rFont val="Noto Sans CJK SC"/>
        <family val="2"/>
      </rPr>
      <t xml:space="preserve">「早上我跟</t>
    </r>
    <r>
      <rPr>
        <sz val="10"/>
        <color rgb="FF000000"/>
        <rFont val="Arial"/>
        <family val="0"/>
        <charset val="1"/>
      </rPr>
      <t xml:space="preserve">Copilot</t>
    </r>
    <r>
      <rPr>
        <sz val="10"/>
        <color rgb="FF000000"/>
        <rFont val="Noto Sans CJK SC"/>
        <family val="2"/>
      </rPr>
      <t xml:space="preserve">討論過，我們更傾向</t>
    </r>
    <r>
      <rPr>
        <sz val="10"/>
        <color rgb="FF000000"/>
        <rFont val="Arial"/>
        <family val="0"/>
        <charset val="1"/>
      </rPr>
      <t xml:space="preserve">84</t>
    </r>
    <r>
      <rPr>
        <sz val="10"/>
        <color rgb="FF000000"/>
        <rFont val="Noto Sans CJK SC"/>
        <family val="2"/>
      </rPr>
      <t xml:space="preserve">億。但如你所說，請先在追一下一手來源，再來決定」；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「我找到的基本與你一致。同意你的建議。」（文字，未改字）；可撤回；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端建議，可撤回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</si>
  <si>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</si>
  <si>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 </t>
    </r>
    <r>
      <rPr>
        <sz val="10"/>
        <color rgb="FF000000"/>
        <rFont val="Noto Sans CJK SC"/>
        <family val="2"/>
      </rPr>
      <t xml:space="preserve">等</t>
    </r>
  </si>
  <si>
    <t xml:space="preserve">工作單 v5.36 r0 B1</t>
  </si>
  <si>
    <t xml:space="preserve">X46</t>
  </si>
  <si>
    <r>
      <rPr>
        <sz val="10"/>
        <color rgb="FF000000"/>
        <rFont val="Arial"/>
        <family val="0"/>
        <charset val="1"/>
      </rPr>
      <t xml:space="preserve">X46 B2 </t>
    </r>
    <r>
      <rPr>
        <sz val="10"/>
        <color rgb="FF000000"/>
        <rFont val="Noto Sans CJK SC"/>
        <family val="2"/>
      </rPr>
      <t xml:space="preserve">計價倍數下修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</si>
  <si>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計價倍數基準 </t>
    </r>
    <r>
      <rPr>
        <sz val="10"/>
        <color rgb="FF000000"/>
        <rFont val="Arial"/>
        <family val="0"/>
        <charset val="1"/>
      </rPr>
      <t xml:space="preserve">2.0 → 1.3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1.5–3.0 → 1.0–1.6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）。依據：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出租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伺服器毛利率略低於 </t>
    </r>
    <r>
      <rPr>
        <sz val="10"/>
        <color rgb="FF000000"/>
        <rFont val="Arial"/>
        <family val="0"/>
        <charset val="1"/>
      </rPr>
      <t xml:space="preserve">14%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Oracle </t>
    </r>
    <r>
      <rPr>
        <sz val="10"/>
        <color rgb="FF000000"/>
        <rFont val="Noto Sans CJK SC"/>
        <family val="2"/>
      </rPr>
      <t xml:space="preserve">內部文件；二手）→ 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成本約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，未含資本成本；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計價未找到，高端保留 </t>
    </r>
    <r>
      <rPr>
        <sz val="10"/>
        <color rgb="FF000000"/>
        <rFont val="Arial"/>
        <family val="0"/>
        <charset val="1"/>
      </rPr>
      <t xml:space="preserve">1.6</t>
    </r>
    <r>
      <rPr>
        <sz val="10"/>
        <color rgb="FF000000"/>
        <rFont val="Noto Sans CJK SC"/>
        <family val="2"/>
      </rPr>
      <t xml:space="preserve">。標籤改為「推論支出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持有成本（計價倍數；含供應商利潤與資本回收）」。原話：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</si>
  <si>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</si>
  <si>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工作單 v5.36 r0 B2</t>
  </si>
  <si>
    <r>
      <rPr>
        <sz val="10"/>
        <color rgb="FF000000"/>
        <rFont val="Arial"/>
        <family val="0"/>
        <charset val="1"/>
      </rPr>
      <t xml:space="preserve">X47 B4 κ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B5 </t>
    </r>
    <r>
      <rPr>
        <sz val="10"/>
        <color rgb="FF000000"/>
        <rFont val="Noto Sans CJK SC"/>
        <family val="2"/>
      </rPr>
      <t xml:space="preserve">落差分解改正</t>
    </r>
  </si>
  <si>
    <r>
      <rPr>
        <sz val="10"/>
        <color rgb="FF000000"/>
        <rFont val="Arial"/>
        <family val="0"/>
        <charset val="1"/>
      </rPr>
      <t xml:space="preserve">(1) Alloc_In </t>
    </r>
    <r>
      <rPr>
        <sz val="10"/>
        <color rgb="FF000000"/>
        <rFont val="Noto Sans CJK SC"/>
        <family val="2"/>
      </rPr>
      <t xml:space="preserve">新增請求形狀修正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0.65–1.2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），乘入有效服務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÷ κ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ISL 4K </t>
    </r>
    <r>
      <rPr>
        <sz val="10"/>
        <color rgb="FF000000"/>
        <rFont val="Noto Sans CJK SC"/>
        <family val="2"/>
      </rPr>
      <t xml:space="preserve">讀法移到 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(2) L1_GapPrompt </t>
    </r>
    <r>
      <rPr>
        <sz val="10"/>
        <color rgb="FF000000"/>
        <rFont val="Noto Sans CJK SC"/>
        <family val="2"/>
      </rPr>
      <t xml:space="preserve">改為有效倍數（</t>
    </r>
    <r>
      <rPr>
        <sz val="10"/>
        <color rgb="FF000000"/>
        <rFont val="Arial"/>
        <family val="0"/>
        <charset val="1"/>
      </rPr>
      <t xml:space="preserve">GW(τ) ÷ GW(2,000)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1.3013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 AL_UtilActual</t>
    </r>
    <r>
      <rPr>
        <sz val="10"/>
        <color rgb="FF000000"/>
        <rFont val="Noto Sans CJK SC"/>
        <family val="2"/>
      </rPr>
      <t xml:space="preserve">（不再乘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1.7143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外部欄改對照 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Cap_In J </t>
    </r>
    <r>
      <rPr>
        <sz val="10"/>
        <color rgb="FF000000"/>
        <rFont val="Noto Sans CJK SC"/>
        <family val="2"/>
      </rPr>
      <t xml:space="preserve">節缺口恆等式與驗算差（</t>
    </r>
    <r>
      <rPr>
        <sz val="10"/>
        <color rgb="FF000000"/>
        <rFont val="Arial"/>
        <family val="0"/>
        <charset val="1"/>
      </rPr>
      <t xml:space="preserve">Checks M5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INFO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(4) B6 </t>
    </r>
    <r>
      <rPr>
        <sz val="10"/>
        <color rgb="FF000000"/>
        <rFont val="Noto Sans CJK SC"/>
        <family val="2"/>
      </rPr>
      <t xml:space="preserve">顯示列 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PriceRealDemand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PriceReqBE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PriceRho</t>
    </r>
    <r>
      <rPr>
        <sz val="10"/>
        <color rgb="FF000000"/>
        <rFont val="Noto Sans CJK SC"/>
        <family val="2"/>
      </rPr>
      <t xml:space="preserve">。原話：</t>
    </r>
    <r>
      <rPr>
        <sz val="10"/>
        <color rgb="FF000000"/>
        <rFont val="Arial"/>
        <family val="0"/>
        <charset val="1"/>
      </rPr>
      <t xml:space="preserve">Andy 2026-10-15 07:37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'</t>
    </r>
    <r>
      <rPr>
        <sz val="10"/>
        <color rgb="FF000000"/>
        <rFont val="Noto Sans CJK SC"/>
        <family val="2"/>
      </rPr>
      <t xml:space="preserve">下一版建議：</t>
    </r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處理「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分母閉合」</t>
    </r>
    <r>
      <rPr>
        <sz val="10"/>
        <color rgb="FF000000"/>
        <rFont val="Arial"/>
        <family val="0"/>
        <charset val="1"/>
      </rPr>
      <t xml:space="preserve">':</t>
    </r>
    <r>
      <rPr>
        <sz val="10"/>
        <color rgb="FF000000"/>
        <rFont val="Noto Sans CJK SC"/>
        <family val="2"/>
      </rPr>
      <t xml:space="preserve">同意」；</t>
    </r>
    <r>
      <rPr>
        <sz val="10"/>
        <color rgb="FF000000"/>
        <rFont val="Arial"/>
        <family val="0"/>
        <charset val="1"/>
      </rPr>
      <t xml:space="preserve">Andy 2026-10-15 14:25</t>
    </r>
    <r>
      <rPr>
        <sz val="10"/>
        <color rgb="FF000000"/>
        <rFont val="Noto Sans CJK SC"/>
        <family val="2"/>
      </rPr>
      <t xml:space="preserve">「我找到的基本與你一致。同意你的建議。」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</si>
  <si>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J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L1_Price*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M5</t>
    </r>
  </si>
  <si>
    <t xml:space="preserve">工作單 v5.36 r0 B4、B5、B6</t>
  </si>
  <si>
    <t xml:space="preserve">AF1-D7</t>
  </si>
  <si>
    <t xml:space="preserve">v6.0</t>
  </si>
  <si>
    <t xml:space="preserve">稽核判斷會議 D7：`_Prod`／`_Life` 統一定義</t>
  </si>
  <si>
    <r>
      <rPr>
        <sz val="10"/>
        <color rgb="FF000000"/>
        <rFont val="Arial"/>
        <family val="0"/>
        <charset val="1"/>
      </rPr>
      <t xml:space="preserve">(1) IFW_TokGW_*_Prod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Theory_Rev_Prod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列（生產折減 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後的產出），與營收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同源；同層級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_Prod token</t>
    </r>
    <r>
      <rPr>
        <sz val="10"/>
        <color rgb="FF000000"/>
        <rFont val="Noto Sans CJK SC"/>
        <family val="2"/>
      </rPr>
      <t xml:space="preserve">＝層級單價（</t>
    </r>
    <r>
      <rPr>
        <sz val="10"/>
        <color rgb="FF000000"/>
        <rFont val="Arial"/>
        <family val="0"/>
        <charset val="1"/>
      </rPr>
      <t xml:space="preserve">Checks Z1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1e-9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(2) m </t>
    </r>
    <r>
      <rPr>
        <sz val="10"/>
        <color rgb="FF000000"/>
        <rFont val="Noto Sans CJK SC"/>
        <family val="2"/>
      </rPr>
      <t xml:space="preserve">下限（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列）與前緣單價 </t>
    </r>
    <r>
      <rPr>
        <sz val="10"/>
        <color rgb="FF000000"/>
        <rFont val="Arial"/>
        <family val="0"/>
        <charset val="1"/>
      </rPr>
      <t xml:space="preserve">_Prod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IFW_RevGWFront*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IFW_RevGWFleetFront_Prod</t>
    </r>
    <r>
      <rPr>
        <sz val="10"/>
        <color rgb="FF000000"/>
        <rFont val="Noto Sans CJK SC"/>
        <family val="2"/>
      </rPr>
      <t xml:space="preserve">）改用重解後的付費產能比（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AL_ProdRatioPaid</t>
    </r>
    <r>
      <rPr>
        <sz val="10"/>
        <color rgb="FF000000"/>
        <rFont val="Noto Sans CJK SC"/>
        <family val="2"/>
      </rPr>
      <t xml:space="preserve">），不再用線性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IFW_*_Life </t>
    </r>
    <r>
      <rPr>
        <sz val="10"/>
        <color rgb="FF000000"/>
        <rFont val="Noto Sans CJK SC"/>
        <family val="2"/>
      </rPr>
      <t xml:space="preserve">為唯一定義，</t>
    </r>
    <r>
      <rPr>
        <sz val="10"/>
        <color rgb="FF000000"/>
        <rFont val="Arial"/>
        <family val="0"/>
        <charset val="1"/>
      </rPr>
      <t xml:space="preserve">IF_RevGW_*_Life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 </t>
    </r>
    <r>
      <rPr>
        <sz val="10"/>
        <color rgb="FF000000"/>
        <rFont val="Noto Sans CJK SC"/>
        <family val="2"/>
      </rPr>
      <t xml:space="preserve">改為過渡別名（下一個主版刪除）；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下游契約第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條改寫。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</si>
  <si>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</si>
  <si>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</si>
  <si>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J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IFW_TokGW_*_Prod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IFW_RevGWFront*_Prod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Interface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Theory_Rev 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Alloc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Checks X7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docs/plan/Tokenomics_downstream_contract.md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</si>
  <si>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D7-1–D7-4</t>
  </si>
  <si>
    <t xml:space="preserve">AF1-D8</t>
  </si>
  <si>
    <t xml:space="preserve">稽核判斷會議 D8：「不可達」的語意</t>
  </si>
  <si>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不可達時輸出文字「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不可達」，不輸出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(1) 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秒、每架與每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產出、每 </t>
    </r>
    <r>
      <rPr>
        <sz val="10"/>
        <color rgb="FF000000"/>
        <rFont val="Arial"/>
        <family val="0"/>
        <charset val="1"/>
      </rPr>
      <t xml:space="preserve">M decode GPU </t>
    </r>
    <r>
      <rPr>
        <sz val="10"/>
        <color rgb="FF000000"/>
        <rFont val="Noto Sans CJK SC"/>
        <family val="2"/>
      </rPr>
      <t xml:space="preserve">秒改為文字，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單一層級列隨之；</t>
    </r>
    <r>
      <rPr>
        <sz val="10"/>
        <color rgb="FF000000"/>
        <rFont val="Arial"/>
        <family val="0"/>
        <charset val="1"/>
      </rPr>
      <t xml:space="preserve">(2) Fleet_1GW </t>
    </r>
    <r>
      <rPr>
        <sz val="10"/>
        <color rgb="FF000000"/>
        <rFont val="Noto Sans CJK SC"/>
        <family val="2"/>
      </rPr>
      <t xml:space="preserve">只排除不可達的層級、其餘層級權重依原比例重新正規化（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節列出排除層級與重新正規化前的權重合計），全部層級不可達才整欄文字；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 </t>
    </r>
    <r>
      <rPr>
        <sz val="10"/>
        <color rgb="FF000000"/>
        <rFont val="Noto Sans CJK SC"/>
        <family val="2"/>
      </rPr>
      <t xml:space="preserve">機隊列只計可達層級；</t>
    </r>
    <r>
      <rPr>
        <sz val="10"/>
        <color rgb="FF000000"/>
        <rFont val="Arial"/>
        <family val="0"/>
        <charset val="1"/>
      </rPr>
      <t xml:space="preserve">(3) Training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消費端遇文字讓該列輸出文字，不當作 </t>
    </r>
    <r>
      <rPr>
        <sz val="10"/>
        <color rgb="FF000000"/>
        <rFont val="Arial"/>
        <family val="0"/>
        <charset val="1"/>
      </rPr>
      <t xml:space="preserve">0 GPU </t>
    </r>
    <r>
      <rPr>
        <sz val="10"/>
        <color rgb="FF000000"/>
        <rFont val="Noto Sans CJK SC"/>
        <family val="2"/>
      </rPr>
      <t xml:space="preserve">小時；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的研發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遇文字輸出文字；</t>
    </r>
    <r>
      <rPr>
        <sz val="10"/>
        <color rgb="FF000000"/>
        <rFont val="Arial"/>
        <family val="0"/>
        <charset val="1"/>
      </rPr>
      <t xml:space="preserve">(4) </t>
    </r>
    <r>
      <rPr>
        <sz val="10"/>
        <color rgb="FF000000"/>
        <rFont val="Noto Sans CJK SC"/>
        <family val="2"/>
      </rPr>
      <t xml:space="preserve">契約第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條新增「名稱輸出為文字時，代表不可用」。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）仍未納入可達判斷：基準下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為「否」，納入會改變基準值，列待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</si>
  <si>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已建；「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未納入」部分由第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 </t>
    </r>
    <r>
      <rPr>
        <sz val="10"/>
        <color rgb="FF000000"/>
        <rFont val="Noto Sans CJK SC"/>
        <family val="2"/>
      </rPr>
      <t xml:space="preserve">段（</t>
    </r>
    <r>
      <rPr>
        <sz val="10"/>
        <color rgb="FF000000"/>
        <rFont val="Arial"/>
        <family val="0"/>
        <charset val="1"/>
      </rPr>
      <t xml:space="preserve">AF2-TTFT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v6.2</t>
    </r>
    <r>
      <rPr>
        <sz val="10"/>
        <color rgb="FF000000"/>
        <rFont val="Noto Sans CJK SC"/>
        <family val="2"/>
      </rPr>
      <t xml:space="preserve">）取代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</si>
  <si>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93–99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18–30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Amortize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Theory_Rev 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B–E </t>
    </r>
    <r>
      <rPr>
        <sz val="10"/>
        <color rgb="FF000000"/>
        <rFont val="Noto Sans CJK SC"/>
        <family val="2"/>
      </rPr>
      <t xml:space="preserve">節</t>
    </r>
  </si>
  <si>
    <t xml:space="preserve">工作單 docs/workorders/20261015_稽核修正1.md r0 D8-1–D8-5</t>
  </si>
  <si>
    <t xml:space="preserve">AF1-D11</t>
  </si>
  <si>
    <t xml:space="preserve">稽核判斷會議 D11：回本溢價與攤提的分母</t>
  </si>
  <si>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（回本所需單價溢價）的分母由付費＋免費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改為只計付費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31 </t>
    </r>
    <r>
      <rPr>
        <sz val="10"/>
        <color rgb="FF000000"/>
        <rFont val="Noto Sans CJK SC"/>
        <family val="2"/>
      </rPr>
      <t xml:space="preserve">列；列標籤寫明）；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 </t>
    </r>
    <r>
      <rPr>
        <sz val="10"/>
        <color rgb="FF000000"/>
        <rFont val="Noto Sans CJK SC"/>
        <family val="2"/>
      </rPr>
      <t xml:space="preserve">隨之。快取命中造成的攤提閉合 </t>
    </r>
    <r>
      <rPr>
        <sz val="10"/>
        <color rgb="FF000000"/>
        <rFont val="Arial"/>
        <family val="0"/>
        <charset val="1"/>
      </rPr>
      <t xml:space="preserve">0.82–0.88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G01</t>
    </r>
    <r>
      <rPr>
        <sz val="10"/>
        <color rgb="FF000000"/>
        <rFont val="Noto Sans CJK SC"/>
        <family val="2"/>
      </rPr>
      <t xml:space="preserve">）屬 </t>
    </r>
    <r>
      <rPr>
        <sz val="10"/>
        <color rgb="FF000000"/>
        <rFont val="Arial"/>
        <family val="0"/>
        <charset val="1"/>
      </rPr>
      <t xml:space="preserve">D9</t>
    </r>
    <r>
      <rPr>
        <sz val="10"/>
        <color rgb="FF000000"/>
        <rFont val="Noto Sans CJK SC"/>
        <family val="2"/>
      </rPr>
      <t xml:space="preserve">，本版不處理。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</si>
  <si>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IF_AmortBU_*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IF_FullCostDefault_*</t>
    </r>
  </si>
  <si>
    <t xml:space="preserve">工作單 docs/workorders/20261015_稽核修正1.md r0 D11-1、D11-2</t>
  </si>
  <si>
    <t xml:space="preserve">AF3B-D3</t>
  </si>
  <si>
    <t xml:space="preserve">v6.1</t>
  </si>
  <si>
    <t xml:space="preserve">稽核修正 3B D3：2025 服務世代組合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</si>
  <si>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9–12 </t>
    </r>
    <r>
      <rPr>
        <sz val="10"/>
        <color rgb="FF000000"/>
        <rFont val="Noto Sans CJK SC"/>
        <family val="2"/>
      </rPr>
      <t xml:space="preserve">列低／高改為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全年平均區間：</t>
    </r>
    <r>
      <rPr>
        <sz val="10"/>
        <color rgb="FF000000"/>
        <rFont val="Arial"/>
        <family val="0"/>
        <charset val="1"/>
      </rPr>
      <t xml:space="preserve">Hopper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；基準 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不變；標記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推導）。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年底組合（</t>
    </r>
    <r>
      <rPr>
        <sz val="10"/>
        <color rgb="FF000000"/>
        <rFont val="Arial"/>
        <family val="0"/>
        <charset val="1"/>
      </rPr>
      <t xml:space="preserve">Hopper 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40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23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）作為敏感度，新增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h_alloc_mix_2025ye</t>
    </r>
    <r>
      <rPr>
        <sz val="10"/>
        <color rgb="FF000000"/>
        <rFont val="Noto Sans CJK SC"/>
        <family val="2"/>
      </rPr>
      <t xml:space="preserve">。無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直接揭露。</t>
    </r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</si>
  <si>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稽核判斷會議逐題決定與補充決定（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</t>
    </r>
  </si>
  <si>
    <r>
      <rPr>
        <sz val="10"/>
        <color rgb="FF000000"/>
        <rFont val="Arial"/>
        <family val="0"/>
        <charset val="1"/>
      </rPr>
      <t xml:space="preserve">v6.1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</si>
  <si>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Alloc_In D9:E12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h_alloc_mix_2025ye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列（世代組合敏感度）、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 </t>
    </r>
    <r>
      <rPr>
        <sz val="10"/>
        <color rgb="FF000000"/>
        <rFont val="Noto Sans CJK SC"/>
        <family val="2"/>
      </rPr>
      <t xml:space="preserve">讀取者</t>
    </r>
  </si>
  <si>
    <t xml:space="preserve">工作單 docs/workorders/20261015_稽核修正3B.md r0 第 1 節 D3；第 2 節 D3；docs/reports/20261015_稽核修正3A_查證.md</t>
  </si>
  <si>
    <t xml:space="preserve">AF3B-D6</t>
  </si>
  <si>
    <t xml:space="preserve">稽核修正 3B D6：Hopper η_d 倍數</t>
  </si>
  <si>
    <r>
      <rPr>
        <sz val="10"/>
        <color rgb="FF000000"/>
        <rFont val="Arial"/>
        <family val="0"/>
        <charset val="1"/>
      </rPr>
      <t xml:space="preserve">Calib C67 1.5 → 1.2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0.8–1.6</t>
    </r>
    <r>
      <rPr>
        <sz val="10"/>
        <color rgb="FF000000"/>
        <rFont val="Noto Sans CJK SC"/>
        <family val="2"/>
      </rPr>
      <t xml:space="preserve">，標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（粗略）；</t>
    </r>
    <r>
      <rPr>
        <sz val="10"/>
        <color rgb="FF000000"/>
        <rFont val="Arial"/>
        <family val="0"/>
        <charset val="1"/>
      </rPr>
      <t xml:space="preserve">Gov_Map 345 Analogy → Derived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Calib C68</t>
    </r>
    <r>
      <rPr>
        <sz val="10"/>
        <color rgb="FF000000"/>
        <rFont val="Noto Sans CJK SC"/>
        <family val="2"/>
      </rPr>
      <t xml:space="preserve">（每層延遲倍數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）同為倒推值、與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共同作用，本批不改，列待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</si>
  <si>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J67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GM341</t>
    </r>
    <r>
      <rPr>
        <sz val="10"/>
        <color rgb="FF000000"/>
        <rFont val="Noto Sans CJK SC"/>
        <family val="2"/>
      </rPr>
      <t xml:space="preserve">；所有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產出與下游（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組合下的 </t>
    </r>
    <r>
      <rPr>
        <sz val="10"/>
        <color rgb="FF000000"/>
        <rFont val="Arial"/>
        <family val="0"/>
        <charset val="1"/>
      </rPr>
      <t xml:space="preserve">AL_Blend*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</t>
    </r>
  </si>
  <si>
    <t xml:space="preserve">工作單 docs/workorders/20261015_稽核修正3B.md r0 第 1 節 D6；第 2 節 D6；docs/reports/20261015_稽核修正3A_查證.md</t>
  </si>
  <si>
    <t xml:space="preserve">AF3B-D10</t>
  </si>
  <si>
    <t xml:space="preserve">稽核修正 3B D10：計價倍數（經濟口徑）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</si>
  <si>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 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1.6 → 0.85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1.17</t>
    </r>
    <r>
      <rPr>
        <sz val="10"/>
        <color rgb="FF000000"/>
        <rFont val="Noto Sans CJK SC"/>
        <family val="2"/>
      </rPr>
      <t xml:space="preserve">：經濟口徑 </t>
    </r>
    <r>
      <rPr>
        <sz val="10"/>
        <color rgb="FF000000"/>
        <rFont val="Arial"/>
        <family val="0"/>
        <charset val="1"/>
      </rPr>
      <t xml:space="preserve">1.16</t>
    </r>
    <r>
      <rPr>
        <sz val="10"/>
        <color rgb="FF000000"/>
        <rFont val="Noto Sans CJK SC"/>
        <family val="2"/>
      </rPr>
      <t xml:space="preserve">（價格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會計成本）</t>
    </r>
    <r>
      <rPr>
        <sz val="10"/>
        <color rgb="FF000000"/>
        <rFont val="Arial"/>
        <family val="0"/>
        <charset val="1"/>
      </rPr>
      <t xml:space="preserve">× 0.73</t>
    </r>
    <r>
      <rPr>
        <sz val="10"/>
        <color rgb="FF000000"/>
        <rFont val="Noto Sans CJK SC"/>
        <family val="2"/>
      </rPr>
      <t xml:space="preserve">（會計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經濟持有成本）≈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；分母維持經濟口徑持有成本；小於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表示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計價未涵蓋全部資本成本，這本身是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的實質命題。標記 </t>
    </r>
    <r>
      <rPr>
        <sz val="10"/>
        <color rgb="FF000000"/>
        <rFont val="Arial"/>
        <family val="0"/>
        <charset val="1"/>
      </rPr>
      <t xml:space="preserve">Assumed → Derived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</si>
  <si>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Alloc_In C23:E23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GM596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L1_GapSpendBasis*</t>
    </r>
  </si>
  <si>
    <t xml:space="preserve">工作單 docs/workorders/20261015_稽核修正3B.md r0 第 1 節 D10；第 2 節 D10；docs/reports/20261015_稽核修正3A_查證.md</t>
  </si>
  <si>
    <t xml:space="preserve">AF3B-D13</t>
  </si>
  <si>
    <t xml:space="preserve">稽核修正 3B D13：暫定值與純利用率</t>
  </si>
  <si>
    <r>
      <rPr>
        <sz val="10"/>
        <color rgb="FF000000"/>
        <rFont val="Arial"/>
        <family val="0"/>
        <charset val="1"/>
      </rPr>
      <t xml:space="preserve">(1) Alloc_In C24 </t>
    </r>
    <r>
      <rPr>
        <sz val="10"/>
        <color rgb="FF000000"/>
        <rFont val="Noto Sans CJK SC"/>
        <family val="2"/>
      </rPr>
      <t xml:space="preserve">改為純利用率 </t>
    </r>
    <r>
      <rPr>
        <sz val="10"/>
        <color rgb="FF000000"/>
        <rFont val="Arial"/>
        <family val="0"/>
        <charset val="1"/>
      </rPr>
      <t xml:space="preserve">0.41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0.3–0.65</t>
    </r>
    <r>
      <rPr>
        <sz val="10"/>
        <color rgb="FF000000"/>
        <rFont val="Noto Sans CJK SC"/>
        <family val="2"/>
      </rPr>
      <t xml:space="preserve">；標籤『實際利用率（純；不含生產折減）』），生產折減另由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Serving C28 0.85</t>
    </r>
    <r>
      <rPr>
        <sz val="10"/>
        <color rgb="FF000000"/>
        <rFont val="Noto Sans CJK SC"/>
        <family val="2"/>
      </rPr>
      <t xml:space="preserve">）處理，避免重複計算；</t>
    </r>
    <r>
      <rPr>
        <sz val="10"/>
        <color rgb="FF000000"/>
        <rFont val="Arial"/>
        <family val="0"/>
        <charset val="1"/>
      </rPr>
      <t xml:space="preserve">(2) </t>
    </r>
    <r>
      <rPr>
        <sz val="10"/>
        <color rgb="FF000000"/>
        <rFont val="Noto Sans CJK SC"/>
        <family val="2"/>
      </rPr>
      <t xml:space="preserve">消費公式改乘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列的 </t>
    </r>
    <r>
      <rPr>
        <sz val="10"/>
        <color rgb="FF000000"/>
        <rFont val="Arial"/>
        <family val="0"/>
        <charset val="1"/>
      </rPr>
      <t xml:space="preserve">AL_UtilActual</t>
    </r>
    <r>
      <rPr>
        <sz val="10"/>
        <color rgb="FF000000"/>
        <rFont val="Noto Sans CJK SC"/>
        <family val="2"/>
      </rPr>
      <t xml:space="preserve">（含 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）改為 </t>
    </r>
    <r>
      <rPr>
        <sz val="10"/>
        <color rgb="FF000000"/>
        <rFont val="Arial"/>
        <family val="0"/>
        <charset val="1"/>
      </rPr>
      <t xml:space="preserve">(AL_UtilActual*CTL_ProdDerate)</t>
    </r>
    <r>
      <rPr>
        <sz val="10"/>
        <color rgb="FF000000"/>
        <rFont val="Noto Sans CJK SC"/>
        <family val="2"/>
      </rPr>
      <t xml:space="preserve">，基準 </t>
    </r>
    <r>
      <rPr>
        <sz val="10"/>
        <color rgb="FF000000"/>
        <rFont val="Arial"/>
        <family val="0"/>
        <charset val="1"/>
      </rPr>
      <t xml:space="preserve">0.35 → 0.3485</t>
    </r>
    <r>
      <rPr>
        <sz val="10"/>
        <color rgb="FF000000"/>
        <rFont val="Noto Sans CJK SC"/>
        <family val="2"/>
      </rPr>
      <t xml:space="preserve">（−</t>
    </r>
    <r>
      <rPr>
        <sz val="10"/>
        <color rgb="FF000000"/>
        <rFont val="Arial"/>
        <family val="0"/>
        <charset val="1"/>
      </rPr>
      <t xml:space="preserve">0.43%</t>
    </r>
    <r>
      <rPr>
        <sz val="10"/>
        <color rgb="FF000000"/>
        <rFont val="Noto Sans CJK SC"/>
        <family val="2"/>
      </rPr>
      <t xml:space="preserve">）、區間 </t>
    </r>
    <r>
      <rPr>
        <sz val="10"/>
        <color rgb="FF000000"/>
        <rFont val="Arial"/>
        <family val="0"/>
        <charset val="1"/>
      </rPr>
      <t xml:space="preserve">0.3–0.4 → 0.255–0.553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(3) Serving C17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0.4–0.8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C18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；基準在端點）、</t>
    </r>
    <r>
      <rPr>
        <sz val="10"/>
        <color rgb="FF000000"/>
        <rFont val="Arial"/>
        <family val="0"/>
        <charset val="1"/>
      </rPr>
      <t xml:space="preserve">C28 0.85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0.7–1.0</t>
    </r>
    <r>
      <rPr>
        <sz val="10"/>
        <color rgb="FF000000"/>
        <rFont val="Noto Sans CJK SC"/>
        <family val="2"/>
      </rPr>
      <t xml:space="preserve">）數值不變，標記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，區間登錄 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；全部『暫定、待證據』。原 </t>
    </r>
    <r>
      <rPr>
        <sz val="10"/>
        <color rgb="FF000000"/>
        <rFont val="Arial"/>
        <family val="0"/>
        <charset val="1"/>
      </rPr>
      <t xml:space="preserve">X14m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0.35 </t>
    </r>
    <r>
      <rPr>
        <sz val="10"/>
        <color rgb="FF000000"/>
        <rFont val="Noto Sans CJK SC"/>
        <family val="2"/>
      </rPr>
      <t xml:space="preserve">的決定由本決策取代（保留不刪）。</t>
    </r>
    <r>
      <rPr>
        <sz val="10"/>
        <color rgb="FF000000"/>
        <rFont val="Arial"/>
        <family val="0"/>
        <charset val="1"/>
      </rPr>
      <t xml:space="preserve">L1_GapUtil </t>
    </r>
    <r>
      <rPr>
        <sz val="10"/>
        <color rgb="FF000000"/>
        <rFont val="Noto Sans CJK SC"/>
        <family val="2"/>
      </rPr>
      <t xml:space="preserve">的定義改寫留第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批。</t>
    </r>
  </si>
  <si>
    <r>
      <rPr>
        <sz val="10"/>
        <color rgb="FF000000"/>
        <rFont val="Arial"/>
        <family val="0"/>
        <charset val="1"/>
      </rPr>
      <t xml:space="preserve">Alloc_In C24:E24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Serving C17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GM237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GM599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L1_GapUtil*</t>
    </r>
  </si>
  <si>
    <t xml:space="preserve">工作單 docs/workorders/20261015_稽核修正3B.md r0 第 1 節 D13；第 2 節 D13-1／D13-2／D13-3；docs/reports/20261015_稽核修正3A_查證.md</t>
  </si>
  <si>
    <t xml:space="preserve">稽核修正 3B Q3：RL 與 harness 輪數區間</t>
  </si>
  <si>
    <t xml:space="preserve">只登錄區間，基準不變（讀法 R1）：Train_In C34／D34／E34 以 RL ÷ 預訓練 0.1–0.3（Astra 0.1–2）換算為 token 區間 0.79–2.36T／0.96–19.2T；基準在區間上端（Luna／Sol）；Har_In 敏感度區間 C61／D61 0.5／1 → 0.7／1.7，E12:G12 基準 0.7 不變（區間下端）。是否改採 R2（基準移到中點）由 Andy 決定。</t>
  </si>
  <si>
    <r>
      <rPr>
        <sz val="10"/>
        <color rgb="FF000000"/>
        <rFont val="Arial"/>
        <family val="0"/>
        <charset val="1"/>
      </rPr>
      <t xml:space="preserve">Train_In C34:E34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Har_In C61:D61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Sens_Har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</si>
  <si>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docs/workorders/20261015_稽核修正3B.md r0 第 1 節 Q3；第 2 節 Q3；docs/reports/20261015_稽核修正3A_查證.md</t>
  </si>
  <si>
    <t xml:space="preserve">AF3B-Q6</t>
  </si>
  <si>
    <t xml:space="preserve">稽核修正 3B Q6：Hopper 設施與價格（稽核 Y4、Y7）</t>
  </si>
  <si>
    <r>
      <rPr>
        <sz val="10"/>
        <color rgb="FF000000"/>
        <rFont val="Arial"/>
        <family val="0"/>
        <charset val="1"/>
      </rPr>
      <t xml:space="preserve">Y7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Spec_Rack C11:C13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）數值不變，</t>
    </r>
    <r>
      <rPr>
        <sz val="10"/>
        <color rgb="FF000000"/>
        <rFont val="Arial"/>
        <family val="0"/>
        <charset val="1"/>
      </rPr>
      <t xml:space="preserve">C16 </t>
    </r>
    <r>
      <rPr>
        <sz val="10"/>
        <color rgb="FF000000"/>
        <rFont val="Noto Sans CJK SC"/>
        <family val="2"/>
      </rPr>
      <t xml:space="preserve">說明改為部署當時價證據（原 </t>
    </r>
    <r>
      <rPr>
        <sz val="10"/>
        <color rgb="FF000000"/>
        <rFont val="Arial"/>
        <family val="0"/>
        <charset val="1"/>
      </rPr>
      <t xml:space="preserve">S2 clusterbid 2026 </t>
    </r>
    <r>
      <rPr>
        <sz val="10"/>
        <color rgb="FF000000"/>
        <rFont val="Noto Sans CJK SC"/>
        <family val="2"/>
      </rPr>
      <t xml:space="preserve">報價降為對照）；超大規模業者實付價已搜尋未找到。</t>
    </r>
    <r>
      <rPr>
        <sz val="10"/>
        <color rgb="FF000000"/>
        <rFont val="Arial"/>
        <family val="0"/>
        <charset val="1"/>
      </rPr>
      <t xml:space="preserve">Y4</t>
    </r>
    <r>
      <rPr>
        <sz val="10"/>
        <color rgb="FF000000"/>
        <rFont val="Noto Sans CJK SC"/>
        <family val="2"/>
      </rPr>
      <t xml:space="preserve">：不新增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專屬參數，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 </t>
    </r>
    <r>
      <rPr>
        <sz val="10"/>
        <color rgb="FF000000"/>
        <rFont val="Noto Sans CJK SC"/>
        <family val="2"/>
      </rPr>
      <t xml:space="preserve">補說明（影響 </t>
    </r>
    <r>
      <rPr>
        <sz val="10"/>
        <color rgb="FF000000"/>
        <rFont val="Arial"/>
        <family val="0"/>
        <charset val="1"/>
      </rPr>
      <t xml:space="preserve">m_fleet ≤ ±1.3%</t>
    </r>
    <r>
      <rPr>
        <sz val="10"/>
        <color rgb="FF000000"/>
        <rFont val="Noto Sans CJK SC"/>
        <family val="2"/>
      </rPr>
      <t xml:space="preserve">），數值不改。</t>
    </r>
    <r>
      <rPr>
        <sz val="10"/>
        <color rgb="FF000000"/>
        <rFont val="Arial"/>
        <family val="0"/>
        <charset val="1"/>
      </rPr>
      <t xml:space="preserve">SRC_HW </t>
    </r>
    <r>
      <rPr>
        <sz val="10"/>
        <color rgb="FF000000"/>
        <rFont val="Noto Sans CJK SC"/>
        <family val="2"/>
      </rPr>
      <t xml:space="preserve">未新增（待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</t>
    </r>
  </si>
  <si>
    <r>
      <rPr>
        <sz val="10"/>
        <color rgb="FF000000"/>
        <rFont val="Arial"/>
        <family val="0"/>
        <charset val="1"/>
      </rPr>
      <t xml:space="preserve">Spec_Rack C16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Inputs H9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H19</t>
    </r>
  </si>
  <si>
    <t xml:space="preserve">工作單 docs/workorders/20261015_稽核修正3B.md r0 第 1 節 Q6；第 2 節 Q6；docs/reports/20261015_稽核修正3A_查證.md</t>
  </si>
  <si>
    <t xml:space="preserve">v6.2</t>
  </si>
  <si>
    <t xml:space="preserve">稽核修正第 2 批 2-1：D1(c) 模型規模倍數（啟用參數倍數，情境）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</si>
  <si>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新增三列（基準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／低 </t>
    </r>
    <r>
      <rPr>
        <sz val="10"/>
        <color rgb="FF000000"/>
        <rFont val="Arial"/>
        <family val="0"/>
        <charset val="1"/>
      </rPr>
      <t xml:space="preserve">0.1,0.3,1,1</t>
    </r>
    <r>
      <rPr>
        <sz val="10"/>
        <color rgb="FF000000"/>
        <rFont val="Noto Sans CJK SC"/>
        <family val="2"/>
      </rPr>
      <t xml:space="preserve">／高 </t>
    </r>
    <r>
      <rPr>
        <sz val="10"/>
        <color rgb="FF000000"/>
        <rFont val="Arial"/>
        <family val="0"/>
        <charset val="1"/>
      </rPr>
      <t xml:space="preserve">0.5,1.0,1,4.4</t>
    </r>
    <r>
      <rPr>
        <sz val="10"/>
        <color rgb="FF000000"/>
        <rFont val="Noto Sans CJK SC"/>
        <family val="2"/>
      </rPr>
      <t xml:space="preserve">；具名範圍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）。倍數乘入 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Calib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30 </t>
    </r>
    <r>
      <rPr>
        <sz val="10"/>
        <color rgb="FF000000"/>
        <rFont val="Noto Sans CJK SC"/>
        <family val="2"/>
      </rPr>
      <t xml:space="preserve">列不乘（校準固定讀 </t>
    </r>
    <r>
      <rPr>
        <sz val="10"/>
        <color rgb="FF000000"/>
        <rFont val="Arial"/>
        <family val="0"/>
        <charset val="1"/>
      </rPr>
      <t xml:space="preserve">Arch!$D$7</t>
    </r>
    <r>
      <rPr>
        <sz val="10"/>
        <color rgb="FF000000"/>
        <rFont val="Noto Sans CJK SC"/>
        <family val="2"/>
      </rPr>
      <t xml:space="preserve">）。基準一律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，基準輸出不變；新增 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[0.25,0.5,1.0,2.5]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預設）。兩種讀法：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（預設）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R-b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倍數＝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、其餘依比例前移。只放大參數（每 </t>
    </r>
    <r>
      <rPr>
        <sz val="10"/>
        <color rgb="FF000000"/>
        <rFont val="Arial"/>
        <family val="0"/>
        <charset val="1"/>
      </rPr>
      <t xml:space="preserve">token FLOPs</t>
    </r>
    <r>
      <rPr>
        <sz val="10"/>
        <color rgb="FF000000"/>
        <rFont val="Noto Sans CJK SC"/>
        <family val="2"/>
      </rPr>
      <t xml:space="preserve">、權重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），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與層數不變，因此是模型變大效果的下限。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各世代區塊標題與 </t>
    </r>
    <r>
      <rPr>
        <sz val="10"/>
        <color rgb="FF000000"/>
        <rFont val="Arial"/>
        <family val="0"/>
        <charset val="1"/>
      </rPr>
      <t xml:space="preserve">L1_TokMW_Gen_ratio_* </t>
    </r>
    <r>
      <rPr>
        <sz val="10"/>
        <color rgb="FF000000"/>
        <rFont val="Noto Sans CJK SC"/>
        <family val="2"/>
      </rPr>
      <t xml:space="preserve">說明加註『固定模型口徑』。｜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）：依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修訂。情境 </t>
    </r>
    <r>
      <rPr>
        <sz val="10"/>
        <color rgb="FF000000"/>
        <rFont val="Arial"/>
        <family val="0"/>
        <charset val="1"/>
      </rPr>
      <t xml:space="preserve">d1_model_scale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1.4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）；區間 </t>
    </r>
    <r>
      <rPr>
        <sz val="10"/>
        <color rgb="FF000000"/>
        <rFont val="Arial"/>
        <family val="0"/>
        <charset val="1"/>
      </rPr>
      <t xml:space="preserve">Lo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 </t>
    </r>
    <r>
      <rPr>
        <sz val="10"/>
        <color rgb="FF000000"/>
        <rFont val="Noto Sans CJK SC"/>
        <family val="2"/>
      </rPr>
      <t xml:space="preserve">方向與證據相反（</t>
    </r>
    <r>
      <rPr>
        <sz val="10"/>
        <color rgb="FF000000"/>
        <rFont val="Arial"/>
        <family val="0"/>
        <charset val="1"/>
      </rPr>
      <t xml:space="preserve">GPT-4 </t>
    </r>
    <r>
      <rPr>
        <sz val="10"/>
        <color rgb="FF000000"/>
        <rFont val="Noto Sans CJK SC"/>
        <family val="2"/>
      </rPr>
      <t xml:space="preserve">啟用參數大於 </t>
    </r>
    <r>
      <rPr>
        <sz val="10"/>
        <color rgb="FF000000"/>
        <rFont val="Arial"/>
        <family val="0"/>
        <charset val="1"/>
      </rPr>
      <t xml:space="preserve">Astra 180B</t>
    </r>
    <r>
      <rPr>
        <sz val="10"/>
        <color rgb="FF000000"/>
        <rFont val="Noto Sans CJK SC"/>
        <family val="2"/>
      </rPr>
      <t xml:space="preserve">）。暫不分層級。</t>
    </r>
  </si>
  <si>
    <t xml:space="preserve">2026-10-16</t>
  </si>
  <si>
    <r>
      <rPr>
        <sz val="10"/>
        <color rgb="FF000000"/>
        <rFont val="Arial"/>
        <family val="0"/>
        <charset val="1"/>
      </rPr>
      <t xml:space="preserve">Andy 2026-10-15 </t>
    </r>
    <r>
      <rPr>
        <sz val="10"/>
        <color rgb="FF000000"/>
        <rFont val="Noto Sans CJK SC"/>
        <family val="2"/>
      </rPr>
      <t xml:space="preserve">稽核判斷會議決定 </t>
    </r>
    <r>
      <rPr>
        <sz val="10"/>
        <color rgb="FF000000"/>
        <rFont val="Arial"/>
        <family val="0"/>
        <charset val="1"/>
      </rPr>
      <t xml:space="preserve">D1(c)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稽核判斷會議</t>
    </r>
    <r>
      <rPr>
        <sz val="10"/>
        <color rgb="FF000000"/>
        <rFont val="Arial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決定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情境值為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確認</t>
    </r>
  </si>
  <si>
    <r>
      <rPr>
        <sz val="10"/>
        <color rgb="FF000000"/>
        <rFont val="Arial"/>
        <family val="0"/>
        <charset val="1"/>
      </rPr>
      <t xml:space="preserve">v6.2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</si>
  <si>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33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Training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Sens_Train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Gov_Map</t>
    </r>
    <r>
      <rPr>
        <sz val="10"/>
        <color rgb="FF000000"/>
        <rFont val="Noto Sans CJK SC"/>
        <family val="2"/>
      </rPr>
      <t xml:space="preserve">（新增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列）；</t>
    </r>
    <r>
      <rPr>
        <sz val="10"/>
        <color rgb="FF000000"/>
        <rFont val="Arial"/>
        <family val="0"/>
        <charset val="1"/>
      </rPr>
      <t xml:space="preserve">Interface 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節標題；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58–60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tests/parity/scenarios.yaml d1_model_scale</t>
    </r>
  </si>
  <si>
    <t xml:space="preserve">工作單 docs/workorders/20261016_稽核修正2.md r0 第 1 節 J1；第 2 節 2-1-a</t>
  </si>
  <si>
    <t xml:space="preserve">AF2-TTFT</t>
  </si>
  <si>
    <t xml:space="preserve">稽核修正第 2 批 2-1：TTFT 納入可達判斷（取代 AF1-D8 的『TTFT 未納入』）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</si>
  <si>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的『每請求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秒』（第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列）與『綁定約束』（第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列）讀第 </t>
    </r>
    <r>
      <rPr>
        <sz val="10"/>
        <color rgb="FF000000"/>
        <rFont val="Arial"/>
        <family val="0"/>
        <charset val="1"/>
      </rPr>
      <t xml:space="preserve">77 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不為『是』時輸出文字旗標『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不可達』，不輸出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）。判斷順序：先判 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 ≤ 0 </t>
    </r>
    <r>
      <rPr>
        <sz val="10"/>
        <color rgb="FF000000"/>
        <rFont val="Noto Sans CJK SC"/>
        <family val="2"/>
      </rPr>
      <t xml:space="preserve">或每 </t>
    </r>
    <r>
      <rPr>
        <sz val="10"/>
        <color rgb="FF000000"/>
        <rFont val="Arial"/>
        <family val="0"/>
        <charset val="1"/>
      </rPr>
      <t xml:space="preserve">GPU decode token ≤ 0 → 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不可達』），再判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（→『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不可達』）；兩者皆不符時顯示『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不可達』。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鏡像同步。</t>
    </r>
    <r>
      <rPr>
        <sz val="10"/>
        <color rgb="FF000000"/>
        <rFont val="Arial"/>
        <family val="0"/>
        <charset val="1"/>
      </rPr>
      <t xml:space="preserve">Checks B27 </t>
    </r>
    <r>
      <rPr>
        <sz val="10"/>
        <color rgb="FF000000"/>
        <rFont val="Noto Sans CJK SC"/>
        <family val="2"/>
      </rPr>
      <t xml:space="preserve">同時計兩種旗標。基準下變動：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＝否）的每請求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秒與 </t>
    </r>
    <r>
      <rPr>
        <sz val="10"/>
        <color rgb="FF000000"/>
        <rFont val="Arial"/>
        <family val="0"/>
        <charset val="1"/>
      </rPr>
      <t xml:space="preserve">IF_TokGW_Astra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）由數值變為文字旗標；其餘層級與世代不變。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</si>
  <si>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列及其下游（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Theory_Rev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Checks B27</t>
    </r>
  </si>
  <si>
    <t xml:space="preserve">工作單 docs/workorders/20261016_稽核修正2.md r0 決定紀錄第 4 節；第 2 節 2-1-b</t>
  </si>
  <si>
    <t xml:space="preserve">AF2-ALLOC</t>
  </si>
  <si>
    <t xml:space="preserve">稽核修正第 2 批 2-1：Alloc 排除不可達層級後重新正規化</t>
  </si>
  <si>
    <t xml:space="preserve">每世代 AL_TokGW_g ＝ IF_Util ÷ Σ_{t 可達}（w_t ÷ Σ_{t 可達} w_t ÷ IF_TokGW_{g,t}），層級權重 B4_Mix 只在可達層級間重新正規化（比照 Fleet_1GW）；某世代全部層級不可達則該世代輸出文字旗標，跨世代 AL_Mix* 在其餘世代間重新正規化。新增顯示列『未服務需求占比』（每世代被排除層級的權重合計；基準 Hopper＝Astra 的權重）。AL_BlendPaid／AL_BlendFree、Cap_In H10 `_CAP` 與 Alloc G、H 節照此重算。取代 v6.0 『組合內任一層級不可達 → 整欄文字』。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</si>
  <si>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</si>
  <si>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r0 第 2 節 2-1-c</t>
  </si>
  <si>
    <t xml:space="preserve">AF2b-K1</t>
  </si>
  <si>
    <t xml:space="preserve">v6.3</t>
  </si>
  <si>
    <t xml:space="preserve">稽核修正第 2 批 2-1b：機隊口徑單價與可達層級同口徑（價格端）</t>
  </si>
  <si>
    <t xml:space="preserve">與 Alloc 世代混合 token（機隊付費 token）配對的混合單價，層級權重同樣只在可達層級間重新正規化：Alloc 新增 I 節（AL_PriceGen 各世代單價、AL_PriceFleet 機隊單價＝Σ 世代占比 × 付費產能 × 世代單價 ÷ Σ 世代占比 × 付費產能），Cap_In H7（m_fleet、對照 m、m 下限、『必須為真』三列）讀 AL_PriceFleet，H10 m_fleet 讀 Cap_In K 節 B4_PriceFleet（2026 各欄以該欄世代組合），L1_PriceRealFleet、L1_PriceReqBE 讀 AL_PriceFleet。需求路線（模型 token AL_DPaid）仍用完整層級組合（Cap_In 第 90 列）。理由：D9 單價與 token 同口徑；同一個 m 的分子分母不可用兩組層級。世代間以付費 token 占比加權為本段的實作選擇（工作單只寫『比照 2-1-c』），見報告待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</si>
  <si>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K1–K3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『不可達＝不可用』與 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『價格與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同口徑』；</t>
    </r>
    <r>
      <rPr>
        <sz val="10"/>
        <color rgb="FF000000"/>
        <rFont val="Arial"/>
        <family val="0"/>
        <charset val="1"/>
      </rPr>
      <t xml:space="preserve">J1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），可撤回；</t>
    </r>
    <r>
      <rPr>
        <sz val="10"/>
        <color rgb="FF000000"/>
        <rFont val="Arial"/>
        <family val="0"/>
        <charset val="1"/>
      </rPr>
      <t xml:space="preserve">docs/reports/20261016_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2Q_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</si>
  <si>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</si>
  <si>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Alloc I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119–125 </t>
    </r>
    <r>
      <rPr>
        <sz val="10"/>
        <color rgb="FF000000"/>
        <rFont val="Noto Sans CJK SC"/>
        <family val="2"/>
      </rPr>
      <t xml:space="preserve">列、</t>
    </r>
    <r>
      <rPr>
        <sz val="10"/>
        <color rgb="FF000000"/>
        <rFont val="Arial"/>
        <family val="0"/>
        <charset val="1"/>
      </rPr>
      <t xml:space="preserve">H10 m_fleet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</si>
  <si>
    <t xml:space="preserve">工作單 docs/workorders/20261016_稽核修正2.md r1 第 2b 節 第 2b 節 K1</t>
  </si>
  <si>
    <t xml:space="preserve">AF2b-K2</t>
  </si>
  <si>
    <t xml:space="preserve">稽核修正第 2 批 2-1b：整代不可達時不轉移世代權重</t>
  </si>
  <si>
    <t xml:space="preserve">撤回 v6.2 2-1-c 第二點：世代組合是觀察到的機隊事實，任一世代占比 &gt; 0 且整代（三個層級）不可達時，不排除該世代、不把占比轉給其餘世代；AL_BlendPaid／Free、AL_ServeGW、AL_Q1／Q2、AL_ImpliedRDGW 等輸出文字旗標『整代不可達』，不出現數值或負值（Alloc G 表、H 節、Cap_In H10 世代混合同步）。層級層次的排除（K1、2-1-c 第一點）不變。AL_UnservedGen 保留顯示占比。基準不變（Hopper 的 Luna、Sol 可達）。</t>
  </si>
  <si>
    <r>
      <rPr>
        <sz val="10"/>
        <color rgb="FF000000"/>
        <rFont val="Arial"/>
        <family val="0"/>
        <charset val="1"/>
      </rPr>
      <t xml:space="preserve">Alloc 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世代混合列；</t>
    </r>
    <r>
      <rPr>
        <sz val="10"/>
        <color rgb="FF000000"/>
        <rFont val="Arial"/>
        <family val="0"/>
        <charset val="1"/>
      </rPr>
      <t xml:space="preserve">AL_ServeGW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Tech_Registry T07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T09 </t>
    </r>
    <r>
      <rPr>
        <sz val="10"/>
        <color rgb="FF000000"/>
        <rFont val="Noto Sans CJK SC"/>
        <family val="2"/>
      </rPr>
      <t xml:space="preserve">情境）</t>
    </r>
  </si>
  <si>
    <t xml:space="preserve">工作單 docs/workorders/20261016_稽核修正2.md r1 第 2b 節 第 2b 節 K2</t>
  </si>
  <si>
    <t xml:space="preserve">AF2b-K3</t>
  </si>
  <si>
    <t xml:space="preserve">稽核修正第 2 批 2-1b：TTFT 不可達的 decode 成本列也輸出文字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</si>
  <si>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『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（每 </t>
    </r>
    <r>
      <rPr>
        <sz val="10"/>
        <color rgb="FF000000"/>
        <rFont val="Arial"/>
        <family val="0"/>
        <charset val="1"/>
      </rPr>
      <t xml:space="preserve">M GPU </t>
    </r>
    <r>
      <rPr>
        <sz val="10"/>
        <color rgb="FF000000"/>
        <rFont val="Noto Sans CJK SC"/>
        <family val="2"/>
      </rPr>
      <t xml:space="preserve">秒）』列（原第 </t>
    </r>
    <r>
      <rPr>
        <sz val="10"/>
        <color rgb="FF000000"/>
        <rFont val="Arial"/>
        <family val="0"/>
        <charset val="1"/>
      </rPr>
      <t xml:space="preserve">103 </t>
    </r>
    <r>
      <rPr>
        <sz val="10"/>
        <color rgb="FF000000"/>
        <rFont val="Noto Sans CJK SC"/>
        <family val="2"/>
      </rPr>
      <t xml:space="preserve">列）與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鏡像：該欄 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符合上限為『否』時輸出文字旗標『</t>
    </r>
    <r>
      <rPr>
        <sz val="10"/>
        <color rgb="FF000000"/>
        <rFont val="Arial"/>
        <family val="0"/>
        <charset val="1"/>
      </rPr>
      <t xml:space="preserve">TTFT </t>
    </r>
    <r>
      <rPr>
        <sz val="10"/>
        <color rgb="FF000000"/>
        <rFont val="Noto Sans CJK SC"/>
        <family val="2"/>
      </rPr>
      <t xml:space="preserve">不可達』（先判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是否可達→『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不可達』，再判 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）；讀該列的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成本名稱隨之變文字（</t>
    </r>
    <r>
      <rPr>
        <sz val="10"/>
        <color rgb="FF000000"/>
        <rFont val="Arial"/>
        <family val="0"/>
        <charset val="1"/>
      </rPr>
      <t xml:space="preserve">D8</t>
    </r>
    <r>
      <rPr>
        <sz val="10"/>
        <color rgb="FF000000"/>
        <rFont val="Noto Sans CJK SC"/>
        <family val="2"/>
      </rPr>
      <t xml:space="preserve">）。基準下只有 </t>
    </r>
    <r>
      <rPr>
        <sz val="10"/>
        <color rgb="FF000000"/>
        <rFont val="Arial"/>
        <family val="0"/>
        <charset val="1"/>
      </rPr>
      <t xml:space="preserve">Hopper × Astra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</si>
  <si>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及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GPU </t>
    </r>
    <r>
      <rPr>
        <sz val="10"/>
        <color rgb="FF000000"/>
        <rFont val="Noto Sans CJK SC"/>
        <family val="2"/>
      </rPr>
      <t xml:space="preserve">秒列；</t>
    </r>
    <r>
      <rPr>
        <sz val="10"/>
        <color rgb="FF000000"/>
        <rFont val="Arial"/>
        <family val="0"/>
        <charset val="1"/>
      </rPr>
      <t xml:space="preserve">Unit_Cost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成本名稱</t>
    </r>
  </si>
  <si>
    <t xml:space="preserve">工作單 docs/workorders/20261016_稽核修正2.md r1 第 2b 節 第 2b 節 K3</t>
  </si>
  <si>
    <t xml:space="preserve">v7.0</t>
  </si>
  <si>
    <t xml:space="preserve">稽核修正第 2 批 2-2：世代價格 B 段：門檻表達、情境標籤、g 不拆（Q1／Q2／Q3／Q6／g_gen）</t>
  </si>
  <si>
    <r>
      <rPr>
        <sz val="10"/>
        <color rgb="FF000000"/>
        <rFont val="Arial"/>
        <family val="0"/>
        <charset val="1"/>
      </rPr>
      <t xml:space="preserve">Q1</t>
    </r>
    <r>
      <rPr>
        <sz val="10"/>
        <color rgb="FF000000"/>
        <rFont val="Noto Sans CJK SC"/>
        <family val="2"/>
      </rPr>
      <t xml:space="preserve">：契約第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節『中性 </t>
    </r>
    <r>
      <rPr>
        <sz val="10"/>
        <color rgb="FF000000"/>
        <rFont val="Arial"/>
        <family val="0"/>
        <charset val="1"/>
      </rPr>
      <t xml:space="preserve">q × p ≈ 1</t>
    </r>
    <r>
      <rPr>
        <sz val="10"/>
        <color rgb="FF000000"/>
        <rFont val="Noto Sans CJK SC"/>
        <family val="2"/>
      </rPr>
      <t xml:space="preserve">』改為情境標籤『持平情境』，不再是基準；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：壽命內衰減（現行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，用於 </t>
    </r>
    <r>
      <rPr>
        <sz val="10"/>
        <color rgb="FF000000"/>
        <rFont val="Arial"/>
        <family val="0"/>
        <charset val="1"/>
      </rPr>
      <t xml:space="preserve">L_price</t>
    </r>
    <r>
      <rPr>
        <sz val="10"/>
        <color rgb="FF000000"/>
        <rFont val="Noto Sans CJK SC"/>
        <family val="2"/>
      </rPr>
      <t xml:space="preserve">）與世代間價格變化分開，本段不改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的數值與區間，僅在 </t>
    </r>
    <r>
      <rPr>
        <sz val="10"/>
        <color rgb="FF000000"/>
        <rFont val="Arial"/>
        <family val="0"/>
        <charset val="1"/>
      </rPr>
      <t xml:space="preserve">Decisions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Cap_In I-1 </t>
    </r>
    <r>
      <rPr>
        <sz val="10"/>
        <color rgb="FF000000"/>
        <rFont val="Noto Sans CJK SC"/>
        <family val="2"/>
      </rPr>
      <t xml:space="preserve">說明欄註明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的現有依據（</t>
    </r>
    <r>
      <rPr>
        <sz val="10"/>
        <color rgb="FF000000"/>
        <rFont val="Arial"/>
        <family val="0"/>
        <charset val="1"/>
      </rPr>
      <t xml:space="preserve">E338–E341</t>
    </r>
    <r>
      <rPr>
        <sz val="10"/>
        <color rgb="FF000000"/>
        <rFont val="Noto Sans CJK SC"/>
        <family val="2"/>
      </rPr>
      <t xml:space="preserve">）是換代價格比較；</t>
    </r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：『每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簽約收入』的價格口徑＝算力租賃價（隨需／預留／長約分開），層級牌價作對照，同等能力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價格只作下限情境；</t>
    </r>
    <r>
      <rPr>
        <sz val="10"/>
        <color rgb="FF000000"/>
        <rFont val="Arial"/>
        <family val="0"/>
        <charset val="1"/>
      </rPr>
      <t xml:space="preserve">g_gen </t>
    </r>
    <r>
      <rPr>
        <sz val="10"/>
        <color rgb="FF000000"/>
        <rFont val="Noto Sans CJK SC"/>
        <family val="2"/>
      </rPr>
      <t xml:space="preserve">不設，改輸出門檻；</t>
    </r>
    <r>
      <rPr>
        <sz val="10"/>
        <color rgb="FF000000"/>
        <rFont val="Arial"/>
        <family val="0"/>
        <charset val="1"/>
      </rPr>
      <t xml:space="preserve">Q6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只新增門檻列 </t>
    </r>
    <r>
      <rPr>
        <sz val="10"/>
        <color rgb="FF000000"/>
        <rFont val="Arial"/>
        <family val="0"/>
        <charset val="1"/>
      </rPr>
      <t xml:space="preserve">L1_GenPxThr_Rev_*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_Pay_*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，基準／低／高），不新增含價格的每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收入指數。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CAP_GenGap_*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單一樣本）。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欄為兩個端點（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低端、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高端＋</t>
    </r>
    <r>
      <rPr>
        <sz val="10"/>
        <color rgb="FF000000"/>
        <rFont val="Arial"/>
        <family val="0"/>
        <charset val="1"/>
      </rPr>
      <t xml:space="preserve">Δ </t>
    </r>
    <r>
      <rPr>
        <sz val="10"/>
        <color rgb="FF000000"/>
        <rFont val="Noto Sans CJK SC"/>
        <family val="2"/>
      </rPr>
      <t xml:space="preserve">高端）中較小／較大者（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q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0.915 </t>
    </r>
    <r>
      <rPr>
        <sz val="10"/>
        <color rgb="FF000000"/>
        <rFont val="Noto Sans CJK SC"/>
        <family val="2"/>
      </rPr>
      <t xml:space="preserve">使收入門檻為正，與基準欄反向，需 </t>
    </r>
    <r>
      <rPr>
        <sz val="10"/>
        <color rgb="FF000000"/>
        <rFont val="Arial"/>
        <family val="0"/>
        <charset val="1"/>
      </rPr>
      <t xml:space="preserve">MIN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才符合 </t>
    </r>
    <r>
      <rPr>
        <sz val="10"/>
        <color rgb="FF000000"/>
        <rFont val="Arial"/>
        <family val="0"/>
        <charset val="1"/>
      </rPr>
      <t xml:space="preserve">Checks H3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E ≤ D ≤ F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依第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批 </t>
    </r>
    <r>
      <rPr>
        <sz val="10"/>
        <color rgb="FF000000"/>
        <rFont val="Arial"/>
        <family val="0"/>
        <charset val="1"/>
      </rPr>
      <t xml:space="preserve">2-1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2-1b </t>
    </r>
    <r>
      <rPr>
        <sz val="10"/>
        <color rgb="FF000000"/>
        <rFont val="Noto Sans CJK SC"/>
        <family val="2"/>
      </rPr>
      <t xml:space="preserve">的修訂：基準版本讀 </t>
    </r>
    <r>
      <rPr>
        <sz val="10"/>
        <color rgb="FF000000"/>
        <rFont val="Arial"/>
        <family val="0"/>
        <charset val="1"/>
      </rPr>
      <t xml:space="preserve">v6.3</t>
    </r>
    <r>
      <rPr>
        <sz val="10"/>
        <color rgb="FF000000"/>
        <rFont val="Noto Sans CJK SC"/>
        <family val="2"/>
      </rPr>
      <t xml:space="preserve">、說明文字引用 </t>
    </r>
    <r>
      <rPr>
        <sz val="10"/>
        <color rgb="FF000000"/>
        <rFont val="Arial"/>
        <family val="0"/>
        <charset val="1"/>
      </rPr>
      <t xml:space="preserve">ARCH_ScaleGen</t>
    </r>
    <r>
      <rPr>
        <sz val="10"/>
        <color rgb="FF000000"/>
        <rFont val="Noto Sans CJK SC"/>
        <family val="2"/>
      </rPr>
      <t xml:space="preserve">、情境 </t>
    </r>
    <r>
      <rPr>
        <sz val="10"/>
        <color rgb="FF000000"/>
        <rFont val="Arial"/>
        <family val="0"/>
        <charset val="1"/>
      </rPr>
      <t xml:space="preserve">d1_model_scale </t>
    </r>
    <r>
      <rPr>
        <sz val="10"/>
        <color rgb="FF000000"/>
        <rFont val="Noto Sans CJK SC"/>
        <family val="2"/>
      </rPr>
      <t xml:space="preserve">下的門檻列於報告。</t>
    </r>
  </si>
  <si>
    <r>
      <rPr>
        <sz val="10"/>
        <color rgb="FF000000"/>
        <rFont val="Arial"/>
        <family val="0"/>
        <charset val="1"/>
      </rPr>
      <t xml:space="preserve">Andy 2026-10-15 15:22</t>
    </r>
    <r>
      <rPr>
        <sz val="10"/>
        <color rgb="FF000000"/>
        <rFont val="Noto Sans CJK SC"/>
        <family val="2"/>
      </rPr>
      <t xml:space="preserve">「照預設」（採世代價格 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段報告第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節的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端建議預設）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</si>
  <si>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</si>
  <si>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DB_Evidence E366–E373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E339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E341 </t>
    </r>
    <r>
      <rPr>
        <sz val="10"/>
        <color rgb="FF000000"/>
        <rFont val="Noto Sans CJK SC"/>
        <family val="2"/>
      </rPr>
      <t xml:space="preserve">註記）；契約第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節</t>
    </r>
  </si>
  <si>
    <r>
      <rPr>
        <sz val="10"/>
        <color rgb="FF000000"/>
        <rFont val="Arial"/>
        <family val="0"/>
        <charset val="1"/>
      </rPr>
      <t xml:space="preserve">docs/workorders/20261015_</t>
    </r>
    <r>
      <rPr>
        <sz val="10"/>
        <color rgb="FF000000"/>
        <rFont val="Noto Sans CJK SC"/>
        <family val="2"/>
      </rPr>
      <t xml:space="preserve">世代價格</t>
    </r>
    <r>
      <rPr>
        <sz val="10"/>
        <color rgb="FF000000"/>
        <rFont val="Arial"/>
        <family val="0"/>
        <charset val="1"/>
      </rPr>
      <t xml:space="preserve">B.md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0–2 </t>
    </r>
    <r>
      <rPr>
        <sz val="10"/>
        <color rgb="FF000000"/>
        <rFont val="Noto Sans CJK SC"/>
        <family val="2"/>
      </rPr>
      <t xml:space="preserve">節；工作單 </t>
    </r>
    <r>
      <rPr>
        <sz val="10"/>
        <color rgb="FF000000"/>
        <rFont val="Arial"/>
        <family val="0"/>
        <charset val="1"/>
      </rPr>
      <t xml:space="preserve">docs/workorders/20261016_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2.md r0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</t>
    </r>
  </si>
  <si>
    <t xml:space="preserve">AF2c-Q3R1</t>
  </si>
  <si>
    <t xml:space="preserve">稽核修正第 2 批 2-2：Q3＝R1（RL 與輪數倍數的取向）</t>
  </si>
  <si>
    <r>
      <rPr>
        <sz val="10"/>
        <color rgb="FF000000"/>
        <rFont val="Arial"/>
        <family val="0"/>
        <charset val="1"/>
      </rPr>
      <t xml:space="preserve">Q3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2026-10-16 03:10</t>
    </r>
    <r>
      <rPr>
        <sz val="10"/>
        <color rgb="FF000000"/>
        <rFont val="Noto Sans CJK SC"/>
        <family val="2"/>
      </rPr>
      <t xml:space="preserve">）：採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預訓練基準 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 0.3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0.1–0.3 </t>
    </r>
    <r>
      <rPr>
        <sz val="10"/>
        <color rgb="FF000000"/>
        <rFont val="Noto Sans CJK SC"/>
        <family val="2"/>
      </rPr>
      <t xml:space="preserve">上端）、</t>
    </r>
    <r>
      <rPr>
        <sz val="10"/>
        <color rgb="FF000000"/>
        <rFont val="Arial"/>
        <family val="0"/>
        <charset val="1"/>
      </rPr>
      <t xml:space="preserve">Astra 1.0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0.1–2</t>
    </r>
    <r>
      <rPr>
        <sz val="10"/>
        <color rgb="FF000000"/>
        <rFont val="Noto Sans CJK SC"/>
        <family val="2"/>
      </rPr>
      <t xml:space="preserve">）；輪數倍數基準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0.7–1.7 </t>
    </r>
    <r>
      <rPr>
        <sz val="10"/>
        <color rgb="FF000000"/>
        <rFont val="Noto Sans CJK SC"/>
        <family val="2"/>
      </rPr>
      <t xml:space="preserve">下端）；不改數值。</t>
    </r>
  </si>
  <si>
    <r>
      <rPr>
        <sz val="10"/>
        <color rgb="FF000000"/>
        <rFont val="Arial"/>
        <family val="0"/>
        <charset val="1"/>
      </rPr>
      <t xml:space="preserve">Andy 2026-10-16 03:10 </t>
    </r>
    <r>
      <rPr>
        <sz val="10"/>
        <color rgb="FF000000"/>
        <rFont val="Noto Sans CJK SC"/>
        <family val="2"/>
      </rPr>
      <t xml:space="preserve">採 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</si>
  <si>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已登錄（數值不變）</t>
    </r>
  </si>
  <si>
    <r>
      <rPr>
        <sz val="10"/>
        <color rgb="FF000000"/>
        <rFont val="Arial"/>
        <family val="0"/>
        <charset val="1"/>
      </rPr>
      <t xml:space="preserve">Train_In RL </t>
    </r>
    <r>
      <rPr>
        <sz val="10"/>
        <color rgb="FF000000"/>
        <rFont val="Noto Sans CJK SC"/>
        <family val="2"/>
      </rPr>
      <t xml:space="preserve">比、</t>
    </r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輪數倍數（數值已於 </t>
    </r>
    <r>
      <rPr>
        <sz val="10"/>
        <color rgb="FF000000"/>
        <rFont val="Arial"/>
        <family val="0"/>
        <charset val="1"/>
      </rPr>
      <t xml:space="preserve">v6.1 3B </t>
    </r>
    <r>
      <rPr>
        <sz val="10"/>
        <color rgb="FF000000"/>
        <rFont val="Noto Sans CJK SC"/>
        <family val="2"/>
      </rPr>
      <t xml:space="preserve">寫入，本筆為補登紀錄）</t>
    </r>
  </si>
  <si>
    <t xml:space="preserve">工作單 docs/workorders/20261016_稽核修正2.md r0 第 3 節 2-2-b</t>
  </si>
  <si>
    <t xml:space="preserve">AF2c-J1</t>
  </si>
  <si>
    <t xml:space="preserve">稽核修正第 2 批 2-2：J1 D1(c) 模型規模倍數的情境值（紀錄）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</si>
  <si>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端預設，可撤回：基準一律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（截面維持固定模型口徑）；情境值 </t>
    </r>
    <r>
      <rPr>
        <sz val="10"/>
        <color rgb="FF000000"/>
        <rFont val="Arial"/>
        <family val="0"/>
        <charset val="1"/>
      </rPr>
      <t xml:space="preserve">r0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Hopper 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2.5</t>
    </r>
    <r>
      <rPr>
        <sz val="10"/>
        <color rgb="FF000000"/>
        <rFont val="Noto Sans CJK SC"/>
        <family val="2"/>
      </rPr>
      <t xml:space="preserve">（區間 </t>
    </r>
    <r>
      <rPr>
        <sz val="10"/>
        <color rgb="FF000000"/>
        <rFont val="Arial"/>
        <family val="0"/>
        <charset val="1"/>
      </rPr>
      <t xml:space="preserve">0.1–0.5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0.3–1.0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1.0–4.4</t>
    </r>
    <r>
      <rPr>
        <sz val="10"/>
        <color rgb="FF000000"/>
        <rFont val="Noto Sans CJK SC"/>
        <family val="2"/>
      </rPr>
      <t xml:space="preserve">），錨點 </t>
    </r>
    <r>
      <rPr>
        <sz val="10"/>
        <color rgb="FF000000"/>
        <rFont val="Arial"/>
        <family val="0"/>
        <charset val="1"/>
      </rPr>
      <t xml:space="preserve">R-a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快照對應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）或 </t>
    </r>
    <r>
      <rPr>
        <sz val="10"/>
        <color rgb="FF000000"/>
        <rFont val="Arial"/>
        <family val="0"/>
        <charset val="1"/>
      </rPr>
      <t xml:space="preserve">R-b</t>
    </r>
    <r>
      <rPr>
        <sz val="10"/>
        <color rgb="FF000000"/>
        <rFont val="Noto Sans CJK SC"/>
        <family val="2"/>
      </rPr>
      <t xml:space="preserve">（對應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）。已由 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報告 </t>
    </r>
    <r>
      <rPr>
        <sz val="10"/>
        <color rgb="FF000000"/>
        <rFont val="Arial"/>
        <family val="0"/>
        <charset val="1"/>
      </rPr>
      <t xml:space="preserve">Q2 </t>
    </r>
    <r>
      <rPr>
        <sz val="10"/>
        <color rgb="FF000000"/>
        <rFont val="Noto Sans CJK SC"/>
        <family val="2"/>
      </rPr>
      <t xml:space="preserve">修訂為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（情境 </t>
    </r>
    <r>
      <rPr>
        <sz val="10"/>
        <color rgb="FF000000"/>
        <rFont val="Arial"/>
        <family val="0"/>
        <charset val="1"/>
      </rPr>
      <t xml:space="preserve">0.8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1.4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Lo 0.5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Hi 1.3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），見 </t>
    </r>
    <r>
      <rPr>
        <sz val="10"/>
        <color rgb="FF000000"/>
        <rFont val="Arial"/>
        <family val="0"/>
        <charset val="1"/>
      </rPr>
      <t xml:space="preserve">AF2-D1c r1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</si>
  <si>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</si>
  <si>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已建（本筆補登）</t>
    </r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</si>
  <si>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模型規模倍數節；情境 </t>
    </r>
    <r>
      <rPr>
        <sz val="10"/>
        <color rgb="FF000000"/>
        <rFont val="Arial"/>
        <family val="0"/>
        <charset val="1"/>
      </rPr>
      <t xml:space="preserve">d1_model_scale</t>
    </r>
  </si>
  <si>
    <t xml:space="preserve">稽核修正2 工作單第 1 節 J1</t>
  </si>
  <si>
    <t xml:space="preserve">AF2c-J2</t>
  </si>
  <si>
    <t xml:space="preserve">稽核修正第 2 批 2-2：J2 D5 獨立驗證點與 MLPerf 輪次（紀錄；第 2-5 段執行）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</si>
  <si>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端預設，可撤回：驗證點（模型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實測，不用於校準）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H100 decode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2,785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LMSYS GB200 decode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），兩點都標『口徑不嚴（無明確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）』，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只作旁證；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v5.1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v6.0 Closed</t>
    </r>
    <r>
      <rPr>
        <sz val="10"/>
        <color rgb="FF000000"/>
        <rFont val="Noto Sans CJK SC"/>
        <family val="2"/>
      </rPr>
      <t xml:space="preserve">，模型高於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即判失敗。第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段才用到。</t>
    </r>
  </si>
  <si>
    <t xml:space="preserve">未建（2-5 段）</t>
  </si>
  <si>
    <t xml:space="preserve">第 2-5 段（Checks 重整、MLPerf 上限、獨立驗證點）</t>
  </si>
  <si>
    <t xml:space="preserve">稽核修正2 工作單第 1 節 J2</t>
  </si>
  <si>
    <t xml:space="preserve">AF2c-J3</t>
  </si>
  <si>
    <t xml:space="preserve">稽核修正第 2 批 2-2：J3 Serving C18 與 C28 重複：只留 C28 一個入口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</si>
  <si>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固定 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，不再作為折減入口（標籤不變，說明欄 </t>
    </r>
    <r>
      <rPr>
        <sz val="10"/>
        <color rgb="FF000000"/>
        <rFont val="Arial"/>
        <family val="0"/>
        <charset val="1"/>
      </rPr>
      <t xml:space="preserve">F18 </t>
    </r>
    <r>
      <rPr>
        <sz val="10"/>
        <color rgb="FF000000"/>
        <rFont val="Noto Sans CJK SC"/>
        <family val="2"/>
      </rPr>
      <t xml:space="preserve">註明；生產折減一律由 </t>
    </r>
    <r>
      <rPr>
        <sz val="10"/>
        <color rgb="FF000000"/>
        <rFont val="Arial"/>
        <family val="0"/>
        <charset val="1"/>
      </rPr>
      <t xml:space="preserve">C28 CTL_ProdDerate </t>
    </r>
    <r>
      <rPr>
        <sz val="10"/>
        <color rgb="FF000000"/>
        <rFont val="Noto Sans CJK SC"/>
        <family val="2"/>
      </rPr>
      <t xml:space="preserve">表達）；情境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的輸入由 </t>
    </r>
    <r>
      <rPr>
        <sz val="10"/>
        <color rgb="FF000000"/>
        <rFont val="Arial"/>
        <family val="0"/>
        <charset val="1"/>
      </rPr>
      <t xml:space="preserve">Serving!C18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CTL_ProdDerate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。理由：同一件事只留一個入口；同時消除 </t>
    </r>
    <r>
      <rPr>
        <sz val="10"/>
        <color rgb="FF000000"/>
        <rFont val="Arial"/>
        <family val="0"/>
        <charset val="1"/>
      </rPr>
      <t xml:space="preserve">b_prod_derate </t>
    </r>
    <r>
      <rPr>
        <sz val="10"/>
        <color rgb="FF000000"/>
        <rFont val="Noto Sans CJK SC"/>
        <family val="2"/>
      </rPr>
      <t xml:space="preserve">情境 </t>
    </r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升到 </t>
    </r>
    <r>
      <rPr>
        <sz val="10"/>
        <color rgb="FF000000"/>
        <rFont val="Arial"/>
        <family val="0"/>
        <charset val="1"/>
      </rPr>
      <t xml:space="preserve">156 </t>
    </r>
    <r>
      <rPr>
        <sz val="10"/>
        <color rgb="FF000000"/>
        <rFont val="Noto Sans CJK SC"/>
        <family val="2"/>
      </rPr>
      <t xml:space="preserve">的來源（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節用 </t>
    </r>
    <r>
      <rPr>
        <sz val="10"/>
        <color rgb="FF000000"/>
        <rFont val="Arial"/>
        <family val="0"/>
        <charset val="1"/>
      </rPr>
      <t xml:space="preserve">0.85 </t>
    </r>
    <r>
      <rPr>
        <sz val="10"/>
        <color rgb="FF000000"/>
        <rFont val="Noto Sans CJK SC"/>
        <family val="2"/>
      </rPr>
      <t xml:space="preserve">重解）。</t>
    </r>
    <r>
      <rPr>
        <sz val="10"/>
        <color rgb="FF000000"/>
        <rFont val="Arial"/>
        <family val="0"/>
        <charset val="1"/>
      </rPr>
      <t xml:space="preserve">C18 </t>
    </r>
    <r>
      <rPr>
        <sz val="10"/>
        <color rgb="FF000000"/>
        <rFont val="Noto Sans CJK SC"/>
        <family val="2"/>
      </rPr>
      <t xml:space="preserve">儲存格仍可輸入（測試以它誘發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不可達），只是基準與情境不再用它表達折減。</t>
    </r>
  </si>
  <si>
    <r>
      <rPr>
        <sz val="10"/>
        <color rgb="FF000000"/>
        <rFont val="Arial"/>
        <family val="0"/>
        <charset val="1"/>
      </rPr>
      <t xml:space="preserve">Serving A18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tests/parity/scenarios.yaml b_prod_derate</t>
    </r>
  </si>
  <si>
    <t xml:space="preserve">稽核修正2 工作單第 1 節 J3</t>
  </si>
  <si>
    <t xml:space="preserve">AF2c-J4</t>
  </si>
  <si>
    <t xml:space="preserve">稽核修正第 2 批 2-2：J4 Calib C68（Hopper 每層延遲倍數 1.5）不重新反解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</si>
  <si>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端預設，可撤回：不重新反解，標記改為『倒推（</t>
    </r>
    <r>
      <rPr>
        <sz val="10"/>
        <color rgb="FF000000"/>
        <rFont val="Arial"/>
        <family val="0"/>
        <charset val="1"/>
      </rPr>
      <t xml:space="preserve">v5.5 </t>
    </r>
    <r>
      <rPr>
        <sz val="10"/>
        <color rgb="FF000000"/>
        <rFont val="Noto Sans CJK SC"/>
        <family val="2"/>
      </rPr>
      <t xml:space="preserve">建檔時與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手算配對；</t>
    </r>
    <r>
      <rPr>
        <sz val="10"/>
        <color rgb="FF000000"/>
        <rFont val="Arial"/>
        <family val="0"/>
        <charset val="1"/>
      </rPr>
      <t xml:space="preserve">Excel </t>
    </r>
    <r>
      <rPr>
        <sz val="10"/>
        <color rgb="FF000000"/>
        <rFont val="Noto Sans CJK SC"/>
        <family val="2"/>
      </rPr>
      <t xml:space="preserve">內無公式關聯）』，區間維持 </t>
    </r>
    <r>
      <rPr>
        <sz val="10"/>
        <color rgb="FF000000"/>
        <rFont val="Arial"/>
        <family val="0"/>
        <charset val="1"/>
      </rPr>
      <t xml:space="preserve">1–3</t>
    </r>
    <r>
      <rPr>
        <sz val="10"/>
        <color rgb="FF000000"/>
        <rFont val="Noto Sans CJK SC"/>
        <family val="2"/>
      </rPr>
      <t xml:space="preserve">。理由：反解需要一個實測目標；用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或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反解會把 </t>
    </r>
    <r>
      <rPr>
        <sz val="10"/>
        <color rgb="FF000000"/>
        <rFont val="Arial"/>
        <family val="0"/>
        <charset val="1"/>
      </rPr>
      <t xml:space="preserve">D5 </t>
    </r>
    <r>
      <rPr>
        <sz val="10"/>
        <color rgb="FF000000"/>
        <rFont val="Noto Sans CJK SC"/>
        <family val="2"/>
      </rPr>
      <t xml:space="preserve">的驗證點變成校準點，違反 </t>
    </r>
    <r>
      <rPr>
        <sz val="10"/>
        <color rgb="FF000000"/>
        <rFont val="Arial"/>
        <family val="0"/>
        <charset val="1"/>
      </rPr>
      <t xml:space="preserve">D5</t>
    </r>
    <r>
      <rPr>
        <sz val="10"/>
        <color rgb="FF000000"/>
        <rFont val="Noto Sans CJK SC"/>
        <family val="2"/>
      </rPr>
      <t xml:space="preserve">『校準過的輸入不得再用同一目標對照』。等第 </t>
    </r>
    <r>
      <rPr>
        <sz val="10"/>
        <color rgb="FF000000"/>
        <rFont val="Arial"/>
        <family val="0"/>
        <charset val="1"/>
      </rPr>
      <t xml:space="preserve">2-5 </t>
    </r>
    <r>
      <rPr>
        <sz val="10"/>
        <color rgb="FF000000"/>
        <rFont val="Noto Sans CJK SC"/>
        <family val="2"/>
      </rPr>
      <t xml:space="preserve">段有獨立驗證點後，若模型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實測偏離過大，再提出。</t>
    </r>
  </si>
  <si>
    <r>
      <rPr>
        <sz val="10"/>
        <color rgb="FF000000"/>
        <rFont val="Arial"/>
        <family val="0"/>
        <charset val="1"/>
      </rPr>
      <t xml:space="preserve">v7.0 </t>
    </r>
    <r>
      <rPr>
        <sz val="10"/>
        <color rgb="FF000000"/>
        <rFont val="Noto Sans CJK SC"/>
        <family val="2"/>
      </rPr>
      <t xml:space="preserve">已建（只改標記）</t>
    </r>
  </si>
  <si>
    <r>
      <rPr>
        <sz val="10"/>
        <color rgb="FF000000"/>
        <rFont val="Arial"/>
        <family val="0"/>
        <charset val="1"/>
      </rPr>
      <t xml:space="preserve">Calib J68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GM346</t>
    </r>
    <r>
      <rPr>
        <sz val="10"/>
        <color rgb="FF000000"/>
        <rFont val="Noto Sans CJK SC"/>
        <family val="2"/>
      </rPr>
      <t xml:space="preserve">（類別 </t>
    </r>
    <r>
      <rPr>
        <sz val="10"/>
        <color rgb="FF000000"/>
        <rFont val="Arial"/>
        <family val="0"/>
        <charset val="1"/>
      </rPr>
      <t xml:space="preserve">Assumed → </t>
    </r>
    <r>
      <rPr>
        <sz val="10"/>
        <color rgb="FF000000"/>
        <rFont val="Noto Sans CJK SC"/>
        <family val="2"/>
      </rPr>
      <t xml:space="preserve">倒推）</t>
    </r>
  </si>
  <si>
    <t xml:space="preserve">稽核修正2 工作單第 1 節 J4</t>
  </si>
  <si>
    <t xml:space="preserve">AF2c-J5</t>
  </si>
  <si>
    <t xml:space="preserve">稽核修正第 2 批 2-2：J5 Alloc 世代組合敏感度『全 GB200』『全 VR200』改回純世代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</si>
  <si>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端預設，可撤回：『全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GB200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』列＝</t>
    </r>
    <r>
      <rPr>
        <sz val="10"/>
        <color rgb="FF000000"/>
        <rFont val="Arial"/>
        <family val="0"/>
        <charset val="1"/>
      </rPr>
      <t xml:space="preserve">VR200 1</t>
    </r>
    <r>
      <rPr>
        <sz val="10"/>
        <color rgb="FF000000"/>
        <rFont val="Noto Sans CJK SC"/>
        <family val="2"/>
      </rPr>
      <t xml:space="preserve">、其餘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；以常數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寫入，不再讀 </t>
    </r>
    <r>
      <rPr>
        <sz val="10"/>
        <color rgb="FF000000"/>
        <rFont val="Arial"/>
        <family val="0"/>
        <charset val="1"/>
      </rPr>
      <t xml:space="preserve">AL_Mix*_Lo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_Hi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v6.1 D3 </t>
    </r>
    <r>
      <rPr>
        <sz val="10"/>
        <color rgb="FF000000"/>
        <rFont val="Noto Sans CJK SC"/>
        <family val="2"/>
      </rPr>
      <t xml:space="preserve">把它們改成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全年平均區間後，這兩列已不是純世代）。檢查副本（輸入全為基準）讀基準組合，不受影響。</t>
    </r>
  </si>
  <si>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節『服務世代組合：全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』『全 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』（</t>
    </r>
    <r>
      <rPr>
        <sz val="10"/>
        <color rgb="FF000000"/>
        <rFont val="Arial"/>
        <family val="0"/>
        <charset val="1"/>
      </rPr>
      <t xml:space="preserve">v6.3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95 </t>
    </r>
    <r>
      <rPr>
        <sz val="10"/>
        <color rgb="FF000000"/>
        <rFont val="Noto Sans CJK SC"/>
        <family val="2"/>
      </rPr>
      <t xml:space="preserve">列；工作單的第 </t>
    </r>
    <r>
      <rPr>
        <sz val="10"/>
        <color rgb="FF000000"/>
        <rFont val="Arial"/>
        <family val="0"/>
        <charset val="1"/>
      </rPr>
      <t xml:space="preserve">85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86 </t>
    </r>
    <r>
      <rPr>
        <sz val="10"/>
        <color rgb="FF000000"/>
        <rFont val="Noto Sans CJK SC"/>
        <family val="2"/>
      </rPr>
      <t xml:space="preserve">列為舊列號）</t>
    </r>
  </si>
  <si>
    <t xml:space="preserve">稽核修正2 工作單第 1 節 J5</t>
  </si>
  <si>
    <t xml:space="preserve">AF2c-D7R</t>
  </si>
  <si>
    <t xml:space="preserve">稽核修正第 2 批 2-2：D7 遺留：L1_FleetMargin、Checks K4、L1_GapUtil 改讀重解值／同口徑</t>
  </si>
  <si>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由線性 </t>
    </r>
    <r>
      <rPr>
        <sz val="10"/>
        <color rgb="FF000000"/>
        <rFont val="Arial"/>
        <family val="0"/>
        <charset val="1"/>
      </rPr>
      <t xml:space="preserve">× CTL_ProdDerate </t>
    </r>
    <r>
      <rPr>
        <sz val="10"/>
        <color rgb="FF000000"/>
        <rFont val="Noto Sans CJK SC"/>
        <family val="2"/>
      </rPr>
      <t xml:space="preserve">改為讀重解值（新增 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IFW_RevGWFleet_Prod ÷ IFW_RevGWFleet_Util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VR200</t>
    </r>
    <r>
      <rPr>
        <sz val="10"/>
        <color rgb="FF000000"/>
        <rFont val="Noto Sans CJK SC"/>
        <family val="2"/>
      </rPr>
      <t xml:space="preserve">；基準約 </t>
    </r>
    <r>
      <rPr>
        <sz val="10"/>
        <color rgb="FF000000"/>
        <rFont val="Arial"/>
        <family val="0"/>
        <charset val="1"/>
      </rPr>
      <t xml:space="preserve">0.782</t>
    </r>
    <r>
      <rPr>
        <sz val="10"/>
        <color rgb="FF000000"/>
        <rFont val="Noto Sans CJK SC"/>
        <family val="2"/>
      </rPr>
      <t xml:space="preserve">，線性 </t>
    </r>
    <r>
      <rPr>
        <sz val="10"/>
        <color rgb="FF000000"/>
        <rFont val="Arial"/>
        <family val="0"/>
        <charset val="1"/>
      </rPr>
      <t xml:space="preserve">0.85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L1_FleetBreakeven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層，維持不動，標籤寫明『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層』；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IF_Util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AL_UtilActual × CTL_ProdDerate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255 </t>
    </r>
    <r>
      <rPr>
        <sz val="10"/>
        <color rgb="FF000000"/>
        <rFont val="Noto Sans CJK SC"/>
        <family val="2"/>
      </rPr>
      <t xml:space="preserve">列同口徑，</t>
    </r>
    <r>
      <rPr>
        <sz val="10"/>
        <color rgb="FF000000"/>
        <rFont val="Arial"/>
        <family val="0"/>
        <charset val="1"/>
      </rPr>
      <t xml:space="preserve">L1_GapProduct </t>
    </r>
    <r>
      <rPr>
        <sz val="10"/>
        <color rgb="FF000000"/>
        <rFont val="Noto Sans CJK SC"/>
        <family val="2"/>
      </rPr>
      <t xml:space="preserve">隨之改變；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231 </t>
    </r>
    <r>
      <rPr>
        <sz val="10"/>
        <color rgb="FF000000"/>
        <rFont val="Noto Sans CJK SC"/>
        <family val="2"/>
      </rPr>
      <t xml:space="preserve">列標題只寫重解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D7</t>
    </r>
    <r>
      <rPr>
        <sz val="10"/>
        <color rgb="FF000000"/>
        <rFont val="Noto Sans CJK SC"/>
        <family val="2"/>
      </rPr>
      <t xml:space="preserve">）。重解比取收入比（</t>
    </r>
    <r>
      <rPr>
        <sz val="10"/>
        <color rgb="FF000000"/>
        <rFont val="Arial"/>
        <family val="0"/>
        <charset val="1"/>
      </rPr>
      <t xml:space="preserve">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Util </t>
    </r>
    <r>
      <rPr>
        <sz val="10"/>
        <color rgb="FF000000"/>
        <rFont val="Noto Sans CJK SC"/>
        <family val="2"/>
      </rPr>
      <t xml:space="preserve">營收）而非付費產能比（</t>
    </r>
    <r>
      <rPr>
        <sz val="10"/>
        <color rgb="FF000000"/>
        <rFont val="Arial"/>
        <family val="0"/>
        <charset val="1"/>
      </rPr>
      <t xml:space="preserve">AL_ProdRatioPaid </t>
    </r>
    <r>
      <rPr>
        <sz val="10"/>
        <color rgb="FF000000"/>
        <rFont val="Noto Sans CJK SC"/>
        <family val="2"/>
      </rPr>
      <t xml:space="preserve">口徑），使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恆為恆等式；兩者差異見報告待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</si>
  <si>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批遺留（chat 端定案，併入第 2 批）</t>
  </si>
  <si>
    <r>
      <rPr>
        <sz val="10"/>
        <color rgb="FF000000"/>
        <rFont val="Arial"/>
        <family val="0"/>
        <charset val="1"/>
      </rPr>
      <t xml:space="preserve">L1_FleetMargin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L1_FleetProdRatio</t>
    </r>
    <r>
      <rPr>
        <sz val="10"/>
        <color rgb="FF000000"/>
        <rFont val="Noto Sans CJK SC"/>
        <family val="2"/>
      </rPr>
      <t xml:space="preserve">（新）；</t>
    </r>
    <r>
      <rPr>
        <sz val="10"/>
        <color rgb="FF000000"/>
        <rFont val="Arial"/>
        <family val="0"/>
        <charset val="1"/>
      </rPr>
      <t xml:space="preserve">Checks K4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Interface A231</t>
    </r>
  </si>
  <si>
    <t xml:space="preserve">AF2c-K3</t>
  </si>
  <si>
    <t xml:space="preserve">稽核修正第 2 批 2-2：GOV K3（f_registry 情境 0→6）查明結果：不修，列待 Project 判斷</t>
  </si>
  <si>
    <r>
      <rPr>
        <sz val="10"/>
        <color rgb="FF000000"/>
        <rFont val="Arial"/>
        <family val="0"/>
        <charset val="1"/>
      </rPr>
      <t xml:space="preserve">Checks K3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f_registry_t07_t09_on </t>
    </r>
    <r>
      <rPr>
        <sz val="10"/>
        <color rgb="FF000000"/>
        <rFont val="Noto Sans CJK SC"/>
        <family val="2"/>
      </rPr>
      <t xml:space="preserve">情境為 </t>
    </r>
    <r>
      <rPr>
        <sz val="10"/>
        <color rgb="FF000000"/>
        <rFont val="Arial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三欄的 </t>
    </r>
    <r>
      <rPr>
        <sz val="10"/>
        <color rgb="FF000000"/>
        <rFont val="Arial"/>
        <family val="0"/>
        <charset val="1"/>
      </rPr>
      <t xml:space="preserve">IFW_RevGWFleet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IFW_RevGWFleetFront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營收高於 </t>
    </r>
    <r>
      <rPr>
        <sz val="10"/>
        <color rgb="FF000000"/>
        <rFont val="Arial"/>
        <family val="0"/>
        <charset val="1"/>
      </rPr>
      <t xml:space="preserve">_Util</t>
    </r>
    <r>
      <rPr>
        <sz val="10"/>
        <color rgb="FF000000"/>
        <rFont val="Noto Sans CJK SC"/>
        <family val="2"/>
      </rPr>
      <t xml:space="preserve">。原因：</t>
    </r>
    <r>
      <rPr>
        <sz val="10"/>
        <color rgb="FF000000"/>
        <rFont val="Arial"/>
        <family val="0"/>
        <charset val="1"/>
      </rPr>
      <t xml:space="preserve">_Util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可達，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層（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CTL_ProdDerate </t>
    </r>
    <r>
      <rPr>
        <sz val="10"/>
        <color rgb="FF000000"/>
        <rFont val="Noto Sans CJK SC"/>
        <family val="2"/>
      </rPr>
      <t xml:space="preserve">下重解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不可達而被排除並重新正規化，層級籃子不同（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少了算力最重的 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，付費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 </t>
    </r>
    <r>
      <rPr>
        <sz val="10"/>
        <color rgb="FF000000"/>
        <rFont val="Arial"/>
        <family val="0"/>
        <charset val="1"/>
      </rPr>
      <t xml:space="preserve">0.82e9 → 3.42e9</t>
    </r>
    <r>
      <rPr>
        <sz val="10"/>
        <color rgb="FF000000"/>
        <rFont val="Noto Sans CJK SC"/>
        <family val="2"/>
      </rPr>
      <t xml:space="preserve">），因此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1.6055 → 3.0409</t>
    </r>
    <r>
      <rPr>
        <sz val="10"/>
        <color rgb="FF000000"/>
        <rFont val="Noto Sans CJK SC"/>
        <family val="2"/>
      </rPr>
      <t xml:space="preserve">，單調檢查失敗。這是 </t>
    </r>
    <r>
      <rPr>
        <sz val="10"/>
        <color rgb="FF000000"/>
        <rFont val="Arial"/>
        <family val="0"/>
        <charset val="1"/>
      </rPr>
      <t xml:space="preserve">v6.0 D8-2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Fleet_1GW </t>
    </r>
    <r>
      <rPr>
        <sz val="10"/>
        <color rgb="FF000000"/>
        <rFont val="Noto Sans CJK SC"/>
        <family val="2"/>
      </rPr>
      <t xml:space="preserve">層級重新正規化造成，不是 </t>
    </r>
    <r>
      <rPr>
        <sz val="10"/>
        <color rgb="FF000000"/>
        <rFont val="Arial"/>
        <family val="0"/>
        <charset val="1"/>
      </rPr>
      <t xml:space="preserve">2-1-c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）處理的同一件事，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的重新正規化不影響 </t>
    </r>
    <r>
      <rPr>
        <sz val="10"/>
        <color rgb="FF000000"/>
        <rFont val="Arial"/>
        <family val="0"/>
        <charset val="1"/>
      </rPr>
      <t xml:space="preserve">Fleet_1GW_Prod</t>
    </r>
    <r>
      <rPr>
        <sz val="10"/>
        <color rgb="FF000000"/>
        <rFont val="Noto Sans CJK SC"/>
        <family val="2"/>
      </rPr>
      <t xml:space="preserve">。未修；列待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</si>
  <si>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t xml:space="preserve">稽核判斷會議決定第 1 批遺留</t>
  </si>
  <si>
    <t xml:space="preserve">查明完成，未修</t>
  </si>
  <si>
    <r>
      <rPr>
        <sz val="10"/>
        <color rgb="FF000000"/>
        <rFont val="Arial"/>
        <family val="0"/>
        <charset val="1"/>
      </rPr>
      <t xml:space="preserve">Checks K3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Fleet_1GW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Fleet_1GW_Prod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18–29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248–251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268–271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</si>
  <si>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docs/workorders/20261016_稽核修正2.md r0 第 3 節 2-2-b；docs/reports/20261015_稽核修正1.md 待判斷第 6 項</t>
  </si>
  <si>
    <t xml:space="preserve">v8.0</t>
  </si>
  <si>
    <t xml:space="preserve">稽核修正第 2 批 2-3：2025 年度層級單價（D2）：Cap_In M 節藍字輸入</t>
  </si>
  <si>
    <t xml:space="preserve">新增 Cap_In M 節：三層級各一列的 2025 年度參考請求混合單價（表列未折扣；基準／低／高取 2Q 第 1.3 節：Luna 0.1035／0.0669／0.3026、Sol 2.184／1.672／2.338、Astra 7.174／2.089／16.33），Derived，說明欄寫明按在售天數加權而非用量。2025 混合有效單價＝付費組合 × 單價 ×（1 − B4_Disc）＝1.680（寫法同第 90 列）。機隊口徑（可達層級重新正規化、世代間以付費 token 占比加權，同 K1）為 Alloc K 節 AL_PriceFleet25。Cap_In H7（m_fleet、m 下限、『必須為真』）、H10 C 欄（B4_PriceFleet[1]）、L1_PriceRealFleet、L1_PriceReqBE 讀它；v7.0 的值保留為 L1_MFleet_Px2026。不另扣 κ（2Q 1.4：以實收取代牌價使 m 恆等於 1）；m 的標籤補『m 同時含 API 實際折扣以外的訂閱收入對 API 等值比率』。H5（L1_MImplied 等需求路線）與 H8 的 m 仍用第 90 列 2026 單價——工作單 4r1 只列 L1_MFleet，列待 Project 判斷。</t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</si>
  <si>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L1–L5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4r1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</si>
  <si>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</si>
  <si>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Cap_In M-1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Cap_In H7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L1_PriceRealFleet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L1_PriceFleet25</t>
    </r>
  </si>
  <si>
    <t xml:space="preserve">工作單 docs/workorders/20261016_稽核修正2.md r1 第 4r1 節 L1</t>
  </si>
  <si>
    <t xml:space="preserve">AF2d-L2</t>
  </si>
  <si>
    <t xml:space="preserve">稽核修正第 2 批 2-3：2025 年度模型規模（D2 × D1(c)）：採 R1，基準維持固定模型</t>
  </si>
  <si>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：基準的年度計算仍用固定模型產能，在標籤中明示；情境 </t>
    </r>
    <r>
      <rPr>
        <sz val="10"/>
        <color rgb="FF000000"/>
        <rFont val="Arial"/>
        <family val="0"/>
        <charset val="1"/>
      </rPr>
      <t xml:space="preserve">d2_model_2025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ARCH_ScaleGen Hopper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兩欄＝</t>
    </r>
    <r>
      <rPr>
        <sz val="10"/>
        <color rgb="FF000000"/>
        <rFont val="Arial"/>
        <family val="0"/>
        <charset val="1"/>
      </rPr>
      <t xml:space="preserve">0.65</t>
    </r>
    <r>
      <rPr>
        <sz val="10"/>
        <color rgb="FF000000"/>
        <rFont val="Noto Sans CJK SC"/>
        <family val="2"/>
      </rPr>
      <t xml:space="preserve">，其餘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）及低端 </t>
    </r>
    <r>
      <rPr>
        <sz val="10"/>
        <color rgb="FF000000"/>
        <rFont val="Arial"/>
        <family val="0"/>
        <charset val="1"/>
      </rPr>
      <t xml:space="preserve">0.35</t>
    </r>
    <r>
      <rPr>
        <sz val="10"/>
        <color rgb="FF000000"/>
        <rFont val="Noto Sans CJK SC"/>
        <family val="2"/>
      </rPr>
      <t xml:space="preserve">、高端 </t>
    </r>
    <r>
      <rPr>
        <sz val="10"/>
        <color rgb="FF000000"/>
        <rFont val="Arial"/>
        <family val="0"/>
        <charset val="1"/>
      </rPr>
      <t xml:space="preserve">1.1 </t>
    </r>
    <r>
      <rPr>
        <sz val="10"/>
        <color rgb="FF000000"/>
        <rFont val="Noto Sans CJK SC"/>
        <family val="2"/>
      </rPr>
      <t xml:space="preserve">兩個情境見 </t>
    </r>
    <r>
      <rPr>
        <sz val="10"/>
        <color rgb="FF000000"/>
        <rFont val="Arial"/>
        <family val="0"/>
        <charset val="1"/>
      </rPr>
      <t xml:space="preserve">tests/parity/scenarios.yaml </t>
    </r>
    <r>
      <rPr>
        <sz val="10"/>
        <color rgb="FF000000"/>
        <rFont val="Noto Sans CJK SC"/>
        <family val="2"/>
      </rPr>
      <t xml:space="preserve">與報告。理由：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年度倍數 </t>
    </r>
    <r>
      <rPr>
        <sz val="10"/>
        <color rgb="FF000000"/>
        <rFont val="Arial"/>
        <family val="0"/>
        <charset val="1"/>
      </rPr>
      <t xml:space="preserve">0.65 </t>
    </r>
    <r>
      <rPr>
        <sz val="10"/>
        <color rgb="FF000000"/>
        <rFont val="Noto Sans CJK SC"/>
        <family val="2"/>
      </rPr>
      <t xml:space="preserve">的區間 </t>
    </r>
    <r>
      <rPr>
        <sz val="10"/>
        <color rgb="FF000000"/>
        <rFont val="Arial"/>
        <family val="0"/>
        <charset val="1"/>
      </rPr>
      <t xml:space="preserve">0.35–1.1 </t>
    </r>
    <r>
      <rPr>
        <sz val="10"/>
        <color rgb="FF000000"/>
        <rFont val="Noto Sans CJK SC"/>
        <family val="2"/>
      </rPr>
      <t xml:space="preserve">跨過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，標記 </t>
    </r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（依使用者偏好第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條，</t>
    </r>
    <r>
      <rPr>
        <sz val="10"/>
        <color rgb="FF000000"/>
        <rFont val="Arial"/>
        <family val="0"/>
        <charset val="1"/>
      </rPr>
      <t xml:space="preserve">Analogy </t>
    </r>
    <r>
      <rPr>
        <sz val="10"/>
        <color rgb="FF000000"/>
        <rFont val="Noto Sans CJK SC"/>
        <family val="2"/>
      </rPr>
      <t xml:space="preserve">不作點估計進入基準；決定紀錄 </t>
    </r>
    <r>
      <rPr>
        <sz val="10"/>
        <color rgb="FF000000"/>
        <rFont val="Arial"/>
        <family val="0"/>
        <charset val="1"/>
      </rPr>
      <t xml:space="preserve">D1(c) </t>
    </r>
    <r>
      <rPr>
        <sz val="10"/>
        <color rgb="FF000000"/>
        <rFont val="Noto Sans CJK SC"/>
        <family val="2"/>
      </rPr>
      <t xml:space="preserve">也寫『作為情境使用』）。這一項偏離 </t>
    </r>
    <r>
      <rPr>
        <sz val="10"/>
        <color rgb="FF000000"/>
        <rFont val="Arial"/>
        <family val="0"/>
        <charset val="1"/>
      </rPr>
      <t xml:space="preserve">D2</t>
    </r>
    <r>
      <rPr>
        <sz val="10"/>
        <color rgb="FF000000"/>
        <rFont val="Noto Sans CJK SC"/>
        <family val="2"/>
      </rPr>
      <t xml:space="preserve">『一律取該年度的值』的字面。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（另建 </t>
    </r>
    <r>
      <rPr>
        <sz val="10"/>
        <color rgb="FF000000"/>
        <rFont val="Arial"/>
        <family val="0"/>
        <charset val="1"/>
      </rPr>
      <t xml:space="preserve">Hopper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模型鏡像頁）留待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選擇，工程量約多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小時。</t>
    </r>
  </si>
  <si>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已建（情境）</t>
    </r>
  </si>
  <si>
    <r>
      <rPr>
        <sz val="10"/>
        <color rgb="FF000000"/>
        <rFont val="Arial"/>
        <family val="0"/>
        <charset val="1"/>
      </rPr>
      <t xml:space="preserve">Spec_Rack ARCH_ScaleGen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d2_model_2025</t>
    </r>
  </si>
  <si>
    <t xml:space="preserve">工作單 docs/workorders/20261016_稽核修正2.md r1 第 4r1 節 L2</t>
  </si>
  <si>
    <t xml:space="preserve">稽核修正第 2 批 2-3：2025 研發世代組合（D2）：Alloc J 節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</si>
  <si>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新增研發世代組合四格（</t>
    </r>
    <r>
      <rPr>
        <sz val="10"/>
        <color rgb="FF000000"/>
        <rFont val="Arial"/>
        <family val="0"/>
        <charset val="1"/>
      </rPr>
      <t xml:space="preserve">Hopper 0.60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GB200 0.38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0.02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0</t>
    </r>
    <r>
      <rPr>
        <sz val="10"/>
        <color rgb="FF000000"/>
        <rFont val="Noto Sans CJK SC"/>
        <family val="2"/>
      </rPr>
      <t xml:space="preserve">；區間 </t>
    </r>
    <r>
      <rPr>
        <sz val="10"/>
        <color rgb="FF000000"/>
        <rFont val="Arial"/>
        <family val="0"/>
        <charset val="1"/>
      </rPr>
      <t xml:space="preserve">0.40–0.75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0.25–0.55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0–0.05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2Q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節）。</t>
    </r>
    <r>
      <rPr>
        <sz val="10"/>
        <color rgb="FF000000"/>
        <rFont val="Arial"/>
        <family val="0"/>
        <charset val="1"/>
      </rPr>
      <t xml:space="preserve">AL_FamGWyr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AL_RefGWyr </t>
    </r>
    <r>
      <rPr>
        <sz val="10"/>
        <color rgb="FF000000"/>
        <rFont val="Noto Sans CJK SC"/>
        <family val="2"/>
      </rPr>
      <t xml:space="preserve">改為各世代的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年依研發組合調和加權（固定算力需求在各世代上的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年＝</t>
    </r>
    <r>
      <rPr>
        <sz val="10"/>
        <color rgb="FF000000"/>
        <rFont val="Arial"/>
        <family val="0"/>
        <charset val="1"/>
      </rPr>
      <t xml:space="preserve">1 ÷ Σ</t>
    </r>
    <r>
      <rPr>
        <sz val="10"/>
        <color rgb="FF000000"/>
        <rFont val="Noto Sans CJK SC"/>
        <family val="2"/>
      </rPr>
      <t xml:space="preserve">（占比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該世代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年），同服務側產能加權），</t>
    </r>
    <r>
      <rPr>
        <sz val="10"/>
        <color rgb="FF000000"/>
        <rFont val="Arial"/>
        <family val="0"/>
        <charset val="1"/>
      </rPr>
      <t xml:space="preserve">AL_HoldTrain </t>
    </r>
    <r>
      <rPr>
        <sz val="10"/>
        <color rgb="FF000000"/>
        <rFont val="Noto Sans CJK SC"/>
        <family val="2"/>
      </rPr>
      <t xml:space="preserve">為占比加權的 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；不可達世代依 </t>
    </r>
    <r>
      <rPr>
        <sz val="10"/>
        <color rgb="FF000000"/>
        <rFont val="Arial"/>
        <family val="0"/>
        <charset val="1"/>
      </rPr>
      <t xml:space="preserve">D8 </t>
    </r>
    <r>
      <rPr>
        <sz val="10"/>
        <color rgb="FF000000"/>
        <rFont val="Noto Sans CJK SC"/>
        <family val="2"/>
      </rPr>
      <t xml:space="preserve">排除並重新正規化，被排除占比另列（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Train_In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頁截面輸出（</t>
    </r>
    <r>
      <rPr>
        <sz val="10"/>
        <color rgb="FF000000"/>
        <rFont val="Arial"/>
        <family val="0"/>
        <charset val="1"/>
      </rPr>
      <t xml:space="preserve">IF_Train*</t>
    </r>
    <r>
      <rPr>
        <sz val="10"/>
        <color rgb="FF000000"/>
        <rFont val="Noto Sans CJK SC"/>
        <family val="2"/>
      </rPr>
      <t xml:space="preserve">）不動。</t>
    </r>
    <r>
      <rPr>
        <sz val="10"/>
        <color rgb="FF000000"/>
        <rFont val="Arial"/>
        <family val="0"/>
        <charset val="1"/>
      </rPr>
      <t xml:space="preserve">AL_RDGW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IF_AllocRDGW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AL_RDCost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L1_ScaleRD </t>
    </r>
    <r>
      <rPr>
        <sz val="10"/>
        <color rgb="FF000000"/>
        <rFont val="Noto Sans CJK SC"/>
        <family val="2"/>
      </rPr>
      <t xml:space="preserve">隨之變動。占比取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口徑（與服務側世代組合一致）；若改為算力口徑，調和／算術的角色互換——列待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</si>
  <si>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研發世代組合；</t>
    </r>
    <r>
      <rPr>
        <sz val="10"/>
        <color rgb="FF000000"/>
        <rFont val="Arial"/>
        <family val="0"/>
        <charset val="1"/>
      </rPr>
      <t xml:space="preserve">Alloc J </t>
    </r>
    <r>
      <rPr>
        <sz val="10"/>
        <color rgb="FF000000"/>
        <rFont val="Noto Sans CJK SC"/>
        <family val="2"/>
      </rPr>
      <t xml:space="preserve">節與第 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52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Checks Z2</t>
    </r>
  </si>
  <si>
    <t xml:space="preserve">工作單 docs/workorders/20261016_稽核修正2.md r1 第 4r1 節 L3</t>
  </si>
  <si>
    <t xml:space="preserve">AF2d-L4</t>
  </si>
  <si>
    <t xml:space="preserve">稽核修正第 2 批 2-3：回本比較同一世代口徑（D2）</t>
  </si>
  <si>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機隊口徑：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＝服務世代組合持有成本（</t>
    </r>
    <r>
      <rPr>
        <sz val="10"/>
        <color rgb="FF000000"/>
        <rFont val="Arial"/>
        <family val="0"/>
        <charset val="1"/>
      </rPr>
      <t xml:space="preserve">AL_HoldGen </t>
    </r>
    <r>
      <rPr>
        <sz val="10"/>
        <color rgb="FF000000"/>
        <rFont val="Noto Sans CJK SC"/>
        <family val="2"/>
      </rPr>
      <t xml:space="preserve">依 </t>
    </r>
    <r>
      <rPr>
        <sz val="10"/>
        <color rgb="FF000000"/>
        <rFont val="Arial"/>
        <family val="0"/>
        <charset val="1"/>
      </rPr>
      <t xml:space="preserve">AL_Mix* </t>
    </r>
    <r>
      <rPr>
        <sz val="10"/>
        <color rgb="FF000000"/>
        <rFont val="Noto Sans CJK SC"/>
        <family val="2"/>
      </rPr>
      <t xml:space="preserve">加權）</t>
    </r>
    <r>
      <rPr>
        <sz val="10"/>
        <color rgb="FF000000"/>
        <rFont val="Arial"/>
        <family val="0"/>
        <charset val="1"/>
      </rPr>
      <t xml:space="preserve">÷</t>
    </r>
    <r>
      <rPr>
        <sz val="10"/>
        <color rgb="FF000000"/>
        <rFont val="Noto Sans CJK SC"/>
        <family val="2"/>
      </rPr>
      <t xml:space="preserve">（機隊每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營收 </t>
    </r>
    <r>
      <rPr>
        <sz val="10"/>
        <color rgb="FF000000"/>
        <rFont val="Arial"/>
        <family val="0"/>
        <charset val="1"/>
      </rPr>
      <t xml:space="preserve">÷ IF_Util</t>
    </r>
    <r>
      <rPr>
        <sz val="10"/>
        <color rgb="FF000000"/>
        <rFont val="Noto Sans CJK SC"/>
        <family val="2"/>
      </rPr>
      <t xml:space="preserve">），營收以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單價換算（</t>
    </r>
    <r>
      <rPr>
        <sz val="10"/>
        <color rgb="FF000000"/>
        <rFont val="Arial"/>
        <family val="0"/>
        <charset val="1"/>
      </rPr>
      <t xml:space="preserve">Alloc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用 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。原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口徑的值保留為 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（標籤：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新建、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單價、固定模型；不與 </t>
    </r>
    <r>
      <rPr>
        <sz val="10"/>
        <color rgb="FF000000"/>
        <rFont val="Arial"/>
        <family val="0"/>
        <charset val="1"/>
      </rPr>
      <t xml:space="preserve">2025 m </t>
    </r>
    <r>
      <rPr>
        <sz val="10"/>
        <color rgb="FF000000"/>
        <rFont val="Noto Sans CJK SC"/>
        <family val="2"/>
      </rPr>
      <t xml:space="preserve">比較）。</t>
    </r>
    <r>
      <rPr>
        <sz val="10"/>
        <color rgb="FF000000"/>
        <rFont val="Arial"/>
        <family val="0"/>
        <charset val="1"/>
      </rPr>
      <t xml:space="preserve">L1_PriceReqBE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L1_PriceRealFleet </t>
    </r>
    <r>
      <rPr>
        <sz val="10"/>
        <color rgb="FF000000"/>
        <rFont val="Noto Sans CJK SC"/>
        <family val="2"/>
      </rPr>
      <t xml:space="preserve">同為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單價與機隊口徑。</t>
    </r>
    <r>
      <rPr>
        <sz val="10"/>
        <color rgb="FF000000"/>
        <rFont val="Arial"/>
        <family val="0"/>
        <charset val="1"/>
      </rPr>
      <t xml:space="preserve">L1_FleetBreakeven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截面，只改標籤（寫明『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截面，非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機隊』）；判斷依據：兩者是 </t>
    </r>
    <r>
      <rPr>
        <sz val="10"/>
        <color rgb="FF000000"/>
        <rFont val="Arial"/>
        <family val="0"/>
        <charset val="1"/>
      </rPr>
      <t xml:space="preserve">Checks K4 </t>
    </r>
    <r>
      <rPr>
        <sz val="10"/>
        <color rgb="FF000000"/>
        <rFont val="Noto Sans CJK SC"/>
        <family val="2"/>
      </rPr>
      <t xml:space="preserve">比對的恆等式（</t>
    </r>
    <r>
      <rPr>
        <sz val="10"/>
        <color rgb="FF000000"/>
        <rFont val="Arial"/>
        <family val="0"/>
        <charset val="1"/>
      </rPr>
      <t xml:space="preserve">IF_RevGWFleet_Prod[VR200] ÷ IF_HoldEcon[VR200]</t>
    </r>
    <r>
      <rPr>
        <sz val="10"/>
        <color rgb="FF000000"/>
        <rFont val="Noto Sans CJK SC"/>
        <family val="2"/>
      </rPr>
      <t xml:space="preserve">），契約第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節已列 </t>
    </r>
    <r>
      <rPr>
        <sz val="10"/>
        <color rgb="FF000000"/>
        <rFont val="Arial"/>
        <family val="0"/>
        <charset val="1"/>
      </rPr>
      <t xml:space="preserve">L1_FleetMargin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倍數，改為機隊口徑會同時改變契約內既有名稱的定義。</t>
    </r>
    <r>
      <rPr>
        <sz val="10"/>
        <color rgb="FF000000"/>
        <rFont val="Arial"/>
        <family val="0"/>
        <charset val="1"/>
      </rPr>
      <t xml:space="preserve">Checks B43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占比改讀 </t>
    </r>
    <r>
      <rPr>
        <sz val="10"/>
        <color rgb="FF000000"/>
        <rFont val="Arial"/>
        <family val="0"/>
        <charset val="1"/>
      </rPr>
      <t xml:space="preserve">AL_Mix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AL_MixHopper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0.6</t>
    </r>
    <r>
      <rPr>
        <sz val="10"/>
        <color rgb="FF000000"/>
        <rFont val="Noto Sans CJK SC"/>
        <family val="2"/>
      </rPr>
      <t xml:space="preserve">），不再讀 </t>
    </r>
    <r>
      <rPr>
        <sz val="10"/>
        <color rgb="FF000000"/>
        <rFont val="Arial"/>
        <family val="0"/>
        <charset val="1"/>
      </rPr>
      <t xml:space="preserve">Checks!I46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0.57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</si>
  <si>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L1_LReqFleet_VR200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L1_FleetBreakeven2025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L1_PriceReqBE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240 </t>
    </r>
    <r>
      <rPr>
        <sz val="10"/>
        <color rgb="FF000000"/>
        <rFont val="Noto Sans CJK SC"/>
        <family val="2"/>
      </rPr>
      <t xml:space="preserve">列與 </t>
    </r>
    <r>
      <rPr>
        <sz val="10"/>
        <color rgb="FF000000"/>
        <rFont val="Arial"/>
        <family val="0"/>
        <charset val="1"/>
      </rPr>
      <t xml:space="preserve">M-3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Checks B43</t>
    </r>
  </si>
  <si>
    <t xml:space="preserve">工作單 docs/workorders/20261016_稽核修正2.md r1 第 4r1 節 L4</t>
  </si>
  <si>
    <t xml:space="preserve">稽核修正第 2 批 2-3：服務 GW 主口徑改支出路線（D14）</t>
  </si>
  <si>
    <r>
      <rPr>
        <sz val="10"/>
        <color rgb="FF000000"/>
        <rFont val="Arial"/>
        <family val="0"/>
        <charset val="1"/>
      </rPr>
      <t xml:space="preserve">AL_Q1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AL_ImpliedRDGW </t>
    </r>
    <r>
      <rPr>
        <sz val="10"/>
        <color rgb="FF000000"/>
        <rFont val="Noto Sans CJK SC"/>
        <family val="2"/>
      </rPr>
      <t xml:space="preserve">的服務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改讀 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AL_Q2 </t>
    </r>
    <r>
      <rPr>
        <sz val="10"/>
        <color rgb="FF000000"/>
        <rFont val="Noto Sans CJK SC"/>
        <family val="2"/>
      </rPr>
      <t xml:space="preserve">的服務持有成本＝</t>
    </r>
    <r>
      <rPr>
        <sz val="10"/>
        <color rgb="FF000000"/>
        <rFont val="Arial"/>
        <family val="0"/>
        <charset val="1"/>
      </rPr>
      <t xml:space="preserve">AL_ServeGWSpend × Σ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AL_ShareGen × AL_HoldGen</t>
    </r>
    <r>
      <rPr>
        <sz val="10"/>
        <color rgb="FF000000"/>
        <rFont val="Noto Sans CJK SC"/>
        <family val="2"/>
      </rPr>
      <t xml:space="preserve">）（＝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 </t>
    </r>
    <r>
      <rPr>
        <sz val="10"/>
        <color rgb="FF000000"/>
        <rFont val="Noto Sans CJK SC"/>
        <family val="2"/>
      </rPr>
      <t xml:space="preserve">隨之改為支出路線（契約改變，主版 </t>
    </r>
    <r>
      <rPr>
        <sz val="10"/>
        <color rgb="FF000000"/>
        <rFont val="Arial"/>
        <family val="0"/>
        <charset val="1"/>
      </rPr>
      <t xml:space="preserve">v8.0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路線保留為對照列：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L </t>
    </r>
    <r>
      <rPr>
        <sz val="10"/>
        <color rgb="FF000000"/>
        <rFont val="Noto Sans CJK SC"/>
        <family val="2"/>
      </rPr>
      <t xml:space="preserve">節）、</t>
    </r>
    <r>
      <rPr>
        <sz val="10"/>
        <color rgb="FF000000"/>
        <rFont val="Arial"/>
        <family val="0"/>
        <charset val="1"/>
      </rPr>
      <t xml:space="preserve">IF_AllocServeGW_Tok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Interface K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IF_AllocQ1_R2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路線。</t>
    </r>
    <r>
      <rPr>
        <sz val="10"/>
        <color rgb="FF000000"/>
        <rFont val="Arial"/>
        <family val="0"/>
        <charset val="1"/>
      </rPr>
      <t xml:space="preserve">L1_ScaleServe </t>
    </r>
    <r>
      <rPr>
        <sz val="10"/>
        <color rgb="FF000000"/>
        <rFont val="Noto Sans CJK SC"/>
        <family val="2"/>
      </rPr>
      <t xml:space="preserve">改標『支出路線 </t>
    </r>
    <r>
      <rPr>
        <sz val="10"/>
        <color rgb="FF000000"/>
        <rFont val="Arial"/>
        <family val="0"/>
        <charset val="1"/>
      </rPr>
      <t xml:space="preserve">÷ token </t>
    </r>
    <r>
      <rPr>
        <sz val="10"/>
        <color rgb="FF000000"/>
        <rFont val="Noto Sans CJK SC"/>
        <family val="2"/>
      </rPr>
      <t xml:space="preserve">路線差距（未解釋）』，數值不變（工作單寫『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支出路線』，與實際比值方向相反，以實際為準）；</t>
    </r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路線（推算）對支出路線（外部）；</t>
    </r>
    <r>
      <rPr>
        <sz val="10"/>
        <color rgb="FF000000"/>
        <rFont val="Arial"/>
        <family val="0"/>
        <charset val="1"/>
      </rPr>
      <t xml:space="preserve">L1!L69 </t>
    </r>
    <r>
      <rPr>
        <sz val="10"/>
        <color rgb="FF000000"/>
        <rFont val="Noto Sans CJK SC"/>
        <family val="2"/>
      </rPr>
      <t xml:space="preserve">來源標籤改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L1_PretrainFLOP_Astra_Ext </t>
    </r>
    <r>
      <rPr>
        <sz val="10"/>
        <color rgb="FF000000"/>
        <rFont val="Noto Sans CJK SC"/>
        <family val="2"/>
      </rPr>
      <t xml:space="preserve">標為 </t>
    </r>
    <r>
      <rPr>
        <sz val="10"/>
        <color rgb="FF000000"/>
        <rFont val="Arial"/>
        <family val="0"/>
        <charset val="1"/>
      </rPr>
      <t xml:space="preserve">Epoch 1.0e27 </t>
    </r>
    <r>
      <rPr>
        <sz val="10"/>
        <color rgb="FF000000"/>
        <rFont val="Noto Sans CJK SC"/>
        <family val="2"/>
      </rPr>
      <t xml:space="preserve">上限（叢集總算力，含後訓練）；新增 </t>
    </r>
    <r>
      <rPr>
        <sz val="10"/>
        <color rgb="FF000000"/>
        <rFont val="Arial"/>
        <family val="0"/>
        <charset val="1"/>
      </rPr>
      <t xml:space="preserve">L1_AstraExtTok_180B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400B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800B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FLOP ÷ 6N</t>
    </r>
    <r>
      <rPr>
        <sz val="10"/>
        <color rgb="FF000000"/>
        <rFont val="Noto Sans CJK SC"/>
        <family val="2"/>
      </rPr>
      <t xml:space="preserve">）；基準 </t>
    </r>
    <r>
      <rPr>
        <sz val="10"/>
        <color rgb="FF000000"/>
        <rFont val="Arial"/>
        <family val="0"/>
        <charset val="1"/>
      </rPr>
      <t xml:space="preserve">token 60T </t>
    </r>
    <r>
      <rPr>
        <sz val="10"/>
        <color rgb="FF000000"/>
        <rFont val="Noto Sans CJK SC"/>
        <family val="2"/>
      </rPr>
      <t xml:space="preserve">與參數 </t>
    </r>
    <r>
      <rPr>
        <sz val="10"/>
        <color rgb="FF000000"/>
        <rFont val="Arial"/>
        <family val="0"/>
        <charset val="1"/>
      </rPr>
      <t xml:space="preserve">180B </t>
    </r>
    <r>
      <rPr>
        <sz val="10"/>
        <color rgb="FF000000"/>
        <rFont val="Noto Sans CJK SC"/>
        <family val="2"/>
      </rPr>
      <t xml:space="preserve">不變；</t>
    </r>
    <r>
      <rPr>
        <sz val="10"/>
        <color rgb="FF000000"/>
        <rFont val="Arial"/>
        <family val="0"/>
        <charset val="1"/>
      </rPr>
      <t xml:space="preserve">L1_AstraScale </t>
    </r>
    <r>
      <rPr>
        <sz val="10"/>
        <color rgb="FF000000"/>
        <rFont val="Noto Sans CJK SC"/>
        <family val="2"/>
      </rPr>
      <t xml:space="preserve">標『未解釋』。</t>
    </r>
  </si>
  <si>
    <r>
      <rPr>
        <sz val="10"/>
        <color rgb="FF000000"/>
        <rFont val="Arial"/>
        <family val="0"/>
        <charset val="1"/>
      </rPr>
      <t xml:space="preserve">Alloc D </t>
    </r>
    <r>
      <rPr>
        <sz val="10"/>
        <color rgb="FF000000"/>
        <rFont val="Noto Sans CJK SC"/>
        <family val="2"/>
      </rPr>
      <t xml:space="preserve">節與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Interface 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ExtServeGW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AstraExtTok_*</t>
    </r>
  </si>
  <si>
    <t xml:space="preserve">工作單 docs/workorders/20261016_稽核修正2.md r1 第 4r1 節 L5</t>
  </si>
  <si>
    <t xml:space="preserve">AF2e-M1</t>
  </si>
  <si>
    <t xml:space="preserve">v9.0</t>
  </si>
  <si>
    <t xml:space="preserve">稽核修正第 2 批 2-4：快取命中進產能（D9）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</si>
  <si>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Sens_Perf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鏡像頁的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計算量與時間只計新鮮輸入 </t>
    </r>
    <r>
      <rPr>
        <sz val="10"/>
        <color rgb="FF000000"/>
        <rFont val="Arial"/>
        <family val="0"/>
        <charset val="1"/>
      </rPr>
      <t xml:space="preserve">ISL × (1 − B4_CacheHit)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TTFT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列）、每請求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秒（第 </t>
    </r>
    <r>
      <rPr>
        <sz val="10"/>
        <color rgb="FF000000"/>
        <rFont val="Arial"/>
        <family val="0"/>
        <charset val="1"/>
      </rPr>
      <t xml:space="preserve">93 </t>
    </r>
    <r>
      <rPr>
        <sz val="10"/>
        <color rgb="FF000000"/>
        <rFont val="Noto Sans CJK SC"/>
        <family val="2"/>
      </rPr>
      <t xml:space="preserve">列）、</t>
    </r>
    <r>
      <rPr>
        <sz val="10"/>
        <color rgb="FF000000"/>
        <rFont val="Arial"/>
        <family val="0"/>
        <charset val="1"/>
      </rPr>
      <t xml:space="preserve">prefill GPU </t>
    </r>
    <r>
      <rPr>
        <sz val="10"/>
        <color rgb="FF000000"/>
        <rFont val="Noto Sans CJK SC"/>
        <family val="2"/>
      </rPr>
      <t xml:space="preserve">占比（第 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列）。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計入的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定義不變（每請求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OSL</t>
    </r>
    <r>
      <rPr>
        <sz val="10"/>
        <color rgb="FF000000"/>
        <rFont val="Noto Sans CJK SC"/>
        <family val="2"/>
      </rPr>
      <t xml:space="preserve">，快取輸入仍算作已服務的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，以快取價計價）；快取輸入的讀取成本維持在成本端（</t>
    </r>
    <r>
      <rPr>
        <sz val="10"/>
        <color rgb="FF000000"/>
        <rFont val="Arial"/>
        <family val="0"/>
        <charset val="1"/>
      </rPr>
      <t xml:space="preserve">Cache_Store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102 </t>
    </r>
    <r>
      <rPr>
        <sz val="10"/>
        <color rgb="FF000000"/>
        <rFont val="Noto Sans CJK SC"/>
        <family val="2"/>
      </rPr>
      <t xml:space="preserve">列），不重複計入。</t>
    </r>
    <r>
      <rPr>
        <sz val="10"/>
        <color rgb="FF000000"/>
        <rFont val="Arial"/>
        <family val="0"/>
        <charset val="1"/>
      </rPr>
      <t xml:space="preserve">Perf_Batch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rollout</t>
    </r>
    <r>
      <rPr>
        <sz val="10"/>
        <color rgb="FF000000"/>
        <rFont val="Noto Sans CJK SC"/>
        <family val="2"/>
      </rPr>
      <t xml:space="preserve">、蒸餾等批次推論，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頁讀它）維持全 </t>
    </r>
    <r>
      <rPr>
        <sz val="10"/>
        <color rgb="FF000000"/>
        <rFont val="Arial"/>
        <family val="0"/>
        <charset val="1"/>
      </rPr>
      <t xml:space="preserve">ISL</t>
    </r>
    <r>
      <rPr>
        <sz val="10"/>
        <color rgb="FF000000"/>
        <rFont val="Noto Sans CJK SC"/>
        <family val="2"/>
      </rPr>
      <t xml:space="preserve">：工作單另規定 </t>
    </r>
    <r>
      <rPr>
        <sz val="10"/>
        <color rgb="FF000000"/>
        <rFont val="Arial"/>
        <family val="0"/>
        <charset val="1"/>
      </rPr>
      <t xml:space="preserve">Training </t>
    </r>
    <r>
      <rPr>
        <sz val="10"/>
        <color rgb="FF000000"/>
        <rFont val="Noto Sans CJK SC"/>
        <family val="2"/>
      </rPr>
      <t xml:space="preserve">全部數值不得變，兩者衝突時取後者；批次推論無對外服務的快取命中率（</t>
    </r>
    <r>
      <rPr>
        <sz val="10"/>
        <color rgb="FF000000"/>
        <rFont val="Arial"/>
        <family val="0"/>
        <charset val="1"/>
      </rPr>
      <t xml:space="preserve">B4_CacheHit </t>
    </r>
    <r>
      <rPr>
        <sz val="10"/>
        <color rgb="FF000000"/>
        <rFont val="Noto Sans CJK SC"/>
        <family val="2"/>
      </rPr>
      <t xml:space="preserve">是對外參考請求的值）。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平均位置（第 </t>
    </r>
    <r>
      <rPr>
        <sz val="10"/>
        <color rgb="FF000000"/>
        <rFont val="Arial"/>
        <family val="0"/>
        <charset val="1"/>
      </rPr>
      <t xml:space="preserve">46 </t>
    </r>
    <r>
      <rPr>
        <sz val="10"/>
        <color rgb="FF000000"/>
        <rFont val="Noto Sans CJK SC"/>
        <family val="2"/>
      </rPr>
      <t xml:space="preserve">列＝</t>
    </r>
    <r>
      <rPr>
        <sz val="10"/>
        <color rgb="FF000000"/>
        <rFont val="Arial"/>
        <family val="0"/>
        <charset val="1"/>
      </rPr>
      <t xml:space="preserve">ISL ÷ 2</t>
    </r>
    <r>
      <rPr>
        <sz val="10"/>
        <color rgb="FF000000"/>
        <rFont val="Noto Sans CJK SC"/>
        <family val="2"/>
      </rPr>
      <t xml:space="preserve">）不隨快取調整（新鮮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實際位置在 </t>
    </r>
    <r>
      <rPr>
        <sz val="10"/>
        <color rgb="FF000000"/>
        <rFont val="Arial"/>
        <family val="0"/>
        <charset val="1"/>
      </rPr>
      <t xml:space="preserve">ISL </t>
    </r>
    <r>
      <rPr>
        <sz val="10"/>
        <color rgb="FF000000"/>
        <rFont val="Noto Sans CJK SC"/>
        <family val="2"/>
      </rPr>
      <t xml:space="preserve">後段，平均注意跨度略大；影響為二階，列待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判斷）。基準下 </t>
    </r>
    <r>
      <rPr>
        <sz val="10"/>
        <color rgb="FF000000"/>
        <rFont val="Arial"/>
        <family val="0"/>
        <charset val="1"/>
      </rPr>
      <t xml:space="preserve">Hopper Astra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TTFT 6.08 s → 2.74 s</t>
    </r>
    <r>
      <rPr>
        <sz val="10"/>
        <color rgb="FF000000"/>
        <rFont val="Noto Sans CJK SC"/>
        <family val="2"/>
      </rPr>
      <t xml:space="preserve">，恢復可達；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全部上升。情境 </t>
    </r>
    <r>
      <rPr>
        <sz val="10"/>
        <color rgb="FF000000"/>
        <rFont val="Arial"/>
        <family val="0"/>
        <charset val="1"/>
      </rPr>
      <t xml:space="preserve">d9_cache_cap_off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B4_CacheHit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）的產能端與 </t>
    </r>
    <r>
      <rPr>
        <sz val="10"/>
        <color rgb="FF000000"/>
        <rFont val="Arial"/>
        <family val="0"/>
        <charset val="1"/>
      </rPr>
      <t xml:space="preserve">v8.0 </t>
    </r>
    <r>
      <rPr>
        <sz val="10"/>
        <color rgb="FF000000"/>
        <rFont val="Noto Sans CJK SC"/>
        <family val="2"/>
      </rPr>
      <t xml:space="preserve">一致。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</si>
  <si>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M1–M7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5r1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</si>
  <si>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v9.0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</si>
  <si>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94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perf.py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不變</t>
    </r>
  </si>
  <si>
    <t xml:space="preserve">工作單 docs/workorders/20261016_稽核修正2.md r1 第 5r1 節 M1</t>
  </si>
  <si>
    <t xml:space="preserve">AF2e-M2</t>
  </si>
  <si>
    <t xml:space="preserve">稽核修正第 2 批 2-4：免費占比統一口徑（D9）</t>
  </si>
  <si>
    <t xml:space="preserve">乘在 token 上的占比一律用 token 口徑、乘在支出（或 GW）上的占比用支出口徑。逐格判斷：Cap_In 第 87 列（外部 Epoch token × 付費占比）原用支出口徑 IF_FreeShare（0.46），改用 token 口徑 1 − AL_FreeShare（0.4）；Cap_In 第 113 列（r 的支出口徑換算）本來就是把支出占比經付費產能倍數換成 token 比，口徑正確，不改；Fleet_1GW 第 11、12 列與 Sens_Rev F14／F15 乘的是 GW 或營收占比，口徑正確，不改。AL_FreeShare（0.6）是 ChatGPT token 中免費用戶占比，Epoch 為前沿實驗室總量（含 API）——全體適用與否列待 Project 判斷。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</si>
  <si>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97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L1_MImplied_Ext</t>
    </r>
  </si>
  <si>
    <t xml:space="preserve">工作單 docs/workorders/20261016_稽核修正2.md r1 第 5r1 節 M2</t>
  </si>
  <si>
    <t xml:space="preserve">AF2e-M3</t>
  </si>
  <si>
    <t xml:space="preserve">稽核修正第 2 批 2-4：κ 套到價格端（D9）</t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</si>
  <si>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混合有效單價）與 </t>
    </r>
    <r>
      <rPr>
        <sz val="10"/>
        <color rgb="FF000000"/>
        <rFont val="Arial"/>
        <family val="0"/>
        <charset val="1"/>
      </rPr>
      <t xml:space="preserve">CAP_Price25Mix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）乘上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三欄同乘 </t>
    </r>
    <r>
      <rPr>
        <sz val="10"/>
        <color rgb="FF000000"/>
        <rFont val="Arial"/>
        <family val="0"/>
        <charset val="1"/>
      </rPr>
      <t xml:space="preserve">AL_Kappa</t>
    </r>
    <r>
      <rPr>
        <sz val="10"/>
        <color rgb="FF000000"/>
        <rFont val="Noto Sans CJK SC"/>
        <family val="2"/>
      </rPr>
      <t xml:space="preserve">，價格區間不與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區間交叉）；基準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，基準值不變。機隊口徑單價 </t>
    </r>
    <r>
      <rPr>
        <sz val="10"/>
        <color rgb="FF000000"/>
        <rFont val="Arial"/>
        <family val="0"/>
        <charset val="1"/>
      </rPr>
      <t xml:space="preserve">AL_PriceFleet25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AL_PriceFleet </t>
    </r>
    <r>
      <rPr>
        <sz val="10"/>
        <color rgb="FF000000"/>
        <rFont val="Noto Sans CJK SC"/>
        <family val="2"/>
      </rPr>
      <t xml:space="preserve">未乘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（工作單只列前兩者），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情境下機隊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的價格端仍不隨 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；乘或除 </t>
    </r>
    <r>
      <rPr>
        <sz val="10"/>
        <color rgb="FF000000"/>
        <rFont val="Arial"/>
        <family val="0"/>
        <charset val="1"/>
      </rPr>
      <t xml:space="preserve">κ </t>
    </r>
    <r>
      <rPr>
        <sz val="10"/>
        <color rgb="FF000000"/>
        <rFont val="Noto Sans CJK SC"/>
        <family val="2"/>
      </rPr>
      <t xml:space="preserve">的方向亦列待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判斷（</t>
    </r>
    <r>
      <rPr>
        <sz val="10"/>
        <color rgb="FF000000"/>
        <rFont val="Arial"/>
        <family val="0"/>
        <charset val="1"/>
      </rPr>
      <t xml:space="preserve">κ</t>
    </r>
    <r>
      <rPr>
        <sz val="10"/>
        <color rgb="FF000000"/>
        <rFont val="Noto Sans CJK SC"/>
        <family val="2"/>
      </rPr>
      <t xml:space="preserve">＝每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秒總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比；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多的流量單價通常較低）。</t>
    </r>
  </si>
  <si>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90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CAP_Price25Mix</t>
    </r>
  </si>
  <si>
    <t xml:space="preserve">工作單 docs/workorders/20261016_稽核修正2.md r1 第 5r1 節 M3</t>
  </si>
  <si>
    <t xml:space="preserve">AF2e-M4</t>
  </si>
  <si>
    <t xml:space="preserve">稽核修正第 2 批 2-4：IF_AmortRev_* 分母改付費 token（第 1 批遺留）</t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</si>
  <si>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列（及 </t>
    </r>
    <r>
      <rPr>
        <sz val="10"/>
        <color rgb="FF000000"/>
        <rFont val="Arial"/>
        <family val="0"/>
        <charset val="1"/>
      </rPr>
      <t xml:space="preserve">Amortize_Prod </t>
    </r>
    <r>
      <rPr>
        <sz val="10"/>
        <color rgb="FF000000"/>
        <rFont val="Noto Sans CJK SC"/>
        <family val="2"/>
      </rPr>
      <t xml:space="preserve">同列）的分母由「付費＋免費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」改為該層級付費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，與 </t>
    </r>
    <r>
      <rPr>
        <sz val="10"/>
        <color rgb="FF000000"/>
        <rFont val="Arial"/>
        <family val="0"/>
        <charset val="1"/>
      </rPr>
      <t xml:space="preserve">D11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BU </t>
    </r>
    <r>
      <rPr>
        <sz val="10"/>
        <color rgb="FF000000"/>
        <rFont val="Noto Sans CJK SC"/>
        <family val="2"/>
      </rPr>
      <t xml:space="preserve">分母一致；總額（由上而下年化總額）與營收權重不變。</t>
    </r>
  </si>
  <si>
    <r>
      <rPr>
        <sz val="10"/>
        <color rgb="FF000000"/>
        <rFont val="Arial"/>
        <family val="0"/>
        <charset val="1"/>
      </rPr>
      <t xml:space="preserve">Amortize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48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IF_AmortRev_Luna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</t>
    </r>
  </si>
  <si>
    <t xml:space="preserve">工作單 docs/workorders/20261016_稽核修正2.md r1 第 5r1 節 M4</t>
  </si>
  <si>
    <t xml:space="preserve">AF2e-M5</t>
  </si>
  <si>
    <t xml:space="preserve">稽核修正第 2 批 2-4：回本判讀的讀法</t>
  </si>
  <si>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（字面讀法：</t>
    </r>
    <r>
      <rPr>
        <sz val="10"/>
        <color rgb="FF000000"/>
        <rFont val="Arial"/>
        <family val="0"/>
        <charset val="1"/>
      </rPr>
      <t xml:space="preserve">L1_FleetBreakeven2025 ÷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IF_Util × CTL_ProdDerate × m</t>
    </r>
    <r>
      <rPr>
        <sz val="10"/>
        <color rgb="FF000000"/>
        <rFont val="Noto Sans CJK SC"/>
        <family val="2"/>
      </rPr>
      <t xml:space="preserve">））與 </t>
    </r>
    <r>
      <rPr>
        <sz val="10"/>
        <color rgb="FF000000"/>
        <rFont val="Arial"/>
        <family val="0"/>
        <charset val="1"/>
      </rPr>
      <t xml:space="preserve">L1_LReqFleet_Id</t>
    </r>
    <r>
      <rPr>
        <sz val="10"/>
        <color rgb="FF000000"/>
        <rFont val="Noto Sans CJK SC"/>
        <family val="2"/>
      </rPr>
      <t xml:space="preserve">（恆等式讀法：支出路線服務 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的持有成本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營收）並列。</t>
    </r>
    <r>
      <rPr>
        <sz val="10"/>
        <color rgb="FF000000"/>
        <rFont val="Arial"/>
        <family val="0"/>
        <charset val="1"/>
      </rPr>
      <t xml:space="preserve">M1–M4 </t>
    </r>
    <r>
      <rPr>
        <sz val="10"/>
        <color rgb="FF000000"/>
        <rFont val="Noto Sans CJK SC"/>
        <family val="2"/>
      </rPr>
      <t xml:space="preserve">後兩者仍差約 </t>
    </r>
    <r>
      <rPr>
        <sz val="10"/>
        <color rgb="FF000000"/>
        <rFont val="Arial"/>
        <family val="0"/>
        <charset val="1"/>
      </rPr>
      <t xml:space="preserve">2.7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&gt;10%</t>
    </r>
    <r>
      <rPr>
        <sz val="10"/>
        <color rgb="FF000000"/>
        <rFont val="Noto Sans CJK SC"/>
        <family val="2"/>
      </rPr>
      <t xml:space="preserve">），判讀欄（</t>
    </r>
    <r>
      <rPr>
        <sz val="10"/>
        <color rgb="FF000000"/>
        <rFont val="Arial"/>
        <family val="0"/>
        <charset val="1"/>
      </rPr>
      <t xml:space="preserve">L1 P </t>
    </r>
    <r>
      <rPr>
        <sz val="10"/>
        <color rgb="FF000000"/>
        <rFont val="Noto Sans CJK SC"/>
        <family val="2"/>
      </rPr>
      <t xml:space="preserve">欄）改以恆等式讀法為主、字面讀法並列並寫明差幾倍；兩者相差 ≤</t>
    </r>
    <r>
      <rPr>
        <sz val="10"/>
        <color rgb="FF000000"/>
        <rFont val="Arial"/>
        <family val="0"/>
        <charset val="1"/>
      </rPr>
      <t xml:space="preserve">10% </t>
    </r>
    <r>
      <rPr>
        <sz val="10"/>
        <color rgb="FF000000"/>
        <rFont val="Noto Sans CJK SC"/>
        <family val="2"/>
      </rPr>
      <t xml:space="preserve">時自動改以字面讀法為主。差距來源見 </t>
    </r>
    <r>
      <rPr>
        <sz val="10"/>
        <color rgb="FF000000"/>
        <rFont val="Arial"/>
        <family val="0"/>
        <charset val="1"/>
      </rPr>
      <t xml:space="preserve">2-4 </t>
    </r>
    <r>
      <rPr>
        <sz val="10"/>
        <color rgb="FF000000"/>
        <rFont val="Noto Sans CJK SC"/>
        <family val="2"/>
      </rPr>
      <t xml:space="preserve">報告第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節。</t>
    </r>
  </si>
  <si>
    <r>
      <rPr>
        <sz val="10"/>
        <color rgb="FF000000"/>
        <rFont val="Arial"/>
        <family val="0"/>
        <charset val="1"/>
      </rPr>
      <t xml:space="preserve">L1!P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L1_LReqFleet </t>
    </r>
    <r>
      <rPr>
        <sz val="10"/>
        <color rgb="FF000000"/>
        <rFont val="Noto Sans CJK SC"/>
        <family val="2"/>
      </rPr>
      <t xml:space="preserve">列）</t>
    </r>
  </si>
  <si>
    <t xml:space="preserve">工作單 docs/workorders/20261016_稽核修正2.md r1 第 5r1 節 M5</t>
  </si>
  <si>
    <t xml:space="preserve">AF2e-M6</t>
  </si>
  <si>
    <t xml:space="preserve">稽核修正第 2 批 2-4：2-3 口徑後續（D2、D14）</t>
  </si>
  <si>
    <t xml:space="preserve">需求路線的 m（Cap_In H5 的 L1_MImplied／L1_MImplied_Ext 與 H8 的 L1_MAPI／MSub／MSeat，含非文字扣除與「必須為真」顯示列）改用 2025 年度混合有效單價 CAP_Price25Mix；Cap_In 第 241 列（m＝L1_MAPI 的所需 L）改讀 L1_FleetBreakeven2025；IF_AllocQ1_R2 的服務 GW 改支出路線，免費服務 GW＝服務 GW × AL_FreeSpendShare；L1_ExtServeGW 改回「模型主口徑（支出路線）對外部」，token 路線另見 IF_AllocServeGW_Tok／L1_ScaleServe；價格區間（_Lo／_Hi）不交叉進 m 的低／高（與世代價格 B 段的不交叉組合一致）。注意：L1_ExtServeGW 的主口徑與外部對照同源，比值恆為 1，不再是獨立檢驗。</t>
  </si>
  <si>
    <r>
      <rPr>
        <sz val="10"/>
        <color rgb="FF000000"/>
        <rFont val="Arial"/>
        <family val="0"/>
        <charset val="1"/>
      </rPr>
      <t xml:space="preserve">Cap_In H5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H8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I-7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57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196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L1_ExtServeGW</t>
    </r>
  </si>
  <si>
    <t xml:space="preserve">工作單 docs/workorders/20261016_稽核修正2.md r1 第 5r1 節 M6</t>
  </si>
  <si>
    <t xml:space="preserve">AF2e-M7</t>
  </si>
  <si>
    <t xml:space="preserve">稽核修正第 2 批 2-4：文字旗標與契約文件</t>
  </si>
  <si>
    <t xml:space="preserve">文字旗標字樣依成因保留「SLO 不可達」「TTFT 不可達」「整代不可達」；下游契約第 2 節第 2 條改寫為『凡文字＝不可用，下游以是否為數字判斷，不以字串比對』；契約第 5 節補 v6.2、v6.3、v8.0、v9.0 條目；過渡別名 IF_RevGWFleet_Life、IF_RevGW_*_Life 延後到下游同步（Andy 跑完 CoreWeave）之後的第一個主版刪除。</t>
  </si>
  <si>
    <t xml:space="preserve">docs/plan/Tokenomics_downstream_contract.md</t>
  </si>
  <si>
    <t xml:space="preserve">工作單 docs/workorders/20261016_稽核修正2.md r1 第 5r1 節 M7</t>
  </si>
  <si>
    <t xml:space="preserve">AF2f-N1</t>
  </si>
  <si>
    <t xml:space="preserve">v10.0</t>
  </si>
  <si>
    <t xml:space="preserve">稽核修正第 2 批 2-5：D12 自算 L、m 情境欄（不回流）</t>
  </si>
  <si>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L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IFW_*_LifeSelf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IFW_*_Prod × L1_LTotal × L1_MFleet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個營收名稱：</t>
    </r>
    <r>
      <rPr>
        <sz val="10"/>
        <color rgb="FF000000"/>
        <rFont val="Arial"/>
        <family val="0"/>
        <charset val="1"/>
      </rPr>
      <t xml:space="preserve">RevGW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RevGWFront </t>
    </r>
    <r>
      <rPr>
        <sz val="10"/>
        <color rgb="FF000000"/>
        <rFont val="Noto Sans CJK SC"/>
        <family val="2"/>
      </rPr>
      <t xml:space="preserve">三層級、</t>
    </r>
    <r>
      <rPr>
        <sz val="10"/>
        <color rgb="FF000000"/>
        <rFont val="Arial"/>
        <family val="0"/>
        <charset val="1"/>
      </rPr>
      <t xml:space="preserve">RevGWFleetFront</t>
    </r>
    <r>
      <rPr>
        <sz val="10"/>
        <color rgb="FF000000"/>
        <rFont val="Noto Sans CJK SC"/>
        <family val="2"/>
      </rPr>
      <t xml:space="preserve">）；控制值 </t>
    </r>
    <r>
      <rPr>
        <sz val="10"/>
        <color rgb="FF000000"/>
        <rFont val="Arial"/>
        <family val="0"/>
        <charset val="1"/>
      </rPr>
      <t xml:space="preserve">CTL_PriceLife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CTL_Monetize </t>
    </r>
    <r>
      <rPr>
        <sz val="10"/>
        <color rgb="FF000000"/>
        <rFont val="Noto Sans CJK SC"/>
        <family val="2"/>
      </rPr>
      <t xml:space="preserve">仍為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IFW_*_Life </t>
    </r>
    <r>
      <rPr>
        <sz val="10"/>
        <color rgb="FF000000"/>
        <rFont val="Noto Sans CJK SC"/>
        <family val="2"/>
      </rPr>
      <t xml:space="preserve">不變。不得有任何公式讀取這些名稱（</t>
    </r>
    <r>
      <rPr>
        <sz val="10"/>
        <color rgb="FF000000"/>
        <rFont val="Arial"/>
        <family val="0"/>
        <charset val="1"/>
      </rPr>
      <t xml:space="preserve">parity </t>
    </r>
    <r>
      <rPr>
        <sz val="10"/>
        <color rgb="FF000000"/>
        <rFont val="Noto Sans CJK SC"/>
        <family val="2"/>
      </rPr>
      <t xml:space="preserve">測試：</t>
    </r>
    <r>
      <rPr>
        <sz val="10"/>
        <color rgb="FF000000"/>
        <rFont val="Arial"/>
        <family val="0"/>
        <charset val="1"/>
      </rPr>
      <t xml:space="preserve">Interface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Load_Bearing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Gov_Map </t>
    </r>
    <r>
      <rPr>
        <sz val="10"/>
        <color rgb="FF000000"/>
        <rFont val="Noto Sans CJK SC"/>
        <family val="2"/>
      </rPr>
      <t xml:space="preserve">以外引用數＝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）。標籤「情境：自算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）；不回流，不建議下游作為基準」。產能名稱 </t>
    </r>
    <r>
      <rPr>
        <sz val="10"/>
        <color rgb="FF000000"/>
        <rFont val="Arial"/>
        <family val="0"/>
        <charset val="1"/>
      </rPr>
      <t xml:space="preserve">IFW_TokGW_*_Life </t>
    </r>
    <r>
      <rPr>
        <sz val="10"/>
        <color rgb="FF000000"/>
        <rFont val="Noto Sans CJK SC"/>
        <family val="2"/>
      </rPr>
      <t xml:space="preserve">沒有 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作用層（</t>
    </r>
    <r>
      <rPr>
        <sz val="10"/>
        <color rgb="FF000000"/>
        <rFont val="Arial"/>
        <family val="0"/>
        <charset val="1"/>
      </rPr>
      <t xml:space="preserve">Prod × 1</t>
    </r>
    <r>
      <rPr>
        <sz val="10"/>
        <color rgb="FF000000"/>
        <rFont val="Noto Sans CJK SC"/>
        <family val="2"/>
      </rPr>
      <t xml:space="preserve">），不建 </t>
    </r>
    <r>
      <rPr>
        <sz val="10"/>
        <color rgb="FF000000"/>
        <rFont val="Arial"/>
        <family val="0"/>
        <charset val="1"/>
      </rPr>
      <t xml:space="preserve">LifeSelf——</t>
    </r>
    <r>
      <rPr>
        <sz val="10"/>
        <color rgb="FF000000"/>
        <rFont val="Noto Sans CJK SC"/>
        <family val="2"/>
      </rPr>
      <t xml:space="preserve">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</si>
  <si>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端預設（</t>
    </r>
    <r>
      <rPr>
        <sz val="10"/>
        <color rgb="FF000000"/>
        <rFont val="Arial"/>
        <family val="0"/>
        <charset val="1"/>
      </rPr>
      <t xml:space="preserve">N1–N5 </t>
    </r>
    <r>
      <rPr>
        <sz val="10"/>
        <color rgb="FF000000"/>
        <rFont val="Noto Sans CJK SC"/>
        <family val="2"/>
      </rPr>
      <t xml:space="preserve">見工作單 </t>
    </r>
    <r>
      <rPr>
        <sz val="10"/>
        <color rgb="FF000000"/>
        <rFont val="Arial"/>
        <family val="0"/>
        <charset val="1"/>
      </rPr>
      <t xml:space="preserve">6r1</t>
    </r>
    <r>
      <rPr>
        <sz val="10"/>
        <color rgb="FF000000"/>
        <rFont val="Noto Sans CJK SC"/>
        <family val="2"/>
      </rPr>
      <t xml:space="preserve">），可撤回</t>
    </r>
  </si>
  <si>
    <r>
      <rPr>
        <sz val="10"/>
        <color rgb="FF000000"/>
        <rFont val="Arial"/>
        <family val="0"/>
        <charset val="1"/>
      </rPr>
      <t xml:space="preserve">v10.0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</si>
  <si>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Interface L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tests/parity</t>
    </r>
  </si>
  <si>
    <t xml:space="preserve">工作單 docs/workorders/20261016_稽核修正2.md r1 第 6r1 節 N1</t>
  </si>
  <si>
    <t xml:space="preserve">AF2f-N2</t>
  </si>
  <si>
    <t xml:space="preserve">稽核修正第 2 批 2-5：D4 殘差與倒推明示</t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</si>
  <si>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T </t>
    </r>
    <r>
      <rPr>
        <sz val="10"/>
        <color rgb="FF000000"/>
        <rFont val="Noto Sans CJK SC"/>
        <family val="2"/>
      </rPr>
      <t xml:space="preserve">欄「性質」（估計、殘差、倒推、恆等式、未解釋）與 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欄理由，逐列填寫；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各分項為殘差，</t>
    </r>
    <r>
      <rPr>
        <sz val="10"/>
        <color rgb="FF000000"/>
        <rFont val="Arial"/>
        <family val="0"/>
        <charset val="1"/>
      </rPr>
      <t xml:space="preserve">L1_ScaleRD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ScaleServe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AstraScale </t>
    </r>
    <r>
      <rPr>
        <sz val="10"/>
        <color rgb="FF000000"/>
        <rFont val="Noto Sans CJK SC"/>
        <family val="2"/>
      </rPr>
      <t xml:space="preserve">為未解釋，</t>
    </r>
    <r>
      <rPr>
        <sz val="10"/>
        <color rgb="FF000000"/>
        <rFont val="Arial"/>
        <family val="0"/>
        <charset val="1"/>
      </rPr>
      <t xml:space="preserve">AL_ImpliedNk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AL_J8Gap </t>
    </r>
    <r>
      <rPr>
        <sz val="10"/>
        <color rgb="FF000000"/>
        <rFont val="Noto Sans CJK SC"/>
        <family val="2"/>
      </rPr>
      <t xml:space="preserve">為倒推，</t>
    </r>
    <r>
      <rPr>
        <sz val="10"/>
        <color rgb="FF000000"/>
        <rFont val="Arial"/>
        <family val="0"/>
        <charset val="1"/>
      </rPr>
      <t xml:space="preserve">L1_LReqFleet_Id </t>
    </r>
    <r>
      <rPr>
        <sz val="10"/>
        <color rgb="FF000000"/>
        <rFont val="Noto Sans CJK SC"/>
        <family val="2"/>
      </rPr>
      <t xml:space="preserve">為恆等式。缺口分解新增 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L1_ScaleServe2000 ÷ L1_GapProduct</t>
    </r>
    <r>
      <rPr>
        <sz val="10"/>
        <color rgb="FF000000"/>
        <rFont val="Noto Sans CJK SC"/>
        <family val="2"/>
      </rPr>
      <t xml:space="preserve">；四項乘積≠實際缺口，故未解釋≠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），第 </t>
    </r>
    <r>
      <rPr>
        <sz val="10"/>
        <color rgb="FF000000"/>
        <rFont val="Arial"/>
        <family val="0"/>
        <charset val="1"/>
      </rPr>
      <t xml:space="preserve">74 </t>
    </r>
    <r>
      <rPr>
        <sz val="10"/>
        <color rgb="FF000000"/>
        <rFont val="Noto Sans CJK SC"/>
        <family val="2"/>
      </rPr>
      <t xml:space="preserve">列改標「已解釋部分」。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標記沿用（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（粗略）、倒推）；</t>
    </r>
    <r>
      <rPr>
        <sz val="10"/>
        <color rgb="FF000000"/>
        <rFont val="Arial"/>
        <family val="0"/>
        <charset val="1"/>
      </rPr>
      <t xml:space="preserve">Train_In H34 </t>
    </r>
    <r>
      <rPr>
        <sz val="10"/>
        <color rgb="FF000000"/>
        <rFont val="Noto Sans CJK SC"/>
        <family val="2"/>
      </rPr>
      <t xml:space="preserve">補「倒推」。</t>
    </r>
  </si>
  <si>
    <r>
      <rPr>
        <sz val="10"/>
        <color rgb="FF000000"/>
        <rFont val="Arial"/>
        <family val="0"/>
        <charset val="1"/>
      </rPr>
      <t xml:space="preserve">L1 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U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L1_GapUnexplained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Train_In H34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隱含 </t>
    </r>
    <r>
      <rPr>
        <sz val="10"/>
        <color rgb="FF000000"/>
        <rFont val="Arial"/>
        <family val="0"/>
        <charset val="1"/>
      </rPr>
      <t xml:space="preserve">N × 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落差</t>
    </r>
  </si>
  <si>
    <t xml:space="preserve">工作單 docs/workorders/20261016_稽核修正2.md r1 第 6r1 節 N2</t>
  </si>
  <si>
    <t xml:space="preserve">AF2f-N3</t>
  </si>
  <si>
    <t xml:space="preserve">稽核修正第 2 批 2-5：D5 驗證必須能失敗</t>
  </si>
  <si>
    <r>
      <rPr>
        <sz val="10"/>
        <color rgb="FF000000"/>
        <rFont val="Arial"/>
        <family val="0"/>
        <charset val="1"/>
      </rPr>
      <t xml:space="preserve">Checks </t>
    </r>
    <r>
      <rPr>
        <sz val="10"/>
        <color rgb="FF000000"/>
        <rFont val="Noto Sans CJK SC"/>
        <family val="2"/>
      </rPr>
      <t xml:space="preserve">新增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欄「性質」（驗證／恆等式（非驗證）／對照／治理）與 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節驗證計數 </t>
    </r>
    <r>
      <rPr>
        <sz val="10"/>
        <color rgb="FF000000"/>
        <rFont val="Arial"/>
        <family val="0"/>
        <charset val="1"/>
      </rPr>
      <t xml:space="preserve">CHK_VerifyTotal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CHK_VerifyPass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CHK_VerifyFail</t>
    </r>
    <r>
      <rPr>
        <sz val="10"/>
        <color rgb="FF000000"/>
        <rFont val="Noto Sans CJK SC"/>
        <family val="2"/>
      </rPr>
      <t xml:space="preserve">，只計能失敗的檢查；失敗不進 </t>
    </r>
    <r>
      <rPr>
        <sz val="10"/>
        <color rgb="FF000000"/>
        <rFont val="Arial"/>
        <family val="0"/>
        <charset val="1"/>
      </rPr>
      <t xml:space="preserve">GOV_Errors</t>
    </r>
    <r>
      <rPr>
        <sz val="10"/>
        <color rgb="FF000000"/>
        <rFont val="Noto Sans CJK SC"/>
        <family val="2"/>
      </rPr>
      <t xml:space="preserve">，報告列出。恆等式移出計數（</t>
    </r>
    <r>
      <rPr>
        <sz val="10"/>
        <color rgb="FF000000"/>
        <rFont val="Arial"/>
        <family val="0"/>
        <charset val="1"/>
      </rPr>
      <t xml:space="preserve">Checks B14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Interface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229 </t>
    </r>
    <r>
      <rPr>
        <sz val="10"/>
        <color rgb="FF000000"/>
        <rFont val="Noto Sans CJK SC"/>
        <family val="2"/>
      </rPr>
      <t xml:space="preserve">列，另找出 </t>
    </r>
    <r>
      <rPr>
        <sz val="10"/>
        <color rgb="FF000000"/>
        <rFont val="Arial"/>
        <family val="0"/>
        <charset val="1"/>
      </rPr>
      <t xml:space="preserve">B36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D140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改上限檢查（模型 </t>
    </r>
    <r>
      <rPr>
        <sz val="10"/>
        <color rgb="FF000000"/>
        <rFont val="Arial"/>
        <family val="0"/>
        <charset val="1"/>
      </rPr>
      <t xml:space="preserve">÷ MLPerf ≤ 1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節新增 </t>
    </r>
    <r>
      <rPr>
        <sz val="10"/>
        <color rgb="FF000000"/>
        <rFont val="Arial"/>
        <family val="0"/>
        <charset val="1"/>
      </rPr>
      <t xml:space="preserve">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H200 v5.1 server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v5.1 server</t>
    </r>
    <r>
      <rPr>
        <sz val="10"/>
        <color rgb="FF000000"/>
        <rFont val="Noto Sans CJK SC"/>
        <family val="2"/>
      </rPr>
      <t xml:space="preserve">），共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兩點（</t>
    </r>
    <r>
      <rPr>
        <sz val="10"/>
        <color rgb="FF000000"/>
        <rFont val="Arial"/>
        <family val="0"/>
        <charset val="1"/>
      </rPr>
      <t xml:space="preserve">Hopper Sol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）通過帶 </t>
    </r>
    <r>
      <rPr>
        <sz val="10"/>
        <color rgb="FF000000"/>
        <rFont val="Arial"/>
        <family val="0"/>
        <charset val="1"/>
      </rPr>
      <t xml:space="preserve">0.1–0.3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輪數倍數 ≥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（基準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預期失敗，如實顯示）；另納入 </t>
    </r>
    <r>
      <rPr>
        <sz val="10"/>
        <color rgb="FF000000"/>
        <rFont val="Arial"/>
        <family val="0"/>
        <charset val="1"/>
      </rPr>
      <t xml:space="preserve">Checks B15–B17 </t>
    </r>
    <r>
      <rPr>
        <sz val="10"/>
        <color rgb="FF000000"/>
        <rFont val="Noto Sans CJK SC"/>
        <family val="2"/>
      </rPr>
      <t xml:space="preserve">三個樣本外點。新增 </t>
    </r>
    <r>
      <rPr>
        <sz val="10"/>
        <color rgb="FF000000"/>
        <rFont val="Arial"/>
        <family val="0"/>
        <charset val="1"/>
      </rPr>
      <t xml:space="preserve">SRC_PERF_060–065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DB_Evidence E378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</si>
  <si>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Checks G </t>
    </r>
    <r>
      <rPr>
        <sz val="10"/>
        <color rgb="FF000000"/>
        <rFont val="Noto Sans CJK SC"/>
        <family val="2"/>
      </rPr>
      <t xml:space="preserve">欄、</t>
    </r>
    <r>
      <rPr>
        <sz val="10"/>
        <color rgb="FF000000"/>
        <rFont val="Arial"/>
        <family val="0"/>
        <charset val="1"/>
      </rPr>
      <t xml:space="preserve">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SRC_Perf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SRC_Harness</t>
    </r>
  </si>
  <si>
    <t xml:space="preserve">工作單 docs/workorders/20261016_稽核修正2.md r1 第 6r1 節 N3</t>
  </si>
  <si>
    <t xml:space="preserve">AF2f-N4</t>
  </si>
  <si>
    <t xml:space="preserve">稽核修正第 2 批 2-5：2-4 後續（報告第 9 節）</t>
  </si>
  <si>
    <t xml:space="preserve">第 2 項 Perf_Batch 標「訓練端批次推論，無服務快取」；第 3 項 Perf TTFT 列註明新鮮 token 位於後段、本式略低估 prefill 時間；第 4 項 κ 維持乘法、寫明定義；第 5 項 AL_FreeShare 說明欄註明產業總量未必同；第 6 項 H10 C 欄 2025 口徑（已在 v9.0）；第 7 項 Hopper 服務 Astra 保留（SLO 判定的物理結果）；第 8 項字面讀法改標「口徑不一致，僅供對照」，L1 判讀欄只用恆等式讀法（取消 ≤10% 自動改用字面讀法）；第 9 項 B4_CacheHit 區間下限不動，情境 d9_cache_cap_off 說明欄註明會觸發 Checks E10。</t>
  </si>
  <si>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Sens_Perf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Perf_Prod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76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Perf_Batch 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Alloc_In G16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scenarios.yaml</t>
    </r>
  </si>
  <si>
    <t xml:space="preserve">工作單 docs/workorders/20261016_稽核修正2.md r1 第 6r1 節 N4</t>
  </si>
  <si>
    <t xml:space="preserve">AF2f-N5</t>
  </si>
  <si>
    <t xml:space="preserve">稽核修正第 2 批 2-5：下游契約</t>
  </si>
  <si>
    <t xml:space="preserve">契約新增 N1 名稱（IFW_*_LifeSelf，不回流）、N3 驗證計數（CHK_Verify*，只供讀取）、N4 第 8 項回本讀法；第 5 節補 v9.0、v10.0 條目。</t>
  </si>
  <si>
    <t xml:space="preserve">工作單 docs/workorders/20261016_稽核修正2.md r1 第 6r1 節 N5</t>
  </si>
  <si>
    <t xml:space="preserve">SL41-1a-1</t>
  </si>
  <si>
    <t xml:space="preserve">v10.1</t>
  </si>
  <si>
    <t xml:space="preserve">瘦身 4-1：Capability 頁刪除（已決定，6b）</t>
  </si>
  <si>
    <t xml:space="preserve">刪除 Capability 工作表（55 格，19 個公式，無任何格或名稱引用）；builder 的 block4.capability() 仍會建立，於 build.py 末端由 v1010.delete_cells 刪除。README 工作表清單與 Cap_In G14 的指向文字同步修改。Capability 頁 C 節（K4 為何不採 (a)）原文摘要，頁面刪除後保留於此：1. 識別：同層級牌價跨廠商差距大（例：Sol 級輸出價 DeepSeek V4-Pro 離峰 $1.98 至 Kimi K3 $15），主要由廠商策略與成本決定，斜率無法與能力分離。2. 循環：前緣由接近成本定價的廠商決定（Checks：DeepSeek 價 ÷ 本模型 Hopper 同架構成本約 0.8–1.0），前緣斜率≈服務成本斜率，已由 Unit_Cost 計算。3. 重複：層級牌價已含能力；只有增量（H_CAP）可再進入，故以 ε 乘在增量上，基準 0。4. 誤差相乘：J8 算力缺口約 7 倍 × ε 0–0.5 → 單價倍數 1.0–2.6，大於利用率區間的影響。(d) 反解：Amortize 頁『回本所需單價溢價』與觀測層級價差並列。METR 時間長度（K3 檢查）尚未入表。J8 檢查（前沿錨點中值 ÷ Astra 最終訓練 FLOPs）可由 Train_In!C47 ÷ Training 頁 Astra 最終訓練 FLOPs 重算。</t>
  </si>
  <si>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依工作單執行（工程類）；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</t>
    </r>
  </si>
  <si>
    <r>
      <rPr>
        <sz val="10"/>
        <color rgb="FF000000"/>
        <rFont val="Arial"/>
        <family val="0"/>
        <charset val="1"/>
      </rPr>
      <t xml:space="preserve">v10.1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</si>
  <si>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Capability </t>
    </r>
    <r>
      <rPr>
        <sz val="10"/>
        <color rgb="FF000000"/>
        <rFont val="Noto Sans CJK SC"/>
        <family val="2"/>
      </rPr>
      <t xml:space="preserve">頁；</t>
    </r>
    <r>
      <rPr>
        <sz val="10"/>
        <color rgb="FF000000"/>
        <rFont val="Arial"/>
        <family val="0"/>
        <charset val="1"/>
      </rPr>
      <t xml:space="preserve">README </t>
    </r>
    <r>
      <rPr>
        <sz val="10"/>
        <color rgb="FF000000"/>
        <rFont val="Noto Sans CJK SC"/>
        <family val="2"/>
      </rPr>
      <t xml:space="preserve">工作表清單；</t>
    </r>
    <r>
      <rPr>
        <sz val="10"/>
        <color rgb="FF000000"/>
        <rFont val="Arial"/>
        <family val="0"/>
        <charset val="1"/>
      </rPr>
      <t xml:space="preserve">Cap_In G14</t>
    </r>
  </si>
  <si>
    <t xml:space="preserve">工作單 docs/workorders/20261016_瘦身4.md 第 1 節（4-1 段） 1a-1</t>
  </si>
  <si>
    <t xml:space="preserve">SL41-1a-2</t>
  </si>
  <si>
    <t xml:space="preserve">瘦身 4-1：A 級死格刪除（只清空儲存格，不刪列欄，參照不移動）</t>
  </si>
  <si>
    <r>
      <rPr>
        <sz val="10"/>
        <color rgb="FF000000"/>
        <rFont val="Arial"/>
        <family val="0"/>
        <charset val="1"/>
      </rPr>
      <t xml:space="preserve">L1 O </t>
    </r>
    <r>
      <rPr>
        <sz val="10"/>
        <color rgb="FF000000"/>
        <rFont val="Noto Sans CJK SC"/>
        <family val="2"/>
      </rPr>
      <t xml:space="preserve">欄無外部值的 </t>
    </r>
    <r>
      <rPr>
        <sz val="10"/>
        <color rgb="FF000000"/>
        <rFont val="Arial"/>
        <family val="0"/>
        <charset val="1"/>
      </rPr>
      <t xml:space="preserve">62 </t>
    </r>
    <r>
      <rPr>
        <sz val="10"/>
        <color rgb="FF000000"/>
        <rFont val="Noto Sans CJK SC"/>
        <family val="2"/>
      </rPr>
      <t xml:space="preserve">格；</t>
    </r>
    <r>
      <rPr>
        <sz val="10"/>
        <color rgb="FF000000"/>
        <rFont val="Arial"/>
        <family val="0"/>
        <charset val="1"/>
      </rPr>
      <t xml:space="preserve">Alloc </t>
    </r>
    <r>
      <rPr>
        <sz val="10"/>
        <color rgb="FF000000"/>
        <rFont val="Noto Sans CJK SC"/>
        <family val="2"/>
      </rPr>
      <t xml:space="preserve">無人讀取的診斷格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格（</t>
    </r>
    <r>
      <rPr>
        <sz val="10"/>
        <color rgb="FF000000"/>
        <rFont val="Arial"/>
        <family val="0"/>
        <charset val="1"/>
      </rPr>
      <t xml:space="preserve">C74–C76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C144–C145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C163–C165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速覽列（第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列）</t>
    </r>
    <r>
      <rPr>
        <sz val="10"/>
        <color rgb="FF000000"/>
        <rFont val="Arial"/>
        <family val="0"/>
        <charset val="1"/>
      </rPr>
      <t xml:space="preserve">64 </t>
    </r>
    <r>
      <rPr>
        <sz val="10"/>
        <color rgb="FF000000"/>
        <rFont val="Noto Sans CJK SC"/>
        <family val="2"/>
      </rPr>
      <t xml:space="preserve">格，</t>
    </r>
    <r>
      <rPr>
        <sz val="10"/>
        <color rgb="FF000000"/>
        <rFont val="Arial"/>
        <family val="0"/>
        <charset val="1"/>
      </rPr>
      <t xml:space="preserve">A104 </t>
    </r>
    <r>
      <rPr>
        <sz val="10"/>
        <color rgb="FF000000"/>
        <rFont val="Noto Sans CJK SC"/>
        <family val="2"/>
      </rPr>
      <t xml:space="preserve">留一行說明。</t>
    </r>
    <r>
      <rPr>
        <sz val="10"/>
        <color rgb="FF000000"/>
        <rFont val="Arial"/>
        <family val="0"/>
        <charset val="1"/>
      </rPr>
      <t xml:space="preserve">4-0 </t>
    </r>
    <r>
      <rPr>
        <sz val="10"/>
        <color rgb="FF000000"/>
        <rFont val="Noto Sans CJK SC"/>
        <family val="2"/>
      </rPr>
      <t xml:space="preserve">盤點 </t>
    </r>
    <r>
      <rPr>
        <sz val="10"/>
        <color rgb="FF000000"/>
        <rFont val="Arial"/>
        <family val="0"/>
        <charset val="1"/>
      </rPr>
      <t xml:space="preserve">R18 </t>
    </r>
    <r>
      <rPr>
        <sz val="10"/>
        <color rgb="FF000000"/>
        <rFont val="Noto Sans CJK SC"/>
        <family val="2"/>
      </rPr>
      <t xml:space="preserve">共 </t>
    </r>
    <r>
      <rPr>
        <sz val="10"/>
        <color rgb="FF000000"/>
        <rFont val="Arial"/>
        <family val="0"/>
        <charset val="1"/>
      </rPr>
      <t xml:space="preserve">37 </t>
    </r>
    <r>
      <rPr>
        <sz val="10"/>
        <color rgb="FF000000"/>
        <rFont val="Noto Sans CJK SC"/>
        <family val="2"/>
      </rPr>
      <t xml:space="preserve">格，其中 </t>
    </r>
    <r>
      <rPr>
        <sz val="10"/>
        <color rgb="FF000000"/>
        <rFont val="Arial"/>
        <family val="0"/>
        <charset val="1"/>
      </rPr>
      <t xml:space="preserve">27 </t>
    </r>
    <r>
      <rPr>
        <sz val="10"/>
        <color rgb="FF000000"/>
        <rFont val="Noto Sans CJK SC"/>
        <family val="2"/>
      </rPr>
      <t xml:space="preserve">格仍有具名範圍（</t>
    </r>
    <r>
      <rPr>
        <sz val="10"/>
        <color rgb="FF000000"/>
        <rFont val="Arial"/>
        <family val="0"/>
        <charset val="1"/>
      </rPr>
      <t xml:space="preserve">AL_Q1g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AL_RDGWg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AL_J8Gap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AL_Q1_Tok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AL_Q2_Tok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AL_RDShareExcl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AL_UnservedPaid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Free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AL_ServeGen</t>
    </r>
    <r>
      <rPr>
        <sz val="10"/>
        <color rgb="FF000000"/>
        <rFont val="Noto Sans CJK SC"/>
        <family val="2"/>
      </rPr>
      <t xml:space="preserve">）或另一公式（</t>
    </r>
    <r>
      <rPr>
        <sz val="10"/>
        <color rgb="FF000000"/>
        <rFont val="Arial"/>
        <family val="0"/>
        <charset val="1"/>
      </rPr>
      <t xml:space="preserve">C142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C47:E48</t>
    </r>
    <r>
      <rPr>
        <sz val="10"/>
        <color rgb="FF000000"/>
        <rFont val="Noto Sans CJK SC"/>
        <family val="2"/>
      </rPr>
      <t xml:space="preserve">）引用，刪除會改變既有具名範圍的值，故保留，列待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判斷。</t>
    </r>
  </si>
  <si>
    <r>
      <rPr>
        <sz val="10"/>
        <color rgb="FF000000"/>
        <rFont val="Arial"/>
        <family val="0"/>
        <charset val="1"/>
      </rPr>
      <t xml:space="preserve">L1!O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Perf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Perf_Batch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104–105 </t>
    </r>
    <r>
      <rPr>
        <sz val="10"/>
        <color rgb="FF000000"/>
        <rFont val="Noto Sans CJK SC"/>
        <family val="2"/>
      </rPr>
      <t xml:space="preserve">列</t>
    </r>
  </si>
  <si>
    <t xml:space="preserve">工作單 docs/workorders/20261016_瘦身4.md 第 1 節（4-1 段） 1a-2</t>
  </si>
  <si>
    <t xml:space="preserve">SL41-1a-3</t>
  </si>
  <si>
    <t xml:space="preserve">瘦身 4-1：Perf_Batch R–S 欄（FP8 rollout 情境）未刪</t>
  </si>
  <si>
    <t xml:space="preserve">覆核發現 R–S 欄並非未接線：Sens_Train W59:X62（情境『rollout 精度 FP8』，黃底）讀 Perf_Batch R101、S101、R103、S103、R65、S65、R67、S67，這八格依賴 R–S 欄其餘約 120 格。刪除會使 Sens_Train W–X 兩欄的值改變，屬輸出改變，本段（輸出不變）不執行；改列待 Project 判斷：連 Sens_Train W–X 一併刪、或保留。第 104–105 列的 R–S 兩欄速覽已隨 1a-2 清空。</t>
  </si>
  <si>
    <t xml:space="preserve">已決定（Andy 2026-10-16 18:22：保留，改標註）；v10.2 ETA-E4 執行</t>
  </si>
  <si>
    <r>
      <rPr>
        <sz val="10"/>
        <color rgb="FF000000"/>
        <rFont val="Arial"/>
        <family val="0"/>
        <charset val="1"/>
      </rPr>
      <t xml:space="preserve">Perf_Batch R–S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Sens_Train W–X</t>
    </r>
  </si>
  <si>
    <t xml:space="preserve">工作單 docs/workorders/20261016_瘦身4.md 第 1 節（4-1 段） 1a-3</t>
  </si>
  <si>
    <t xml:space="preserve">ETA-E1H</t>
  </si>
  <si>
    <t xml:space="preserve">v10.2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</si>
  <si>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Hopper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）：求解無解，不寫入</t>
    </r>
  </si>
  <si>
    <r>
      <rPr>
        <sz val="10"/>
        <color rgb="FF000000"/>
        <rFont val="Noto Sans CJK SC"/>
        <family val="2"/>
      </rPr>
      <t xml:space="preserve">校準目標 </t>
    </r>
    <r>
      <rPr>
        <sz val="10"/>
        <color rgb="FF000000"/>
        <rFont val="Arial"/>
        <family val="0"/>
        <charset val="1"/>
      </rPr>
      <t xml:space="preserve">DeepSeek profile 2,324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，批次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欄複本列（比照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節公式）在 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時模型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目標＝</t>
    </r>
    <r>
      <rPr>
        <sz val="10"/>
        <color rgb="FF000000"/>
        <rFont val="Arial"/>
        <family val="0"/>
        <charset val="1"/>
      </rPr>
      <t xml:space="preserve">0.34</t>
    </r>
    <r>
      <rPr>
        <sz val="10"/>
        <color rgb="FF000000"/>
        <rFont val="Noto Sans CJK SC"/>
        <family val="2"/>
      </rPr>
      <t xml:space="preserve">。每序列時間被 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通訊項（</t>
    </r>
    <r>
      <rPr>
        <sz val="10"/>
        <color rgb="FF000000"/>
        <rFont val="Arial"/>
        <family val="0"/>
        <charset val="1"/>
      </rPr>
      <t xml:space="preserve">0.2975 ms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IB 0.05 TB/s × η_link 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 B</t>
    </r>
    <r>
      <rPr>
        <sz val="10"/>
        <color rgb="FF000000"/>
        <rFont val="Noto Sans CJK SC"/>
        <family val="2"/>
      </rPr>
      <t xml:space="preserve">／元素）卡住：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加大到約 </t>
    </r>
    <r>
      <rPr>
        <sz val="10"/>
        <color rgb="FF000000"/>
        <rFont val="Arial"/>
        <family val="0"/>
        <charset val="1"/>
      </rPr>
      <t xml:space="preserve">4.5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η_d 16%</t>
    </r>
    <r>
      <rPr>
        <sz val="10"/>
        <color rgb="FF000000"/>
        <rFont val="Noto Sans CJK SC"/>
        <family val="2"/>
      </rPr>
      <t xml:space="preserve">）後產出飽和在 </t>
    </r>
    <r>
      <rPr>
        <sz val="10"/>
        <color rgb="FF000000"/>
        <rFont val="Arial"/>
        <family val="0"/>
        <charset val="1"/>
      </rPr>
      <t xml:space="preserve">2,187 tok/s/GPU</t>
    </r>
    <r>
      <rPr>
        <sz val="10"/>
        <color rgb="FF000000"/>
        <rFont val="Noto Sans CJK SC"/>
        <family val="2"/>
      </rPr>
      <t xml:space="preserve">（目標的 </t>
    </r>
    <r>
      <rPr>
        <sz val="10"/>
        <color rgb="FF000000"/>
        <rFont val="Arial"/>
        <family val="0"/>
        <charset val="1"/>
      </rPr>
      <t xml:space="preserve">0.94</t>
    </r>
    <r>
      <rPr>
        <sz val="10"/>
        <color rgb="FF000000"/>
        <rFont val="Noto Sans CJK SC"/>
        <family val="2"/>
      </rPr>
      <t xml:space="preserve">），再加大也不增加，所以沒有 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值使模型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±2%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4.5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，高於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擬合值 </t>
    </r>
    <r>
      <rPr>
        <sz val="10"/>
        <color rgb="FF000000"/>
        <rFont val="Arial"/>
        <family val="0"/>
        <charset val="1"/>
      </rPr>
      <t xml:space="preserve">3.6%</t>
    </r>
    <r>
      <rPr>
        <sz val="10"/>
        <color rgb="FF000000"/>
        <rFont val="Noto Sans CJK SC"/>
        <family val="2"/>
      </rPr>
      <t xml:space="preserve">。依工作單停損規則（解超出物理合理範圍即停、不寫入），</t>
    </r>
    <r>
      <rPr>
        <sz val="10"/>
        <color rgb="FF000000"/>
        <rFont val="Arial"/>
        <family val="0"/>
        <charset val="1"/>
      </rPr>
      <t xml:space="preserve">C67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1.5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J4</t>
    </r>
    <r>
      <rPr>
        <sz val="10"/>
        <color rgb="FF000000"/>
        <rFont val="Noto Sans CJK SC"/>
        <family val="2"/>
      </rPr>
      <t xml:space="preserve">）。若改用 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吸收：</t>
    </r>
    <r>
      <rPr>
        <sz val="10"/>
        <color rgb="FF000000"/>
        <rFont val="Arial"/>
        <family val="0"/>
        <charset val="1"/>
      </rPr>
      <t xml:space="preserve">C67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1.2 </t>
    </r>
    <r>
      <rPr>
        <sz val="10"/>
        <color rgb="FF000000"/>
        <rFont val="Noto Sans CJK SC"/>
        <family val="2"/>
      </rPr>
      <t xml:space="preserve">時即使每層延遲為 </t>
    </r>
    <r>
      <rPr>
        <sz val="10"/>
        <color rgb="FF000000"/>
        <rFont val="Arial"/>
        <family val="0"/>
        <charset val="1"/>
      </rPr>
      <t xml:space="preserve">0 </t>
    </r>
    <r>
      <rPr>
        <sz val="10"/>
        <color rgb="FF000000"/>
        <rFont val="Noto Sans CJK SC"/>
        <family val="2"/>
      </rPr>
      <t xml:space="preserve">也只達目標的 </t>
    </r>
    <r>
      <rPr>
        <sz val="10"/>
        <color rgb="FF000000"/>
        <rFont val="Arial"/>
        <family val="0"/>
        <charset val="1"/>
      </rPr>
      <t xml:space="preserve">0.37</t>
    </r>
    <r>
      <rPr>
        <sz val="10"/>
        <color rgb="FF000000"/>
        <rFont val="Noto Sans CJK SC"/>
        <family val="2"/>
      </rPr>
      <t xml:space="preserve">，同樣無解。待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判斷：</t>
    </r>
    <r>
      <rPr>
        <sz val="10"/>
        <color rgb="FF000000"/>
        <rFont val="Arial"/>
        <family val="0"/>
        <charset val="1"/>
      </rPr>
      <t xml:space="preserve">EP </t>
    </r>
    <r>
      <rPr>
        <sz val="10"/>
        <color rgb="FF000000"/>
        <rFont val="Noto Sans CJK SC"/>
        <family val="2"/>
      </rPr>
      <t xml:space="preserve">通訊與計算的重疊（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兩個 </t>
    </r>
    <r>
      <rPr>
        <sz val="10"/>
        <color rgb="FF000000"/>
        <rFont val="Arial"/>
        <family val="0"/>
        <charset val="1"/>
      </rPr>
      <t xml:space="preserve">micro-batch </t>
    </r>
    <r>
      <rPr>
        <sz val="10"/>
        <color rgb="FF000000"/>
        <rFont val="Noto Sans CJK SC"/>
        <family val="2"/>
      </rPr>
      <t xml:space="preserve">重疊）是否納入模型、或另一種校準方式。</t>
    </r>
  </si>
  <si>
    <r>
      <rPr>
        <sz val="10"/>
        <color rgb="FF000000"/>
        <rFont val="Arial"/>
        <family val="0"/>
        <charset val="1"/>
      </rPr>
      <t xml:space="preserve">Andy 2026-10-16 18:18</t>
    </r>
    <r>
      <rPr>
        <sz val="10"/>
        <color rgb="FF000000"/>
        <rFont val="Noto Sans CJK SC"/>
        <family val="2"/>
      </rPr>
      <t xml:space="preserve">「都依建議」（</t>
    </r>
    <r>
      <rPr>
        <sz val="10"/>
        <color rgb="FF000000"/>
        <rFont val="Arial"/>
        <family val="0"/>
        <charset val="1"/>
      </rPr>
      <t xml:space="preserve">E1–E4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E4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；細節預設由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端補充，可撤回</t>
    </r>
  </si>
  <si>
    <r>
      <rPr>
        <sz val="10"/>
        <color rgb="FF000000"/>
        <rFont val="Noto Sans CJK SC"/>
        <family val="2"/>
      </rPr>
      <t xml:space="preserve">未寫入，待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</t>
    </r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</si>
  <si>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節（複本列、所需倍數列）；</t>
    </r>
    <r>
      <rPr>
        <sz val="10"/>
        <color rgb="FF000000"/>
        <rFont val="Arial"/>
        <family val="0"/>
        <charset val="1"/>
      </rPr>
      <t xml:space="preserve">Calib C67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C68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</si>
  <si>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E1H</t>
    </r>
  </si>
  <si>
    <t xml:space="preserve">ETA-E1G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</si>
  <si>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E1 GB200 </t>
    </r>
    <r>
      <rPr>
        <sz val="10"/>
        <color rgb="FF000000"/>
        <rFont val="Noto Sans CJK SC"/>
        <family val="2"/>
      </rPr>
      <t xml:space="preserve">世代換算（</t>
    </r>
    <r>
      <rPr>
        <sz val="10"/>
        <color rgb="FF000000"/>
        <rFont val="Arial"/>
        <family val="0"/>
        <charset val="1"/>
      </rPr>
      <t xml:space="preserve">Calib D67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CAL_EtaD_GB200</t>
    </r>
    <r>
      <rPr>
        <sz val="10"/>
        <color rgb="FF000000"/>
        <rFont val="Noto Sans CJK SC"/>
        <family val="2"/>
      </rPr>
      <t xml:space="preserve">）：模型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 </t>
    </r>
    <r>
      <rPr>
        <sz val="10"/>
        <color rgb="FF000000"/>
        <rFont val="Arial"/>
        <family val="0"/>
        <charset val="1"/>
      </rPr>
      <t xml:space="preserve">0.37</t>
    </r>
    <r>
      <rPr>
        <sz val="10"/>
        <color rgb="FF000000"/>
        <rFont val="Noto Sans CJK SC"/>
        <family val="2"/>
      </rPr>
      <t xml:space="preserve">，解會使 </t>
    </r>
    <r>
      <rPr>
        <sz val="10"/>
        <color rgb="FF000000"/>
        <rFont val="Arial"/>
        <family val="0"/>
        <charset val="1"/>
      </rPr>
      <t xml:space="preserve">V5 </t>
    </r>
    <r>
      <rPr>
        <sz val="10"/>
        <color rgb="FF000000"/>
        <rFont val="Noto Sans CJK SC"/>
        <family val="2"/>
      </rPr>
      <t xml:space="preserve">失敗，不寫入</t>
    </r>
  </si>
  <si>
    <r>
      <rPr>
        <sz val="10"/>
        <color rgb="FF000000"/>
        <rFont val="Noto Sans CJK SC"/>
        <family val="2"/>
      </rPr>
      <t xml:space="preserve">校準目標 </t>
    </r>
    <r>
      <rPr>
        <sz val="10"/>
        <color rgb="FF000000"/>
        <rFont val="Arial"/>
        <family val="0"/>
        <charset val="1"/>
      </rPr>
      <t xml:space="preserve">vLLM GB200 10.1K 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 8 GPU </t>
    </r>
    <r>
      <rPr>
        <sz val="10"/>
        <color rgb="FF000000"/>
        <rFont val="Noto Sans CJK SC"/>
        <family val="2"/>
      </rPr>
      <t xml:space="preserve">實例，批次填滿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，無 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）。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欄複本列在 </t>
    </r>
    <r>
      <rPr>
        <sz val="10"/>
        <color rgb="FF000000"/>
        <rFont val="Arial"/>
        <family val="0"/>
        <charset val="1"/>
      </rPr>
      <t xml:space="preserve">D67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時模型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目標＝</t>
    </r>
    <r>
      <rPr>
        <sz val="10"/>
        <color rgb="FF000000"/>
        <rFont val="Arial"/>
        <family val="0"/>
        <charset val="1"/>
      </rPr>
      <t xml:space="preserve">0.37</t>
    </r>
    <r>
      <rPr>
        <sz val="10"/>
        <color rgb="FF000000"/>
        <rFont val="Noto Sans CJK SC"/>
        <family val="2"/>
      </rPr>
      <t xml:space="preserve">（不在 </t>
    </r>
    <r>
      <rPr>
        <sz val="10"/>
        <color rgb="FF000000"/>
        <rFont val="Arial"/>
        <family val="0"/>
        <charset val="1"/>
      </rPr>
      <t xml:space="preserve">0.9–1.1</t>
    </r>
    <r>
      <rPr>
        <sz val="10"/>
        <color rgb="FF000000"/>
        <rFont val="Noto Sans CJK SC"/>
        <family val="2"/>
      </rPr>
      <t xml:space="preserve">）。達標需 </t>
    </r>
    <r>
      <rPr>
        <sz val="10"/>
        <color rgb="FF000000"/>
        <rFont val="Arial"/>
        <family val="0"/>
        <charset val="1"/>
      </rPr>
      <t xml:space="preserve">GB200 η_d </t>
    </r>
    <r>
      <rPr>
        <sz val="10"/>
        <color rgb="FF000000"/>
        <rFont val="Noto Sans CJK SC"/>
        <family val="2"/>
      </rPr>
      <t xml:space="preserve">倍數約 </t>
    </r>
    <r>
      <rPr>
        <sz val="10"/>
        <color rgb="FF000000"/>
        <rFont val="Arial"/>
        <family val="0"/>
        <charset val="1"/>
      </rPr>
      <t xml:space="preserve">3.04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η_d 10.9%</t>
    </r>
    <r>
      <rPr>
        <sz val="10"/>
        <color rgb="FF000000"/>
        <rFont val="Noto Sans CJK SC"/>
        <family val="2"/>
      </rPr>
      <t xml:space="preserve">），即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有效算力（</t>
    </r>
    <r>
      <rPr>
        <sz val="10"/>
        <color rgb="FF000000"/>
        <rFont val="Arial"/>
        <family val="0"/>
        <charset val="1"/>
      </rPr>
      <t xml:space="preserve">η_d × 10 PF</t>
    </r>
    <r>
      <rPr>
        <sz val="10"/>
        <color rgb="FF000000"/>
        <rFont val="Noto Sans CJK SC"/>
        <family val="2"/>
      </rPr>
      <t xml:space="preserve">）高於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擬合值（</t>
    </r>
    <r>
      <rPr>
        <sz val="10"/>
        <color rgb="FF000000"/>
        <rFont val="Arial"/>
        <family val="0"/>
        <charset val="1"/>
      </rPr>
      <t xml:space="preserve">3.6% × 15 PF</t>
    </r>
    <r>
      <rPr>
        <sz val="10"/>
        <color rgb="FF000000"/>
        <rFont val="Noto Sans CJK SC"/>
        <family val="2"/>
      </rPr>
      <t xml:space="preserve">）約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倍，且 </t>
    </r>
    <r>
      <rPr>
        <sz val="10"/>
        <color rgb="FF000000"/>
        <rFont val="Arial"/>
        <family val="0"/>
        <charset val="1"/>
      </rPr>
      <t xml:space="preserve">V5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v6.0 interactive GB200</t>
    </r>
    <r>
      <rPr>
        <sz val="10"/>
        <color rgb="FF000000"/>
        <rFont val="Noto Sans CJK SC"/>
        <family val="2"/>
      </rPr>
      <t xml:space="preserve">）模型 </t>
    </r>
    <r>
      <rPr>
        <sz val="10"/>
        <color rgb="FF000000"/>
        <rFont val="Arial"/>
        <family val="0"/>
        <charset val="1"/>
      </rPr>
      <t xml:space="preserve">÷ MLPerf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0.49 </t>
    </r>
    <r>
      <rPr>
        <sz val="10"/>
        <color rgb="FF000000"/>
        <rFont val="Noto Sans CJK SC"/>
        <family val="2"/>
      </rPr>
      <t xml:space="preserve">升至約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而失敗。同一個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無法同時滿足無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大批次點與 </t>
    </r>
    <r>
      <rPr>
        <sz val="10"/>
        <color rgb="FF000000"/>
        <rFont val="Arial"/>
        <family val="0"/>
        <charset val="1"/>
      </rPr>
      <t xml:space="preserve">interactive </t>
    </r>
    <r>
      <rPr>
        <sz val="10"/>
        <color rgb="FF000000"/>
        <rFont val="Noto Sans CJK SC"/>
        <family val="2"/>
      </rPr>
      <t xml:space="preserve">小批次點，表示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隨批次變化的問題仍在。依停損規則不寫入，</t>
    </r>
    <r>
      <rPr>
        <sz val="10"/>
        <color rgb="FF000000"/>
        <rFont val="Arial"/>
        <family val="0"/>
        <charset val="1"/>
      </rPr>
      <t xml:space="preserve">D67 </t>
    </r>
    <r>
      <rPr>
        <sz val="10"/>
        <color rgb="FF000000"/>
        <rFont val="Noto Sans CJK SC"/>
        <family val="2"/>
      </rPr>
      <t xml:space="preserve">維持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，不新增 </t>
    </r>
    <r>
      <rPr>
        <sz val="10"/>
        <color rgb="FF000000"/>
        <rFont val="Arial"/>
        <family val="0"/>
        <charset val="1"/>
      </rPr>
      <t xml:space="preserve">CAL_EtaD_GB200 </t>
    </r>
    <r>
      <rPr>
        <sz val="10"/>
        <color rgb="FF000000"/>
        <rFont val="Noto Sans CJK SC"/>
        <family val="2"/>
      </rPr>
      <t xml:space="preserve">具名範圍。</t>
    </r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</si>
  <si>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D67 </t>
    </r>
    <r>
      <rPr>
        <sz val="10"/>
        <color rgb="FF000000"/>
        <rFont val="Noto Sans CJK SC"/>
        <family val="2"/>
      </rPr>
      <t xml:space="preserve">不變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</si>
  <si>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E1G</t>
    </r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</si>
  <si>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E2 Serving SLO </t>
    </r>
    <r>
      <rPr>
        <sz val="10"/>
        <color rgb="FF000000"/>
        <rFont val="Noto Sans CJK SC"/>
        <family val="2"/>
      </rPr>
      <t xml:space="preserve">改為觀測中位數的幾何平均（讀法 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：基準一併改，舊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留作情境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</si>
  <si>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＝√</t>
    </r>
    <r>
      <rPr>
        <sz val="10"/>
        <color rgb="FF000000"/>
        <rFont val="Arial"/>
        <family val="0"/>
        <charset val="1"/>
      </rPr>
      <t xml:space="preserve">(AA </t>
    </r>
    <r>
      <rPr>
        <sz val="10"/>
        <color rgb="FF000000"/>
        <rFont val="Noto Sans CJK SC"/>
        <family val="2"/>
      </rPr>
      <t xml:space="preserve">中位 </t>
    </r>
    <r>
      <rPr>
        <sz val="10"/>
        <color rgb="FF000000"/>
        <rFont val="Arial"/>
        <family val="0"/>
        <charset val="1"/>
      </rPr>
      <t xml:space="preserve">× OpenRouter </t>
    </r>
    <r>
      <rPr>
        <sz val="10"/>
        <color rgb="FF000000"/>
        <rFont val="Noto Sans CJK SC"/>
        <family val="2"/>
      </rPr>
      <t xml:space="preserve">中位</t>
    </r>
    <r>
      <rPr>
        <sz val="10"/>
        <color rgb="FF000000"/>
        <rFont val="Arial"/>
        <family val="0"/>
        <charset val="1"/>
      </rPr>
      <t xml:space="preserve">)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116.5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84.3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50.7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37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43.3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Astra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52.1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40.8</t>
    </r>
    <r>
      <rPr>
        <sz val="10"/>
        <color rgb="FF000000"/>
        <rFont val="Noto Sans CJK SC"/>
        <family val="2"/>
      </rPr>
      <t xml:space="preserve">；區間取兩家之中較低者到較高者。標記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（第三方量測的幾何平均）。首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時間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不改。兩家量測商系統性相差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探測請求、</t>
    </r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實際流量），原因未查明。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層對應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端預設；</t>
    </r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102.8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63</t>
    </r>
    <r>
      <rPr>
        <sz val="10"/>
        <color rgb="FF000000"/>
        <rFont val="Noto Sans CJK SC"/>
        <family val="2"/>
      </rPr>
      <t xml:space="preserve">）。若 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的原意是基準在本段不動，改採 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：只保留情境、</t>
    </r>
    <r>
      <rPr>
        <sz val="10"/>
        <color rgb="FF000000"/>
        <rFont val="Arial"/>
        <family val="0"/>
        <charset val="1"/>
      </rPr>
      <t xml:space="preserve">C21:E21 </t>
    </r>
    <r>
      <rPr>
        <sz val="10"/>
        <color rgb="FF000000"/>
        <rFont val="Noto Sans CJK SC"/>
        <family val="2"/>
      </rPr>
      <t xml:space="preserve">回到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＝舊口徑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</t>
    </r>
    <r>
      <rPr>
        <sz val="10"/>
        <color rgb="FF000000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</si>
  <si>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v10.2 </t>
    </r>
    <r>
      <rPr>
        <sz val="10"/>
        <color rgb="FF000000"/>
        <rFont val="Noto Sans CJK SC"/>
        <family val="2"/>
      </rPr>
      <t xml:space="preserve">已建</t>
    </r>
  </si>
  <si>
    <r>
      <rPr>
        <sz val="10"/>
        <color rgb="FF000000"/>
        <rFont val="Arial"/>
        <family val="0"/>
        <charset val="1"/>
      </rPr>
      <t xml:space="preserve">Serving C21:E21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SRC_PERF_066–071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GM239–GM241</t>
    </r>
    <r>
      <rPr>
        <sz val="10"/>
        <color rgb="FF000000"/>
        <rFont val="Noto Sans CJK SC"/>
        <family val="2"/>
      </rPr>
      <t xml:space="preserve">；情境 </t>
    </r>
    <r>
      <rPr>
        <sz val="10"/>
        <color rgb="FF000000"/>
        <rFont val="Arial"/>
        <family val="0"/>
        <charset val="1"/>
      </rPr>
      <t xml:space="preserve">slo_v10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及其下游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</si>
  <si>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E2</t>
    </r>
  </si>
  <si>
    <t xml:space="preserve">ETA-E3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</si>
  <si>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E3 </t>
    </r>
    <r>
      <rPr>
        <sz val="10"/>
        <color rgb="FF000000"/>
        <rFont val="Noto Sans CJK SC"/>
        <family val="2"/>
      </rPr>
      <t xml:space="preserve">驗證判準</t>
    </r>
  </si>
  <si>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對照改 </t>
    </r>
    <r>
      <rPr>
        <sz val="10"/>
        <color rgb="FF000000"/>
        <rFont val="Arial"/>
        <family val="0"/>
        <charset val="1"/>
      </rPr>
      <t xml:space="preserve">MLPerf v6.0 server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72 GPU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4,668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對照改同輪 </t>
    </r>
    <r>
      <rPr>
        <sz val="10"/>
        <color rgb="FF000000"/>
        <rFont val="Arial"/>
        <family val="0"/>
        <charset val="1"/>
      </rPr>
      <t xml:space="preserve">GB300 NVL72 72 GPU </t>
    </r>
    <r>
      <rPr>
        <sz val="10"/>
        <color rgb="FF000000"/>
        <rFont val="Noto Sans CJK SC"/>
        <family val="2"/>
      </rPr>
      <t xml:space="preserve">機櫃 </t>
    </r>
    <r>
      <rPr>
        <sz val="10"/>
        <color rgb="FF000000"/>
        <rFont val="Arial"/>
        <family val="0"/>
        <charset val="1"/>
      </rPr>
      <t xml:space="preserve">NVIDIA 5,562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V8 </t>
    </r>
    <r>
      <rPr>
        <sz val="10"/>
        <color rgb="FF000000"/>
        <rFont val="Noto Sans CJK SC"/>
        <family val="2"/>
      </rPr>
      <t xml:space="preserve">改為 </t>
    </r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條件對齊後的模型值（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欄：</t>
    </r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規模、輸入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、輸出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（來源未寫，取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）、</t>
    </r>
    <r>
      <rPr>
        <sz val="10"/>
        <color rgb="FF000000"/>
        <rFont val="Arial"/>
        <family val="0"/>
        <charset val="1"/>
      </rPr>
      <t xml:space="preserve">ITL 100 ms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、批次由速度下限與 </t>
    </r>
    <r>
      <rPr>
        <sz val="10"/>
        <color rgb="FF000000"/>
        <rFont val="Arial"/>
        <family val="0"/>
        <charset val="1"/>
      </rPr>
      <t xml:space="preserve">HBM </t>
    </r>
    <r>
      <rPr>
        <sz val="10"/>
        <color rgb="FF000000"/>
        <rFont val="Noto Sans CJK SC"/>
        <family val="2"/>
      </rPr>
      <t xml:space="preserve">決定），通過帶維持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；新增 </t>
    </r>
    <r>
      <rPr>
        <sz val="10"/>
        <color rgb="FF000000"/>
        <rFont val="Arial"/>
        <family val="0"/>
        <charset val="1"/>
      </rPr>
      <t xml:space="preserve">V15 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1,850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欄，帶 </t>
    </r>
    <r>
      <rPr>
        <sz val="10"/>
        <color rgb="FF000000"/>
        <rFont val="Arial"/>
        <family val="0"/>
        <charset val="1"/>
      </rPr>
      <t xml:space="preserve">0.5–2.0</t>
    </r>
    <r>
      <rPr>
        <sz val="10"/>
        <color rgb="FF000000"/>
        <rFont val="Noto Sans CJK SC"/>
        <family val="2"/>
      </rPr>
      <t xml:space="preserve">，註明與校準點同一家公司）；</t>
    </r>
    <r>
      <rPr>
        <sz val="10"/>
        <color rgb="FF000000"/>
        <rFont val="Arial"/>
        <family val="0"/>
        <charset val="1"/>
      </rPr>
      <t xml:space="preserve">V13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V14 </t>
    </r>
    <r>
      <rPr>
        <sz val="10"/>
        <color rgb="FF000000"/>
        <rFont val="Noto Sans CJK SC"/>
        <family val="2"/>
      </rPr>
      <t xml:space="preserve">加上限 ≤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端預設，可撤回）；</t>
    </r>
    <r>
      <rPr>
        <sz val="10"/>
        <color rgb="FF000000"/>
        <rFont val="Arial"/>
        <family val="0"/>
        <charset val="1"/>
      </rPr>
      <t xml:space="preserve">B26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B36 </t>
    </r>
    <r>
      <rPr>
        <sz val="10"/>
        <color rgb="FF000000"/>
        <rFont val="Noto Sans CJK SC"/>
        <family val="2"/>
      </rPr>
      <t xml:space="preserve">改回驗證計數（</t>
    </r>
    <r>
      <rPr>
        <sz val="10"/>
        <color rgb="FF000000"/>
        <rFont val="Arial"/>
        <family val="0"/>
        <charset val="1"/>
      </rPr>
      <t xml:space="preserve">V16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V17</t>
    </r>
    <r>
      <rPr>
        <sz val="10"/>
        <color rgb="FF000000"/>
        <rFont val="Noto Sans CJK SC"/>
        <family val="2"/>
      </rPr>
      <t xml:space="preserve">）。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</si>
  <si>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E–G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SRC_PERF_072–078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</si>
  <si>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E3</t>
    </r>
  </si>
  <si>
    <t xml:space="preserve">ETA-E4</t>
  </si>
  <si>
    <r>
      <rPr>
        <sz val="10"/>
        <color rgb="FF000000"/>
        <rFont val="Arial"/>
        <family val="0"/>
        <charset val="1"/>
      </rPr>
      <t xml:space="preserve">η </t>
    </r>
    <r>
      <rPr>
        <sz val="10"/>
        <color rgb="FF000000"/>
        <rFont val="Noto Sans CJK SC"/>
        <family val="2"/>
      </rPr>
      <t xml:space="preserve">校準段：</t>
    </r>
    <r>
      <rPr>
        <sz val="10"/>
        <color rgb="FF000000"/>
        <rFont val="Arial"/>
        <family val="0"/>
        <charset val="1"/>
      </rPr>
      <t xml:space="preserve">E4 Perf_Batch R–S </t>
    </r>
    <r>
      <rPr>
        <sz val="10"/>
        <color rgb="FF000000"/>
        <rFont val="Noto Sans CJK SC"/>
        <family val="2"/>
      </rPr>
      <t xml:space="preserve">欄保留（取代 </t>
    </r>
    <r>
      <rPr>
        <sz val="10"/>
        <color rgb="FF000000"/>
        <rFont val="Arial"/>
        <family val="0"/>
        <charset val="1"/>
      </rPr>
      <t xml:space="preserve">SL41-1a-3 </t>
    </r>
    <r>
      <rPr>
        <sz val="10"/>
        <color rgb="FF000000"/>
        <rFont val="Noto Sans CJK SC"/>
        <family val="2"/>
      </rPr>
      <t xml:space="preserve">的『刪除』）</t>
    </r>
  </si>
  <si>
    <r>
      <rPr>
        <sz val="10"/>
        <color rgb="FF000000"/>
        <rFont val="Arial"/>
        <family val="0"/>
        <charset val="1"/>
      </rPr>
      <t xml:space="preserve">Andy 2026-10-16 18:22 </t>
    </r>
    <r>
      <rPr>
        <sz val="10"/>
        <color rgb="FF000000"/>
        <rFont val="Noto Sans CJK SC"/>
        <family val="2"/>
      </rPr>
      <t xml:space="preserve">決定 </t>
    </r>
    <r>
      <rPr>
        <sz val="10"/>
        <color rgb="FF000000"/>
        <rFont val="Arial"/>
        <family val="0"/>
        <charset val="1"/>
      </rPr>
      <t xml:space="preserve">(b)</t>
    </r>
    <r>
      <rPr>
        <sz val="10"/>
        <color rgb="FF000000"/>
        <rFont val="Noto Sans CJK SC"/>
        <family val="2"/>
      </rPr>
      <t xml:space="preserve">：保留 </t>
    </r>
    <r>
      <rPr>
        <sz val="10"/>
        <color rgb="FF000000"/>
        <rFont val="Arial"/>
        <family val="0"/>
        <charset val="1"/>
      </rPr>
      <t xml:space="preserve">R–S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FP8 rollout </t>
    </r>
    <r>
      <rPr>
        <sz val="10"/>
        <color rgb="FF000000"/>
        <rFont val="Noto Sans CJK SC"/>
        <family val="2"/>
      </rPr>
      <t xml:space="preserve">情境），</t>
    </r>
    <r>
      <rPr>
        <sz val="10"/>
        <color rgb="FF000000"/>
        <rFont val="Arial"/>
        <family val="0"/>
        <charset val="1"/>
      </rPr>
      <t xml:space="preserve">Sens_Train W59:X62 </t>
    </r>
    <r>
      <rPr>
        <sz val="10"/>
        <color rgb="FF000000"/>
        <rFont val="Noto Sans CJK SC"/>
        <family val="2"/>
      </rPr>
      <t xml:space="preserve">讀取；頁首與 </t>
    </r>
    <r>
      <rPr>
        <sz val="10"/>
        <color rgb="FF000000"/>
        <rFont val="Arial"/>
        <family val="0"/>
        <charset val="1"/>
      </rPr>
      <t xml:space="preserve">Gov_Map GM558 </t>
    </r>
    <r>
      <rPr>
        <sz val="10"/>
        <color rgb="FF000000"/>
        <rFont val="Noto Sans CJK SC"/>
        <family val="2"/>
      </rPr>
      <t xml:space="preserve">標明『只供敏感度情境（不進任何 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輸出）』。只改標籤，數值不變。取代 </t>
    </r>
    <r>
      <rPr>
        <sz val="10"/>
        <color rgb="FF000000"/>
        <rFont val="Arial"/>
        <family val="0"/>
        <charset val="1"/>
      </rPr>
      <t xml:space="preserve">17:35 </t>
    </r>
    <r>
      <rPr>
        <sz val="10"/>
        <color rgb="FF000000"/>
        <rFont val="Noto Sans CJK SC"/>
        <family val="2"/>
      </rPr>
      <t xml:space="preserve">的『刪除』。</t>
    </r>
  </si>
  <si>
    <r>
      <rPr>
        <sz val="10"/>
        <color rgb="FF000000"/>
        <rFont val="Arial"/>
        <family val="0"/>
        <charset val="1"/>
      </rPr>
      <t xml:space="preserve">Perf_Batch R3:S3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Gov_Map GM558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Decisions SL41-1a-3 </t>
    </r>
    <r>
      <rPr>
        <sz val="10"/>
        <color rgb="FF000000"/>
        <rFont val="Noto Sans CJK SC"/>
        <family val="2"/>
      </rPr>
      <t xml:space="preserve">狀態</t>
    </r>
  </si>
  <si>
    <r>
      <rPr>
        <sz val="10"/>
        <color rgb="FF000000"/>
        <rFont val="Noto Sans CJK SC"/>
        <family val="2"/>
      </rPr>
      <t xml:space="preserve">工作單 </t>
    </r>
    <r>
      <rPr>
        <sz val="10"/>
        <color rgb="FF000000"/>
        <rFont val="Arial"/>
        <family val="0"/>
        <charset val="1"/>
      </rPr>
      <t xml:space="preserve">docs/workorders/20261016_η</t>
    </r>
    <r>
      <rPr>
        <sz val="10"/>
        <color rgb="FF000000"/>
        <rFont val="Noto Sans CJK SC"/>
        <family val="2"/>
      </rPr>
      <t xml:space="preserve">校準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（分支 </t>
    </r>
    <r>
      <rPr>
        <sz val="10"/>
        <color rgb="FF000000"/>
        <rFont val="Arial"/>
        <family val="0"/>
        <charset val="1"/>
      </rPr>
      <t xml:space="preserve">claude/batch4-wo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PR #78</t>
    </r>
    <r>
      <rPr>
        <sz val="10"/>
        <color rgb="FF000000"/>
        <rFont val="Noto Sans CJK SC"/>
        <family val="2"/>
      </rPr>
      <t xml:space="preserve">） </t>
    </r>
    <r>
      <rPr>
        <sz val="10"/>
        <color rgb="FF000000"/>
        <rFont val="Arial"/>
        <family val="0"/>
        <charset val="1"/>
      </rPr>
      <t xml:space="preserve">E4</t>
    </r>
  </si>
  <si>
    <r>
      <rPr>
        <b val="true"/>
        <sz val="13"/>
        <rFont val="Arial"/>
        <family val="0"/>
        <charset val="1"/>
      </rPr>
      <t xml:space="preserve">SRC_HW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：晶片與機架的規格、功率、價格</t>
    </r>
  </si>
  <si>
    <t xml:space="preserve">只存已取得的原始訊息（非計算、非假設；G1）。藍字＝原始值，由本活頁簿擁有；模型頁以公式連結 SRC_ID 具名範圍。新訊息先登錄 DB_Evidence，比較後擇優寫入（G2–G6）。X–Z 欄為檢查公式（builder 每次重建）。</t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</si>
  <si>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</t>
  </si>
  <si>
    <t xml:space="preserve">SRC_ID</t>
  </si>
  <si>
    <t xml:space="preserve">數值</t>
  </si>
  <si>
    <t xml:space="preserve">適用對象</t>
  </si>
  <si>
    <t xml:space="preserve">立場</t>
  </si>
  <si>
    <t xml:space="preserve">立場說明</t>
  </si>
  <si>
    <t xml:space="preserve">一手／二手</t>
  </si>
  <si>
    <t xml:space="preserve">取代者</t>
  </si>
  <si>
    <t xml:space="preserve">Evidence ID</t>
  </si>
  <si>
    <t xml:space="preserve">第二來源 SRC_ID</t>
  </si>
  <si>
    <t xml:space="preserve">審查日</t>
  </si>
  <si>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</t>
    </r>
  </si>
  <si>
    <t xml:space="preserve">原 S 編號</t>
  </si>
  <si>
    <t xml:space="preserve">模型使用位置</t>
  </si>
  <si>
    <t xml:space="preserve">備註</t>
  </si>
  <si>
    <t xml:space="preserve">同指標同口徑 Active 數（公式）</t>
  </si>
  <si>
    <t xml:space="preserve">缺 Evidence（公式）</t>
  </si>
  <si>
    <t xml:space="preserve">利害關係方缺第二來源（公式）</t>
  </si>
  <si>
    <r>
      <rPr>
        <b val="true"/>
        <sz val="10"/>
        <rFont val="Noto Sans CJK SC"/>
        <family val="2"/>
      </rPr>
      <t xml:space="preserve">同指標鍵（公式；</t>
    </r>
    <r>
      <rPr>
        <b val="true"/>
        <sz val="10"/>
        <rFont val="Arial"/>
        <family val="0"/>
        <charset val="1"/>
      </rPr>
      <t xml:space="preserve">X </t>
    </r>
    <r>
      <rPr>
        <b val="true"/>
        <sz val="10"/>
        <rFont val="Noto Sans CJK SC"/>
        <family val="2"/>
      </rPr>
      <t xml:space="preserve">欄用，</t>
    </r>
    <r>
      <rPr>
        <b val="true"/>
        <sz val="10"/>
        <rFont val="Arial"/>
        <family val="0"/>
        <charset val="1"/>
      </rPr>
      <t xml:space="preserve">v5.12</t>
    </r>
    <r>
      <rPr>
        <b val="true"/>
        <sz val="1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</si>
  <si>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最大系統功率</t>
    </r>
  </si>
  <si>
    <r>
      <rPr>
        <sz val="10"/>
        <color rgb="FF000000"/>
        <rFont val="Arial"/>
        <family val="0"/>
        <charset val="1"/>
      </rPr>
      <t xml:space="preserve">kW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 GPU</t>
    </r>
  </si>
  <si>
    <t xml:space="preserve">系統最大功率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</si>
  <si>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DGX</t>
    </r>
    <r>
      <rPr>
        <sz val="10"/>
        <color rgb="FF000000"/>
        <rFont val="Noto Sans CJK SC"/>
        <family val="2"/>
      </rPr>
      <t xml:space="preserve">）</t>
    </r>
  </si>
  <si>
    <t xml:space="preserve">2023</t>
  </si>
  <si>
    <r>
      <rPr>
        <sz val="10"/>
        <color rgb="FF000000"/>
        <rFont val="Arial"/>
        <family val="0"/>
        <charset val="1"/>
      </rPr>
      <t xml:space="preserve">NVIDIA DGX H100 </t>
    </r>
    <r>
      <rPr>
        <sz val="10"/>
        <color rgb="FF000000"/>
        <rFont val="Noto Sans CJK SC"/>
        <family val="2"/>
      </rPr>
      <t xml:space="preserve">規格（模型內建知識，待以原始規格表核對）</t>
    </r>
  </si>
  <si>
    <t xml:space="preserve">利害關係方</t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</si>
  <si>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</t>
    </r>
  </si>
  <si>
    <t xml:space="preserve">一手（已讀）</t>
  </si>
  <si>
    <t xml:space="preserve">Active</t>
  </si>
  <si>
    <r>
      <rPr>
        <sz val="10"/>
        <color rgb="FF000000"/>
        <rFont val="Arial"/>
        <family val="0"/>
        <charset val="1"/>
      </rPr>
      <t xml:space="preserve">E101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E181</t>
    </r>
  </si>
  <si>
    <r>
      <rPr>
        <sz val="10"/>
        <color rgb="FF000000"/>
        <rFont val="Arial"/>
        <family val="0"/>
        <charset val="1"/>
      </rPr>
      <t xml:space="preserve">Spec_Rack!C9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</si>
  <si>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40.8 kW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41 </t>
    </r>
    <r>
      <rPr>
        <sz val="10"/>
        <color rgb="FF000000"/>
        <rFont val="Noto Sans CJK SC"/>
        <family val="2"/>
      </rPr>
      <t xml:space="preserve">｜原文：</t>
    </r>
    <r>
      <rPr>
        <sz val="10"/>
        <color rgb="FF000000"/>
        <rFont val="Arial"/>
        <family val="0"/>
        <charset val="1"/>
      </rPr>
      <t xml:space="preserve">DGX H100/H200 </t>
    </r>
    <r>
      <rPr>
        <sz val="10"/>
        <color rgb="FF000000"/>
        <rFont val="Noto Sans CJK SC"/>
        <family val="2"/>
      </rPr>
      <t xml:space="preserve">使用手冊 </t>
    </r>
    <r>
      <rPr>
        <sz val="10"/>
        <color rgb="FF000000"/>
        <rFont val="Arial"/>
        <family val="0"/>
        <charset val="1"/>
      </rPr>
      <t xml:space="preserve">Table 3 “10.2 kW max.”</t>
    </r>
    <r>
      <rPr>
        <sz val="10"/>
        <color rgb="FF000000"/>
        <rFont val="Noto Sans CJK SC"/>
        <family val="2"/>
      </rPr>
      <t xml:space="preserve">，直接寫出，無需反推；手冊標題為 </t>
    </r>
    <r>
      <rPr>
        <sz val="10"/>
        <color rgb="FF000000"/>
        <rFont val="Arial"/>
        <family val="0"/>
        <charset val="1"/>
      </rPr>
      <t xml:space="preserve">H100/H200 </t>
    </r>
    <r>
      <rPr>
        <sz val="10"/>
        <color rgb="FF000000"/>
        <rFont val="Noto Sans CJK SC"/>
        <family val="2"/>
      </rPr>
      <t xml:space="preserve">共用，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適用對象為 </t>
    </r>
    <r>
      <rPr>
        <sz val="10"/>
        <color rgb="FF000000"/>
        <rFont val="Arial"/>
        <family val="0"/>
        <charset val="1"/>
      </rPr>
      <t xml:space="preserve">H100</t>
    </r>
  </si>
  <si>
    <t xml:space="preserve">SRC_HW_002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</si>
  <si>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單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價格</t>
    </r>
  </si>
  <si>
    <t xml:space="preserve">取得價</t>
  </si>
  <si>
    <t xml:space="preserve">2026</t>
  </si>
  <si>
    <r>
      <rPr>
        <sz val="10"/>
        <color rgb="FF000000"/>
        <rFont val="Arial"/>
        <family val="0"/>
        <charset val="1"/>
      </rPr>
      <t xml:space="preserve">clusterbid.com</t>
    </r>
    <r>
      <rPr>
        <sz val="10"/>
        <color rgb="FF000000"/>
        <rFont val="Noto Sans CJK SC"/>
        <family val="2"/>
      </rPr>
      <t xml:space="preserve">（低品質來源）；取區間</t>
    </r>
  </si>
  <si>
    <r>
      <rPr>
        <sz val="10"/>
        <color rgb="FF000000"/>
        <rFont val="Arial"/>
        <family val="0"/>
        <charset val="1"/>
      </rPr>
      <t xml:space="preserve">clusterbid</t>
    </r>
    <r>
      <rPr>
        <sz val="10"/>
        <color rgb="FF000000"/>
        <rFont val="Noto Sans CJK SC"/>
        <family val="2"/>
      </rPr>
      <t xml:space="preserve">：硬體交易平台，報價有成交誘因；低品質</t>
    </r>
  </si>
  <si>
    <t xml:space="preserve">二手</t>
  </si>
  <si>
    <t xml:space="preserve">E102</t>
  </si>
  <si>
    <r>
      <rPr>
        <sz val="10"/>
        <color rgb="FF000000"/>
        <rFont val="Arial"/>
        <family val="0"/>
        <charset val="1"/>
      </rPr>
      <t xml:space="preserve">HGX H100 8 GPU </t>
    </r>
    <r>
      <rPr>
        <sz val="10"/>
        <color rgb="FF000000"/>
        <rFont val="Noto Sans CJK SC"/>
        <family val="2"/>
      </rPr>
      <t xml:space="preserve">伺服器價格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</si>
  <si>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台</t>
    </r>
  </si>
  <si>
    <t xml:space="preserve">取得價區間</t>
  </si>
  <si>
    <r>
      <rPr>
        <sz val="10"/>
        <color rgb="FF000000"/>
        <rFont val="Arial"/>
        <family val="0"/>
        <charset val="1"/>
      </rPr>
      <t xml:space="preserve">E102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E197</t>
    </r>
  </si>
  <si>
    <r>
      <rPr>
        <sz val="10"/>
        <color rgb="FF000000"/>
        <rFont val="Arial"/>
        <family val="0"/>
        <charset val="1"/>
      </rPr>
      <t xml:space="preserve">Spec_Rack!C11</t>
    </r>
    <r>
      <rPr>
        <sz val="10"/>
        <color rgb="FF000000"/>
        <rFont val="Noto Sans CJK SC"/>
        <family val="2"/>
      </rPr>
      <t xml:space="preserve">｜取整；</t>
    </r>
    <r>
      <rPr>
        <sz val="10"/>
        <color rgb="FF000000"/>
        <rFont val="Arial"/>
        <family val="0"/>
        <charset val="1"/>
      </rPr>
      <t xml:space="preserve">Spec_Rack!C13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</si>
  <si>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×4 </t>
    </r>
    <r>
      <rPr>
        <sz val="10"/>
        <color rgb="FF000000"/>
        <rFont val="Noto Sans CJK SC"/>
        <family val="2"/>
      </rPr>
      <t xml:space="preserve">台＝</t>
    </r>
    <r>
      <rPr>
        <sz val="10"/>
        <color rgb="FF000000"/>
        <rFont val="Arial"/>
        <family val="0"/>
        <charset val="1"/>
      </rPr>
      <t xml:space="preserve">0.88–1.28 $M</t>
    </r>
    <r>
      <rPr>
        <sz val="10"/>
        <color rgb="FF000000"/>
        <rFont val="Noto Sans CJK SC"/>
        <family val="2"/>
      </rPr>
      <t xml:space="preserve">；模型 </t>
    </r>
    <r>
      <rPr>
        <sz val="10"/>
        <color rgb="FF000000"/>
        <rFont val="Arial"/>
        <family val="0"/>
        <charset val="1"/>
      </rPr>
      <t xml:space="preserve">0.9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</t>
    </r>
    <r>
      <rPr>
        <sz val="10"/>
        <color rgb="FF000000"/>
        <rFont val="Noto Sans CJK SC"/>
        <family val="2"/>
      </rPr>
      <t xml:space="preserve">上限有 </t>
    </r>
    <r>
      <rPr>
        <sz val="10"/>
        <color rgb="FF000000"/>
        <rFont val="Arial"/>
        <family val="0"/>
        <charset val="1"/>
      </rPr>
      <t xml:space="preserve">SHI </t>
    </r>
    <r>
      <rPr>
        <sz val="10"/>
        <color rgb="FF000000"/>
        <rFont val="Noto Sans CJK SC"/>
        <family val="2"/>
      </rPr>
      <t xml:space="preserve">德州政府合約標價 </t>
    </r>
    <r>
      <rPr>
        <sz val="10"/>
        <color rgb="FF000000"/>
        <rFont val="Arial"/>
        <family val="0"/>
        <charset val="1"/>
      </rPr>
      <t xml:space="preserve">$311,624 </t>
    </r>
    <r>
      <rPr>
        <sz val="10"/>
        <color rgb="FF000000"/>
        <rFont val="Noto Sans CJK SC"/>
        <family val="2"/>
      </rPr>
      <t xml:space="preserve">一手佐證（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端讀取；</t>
    </r>
    <r>
      <rPr>
        <sz val="10"/>
        <color rgb="FF000000"/>
        <rFont val="Arial"/>
        <family val="0"/>
        <charset val="1"/>
      </rPr>
      <t xml:space="preserve">CC </t>
    </r>
    <r>
      <rPr>
        <sz val="10"/>
        <color rgb="FF000000"/>
        <rFont val="Noto Sans CJK SC"/>
        <family val="2"/>
      </rPr>
      <t xml:space="preserve">的搜尋摘錄見 </t>
    </r>
    <r>
      <rPr>
        <sz val="10"/>
        <color rgb="FF000000"/>
        <rFont val="Arial"/>
        <family val="0"/>
        <charset val="1"/>
      </rPr>
      <t xml:space="preserve">$311,599.87</t>
    </r>
    <r>
      <rPr>
        <sz val="10"/>
        <color rgb="FF000000"/>
        <rFont val="Noto Sans CJK SC"/>
        <family val="2"/>
      </rPr>
      <t xml:space="preserve">，差 </t>
    </r>
    <r>
      <rPr>
        <sz val="10"/>
        <color rgb="FF000000"/>
        <rFont val="Arial"/>
        <family val="0"/>
        <charset val="1"/>
      </rPr>
      <t xml:space="preserve">0.01%</t>
    </r>
    <r>
      <rPr>
        <sz val="10"/>
        <color rgb="FF000000"/>
        <rFont val="Noto Sans CJK SC"/>
        <family val="2"/>
      </rPr>
      <t xml:space="preserve">，頁面未讀）；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C12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1.1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275 K×4</t>
    </r>
    <r>
      <rPr>
        <sz val="10"/>
        <color rgb="FF000000"/>
        <rFont val="Noto Sans CJK SC"/>
        <family val="2"/>
      </rPr>
      <t xml:space="preserve">）落在已讀範圍 </t>
    </r>
    <r>
      <rPr>
        <sz val="10"/>
        <color rgb="FF000000"/>
        <rFont val="Arial"/>
        <family val="0"/>
        <charset val="1"/>
      </rPr>
      <t xml:space="preserve">190K–312K </t>
    </r>
    <r>
      <rPr>
        <sz val="10"/>
        <color rgb="FF000000"/>
        <rFont val="Noto Sans CJK SC"/>
        <family val="2"/>
      </rPr>
      <t xml:space="preserve">內（</t>
    </r>
    <r>
      <rPr>
        <sz val="10"/>
        <color rgb="FF000000"/>
        <rFont val="Arial"/>
        <family val="0"/>
        <charset val="1"/>
      </rPr>
      <t xml:space="preserve">E196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gpuperhour </t>
    </r>
    <r>
      <rPr>
        <sz val="10"/>
        <color rgb="FF000000"/>
        <rFont val="Noto Sans CJK SC"/>
        <family val="2"/>
      </rPr>
      <t xml:space="preserve">彙整，</t>
    </r>
    <r>
      <rPr>
        <sz val="10"/>
        <color rgb="FF000000"/>
        <rFont val="Arial"/>
        <family val="0"/>
        <charset val="1"/>
      </rPr>
      <t xml:space="preserve">SemiAnalysis </t>
    </r>
    <r>
      <rPr>
        <sz val="10"/>
        <color rgb="FF000000"/>
        <rFont val="Noto Sans CJK SC"/>
        <family val="2"/>
      </rPr>
      <t xml:space="preserve">估計約 </t>
    </r>
    <r>
      <rPr>
        <sz val="10"/>
        <color rgb="FF000000"/>
        <rFont val="Arial"/>
        <family val="0"/>
        <charset val="1"/>
      </rPr>
      <t xml:space="preserve">190K </t>
    </r>
    <r>
      <rPr>
        <sz val="10"/>
        <color rgb="FF000000"/>
        <rFont val="Noto Sans CJK SC"/>
        <family val="2"/>
      </rPr>
      <t xml:space="preserve">僅伺服器、約 </t>
    </r>
    <r>
      <rPr>
        <sz val="10"/>
        <color rgb="FF000000"/>
        <rFont val="Arial"/>
        <family val="0"/>
        <charset val="1"/>
      </rPr>
      <t xml:space="preserve">250K </t>
    </r>
    <r>
      <rPr>
        <sz val="10"/>
        <color rgb="FF000000"/>
        <rFont val="Noto Sans CJK SC"/>
        <family val="2"/>
      </rPr>
      <t xml:space="preserve">含儲存與網路；</t>
    </r>
    <r>
      <rPr>
        <sz val="10"/>
        <color rgb="FF000000"/>
        <rFont val="Arial"/>
        <family val="0"/>
        <charset val="1"/>
      </rPr>
      <t xml:space="preserve">Newegg </t>
    </r>
    <r>
      <rPr>
        <sz val="10"/>
        <color rgb="FF000000"/>
        <rFont val="Noto Sans CJK SC"/>
        <family val="2"/>
      </rPr>
      <t xml:space="preserve">掛牌 </t>
    </r>
    <r>
      <rPr>
        <sz val="10"/>
        <color rgb="FF000000"/>
        <rFont val="Arial"/>
        <family val="0"/>
        <charset val="1"/>
      </rPr>
      <t xml:space="preserve">306,672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2026-10-06 </t>
    </r>
    <r>
      <rPr>
        <sz val="10"/>
        <color rgb="FF000000"/>
        <rFont val="Noto Sans CJK SC"/>
        <family val="2"/>
      </rPr>
      <t xml:space="preserve">讀取）；下限 </t>
    </r>
    <r>
      <rPr>
        <sz val="10"/>
        <color rgb="FF000000"/>
        <rFont val="Arial"/>
        <family val="0"/>
        <charset val="1"/>
      </rPr>
      <t xml:space="preserve">220,000 </t>
    </r>
    <r>
      <rPr>
        <sz val="10"/>
        <color rgb="FF000000"/>
        <rFont val="Noto Sans CJK SC"/>
        <family val="2"/>
      </rPr>
      <t xml:space="preserve">未讀 </t>
    </r>
    <r>
      <rPr>
        <sz val="10"/>
        <color rgb="FF000000"/>
        <rFont val="Arial"/>
        <family val="0"/>
        <charset val="1"/>
      </rPr>
      <t xml:space="preserve">[Assumed]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</si>
  <si>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</si>
  <si>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架</t>
    </r>
  </si>
  <si>
    <t xml:space="preserve">未明（設計或最大）</t>
  </si>
  <si>
    <t xml:space="preserve">2026-06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</si>
  <si>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HPE QuickSpecs V6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2026-09-08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TDP 132 kW nominal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端讀取）；</t>
    </r>
    <r>
      <rPr>
        <sz val="10"/>
        <color rgb="FF000000"/>
        <rFont val="Arial"/>
        <family val="0"/>
        <charset val="1"/>
      </rPr>
      <t xml:space="preserve">SemiAnalysis GB200 hardware architecture</t>
    </r>
    <r>
      <rPr>
        <sz val="10"/>
        <color rgb="FF000000"/>
        <rFont val="Noto Sans CJK SC"/>
        <family val="2"/>
      </rPr>
      <t xml:space="preserve">（約 </t>
    </r>
    <r>
      <rPr>
        <sz val="10"/>
        <color rgb="FF000000"/>
        <rFont val="Arial"/>
        <family val="0"/>
        <charset val="1"/>
      </rPr>
      <t xml:space="preserve">120 kW</t>
    </r>
    <r>
      <rPr>
        <sz val="10"/>
        <color rgb="FF000000"/>
        <rFont val="Noto Sans CJK SC"/>
        <family val="2"/>
      </rPr>
      <t xml:space="preserve">、含轉換損耗總用電 </t>
    </r>
    <r>
      <rPr>
        <sz val="10"/>
        <color rgb="FF000000"/>
        <rFont val="Arial"/>
        <family val="0"/>
        <charset val="1"/>
      </rPr>
      <t xml:space="preserve">123.6 kW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</si>
  <si>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moduledge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hashrateindex</t>
    </r>
    <r>
      <rPr>
        <sz val="10"/>
        <color rgb="FF000000"/>
        <rFont val="Noto Sans CJK SC"/>
        <family val="2"/>
      </rPr>
      <t xml:space="preserve">：零組件／挖礦業者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</si>
  <si>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E195</t>
    </r>
  </si>
  <si>
    <t xml:space="preserve">S3</t>
  </si>
  <si>
    <r>
      <rPr>
        <sz val="10"/>
        <color rgb="FF000000"/>
        <rFont val="Arial"/>
        <family val="0"/>
        <charset val="1"/>
      </rPr>
      <t xml:space="preserve">Spec_Rack!D8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Spec_Rack!D9</t>
    </r>
    <r>
      <rPr>
        <sz val="10"/>
        <color rgb="FF000000"/>
        <rFont val="Noto Sans CJK SC"/>
        <family val="2"/>
      </rPr>
      <t xml:space="preserve">｜選取</t>
    </r>
  </si>
  <si>
    <t xml:space="preserve">模型高值 140 無對應來源（v4＝139） ｜v5.18 G2：基準 130→132（TDP nominal）、低 120 不變；上緣 130→132；等級 3→1（E195；HPE 頁由 chat 端讀取）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</si>
  <si>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機架功率</t>
    </r>
  </si>
  <si>
    <t xml:space="preserve">未明</t>
  </si>
  <si>
    <r>
      <rPr>
        <sz val="10"/>
        <color rgb="FF000000"/>
        <rFont val="Arial"/>
        <family val="0"/>
        <charset val="1"/>
      </rPr>
      <t xml:space="preserve">moduledge.com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hashrateindex.com</t>
    </r>
  </si>
  <si>
    <r>
      <rPr>
        <sz val="10"/>
        <color rgb="FF000000"/>
        <rFont val="Arial"/>
        <family val="0"/>
        <charset val="1"/>
      </rPr>
      <t xml:space="preserve">E103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E198</t>
    </r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</si>
  <si>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Spec_Rack!E9</t>
    </r>
    <r>
      <rPr>
        <sz val="10"/>
        <color rgb="FF000000"/>
        <rFont val="Noto Sans CJK SC"/>
        <family val="2"/>
      </rPr>
      <t xml:space="preserve">｜換算</t>
    </r>
  </si>
  <si>
    <t xml:space="preserve">模型基準 137＝區間中點 ｜v5.18：等級 3→2（E198） ｜G1 規則：(i) wing.vc 讀到 132–140 kW（二手已讀）；(ii) 基準 E9 136（中點，Derived）落在 132–140；上緣 142 未讀，v5.18 改為 140（步驟 G3）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</si>
  <si>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</t>
    </r>
  </si>
  <si>
    <r>
      <rPr>
        <sz val="10"/>
        <color rgb="FF000000"/>
        <rFont val="Arial"/>
        <family val="0"/>
        <charset val="1"/>
      </rPr>
      <t xml:space="preserve">$M/</t>
    </r>
    <r>
      <rPr>
        <sz val="10"/>
        <color rgb="FF000000"/>
        <rFont val="Noto Sans CJK SC"/>
        <family val="2"/>
      </rPr>
      <t xml:space="preserve">架</t>
    </r>
  </si>
  <si>
    <t xml:space="preserve">媒體報價</t>
  </si>
  <si>
    <t xml:space="preserve">2026-03</t>
  </si>
  <si>
    <r>
      <rPr>
        <sz val="10"/>
        <color rgb="FF000000"/>
        <rFont val="Arial"/>
        <family val="0"/>
        <charset val="1"/>
      </rPr>
      <t xml:space="preserve">Tom's Hardware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Yahoo Finance</t>
    </r>
    <r>
      <rPr>
        <sz val="10"/>
        <color rgb="FF000000"/>
        <rFont val="Noto Sans CJK SC"/>
        <family val="2"/>
      </rPr>
      <t xml:space="preserve">）</t>
    </r>
  </si>
  <si>
    <t xml:space="preserve">供應鏈消息經媒體轉述（Tom's Hardware）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</si>
  <si>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E199</t>
    </r>
  </si>
  <si>
    <t xml:space="preserve">S4</t>
  </si>
  <si>
    <r>
      <rPr>
        <sz val="10"/>
        <color rgb="FF000000"/>
        <rFont val="Arial"/>
        <family val="0"/>
        <charset val="1"/>
      </rPr>
      <t xml:space="preserve">Spec_Rack!D11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Spec_Rack!D12</t>
    </r>
    <r>
      <rPr>
        <sz val="10"/>
        <color rgb="FF000000"/>
        <rFont val="Noto Sans CJK SC"/>
        <family val="2"/>
      </rPr>
      <t xml:space="preserve">｜換算</t>
    </r>
  </si>
  <si>
    <t xml:space="preserve">模型基準 3.1＝中點（另載 Barron's 約 3） ｜v5.18：等級 3→2（E199） ｜G1 規則：(i) wccftech 讀到 3.1 M（引自 X 貼文 @firstadopter，非 Morgan Stanley；出處更正）；(ii) 基準 D12＝3.1 與其相同；2.8、3.4 端未讀 [Assumed]（3.4 的搜尋摘要實指「72 GPU 模組合計」，口徑不同）</t>
  </si>
  <si>
    <t xml:space="preserve">SRC_HW_007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</si>
  <si>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</t>
    </r>
  </si>
  <si>
    <t xml:space="preserve">Alt</t>
  </si>
  <si>
    <r>
      <rPr>
        <sz val="10"/>
        <color rgb="FF000000"/>
        <rFont val="Arial"/>
        <family val="0"/>
        <charset val="1"/>
      </rPr>
      <t xml:space="preserve">E104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E269</t>
    </r>
  </si>
  <si>
    <t xml:space="preserve">—（v5.31 起不連結；高情境改連 SRC_HW_010）</t>
  </si>
  <si>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E269</t>
    </r>
    <r>
      <rPr>
        <sz val="10"/>
        <color rgb="FF000000"/>
        <rFont val="Noto Sans CJK SC"/>
        <family val="2"/>
      </rPr>
      <t xml:space="preserve">，待查）：</t>
    </r>
    <r>
      <rPr>
        <sz val="10"/>
        <color rgb="FF000000"/>
        <rFont val="Arial"/>
        <family val="0"/>
        <charset val="1"/>
      </rPr>
      <t xml:space="preserve">J1 (a) </t>
    </r>
    <r>
      <rPr>
        <sz val="10"/>
        <color rgb="FF000000"/>
        <rFont val="Noto Sans CJK SC"/>
        <family val="2"/>
      </rPr>
      <t xml:space="preserve">採用後不再是高情境，改列 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（底層出處不明、本輪未讀原文）</t>
    </r>
  </si>
  <si>
    <t xml:space="preserve">SRC_HW_008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</si>
  <si>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機架價格（含約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</si>
  <si>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t xml:space="preserve">E104</t>
  </si>
  <si>
    <t xml:space="preserve">與 S9 同指標但含 NAND 口徑不同 → Alt</t>
  </si>
  <si>
    <t xml:space="preserve">SRC_HW_009</t>
  </si>
  <si>
    <r>
      <rPr>
        <sz val="10"/>
        <color rgb="FF000000"/>
        <rFont val="Arial"/>
        <family val="0"/>
        <charset val="1"/>
      </rPr>
      <t xml:space="preserve">Supermicro GB300 NVL72 </t>
    </r>
    <r>
      <rPr>
        <sz val="10"/>
        <color rgb="FF000000"/>
        <rFont val="Noto Sans CJK SC"/>
        <family val="2"/>
      </rPr>
      <t xml:space="preserve">機架功率</t>
    </r>
  </si>
  <si>
    <t xml:space="preserve">廠商規格</t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</si>
  <si>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規格（經 </t>
    </r>
    <r>
      <rPr>
        <sz val="10"/>
        <color rgb="FF000000"/>
        <rFont val="Arial"/>
        <family val="0"/>
        <charset val="1"/>
      </rPr>
      <t xml:space="preserve">wing.vc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</si>
  <si>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：系統廠產品規格</t>
    </r>
  </si>
  <si>
    <t xml:space="preserve">E105</t>
  </si>
  <si>
    <t xml:space="preserve">S5</t>
  </si>
  <si>
    <r>
      <rPr>
        <sz val="10"/>
        <color rgb="FF000000"/>
        <rFont val="Arial"/>
        <family val="0"/>
        <charset val="1"/>
      </rPr>
      <t xml:space="preserve">Spec_Rack!E8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</si>
  <si>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採購單價</t>
    </r>
  </si>
  <si>
    <t xml:space="preserve">採購單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</si>
  <si>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）；原文 </t>
    </r>
    <r>
      <rPr>
        <sz val="10"/>
        <color rgb="FF000000"/>
        <rFont val="Arial"/>
        <family val="0"/>
        <charset val="1"/>
      </rPr>
      <t xml:space="preserve">https://www.datagravity.dev/p/how-much-does-an-nvidia-nvl72-cost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2026-08-31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v5.31 A </t>
    </r>
    <r>
      <rPr>
        <sz val="10"/>
        <color rgb="FF000000"/>
        <rFont val="Noto Sans CJK SC"/>
        <family val="2"/>
      </rPr>
      <t xml:space="preserve">段已讀）</t>
    </r>
  </si>
  <si>
    <t xml:space="preserve">未具名交易方（Data Gravity 經 wing.vc）</t>
  </si>
  <si>
    <r>
      <rPr>
        <sz val="10"/>
        <color rgb="FF000000"/>
        <rFont val="Arial"/>
        <family val="0"/>
        <charset val="1"/>
      </rPr>
      <t xml:space="preserve">E106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E263</t>
    </r>
  </si>
  <si>
    <t xml:space="preserve">S6</t>
  </si>
  <si>
    <r>
      <rPr>
        <sz val="10"/>
        <color rgb="FF000000"/>
        <rFont val="Arial"/>
        <family val="0"/>
        <charset val="1"/>
      </rPr>
      <t xml:space="preserve">Spec_Rack!E13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</si>
  <si>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E200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wing.vc </t>
    </r>
    <r>
      <rPr>
        <sz val="10"/>
        <color rgb="FF000000"/>
        <rFont val="Noto Sans CJK SC"/>
        <family val="2"/>
      </rPr>
      <t xml:space="preserve">讀到採購單「</t>
    </r>
    <r>
      <rPr>
        <sz val="10"/>
        <color rgb="FF000000"/>
        <rFont val="Arial"/>
        <family val="0"/>
        <charset val="1"/>
      </rPr>
      <t xml:space="preserve">just under $5.0M</t>
    </r>
    <r>
      <rPr>
        <sz val="10"/>
        <color rgb="FF000000"/>
        <rFont val="Noto Sans CJK SC"/>
        <family val="2"/>
      </rPr>
      <t xml:space="preserve">」（不含機架內 </t>
    </r>
    <r>
      <rPr>
        <sz val="10"/>
        <color rgb="FF000000"/>
        <rFont val="Arial"/>
        <family val="0"/>
        <charset val="1"/>
      </rPr>
      <t xml:space="preserve">CDU</t>
    </r>
    <r>
      <rPr>
        <sz val="10"/>
        <color rgb="FF000000"/>
        <rFont val="Noto Sans CJK SC"/>
        <family val="2"/>
      </rPr>
      <t xml:space="preserve">；原文 </t>
    </r>
    <r>
      <rPr>
        <sz val="10"/>
        <color rgb="FF000000"/>
        <rFont val="Arial"/>
        <family val="0"/>
        <charset val="1"/>
      </rPr>
      <t xml:space="preserve">datagravity.dev </t>
    </r>
    <r>
      <rPr>
        <sz val="10"/>
        <color rgb="FF000000"/>
        <rFont val="Noto Sans CJK SC"/>
        <family val="2"/>
      </rPr>
      <t xml:space="preserve">被出口政策擋）；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E12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5.0 </t>
    </r>
    <r>
      <rPr>
        <sz val="10"/>
        <color rgb="FF000000"/>
        <rFont val="Noto Sans CJK SC"/>
        <family val="2"/>
      </rPr>
      <t xml:space="preserve">與其相符（值非逐字相同） ｜</t>
    </r>
    <r>
      <rPr>
        <sz val="10"/>
        <color rgb="FF000000"/>
        <rFont val="Arial"/>
        <family val="0"/>
        <charset val="1"/>
      </rPr>
      <t xml:space="preserve">v5.31 X16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E263</t>
    </r>
    <r>
      <rPr>
        <sz val="10"/>
        <color rgb="FF000000"/>
        <rFont val="Noto Sans CJK SC"/>
        <family val="2"/>
      </rPr>
      <t xml:space="preserve">）：原文已讀（略低於 </t>
    </r>
    <r>
      <rPr>
        <sz val="10"/>
        <color rgb="FF000000"/>
        <rFont val="Arial"/>
        <family val="0"/>
        <charset val="1"/>
      </rPr>
      <t xml:space="preserve">$5.0M</t>
    </r>
    <r>
      <rPr>
        <sz val="10"/>
        <color rgb="FF000000"/>
        <rFont val="Noto Sans CJK SC"/>
        <family val="2"/>
      </rPr>
      <t xml:space="preserve">、不含 </t>
    </r>
    <r>
      <rPr>
        <sz val="10"/>
        <color rgb="FF000000"/>
        <rFont val="Arial"/>
        <family val="0"/>
        <charset val="1"/>
      </rPr>
      <t xml:space="preserve">250 kW CDU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$32K</t>
    </r>
    <r>
      <rPr>
        <sz val="10"/>
        <color rgb="FF000000"/>
        <rFont val="Noto Sans CJK SC"/>
        <family val="2"/>
      </rPr>
      <t xml:space="preserve">、部署合計約 </t>
    </r>
    <r>
      <rPr>
        <sz val="10"/>
        <color rgb="FF000000"/>
        <rFont val="Arial"/>
        <family val="0"/>
        <charset val="1"/>
      </rPr>
      <t xml:space="preserve">$5.7M</t>
    </r>
    <r>
      <rPr>
        <sz val="10"/>
        <color rgb="FF000000"/>
        <rFont val="Noto Sans CJK SC"/>
        <family val="2"/>
      </rPr>
      <t xml:space="preserve">）；由基準改作高情境依據（</t>
    </r>
    <r>
      <rPr>
        <sz val="10"/>
        <color rgb="FF000000"/>
        <rFont val="Arial"/>
        <family val="0"/>
        <charset val="1"/>
      </rPr>
      <t xml:space="preserve">Spec_Rack E13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</si>
  <si>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Max-Q</t>
    </r>
  </si>
  <si>
    <t xml:space="preserve">運轉模式 Max-Q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</si>
  <si>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）</t>
    </r>
  </si>
  <si>
    <t xml:space="preserve">郭明錤（供應鏈分析師）；spheron、thundercompute 為 GPU 雲業者</t>
  </si>
  <si>
    <r>
      <rPr>
        <sz val="10"/>
        <color rgb="FF000000"/>
        <rFont val="Arial"/>
        <family val="0"/>
        <charset val="1"/>
      </rPr>
      <t xml:space="preserve">E107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E227</t>
    </r>
  </si>
  <si>
    <t xml:space="preserve">S7</t>
  </si>
  <si>
    <r>
      <rPr>
        <sz val="10"/>
        <color rgb="FF000000"/>
        <rFont val="Arial"/>
        <family val="0"/>
        <charset val="1"/>
      </rPr>
      <t xml:space="preserve">Spec_Rack!F8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</si>
  <si>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E227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v5.18 F1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190→188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MaxQ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Schneider MaxQ 188 CC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1d </t>
    </r>
    <r>
      <rPr>
        <sz val="10"/>
        <color rgb="FF000000"/>
        <rFont val="Noto Sans CJK SC"/>
        <family val="2"/>
      </rPr>
      <t xml:space="preserve">已讀，值相同（</t>
    </r>
    <r>
      <rPr>
        <sz val="10"/>
        <color rgb="FF000000"/>
        <rFont val="Arial"/>
        <family val="0"/>
        <charset val="1"/>
      </rPr>
      <t xml:space="preserve">PR #19 </t>
    </r>
    <r>
      <rPr>
        <sz val="10"/>
        <color rgb="FF000000"/>
        <rFont val="Noto Sans CJK SC"/>
        <family val="2"/>
      </rPr>
      <t xml:space="preserve">審查：升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級）；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230</t>
    </r>
    <r>
      <rPr>
        <sz val="10"/>
        <color rgb="FF000000"/>
        <rFont val="Noto Sans CJK SC"/>
        <family val="2"/>
      </rPr>
      <t xml:space="preserve">）不動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</si>
  <si>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機架功率 </t>
    </r>
    <r>
      <rPr>
        <sz val="10"/>
        <color rgb="FF000000"/>
        <rFont val="Arial"/>
        <family val="0"/>
        <charset val="1"/>
      </rPr>
      <t xml:space="preserve">Max-P</t>
    </r>
  </si>
  <si>
    <t xml:space="preserve">運轉模式 Max-P</t>
  </si>
  <si>
    <r>
      <rPr>
        <sz val="10"/>
        <color rgb="FF000000"/>
        <rFont val="Arial"/>
        <family val="0"/>
        <charset val="1"/>
      </rPr>
      <t xml:space="preserve">spheron.network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thundercompute.com</t>
    </r>
  </si>
  <si>
    <t xml:space="preserve">E107</t>
  </si>
  <si>
    <r>
      <rPr>
        <sz val="10"/>
        <color rgb="FF000000"/>
        <rFont val="Arial"/>
        <family val="0"/>
        <charset val="1"/>
      </rPr>
      <t xml:space="preserve">Spec_Rack!F10</t>
    </r>
    <r>
      <rPr>
        <sz val="10"/>
        <color rgb="FF000000"/>
        <rFont val="Noto Sans CJK SC"/>
        <family val="2"/>
      </rPr>
      <t xml:space="preserve">｜直接</t>
    </r>
  </si>
  <si>
    <t xml:space="preserve">SRC_HW_013</t>
  </si>
  <si>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機架功率</t>
    </r>
  </si>
  <si>
    <t xml:space="preserve">約值</t>
  </si>
  <si>
    <t xml:space="preserve">Rubin Ultra NVL576</t>
  </si>
  <si>
    <t xml:space="preserve">Superseded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</si>
  <si>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Spec_Rack G </t>
    </r>
    <r>
      <rPr>
        <sz val="10"/>
        <color rgb="FF000000"/>
        <rFont val="Noto Sans CJK SC"/>
        <family val="2"/>
      </rPr>
      <t xml:space="preserve">欄改單架 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</si>
  <si>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Spec_Rack!G9</t>
    </r>
    <r>
      <rPr>
        <sz val="10"/>
        <color rgb="FF000000"/>
        <rFont val="Noto Sans CJK SC"/>
        <family val="2"/>
      </rPr>
      <t xml:space="preserve">｜直接</t>
    </r>
  </si>
  <si>
    <t xml:space="preserve">模型低／高 550／650 為 Assumed ±50 ｜v5.18：Superseded（Rubin Ultra 單架 600 kW（Kyber 舊路線圖））；NVIDIA 2026-09 技術部落格改為 MGX NVL 單架 72 GPU，Kyber NVL144 屬 Feynman 世代；保留紀錄</t>
  </si>
  <si>
    <r>
      <rPr>
        <sz val="10"/>
        <color rgb="FF000000"/>
        <rFont val="Arial"/>
        <family val="0"/>
        <charset val="1"/>
      </rPr>
      <t xml:space="preserve">Supermicro VR NVL72 </t>
    </r>
    <r>
      <rPr>
        <sz val="10"/>
        <color rgb="FF000000"/>
        <rFont val="Noto Sans CJK SC"/>
        <family val="2"/>
      </rPr>
      <t xml:space="preserve">散熱設計點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</si>
  <si>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設計點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</si>
  <si>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Schneider Electric </t>
    </r>
    <r>
      <rPr>
        <sz val="10"/>
        <color rgb="FF000000"/>
        <rFont val="Noto Sans CJK SC"/>
        <family val="2"/>
      </rPr>
      <t xml:space="preserve">部落格 </t>
    </r>
    <r>
      <rPr>
        <sz val="10"/>
        <color rgb="FF000000"/>
        <rFont val="Arial"/>
        <family val="0"/>
        <charset val="1"/>
      </rPr>
      <t xml:space="preserve">2026-05-08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VR NVL72 </t>
    </r>
    <r>
      <rPr>
        <sz val="10"/>
        <color rgb="FF000000"/>
        <rFont val="Noto Sans CJK SC"/>
        <family val="2"/>
      </rPr>
      <t xml:space="preserve">參考設計 </t>
    </r>
    <r>
      <rPr>
        <sz val="10"/>
        <color rgb="FF000000"/>
        <rFont val="Arial"/>
        <family val="0"/>
        <charset val="1"/>
      </rPr>
      <t xml:space="preserve">MaxP 227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MaxQ 188 kW/rack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更正出處，原記 </t>
    </r>
    <r>
      <rPr>
        <sz val="10"/>
        <color rgb="FF000000"/>
        <rFont val="Arial"/>
        <family val="0"/>
        <charset val="1"/>
      </rPr>
      <t xml:space="preserve">Supermicro DLC-2 </t>
    </r>
    <r>
      <rPr>
        <sz val="10"/>
        <color rgb="FF000000"/>
        <rFont val="Noto Sans CJK SC"/>
        <family val="2"/>
      </rPr>
      <t xml:space="preserve">設計點）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</si>
  <si>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：系統廠（論壇轉述）</t>
    </r>
  </si>
  <si>
    <r>
      <rPr>
        <sz val="10"/>
        <color rgb="FF000000"/>
        <rFont val="Arial"/>
        <family val="0"/>
        <charset val="1"/>
      </rPr>
      <t xml:space="preserve">E108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E193</t>
    </r>
  </si>
  <si>
    <r>
      <rPr>
        <sz val="10"/>
        <color rgb="FF000000"/>
        <rFont val="Arial"/>
        <family val="0"/>
        <charset val="1"/>
      </rPr>
      <t xml:space="preserve">SRC_HW_064</t>
    </r>
    <r>
      <rPr>
        <sz val="10"/>
        <color rgb="FF000000"/>
        <rFont val="Noto Sans CJK SC"/>
        <family val="2"/>
      </rPr>
      <t xml:space="preserve">（未確認獨立）</t>
    </r>
  </si>
  <si>
    <t xml:space="preserve">S8</t>
  </si>
  <si>
    <r>
      <rPr>
        <sz val="10"/>
        <color rgb="FF000000"/>
        <rFont val="Arial"/>
        <family val="0"/>
        <charset val="1"/>
      </rPr>
      <t xml:space="preserve">Spec_Rack!F9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</si>
  <si>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D3 </t>
    </r>
    <r>
      <rPr>
        <sz val="10"/>
        <color rgb="FF000000"/>
        <rFont val="Noto Sans CJK SC"/>
        <family val="2"/>
      </rPr>
      <t xml:space="preserve">基準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E193</t>
    </r>
    <r>
      <rPr>
        <sz val="10"/>
        <color rgb="FF000000"/>
        <rFont val="Noto Sans CJK SC"/>
        <family val="2"/>
      </rPr>
      <t xml:space="preserve">）；口徑＝參考設計機架 </t>
    </r>
    <r>
      <rPr>
        <sz val="10"/>
        <color rgb="FF000000"/>
        <rFont val="Arial"/>
        <family val="0"/>
        <charset val="1"/>
      </rPr>
      <t xml:space="preserve">MaxP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IT </t>
    </r>
    <r>
      <rPr>
        <sz val="10"/>
        <color rgb="FF000000"/>
        <rFont val="Noto Sans CJK SC"/>
        <family val="2"/>
      </rPr>
      <t xml:space="preserve">側）；第二來源 </t>
    </r>
    <r>
      <rPr>
        <sz val="10"/>
        <color rgb="FF000000"/>
        <rFont val="Arial"/>
        <family val="0"/>
        <charset val="1"/>
      </rPr>
      <t xml:space="preserve">SRC_HW_064 </t>
    </r>
    <r>
      <rPr>
        <sz val="10"/>
        <color rgb="FF000000"/>
        <rFont val="Noto Sans CJK SC"/>
        <family val="2"/>
      </rPr>
      <t xml:space="preserve">未確認獨立</t>
    </r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</si>
  <si>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</si>
  <si>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</t>
  </si>
  <si>
    <t xml:space="preserve">2026-05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</si>
  <si>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</si>
  <si>
    <t xml:space="preserve">中立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</si>
  <si>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：口徑＝成本（</t>
    </r>
    <r>
      <rPr>
        <sz val="10"/>
        <color rgb="FF000000"/>
        <rFont val="Arial"/>
        <family val="0"/>
        <charset val="1"/>
      </rPr>
      <t xml:space="preserve">Morgan Stanley Research </t>
    </r>
    <r>
      <rPr>
        <sz val="10"/>
        <color rgb="FF000000"/>
        <rFont val="Noto Sans CJK SC"/>
        <family val="2"/>
      </rPr>
      <t xml:space="preserve">物料成本 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），不是售價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</si>
  <si>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E201</t>
    </r>
  </si>
  <si>
    <t xml:space="preserve">S9</t>
  </si>
  <si>
    <r>
      <rPr>
        <sz val="10"/>
        <color rgb="FF000000"/>
        <rFont val="Arial"/>
        <family val="0"/>
        <charset val="1"/>
      </rPr>
      <t xml:space="preserve">Spec_Rack!F12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</si>
  <si>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E201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G1 </t>
    </r>
    <r>
      <rPr>
        <sz val="10"/>
        <color rgb="FF000000"/>
        <rFont val="Noto Sans CJK SC"/>
        <family val="2"/>
      </rPr>
      <t xml:space="preserve">規則：</t>
    </r>
    <r>
      <rPr>
        <sz val="10"/>
        <color rgb="FF000000"/>
        <rFont val="Arial"/>
        <family val="0"/>
        <charset val="1"/>
      </rPr>
      <t xml:space="preserve">(i) wccftech </t>
    </r>
    <r>
      <rPr>
        <sz val="10"/>
        <color rgb="FF000000"/>
        <rFont val="Noto Sans CJK SC"/>
        <family val="2"/>
      </rPr>
      <t xml:space="preserve">讀到 </t>
    </r>
    <r>
      <rPr>
        <sz val="10"/>
        <color rgb="FF000000"/>
        <rFont val="Arial"/>
        <family val="0"/>
        <charset val="1"/>
      </rPr>
      <t xml:space="preserve">Morgan Stanley Research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estimated BOM $7.8 million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2026-05-21</t>
    </r>
    <r>
      <rPr>
        <sz val="10"/>
        <color rgb="FF000000"/>
        <rFont val="Noto Sans CJK SC"/>
        <family val="2"/>
      </rPr>
      <t xml:space="preserve">）；口徑＝成本（</t>
    </r>
    <r>
      <rPr>
        <sz val="10"/>
        <color rgb="FF000000"/>
        <rFont val="Arial"/>
        <family val="0"/>
        <charset val="1"/>
      </rPr>
      <t xml:space="preserve">BOM</t>
    </r>
    <r>
      <rPr>
        <sz val="10"/>
        <color rgb="FF000000"/>
        <rFont val="Noto Sans CJK SC"/>
        <family val="2"/>
      </rPr>
      <t xml:space="preserve">），非售價；</t>
    </r>
    <r>
      <rPr>
        <sz val="10"/>
        <color rgb="FF000000"/>
        <rFont val="Arial"/>
        <family val="0"/>
        <charset val="1"/>
      </rPr>
      <t xml:space="preserve">(ii) </t>
    </r>
    <r>
      <rPr>
        <sz val="10"/>
        <color rgb="FF000000"/>
        <rFont val="Noto Sans CJK SC"/>
        <family val="2"/>
      </rPr>
      <t xml:space="preserve">本筆記錄值 </t>
    </r>
    <r>
      <rPr>
        <sz val="10"/>
        <color rgb="FF000000"/>
        <rFont val="Arial"/>
        <family val="0"/>
        <charset val="1"/>
      </rPr>
      <t xml:space="preserve">7.8 </t>
    </r>
    <r>
      <rPr>
        <sz val="10"/>
        <color rgb="FF000000"/>
        <rFont val="Noto Sans CJK SC"/>
        <family val="2"/>
      </rPr>
      <t xml:space="preserve">即已讀值；</t>
    </r>
    <r>
      <rPr>
        <sz val="10"/>
        <color rgb="FF000000"/>
        <rFont val="Arial"/>
        <family val="0"/>
        <charset val="1"/>
      </rPr>
      <t xml:space="preserve">Spec_Rack F12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7.8×(1</t>
    </r>
    <r>
      <rPr>
        <sz val="10"/>
        <color rgb="FF000000"/>
        <rFont val="Noto Sans CJK SC"/>
        <family val="2"/>
      </rPr>
      <t xml:space="preserve">＋代工毛利約 </t>
    </r>
    <r>
      <rPr>
        <sz val="10"/>
        <color rgb="FF000000"/>
        <rFont val="Arial"/>
        <family val="0"/>
        <charset val="1"/>
      </rPr>
      <t xml:space="preserve">7.5%</t>
    </r>
    <r>
      <rPr>
        <sz val="10"/>
        <color rgb="FF000000"/>
        <rFont val="Noto Sans CJK SC"/>
        <family val="2"/>
      </rPr>
      <t xml:space="preserve">，區間 </t>
    </r>
    <r>
      <rPr>
        <sz val="10"/>
        <color rgb="FF000000"/>
        <rFont val="Arial"/>
        <family val="0"/>
        <charset val="1"/>
      </rPr>
      <t xml:space="preserve">5–10%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Assumed)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F11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7.8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F13 </t>
    </r>
    <r>
      <rPr>
        <sz val="10"/>
        <color rgb="FF000000"/>
        <rFont val="Noto Sans CJK SC"/>
        <family val="2"/>
      </rPr>
      <t xml:space="preserve">高 </t>
    </r>
    <r>
      <rPr>
        <sz val="10"/>
        <color rgb="FF000000"/>
        <rFont val="Arial"/>
        <family val="0"/>
        <charset val="1"/>
      </rPr>
      <t xml:space="preserve">9.1</t>
    </r>
    <r>
      <rPr>
        <sz val="10"/>
        <color rgb="FF000000"/>
        <rFont val="Noto Sans CJK SC"/>
        <family val="2"/>
      </rPr>
      <t xml:space="preserve">（步驟 </t>
    </r>
    <r>
      <rPr>
        <sz val="10"/>
        <color rgb="FF000000"/>
        <rFont val="Arial"/>
        <family val="0"/>
        <charset val="1"/>
      </rPr>
      <t xml:space="preserve">G4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r3 I2</t>
    </r>
    <r>
      <rPr>
        <sz val="10"/>
        <color rgb="FF000000"/>
        <rFont val="Noto Sans CJK SC"/>
        <family val="2"/>
      </rPr>
      <t xml:space="preserve">）</t>
    </r>
  </si>
  <si>
    <t xml:space="preserve">SRC_HW_016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</si>
  <si>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機架成本，自購記憶體（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</si>
  <si>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分析師估計，不含記憶體加價</t>
  </si>
  <si>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賣方研究（推估方法未公開）；現行標記為 </t>
    </r>
    <r>
      <rPr>
        <sz val="10"/>
        <color rgb="FF000000"/>
        <rFont val="Arial"/>
        <family val="0"/>
        <charset val="1"/>
      </rPr>
      <t xml:space="preserve">IP</t>
    </r>
  </si>
  <si>
    <t xml:space="preserve">E109</t>
  </si>
  <si>
    <r>
      <rPr>
        <sz val="10"/>
        <color rgb="FF000000"/>
        <rFont val="Arial"/>
        <family val="0"/>
        <charset val="1"/>
      </rPr>
      <t xml:space="preserve">Spec_Rack!F11</t>
    </r>
    <r>
      <rPr>
        <sz val="10"/>
        <color rgb="FF000000"/>
        <rFont val="Noto Sans CJK SC"/>
        <family val="2"/>
      </rPr>
      <t xml:space="preserve">｜直接</t>
    </r>
  </si>
  <si>
    <t xml:space="preserve">口徑不同（自購記憶體）→ Alt</t>
  </si>
  <si>
    <r>
      <rPr>
        <sz val="10"/>
        <color rgb="FF000000"/>
        <rFont val="Arial"/>
        <family val="0"/>
        <charset val="1"/>
      </rPr>
      <t xml:space="preserve">VR200 NVL72 </t>
    </r>
    <r>
      <rPr>
        <sz val="10"/>
        <color rgb="FF000000"/>
        <rFont val="Noto Sans CJK SC"/>
        <family val="2"/>
      </rPr>
      <t xml:space="preserve">機架成本（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）</t>
    </r>
  </si>
  <si>
    <t xml:space="preserve">分析師估計（平均成本；含網路約 $1.2M）</t>
  </si>
  <si>
    <r>
      <rPr>
        <sz val="10"/>
        <color rgb="FF000000"/>
        <rFont val="Arial"/>
        <family val="0"/>
        <charset val="1"/>
      </rPr>
      <t xml:space="preserve">PC Gamer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BigGo Finance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Futu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Bernstein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Bernstein </t>
    </r>
    <r>
      <rPr>
        <sz val="10"/>
        <color rgb="FF000000"/>
        <rFont val="Noto Sans CJK SC"/>
        <family val="2"/>
      </rPr>
      <t xml:space="preserve">原文轉載：</t>
    </r>
    <r>
      <rPr>
        <sz val="10"/>
        <color rgb="FF000000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https://news.cnyes.com/news/id/6498402</t>
    </r>
    <r>
      <rPr>
        <sz val="10"/>
        <color rgb="FF000000"/>
        <rFont val="Noto Sans CJK SC"/>
        <family val="2"/>
      </rPr>
      <t xml:space="preserve">（同一底層來源）</t>
    </r>
  </si>
  <si>
    <r>
      <rPr>
        <sz val="10"/>
        <color rgb="FF000000"/>
        <rFont val="Arial"/>
        <family val="0"/>
        <charset val="1"/>
      </rPr>
      <t xml:space="preserve">E109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E267</t>
    </r>
  </si>
  <si>
    <r>
      <rPr>
        <sz val="10"/>
        <color rgb="FF000000"/>
        <rFont val="Arial"/>
        <family val="0"/>
        <charset val="1"/>
      </rPr>
      <t xml:space="preserve">Spec_Rack!F13</t>
    </r>
    <r>
      <rPr>
        <sz val="10"/>
        <color rgb="FF000000"/>
        <rFont val="Noto Sans CJK SC"/>
        <family val="2"/>
      </rPr>
      <t xml:space="preserve">｜取整</t>
    </r>
  </si>
  <si>
    <t xml:space="preserve">模型取 9.1；與 MS 同口徑，依 G4 日期較新者勝 → 需 chat 判定（見 Gate 0） ｜v5.31 X19（E267）：等級 3→2；拆項 GPU 系統約 4.0、HBM 與儲存約 3.2、網路約 1.2、散熱與電力各約 0.15；含網路，與 Spec_Rack 第 14 列口徑不同，高情境 F13 9.1 與模型另加的 Scale-out 網路約重複 2%（J4，數值不改）</t>
  </si>
  <si>
    <t xml:space="preserve">SRC_HW_018</t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</si>
  <si>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報價中與網路設備相關金額</t>
    </r>
  </si>
  <si>
    <t xml:space="preserve">originalpricing.com</t>
  </si>
  <si>
    <r>
      <rPr>
        <sz val="10"/>
        <color rgb="FF000000"/>
        <rFont val="Arial"/>
        <family val="0"/>
        <charset val="1"/>
      </rPr>
      <t xml:space="preserve">originalpricing.com</t>
    </r>
    <r>
      <rPr>
        <sz val="10"/>
        <color rgb="FF000000"/>
        <rFont val="Noto Sans CJK SC"/>
        <family val="2"/>
      </rPr>
      <t xml:space="preserve">：未知立場；未解（可能與 </t>
    </r>
    <r>
      <rPr>
        <sz val="10"/>
        <color rgb="FF000000"/>
        <rFont val="Arial"/>
        <family val="0"/>
        <charset val="1"/>
      </rPr>
      <t xml:space="preserve">S4 </t>
    </r>
    <r>
      <rPr>
        <sz val="10"/>
        <color rgb="FF000000"/>
        <rFont val="Noto Sans CJK SC"/>
        <family val="2"/>
      </rPr>
      <t xml:space="preserve">重複計算）</t>
    </r>
  </si>
  <si>
    <t xml:space="preserve">E110</t>
  </si>
  <si>
    <t xml:space="preserve">S11</t>
  </si>
  <si>
    <t xml:space="preserve">可能與 S4 NAND 重複；未解</t>
  </si>
  <si>
    <r>
      <rPr>
        <sz val="10"/>
        <color rgb="FF000000"/>
        <rFont val="Arial"/>
        <family val="0"/>
        <charset val="1"/>
      </rPr>
      <t xml:space="preserve">H100 BF16 dense </t>
    </r>
    <r>
      <rPr>
        <sz val="10"/>
        <color rgb="FF000000"/>
        <rFont val="Noto Sans CJK SC"/>
        <family val="2"/>
      </rPr>
      <t xml:space="preserve">峰值</t>
    </r>
  </si>
  <si>
    <t xml:space="preserve">dense</t>
  </si>
  <si>
    <t xml:space="preserve">2025–26</t>
  </si>
  <si>
    <t xml:space="preserve">模型內建知識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</si>
  <si>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規格；模型內建知識</t>
    </r>
  </si>
  <si>
    <t xml:space="preserve">一手（未讀）</t>
  </si>
  <si>
    <t xml:space="preserve">E111</t>
  </si>
  <si>
    <t xml:space="preserve">S28</t>
  </si>
  <si>
    <r>
      <rPr>
        <sz val="10"/>
        <color rgb="FF000000"/>
        <rFont val="Arial"/>
        <family val="0"/>
        <charset val="1"/>
      </rPr>
      <t xml:space="preserve">Spec_Rack!C39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</si>
  <si>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S28 </t>
    </r>
    <r>
      <rPr>
        <sz val="10"/>
        <color rgb="FF000000"/>
        <rFont val="Noto Sans CJK SC"/>
        <family val="2"/>
      </rPr>
      <t xml:space="preserve">原記為「</t>
    </r>
    <r>
      <rPr>
        <sz val="10"/>
        <color rgb="FF000000"/>
        <rFont val="Arial"/>
        <family val="0"/>
        <charset val="1"/>
      </rPr>
      <t xml:space="preserve">FP8 989 TF</t>
    </r>
    <r>
      <rPr>
        <sz val="10"/>
        <color rgb="FF000000"/>
        <rFont val="Noto Sans CJK SC"/>
        <family val="2"/>
      </rPr>
      <t xml:space="preserve">」，實為 </t>
    </r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</si>
  <si>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</si>
  <si>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</si>
  <si>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H100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</si>
  <si>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Spec_Rack!C26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</si>
  <si>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</si>
  <si>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E224</t>
    </r>
  </si>
  <si>
    <r>
      <rPr>
        <sz val="10"/>
        <color rgb="FF000000"/>
        <rFont val="Arial"/>
        <family val="0"/>
        <charset val="1"/>
      </rPr>
      <t xml:space="preserve">Spec_Rack!D23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Spec_Rack!D24</t>
    </r>
    <r>
      <rPr>
        <sz val="10"/>
        <color rgb="FF000000"/>
        <rFont val="Noto Sans CJK SC"/>
        <family val="2"/>
      </rPr>
      <t xml:space="preserve">｜直接</t>
    </r>
  </si>
  <si>
    <t xml:space="preserve">另載 HGX B200 為 9 ｜v5.18：等級 3→1（E224） ｜NVIDIA Blackwell Ultra 技術部落格寫明基本架構 NVFP4 dense 10 PF（chat 端已查證）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</si>
  <si>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</si>
  <si>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Spec_Rack!D26</t>
    </r>
    <r>
      <rPr>
        <sz val="10"/>
        <color rgb="FF000000"/>
        <rFont val="Noto Sans CJK SC"/>
        <family val="2"/>
      </rPr>
      <t xml:space="preserve">｜直接</t>
    </r>
  </si>
  <si>
    <t xml:space="preserve">SRC_HW_024</t>
  </si>
  <si>
    <r>
      <rPr>
        <sz val="10"/>
        <color rgb="FF000000"/>
        <rFont val="Arial"/>
        <family val="0"/>
        <charset val="1"/>
      </rPr>
      <t xml:space="preserve">GB200 HBM </t>
    </r>
    <r>
      <rPr>
        <sz val="10"/>
        <color rgb="FF000000"/>
        <rFont val="Noto Sans CJK SC"/>
        <family val="2"/>
      </rPr>
      <t xml:space="preserve">容量（每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，模型內建知識）</t>
    </r>
  </si>
  <si>
    <t xml:space="preserve">模型 186 由 13.4 TB ÷ 72 換算（見 U-NV）；InferenceX 以 192 計 → 口徑不同</t>
  </si>
  <si>
    <r>
      <rPr>
        <sz val="10"/>
        <color rgb="FF000000"/>
        <rFont val="Arial"/>
        <family val="0"/>
        <charset val="1"/>
      </rPr>
      <t xml:space="preserve">B300 FP4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</si>
  <si>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E182</t>
    </r>
  </si>
  <si>
    <r>
      <rPr>
        <sz val="10"/>
        <color rgb="FF000000"/>
        <rFont val="Arial"/>
        <family val="0"/>
        <charset val="1"/>
      </rPr>
      <t xml:space="preserve">Spec_Rack!E23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</si>
  <si>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</si>
  <si>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</si>
  <si>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Spec_Rack!E25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</si>
  <si>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推論峰值</t>
    </r>
  </si>
  <si>
    <t xml:space="preserve">含自適應壓縮</t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</si>
  <si>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E225</t>
    </r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</si>
  <si>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</si>
  <si>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J2</t>
    </r>
    <r>
      <rPr>
        <sz val="10"/>
        <color rgb="FF000000"/>
        <rFont val="Noto Sans CJK SC"/>
        <family val="2"/>
      </rPr>
      <t xml:space="preserve">：只作高情境；與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換算值一致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E225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寫明 </t>
    </r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50 PF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Transformer Engine </t>
    </r>
    <r>
      <rPr>
        <sz val="10"/>
        <color rgb="FF000000"/>
        <rFont val="Noto Sans CJK SC"/>
        <family val="2"/>
      </rPr>
      <t xml:space="preserve">口徑（含自適應壓縮），對應 </t>
    </r>
    <r>
      <rPr>
        <sz val="10"/>
        <color rgb="FF000000"/>
        <rFont val="Arial"/>
        <family val="0"/>
        <charset val="1"/>
      </rPr>
      <t xml:space="preserve">Spec_Rack F24 </t>
    </r>
    <r>
      <rPr>
        <sz val="10"/>
        <color rgb="FF000000"/>
        <rFont val="Noto Sans CJK SC"/>
        <family val="2"/>
      </rPr>
      <t xml:space="preserve">高情境（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</si>
  <si>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r>
      <rPr>
        <sz val="10"/>
        <color rgb="FF000000"/>
        <rFont val="Arial"/>
        <family val="0"/>
        <charset val="1"/>
      </rPr>
      <t xml:space="preserve">Rubin NVFP4 </t>
    </r>
    <r>
      <rPr>
        <sz val="10"/>
        <color rgb="FF000000"/>
        <rFont val="Noto Sans CJK SC"/>
        <family val="2"/>
      </rPr>
      <t xml:space="preserve">訓練峰值</t>
    </r>
  </si>
  <si>
    <r>
      <rPr>
        <sz val="10"/>
        <color rgb="FF000000"/>
        <rFont val="Arial"/>
        <family val="0"/>
        <charset val="1"/>
      </rPr>
      <t xml:space="preserve">E111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E183</t>
    </r>
  </si>
  <si>
    <r>
      <rPr>
        <sz val="10"/>
        <color rgb="FF000000"/>
        <rFont val="Arial"/>
        <family val="0"/>
        <charset val="1"/>
      </rPr>
      <t xml:space="preserve">Spec_Rack!F23</t>
    </r>
    <r>
      <rPr>
        <sz val="10"/>
        <color rgb="FF000000"/>
        <rFont val="Noto Sans CJK SC"/>
        <family val="2"/>
      </rPr>
      <t xml:space="preserve">｜直接</t>
    </r>
  </si>
  <si>
    <t xml:space="preserve">與 S36 換算值一致 ｜v5.18：等級 3→1（E183）</t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</si>
  <si>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容量</t>
    </r>
  </si>
  <si>
    <r>
      <rPr>
        <sz val="10"/>
        <color rgb="FF000000"/>
        <rFont val="Arial"/>
        <family val="0"/>
        <charset val="1"/>
      </rPr>
      <t xml:space="preserve">Spec_Rack!F25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</si>
  <si>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Rubin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</si>
  <si>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NVIDIA 2026 </t>
    </r>
    <r>
      <rPr>
        <sz val="10"/>
        <color rgb="FF000000"/>
        <rFont val="Noto Sans CJK SC"/>
        <family val="2"/>
      </rPr>
      <t xml:space="preserve">上修</t>
    </r>
  </si>
  <si>
    <r>
      <rPr>
        <sz val="10"/>
        <color rgb="FF000000"/>
        <rFont val="Arial"/>
        <family val="0"/>
        <charset val="1"/>
      </rPr>
      <t xml:space="preserve">Spec_Rack!F26</t>
    </r>
    <r>
      <rPr>
        <sz val="10"/>
        <color rgb="FF000000"/>
        <rFont val="Noto Sans CJK SC"/>
        <family val="2"/>
      </rPr>
      <t xml:space="preserve">｜直接</t>
    </r>
  </si>
  <si>
    <t xml:space="preserve">SRC_HW_031</t>
  </si>
  <si>
    <r>
      <rPr>
        <sz val="10"/>
        <color rgb="FF000000"/>
        <rFont val="Arial"/>
        <family val="0"/>
        <charset val="1"/>
      </rPr>
      <t xml:space="preserve">Rubin Ultra NVL576 FP4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</si>
  <si>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PF/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</si>
  <si>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</si>
  <si>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Spec_Rack!G24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</si>
  <si>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104.2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104</t>
    </r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</si>
  <si>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存取能量</t>
    </r>
  </si>
  <si>
    <t xml:space="preserve">pJ/bit</t>
  </si>
  <si>
    <t xml:space="preserve">文獻常見值</t>
  </si>
  <si>
    <t xml:space="preserve">HBM3</t>
  </si>
  <si>
    <t xml:space="preserve">文獻常見值（模型內建知識）</t>
  </si>
  <si>
    <t xml:space="preserve">文獻常見值；模型內建知識</t>
  </si>
  <si>
    <t xml:space="preserve">E112</t>
  </si>
  <si>
    <t xml:space="preserve">S29</t>
  </si>
  <si>
    <r>
      <rPr>
        <sz val="10"/>
        <color rgb="FF000000"/>
        <rFont val="Arial"/>
        <family val="0"/>
        <charset val="1"/>
      </rPr>
      <t xml:space="preserve">Spec_Rack!C34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</si>
  <si>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×8 bit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31.2 pJ/byte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31</t>
    </r>
  </si>
  <si>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存取能量</t>
    </r>
  </si>
  <si>
    <t xml:space="preserve">HBM3e</t>
  </si>
  <si>
    <r>
      <rPr>
        <sz val="10"/>
        <color rgb="FF000000"/>
        <rFont val="Arial"/>
        <family val="0"/>
        <charset val="1"/>
      </rPr>
      <t xml:space="preserve">Spec_Rack!D34</t>
    </r>
    <r>
      <rPr>
        <sz val="10"/>
        <color rgb="FF000000"/>
        <rFont val="Noto Sans CJK SC"/>
        <family val="2"/>
      </rPr>
      <t xml:space="preserve">｜換算；</t>
    </r>
    <r>
      <rPr>
        <sz val="10"/>
        <color rgb="FF000000"/>
        <rFont val="Arial"/>
        <family val="0"/>
        <charset val="1"/>
      </rPr>
      <t xml:space="preserve">Spec_Rack!E34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</si>
  <si>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24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25</t>
    </r>
  </si>
  <si>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存取能量</t>
    </r>
  </si>
  <si>
    <t xml:space="preserve">HBM4</t>
  </si>
  <si>
    <r>
      <rPr>
        <sz val="10"/>
        <color rgb="FF000000"/>
        <rFont val="Arial"/>
        <family val="0"/>
        <charset val="1"/>
      </rPr>
      <t xml:space="preserve">Spec_Rack!F34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</si>
  <si>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20</t>
    </r>
  </si>
  <si>
    <r>
      <rPr>
        <sz val="10"/>
        <color rgb="FF000000"/>
        <rFont val="Arial"/>
        <family val="0"/>
        <charset val="1"/>
      </rPr>
      <t xml:space="preserve">SerDes </t>
    </r>
    <r>
      <rPr>
        <sz val="10"/>
        <color rgb="FF000000"/>
        <rFont val="Noto Sans CJK SC"/>
        <family val="2"/>
      </rPr>
      <t xml:space="preserve">能量</t>
    </r>
  </si>
  <si>
    <t xml:space="preserve">SRC_HW_036</t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</si>
  <si>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推論峰值（全架）</t>
    </r>
  </si>
  <si>
    <t xml:space="preserve">72 GPU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</si>
  <si>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</si>
  <si>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規格表（</t>
    </r>
    <r>
      <rPr>
        <sz val="10"/>
        <color rgb="FF000000"/>
        <rFont val="Arial"/>
        <family val="0"/>
        <charset val="1"/>
      </rPr>
      <t xml:space="preserve">Gigabyte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）；若確認為原文件影本可升 </t>
    </r>
    <r>
      <rPr>
        <sz val="10"/>
        <color rgb="FF000000"/>
        <rFont val="Arial"/>
        <family val="0"/>
        <charset val="1"/>
      </rPr>
      <t xml:space="preserve">1</t>
    </r>
  </si>
  <si>
    <t xml:space="preserve">一手文件之轉載</t>
  </si>
  <si>
    <r>
      <rPr>
        <sz val="10"/>
        <color rgb="FF000000"/>
        <rFont val="Arial"/>
        <family val="0"/>
        <charset val="1"/>
      </rPr>
      <t xml:space="preserve">E113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E003</t>
    </r>
  </si>
  <si>
    <t xml:space="preserve">S36</t>
  </si>
  <si>
    <r>
      <rPr>
        <sz val="10"/>
        <color rgb="FF000000"/>
        <rFont val="Arial"/>
        <family val="0"/>
        <charset val="1"/>
      </rPr>
      <t xml:space="preserve">Spec_Rack!F24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</si>
  <si>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50</t>
    </r>
  </si>
  <si>
    <r>
      <rPr>
        <sz val="10"/>
        <color rgb="FF000000"/>
        <rFont val="Arial"/>
        <family val="0"/>
        <charset val="1"/>
      </rPr>
      <t xml:space="preserve">Vera Rubin NVL72 NVFP4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</si>
  <si>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Spec_Rack!F41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</si>
  <si>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</t>
    </r>
  </si>
  <si>
    <r>
      <rPr>
        <sz val="10"/>
        <color rgb="FF000000"/>
        <rFont val="Arial"/>
        <family val="0"/>
        <charset val="1"/>
      </rPr>
      <t xml:space="preserve">Vera Rubin NVL72 FP8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FP6 </t>
    </r>
    <r>
      <rPr>
        <sz val="10"/>
        <color rgb="FF000000"/>
        <rFont val="Noto Sans CJK SC"/>
        <family val="2"/>
      </rPr>
      <t xml:space="preserve">訓練峰值（全架）</t>
    </r>
  </si>
  <si>
    <r>
      <rPr>
        <sz val="10"/>
        <color rgb="FF000000"/>
        <rFont val="Arial"/>
        <family val="0"/>
        <charset val="1"/>
      </rPr>
      <t xml:space="preserve">Spec_Rack!F40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</si>
  <si>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17.5</t>
    </r>
  </si>
  <si>
    <r>
      <rPr>
        <sz val="10"/>
        <color rgb="FF000000"/>
        <rFont val="Arial"/>
        <family val="0"/>
        <charset val="1"/>
      </rPr>
      <t xml:space="preserve">Vera Rubin NVL72 BF16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</si>
  <si>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Spec_Rack!F39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</si>
  <si>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</t>
    </r>
  </si>
  <si>
    <r>
      <rPr>
        <sz val="10"/>
        <color rgb="FF000000"/>
        <rFont val="Arial"/>
        <family val="0"/>
        <charset val="1"/>
      </rPr>
      <t xml:space="preserve">H100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</si>
  <si>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E001 </t>
    </r>
    <r>
      <rPr>
        <sz val="10"/>
        <color rgb="FF000000"/>
        <rFont val="Noto Sans CJK SC"/>
        <family val="2"/>
      </rPr>
      <t xml:space="preserve">更正；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交叉核對）</t>
    </r>
  </si>
  <si>
    <r>
      <rPr>
        <sz val="10"/>
        <color rgb="FF000000"/>
        <rFont val="Arial"/>
        <family val="0"/>
        <charset val="1"/>
      </rPr>
      <t xml:space="preserve">NVIDIA H100 </t>
    </r>
    <r>
      <rPr>
        <sz val="10"/>
        <color rgb="FF000000"/>
        <rFont val="Noto Sans CJK SC"/>
        <family val="2"/>
      </rPr>
      <t xml:space="preserve">規格（</t>
    </r>
    <r>
      <rPr>
        <sz val="10"/>
        <color rgb="FF000000"/>
        <rFont val="Arial"/>
        <family val="0"/>
        <charset val="1"/>
      </rPr>
      <t xml:space="preserve">DB_Evidence E001</t>
    </r>
    <r>
      <rPr>
        <sz val="10"/>
        <color rgb="FF000000"/>
        <rFont val="Noto Sans CJK SC"/>
        <family val="2"/>
      </rPr>
      <t xml:space="preserve">，模型內建知識經 </t>
    </r>
    <r>
      <rPr>
        <sz val="10"/>
        <color rgb="FF000000"/>
        <rFont val="Arial"/>
        <family val="0"/>
        <charset val="1"/>
      </rPr>
      <t xml:space="preserve">S36 </t>
    </r>
    <r>
      <rPr>
        <sz val="10"/>
        <color rgb="FF000000"/>
        <rFont val="Noto Sans CJK SC"/>
        <family val="2"/>
      </rPr>
      <t xml:space="preserve">交叉）；</t>
    </r>
    <r>
      <rPr>
        <sz val="10"/>
        <color rgb="FF000000"/>
        <rFont val="Arial"/>
        <family val="0"/>
        <charset val="1"/>
      </rPr>
      <t xml:space="preserve">v5.18 1c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</t>
    </r>
    <r>
      <rPr>
        <sz val="10"/>
        <color rgb="FF000000"/>
        <rFont val="Arial"/>
        <family val="0"/>
        <charset val="1"/>
      </rPr>
      <t xml:space="preserve">nvidia.com </t>
    </r>
    <r>
      <rPr>
        <sz val="10"/>
        <color rgb="FF000000"/>
        <rFont val="Noto Sans CJK SC"/>
        <family val="2"/>
      </rPr>
      <t xml:space="preserve">規格表，含稀疏口徑須 </t>
    </r>
    <r>
      <rPr>
        <sz val="10"/>
        <color rgb="FF000000"/>
        <rFont val="Arial"/>
        <family val="0"/>
        <charset val="1"/>
      </rPr>
      <t xml:space="preserve">÷2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</si>
  <si>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E001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E184</t>
    </r>
  </si>
  <si>
    <t xml:space="preserve">E001</t>
  </si>
  <si>
    <r>
      <rPr>
        <sz val="10"/>
        <color rgb="FF000000"/>
        <rFont val="Arial"/>
        <family val="0"/>
        <charset val="1"/>
      </rPr>
      <t xml:space="preserve">Spec_Rack!C23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Spec_Rack!C40</t>
    </r>
    <r>
      <rPr>
        <sz val="10"/>
        <color rgb="FF000000"/>
        <rFont val="Noto Sans CJK SC"/>
        <family val="2"/>
      </rPr>
      <t xml:space="preserve">｜直接</t>
    </r>
  </si>
  <si>
    <t xml:space="preserve">取代 S28 的錯誤標示 ｜換算式：nvidia.com H100 規格表 FP8 Tensor Core 3,958 teraFLOPS（表末「* With sparsity」，SXM）÷2＝1,979 TFLOPS＝1.979 PF（NVIDIA dense＝含稀疏÷2 的慣例，[Derived]；BF16 1,979÷2＝989.5 對 SRC_HW_019 的 0.989）</t>
  </si>
  <si>
    <r>
      <rPr>
        <sz val="10"/>
        <color rgb="FF000000"/>
        <rFont val="Arial"/>
        <family val="0"/>
        <charset val="1"/>
      </rPr>
      <t xml:space="preserve">GB200 NVL72 HBM </t>
    </r>
    <r>
      <rPr>
        <sz val="10"/>
        <color rgb="FF000000"/>
        <rFont val="Noto Sans CJK SC"/>
        <family val="2"/>
      </rPr>
      <t xml:space="preserve">總容量（全架）</t>
    </r>
  </si>
  <si>
    <r>
      <rPr>
        <sz val="10"/>
        <color rgb="FF000000"/>
        <rFont val="Arial"/>
        <family val="0"/>
        <charset val="1"/>
      </rPr>
      <t xml:space="preserve">TB/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</si>
  <si>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公開規格（模型頁說明文字引用，未登錄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；模型內建知識）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</si>
  <si>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</si>
  <si>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t xml:space="preserve">E115</t>
  </si>
  <si>
    <t xml:space="preserve">U-NV</t>
  </si>
  <si>
    <r>
      <rPr>
        <sz val="10"/>
        <color rgb="FF000000"/>
        <rFont val="Arial"/>
        <family val="0"/>
        <charset val="1"/>
      </rPr>
      <t xml:space="preserve">Spec_Rack!D25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</si>
  <si>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÷72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186.1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</si>
  <si>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BF16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</si>
  <si>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</si>
  <si>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Spec_Rack!D39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</si>
  <si>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FP8 dense </t>
    </r>
    <r>
      <rPr>
        <sz val="10"/>
        <color rgb="FF000000"/>
        <rFont val="Noto Sans CJK SC"/>
        <family val="2"/>
      </rPr>
      <t xml:space="preserve">峰值</t>
    </r>
  </si>
  <si>
    <r>
      <rPr>
        <sz val="10"/>
        <color rgb="FF000000"/>
        <rFont val="Arial"/>
        <family val="0"/>
        <charset val="1"/>
      </rPr>
      <t xml:space="preserve">dense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未提升 </t>
    </r>
    <r>
      <rPr>
        <sz val="10"/>
        <color rgb="FF000000"/>
        <rFont val="Arial"/>
        <family val="0"/>
        <charset val="1"/>
      </rPr>
      <t xml:space="preserve">FP8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</si>
  <si>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E185</t>
    </r>
  </si>
  <si>
    <r>
      <rPr>
        <sz val="10"/>
        <color rgb="FF000000"/>
        <rFont val="Arial"/>
        <family val="0"/>
        <charset val="1"/>
      </rPr>
      <t xml:space="preserve">Spec_Rack!D40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</si>
  <si>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</si>
  <si>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HBM </t>
    </r>
    <r>
      <rPr>
        <sz val="10"/>
        <color rgb="FF000000"/>
        <rFont val="Noto Sans CJK SC"/>
        <family val="2"/>
      </rPr>
      <t xml:space="preserve">總頻寬</t>
    </r>
  </si>
  <si>
    <r>
      <rPr>
        <sz val="10"/>
        <color rgb="FF000000"/>
        <rFont val="Arial"/>
        <family val="0"/>
        <charset val="1"/>
      </rPr>
      <t xml:space="preserve">TB/s/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</si>
  <si>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Spec_Rack!G26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</si>
  <si>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31.9</t>
    </r>
    <r>
      <rPr>
        <sz val="10"/>
        <color rgb="FF000000"/>
        <rFont val="Noto Sans CJK SC"/>
        <family val="2"/>
      </rPr>
      <t xml:space="preserve">，模型 </t>
    </r>
    <r>
      <rPr>
        <sz val="10"/>
        <color rgb="FF000000"/>
        <rFont val="Arial"/>
        <family val="0"/>
        <charset val="1"/>
      </rPr>
      <t xml:space="preserve">32</t>
    </r>
  </si>
  <si>
    <t xml:space="preserve">SRC_HW_045</t>
  </si>
  <si>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峰值（全架）</t>
    </r>
  </si>
  <si>
    <r>
      <rPr>
        <sz val="10"/>
        <color rgb="FF000000"/>
        <rFont val="Arial"/>
        <family val="0"/>
        <charset val="1"/>
      </rPr>
      <t xml:space="preserve">Spec_Rack!G40</t>
    </r>
    <r>
      <rPr>
        <sz val="10"/>
        <color rgb="FF000000"/>
        <rFont val="Noto Sans CJK SC"/>
        <family val="2"/>
      </rPr>
      <t xml:space="preserve">｜取整</t>
    </r>
  </si>
  <si>
    <r>
      <rPr>
        <sz val="10"/>
        <color rgb="FF000000"/>
        <rFont val="Arial"/>
        <family val="0"/>
        <charset val="1"/>
      </rPr>
      <t xml:space="preserve">÷144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34.7</t>
    </r>
    <r>
      <rPr>
        <sz val="10"/>
        <color rgb="FF000000"/>
        <rFont val="Noto Sans CJK SC"/>
        <family val="2"/>
      </rPr>
      <t xml:space="preserve">；說明文字標「模型內建知識，待查」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FP8 </t>
    </r>
    <r>
      <rPr>
        <sz val="10"/>
        <color rgb="FF000000"/>
        <rFont val="Noto Sans CJK SC"/>
        <family val="2"/>
      </rPr>
      <t xml:space="preserve">全架 </t>
    </r>
    <r>
      <rPr>
        <sz val="10"/>
        <color rgb="FF000000"/>
        <rFont val="Arial"/>
        <family val="0"/>
        <charset val="1"/>
      </rPr>
      <t xml:space="preserve">5,000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</si>
  <si>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Rubin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</si>
  <si>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kW/</t>
    </r>
    <r>
      <rPr>
        <sz val="10"/>
        <color rgb="FF000000"/>
        <rFont val="Noto Sans CJK SC"/>
        <family val="2"/>
      </rPr>
      <t xml:space="preserve">封裝</t>
    </r>
  </si>
  <si>
    <r>
      <rPr>
        <sz val="10"/>
        <color rgb="FF000000"/>
        <rFont val="Arial"/>
        <family val="0"/>
        <charset val="1"/>
      </rPr>
      <t xml:space="preserve">Spec_Rack!F33</t>
    </r>
    <r>
      <rPr>
        <sz val="10"/>
        <color rgb="FF000000"/>
        <rFont val="Noto Sans CJK SC"/>
        <family val="2"/>
      </rPr>
      <t xml:space="preserve">｜換算</t>
    </r>
  </si>
  <si>
    <t xml:space="preserve">模型 1800 W</t>
  </si>
  <si>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</si>
  <si>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NVL72 </t>
    </r>
    <r>
      <rPr>
        <sz val="10"/>
        <color rgb="FF000000"/>
        <rFont val="Noto Sans CJK SC"/>
        <family val="2"/>
      </rPr>
      <t xml:space="preserve">產品定義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</si>
  <si>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</si>
  <si>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規格（模型頁說明文字；未登錄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為產品名稱定義，誘因影響極小</t>
    </r>
  </si>
  <si>
    <r>
      <rPr>
        <sz val="10"/>
        <color rgb="FF000000"/>
        <rFont val="Arial"/>
        <family val="0"/>
        <charset val="1"/>
      </rPr>
      <t xml:space="preserve">E115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E186</t>
    </r>
  </si>
  <si>
    <r>
      <rPr>
        <sz val="10"/>
        <color rgb="FF000000"/>
        <rFont val="Arial"/>
        <family val="0"/>
        <charset val="1"/>
      </rPr>
      <t xml:space="preserve">Spec_Rack!D28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Spec_Rack!F28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Spec_Rack!F6</t>
    </r>
    <r>
      <rPr>
        <sz val="10"/>
        <color rgb="FF000000"/>
        <rFont val="Noto Sans CJK SC"/>
        <family val="2"/>
      </rPr>
      <t xml:space="preserve">｜直接</t>
    </r>
  </si>
  <si>
    <t xml:space="preserve">產品命名即規格 ｜適用範圍：GB200、GB300、VR200 三種機架皆讀到原文，無範圍但書</t>
  </si>
  <si>
    <r>
      <rPr>
        <sz val="10"/>
        <color rgb="FF000000"/>
        <rFont val="Arial"/>
        <family val="0"/>
        <charset val="1"/>
      </rPr>
      <t xml:space="preserve">NVLink 5 </t>
    </r>
    <r>
      <rPr>
        <sz val="10"/>
        <color rgb="FF000000"/>
        <rFont val="Noto Sans CJK SC"/>
        <family val="2"/>
      </rPr>
      <t xml:space="preserve">頻寬</t>
    </r>
  </si>
  <si>
    <t xml:space="preserve">單向</t>
  </si>
  <si>
    <r>
      <rPr>
        <sz val="10"/>
        <color rgb="FF000000"/>
        <rFont val="Arial"/>
        <family val="0"/>
        <charset val="1"/>
      </rPr>
      <t xml:space="preserve">Spec_Rack!D27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Spec_Rack!E27</t>
    </r>
    <r>
      <rPr>
        <sz val="10"/>
        <color rgb="FF000000"/>
        <rFont val="Noto Sans CJK SC"/>
        <family val="2"/>
      </rPr>
      <t xml:space="preserve">｜直接</t>
    </r>
  </si>
  <si>
    <t xml:space="preserve">說明文字引 S20 規格表</t>
  </si>
  <si>
    <r>
      <rPr>
        <sz val="10"/>
        <color rgb="FF000000"/>
        <rFont val="Arial"/>
        <family val="0"/>
        <charset val="1"/>
      </rPr>
      <t xml:space="preserve">NVLink 6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</si>
  <si>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Spec_Rack!F27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</si>
  <si>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有效儲存（</t>
    </r>
    <r>
      <rPr>
        <sz val="10"/>
        <color rgb="FF000000"/>
        <rFont val="Arial"/>
        <family val="0"/>
        <charset val="1"/>
      </rPr>
      <t xml:space="preserve">4 bit</t>
    </r>
    <r>
      <rPr>
        <sz val="10"/>
        <color rgb="FF000000"/>
        <rFont val="Noto Sans CJK SC"/>
        <family val="2"/>
      </rPr>
      <t xml:space="preserve">＋每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值 </t>
    </r>
    <r>
      <rPr>
        <sz val="10"/>
        <color rgb="FF000000"/>
        <rFont val="Arial"/>
        <family val="0"/>
        <charset val="1"/>
      </rPr>
      <t xml:space="preserve">8 bit scale</t>
    </r>
    <r>
      <rPr>
        <sz val="10"/>
        <color rgb="FF000000"/>
        <rFont val="Noto Sans CJK SC"/>
        <family val="2"/>
      </rPr>
      <t xml:space="preserve">）</t>
    </r>
  </si>
  <si>
    <t xml:space="preserve">bytes/param</t>
  </si>
  <si>
    <t xml:space="preserve">格式定義</t>
  </si>
  <si>
    <r>
      <rPr>
        <sz val="10"/>
        <color rgb="FF000000"/>
        <rFont val="Arial"/>
        <family val="0"/>
        <charset val="1"/>
      </rPr>
      <t xml:space="preserve">Spec_Rack!D30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Spec_Rack!F30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Spec_Rack!G30</t>
    </r>
    <r>
      <rPr>
        <sz val="10"/>
        <color rgb="FF000000"/>
        <rFont val="Noto Sans CJK SC"/>
        <family val="2"/>
      </rPr>
      <t xml:space="preserve">｜直接</t>
    </r>
  </si>
  <si>
    <t xml:space="preserve">SRC_HW_051</t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</si>
  <si>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）</t>
    </r>
  </si>
  <si>
    <t xml:space="preserve">分析師報價（模型頁說明文字引用，未登錄 Sources）</t>
  </si>
  <si>
    <r>
      <rPr>
        <sz val="10"/>
        <color rgb="FF000000"/>
        <rFont val="Arial"/>
        <family val="0"/>
        <charset val="1"/>
      </rPr>
      <t xml:space="preserve">Spec_Rack </t>
    </r>
    <r>
      <rPr>
        <sz val="10"/>
        <color rgb="FF000000"/>
        <rFont val="Noto Sans CJK SC"/>
        <family val="2"/>
      </rPr>
      <t xml:space="preserve">價格來源列所載（</t>
    </r>
    <r>
      <rPr>
        <sz val="10"/>
        <color rgb="FF000000"/>
        <rFont val="Arial"/>
        <family val="0"/>
        <charset val="1"/>
      </rPr>
      <t xml:space="preserve">Barron's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）；未登錄 </t>
    </r>
    <r>
      <rPr>
        <sz val="10"/>
        <color rgb="FF000000"/>
        <rFont val="Arial"/>
        <family val="0"/>
        <charset val="1"/>
      </rPr>
      <t xml:space="preserve">Sources</t>
    </r>
  </si>
  <si>
    <t xml:space="preserve">E116</t>
  </si>
  <si>
    <t xml:space="preserve">U-PR</t>
  </si>
  <si>
    <t xml:space="preserve">未登錄 Sources；與模型基準 3.1 相近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</si>
  <si>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Morgan Stanley</t>
    </r>
    <r>
      <rPr>
        <sz val="10"/>
        <color rgb="FF000000"/>
        <rFont val="Noto Sans CJK SC"/>
        <family val="2"/>
      </rPr>
      <t xml:space="preserve">）</t>
    </r>
  </si>
  <si>
    <t xml:space="preserve">分析師估計（成本 BOM 推算）</t>
  </si>
  <si>
    <t xml:space="preserve">2026-05-21</t>
  </si>
  <si>
    <t xml:space="preserve">Morgan Stanley「Nvidia NVL72 Bill of Materials」表，經 wccftech https://wccftech.com/nvidia-vera-rubin-rack-hit-with-memory-price-surge-pushing-hbm4-lpddr5x-bill-to-2m-of-7-8m-total/amp/</t>
  </si>
  <si>
    <r>
      <rPr>
        <sz val="10"/>
        <color rgb="FF000000"/>
        <rFont val="Arial"/>
        <family val="0"/>
        <charset val="1"/>
      </rPr>
      <t xml:space="preserve">E116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E265</t>
    </r>
  </si>
  <si>
    <r>
      <rPr>
        <sz val="10"/>
        <color rgb="FF000000"/>
        <rFont val="Arial"/>
        <family val="0"/>
        <charset val="1"/>
      </rPr>
      <t xml:space="preserve">Spec_Rack!E11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Spec_Rack!E12</t>
    </r>
    <r>
      <rPr>
        <sz val="10"/>
        <color rgb="FF000000"/>
        <rFont val="Noto Sans CJK SC"/>
        <family val="2"/>
      </rPr>
      <t xml:space="preserve">｜換算（</t>
    </r>
    <r>
      <rPr>
        <sz val="10"/>
        <color rgb="FF000000"/>
        <rFont val="Arial"/>
        <family val="0"/>
        <charset val="1"/>
      </rPr>
      <t xml:space="preserve">× 1.075</t>
    </r>
    <r>
      <rPr>
        <sz val="10"/>
        <color rgb="FF000000"/>
        <rFont val="Noto Sans CJK SC"/>
        <family val="2"/>
      </rPr>
      <t xml:space="preserve">）</t>
    </r>
  </si>
  <si>
    <t xml:space="preserve">未登錄 Sources ｜v5.31 X16（E265）：4.0＝VR200 BOM 7.8（SRC_HW_015）÷ 1.95（MS 表「total cost difference of 95%」；圖片替代文字已讀，GB300 總額未讀到文字）；等級 3→2；Spec_Rack E12 基準 4.3＝本筆 ×（1＋代工毛利 7.5%）</t>
  </si>
  <si>
    <r>
      <rPr>
        <sz val="10"/>
        <color rgb="FF000000"/>
        <rFont val="Arial"/>
        <family val="0"/>
        <charset val="1"/>
      </rPr>
      <t xml:space="preserve">HGX H100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</si>
  <si>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HGX 8 GPU </t>
    </r>
    <r>
      <rPr>
        <sz val="10"/>
        <color rgb="FF000000"/>
        <rFont val="Noto Sans CJK SC"/>
        <family val="2"/>
      </rPr>
      <t xml:space="preserve">板</t>
    </r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</si>
  <si>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HGX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</si>
  <si>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補登：模型頁原始數據原無來源紀錄（模型內建知識，待 </t>
    </r>
    <r>
      <rPr>
        <sz val="10"/>
        <color rgb="FF000000"/>
        <rFont val="Arial"/>
        <family val="0"/>
        <charset val="1"/>
      </rPr>
      <t xml:space="preserve">Stage 2 </t>
    </r>
    <r>
      <rPr>
        <sz val="10"/>
        <color rgb="FF000000"/>
        <rFont val="Noto Sans CJK SC"/>
        <family val="2"/>
      </rPr>
      <t xml:space="preserve">查核）</t>
    </r>
  </si>
  <si>
    <r>
      <rPr>
        <sz val="10"/>
        <color rgb="FF000000"/>
        <rFont val="Arial"/>
        <family val="0"/>
        <charset val="1"/>
      </rPr>
      <t xml:space="preserve">E147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E226</t>
    </r>
  </si>
  <si>
    <t xml:space="preserve">U-V511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</si>
  <si>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E226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使用手冊列出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4 NVSwitch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域＝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由拓撲推得，</t>
    </r>
    <r>
      <rPr>
        <sz val="10"/>
        <color rgb="FF000000"/>
        <rFont val="Arial"/>
        <family val="0"/>
        <charset val="1"/>
      </rPr>
      <t xml:space="preserve">Derived </t>
    </r>
    <r>
      <rPr>
        <sz val="10"/>
        <color rgb="FF000000"/>
        <rFont val="Noto Sans CJK SC"/>
        <family val="2"/>
      </rPr>
      <t xml:space="preserve">一步（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端已查證）</t>
    </r>
  </si>
  <si>
    <t xml:space="preserve">SRC_HW_054</t>
  </si>
  <si>
    <r>
      <rPr>
        <sz val="10"/>
        <color rgb="FF000000"/>
        <rFont val="Arial"/>
        <family val="0"/>
        <charset val="1"/>
      </rPr>
      <t xml:space="preserve">Rubin Ultra NVL576 GPU </t>
    </r>
    <r>
      <rPr>
        <sz val="10"/>
        <color rgb="FF000000"/>
        <rFont val="Noto Sans CJK SC"/>
        <family val="2"/>
      </rPr>
      <t xml:space="preserve">封裝數</t>
    </r>
  </si>
  <si>
    <t xml:space="preserve">封裝/架</t>
  </si>
  <si>
    <r>
      <rPr>
        <sz val="10"/>
        <color rgb="FF000000"/>
        <rFont val="Arial"/>
        <family val="0"/>
        <charset val="1"/>
      </rPr>
      <t xml:space="preserve">NVL576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144 </t>
    </r>
    <r>
      <rPr>
        <sz val="10"/>
        <color rgb="FF000000"/>
        <rFont val="Noto Sans CJK SC"/>
        <family val="2"/>
      </rPr>
      <t xml:space="preserve">封裝 </t>
    </r>
    <r>
      <rPr>
        <sz val="10"/>
        <color rgb="FF000000"/>
        <rFont val="Arial"/>
        <family val="0"/>
        <charset val="1"/>
      </rPr>
      <t xml:space="preserve">× 4 die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</si>
  <si>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：產品規格（</t>
    </r>
    <r>
      <rPr>
        <sz val="10"/>
        <color rgb="FF000000"/>
        <rFont val="Arial"/>
        <family val="0"/>
        <charset val="1"/>
      </rPr>
      <t xml:space="preserve">GTC 2025 </t>
    </r>
    <r>
      <rPr>
        <sz val="10"/>
        <color rgb="FF000000"/>
        <rFont val="Noto Sans CJK SC"/>
        <family val="2"/>
      </rPr>
      <t xml:space="preserve">路線圖）</t>
    </r>
  </si>
  <si>
    <t xml:space="preserve">E147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</si>
  <si>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Superseded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NVL576 144 </t>
    </r>
    <r>
      <rPr>
        <sz val="10"/>
        <color rgb="FF000000"/>
        <rFont val="Noto Sans CJK SC"/>
        <family val="2"/>
      </rPr>
      <t xml:space="preserve">封裝（</t>
    </r>
    <r>
      <rPr>
        <sz val="10"/>
        <color rgb="FF000000"/>
        <rFont val="Arial"/>
        <family val="0"/>
        <charset val="1"/>
      </rPr>
      <t xml:space="preserve">Kyber </t>
    </r>
    <r>
      <rPr>
        <sz val="10"/>
        <color rgb="FF000000"/>
        <rFont val="Noto Sans CJK SC"/>
        <family val="2"/>
      </rPr>
      <t xml:space="preserve">舊路線圖））；</t>
    </r>
    <r>
      <rPr>
        <sz val="10"/>
        <color rgb="FF000000"/>
        <rFont val="Arial"/>
        <family val="0"/>
        <charset val="1"/>
      </rPr>
      <t xml:space="preserve">NVIDIA 2026-09 </t>
    </r>
    <r>
      <rPr>
        <sz val="10"/>
        <color rgb="FF000000"/>
        <rFont val="Noto Sans CJK SC"/>
        <family val="2"/>
      </rPr>
      <t xml:space="preserve">技術部落格改為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Kyber NVL144 </t>
    </r>
    <r>
      <rPr>
        <sz val="10"/>
        <color rgb="FF000000"/>
        <rFont val="Noto Sans CJK SC"/>
        <family val="2"/>
      </rPr>
      <t xml:space="preserve">屬 </t>
    </r>
    <r>
      <rPr>
        <sz val="10"/>
        <color rgb="FF000000"/>
        <rFont val="Arial"/>
        <family val="0"/>
        <charset val="1"/>
      </rPr>
      <t xml:space="preserve">Feynman </t>
    </r>
    <r>
      <rPr>
        <sz val="10"/>
        <color rgb="FF000000"/>
        <rFont val="Noto Sans CJK SC"/>
        <family val="2"/>
      </rPr>
      <t xml:space="preserve">世代；保留紀錄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</si>
  <si>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每參數儲存</t>
    </r>
  </si>
  <si>
    <t xml:space="preserve">格式定義（OCP FP8）</t>
  </si>
  <si>
    <r>
      <rPr>
        <sz val="10"/>
        <color rgb="FF000000"/>
        <rFont val="Arial"/>
        <family val="0"/>
        <charset val="1"/>
      </rPr>
      <t xml:space="preserve">v5.11 </t>
    </r>
    <r>
      <rPr>
        <sz val="10"/>
        <color rgb="FF000000"/>
        <rFont val="Noto Sans CJK SC"/>
        <family val="2"/>
      </rPr>
      <t xml:space="preserve">補登（</t>
    </r>
    <r>
      <rPr>
        <sz val="10"/>
        <color rgb="FF000000"/>
        <rFont val="Arial"/>
        <family val="0"/>
        <charset val="1"/>
      </rPr>
      <t xml:space="preserve">Gate 1</t>
    </r>
    <r>
      <rPr>
        <sz val="10"/>
        <color rgb="FF000000"/>
        <rFont val="Noto Sans CJK SC"/>
        <family val="2"/>
      </rPr>
      <t xml:space="preserve">：模型頁原始數據須有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</si>
  <si>
    <r>
      <rPr>
        <sz val="10"/>
        <color rgb="FF000000"/>
        <rFont val="Arial"/>
        <family val="0"/>
        <charset val="1"/>
      </rPr>
      <t xml:space="preserve">H100 SXM GPU </t>
    </r>
    <r>
      <rPr>
        <sz val="10"/>
        <color rgb="FF000000"/>
        <rFont val="Noto Sans CJK SC"/>
        <family val="2"/>
      </rPr>
      <t xml:space="preserve">功率（</t>
    </r>
    <r>
      <rPr>
        <sz val="10"/>
        <color rgb="FF000000"/>
        <rFont val="Arial"/>
        <family val="0"/>
        <charset val="1"/>
      </rPr>
      <t xml:space="preserve">TDP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</si>
  <si>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W/</t>
    </r>
    <r>
      <rPr>
        <sz val="10"/>
        <color rgb="FF000000"/>
        <rFont val="Noto Sans CJK SC"/>
        <family val="2"/>
      </rPr>
      <t xml:space="preserve">封裝</t>
    </r>
  </si>
  <si>
    <t xml:space="preserve">TDP</t>
  </si>
  <si>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GPU </t>
    </r>
    <r>
      <rPr>
        <sz val="10"/>
        <color rgb="FF000000"/>
        <rFont val="Noto Sans CJK SC"/>
        <family val="2"/>
      </rPr>
      <t xml:space="preserve">功率</t>
    </r>
  </si>
  <si>
    <t xml:space="preserve">可配置上限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</si>
  <si>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中 </t>
    </r>
    <r>
      <rPr>
        <sz val="10"/>
        <color rgb="FF000000"/>
        <rFont val="Arial"/>
        <family val="0"/>
        <charset val="1"/>
      </rPr>
      <t xml:space="preserve">Blackwell Ultra GPU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</si>
  <si>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B300 HBM </t>
    </r>
    <r>
      <rPr>
        <sz val="10"/>
        <color rgb="FF000000"/>
        <rFont val="Noto Sans CJK SC"/>
        <family val="2"/>
      </rPr>
      <t xml:space="preserve">頻寬</t>
    </r>
  </si>
  <si>
    <r>
      <rPr>
        <sz val="10"/>
        <color rgb="FF000000"/>
        <rFont val="Arial"/>
        <family val="0"/>
        <charset val="1"/>
      </rPr>
      <t xml:space="preserve">InfiniBand NDR </t>
    </r>
    <r>
      <rPr>
        <sz val="10"/>
        <color rgb="FF000000"/>
        <rFont val="Noto Sans CJK SC"/>
        <family val="2"/>
      </rPr>
      <t xml:space="preserve">單埠頻寬（</t>
    </r>
    <r>
      <rPr>
        <sz val="10"/>
        <color rgb="FF000000"/>
        <rFont val="Arial"/>
        <family val="0"/>
        <charset val="1"/>
      </rPr>
      <t xml:space="preserve">ConnectX-7</t>
    </r>
    <r>
      <rPr>
        <sz val="10"/>
        <color rgb="FF000000"/>
        <rFont val="Noto Sans CJK SC"/>
        <family val="2"/>
      </rPr>
      <t xml:space="preserve">）</t>
    </r>
  </si>
  <si>
    <t xml:space="preserve">Gb/s</t>
  </si>
  <si>
    <t xml:space="preserve">單向；Hopper 跨節點 EP</t>
  </si>
  <si>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單架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封裝數（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</si>
  <si>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t xml:space="preserve">每架 72 顆 Rubin Ultra GPU（封裝為推斷 Derived）</t>
  </si>
  <si>
    <r>
      <rPr>
        <sz val="10"/>
        <color rgb="FF000000"/>
        <rFont val="Arial"/>
        <family val="0"/>
        <charset val="1"/>
      </rPr>
      <t xml:space="preserve">Rubin Ultra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</si>
  <si>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 </t>
    </r>
    <r>
      <rPr>
        <sz val="10"/>
        <color rgb="FF000000"/>
        <rFont val="Arial"/>
        <family val="0"/>
        <charset val="1"/>
      </rPr>
      <t xml:space="preserve">Vera Rubin POD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https://developer.nvidia.com/blog/nvidia-vera-rubin-pod-seven-chips-five-rack-scale-systems-one-ai-supercomputer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</si>
  <si>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：產品規劃揭露（尚未出貨），有行銷誘因</t>
    </r>
  </si>
  <si>
    <t xml:space="preserve">E206</t>
  </si>
  <si>
    <t xml:space="preserve">U-V518</t>
  </si>
  <si>
    <r>
      <rPr>
        <sz val="10"/>
        <color rgb="FF000000"/>
        <rFont val="Arial"/>
        <family val="0"/>
        <charset val="1"/>
      </rPr>
      <t xml:space="preserve">Spec_Rack!G6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</si>
  <si>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新增；取代 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Kyber 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</si>
  <si>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Rubin Ultra NVL576 NVLink </t>
    </r>
    <r>
      <rPr>
        <sz val="10"/>
        <color rgb="FF000000"/>
        <rFont val="Noto Sans CJK SC"/>
        <family val="2"/>
      </rPr>
      <t xml:space="preserve">域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</si>
  <si>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MGX NVL </t>
    </r>
    <r>
      <rPr>
        <sz val="10"/>
        <color rgb="FF000000"/>
        <rFont val="Noto Sans CJK SC"/>
        <family val="2"/>
      </rPr>
      <t xml:space="preserve">單架互連為單一 </t>
    </r>
    <r>
      <rPr>
        <sz val="10"/>
        <color rgb="FF000000"/>
        <rFont val="Arial"/>
        <family val="0"/>
        <charset val="1"/>
      </rPr>
      <t xml:space="preserve">NVLink </t>
    </r>
    <r>
      <rPr>
        <sz val="10"/>
        <color rgb="FF000000"/>
        <rFont val="Noto Sans CJK SC"/>
        <family val="2"/>
      </rPr>
      <t xml:space="preserve">域（兩層拓撲）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</si>
  <si>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：產品規劃揭露（尚未出貨）</t>
    </r>
  </si>
  <si>
    <r>
      <rPr>
        <sz val="10"/>
        <color rgb="FF000000"/>
        <rFont val="Arial"/>
        <family val="0"/>
        <charset val="1"/>
      </rPr>
      <t xml:space="preserve">Spec_Rack!G28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</si>
  <si>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新增；單架內全互連為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Gov_Map G28 </t>
    </r>
    <r>
      <rPr>
        <sz val="10"/>
        <color rgb="FF000000"/>
        <rFont val="Noto Sans CJK SC"/>
        <family val="2"/>
      </rPr>
      <t xml:space="preserve">低 </t>
    </r>
    <r>
      <rPr>
        <sz val="10"/>
        <color rgb="FF000000"/>
        <rFont val="Arial"/>
        <family val="0"/>
        <charset val="1"/>
      </rPr>
      <t xml:space="preserve">72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</si>
  <si>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DGX Vera Rubin NVL72 NVFP4 </t>
    </r>
    <r>
      <rPr>
        <sz val="10"/>
        <color rgb="FF000000"/>
        <rFont val="Noto Sans CJK SC"/>
        <family val="2"/>
      </rPr>
      <t xml:space="preserve">訓練（整架，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</si>
  <si>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PFLOPS/</t>
    </r>
    <r>
      <rPr>
        <sz val="10"/>
        <color rgb="FF000000"/>
        <rFont val="Noto Sans CJK SC"/>
        <family val="2"/>
      </rPr>
      <t xml:space="preserve">架</t>
    </r>
  </si>
  <si>
    <r>
      <rPr>
        <sz val="10"/>
        <color rgb="FF000000"/>
        <rFont val="Arial"/>
        <family val="0"/>
        <charset val="1"/>
      </rPr>
      <t xml:space="preserve">Dense specification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35 PF/GPU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</si>
  <si>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DGX Vera Rubin NVL72 </t>
    </r>
    <r>
      <rPr>
        <sz val="10"/>
        <color rgb="FF000000"/>
        <rFont val="Noto Sans CJK SC"/>
        <family val="2"/>
      </rPr>
      <t xml:space="preserve">頁：</t>
    </r>
    <r>
      <rPr>
        <sz val="10"/>
        <color rgb="FF000000"/>
        <rFont val="Arial"/>
        <family val="0"/>
        <charset val="1"/>
      </rPr>
      <t xml:space="preserve">https://www.nvidia.com/en-us/data-center/dgx-vera-rubin-nvl72/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</si>
  <si>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為賣方（規格頁）</t>
    </r>
  </si>
  <si>
    <t xml:space="preserve">E207</t>
  </si>
  <si>
    <t xml:space="preserve">（Spec_Rack G23／G24／G40 的 Derived 依據；不直接連結模型格）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</si>
  <si>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每封裝值＝</t>
    </r>
    <r>
      <rPr>
        <sz val="10"/>
        <color rgb="FF000000"/>
        <rFont val="Arial"/>
        <family val="0"/>
        <charset val="1"/>
      </rPr>
      <t xml:space="preserve">2×VR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值（</t>
    </r>
    <r>
      <rPr>
        <sz val="10"/>
        <color rgb="FF000000"/>
        <rFont val="Arial"/>
        <family val="0"/>
        <charset val="1"/>
      </rPr>
      <t xml:space="preserve">4 die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 die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[Derived]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</t>
    </r>
    <r>
      <rPr>
        <sz val="10"/>
        <color rgb="FF000000"/>
        <rFont val="Noto Sans CJK SC"/>
        <family val="2"/>
      </rPr>
      <t xml:space="preserve">同頁</t>
    </r>
  </si>
  <si>
    <t xml:space="preserve">SRC_HW_064</t>
  </si>
  <si>
    <r>
      <rPr>
        <sz val="10"/>
        <color rgb="FF000000"/>
        <rFont val="Arial"/>
        <family val="0"/>
        <charset val="1"/>
      </rPr>
      <t xml:space="preserve">Supermicro VR NVL72 DLC-2 </t>
    </r>
    <r>
      <rPr>
        <sz val="10"/>
        <color rgb="FF000000"/>
        <rFont val="Noto Sans CJK SC"/>
        <family val="2"/>
      </rPr>
      <t xml:space="preserve">液冷設計容量</t>
    </r>
  </si>
  <si>
    <t xml:space="preserve">冷卻 sized-for 容量（不是機架實測功率）</t>
  </si>
  <si>
    <r>
      <rPr>
        <sz val="10"/>
        <color rgb="FF000000"/>
        <rFont val="Arial"/>
        <family val="0"/>
        <charset val="1"/>
      </rPr>
      <t xml:space="preserve">Supermicro Vera Rubin </t>
    </r>
    <r>
      <rPr>
        <sz val="10"/>
        <color rgb="FF000000"/>
        <rFont val="Noto Sans CJK SC"/>
        <family val="2"/>
      </rPr>
      <t xml:space="preserve">產品頁：</t>
    </r>
    <r>
      <rPr>
        <sz val="10"/>
        <color rgb="FF000000"/>
        <rFont val="Arial"/>
        <family val="0"/>
        <charset val="1"/>
      </rPr>
      <t xml:space="preserve">https://www.supermicro.com/en/accelerators/nvidia/vera-rubin</t>
    </r>
  </si>
  <si>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：系統廠，賣方</t>
    </r>
  </si>
  <si>
    <t xml:space="preserve">E194</t>
  </si>
  <si>
    <t xml:space="preserve">（SRC_HW_014 的第二來源；不直接連結模型格）</t>
  </si>
  <si>
    <r>
      <rPr>
        <sz val="10"/>
        <color rgb="FF000000"/>
        <rFont val="Arial"/>
        <family val="0"/>
        <charset val="1"/>
      </rPr>
      <t xml:space="preserve">v5.18 </t>
    </r>
    <r>
      <rPr>
        <sz val="10"/>
        <color rgb="FF000000"/>
        <rFont val="Noto Sans CJK SC"/>
        <family val="2"/>
      </rPr>
      <t xml:space="preserve">新增；與 </t>
    </r>
    <r>
      <rPr>
        <sz val="10"/>
        <color rgb="FF000000"/>
        <rFont val="Arial"/>
        <family val="0"/>
        <charset val="1"/>
      </rPr>
      <t xml:space="preserve">SRC_HW_014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Schneider MaxP 227</t>
    </r>
    <r>
      <rPr>
        <sz val="10"/>
        <color rgb="FF000000"/>
        <rFont val="Noto Sans CJK SC"/>
        <family val="2"/>
      </rPr>
      <t xml:space="preserve">）同為 </t>
    </r>
    <r>
      <rPr>
        <sz val="10"/>
        <color rgb="FF000000"/>
        <rFont val="Arial"/>
        <family val="0"/>
        <charset val="1"/>
      </rPr>
      <t xml:space="preserve">227</t>
    </r>
    <r>
      <rPr>
        <sz val="10"/>
        <color rgb="FF000000"/>
        <rFont val="Noto Sans CJK SC"/>
        <family val="2"/>
      </rPr>
      <t xml:space="preserve">、口徑不同，獨立性未確認</t>
    </r>
  </si>
  <si>
    <t xml:space="preserve">SRC_HW_065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</si>
  <si>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機架價格（</t>
    </r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）</t>
    </r>
  </si>
  <si>
    <t xml:space="preserve">分析師轉述「reported prices」（口徑未明）</t>
  </si>
  <si>
    <t xml:space="preserve">2026-01-30</t>
  </si>
  <si>
    <r>
      <rPr>
        <sz val="10"/>
        <color rgb="FF000000"/>
        <rFont val="Arial"/>
        <family val="0"/>
        <charset val="1"/>
      </rPr>
      <t xml:space="preserve">Wolfe Research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Investing.com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Yahoo Finance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https://ca.finance.yahoo.com/news/wolfe-lifts-nvidia-target-25-145211458.html</t>
    </r>
  </si>
  <si>
    <t xml:space="preserve">賣方研究引述「reported」，底層出處不明</t>
  </si>
  <si>
    <t xml:space="preserve">E264</t>
  </si>
  <si>
    <t xml:space="preserve">U-V531</t>
  </si>
  <si>
    <r>
      <rPr>
        <sz val="10"/>
        <color rgb="FF000000"/>
        <rFont val="Arial"/>
        <family val="0"/>
        <charset val="1"/>
      </rPr>
      <t xml:space="preserve">Spec_Rack!E12 </t>
    </r>
    <r>
      <rPr>
        <sz val="10"/>
        <color rgb="FF000000"/>
        <rFont val="Noto Sans CJK SC"/>
        <family val="2"/>
      </rPr>
      <t xml:space="preserve">佐證（不直接連結）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</si>
  <si>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E264</t>
    </r>
    <r>
      <rPr>
        <sz val="10"/>
        <color rgb="FF000000"/>
        <rFont val="Noto Sans CJK SC"/>
        <family val="2"/>
      </rPr>
      <t xml:space="preserve">，部分採用）：</t>
    </r>
    <r>
      <rPr>
        <sz val="10"/>
        <color rgb="FF000000"/>
        <rFont val="Arial"/>
        <family val="0"/>
        <charset val="1"/>
      </rPr>
      <t xml:space="preserve">GB300 4.3 </t>
    </r>
    <r>
      <rPr>
        <sz val="10"/>
        <color rgb="FF000000"/>
        <rFont val="Noto Sans CJK SC"/>
        <family val="2"/>
      </rPr>
      <t xml:space="preserve">作基準 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的佐證（同來源 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Rubin $5–6M </t>
    </r>
    <r>
      <rPr>
        <sz val="10"/>
        <color rgb="FF000000"/>
        <rFont val="Noto Sans CJK SC"/>
        <family val="2"/>
      </rPr>
      <t xml:space="preserve">早於記憶體漲價，不採用）；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</si>
  <si>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SRC_HW_066</t>
  </si>
  <si>
    <r>
      <rPr>
        <sz val="10"/>
        <color rgb="FF000000"/>
        <rFont val="Arial"/>
        <family val="0"/>
        <charset val="1"/>
      </rPr>
      <t xml:space="preserve">Vera Rubin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系統 </t>
    </r>
    <r>
      <rPr>
        <sz val="10"/>
        <color rgb="FF000000"/>
        <rFont val="Arial"/>
        <family val="0"/>
        <charset val="1"/>
      </rPr>
      <t xml:space="preserve">ASP </t>
    </r>
    <r>
      <rPr>
        <sz val="10"/>
        <color rgb="FF000000"/>
        <rFont val="Noto Sans CJK SC"/>
        <family val="2"/>
      </rPr>
      <t xml:space="preserve">比值（</t>
    </r>
    <r>
      <rPr>
        <sz val="10"/>
        <color rgb="FF000000"/>
        <rFont val="Arial"/>
        <family val="0"/>
        <charset val="1"/>
      </rPr>
      <t xml:space="preserve">TrendForce</t>
    </r>
    <r>
      <rPr>
        <sz val="10"/>
        <color rgb="FF000000"/>
        <rFont val="Noto Sans CJK SC"/>
        <family val="2"/>
      </rPr>
      <t xml:space="preserve">）</t>
    </r>
  </si>
  <si>
    <t xml:space="preserve">比值（系統 ASP）</t>
  </si>
  <si>
    <t xml:space="preserve">VR200 NVL72 ÷ GB300 NVL72</t>
  </si>
  <si>
    <t xml:space="preserve">2026-08-28</t>
  </si>
  <si>
    <r>
      <rPr>
        <sz val="10"/>
        <color rgb="FF000000"/>
        <rFont val="Arial"/>
        <family val="0"/>
        <charset val="1"/>
      </rPr>
      <t xml:space="preserve">TrendForce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https://www.trendforce.com/presscenter/news/20260828-13204.html</t>
    </r>
    <r>
      <rPr>
        <sz val="10"/>
        <color rgb="FF000000"/>
        <rFont val="Noto Sans CJK SC"/>
        <family val="2"/>
      </rPr>
      <t xml:space="preserve">（科技新報轉載）</t>
    </r>
  </si>
  <si>
    <t xml:space="preserve">市調機構</t>
  </si>
  <si>
    <t xml:space="preserve">E268</t>
  </si>
  <si>
    <t xml:space="preserve">（比值對照；不連結模型格）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</si>
  <si>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E268</t>
    </r>
    <r>
      <rPr>
        <sz val="10"/>
        <color rgb="FF000000"/>
        <rFont val="Noto Sans CJK SC"/>
        <family val="2"/>
      </rPr>
      <t xml:space="preserve">，部分採用）：「</t>
    </r>
    <r>
      <rPr>
        <sz val="10"/>
        <color rgb="FF000000"/>
        <rFont val="Arial"/>
        <family val="0"/>
        <charset val="1"/>
      </rPr>
      <t xml:space="preserve">roughly double</t>
    </r>
    <r>
      <rPr>
        <sz val="10"/>
        <color rgb="FF000000"/>
        <rFont val="Noto Sans CJK SC"/>
        <family val="2"/>
      </rPr>
      <t xml:space="preserve">」；模型 </t>
    </r>
    <r>
      <rPr>
        <sz val="10"/>
        <color rgb="FF000000"/>
        <rFont val="Arial"/>
        <family val="0"/>
        <charset val="1"/>
      </rPr>
      <t xml:space="preserve">VR200 ÷ GB300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8.4 ÷ 4.3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1.95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</si>
  <si>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SRC_DC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：廠房資本支出、電價、折舊慣例、外部成本參照</t>
    </r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</si>
  <si>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 </t>
    </r>
    <r>
      <rPr>
        <sz val="10"/>
        <color rgb="FF000000"/>
        <rFont val="Arial"/>
        <family val="0"/>
        <charset val="1"/>
      </rPr>
      <t xml:space="preserve">÷ GPU BOM</t>
    </r>
  </si>
  <si>
    <t xml:space="preserve">千卡叢集</t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</si>
  <si>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J.P. Morgan AM Eye on the Market</t>
    </r>
  </si>
  <si>
    <r>
      <rPr>
        <sz val="10"/>
        <color rgb="FF000000"/>
        <rFont val="Arial"/>
        <family val="0"/>
        <charset val="1"/>
      </rPr>
      <t xml:space="preserve">hedgehog.cloud</t>
    </r>
    <r>
      <rPr>
        <sz val="10"/>
        <color rgb="FF000000"/>
        <rFont val="Noto Sans CJK SC"/>
        <family val="2"/>
      </rPr>
      <t xml:space="preserve">：網路業者；</t>
    </r>
    <r>
      <rPr>
        <sz val="10"/>
        <color rgb="FF000000"/>
        <rFont val="Arial"/>
        <family val="0"/>
        <charset val="1"/>
      </rPr>
      <t xml:space="preserve">J.P. Morgan AM </t>
    </r>
    <r>
      <rPr>
        <sz val="10"/>
        <color rgb="FF000000"/>
        <rFont val="Noto Sans CJK SC"/>
        <family val="2"/>
      </rPr>
      <t xml:space="preserve">為中立方</t>
    </r>
  </si>
  <si>
    <t xml:space="preserve">E117</t>
  </si>
  <si>
    <t xml:space="preserve">S10</t>
  </si>
  <si>
    <r>
      <rPr>
        <sz val="10"/>
        <color rgb="FF000000"/>
        <rFont val="Arial"/>
        <family val="0"/>
        <charset val="1"/>
      </rPr>
      <t xml:space="preserve">Inputs!E13</t>
    </r>
    <r>
      <rPr>
        <sz val="10"/>
        <color rgb="FF000000"/>
        <rFont val="Noto Sans CJK SC"/>
        <family val="2"/>
      </rPr>
      <t xml:space="preserve">｜選取</t>
    </r>
  </si>
  <si>
    <t xml:space="preserve">模型 5–15% 為 GW 級外推（Analogy）</t>
  </si>
  <si>
    <t xml:space="preserve">網路占 AI 支出（J.P. Morgan AM 假設）</t>
  </si>
  <si>
    <t xml:space="preserve">總 AI 支出</t>
  </si>
  <si>
    <r>
      <rPr>
        <sz val="10"/>
        <color rgb="FF000000"/>
        <rFont val="Arial"/>
        <family val="0"/>
        <charset val="1"/>
      </rPr>
      <t xml:space="preserve">Inputs!F13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</si>
  <si>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為假設值，非實測</t>
    </r>
  </si>
  <si>
    <t xml:space="preserve">全球平均資料中心建造成本（JLL 2026）</t>
  </si>
  <si>
    <t xml:space="preserve">建物與核心</t>
  </si>
  <si>
    <t xml:space="preserve">全球</t>
  </si>
  <si>
    <r>
      <rPr>
        <sz val="10"/>
        <color rgb="FF000000"/>
        <rFont val="Arial"/>
        <family val="0"/>
        <charset val="1"/>
      </rPr>
      <t xml:space="preserve">archdesk.com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gigacapacity.com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JLL</t>
    </r>
  </si>
  <si>
    <r>
      <rPr>
        <sz val="10"/>
        <color rgb="FF000000"/>
        <rFont val="Arial"/>
        <family val="0"/>
        <charset val="1"/>
      </rPr>
      <t xml:space="preserve">JLL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：不動產與工程顧問（產業研究）</t>
    </r>
  </si>
  <si>
    <t xml:space="preserve">S12</t>
  </si>
  <si>
    <r>
      <rPr>
        <sz val="10"/>
        <color rgb="FF000000"/>
        <rFont val="Arial"/>
        <family val="0"/>
        <charset val="1"/>
      </rPr>
      <t xml:space="preserve">Checks!C6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</si>
  <si>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口徑（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／設施）待查</t>
    </r>
  </si>
  <si>
    <t xml:space="preserve">SRC_DC_004</t>
  </si>
  <si>
    <t xml:space="preserve">液冷溢價（Turner &amp; Townsend）</t>
  </si>
  <si>
    <t xml:space="preserve">建造成本加成</t>
  </si>
  <si>
    <t xml:space="preserve">液冷設施</t>
  </si>
  <si>
    <t xml:space="preserve">SRC_DC_005</t>
  </si>
  <si>
    <t xml:space="preserve">美國工業電價 2026-03</t>
  </si>
  <si>
    <t xml:space="preserve">月均</t>
  </si>
  <si>
    <r>
      <rPr>
        <sz val="10"/>
        <color rgb="FF000000"/>
        <rFont val="Arial"/>
        <family val="0"/>
        <charset val="1"/>
      </rPr>
      <t xml:space="preserve">EIA Monthly Energy Review 2026-08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proteinreport.org </t>
    </r>
    <r>
      <rPr>
        <sz val="10"/>
        <color rgb="FF000000"/>
        <rFont val="Noto Sans CJK SC"/>
        <family val="2"/>
      </rPr>
      <t xml:space="preserve">轉載 </t>
    </r>
    <r>
      <rPr>
        <sz val="10"/>
        <color rgb="FF000000"/>
        <rFont val="Arial"/>
        <family val="0"/>
        <charset val="1"/>
      </rPr>
      <t xml:space="preserve">EIA</t>
    </r>
  </si>
  <si>
    <r>
      <rPr>
        <sz val="10"/>
        <color rgb="FF000000"/>
        <rFont val="Arial"/>
        <family val="0"/>
        <charset val="1"/>
      </rPr>
      <t xml:space="preserve">EIA</t>
    </r>
    <r>
      <rPr>
        <sz val="10"/>
        <color rgb="FF000000"/>
        <rFont val="Noto Sans CJK SC"/>
        <family val="2"/>
      </rPr>
      <t xml:space="preserve">：政府統計</t>
    </r>
  </si>
  <si>
    <t xml:space="preserve">二手（轉載）</t>
  </si>
  <si>
    <t xml:space="preserve">S13</t>
  </si>
  <si>
    <t xml:space="preserve">美國工業電價 2026-05</t>
  </si>
  <si>
    <r>
      <rPr>
        <sz val="10"/>
        <color rgb="FF000000"/>
        <rFont val="Arial"/>
        <family val="0"/>
        <charset val="1"/>
      </rPr>
      <t xml:space="preserve">Inputs!E11</t>
    </r>
    <r>
      <rPr>
        <sz val="10"/>
        <color rgb="FF000000"/>
        <rFont val="Noto Sans CJK SC"/>
        <family val="2"/>
      </rPr>
      <t xml:space="preserve">｜選取</t>
    </r>
  </si>
  <si>
    <t xml:space="preserve">模型基準 0.08 低於最新值 → Analogy</t>
  </si>
  <si>
    <r>
      <rPr>
        <sz val="10"/>
        <color rgb="FF000000"/>
        <rFont val="Arial"/>
        <family val="0"/>
        <charset val="1"/>
      </rPr>
      <t xml:space="preserve">CoreWeave GPU </t>
    </r>
    <r>
      <rPr>
        <sz val="10"/>
        <color rgb="FF000000"/>
        <rFont val="Noto Sans CJK SC"/>
        <family val="2"/>
      </rPr>
      <t xml:space="preserve">折舊年限</t>
    </r>
  </si>
  <si>
    <t xml:space="preserve">會計政策</t>
  </si>
  <si>
    <t xml:space="preserve">CoreWeave</t>
  </si>
  <si>
    <r>
      <rPr>
        <sz val="10"/>
        <color rgb="FF000000"/>
        <rFont val="Arial"/>
        <family val="0"/>
        <charset val="1"/>
      </rPr>
      <t xml:space="preserve">capefearadvisors.substack.com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CNBC 2025-11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SiliconANGLE</t>
    </r>
  </si>
  <si>
    <t xml:space="preserve">公司自定會計政策：延長年限可提高帳面獲利</t>
  </si>
  <si>
    <t xml:space="preserve">S15</t>
  </si>
  <si>
    <r>
      <rPr>
        <sz val="10"/>
        <color rgb="FF000000"/>
        <rFont val="Arial"/>
        <family val="0"/>
        <charset val="1"/>
      </rPr>
      <t xml:space="preserve">Inputs!E23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</si>
  <si>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D4</t>
    </r>
    <r>
      <rPr>
        <sz val="10"/>
        <color rgb="FF000000"/>
        <rFont val="Noto Sans CJK SC"/>
        <family val="2"/>
      </rPr>
      <t xml:space="preserve">：須與 </t>
    </r>
    <r>
      <rPr>
        <sz val="10"/>
        <color rgb="FF000000"/>
        <rFont val="Arial"/>
        <family val="0"/>
        <charset val="1"/>
      </rPr>
      <t xml:space="preserve">CRWV </t>
    </r>
    <r>
      <rPr>
        <sz val="10"/>
        <color rgb="FF000000"/>
        <rFont val="Noto Sans CJK SC"/>
        <family val="2"/>
      </rPr>
      <t xml:space="preserve">一致</t>
    </r>
  </si>
  <si>
    <r>
      <rPr>
        <sz val="10"/>
        <color rgb="FF000000"/>
        <rFont val="Arial"/>
        <family val="0"/>
        <charset val="1"/>
      </rPr>
      <t xml:space="preserve">Nebius GPU </t>
    </r>
    <r>
      <rPr>
        <sz val="10"/>
        <color rgb="FF000000"/>
        <rFont val="Noto Sans CJK SC"/>
        <family val="2"/>
      </rPr>
      <t xml:space="preserve">折舊年限</t>
    </r>
  </si>
  <si>
    <t xml:space="preserve">Nebius</t>
  </si>
  <si>
    <r>
      <rPr>
        <sz val="10"/>
        <color rgb="FF000000"/>
        <rFont val="Arial"/>
        <family val="0"/>
        <charset val="1"/>
      </rPr>
      <t xml:space="preserve">Inputs!F23</t>
    </r>
    <r>
      <rPr>
        <sz val="10"/>
        <color rgb="FF000000"/>
        <rFont val="Noto Sans CJK SC"/>
        <family val="2"/>
      </rPr>
      <t xml:space="preserve">｜直接</t>
    </r>
  </si>
  <si>
    <t xml:space="preserve">SRC_DC_009</t>
  </si>
  <si>
    <r>
      <rPr>
        <sz val="10"/>
        <color rgb="FF000000"/>
        <rFont val="Arial"/>
        <family val="0"/>
        <charset val="1"/>
      </rPr>
      <t xml:space="preserve">Lambda GPU </t>
    </r>
    <r>
      <rPr>
        <sz val="10"/>
        <color rgb="FF000000"/>
        <rFont val="Noto Sans CJK SC"/>
        <family val="2"/>
      </rPr>
      <t xml:space="preserve">折舊年限</t>
    </r>
  </si>
  <si>
    <t xml:space="preserve">Lambda</t>
  </si>
  <si>
    <t xml:space="preserve">每 GW 建置成本（黃仁勳）</t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</si>
  <si>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</si>
  <si>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2025-08</t>
  </si>
  <si>
    <r>
      <rPr>
        <sz val="10"/>
        <color rgb="FF000000"/>
        <rFont val="Arial"/>
        <family val="0"/>
        <charset val="1"/>
      </rPr>
      <t xml:space="preserve">CNBC </t>
    </r>
    <r>
      <rPr>
        <sz val="10"/>
        <color rgb="FF000000"/>
        <rFont val="Noto Sans CJK SC"/>
        <family val="2"/>
      </rPr>
      <t xml:space="preserve">轉述（經 </t>
    </r>
    <r>
      <rPr>
        <sz val="10"/>
        <color rgb="FF000000"/>
        <rFont val="Arial"/>
        <family val="0"/>
        <charset val="1"/>
      </rPr>
      <t xml:space="preserve">mexc.com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</si>
  <si>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執行長：有放大市場規模的誘因；</t>
    </r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</t>
    </r>
  </si>
  <si>
    <t xml:space="preserve">E121</t>
  </si>
  <si>
    <t xml:space="preserve">S16</t>
  </si>
  <si>
    <r>
      <rPr>
        <sz val="10"/>
        <color rgb="FF000000"/>
        <rFont val="Arial"/>
        <family val="0"/>
        <charset val="1"/>
      </rPr>
      <t xml:space="preserve">Checks!C4</t>
    </r>
    <r>
      <rPr>
        <sz val="10"/>
        <color rgb="FF000000"/>
        <rFont val="Noto Sans CJK SC"/>
        <family val="2"/>
      </rPr>
      <t xml:space="preserve">｜對照</t>
    </r>
  </si>
  <si>
    <t xml:space="preserve">每 GW 中 NVIDIA 晶片與系統</t>
  </si>
  <si>
    <r>
      <rPr>
        <sz val="10"/>
        <color rgb="FF000000"/>
        <rFont val="Arial"/>
        <family val="0"/>
        <charset val="1"/>
      </rPr>
      <t xml:space="preserve">Checks!C5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</si>
  <si>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</si>
  <si>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t xml:space="preserve">假設未公開</t>
  </si>
  <si>
    <r>
      <rPr>
        <sz val="10"/>
        <color rgb="FF000000"/>
        <rFont val="Arial"/>
        <family val="0"/>
        <charset val="1"/>
      </rPr>
      <t xml:space="preserve">SemiAnalysis AI Cloud TCO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部落格）</t>
    </r>
  </si>
  <si>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：販售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模型、平台受晶片商贊助；須第二來源</t>
    </r>
  </si>
  <si>
    <t xml:space="preserve">一手（SA 自家部落格）</t>
  </si>
  <si>
    <t xml:space="preserve">E122</t>
  </si>
  <si>
    <t xml:space="preserve">S17</t>
  </si>
  <si>
    <r>
      <rPr>
        <sz val="10"/>
        <color rgb="FF000000"/>
        <rFont val="Arial"/>
        <family val="0"/>
        <charset val="1"/>
      </rPr>
      <t xml:space="preserve">Checks!C7</t>
    </r>
    <r>
      <rPr>
        <sz val="10"/>
        <color rgb="FF000000"/>
        <rFont val="Noto Sans CJK SC"/>
        <family val="2"/>
      </rPr>
      <t xml:space="preserve">｜對照</t>
    </r>
  </si>
  <si>
    <t xml:space="preserve">須第二來源</t>
  </si>
  <si>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TCO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</si>
  <si>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Checks!C8</t>
    </r>
    <r>
      <rPr>
        <sz val="10"/>
        <color rgb="FF000000"/>
        <rFont val="Noto Sans CJK SC"/>
        <family val="2"/>
      </rPr>
      <t xml:space="preserve">｜對照</t>
    </r>
  </si>
  <si>
    <t xml:space="preserve">每 IT MW 的 GPU 與附屬設備資本支出（IREN 公司揭露）</t>
  </si>
  <si>
    <t xml:space="preserve">公司揭露：向 Dell 採購 GB300 設備 $5.8bn（含伺服器、InfiniBand、線材、軟體授權、部署服務）÷ 200 MW 關鍵 IT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</si>
  <si>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IREN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合約）</t>
    </r>
  </si>
  <si>
    <t xml:space="preserve">2025-11-03</t>
  </si>
  <si>
    <r>
      <rPr>
        <sz val="10"/>
        <color rgb="FF000000"/>
        <rFont val="Arial"/>
        <family val="0"/>
        <charset val="1"/>
      </rPr>
      <t xml:space="preserve">IREN </t>
    </r>
    <r>
      <rPr>
        <sz val="10"/>
        <color rgb="FF000000"/>
        <rFont val="Noto Sans CJK SC"/>
        <family val="2"/>
      </rPr>
      <t xml:space="preserve">新聞稿 </t>
    </r>
    <r>
      <rPr>
        <sz val="10"/>
        <color rgb="FF000000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00"/>
        <rFont val="Noto Sans CJK SC"/>
        <family val="2"/>
      </rPr>
      <t xml:space="preserve">（另 </t>
    </r>
    <r>
      <rPr>
        <sz val="10"/>
        <color rgb="FF000000"/>
        <rFont val="Arial"/>
        <family val="0"/>
        <charset val="1"/>
      </rPr>
      <t xml:space="preserve">irisenergy.gcs-web.com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DCD </t>
    </r>
    <r>
      <rPr>
        <sz val="10"/>
        <color rgb="FF000000"/>
        <rFont val="Noto Sans CJK SC"/>
        <family val="2"/>
      </rPr>
      <t xml:space="preserve">轉載）</t>
    </r>
  </si>
  <si>
    <t xml:space="preserve">買方公司揭露（合約宣傳）</t>
  </si>
  <si>
    <t xml:space="preserve">E266</t>
  </si>
  <si>
    <r>
      <rPr>
        <sz val="10"/>
        <color rgb="FF000000"/>
        <rFont val="Arial"/>
        <family val="0"/>
        <charset val="1"/>
      </rPr>
      <t xml:space="preserve">L1!M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L1_CapexITMW_GB300_vsIREN </t>
    </r>
    <r>
      <rPr>
        <sz val="10"/>
        <color rgb="FF000000"/>
        <rFont val="Noto Sans CJK SC"/>
        <family val="2"/>
      </rPr>
      <t xml:space="preserve">外部欄）｜直接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</si>
  <si>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E266</t>
    </r>
    <r>
      <rPr>
        <sz val="10"/>
        <color rgb="FF000000"/>
        <rFont val="Noto Sans CJK SC"/>
        <family val="2"/>
      </rPr>
      <t xml:space="preserve">，採用）：總額與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，每 </t>
    </r>
    <r>
      <rPr>
        <sz val="10"/>
        <color rgb="FF000000"/>
        <rFont val="Arial"/>
        <family val="0"/>
        <charset val="1"/>
      </rPr>
      <t xml:space="preserve">MW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$5.8bn ÷ 200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數未揭露，</t>
    </r>
    <r>
      <rPr>
        <sz val="10"/>
        <color rgb="FF000000"/>
        <rFont val="Arial"/>
        <family val="0"/>
        <charset val="1"/>
      </rPr>
      <t xml:space="preserve">$5.8bn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200 MW </t>
    </r>
    <r>
      <rPr>
        <sz val="10"/>
        <color rgb="FF000000"/>
        <rFont val="Noto Sans CJK SC"/>
        <family val="2"/>
      </rPr>
      <t xml:space="preserve">的對應原文未明寫；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</si>
  <si>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機架原廠標準保固年限（</t>
    </r>
    <r>
      <rPr>
        <sz val="10"/>
        <color rgb="FF000000"/>
        <rFont val="Arial"/>
        <family val="0"/>
        <charset val="1"/>
      </rPr>
      <t xml:space="preserve">HPE GB300 NVL72</t>
    </r>
    <r>
      <rPr>
        <sz val="10"/>
        <color rgb="FF000000"/>
        <rFont val="Noto Sans CJK SC"/>
        <family val="2"/>
      </rPr>
      <t xml:space="preserve">）</t>
    </r>
  </si>
  <si>
    <t xml:space="preserve">原廠標準保固：3 年零件、3 年人工、3 年到場（含在售價）</t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</si>
  <si>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HPE</t>
    </r>
    <r>
      <rPr>
        <sz val="10"/>
        <color rgb="FF000000"/>
        <rFont val="Noto Sans CJK SC"/>
        <family val="2"/>
      </rPr>
      <t xml:space="preserve">）</t>
    </r>
  </si>
  <si>
    <t xml:space="preserve">2026-09-08</t>
  </si>
  <si>
    <r>
      <rPr>
        <sz val="10"/>
        <color rgb="FF000000"/>
        <rFont val="Arial"/>
        <family val="0"/>
        <charset val="1"/>
      </rPr>
      <t xml:space="preserve">HPE QuickSpecs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NVIDIA GB300 NVL72 by HPE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V3 https://www.hpe.com/us/en/collaterals/collateral.a50009244enw.html</t>
    </r>
  </si>
  <si>
    <t xml:space="preserve">賣方條款</t>
  </si>
  <si>
    <t xml:space="preserve">E272</t>
  </si>
  <si>
    <t xml:space="preserve">SRC_DC_016</t>
  </si>
  <si>
    <r>
      <rPr>
        <sz val="10"/>
        <color rgb="FF000000"/>
        <rFont val="Arial"/>
        <family val="0"/>
        <charset val="1"/>
      </rPr>
      <t xml:space="preserve">Inputs!E36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</si>
  <si>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E272</t>
    </r>
    <r>
      <rPr>
        <sz val="10"/>
        <color rgb="FF000000"/>
        <rFont val="Noto Sans CJK SC"/>
        <family val="2"/>
      </rPr>
      <t xml:space="preserve">，採用）：保固年限依據；</t>
    </r>
    <r>
      <rPr>
        <sz val="10"/>
        <color rgb="FF000000"/>
        <rFont val="Arial"/>
        <family val="0"/>
        <charset val="1"/>
      </rPr>
      <t xml:space="preserve">Dell XE9680 </t>
    </r>
    <r>
      <rPr>
        <sz val="10"/>
        <color rgb="FF000000"/>
        <rFont val="Noto Sans CJK SC"/>
        <family val="2"/>
      </rPr>
      <t xml:space="preserve">經銷頁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 </t>
    </r>
    <r>
      <rPr>
        <sz val="10"/>
        <color rgb="FF000000"/>
        <rFont val="Arial"/>
        <family val="0"/>
        <charset val="1"/>
      </rPr>
      <t xml:space="preserve">ProSupport </t>
    </r>
    <r>
      <rPr>
        <sz val="10"/>
        <color rgb="FF000000"/>
        <rFont val="Noto Sans CJK SC"/>
        <family val="2"/>
      </rPr>
      <t xml:space="preserve">併入本筆備註，不另登錄；第二來源 </t>
    </r>
    <r>
      <rPr>
        <sz val="10"/>
        <color rgb="FF000000"/>
        <rFont val="Arial"/>
        <family val="0"/>
        <charset val="1"/>
      </rPr>
      <t xml:space="preserve">SRC_DC_016</t>
    </r>
    <r>
      <rPr>
        <sz val="10"/>
        <color rgb="FF000000"/>
        <rFont val="Noto Sans CJK SC"/>
        <family val="2"/>
      </rPr>
      <t xml:space="preserve">（人工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年同值，零件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年不同）；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</si>
  <si>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系統原廠標準保固年限（</t>
    </r>
    <r>
      <rPr>
        <sz val="10"/>
        <color rgb="FF000000"/>
        <rFont val="Arial"/>
        <family val="0"/>
        <charset val="1"/>
      </rPr>
      <t xml:space="preserve">Supermicro</t>
    </r>
    <r>
      <rPr>
        <sz val="10"/>
        <color rgb="FF000000"/>
        <rFont val="Noto Sans CJK SC"/>
        <family val="2"/>
      </rPr>
      <t xml:space="preserve">，人工）</t>
    </r>
  </si>
  <si>
    <t xml:space="preserve">原廠通則（發票無特約時）：人工 3 年（本筆值）、零件 1 年、預先換貨 1 年</t>
  </si>
  <si>
    <r>
      <rPr>
        <sz val="10"/>
        <color rgb="FF000000"/>
        <rFont val="Arial"/>
        <family val="0"/>
        <charset val="1"/>
      </rPr>
      <t xml:space="preserve">Supermicro GPU </t>
    </r>
    <r>
      <rPr>
        <sz val="10"/>
        <color rgb="FF000000"/>
        <rFont val="Noto Sans CJK SC"/>
        <family val="2"/>
      </rPr>
      <t xml:space="preserve">系統</t>
    </r>
  </si>
  <si>
    <r>
      <rPr>
        <sz val="10"/>
        <color rgb="FF000000"/>
        <rFont val="Arial"/>
        <family val="0"/>
        <charset val="1"/>
      </rPr>
      <t xml:space="preserve">Supermicro </t>
    </r>
    <r>
      <rPr>
        <sz val="10"/>
        <color rgb="FF000000"/>
        <rFont val="Noto Sans CJK SC"/>
        <family val="2"/>
      </rPr>
      <t xml:space="preserve">保固頁 </t>
    </r>
    <r>
      <rPr>
        <sz val="10"/>
        <color rgb="FF000000"/>
        <rFont val="Arial"/>
        <family val="0"/>
        <charset val="1"/>
      </rPr>
      <t xml:space="preserve">https://www.supermicro.com/en/support/warranty</t>
    </r>
    <r>
      <rPr>
        <sz val="10"/>
        <color rgb="FF000000"/>
        <rFont val="Noto Sans CJK SC"/>
        <family val="2"/>
      </rPr>
      <t xml:space="preserve">（讀取日 </t>
    </r>
    <r>
      <rPr>
        <sz val="10"/>
        <color rgb="FF000000"/>
        <rFont val="Arial"/>
        <family val="0"/>
        <charset val="1"/>
      </rPr>
      <t xml:space="preserve">2026-10-08</t>
    </r>
    <r>
      <rPr>
        <sz val="10"/>
        <color rgb="FF000000"/>
        <rFont val="Noto Sans CJK SC"/>
        <family val="2"/>
      </rPr>
      <t xml:space="preserve">）</t>
    </r>
  </si>
  <si>
    <t xml:space="preserve">E273</t>
  </si>
  <si>
    <t xml:space="preserve">（SRC_DC_015 的第二來源；Inputs 第 37 列高情境依據，不直接連結）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</si>
  <si>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E273</t>
    </r>
    <r>
      <rPr>
        <sz val="10"/>
        <color rgb="FF000000"/>
        <rFont val="Noto Sans CJK SC"/>
        <family val="2"/>
      </rPr>
      <t xml:space="preserve">，採用）：零件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年由保固期內高情境 </t>
    </r>
    <r>
      <rPr>
        <sz val="10"/>
        <color rgb="FF000000"/>
        <rFont val="Arial"/>
        <family val="0"/>
        <charset val="1"/>
      </rPr>
      <t xml:space="preserve">1% </t>
    </r>
    <r>
      <rPr>
        <sz val="10"/>
        <color rgb="FF000000"/>
        <rFont val="Noto Sans CJK SC"/>
        <family val="2"/>
      </rPr>
      <t xml:space="preserve">涵蓋；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</si>
  <si>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系統原廠支援續約年費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系統價（</t>
    </r>
    <r>
      <rPr>
        <sz val="10"/>
        <color rgb="FF000000"/>
        <rFont val="Arial"/>
        <family val="0"/>
        <charset val="1"/>
      </rPr>
      <t xml:space="preserve">NVIDIA DGX B200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</si>
  <si>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% </t>
    </r>
    <r>
      <rPr>
        <sz val="10"/>
        <color rgb="FF000000"/>
        <rFont val="Noto Sans CJK SC"/>
        <family val="2"/>
      </rPr>
      <t xml:space="preserve">系統價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年</t>
    </r>
  </si>
  <si>
    <t xml:space="preserve">英國經銷牌價：1 年續約 £18,599.99 ÷ 系統（含 3 年 Business Standard 支援）£489,999（皆含 VAT）</t>
  </si>
  <si>
    <t xml:space="preserve">DGX B200 8 GPU</t>
  </si>
  <si>
    <r>
      <rPr>
        <sz val="10"/>
        <color rgb="FF000000"/>
        <rFont val="Arial"/>
        <family val="0"/>
        <charset val="1"/>
      </rPr>
      <t xml:space="preserve">Scan UK https://www.scan.co.uk/products/dgx-b200-8x-180gb-full-with-business-std-support-3y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https://www.scan.co.uk/products/dgx-b200-8x-180gb-full-business-std-support-renew-1-year</t>
    </r>
  </si>
  <si>
    <t xml:space="preserve">經銷商牌價（零售）</t>
  </si>
  <si>
    <t xml:space="preserve">二手（經銷頁已讀）</t>
  </si>
  <si>
    <t xml:space="preserve">E274</t>
  </si>
  <si>
    <t xml:space="preserve">（Inputs 第 38 列保固期滿後費率的可比對象；不直接連結）</t>
  </si>
  <si>
    <r>
      <rPr>
        <sz val="10"/>
        <color rgb="FF000000"/>
        <rFont val="Arial"/>
        <family val="0"/>
        <charset val="1"/>
      </rPr>
      <t xml:space="preserve">v5.31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E274</t>
    </r>
    <r>
      <rPr>
        <sz val="10"/>
        <color rgb="FF000000"/>
        <rFont val="Noto Sans CJK SC"/>
        <family val="2"/>
      </rPr>
      <t xml:space="preserve">，採用）：續約為支援、韌體、軟體授權；大型買家應低於牌價 → 基準 </t>
    </r>
    <r>
      <rPr>
        <sz val="10"/>
        <color rgb="FF000000"/>
        <rFont val="Arial"/>
        <family val="0"/>
        <charset val="1"/>
      </rPr>
      <t xml:space="preserve">3%</t>
    </r>
    <r>
      <rPr>
        <sz val="10"/>
        <color rgb="FF000000"/>
        <rFont val="Noto Sans CJK SC"/>
        <family val="2"/>
      </rPr>
      <t xml:space="preserve">、上緣參考；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docs/reports/20261008_v5.31A_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</si>
  <si>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SRC_Model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：模型架構與訓練揭露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</si>
  <si>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</si>
  <si>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</si>
  <si>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Tokenomics v4 </t>
    </r>
    <r>
      <rPr>
        <sz val="10"/>
        <color rgb="FF000000"/>
        <rFont val="Noto Sans CJK SC"/>
        <family val="2"/>
      </rPr>
      <t xml:space="preserve">活頁簿（</t>
    </r>
    <r>
      <rPr>
        <sz val="10"/>
        <color rgb="FF000000"/>
        <rFont val="Arial"/>
        <family val="0"/>
        <charset val="1"/>
      </rPr>
      <t xml:space="preserve">20260922</t>
    </r>
    <r>
      <rPr>
        <sz val="10"/>
        <color rgb="FF000000"/>
        <rFont val="Noto Sans CJK SC"/>
        <family val="2"/>
      </rPr>
      <t xml:space="preserve">）預設表；</t>
    </r>
    <r>
      <rPr>
        <sz val="10"/>
        <color rgb="FF000000"/>
        <rFont val="Arial"/>
        <family val="0"/>
        <charset val="1"/>
      </rPr>
      <t xml:space="preserve">morphllm.com 2026-09-07 </t>
    </r>
    <r>
      <rPr>
        <sz val="10"/>
        <color rgb="FF000000"/>
        <rFont val="Noto Sans CJK SC"/>
        <family val="2"/>
      </rPr>
      <t xml:space="preserve">彙整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</si>
  <si>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自揭；出處為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活頁簿與彙整站，非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</si>
  <si>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E123</t>
  </si>
  <si>
    <r>
      <rPr>
        <sz val="10"/>
        <color rgb="FF000000"/>
        <rFont val="Arial"/>
        <family val="0"/>
        <charset val="1"/>
      </rPr>
      <t xml:space="preserve">Arch!D6</t>
    </r>
    <r>
      <rPr>
        <sz val="10"/>
        <color rgb="FF000000"/>
        <rFont val="Noto Sans CJK SC"/>
        <family val="2"/>
      </rPr>
      <t xml:space="preserve">｜直接</t>
    </r>
  </si>
  <si>
    <t xml:space="preserve">待以 config.json 核對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</si>
  <si>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</si>
  <si>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E170</t>
    </r>
  </si>
  <si>
    <r>
      <rPr>
        <sz val="10"/>
        <color rgb="FF000000"/>
        <rFont val="Arial"/>
        <family val="0"/>
        <charset val="1"/>
      </rPr>
      <t xml:space="preserve">Arch!D7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</si>
  <si>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</si>
  <si>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</si>
  <si>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Arch!D8</t>
    </r>
    <r>
      <rPr>
        <sz val="10"/>
        <color rgb="FF000000"/>
        <rFont val="Noto Sans CJK SC"/>
        <family val="2"/>
      </rPr>
      <t xml:space="preserve">｜直接</t>
    </r>
  </si>
  <si>
    <t xml:space="preserve">DeepSeek V4-Pro d_model</t>
  </si>
  <si>
    <t xml:space="preserve">維</t>
  </si>
  <si>
    <r>
      <rPr>
        <sz val="10"/>
        <color rgb="FF000000"/>
        <rFont val="Arial"/>
        <family val="0"/>
        <charset val="1"/>
      </rPr>
      <t xml:space="preserve">Arch!D9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</si>
  <si>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</si>
  <si>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 V4-Flash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代表）</t>
    </r>
  </si>
  <si>
    <r>
      <rPr>
        <sz val="10"/>
        <color rgb="FF000000"/>
        <rFont val="Arial"/>
        <family val="0"/>
        <charset val="1"/>
      </rPr>
      <t xml:space="preserve">Arch!C6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</si>
  <si>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</si>
  <si>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E123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E171</t>
    </r>
  </si>
  <si>
    <r>
      <rPr>
        <sz val="10"/>
        <color rgb="FF000000"/>
        <rFont val="Arial"/>
        <family val="0"/>
        <charset val="1"/>
      </rPr>
      <t xml:space="preserve">Arch!C7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</si>
  <si>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</si>
  <si>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層數</t>
    </r>
  </si>
  <si>
    <t xml:space="preserve">DeepSeek V4-Flash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</si>
  <si>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 </t>
    </r>
    <r>
      <rPr>
        <sz val="10"/>
        <color rgb="FF000000"/>
        <rFont val="Noto Sans CJK SC"/>
        <family val="2"/>
      </rPr>
      <t xml:space="preserve">但無 </t>
    </r>
    <r>
      <rPr>
        <sz val="10"/>
        <color rgb="FF000000"/>
        <rFont val="Arial"/>
        <family val="0"/>
        <charset val="1"/>
      </rPr>
      <t xml:space="preserve">S </t>
    </r>
    <r>
      <rPr>
        <sz val="10"/>
        <color rgb="FF000000"/>
        <rFont val="Noto Sans CJK SC"/>
        <family val="2"/>
      </rPr>
      <t xml:space="preserve">編號；模型內建知識）</t>
    </r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</si>
  <si>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模型卡或 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（模型頁標 </t>
    </r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，未登錄 </t>
    </r>
    <r>
      <rPr>
        <sz val="10"/>
        <color rgb="FF000000"/>
        <rFont val="Arial"/>
        <family val="0"/>
        <charset val="1"/>
      </rPr>
      <t xml:space="preserve">Sources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</si>
  <si>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E172</t>
    </r>
  </si>
  <si>
    <t xml:space="preserve">U-DS</t>
  </si>
  <si>
    <r>
      <rPr>
        <sz val="10"/>
        <color rgb="FF000000"/>
        <rFont val="Arial"/>
        <family val="0"/>
        <charset val="1"/>
      </rPr>
      <t xml:space="preserve">Arch!C8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</si>
  <si>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E172</t>
    </r>
    <r>
      <rPr>
        <sz val="10"/>
        <color rgb="FF000000"/>
        <rFont val="Noto Sans CJK SC"/>
        <family val="2"/>
      </rPr>
      <t xml:space="preserve">）</t>
    </r>
  </si>
  <si>
    <t xml:space="preserve">DeepSeek V4-Pro query heads</t>
  </si>
  <si>
    <t xml:space="preserve">DeepSeek V4-Pro</t>
  </si>
  <si>
    <t xml:space="preserve">E124</t>
  </si>
  <si>
    <r>
      <rPr>
        <sz val="10"/>
        <color rgb="FF000000"/>
        <rFont val="Arial"/>
        <family val="0"/>
        <charset val="1"/>
      </rPr>
      <t xml:space="preserve">Arch!D10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</si>
  <si>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Flash </t>
    </r>
    <r>
      <rPr>
        <sz val="10"/>
        <color rgb="FF000000"/>
        <rFont val="Noto Sans CJK SC"/>
        <family val="2"/>
      </rPr>
      <t xml:space="preserve">取一半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</si>
  <si>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DeepSeek V4 KV head </t>
    </r>
    <r>
      <rPr>
        <sz val="10"/>
        <color rgb="FF000000"/>
        <rFont val="Noto Sans CJK SC"/>
        <family val="2"/>
      </rPr>
      <t xml:space="preserve">維度</t>
    </r>
  </si>
  <si>
    <t xml:space="preserve">單一 KV head</t>
  </si>
  <si>
    <t xml:space="preserve">DeepSeek V4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</si>
  <si>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E173</t>
    </r>
  </si>
  <si>
    <r>
      <rPr>
        <sz val="10"/>
        <color rgb="FF000000"/>
        <rFont val="Arial"/>
        <family val="0"/>
        <charset val="1"/>
      </rPr>
      <t xml:space="preserve">Arch!C11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</si>
  <si>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E173</t>
    </r>
    <r>
      <rPr>
        <sz val="10"/>
        <color rgb="FF000000"/>
        <rFont val="Noto Sans CJK SC"/>
        <family val="2"/>
      </rPr>
      <t xml:space="preserve">）</t>
    </r>
  </si>
  <si>
    <t xml:space="preserve">DeepSeek V4-Flash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</si>
  <si>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E174</t>
    </r>
  </si>
  <si>
    <r>
      <rPr>
        <sz val="10"/>
        <color rgb="FF000000"/>
        <rFont val="Arial"/>
        <family val="0"/>
        <charset val="1"/>
      </rPr>
      <t xml:space="preserve">Arch!C12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</si>
  <si>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E174</t>
    </r>
    <r>
      <rPr>
        <sz val="10"/>
        <color rgb="FF000000"/>
        <rFont val="Noto Sans CJK SC"/>
        <family val="2"/>
      </rPr>
      <t xml:space="preserve">）</t>
    </r>
  </si>
  <si>
    <t xml:space="preserve">DeepSeek V4-Pro routed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</si>
  <si>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E175</t>
    </r>
  </si>
  <si>
    <r>
      <rPr>
        <sz val="10"/>
        <color rgb="FF000000"/>
        <rFont val="Arial"/>
        <family val="0"/>
        <charset val="1"/>
      </rPr>
      <t xml:space="preserve">Arch!D12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</si>
  <si>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</si>
  <si>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</si>
  <si>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E176</t>
    </r>
  </si>
  <si>
    <r>
      <rPr>
        <sz val="10"/>
        <color rgb="FF000000"/>
        <rFont val="Arial"/>
        <family val="0"/>
        <charset val="1"/>
      </rPr>
      <t xml:space="preserve">Arch!C13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</si>
  <si>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E176</t>
    </r>
    <r>
      <rPr>
        <sz val="10"/>
        <color rgb="FF000000"/>
        <rFont val="Noto Sans CJK SC"/>
        <family val="2"/>
      </rPr>
      <t xml:space="preserve">）</t>
    </r>
  </si>
  <si>
    <t xml:space="preserve">DeepSeek V4 shared experts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</si>
  <si>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E177</t>
    </r>
  </si>
  <si>
    <r>
      <rPr>
        <sz val="10"/>
        <color rgb="FF000000"/>
        <rFont val="Arial"/>
        <family val="0"/>
        <charset val="1"/>
      </rPr>
      <t xml:space="preserve">Arch!C14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</si>
  <si>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E177</t>
    </r>
    <r>
      <rPr>
        <sz val="10"/>
        <color rgb="FF000000"/>
        <rFont val="Noto Sans CJK SC"/>
        <family val="2"/>
      </rPr>
      <t xml:space="preserve">）</t>
    </r>
  </si>
  <si>
    <t xml:space="preserve">DeepSeek V4 vocab</t>
  </si>
  <si>
    <t xml:space="preserve">token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</si>
  <si>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E178</t>
    </r>
  </si>
  <si>
    <r>
      <rPr>
        <sz val="10"/>
        <color rgb="FF000000"/>
        <rFont val="Arial"/>
        <family val="0"/>
        <charset val="1"/>
      </rPr>
      <t xml:space="preserve">Arch!C15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</si>
  <si>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</si>
  <si>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</t>
    </r>
  </si>
  <si>
    <t xml:space="preserve">config.json compress_ratios 前 43 個元素；MTP 層不計</t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</si>
  <si>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E205</t>
    </r>
  </si>
  <si>
    <r>
      <rPr>
        <sz val="10"/>
        <color rgb="FF000000"/>
        <rFont val="Arial"/>
        <family val="0"/>
        <charset val="1"/>
      </rPr>
      <t xml:space="preserve">Arch!C16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</si>
  <si>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0.5→0.512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21/41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Pro </t>
    </r>
    <r>
      <rPr>
        <sz val="10"/>
        <color rgb="FF000000"/>
        <rFont val="Noto Sans CJK SC"/>
        <family val="2"/>
      </rPr>
      <t xml:space="preserve">另列 </t>
    </r>
    <r>
      <rPr>
        <sz val="10"/>
        <color rgb="FF000000"/>
        <rFont val="Arial"/>
        <family val="0"/>
        <charset val="1"/>
      </rPr>
      <t xml:space="preserve">SRC_MOD_054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E205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</si>
  <si>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HCA </t>
    </r>
    <r>
      <rPr>
        <sz val="10"/>
        <color rgb="FF000000"/>
        <rFont val="Noto Sans CJK SC"/>
        <family val="2"/>
      </rPr>
      <t xml:space="preserve">壓縮比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</si>
  <si>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E179</t>
    </r>
  </si>
  <si>
    <r>
      <rPr>
        <sz val="10"/>
        <color rgb="FF000000"/>
        <rFont val="Arial"/>
        <family val="0"/>
        <charset val="1"/>
      </rPr>
      <t xml:space="preserve">Arch!C18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Arch!D18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</si>
  <si>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E179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</si>
  <si>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滑動窗</t>
    </r>
  </si>
  <si>
    <r>
      <rPr>
        <sz val="10"/>
        <color rgb="FF000000"/>
        <rFont val="Arial"/>
        <family val="0"/>
        <charset val="1"/>
      </rPr>
      <t xml:space="preserve">E124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E180</t>
    </r>
  </si>
  <si>
    <r>
      <rPr>
        <sz val="10"/>
        <color rgb="FF000000"/>
        <rFont val="Arial"/>
        <family val="0"/>
        <charset val="1"/>
      </rPr>
      <t xml:space="preserve">Arch!C19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Arch!D19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</si>
  <si>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</si>
  <si>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V4 CSA top-k </t>
    </r>
    <r>
      <rPr>
        <sz val="10"/>
        <color rgb="FF000000"/>
        <rFont val="Noto Sans CJK SC"/>
        <family val="2"/>
      </rPr>
      <t xml:space="preserve">壓縮塊數</t>
    </r>
  </si>
  <si>
    <t xml:space="preserve">塊</t>
  </si>
  <si>
    <r>
      <rPr>
        <sz val="10"/>
        <color rgb="FF000000"/>
        <rFont val="Arial"/>
        <family val="0"/>
        <charset val="1"/>
      </rPr>
      <t xml:space="preserve">Arch!C17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</si>
  <si>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1,024 × 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4,224</t>
    </r>
  </si>
  <si>
    <t xml:space="preserve">SRC_MOD_019</t>
  </si>
  <si>
    <r>
      <rPr>
        <sz val="10"/>
        <color rgb="FF000000"/>
        <rFont val="Arial"/>
        <family val="0"/>
        <charset val="1"/>
      </rPr>
      <t xml:space="preserve">DeepSeek V4 CSA </t>
    </r>
    <r>
      <rPr>
        <sz val="10"/>
        <color rgb="FF000000"/>
        <rFont val="Noto Sans CJK SC"/>
        <family val="2"/>
      </rPr>
      <t xml:space="preserve">壓縮塊長度</t>
    </r>
  </si>
  <si>
    <r>
      <rPr>
        <sz val="10"/>
        <color rgb="FF000000"/>
        <rFont val="Arial"/>
        <family val="0"/>
        <charset val="1"/>
      </rPr>
      <t xml:space="preserve">tok/</t>
    </r>
    <r>
      <rPr>
        <sz val="10"/>
        <color rgb="FF000000"/>
        <rFont val="Noto Sans CJK SC"/>
        <family val="2"/>
      </rPr>
      <t xml:space="preserve">塊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</si>
  <si>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總參數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</si>
  <si>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</si>
  <si>
    <r>
      <rPr>
        <sz val="10"/>
        <color rgb="FF000000"/>
        <rFont val="Arial"/>
        <family val="0"/>
        <charset val="1"/>
      </rPr>
      <t xml:space="preserve">Calib!C100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</si>
  <si>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</si>
  <si>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Calib!C101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</si>
  <si>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層數</t>
    </r>
  </si>
  <si>
    <r>
      <rPr>
        <sz val="10"/>
        <color rgb="FF000000"/>
        <rFont val="Arial"/>
        <family val="0"/>
        <charset val="1"/>
      </rPr>
      <t xml:space="preserve">Calib!C102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</si>
  <si>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d_model</t>
    </r>
  </si>
  <si>
    <r>
      <rPr>
        <sz val="10"/>
        <color rgb="FF000000"/>
        <rFont val="Arial"/>
        <family val="0"/>
        <charset val="1"/>
      </rPr>
      <t xml:space="preserve">Calib!C103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</si>
  <si>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routed experts</t>
    </r>
  </si>
  <si>
    <r>
      <rPr>
        <sz val="10"/>
        <color rgb="FF000000"/>
        <rFont val="Arial"/>
        <family val="0"/>
        <charset val="1"/>
      </rPr>
      <t xml:space="preserve">Calib!C104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</si>
  <si>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experts</t>
    </r>
  </si>
  <si>
    <r>
      <rPr>
        <sz val="10"/>
        <color rgb="FF000000"/>
        <rFont val="Arial"/>
        <family val="0"/>
        <charset val="1"/>
      </rPr>
      <t xml:space="preserve">Calib!C105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</si>
  <si>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shared experts</t>
    </r>
  </si>
  <si>
    <r>
      <rPr>
        <sz val="10"/>
        <color rgb="FF000000"/>
        <rFont val="Arial"/>
        <family val="0"/>
        <charset val="1"/>
      </rPr>
      <t xml:space="preserve">Calib!C106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</si>
  <si>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vocab</t>
    </r>
  </si>
  <si>
    <r>
      <rPr>
        <sz val="10"/>
        <color rgb="FF000000"/>
        <rFont val="Arial"/>
        <family val="0"/>
        <charset val="1"/>
      </rPr>
      <t xml:space="preserve">Calib!C107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</si>
  <si>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MLA KV </t>
    </r>
    <r>
      <rPr>
        <sz val="10"/>
        <color rgb="FF000000"/>
        <rFont val="Noto Sans CJK SC"/>
        <family val="2"/>
      </rPr>
      <t xml:space="preserve">維度（每層）</t>
    </r>
  </si>
  <si>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bytes</t>
    </r>
    <r>
      <rPr>
        <sz val="10"/>
        <color rgb="FF000000"/>
        <rFont val="Noto Sans CJK SC"/>
        <family val="2"/>
      </rPr>
      <t xml:space="preserve">＝維</t>
    </r>
  </si>
  <si>
    <r>
      <rPr>
        <sz val="10"/>
        <color rgb="FF000000"/>
        <rFont val="Arial"/>
        <family val="0"/>
        <charset val="1"/>
      </rPr>
      <t xml:space="preserve">Calib!C108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</si>
  <si>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576 × 61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35,136</t>
    </r>
  </si>
  <si>
    <r>
      <rPr>
        <sz val="10"/>
        <color rgb="FF000000"/>
        <rFont val="Arial"/>
        <family val="0"/>
        <charset val="1"/>
      </rPr>
      <t xml:space="preserve">DeepSeek V4-Flash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</si>
  <si>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arxiv.org/abs/2606.19348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</si>
  <si>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</t>
    </r>
  </si>
  <si>
    <t xml:space="preserve">一手</t>
  </si>
  <si>
    <r>
      <rPr>
        <sz val="10"/>
        <color rgb="FF000000"/>
        <rFont val="Arial"/>
        <family val="0"/>
        <charset val="1"/>
      </rPr>
      <t xml:space="preserve">E125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E002</t>
    </r>
  </si>
  <si>
    <t xml:space="preserve">S35</t>
  </si>
  <si>
    <r>
      <rPr>
        <sz val="10"/>
        <color rgb="FF000000"/>
        <rFont val="Arial"/>
        <family val="0"/>
        <charset val="1"/>
      </rPr>
      <t xml:space="preserve">Train_In!C25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</si>
  <si>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</si>
  <si>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Train_In!D25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</si>
  <si>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注意力預訓練序列長（起點）</t>
    </r>
  </si>
  <si>
    <r>
      <rPr>
        <sz val="10"/>
        <color rgb="FF000000"/>
        <rFont val="Arial"/>
        <family val="0"/>
        <charset val="1"/>
      </rPr>
      <t xml:space="preserve">4K → 16K </t>
    </r>
    <r>
      <rPr>
        <sz val="10"/>
        <color rgb="FF000000"/>
        <rFont val="Noto Sans CJK SC"/>
        <family val="2"/>
      </rPr>
      <t xml:space="preserve">漸增</t>
    </r>
  </si>
  <si>
    <r>
      <rPr>
        <sz val="10"/>
        <color rgb="FF000000"/>
        <rFont val="Arial"/>
        <family val="0"/>
        <charset val="1"/>
      </rPr>
      <t xml:space="preserve">Train_In!C26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Train_In!D26</t>
    </r>
    <r>
      <rPr>
        <sz val="10"/>
        <color rgb="FF000000"/>
        <rFont val="Noto Sans CJK SC"/>
        <family val="2"/>
      </rPr>
      <t xml:space="preserve">｜直接</t>
    </r>
  </si>
  <si>
    <t xml:space="preserve">SRC_MOD_032</t>
  </si>
  <si>
    <r>
      <rPr>
        <sz val="10"/>
        <color rgb="FF000000"/>
        <rFont val="Arial"/>
        <family val="0"/>
        <charset val="1"/>
      </rPr>
      <t xml:space="preserve">DeepSeek V4 dense </t>
    </r>
    <r>
      <rPr>
        <sz val="10"/>
        <color rgb="FF000000"/>
        <rFont val="Noto Sans CJK SC"/>
        <family val="2"/>
      </rPr>
      <t xml:space="preserve">注意力預訓練序列長（終點）</t>
    </r>
  </si>
  <si>
    <t xml:space="preserve">切換稀疏前</t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</si>
  <si>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預訓練算力（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</si>
  <si>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誤差 2–5 倍</t>
  </si>
  <si>
    <t xml:space="preserve">Grok-3</t>
  </si>
  <si>
    <t xml:space="preserve">2025-06</t>
  </si>
  <si>
    <t xml:space="preserve">epoch.ai/data-insights/models-over-1e25-flop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</si>
  <si>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</si>
  <si>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t xml:space="preserve">一手（Epoch 推估）</t>
  </si>
  <si>
    <r>
      <rPr>
        <sz val="10"/>
        <color rgb="FF000000"/>
        <rFont val="Arial"/>
        <family val="0"/>
        <charset val="1"/>
      </rPr>
      <t xml:space="preserve">E126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E006</t>
    </r>
  </si>
  <si>
    <t xml:space="preserve">S39</t>
  </si>
  <si>
    <r>
      <rPr>
        <sz val="10"/>
        <color rgb="FF000000"/>
        <rFont val="Arial"/>
        <family val="0"/>
        <charset val="1"/>
      </rPr>
      <t xml:space="preserve">Train_In!C46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Train_In!C47</t>
    </r>
    <r>
      <rPr>
        <sz val="10"/>
        <color rgb="FF000000"/>
        <rFont val="Noto Sans CJK SC"/>
        <family val="2"/>
      </rPr>
      <t xml:space="preserve">｜選取；</t>
    </r>
    <r>
      <rPr>
        <sz val="10"/>
        <color rgb="FF000000"/>
        <rFont val="Arial"/>
        <family val="0"/>
        <charset val="1"/>
      </rPr>
      <t xml:space="preserve">Train_In!C48</t>
    </r>
    <r>
      <rPr>
        <sz val="10"/>
        <color rgb="FF000000"/>
        <rFont val="Noto Sans CJK SC"/>
        <family val="2"/>
      </rPr>
      <t xml:space="preserve">｜選取</t>
    </r>
  </si>
  <si>
    <t xml:space="preserve">錨點 2e26／5e26／2e27 為 Analogy</t>
  </si>
  <si>
    <r>
      <rPr>
        <sz val="10"/>
        <color rgb="FF000000"/>
        <rFont val="Arial"/>
        <family val="0"/>
        <charset val="1"/>
      </rPr>
      <t xml:space="preserve">DeepSeek R1 RL GPU </t>
    </r>
    <r>
      <rPr>
        <sz val="10"/>
        <color rgb="FF000000"/>
        <rFont val="Noto Sans CJK SC"/>
        <family val="2"/>
      </rPr>
      <t xml:space="preserve">小時</t>
    </r>
  </si>
  <si>
    <t xml:space="preserve">M H800 GPU-hr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</si>
  <si>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</si>
  <si>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t xml:space="preserve">DeepSeek R1</t>
  </si>
  <si>
    <t xml:space="preserve">2025</t>
  </si>
  <si>
    <t xml:space="preserve">arxiv.org/pdf/2504.12501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</si>
  <si>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Lambert </t>
    </r>
    <r>
      <rPr>
        <sz val="10"/>
        <color rgb="FF000000"/>
        <rFont val="Noto Sans CJK SC"/>
        <family val="2"/>
      </rPr>
      <t xml:space="preserve">轉述</t>
    </r>
  </si>
  <si>
    <t xml:space="preserve">E127</t>
  </si>
  <si>
    <t xml:space="preserve">S40</t>
  </si>
  <si>
    <r>
      <rPr>
        <sz val="10"/>
        <color rgb="FF000000"/>
        <rFont val="Arial"/>
        <family val="0"/>
        <charset val="1"/>
      </rPr>
      <t xml:space="preserve">Train_In!C44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</si>
  <si>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÷2.664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0.0552</t>
    </r>
    <r>
      <rPr>
        <sz val="10"/>
        <color rgb="FF000000"/>
        <rFont val="Noto Sans CJK SC"/>
        <family val="2"/>
      </rPr>
      <t xml:space="preserve">，模型取 </t>
    </r>
    <r>
      <rPr>
        <sz val="10"/>
        <color rgb="FF000000"/>
        <rFont val="Arial"/>
        <family val="0"/>
        <charset val="1"/>
      </rPr>
      <t xml:space="preserve">0.055</t>
    </r>
  </si>
  <si>
    <t xml:space="preserve">SRC_MOD_035</t>
  </si>
  <si>
    <r>
      <rPr>
        <sz val="10"/>
        <color rgb="FF000000"/>
        <rFont val="Arial"/>
        <family val="0"/>
        <charset val="1"/>
      </rPr>
      <t xml:space="preserve">Nemotron Ultra RL GPU </t>
    </r>
    <r>
      <rPr>
        <sz val="10"/>
        <color rgb="FF000000"/>
        <rFont val="Noto Sans CJK SC"/>
        <family val="2"/>
      </rPr>
      <t xml:space="preserve">小時</t>
    </r>
  </si>
  <si>
    <t xml:space="preserve">M H100 GPU-hr</t>
  </si>
  <si>
    <t xml:space="preserve">不到預訓練 1%</t>
  </si>
  <si>
    <t xml:space="preserve">Nemotron Ultra</t>
  </si>
  <si>
    <t xml:space="preserve">2025-05</t>
  </si>
  <si>
    <t xml:space="preserve">epoch.ai/gradient-updates/how-far-can-reasoning-models-scale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</si>
  <si>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揭露，經 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</t>
    </r>
  </si>
  <si>
    <t xml:space="preserve">E128</t>
  </si>
  <si>
    <t xml:space="preserve">S41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</si>
  <si>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預訓練（「預訓練規模」）</t>
    </r>
  </si>
  <si>
    <t xml:space="preserve">口徑不明（解讀值）</t>
  </si>
  <si>
    <t xml:space="preserve">Grok 4</t>
  </si>
  <si>
    <t xml:space="preserve">2025-07</t>
  </si>
  <si>
    <t xml:space="preserve">x.ai/news/grok-4</t>
  </si>
  <si>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：產品發表，有宣傳誘因；口徑不明</t>
    </r>
  </si>
  <si>
    <r>
      <rPr>
        <sz val="10"/>
        <color rgb="FF000000"/>
        <rFont val="Arial"/>
        <family val="0"/>
        <charset val="1"/>
      </rPr>
      <t xml:space="preserve">E129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E005</t>
    </r>
  </si>
  <si>
    <t xml:space="preserve">S42</t>
  </si>
  <si>
    <r>
      <rPr>
        <sz val="10"/>
        <color rgb="FF000000"/>
        <rFont val="Arial"/>
        <family val="0"/>
        <charset val="1"/>
      </rPr>
      <t xml:space="preserve">Train_In!C45</t>
    </r>
    <r>
      <rPr>
        <sz val="10"/>
        <color rgb="FF000000"/>
        <rFont val="Noto Sans CJK SC"/>
        <family val="2"/>
      </rPr>
      <t xml:space="preserve">｜直接</t>
    </r>
  </si>
  <si>
    <t xml:space="preserve">「預訓練規模」量化為 1 屬解讀 → 建議模型格標 Analogy</t>
  </si>
  <si>
    <t xml:space="preserve">SRC_MOD_037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</si>
  <si>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叢集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</si>
  <si>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SRC_MOD_038</t>
  </si>
  <si>
    <r>
      <rPr>
        <sz val="10"/>
        <color rgb="FF000000"/>
        <rFont val="Arial"/>
        <family val="0"/>
        <charset val="1"/>
      </rPr>
      <t xml:space="preserve">Grok 4 RL </t>
    </r>
    <r>
      <rPr>
        <sz val="10"/>
        <color rgb="FF000000"/>
        <rFont val="Noto Sans CJK SC"/>
        <family val="2"/>
      </rPr>
      <t xml:space="preserve">算力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前一代</t>
    </r>
  </si>
  <si>
    <t xml:space="preserve">下限（10 倍以上）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</si>
  <si>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token</t>
    </r>
  </si>
  <si>
    <t xml:space="preserve">DeepSeek-V3</t>
  </si>
  <si>
    <t xml:space="preserve">2024-12</t>
  </si>
  <si>
    <t xml:space="preserve">arxiv.org/abs/2412.19437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</si>
  <si>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技術報告；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</t>
    </r>
  </si>
  <si>
    <t xml:space="preserve">E130</t>
  </si>
  <si>
    <r>
      <rPr>
        <sz val="10"/>
        <color rgb="FF000000"/>
        <rFont val="Arial"/>
        <family val="0"/>
        <charset val="1"/>
      </rPr>
      <t xml:space="preserve">Train_In!C41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</si>
  <si>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</si>
  <si>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M GPU-hr</t>
  </si>
  <si>
    <t xml:space="preserve">預訓練</t>
  </si>
  <si>
    <r>
      <rPr>
        <sz val="10"/>
        <color rgb="FF000000"/>
        <rFont val="Arial"/>
        <family val="0"/>
        <charset val="1"/>
      </rPr>
      <t xml:space="preserve">Train_In!C42</t>
    </r>
    <r>
      <rPr>
        <sz val="10"/>
        <color rgb="FF000000"/>
        <rFont val="Noto Sans CJK SC"/>
        <family val="2"/>
      </rPr>
      <t xml:space="preserve">｜直接</t>
    </r>
  </si>
  <si>
    <t xml:space="preserve">SRC_MOD_041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</si>
  <si>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全部 </t>
    </r>
    <r>
      <rPr>
        <sz val="10"/>
        <color rgb="FF000000"/>
        <rFont val="Arial"/>
        <family val="0"/>
        <charset val="1"/>
      </rPr>
      <t xml:space="preserve">H800 GPU </t>
    </r>
    <r>
      <rPr>
        <sz val="10"/>
        <color rgb="FF000000"/>
        <rFont val="Noto Sans CJK SC"/>
        <family val="2"/>
      </rPr>
      <t xml:space="preserve">小時</t>
    </r>
  </si>
  <si>
    <t xml:space="preserve">含長上下文 0.119M、後訓練 0.005M</t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</si>
  <si>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預訓練序列長</t>
    </r>
  </si>
  <si>
    <r>
      <rPr>
        <sz val="10"/>
        <color rgb="FF000000"/>
        <rFont val="Arial"/>
        <family val="0"/>
        <charset val="1"/>
      </rPr>
      <t xml:space="preserve">Train_In!C43</t>
    </r>
    <r>
      <rPr>
        <sz val="10"/>
        <color rgb="FF000000"/>
        <rFont val="Noto Sans CJK SC"/>
        <family val="2"/>
      </rPr>
      <t xml:space="preserve">｜直接</t>
    </r>
  </si>
  <si>
    <t xml:space="preserve">非同步 RL 公開採用：DeepSeek（V4.1）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</si>
  <si>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＝採用</t>
    </r>
  </si>
  <si>
    <t xml:space="preserve">旗艦模型揭露</t>
  </si>
  <si>
    <t xml:space="preserve">arxiv.org/pdf/2609.19969</t>
  </si>
  <si>
    <r>
      <rPr>
        <sz val="10"/>
        <color rgb="FF000000"/>
        <rFont val="Arial"/>
        <family val="0"/>
        <charset val="1"/>
      </rPr>
      <t xml:space="preserve">E131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</si>
  <si>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S45</t>
  </si>
  <si>
    <r>
      <rPr>
        <sz val="10"/>
        <color rgb="FF000000"/>
        <rFont val="Arial"/>
        <family val="0"/>
        <charset val="1"/>
      </rPr>
      <t xml:space="preserve">Tech_Registry!J14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</si>
  <si>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T10 </t>
    </r>
    <r>
      <rPr>
        <sz val="10"/>
        <color rgb="FF000000"/>
        <rFont val="Noto Sans CJK SC"/>
        <family val="2"/>
      </rPr>
      <t xml:space="preserve">採用數＝</t>
    </r>
    <r>
      <rPr>
        <sz val="10"/>
        <color rgb="FF000000"/>
        <rFont val="Arial"/>
        <family val="0"/>
        <charset val="1"/>
      </rPr>
      <t xml:space="preserve">S45–S48 </t>
    </r>
    <r>
      <rPr>
        <sz val="10"/>
        <color rgb="FF000000"/>
        <rFont val="Noto Sans CJK SC"/>
        <family val="2"/>
      </rPr>
      <t xml:space="preserve">計數</t>
    </r>
  </si>
  <si>
    <t xml:space="preserve">SRC_MOD_044</t>
  </si>
  <si>
    <t xml:space="preserve">非同步 RL 公開採用：Zhipu（GLM-5）</t>
  </si>
  <si>
    <t xml:space="preserve">Zhipu</t>
  </si>
  <si>
    <t xml:space="preserve">2026-02</t>
  </si>
  <si>
    <t xml:space="preserve">arxiv.org/abs/2602.15763</t>
  </si>
  <si>
    <r>
      <rPr>
        <sz val="10"/>
        <color rgb="FF000000"/>
        <rFont val="Arial"/>
        <family val="0"/>
        <charset val="1"/>
      </rPr>
      <t xml:space="preserve">Zhipu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</si>
  <si>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E132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</si>
  <si>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S46</t>
  </si>
  <si>
    <t xml:space="preserve">SRC_MOD_045</t>
  </si>
  <si>
    <t xml:space="preserve">非同步 RL 公開採用：Moonshot（Kimi-Researcher）</t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</si>
  <si>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技術部落格（經 </t>
    </r>
    <r>
      <rPr>
        <sz val="10"/>
        <color rgb="FF000000"/>
        <rFont val="Arial"/>
        <family val="0"/>
        <charset val="1"/>
      </rPr>
      <t xml:space="preserve">Medium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</si>
  <si>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E133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</si>
  <si>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S47</t>
  </si>
  <si>
    <r>
      <rPr>
        <sz val="10"/>
        <color rgb="FF000000"/>
        <rFont val="Arial"/>
        <family val="0"/>
        <charset val="1"/>
      </rPr>
      <t xml:space="preserve">Kimi </t>
    </r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加速</t>
    </r>
  </si>
  <si>
    <t xml:space="preserve">下限（至少 1.5 倍）</t>
  </si>
  <si>
    <t xml:space="preserve">SRC_MOD_047</t>
  </si>
  <si>
    <t xml:space="preserve">非同步 RL 公開採用：Meta（Llama 3 後訓練）</t>
  </si>
  <si>
    <t xml:space="preserve">Meta</t>
  </si>
  <si>
    <t xml:space="preserve">arxiv.org/pdf/2505.24034</t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</si>
  <si>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論文；比較基準線較弱</t>
    </r>
  </si>
  <si>
    <r>
      <rPr>
        <sz val="10"/>
        <color rgb="FF000000"/>
        <rFont val="Arial"/>
        <family val="0"/>
        <charset val="1"/>
      </rPr>
      <t xml:space="preserve">E134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E007</t>
    </r>
  </si>
  <si>
    <t xml:space="preserve">S48</t>
  </si>
  <si>
    <t xml:space="preserve">SRC_MOD_048</t>
  </si>
  <si>
    <r>
      <rPr>
        <sz val="10"/>
        <color rgb="FF000000"/>
        <rFont val="Arial"/>
        <family val="0"/>
        <charset val="1"/>
      </rPr>
      <t xml:space="preserve">LlamaRL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類加速（</t>
    </r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）</t>
    </r>
  </si>
  <si>
    <t xml:space="preserve">上限；基準線較弱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</si>
  <si>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注意力 </t>
    </r>
    <r>
      <rPr>
        <sz val="10"/>
        <color rgb="FF000000"/>
        <rFont val="Arial"/>
        <family val="0"/>
        <charset val="1"/>
      </rPr>
      <t xml:space="preserve">heads</t>
    </r>
  </si>
  <si>
    <t xml:space="preserve">MLA</t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</si>
  <si>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：模型卡與 </t>
    </r>
    <r>
      <rPr>
        <sz val="10"/>
        <color rgb="FF000000"/>
        <rFont val="Arial"/>
        <family val="0"/>
        <charset val="1"/>
      </rPr>
      <t xml:space="preserve">config.json</t>
    </r>
  </si>
  <si>
    <t xml:space="preserve">SRC_MOD_050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</si>
  <si>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qk head </t>
    </r>
    <r>
      <rPr>
        <sz val="10"/>
        <color rgb="FF000000"/>
        <rFont val="Noto Sans CJK SC"/>
        <family val="2"/>
      </rPr>
      <t xml:space="preserve">維度（</t>
    </r>
    <r>
      <rPr>
        <sz val="10"/>
        <color rgb="FF000000"/>
        <rFont val="Arial"/>
        <family val="0"/>
        <charset val="1"/>
      </rPr>
      <t xml:space="preserve">128 nope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64 RoPE</t>
    </r>
    <r>
      <rPr>
        <sz val="10"/>
        <color rgb="FF000000"/>
        <rFont val="Noto Sans CJK SC"/>
        <family val="2"/>
      </rPr>
      <t xml:space="preserve">）</t>
    </r>
  </si>
  <si>
    <t xml:space="preserve">SRC_MOD_051</t>
  </si>
  <si>
    <r>
      <rPr>
        <sz val="10"/>
        <color rgb="FF000000"/>
        <rFont val="Arial"/>
        <family val="0"/>
        <charset val="1"/>
      </rPr>
      <t xml:space="preserve">DeepSeek-V3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 v head </t>
    </r>
    <r>
      <rPr>
        <sz val="10"/>
        <color rgb="FF000000"/>
        <rFont val="Noto Sans CJK SC"/>
        <family val="2"/>
      </rPr>
      <t xml:space="preserve">維度</t>
    </r>
  </si>
  <si>
    <r>
      <rPr>
        <sz val="10"/>
        <color rgb="FF000000"/>
        <rFont val="Arial"/>
        <family val="0"/>
        <charset val="1"/>
      </rPr>
      <t xml:space="preserve">DeepSeek V4-Flash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</si>
  <si>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hidden_size</t>
  </si>
  <si>
    <r>
      <rPr>
        <sz val="10"/>
        <color rgb="FF000000"/>
        <rFont val="Arial"/>
        <family val="0"/>
        <charset val="1"/>
      </rPr>
      <t xml:space="preserve">huggingface.co/deepseek-ai/DeepSeek-V4-Flash/blob/main/config.json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commit fd53f94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</si>
  <si>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：模型權重的設定檔（與權重一同發布，誤報誘因低）</t>
    </r>
  </si>
  <si>
    <t xml:space="preserve">E165</t>
  </si>
  <si>
    <t xml:space="preserve">U-V513</t>
  </si>
  <si>
    <r>
      <rPr>
        <sz val="10"/>
        <color rgb="FF000000"/>
        <rFont val="Arial"/>
        <family val="0"/>
        <charset val="1"/>
      </rPr>
      <t xml:space="preserve">Arch!C9</t>
    </r>
    <r>
      <rPr>
        <sz val="10"/>
        <color rgb="FF000000"/>
        <rFont val="Noto Sans CJK SC"/>
        <family val="2"/>
      </rPr>
      <t xml:space="preserve">｜直接</t>
    </r>
  </si>
  <si>
    <t xml:space="preserve">取代「由專家維度反推」</t>
  </si>
  <si>
    <r>
      <rPr>
        <sz val="10"/>
        <color rgb="FF000000"/>
        <rFont val="Arial"/>
        <family val="0"/>
        <charset val="1"/>
      </rPr>
      <t xml:space="preserve">DeepSeek V4-Flash query heads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num_attention_heads</t>
    </r>
    <r>
      <rPr>
        <sz val="10"/>
        <color rgb="FF000000"/>
        <rFont val="Noto Sans CJK SC"/>
        <family val="2"/>
      </rPr>
      <t xml:space="preserve">）</t>
    </r>
  </si>
  <si>
    <t xml:space="preserve">config.json num_attention_heads</t>
  </si>
  <si>
    <r>
      <rPr>
        <sz val="10"/>
        <color rgb="FF000000"/>
        <rFont val="Arial"/>
        <family val="0"/>
        <charset val="1"/>
      </rPr>
      <t xml:space="preserve">Arch!C10</t>
    </r>
    <r>
      <rPr>
        <sz val="10"/>
        <color rgb="FF000000"/>
        <rFont val="Noto Sans CJK SC"/>
        <family val="2"/>
      </rPr>
      <t xml:space="preserve">｜直接</t>
    </r>
  </si>
  <si>
    <t xml:space="preserve">取代「取 V4-Pro 一半」的 Analogy</t>
  </si>
  <si>
    <t xml:space="preserve">SRC_MOD_054</t>
  </si>
  <si>
    <r>
      <rPr>
        <sz val="10"/>
        <color rgb="FF000000"/>
        <rFont val="Arial"/>
        <family val="0"/>
        <charset val="1"/>
      </rPr>
      <t xml:space="preserve">DeepSeek V4-Pro </t>
    </r>
    <r>
      <rPr>
        <sz val="10"/>
        <color rgb="FF000000"/>
        <rFont val="Noto Sans CJK SC"/>
        <family val="2"/>
      </rPr>
      <t xml:space="preserve">全注意力層比例（壓縮比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層／（壓縮比 </t>
    </r>
    <r>
      <rPr>
        <sz val="10"/>
        <color rgb="FF000000"/>
        <rFont val="Arial"/>
        <family val="0"/>
        <charset val="1"/>
      </rPr>
      <t xml:space="preserve">4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128 </t>
    </r>
    <r>
      <rPr>
        <sz val="10"/>
        <color rgb="FF000000"/>
        <rFont val="Noto Sans CJK SC"/>
        <family val="2"/>
      </rPr>
      <t xml:space="preserve">層）＝</t>
    </r>
    <r>
      <rPr>
        <sz val="10"/>
        <color rgb="FF000000"/>
        <rFont val="Arial"/>
        <family val="0"/>
        <charset val="1"/>
      </rPr>
      <t xml:space="preserve">30/61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</si>
  <si>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config.json compress_ratios </t>
    </r>
    <r>
      <rPr>
        <sz val="10"/>
        <color rgb="FF000000"/>
        <rFont val="Noto Sans CJK SC"/>
        <family val="2"/>
      </rPr>
      <t xml:space="preserve">前 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個元素</t>
    </r>
  </si>
  <si>
    <t xml:space="preserve">https://huggingface.co/deepseek-ai/DeepSeek-V4-Pro/raw/main/config.json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</si>
  <si>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</t>
    </r>
  </si>
  <si>
    <t xml:space="preserve">E205</t>
  </si>
  <si>
    <r>
      <rPr>
        <sz val="10"/>
        <color rgb="FF000000"/>
        <rFont val="Arial"/>
        <family val="0"/>
        <charset val="1"/>
      </rPr>
      <t xml:space="preserve">Arch!D16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</si>
  <si>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 E3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SRC_MOD_015 </t>
    </r>
    <r>
      <rPr>
        <sz val="10"/>
        <color rgb="FF000000"/>
        <rFont val="Noto Sans CJK SC"/>
        <family val="2"/>
      </rPr>
      <t xml:space="preserve">拆出（</t>
    </r>
    <r>
      <rPr>
        <sz val="10"/>
        <color rgb="FF000000"/>
        <rFont val="Arial"/>
        <family val="0"/>
        <charset val="1"/>
      </rPr>
      <t xml:space="preserve">Flash 0.512 </t>
    </r>
    <r>
      <rPr>
        <sz val="10"/>
        <color rgb="FF000000"/>
        <rFont val="Noto Sans CJK SC"/>
        <family val="2"/>
      </rPr>
      <t xml:space="preserve">留在 </t>
    </r>
    <r>
      <rPr>
        <sz val="10"/>
        <color rgb="FF000000"/>
        <rFont val="Arial"/>
        <family val="0"/>
        <charset val="1"/>
      </rPr>
      <t xml:space="preserve">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</si>
  <si>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訓練算力（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估計）</t>
    </r>
  </si>
  <si>
    <t xml:space="preserve">訓練總算力（硬體推估；GB200 數為下限；Epoch 信度 Likely）</t>
  </si>
  <si>
    <t xml:space="preserve">2026-09-03</t>
  </si>
  <si>
    <r>
      <rPr>
        <sz val="10"/>
        <color rgb="FF000000"/>
        <rFont val="Arial"/>
        <family val="0"/>
        <charset val="1"/>
      </rPr>
      <t xml:space="preserve">Epoch AI frontier_ai_models.csv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https://epoch.ai/data/frontier_ai_models.csv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Model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列；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讀取核對：</t>
    </r>
    <r>
      <rPr>
        <sz val="10"/>
        <color rgb="FF000000"/>
        <rFont val="Arial"/>
        <family val="0"/>
        <charset val="1"/>
      </rPr>
      <t xml:space="preserve">Training compute (FLOP)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1.0001e+27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Hardware quantity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100000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hardware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NVIDIA 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</si>
  <si>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獨立研究；硬體數字轉述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NVIDIA</t>
    </r>
  </si>
  <si>
    <t xml:space="preserve">E248</t>
  </si>
  <si>
    <t xml:space="preserve">U-V525</t>
  </si>
  <si>
    <r>
      <rPr>
        <sz val="10"/>
        <color rgb="FF000000"/>
        <rFont val="Arial"/>
        <family val="0"/>
        <charset val="1"/>
      </rPr>
      <t xml:space="preserve">L1!M36</t>
    </r>
    <r>
      <rPr>
        <sz val="10"/>
        <color rgb="FF000000"/>
        <rFont val="Noto Sans CJK SC"/>
        <family val="2"/>
      </rPr>
      <t xml:space="preserve">｜對照；</t>
    </r>
    <r>
      <rPr>
        <sz val="10"/>
        <color rgb="FF000000"/>
        <rFont val="Arial"/>
        <family val="0"/>
        <charset val="1"/>
      </rPr>
      <t xml:space="preserve">L1!N36</t>
    </r>
    <r>
      <rPr>
        <sz val="10"/>
        <color rgb="FF000000"/>
        <rFont val="Noto Sans CJK SC"/>
        <family val="2"/>
      </rPr>
      <t xml:space="preserve">｜對照</t>
    </r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</si>
  <si>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新增：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36 </t>
    </r>
    <r>
      <rPr>
        <sz val="10"/>
        <color rgb="FF000000"/>
        <rFont val="Noto Sans CJK SC"/>
        <family val="2"/>
      </rPr>
      <t xml:space="preserve">列（</t>
    </r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）外部對照，取代 </t>
    </r>
    <r>
      <rPr>
        <sz val="10"/>
        <color rgb="FF000000"/>
        <rFont val="Arial"/>
        <family val="0"/>
        <charset val="1"/>
      </rPr>
      <t xml:space="preserve">SRC_MOD_033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Grok-3</t>
    </r>
    <r>
      <rPr>
        <sz val="10"/>
        <color rgb="FF000000"/>
        <rFont val="Noto Sans CJK SC"/>
        <family val="2"/>
      </rPr>
      <t xml:space="preserve">）；與模型值的差距即 </t>
    </r>
    <r>
      <rPr>
        <sz val="10"/>
        <color rgb="FF000000"/>
        <rFont val="Arial"/>
        <family val="0"/>
        <charset val="1"/>
      </rPr>
      <t xml:space="preserve">J8 </t>
    </r>
    <r>
      <rPr>
        <sz val="10"/>
        <color rgb="FF000000"/>
        <rFont val="Noto Sans CJK SC"/>
        <family val="2"/>
      </rPr>
      <t xml:space="preserve">缺口。</t>
    </r>
    <r>
      <rPr>
        <sz val="10"/>
        <color rgb="FF000000"/>
        <rFont val="Arial"/>
        <family val="0"/>
        <charset val="1"/>
      </rPr>
      <t xml:space="preserve">Confidence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Likely</t>
    </r>
    <r>
      <rPr>
        <sz val="10"/>
        <color rgb="FF000000"/>
        <rFont val="Noto Sans CJK SC"/>
        <family val="2"/>
      </rPr>
      <t xml:space="preserve">。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定義（</t>
    </r>
    <r>
      <rPr>
        <sz val="10"/>
        <color rgb="FF000000"/>
        <rFont val="Arial"/>
        <family val="0"/>
        <charset val="1"/>
      </rPr>
      <t xml:space="preserve">https://epoch.ai/data/ai-models-documentation/records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欄）：「</t>
    </r>
    <r>
      <rPr>
        <sz val="10"/>
        <color rgb="FF000000"/>
        <rFont val="Arial"/>
        <family val="0"/>
        <charset val="1"/>
      </rPr>
      <t xml:space="preserve">Similar to confident in terms of methodology, but the inputs to the methodology are not as reliable.</t>
    </r>
    <r>
      <rPr>
        <sz val="10"/>
        <color rgb="FF000000"/>
        <rFont val="Noto Sans CJK SC"/>
        <family val="2"/>
      </rPr>
      <t xml:space="preserve">」該欄適用於 </t>
    </r>
    <r>
      <rPr>
        <sz val="10"/>
        <color rgb="FF000000"/>
        <rFont val="Arial"/>
        <family val="0"/>
        <charset val="1"/>
      </rPr>
      <t xml:space="preserve">Training compute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Parameters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Training dataset size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未給各等級的數值倍數區間。</t>
    </r>
    <r>
      <rPr>
        <sz val="10"/>
        <color rgb="FF000000"/>
        <rFont val="Arial"/>
        <family val="0"/>
        <charset val="1"/>
      </rPr>
      <t xml:space="preserve">CSV Training compute notes </t>
    </r>
    <r>
      <rPr>
        <sz val="10"/>
        <color rgb="FF000000"/>
        <rFont val="Noto Sans CJK SC"/>
        <family val="2"/>
      </rPr>
      <t xml:space="preserve">原文：「</t>
    </r>
    <r>
      <rPr>
        <sz val="10"/>
        <color rgb="FF000000"/>
        <rFont val="Arial"/>
        <family val="0"/>
        <charset val="1"/>
      </rPr>
      <t xml:space="preserve">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區間未登錄為低／高：工作單「不得自行推定區間」，待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 ｜</t>
    </r>
    <r>
      <rPr>
        <sz val="10"/>
        <color rgb="FF000000"/>
        <rFont val="Arial"/>
        <family val="0"/>
        <charset val="1"/>
      </rPr>
      <t xml:space="preserve">v5.27 X13 (a)</t>
    </r>
    <r>
      <rPr>
        <sz val="10"/>
        <color rgb="FF000000"/>
        <rFont val="Noto Sans CJK SC"/>
        <family val="2"/>
      </rPr>
      <t xml:space="preserve">：低 </t>
    </r>
    <r>
      <rPr>
        <sz val="10"/>
        <color rgb="FF000000"/>
        <rFont val="Arial"/>
        <family val="0"/>
        <charset val="1"/>
      </rPr>
      <t xml:space="preserve">5e26</t>
    </r>
    <r>
      <rPr>
        <sz val="10"/>
        <color rgb="FF000000"/>
        <rFont val="Noto Sans CJK SC"/>
        <family val="2"/>
      </rPr>
      <t xml:space="preserve">、高 </t>
    </r>
    <r>
      <rPr>
        <sz val="10"/>
        <color rgb="FF000000"/>
        <rFont val="Arial"/>
        <family val="0"/>
        <charset val="1"/>
      </rPr>
      <t xml:space="preserve">2e27 </t>
    </r>
    <r>
      <rPr>
        <sz val="10"/>
        <color rgb="FF000000"/>
        <rFont val="Noto Sans CJK SC"/>
        <family val="2"/>
      </rPr>
      <t xml:space="preserve">依上列 </t>
    </r>
    <r>
      <rPr>
        <sz val="10"/>
        <color rgb="FF000000"/>
        <rFont val="Arial"/>
        <family val="0"/>
        <charset val="1"/>
      </rPr>
      <t xml:space="preserve">notes </t>
    </r>
    <r>
      <rPr>
        <sz val="10"/>
        <color rgb="FF000000"/>
        <rFont val="Noto Sans CJK SC"/>
        <family val="2"/>
      </rPr>
      <t xml:space="preserve">原句「</t>
    </r>
    <r>
      <rPr>
        <sz val="10"/>
        <color rgb="FF000000"/>
        <rFont val="Arial"/>
        <family val="0"/>
        <charset val="1"/>
      </rPr>
      <t xml:space="preserve">See more detailed estimate in this notebook, yielding a CI of ~[5e26, 2e27] FLOP.</t>
    </r>
    <r>
      <rPr>
        <sz val="10"/>
        <color rgb="FF000000"/>
        <rFont val="Noto Sans CJK SC"/>
        <family val="2"/>
      </rPr>
      <t xml:space="preserve">」登錄（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 </t>
    </r>
    <r>
      <rPr>
        <sz val="10"/>
        <color rgb="FF000000"/>
        <rFont val="Arial"/>
        <family val="0"/>
        <charset val="1"/>
      </rPr>
      <t xml:space="preserve">https://epoch.ai/data/frontier_ai_models.csv GPT-6 Astra </t>
    </r>
    <r>
      <rPr>
        <sz val="10"/>
        <color rgb="FF000000"/>
        <rFont val="Noto Sans CJK SC"/>
        <family val="2"/>
      </rPr>
      <t xml:space="preserve">列逐字核對）；前句「</t>
    </r>
    <r>
      <rPr>
        <sz val="10"/>
        <color rgb="FF000000"/>
        <rFont val="Arial"/>
        <family val="0"/>
        <charset val="1"/>
      </rPr>
      <t xml:space="preserve">notebook </t>
    </r>
    <r>
      <rPr>
        <sz val="10"/>
        <color rgb="FF000000"/>
        <rFont val="Noto Sans CJK SC"/>
        <family val="2"/>
      </rPr>
      <t xml:space="preserve">區間未登錄為低／高」已由本項取代</t>
    </r>
  </si>
  <si>
    <t xml:space="preserve">SRC_MOD_057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</si>
  <si>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總參數</t>
    </r>
  </si>
  <si>
    <t xml:space="preserve">模型卡 Model Summary（config.json 未載明參數量）</t>
  </si>
  <si>
    <r>
      <rPr>
        <sz val="10"/>
        <color rgb="FF000000"/>
        <rFont val="Arial"/>
        <family val="0"/>
        <charset val="1"/>
      </rPr>
      <t xml:space="preserve">Kimi K3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，開放權重；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架構可比）</t>
    </r>
  </si>
  <si>
    <r>
      <rPr>
        <sz val="10"/>
        <color rgb="FF000000"/>
        <rFont val="Arial"/>
        <family val="0"/>
        <charset val="1"/>
      </rPr>
      <t xml:space="preserve">Hugging Face moonshotai/Kimi-K3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config.json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https://huggingface.co/moonshotai/Kimi-K3/blob/main/config.json</t>
    </r>
    <r>
      <rPr>
        <sz val="10"/>
        <color rgb="FF000000"/>
        <rFont val="Noto Sans CJK SC"/>
        <family val="2"/>
      </rPr>
      <t xml:space="preserve">）與模型卡 </t>
    </r>
    <r>
      <rPr>
        <sz val="10"/>
        <color rgb="FF000000"/>
        <rFont val="Arial"/>
        <family val="0"/>
        <charset val="1"/>
      </rPr>
      <t xml:space="preserve">Model Summary </t>
    </r>
    <r>
      <rPr>
        <sz val="10"/>
        <color rgb="FF000000"/>
        <rFont val="Noto Sans CJK SC"/>
        <family val="2"/>
      </rPr>
      <t xml:space="preserve">表（</t>
    </r>
    <r>
      <rPr>
        <sz val="10"/>
        <color rgb="FF000000"/>
        <rFont val="Arial"/>
        <family val="0"/>
        <charset val="1"/>
      </rPr>
      <t xml:space="preserve">https://huggingface.co/moonshotai/Kimi-K3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2026-10-08 CC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讀取，關鍵行讀兩次逐字核對</t>
    </r>
  </si>
  <si>
    <r>
      <rPr>
        <sz val="10"/>
        <color rgb="FF000000"/>
        <rFont val="Arial"/>
        <family val="0"/>
        <charset val="1"/>
      </rPr>
      <t xml:space="preserve">Moonshot </t>
    </r>
    <r>
      <rPr>
        <sz val="10"/>
        <color rgb="FF000000"/>
        <rFont val="Noto Sans CJK SC"/>
        <family val="2"/>
      </rPr>
      <t xml:space="preserve">自揭；</t>
    </r>
    <r>
      <rPr>
        <sz val="10"/>
        <color rgb="FF000000"/>
        <rFont val="Arial"/>
        <family val="0"/>
        <charset val="1"/>
      </rPr>
      <t xml:space="preserve">config </t>
    </r>
    <r>
      <rPr>
        <sz val="10"/>
        <color rgb="FF000000"/>
        <rFont val="Noto Sans CJK SC"/>
        <family val="2"/>
      </rPr>
      <t xml:space="preserve">與權重一同發布、可由權重形狀互證，誤報誘因低（同 </t>
    </r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紀錄慣例）</t>
    </r>
  </si>
  <si>
    <t xml:space="preserve">E253</t>
  </si>
  <si>
    <t xml:space="preserve">U-V527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</si>
  <si>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Total Parameters | 2.8T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2.78T</t>
    </r>
  </si>
  <si>
    <t xml:space="preserve">SRC_MOD_058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</si>
  <si>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啟用參數</t>
    </r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</si>
  <si>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基準不改）；模型卡原文「</t>
    </r>
    <r>
      <rPr>
        <sz val="10"/>
        <color rgb="FF000000"/>
        <rFont val="Arial"/>
        <family val="0"/>
        <charset val="1"/>
      </rPr>
      <t xml:space="preserve">Activated Parameters | 104B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無參數量欄位；二手轉述（</t>
    </r>
    <r>
      <rPr>
        <sz val="10"/>
        <color rgb="FF000000"/>
        <rFont val="Arial"/>
        <family val="0"/>
        <charset val="1"/>
      </rPr>
      <t xml:space="preserve">genaiassembling.substack.com</t>
    </r>
    <r>
      <rPr>
        <sz val="10"/>
        <color rgb="FF000000"/>
        <rFont val="Noto Sans CJK SC"/>
        <family val="2"/>
      </rPr>
      <t xml:space="preserve">）稱 </t>
    </r>
    <r>
      <rPr>
        <sz val="10"/>
        <color rgb="FF000000"/>
        <rFont val="Arial"/>
        <family val="0"/>
        <charset val="1"/>
      </rPr>
      <t xml:space="preserve">104.2B</t>
    </r>
  </si>
  <si>
    <t xml:space="preserve">SRC_MOD_059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</si>
  <si>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層數（</t>
    </r>
    <r>
      <rPr>
        <sz val="10"/>
        <color rgb="FF000000"/>
        <rFont val="Arial"/>
        <family val="0"/>
        <charset val="1"/>
      </rPr>
      <t xml:space="preserve">num_hidden_layers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</si>
  <si>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text_config.num_hidden_layers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</si>
  <si>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"num_hidden_layers": 93,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Layers | 93</t>
    </r>
    <r>
      <rPr>
        <sz val="10"/>
        <color rgb="FF000000"/>
        <rFont val="Noto Sans CJK SC"/>
        <family val="2"/>
      </rPr>
      <t xml:space="preserve">」（含 </t>
    </r>
    <r>
      <rPr>
        <sz val="10"/>
        <color rgb="FF000000"/>
        <rFont val="Arial"/>
        <family val="0"/>
        <charset val="1"/>
      </rPr>
      <t xml:space="preserve">Dense 1 </t>
    </r>
    <r>
      <rPr>
        <sz val="10"/>
        <color rgb="FF000000"/>
        <rFont val="Noto Sans CJK SC"/>
        <family val="2"/>
      </rPr>
      <t xml:space="preserve">層；注意力 </t>
    </r>
    <r>
      <rPr>
        <sz val="10"/>
        <color rgb="FF000000"/>
        <rFont val="Arial"/>
        <family val="0"/>
        <charset val="1"/>
      </rPr>
      <t xml:space="preserve">69 KDA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24 Gated MLA</t>
    </r>
    <r>
      <rPr>
        <sz val="10"/>
        <color rgb="FF000000"/>
        <rFont val="Noto Sans CJK SC"/>
        <family val="2"/>
      </rPr>
      <t xml:space="preserve">）</t>
    </r>
  </si>
  <si>
    <t xml:space="preserve">SRC_MOD_060</t>
  </si>
  <si>
    <r>
      <rPr>
        <sz val="10"/>
        <color rgb="FF000000"/>
        <rFont val="Arial"/>
        <family val="0"/>
        <charset val="1"/>
      </rPr>
      <t xml:space="preserve">Kimi K3 d_model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hidden_size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</si>
  <si>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text_config.hidden_size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</si>
  <si>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"hidden_size": 7168,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Attention Hidden Dimension | 7168</t>
    </r>
    <r>
      <rPr>
        <sz val="10"/>
        <color rgb="FF000000"/>
        <rFont val="Noto Sans CJK SC"/>
        <family val="2"/>
      </rPr>
      <t xml:space="preserve">」</t>
    </r>
  </si>
  <si>
    <t xml:space="preserve">SRC_MOD_061</t>
  </si>
  <si>
    <r>
      <rPr>
        <sz val="10"/>
        <color rgb="FF000000"/>
        <rFont val="Arial"/>
        <family val="0"/>
        <charset val="1"/>
      </rPr>
      <t xml:space="preserve">Kimi K3 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</si>
  <si>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</si>
  <si>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"num_experts": 896,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Number of Experts | 896</t>
    </r>
    <r>
      <rPr>
        <sz val="10"/>
        <color rgb="FF000000"/>
        <rFont val="Noto Sans CJK SC"/>
        <family val="2"/>
      </rPr>
      <t xml:space="preserve">」；另有 </t>
    </r>
    <r>
      <rPr>
        <sz val="10"/>
        <color rgb="FF000000"/>
        <rFont val="Arial"/>
        <family val="0"/>
        <charset val="1"/>
      </rPr>
      <t xml:space="preserve">shared experts 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"num_shared_experts": 2</t>
    </r>
    <r>
      <rPr>
        <sz val="10"/>
        <color rgb="FF000000"/>
        <rFont val="Noto Sans CJK SC"/>
        <family val="2"/>
      </rPr>
      <t xml:space="preserve">）</t>
    </r>
  </si>
  <si>
    <t xml:space="preserve">SRC_MOD_062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</si>
  <si>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啟用 </t>
    </r>
    <r>
      <rPr>
        <sz val="10"/>
        <color rgb="FF000000"/>
        <rFont val="Arial"/>
        <family val="0"/>
        <charset val="1"/>
      </rPr>
      <t xml:space="preserve">routed experts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num_experts_per_token</t>
    </r>
    <r>
      <rPr>
        <sz val="10"/>
        <color rgb="FF000000"/>
        <rFont val="Noto Sans CJK SC"/>
        <family val="2"/>
      </rPr>
      <t xml:space="preserve">）</t>
    </r>
  </si>
  <si>
    <t xml:space="preserve">config.json text_config.num_experts_per_token</t>
  </si>
  <si>
    <r>
      <rPr>
        <sz val="10"/>
        <color rgb="FF000000"/>
        <rFont val="Arial"/>
        <family val="0"/>
        <charset val="1"/>
      </rPr>
      <t xml:space="preserve">v5.27 X13 (e) </t>
    </r>
    <r>
      <rPr>
        <sz val="10"/>
        <color rgb="FF000000"/>
        <rFont val="Noto Sans CJK SC"/>
        <family val="2"/>
      </rPr>
      <t xml:space="preserve">新增（純證據，不連結任何模型格；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基準不改）；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原文「</t>
    </r>
    <r>
      <rPr>
        <sz val="10"/>
        <color rgb="FF000000"/>
        <rFont val="Arial"/>
        <family val="0"/>
        <charset val="1"/>
      </rPr>
      <t xml:space="preserve">"num_experts_per_token": 16,</t>
    </r>
    <r>
      <rPr>
        <sz val="10"/>
        <color rgb="FF000000"/>
        <rFont val="Noto Sans CJK SC"/>
        <family val="2"/>
      </rPr>
      <t xml:space="preserve">」；模型卡「</t>
    </r>
    <r>
      <rPr>
        <sz val="10"/>
        <color rgb="FF000000"/>
        <rFont val="Arial"/>
        <family val="0"/>
        <charset val="1"/>
      </rPr>
      <t xml:space="preserve">Selected Experts per Token | 16</t>
    </r>
    <r>
      <rPr>
        <sz val="10"/>
        <color rgb="FF000000"/>
        <rFont val="Noto Sans CJK SC"/>
        <family val="2"/>
      </rPr>
      <t xml:space="preserve">」</t>
    </r>
  </si>
  <si>
    <r>
      <rPr>
        <b val="true"/>
        <sz val="13"/>
        <rFont val="Arial"/>
        <family val="0"/>
        <charset val="1"/>
      </rPr>
      <t xml:space="preserve">SRC_Perf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：推論與訓練量測（</t>
    </r>
    <r>
      <rPr>
        <b val="true"/>
        <sz val="13"/>
        <rFont val="Arial"/>
        <family val="0"/>
        <charset val="1"/>
      </rPr>
      <t xml:space="preserve">InferenceX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MLPerf</t>
    </r>
    <r>
      <rPr>
        <b val="true"/>
        <sz val="13"/>
        <rFont val="Noto Sans CJK SC"/>
        <family val="2"/>
      </rPr>
      <t xml:space="preserve">、自揭）及量測條件</t>
    </r>
  </si>
  <si>
    <t xml:space="preserve">平台</t>
  </si>
  <si>
    <t xml:space="preserve">每用戶速度 tok/s</t>
  </si>
  <si>
    <r>
      <rPr>
        <b val="true"/>
        <sz val="10"/>
        <rFont val="Arial"/>
        <family val="0"/>
        <charset val="1"/>
      </rPr>
      <t xml:space="preserve">MTP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＝有）</t>
    </r>
  </si>
  <si>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口徑</t>
    </r>
  </si>
  <si>
    <r>
      <rPr>
        <sz val="10"/>
        <color rgb="FF000000"/>
        <rFont val="Arial"/>
        <family val="0"/>
        <charset val="1"/>
      </rPr>
      <t xml:space="preserve">InferenceX GB300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</si>
  <si>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</si>
  <si>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</si>
  <si>
    <t xml:space="preserve">2026-05-22</t>
  </si>
  <si>
    <t xml:space="preserve">inferencex.semianalysis.com/blog/gb300-nvl72-vs-gb200-nvl72-dsv4-pro-vllm-fp4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</si>
  <si>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</t>
    </r>
  </si>
  <si>
    <t xml:space="preserve">E135</t>
  </si>
  <si>
    <r>
      <rPr>
        <sz val="10"/>
        <color rgb="FF000000"/>
        <rFont val="Arial"/>
        <family val="0"/>
        <charset val="1"/>
      </rPr>
      <t xml:space="preserve">Calib!F17</t>
    </r>
    <r>
      <rPr>
        <sz val="10"/>
        <color rgb="FF000000"/>
        <rFont val="Noto Sans CJK SC"/>
        <family val="2"/>
      </rPr>
      <t xml:space="preserve">｜直接</t>
    </r>
  </si>
  <si>
    <t xml:space="preserve">舊軟體</t>
  </si>
  <si>
    <r>
      <rPr>
        <sz val="10"/>
        <color rgb="FF000000"/>
        <rFont val="Arial"/>
        <family val="0"/>
        <charset val="1"/>
      </rPr>
      <t xml:space="preserve">InferenceX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</si>
  <si>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2026-05-22</t>
    </r>
  </si>
  <si>
    <t xml:space="preserve">總 token（輸入＋輸出）</t>
  </si>
  <si>
    <r>
      <rPr>
        <sz val="10"/>
        <color rgb="FF000000"/>
        <rFont val="Arial"/>
        <family val="0"/>
        <charset val="1"/>
      </rPr>
      <t xml:space="preserve">InferenceX GB200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@27 tok/s/user</t>
    </r>
  </si>
  <si>
    <r>
      <rPr>
        <sz val="10"/>
        <color rgb="FF000000"/>
        <rFont val="Arial"/>
        <family val="0"/>
        <charset val="1"/>
      </rPr>
      <t xml:space="preserve">Calib!G17</t>
    </r>
    <r>
      <rPr>
        <sz val="10"/>
        <color rgb="FF000000"/>
        <rFont val="Noto Sans CJK SC"/>
        <family val="2"/>
      </rPr>
      <t xml:space="preserve">｜直接</t>
    </r>
  </si>
  <si>
    <t xml:space="preserve">舊軟體；記憶體限制配方</t>
  </si>
  <si>
    <t xml:space="preserve">SRC_PERF_003</t>
  </si>
  <si>
    <r>
      <rPr>
        <sz val="10"/>
        <color rgb="FF000000"/>
        <rFont val="Arial"/>
        <family val="0"/>
        <charset val="1"/>
      </rPr>
      <t xml:space="preserve">InferenceX GB300 V4-Pro </t>
    </r>
    <r>
      <rPr>
        <sz val="10"/>
        <color rgb="FF000000"/>
        <rFont val="Noto Sans CJK SC"/>
        <family val="2"/>
      </rPr>
      <t xml:space="preserve">峰值吞吐（</t>
    </r>
    <r>
      <rPr>
        <sz val="10"/>
        <color rgb="FF000000"/>
        <rFont val="Arial"/>
        <family val="0"/>
        <charset val="1"/>
      </rPr>
      <t xml:space="preserve">@13.1 tok/s/user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</si>
  <si>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V4 on GB300 @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50 tok/s/user</t>
    </r>
  </si>
  <si>
    <t xml:space="preserve">2026-06-23</t>
  </si>
  <si>
    <t xml:space="preserve">pytorch.org/blog/serving-deepseek-v4-on-gb300-with-sglang-…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</si>
  <si>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</t>
    </r>
  </si>
  <si>
    <t xml:space="preserve">E136</t>
  </si>
  <si>
    <r>
      <rPr>
        <sz val="10"/>
        <color rgb="FF000000"/>
        <rFont val="Arial"/>
        <family val="0"/>
        <charset val="1"/>
      </rPr>
      <t xml:space="preserve">Calib!E17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</si>
  <si>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2026-06</t>
    </r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</si>
  <si>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草稿接受率（修正後）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</si>
  <si>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修正後</t>
    </r>
  </si>
  <si>
    <r>
      <rPr>
        <sz val="10"/>
        <color rgb="FF000000"/>
        <rFont val="Arial"/>
        <family val="0"/>
        <charset val="1"/>
      </rPr>
      <t xml:space="preserve">Serving!C7</t>
    </r>
    <r>
      <rPr>
        <sz val="10"/>
        <color rgb="FF000000"/>
        <rFont val="Noto Sans CJK SC"/>
        <family val="2"/>
      </rPr>
      <t xml:space="preserve">｜直接</t>
    </r>
  </si>
  <si>
    <t xml:space="preserve">修正前 0.57</t>
  </si>
  <si>
    <t xml:space="preserve">SRC_PERF_006</t>
  </si>
  <si>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草稿接受率（修正前）</t>
    </r>
  </si>
  <si>
    <r>
      <rPr>
        <sz val="10"/>
        <color rgb="FF000000"/>
        <rFont val="Arial"/>
        <family val="0"/>
        <charset val="1"/>
      </rPr>
      <t xml:space="preserve">SGLang </t>
    </r>
    <r>
      <rPr>
        <sz val="10"/>
        <color rgb="FF000000"/>
        <rFont val="Noto Sans CJK SC"/>
        <family val="2"/>
      </rPr>
      <t xml:space="preserve">修正前</t>
    </r>
  </si>
  <si>
    <t xml:space="preserve">由同來源修正後值取代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</si>
  <si>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實例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</t>
    </r>
  </si>
  <si>
    <t xml:space="preserve">10p1d dep4</t>
  </si>
  <si>
    <r>
      <rPr>
        <sz val="10"/>
        <color rgb="FF000000"/>
        <rFont val="Arial"/>
        <family val="0"/>
        <charset val="1"/>
      </rPr>
      <t xml:space="preserve">Spec_Rack!E32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</si>
  <si>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沿用 → </t>
    </r>
    <r>
      <rPr>
        <sz val="10"/>
        <color rgb="FF000000"/>
        <rFont val="Arial"/>
        <family val="0"/>
        <charset val="1"/>
      </rPr>
      <t xml:space="preserve">Analogy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</si>
  <si>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公開配方 </t>
    </r>
    <r>
      <rPr>
        <sz val="10"/>
        <color rgb="FF000000"/>
        <rFont val="Arial"/>
        <family val="0"/>
        <charset val="1"/>
      </rPr>
      <t xml:space="preserve">decode EP </t>
    </r>
    <r>
      <rPr>
        <sz val="10"/>
        <color rgb="FF000000"/>
        <rFont val="Noto Sans CJK SC"/>
        <family val="2"/>
      </rPr>
      <t xml:space="preserve">寬度</t>
    </r>
  </si>
  <si>
    <t xml:space="preserve">dep32</t>
  </si>
  <si>
    <r>
      <rPr>
        <sz val="10"/>
        <color rgb="FF000000"/>
        <rFont val="Arial"/>
        <family val="0"/>
        <charset val="1"/>
      </rPr>
      <t xml:space="preserve">Spec_Rack!E29</t>
    </r>
    <r>
      <rPr>
        <sz val="10"/>
        <color rgb="FF000000"/>
        <rFont val="Noto Sans CJK SC"/>
        <family val="2"/>
      </rPr>
      <t xml:space="preserve">｜直接</t>
    </r>
  </si>
  <si>
    <t xml:space="preserve">InferenceX GB300 V4-Pro @72 tok/s/user</t>
  </si>
  <si>
    <r>
      <rPr>
        <sz val="10"/>
        <color rgb="FF000000"/>
        <rFont val="Arial"/>
        <family val="0"/>
        <charset val="1"/>
      </rPr>
      <t xml:space="preserve">ISL 8192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OSL 1024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MTP</t>
    </r>
  </si>
  <si>
    <t xml:space="preserve">約 2026-07</t>
  </si>
  <si>
    <t xml:space="preserve">inferencex.semianalysis.com/compare-per-dollar/deepseek-v4-b300-vs-gb300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</si>
  <si>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；須第二來源（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</si>
  <si>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E202</t>
    </r>
  </si>
  <si>
    <r>
      <rPr>
        <sz val="10"/>
        <color rgb="FF000000"/>
        <rFont val="Arial"/>
        <family val="0"/>
        <charset val="1"/>
      </rPr>
      <t xml:space="preserve">Calib!C17</t>
    </r>
    <r>
      <rPr>
        <sz val="10"/>
        <color rgb="FF000000"/>
        <rFont val="Noto Sans CJK SC"/>
        <family val="2"/>
      </rPr>
      <t xml:space="preserve">｜直接</t>
    </r>
  </si>
  <si>
    <t xml:space="preserve">擬合點 1；Sources 文字取整為 9,384 ｜v5.18：等級 3→2（E202） ｜D1：值改為 InferenceX 快照 0813 原始資料內插至互動性 72：9097.16＋(74.263−72)/(74.263−68.267)×(9746.09−9097.16)＝9,342.1 [Derived]（−0.45%）；頁面無逐字 9,384.4｜W1：待第二來源（H1；SemiAnalysis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</si>
  <si>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最佳前緣（約 </t>
    </r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</si>
  <si>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 @130 tok/s/user</t>
  </si>
  <si>
    <r>
      <rPr>
        <sz val="10"/>
        <color rgb="FF000000"/>
        <rFont val="Arial"/>
        <family val="0"/>
        <charset val="1"/>
      </rPr>
      <t xml:space="preserve">E137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E203</t>
    </r>
  </si>
  <si>
    <r>
      <rPr>
        <sz val="10"/>
        <color rgb="FF000000"/>
        <rFont val="Arial"/>
        <family val="0"/>
        <charset val="1"/>
      </rPr>
      <t xml:space="preserve">Calib!D17</t>
    </r>
    <r>
      <rPr>
        <sz val="10"/>
        <color rgb="FF000000"/>
        <rFont val="Noto Sans CJK SC"/>
        <family val="2"/>
      </rPr>
      <t xml:space="preserve">｜直接</t>
    </r>
  </si>
  <si>
    <t xml:space="preserve">擬合點 2 ｜v5.18：等級 3→2（E203） ｜D1：值改為同法內插至互動性 130：3055.6＋(136.29−130)/(136.29−118.29)×(4056.1−3055.6)＝3,405.2 [Derived]（−2.0%）；頁面無逐字 3,473.9｜W1：待第二來源（H1；SemiAnalysis 不得為唯一依據，MLPerf v6.0 口徑不同，見搜尋紀錄）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</si>
  <si>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@72 tok/s</t>
    </r>
  </si>
  <si>
    <r>
      <rPr>
        <sz val="10"/>
        <color rgb="FF000000"/>
        <rFont val="Arial"/>
        <family val="0"/>
        <charset val="1"/>
      </rPr>
      <t xml:space="preserve">$/M</t>
    </r>
    <r>
      <rPr>
        <sz val="10"/>
        <color rgb="FF000000"/>
        <rFont val="Noto Sans CJK SC"/>
        <family val="2"/>
      </rPr>
      <t xml:space="preserve">（總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</si>
  <si>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SemiAnalysis TCO </t>
    </r>
    <r>
      <rPr>
        <sz val="10"/>
        <color rgb="FF000000"/>
        <rFont val="Noto Sans CJK SC"/>
        <family val="2"/>
      </rPr>
      <t xml:space="preserve">口徑</t>
    </r>
  </si>
  <si>
    <t xml:space="preserve">一手（只見摘錄）</t>
  </si>
  <si>
    <t xml:space="preserve">E137</t>
  </si>
  <si>
    <r>
      <rPr>
        <sz val="10"/>
        <color rgb="FF000000"/>
        <rFont val="Arial"/>
        <family val="0"/>
        <charset val="1"/>
      </rPr>
      <t xml:space="preserve">Checks!C19</t>
    </r>
    <r>
      <rPr>
        <sz val="10"/>
        <color rgb="FF000000"/>
        <rFont val="Noto Sans CJK SC"/>
        <family val="2"/>
      </rPr>
      <t xml:space="preserve">｜對照</t>
    </r>
  </si>
  <si>
    <t xml:space="preserve">SRC_PERF_012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</si>
  <si>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@130 tok/s</t>
    </r>
  </si>
  <si>
    <t xml:space="preserve">SRC_PERF_013</t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</si>
  <si>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M token </t>
    </r>
    <r>
      <rPr>
        <sz val="10"/>
        <color rgb="FF000000"/>
        <rFont val="Noto Sans CJK SC"/>
        <family val="2"/>
      </rPr>
      <t xml:space="preserve">成本 </t>
    </r>
    <r>
      <rPr>
        <sz val="10"/>
        <color rgb="FF000000"/>
        <rFont val="Arial"/>
        <family val="0"/>
        <charset val="1"/>
      </rPr>
      <t xml:space="preserve">@187 tok/s</t>
    </r>
  </si>
  <si>
    <t xml:space="preserve">InferenceX GB200 V4-Pro-0813 @110 tok/s/user</t>
  </si>
  <si>
    <t xml:space="preserve">頁面預設可能為 agentic traces</t>
  </si>
  <si>
    <r>
      <rPr>
        <sz val="10"/>
        <color rgb="FF000000"/>
        <rFont val="Arial"/>
        <family val="0"/>
        <charset val="1"/>
      </rPr>
      <t xml:space="preserve">2026-08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</si>
  <si>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t xml:space="preserve">inferencex.semianalysis.com/compare/deepseek-v4-gb200-vs-gb300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</si>
  <si>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；工作負載口徑待查</t>
    </r>
  </si>
  <si>
    <t xml:space="preserve">E138</t>
  </si>
  <si>
    <r>
      <rPr>
        <sz val="10"/>
        <color rgb="FF000000"/>
        <rFont val="Arial"/>
        <family val="0"/>
        <charset val="1"/>
      </rPr>
      <t xml:space="preserve">Calib!H17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</si>
  <si>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比較頁（</t>
    </r>
    <r>
      <rPr>
        <sz val="10"/>
        <color rgb="FF000000"/>
        <rFont val="Arial"/>
        <family val="0"/>
        <charset val="1"/>
      </rPr>
      <t xml:space="preserve">0813</t>
    </r>
    <r>
      <rPr>
        <sz val="10"/>
        <color rgb="FF000000"/>
        <rFont val="Noto Sans CJK SC"/>
        <family val="2"/>
      </rPr>
      <t xml:space="preserve">）</t>
    </r>
  </si>
  <si>
    <t xml:space="preserve">InferenceX GB300 V4-Pro-0813 @110 tok/s/user</t>
  </si>
  <si>
    <r>
      <rPr>
        <sz val="10"/>
        <color rgb="FF000000"/>
        <rFont val="Arial"/>
        <family val="0"/>
        <charset val="1"/>
      </rPr>
      <t xml:space="preserve">Calib!I17</t>
    </r>
    <r>
      <rPr>
        <sz val="10"/>
        <color rgb="FF000000"/>
        <rFont val="Noto Sans CJK SC"/>
        <family val="2"/>
      </rPr>
      <t xml:space="preserve">｜直接</t>
    </r>
  </si>
  <si>
    <t xml:space="preserve">SRC_PERF_016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</si>
  <si>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@75 tok/s/user</t>
    </r>
  </si>
  <si>
    <t xml:space="preserve">H200</t>
  </si>
  <si>
    <t xml:space="preserve">inferencex.semianalysis.com/run/deepseek-v4-on-h200</t>
  </si>
  <si>
    <r>
      <rPr>
        <sz val="10"/>
        <color rgb="FF000000"/>
        <rFont val="Arial"/>
        <family val="0"/>
        <charset val="1"/>
      </rPr>
      <t xml:space="preserve">SemiAnalysis InferenceX</t>
    </r>
    <r>
      <rPr>
        <sz val="10"/>
        <color rgb="FF000000"/>
        <rFont val="Noto Sans CJK SC"/>
        <family val="2"/>
      </rPr>
      <t xml:space="preserve">；口徑待查；模型未使用</t>
    </r>
  </si>
  <si>
    <t xml:space="preserve">E139</t>
  </si>
  <si>
    <t xml:space="preserve">S24</t>
  </si>
  <si>
    <t xml:space="preserve">模型未使用</t>
  </si>
  <si>
    <t xml:space="preserve">SRC_PERF_017</t>
  </si>
  <si>
    <r>
      <rPr>
        <sz val="10"/>
        <color rgb="FF000000"/>
        <rFont val="Arial"/>
        <family val="0"/>
        <charset val="1"/>
      </rPr>
      <t xml:space="preserve">InferenceX H200 V4-Pro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@100 tok/s/user</t>
    </r>
  </si>
  <si>
    <t xml:space="preserve">SRC_PERF_018</t>
  </si>
  <si>
    <t xml:space="preserve">輸出速度：GPT-5.6 Luna</t>
  </si>
  <si>
    <t xml:space="preserve">tok/s/user</t>
  </si>
  <si>
    <t xml:space="preserve">供應商服務觀測</t>
  </si>
  <si>
    <t xml:space="preserve">GPT-5.6 Luna</t>
  </si>
  <si>
    <t xml:space="preserve">artificialanalysis.ai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</si>
  <si>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：獨立評測（反映供應商自身服務設定）</t>
    </r>
  </si>
  <si>
    <t xml:space="preserve">E140</t>
  </si>
  <si>
    <t xml:space="preserve">S26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</si>
  <si>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</si>
  <si>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</si>
  <si>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SRC_PERF_019</t>
  </si>
  <si>
    <t xml:space="preserve">輸出速度：GPT-5.6 Sol</t>
  </si>
  <si>
    <t xml:space="preserve">GPT-5.6 Sol</t>
  </si>
  <si>
    <r>
      <rPr>
        <sz val="10"/>
        <color rgb="FF000000"/>
        <rFont val="Arial"/>
        <family val="0"/>
        <charset val="1"/>
      </rPr>
      <t xml:space="preserve">Serving!D21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</si>
  <si>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65</t>
    </r>
    <r>
      <rPr>
        <sz val="10"/>
        <color rgb="FF000000"/>
        <rFont val="Noto Sans CJK SC"/>
        <family val="2"/>
      </rPr>
      <t xml:space="preserve">（≠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）→ 需 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判定 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</si>
  <si>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SRC_PERF_020</t>
  </si>
  <si>
    <t xml:space="preserve">輸出速度：GPT-6 Astra</t>
  </si>
  <si>
    <r>
      <rPr>
        <sz val="10"/>
        <color rgb="FF000000"/>
        <rFont val="Arial"/>
        <family val="0"/>
        <charset val="1"/>
      </rPr>
      <t xml:space="preserve">Serving!E21</t>
    </r>
    <r>
      <rPr>
        <sz val="10"/>
        <color rgb="FF000000"/>
        <rFont val="Noto Sans CJK SC"/>
        <family val="2"/>
      </rPr>
      <t xml:space="preserve">｜選取</t>
    </r>
  </si>
  <si>
    <r>
      <rPr>
        <sz val="10"/>
        <color rgb="FF000000"/>
        <rFont val="Arial"/>
        <family val="0"/>
        <charset val="1"/>
      </rPr>
      <t xml:space="preserve">J3 </t>
    </r>
    <r>
      <rPr>
        <sz val="10"/>
        <color rgb="FF000000"/>
        <rFont val="Noto Sans CJK SC"/>
        <family val="2"/>
      </rPr>
      <t xml:space="preserve">取 </t>
    </r>
    <r>
      <rPr>
        <sz val="10"/>
        <color rgb="FF000000"/>
        <rFont val="Arial"/>
        <family val="0"/>
        <charset val="1"/>
      </rPr>
      <t xml:space="preserve">55 </t>
    </r>
    <r>
      <rPr>
        <sz val="10"/>
        <color rgb="FF000000"/>
        <rFont val="Noto Sans CJK SC"/>
        <family val="2"/>
      </rPr>
      <t xml:space="preserve">｜</t>
    </r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Serving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21 </t>
    </r>
    <r>
      <rPr>
        <sz val="10"/>
        <color rgb="FF000000"/>
        <rFont val="Noto Sans CJK SC"/>
        <family val="2"/>
      </rPr>
      <t xml:space="preserve">列已改讀 </t>
    </r>
    <r>
      <rPr>
        <sz val="10"/>
        <color rgb="FF000000"/>
        <rFont val="Arial"/>
        <family val="0"/>
        <charset val="1"/>
      </rPr>
      <t xml:space="preserve">SRC_PERF_066–071 </t>
    </r>
    <r>
      <rPr>
        <sz val="10"/>
        <color rgb="FF000000"/>
        <rFont val="Noto Sans CJK SC"/>
        <family val="2"/>
      </rPr>
      <t xml:space="preserve">的幾何平均；本紀錄保留作前一代（</t>
    </r>
    <r>
      <rPr>
        <sz val="10"/>
        <color rgb="FF000000"/>
        <rFont val="Arial"/>
        <family val="0"/>
        <charset val="1"/>
      </rPr>
      <t xml:space="preserve">GPT-5.6</t>
    </r>
    <r>
      <rPr>
        <sz val="10"/>
        <color rgb="FF000000"/>
        <rFont val="Noto Sans CJK SC"/>
        <family val="2"/>
      </rPr>
      <t xml:space="preserve">）對照與情境 </t>
    </r>
    <r>
      <rPr>
        <sz val="10"/>
        <color rgb="FF000000"/>
        <rFont val="Arial"/>
        <family val="0"/>
        <charset val="1"/>
      </rPr>
      <t xml:space="preserve">slo_v10 </t>
    </r>
    <r>
      <rPr>
        <sz val="10"/>
        <color rgb="FF000000"/>
        <rFont val="Noto Sans CJK SC"/>
        <family val="2"/>
      </rPr>
      <t xml:space="preserve">的來源</t>
    </r>
  </si>
  <si>
    <t xml:space="preserve">SRC_PERF_021</t>
  </si>
  <si>
    <t xml:space="preserve">輸出速度：Claude Opus 5</t>
  </si>
  <si>
    <t xml:space="preserve">SRC_PERF_022</t>
  </si>
  <si>
    <t xml:space="preserve">輸出速度：Gemini 3.8 Flash</t>
  </si>
  <si>
    <t xml:space="preserve">Gemini 3.8 Flash</t>
  </si>
  <si>
    <t xml:space="preserve">SRC_PERF_023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</si>
  <si>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線上每用戶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速度（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</si>
  <si>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線上服務</t>
  </si>
  <si>
    <r>
      <rPr>
        <sz val="10"/>
        <color rgb="FF000000"/>
        <rFont val="Arial"/>
        <family val="0"/>
        <charset val="1"/>
      </rPr>
      <t xml:space="preserve">DeepSeek V3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</si>
  <si>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t xml:space="preserve">2025-02</t>
  </si>
  <si>
    <r>
      <rPr>
        <sz val="10"/>
        <color rgb="FF000000"/>
        <rFont val="Arial"/>
        <family val="0"/>
        <charset val="1"/>
      </rPr>
      <t xml:space="preserve">DeepSeek Open Source Week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天（模型內建知識）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</si>
  <si>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；模型內建知識；</t>
    </r>
    <r>
      <rPr>
        <sz val="10"/>
        <color rgb="FF000000"/>
        <rFont val="Arial"/>
        <family val="0"/>
        <charset val="1"/>
      </rPr>
      <t xml:space="preserve">Sources </t>
    </r>
    <r>
      <rPr>
        <sz val="10"/>
        <color rgb="FF000000"/>
        <rFont val="Noto Sans CJK SC"/>
        <family val="2"/>
      </rPr>
      <t xml:space="preserve">未載數值</t>
    </r>
  </si>
  <si>
    <t xml:space="preserve">E141</t>
  </si>
  <si>
    <t xml:space="preserve">S30</t>
  </si>
  <si>
    <t xml:space="preserve">約值；prefill／decode 節點吞吐數值未載於 Sources，待取得原文</t>
  </si>
  <si>
    <t xml:space="preserve">SRC_PERF_024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</si>
  <si>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</si>
  <si>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</si>
  <si>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interactive</t>
  </si>
  <si>
    <t xml:space="preserve">2026-04-01</t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</si>
  <si>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資料中心推論效能頁；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技術部落格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</si>
  <si>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</t>
    </r>
  </si>
  <si>
    <t xml:space="preserve">二手（NVIDIA 頁面）</t>
  </si>
  <si>
    <t xml:space="preserve">E142</t>
  </si>
  <si>
    <t xml:space="preserve">S31</t>
  </si>
  <si>
    <t xml:space="preserve">模型改用 v6.1 的 GB300 值（S32）</t>
  </si>
  <si>
    <r>
      <rPr>
        <sz val="10"/>
        <color rgb="FF000000"/>
        <rFont val="Arial"/>
        <family val="0"/>
        <charset val="1"/>
      </rPr>
      <t xml:space="preserve">MLPerf v6.0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</si>
  <si>
    <r>
      <rPr>
        <sz val="10"/>
        <color rgb="FF000000"/>
        <rFont val="Arial"/>
        <family val="0"/>
        <charset val="1"/>
      </rPr>
      <t xml:space="preserve">Calib!D120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</si>
  <si>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=240318/72 內嵌常數</t>
  </si>
  <si>
    <t xml:space="preserve">SRC_PERF_026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</si>
  <si>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</si>
  <si>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</si>
  <si>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t xml:space="preserve">server</t>
  </si>
  <si>
    <r>
      <rPr>
        <sz val="10"/>
        <color rgb="FF000000"/>
        <rFont val="Arial"/>
        <family val="0"/>
        <charset val="1"/>
      </rPr>
      <t xml:space="preserve">Calib!F120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</si>
  <si>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</si>
  <si>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；預覽類</t>
    </r>
  </si>
  <si>
    <t xml:space="preserve">2026-09-16</t>
  </si>
  <si>
    <r>
      <rPr>
        <sz val="10"/>
        <color rgb="FF000000"/>
        <rFont val="Arial"/>
        <family val="0"/>
        <charset val="1"/>
      </rPr>
      <t xml:space="preserve">MLCommons inference_results_v6.1 </t>
    </r>
    <r>
      <rPr>
        <sz val="10"/>
        <color rgb="FF000000"/>
        <rFont val="Noto Sans CJK SC"/>
        <family val="2"/>
      </rPr>
      <t xml:space="preserve">根目錄 </t>
    </r>
    <r>
      <rPr>
        <sz val="10"/>
        <color rgb="FF000000"/>
        <rFont val="Arial"/>
        <family val="0"/>
        <charset val="1"/>
      </rPr>
      <t xml:space="preserve">summary.csv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repo HEAD 4bb63cd28eb136be221bc801a9e38c66c8a7553f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2026-09-29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2026-10-06 CC </t>
    </r>
    <r>
      <rPr>
        <sz val="10"/>
        <color rgb="FF000000"/>
        <rFont val="Noto Sans CJK SC"/>
        <family val="2"/>
      </rPr>
      <t xml:space="preserve">讀原文並逐列核對）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</si>
  <si>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為預覽類（</t>
    </r>
    <r>
      <rPr>
        <sz val="10"/>
        <color rgb="FF000000"/>
        <rFont val="Arial"/>
        <family val="0"/>
        <charset val="1"/>
      </rPr>
      <t xml:space="preserve">summary.csv Availability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</si>
  <si>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E245</t>
    </r>
  </si>
  <si>
    <r>
      <rPr>
        <sz val="10"/>
        <color rgb="FF000000"/>
        <rFont val="Arial"/>
        <family val="0"/>
        <charset val="1"/>
      </rPr>
      <t xml:space="preserve">Calib!E120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</si>
  <si>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=652750/72 內嵌常數 ｜v5.21 X6：等級 2→1、二手→一手（已讀）（E245）；summary.csv Result＝652750.1447708113，SRC 值 652750 為取整；inferred=1（summary.csv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</si>
  <si>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MLPerf v6.1 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</si>
  <si>
    <r>
      <rPr>
        <sz val="10"/>
        <color rgb="FF000000"/>
        <rFont val="Arial"/>
        <family val="0"/>
        <charset val="1"/>
      </rPr>
      <t xml:space="preserve">Calib!C120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</si>
  <si>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=253506/72 內嵌常數；與 S31 的 250,634 同指標不同輪次 ｜v5.21 X6：等級 2→1、二手→一手（已讀）（E245）；summary.csv Result＝253506；inferred=1（summary.csv 欄 inferred；含義未查得（repo 內 MLPerf Inference v6.1 Supplemental Discussion .pdf 未定義））</t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</si>
  <si>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</t>
    </r>
  </si>
  <si>
    <t xml:space="preserve">資料集平均</t>
  </si>
  <si>
    <t xml:space="preserve">MLPerf DeepSeek-R1</t>
  </si>
  <si>
    <t xml:space="preserve">2025-09</t>
  </si>
  <si>
    <r>
      <rPr>
        <sz val="10"/>
        <color rgb="FF000000"/>
        <rFont val="Arial"/>
        <family val="0"/>
        <charset val="1"/>
      </rPr>
      <t xml:space="preserve">mlcommons.org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inference_rules</t>
    </r>
  </si>
  <si>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：基準規則</t>
    </r>
  </si>
  <si>
    <t xml:space="preserve">E144</t>
  </si>
  <si>
    <t xml:space="preserve">S33</t>
  </si>
  <si>
    <r>
      <rPr>
        <sz val="10"/>
        <color rgb="FF000000"/>
        <rFont val="Arial"/>
        <family val="0"/>
        <charset val="1"/>
      </rPr>
      <t xml:space="preserve">Calib!C110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</si>
  <si>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OSL</t>
    </r>
  </si>
  <si>
    <r>
      <rPr>
        <sz val="10"/>
        <color rgb="FF000000"/>
        <rFont val="Arial"/>
        <family val="0"/>
        <charset val="1"/>
      </rPr>
      <t xml:space="preserve">Calib!C111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</si>
  <si>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MLCommons interactive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</si>
  <si>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Calib!C118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</si>
  <si>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=1000/15 內嵌常數</t>
  </si>
  <si>
    <r>
      <rPr>
        <sz val="10"/>
        <color rgb="FF000000"/>
        <rFont val="Arial"/>
        <family val="0"/>
        <charset val="1"/>
      </rPr>
      <t xml:space="preserve">MLCommons server TPOT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</si>
  <si>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Calib!F118</t>
    </r>
    <r>
      <rPr>
        <sz val="10"/>
        <color rgb="FF000000"/>
        <rFont val="Noto Sans CJK SC"/>
        <family val="2"/>
      </rPr>
      <t xml:space="preserve">｜換算</t>
    </r>
  </si>
  <si>
    <t xml:space="preserve">模型以公式 =1000/80 內嵌常數</t>
  </si>
  <si>
    <t xml:space="preserve">SRC_PERF_033</t>
  </si>
  <si>
    <r>
      <rPr>
        <sz val="10"/>
        <color rgb="FF000000"/>
        <rFont val="Arial"/>
        <family val="0"/>
        <charset val="1"/>
      </rPr>
      <t xml:space="preserve">MLCommons interactive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</si>
  <si>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t xml:space="preserve">SRC_PERF_034</t>
  </si>
  <si>
    <r>
      <rPr>
        <sz val="10"/>
        <color rgb="FF000000"/>
        <rFont val="Arial"/>
        <family val="0"/>
        <charset val="1"/>
      </rPr>
      <t xml:space="preserve">MLCommons server TTFT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</si>
  <si>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interactive </t>
    </r>
    <r>
      <rPr>
        <sz val="10"/>
        <color rgb="FF000000"/>
        <rFont val="Noto Sans CJK SC"/>
        <family val="2"/>
      </rPr>
      <t xml:space="preserve">允許 </t>
    </r>
    <r>
      <rPr>
        <sz val="10"/>
        <color rgb="FF000000"/>
        <rFont val="Arial"/>
        <family val="0"/>
        <charset val="1"/>
      </rPr>
      <t xml:space="preserve">MTP </t>
    </r>
    <r>
      <rPr>
        <sz val="10"/>
        <color rgb="FF000000"/>
        <rFont val="Noto Sans CJK SC"/>
        <family val="2"/>
      </rPr>
      <t xml:space="preserve">步數</t>
    </r>
  </si>
  <si>
    <t xml:space="preserve">步</t>
  </si>
  <si>
    <r>
      <rPr>
        <sz val="10"/>
        <color rgb="FF000000"/>
        <rFont val="Arial"/>
        <family val="0"/>
        <charset val="1"/>
      </rPr>
      <t xml:space="preserve">interactive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</t>
    </r>
    <r>
      <rPr>
        <sz val="10"/>
        <color rgb="FF000000"/>
        <rFont val="Noto Sans CJK SC"/>
        <family val="2"/>
      </rPr>
      <t xml:space="preserve">未列</t>
    </r>
  </si>
  <si>
    <r>
      <rPr>
        <sz val="10"/>
        <color rgb="FF000000"/>
        <rFont val="Arial"/>
        <family val="0"/>
        <charset val="1"/>
      </rPr>
      <t xml:space="preserve">Calib!C119</t>
    </r>
    <r>
      <rPr>
        <sz val="10"/>
        <color rgb="FF000000"/>
        <rFont val="Noto Sans CJK SC"/>
        <family val="2"/>
      </rPr>
      <t xml:space="preserve">｜換算</t>
    </r>
  </si>
  <si>
    <t xml:space="preserve">模型以 1／0 旗標表示</t>
  </si>
  <si>
    <r>
      <rPr>
        <sz val="10"/>
        <color rgb="FF000000"/>
        <rFont val="Arial"/>
        <family val="0"/>
        <charset val="1"/>
      </rPr>
      <t xml:space="preserve">Llama 3 405B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BF16 MFU</t>
    </r>
  </si>
  <si>
    <r>
      <rPr>
        <sz val="10"/>
        <color rgb="FF000000"/>
        <rFont val="Arial"/>
        <family val="0"/>
        <charset val="1"/>
      </rPr>
      <t xml:space="preserve">BF16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16K H100</t>
    </r>
  </si>
  <si>
    <t xml:space="preserve">Llama 3 405B</t>
  </si>
  <si>
    <t xml:space="preserve">2024-07</t>
  </si>
  <si>
    <r>
      <rPr>
        <sz val="10"/>
        <color rgb="FF000000"/>
        <rFont val="Arial"/>
        <family val="0"/>
        <charset val="1"/>
      </rPr>
      <t xml:space="preserve">arXiv 2407.21783</t>
    </r>
    <r>
      <rPr>
        <sz val="10"/>
        <color rgb="FF000000"/>
        <rFont val="Noto Sans CJK SC"/>
        <family val="2"/>
      </rPr>
      <t xml:space="preserve">（模型內建知識）</t>
    </r>
  </si>
  <si>
    <r>
      <rPr>
        <sz val="10"/>
        <color rgb="FF000000"/>
        <rFont val="Arial"/>
        <family val="0"/>
        <charset val="1"/>
      </rPr>
      <t xml:space="preserve">Meta </t>
    </r>
    <r>
      <rPr>
        <sz val="10"/>
        <color rgb="FF000000"/>
        <rFont val="Noto Sans CJK SC"/>
        <family val="2"/>
      </rPr>
      <t xml:space="preserve">技術報告；模型內建知識</t>
    </r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</si>
  <si>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E187</t>
    </r>
  </si>
  <si>
    <t xml:space="preserve">S37</t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</si>
  <si>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E187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</si>
  <si>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有效訓練時間比（</t>
    </r>
    <r>
      <rPr>
        <sz val="10"/>
        <color rgb="FF000000"/>
        <rFont val="Arial"/>
        <family val="0"/>
        <charset val="1"/>
      </rPr>
      <t xml:space="preserve">goodput</t>
    </r>
    <r>
      <rPr>
        <sz val="10"/>
        <color rgb="FF000000"/>
        <rFont val="Noto Sans CJK SC"/>
        <family val="2"/>
      </rPr>
      <t xml:space="preserve">）</t>
    </r>
  </si>
  <si>
    <t xml:space="preserve">下限（&gt;90%）</t>
  </si>
  <si>
    <r>
      <rPr>
        <sz val="10"/>
        <color rgb="FF000000"/>
        <rFont val="Arial"/>
        <family val="0"/>
        <charset val="1"/>
      </rPr>
      <t xml:space="preserve">E145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E188</t>
    </r>
  </si>
  <si>
    <r>
      <rPr>
        <sz val="10"/>
        <color rgb="FF000000"/>
        <rFont val="Arial"/>
        <family val="0"/>
        <charset val="1"/>
      </rPr>
      <t xml:space="preserve">Train_In!C7</t>
    </r>
    <r>
      <rPr>
        <sz val="10"/>
        <color rgb="FF000000"/>
        <rFont val="Noto Sans CJK SC"/>
        <family val="2"/>
      </rPr>
      <t xml:space="preserve">｜選取</t>
    </r>
  </si>
  <si>
    <t xml:space="preserve">模型 goodput 0.9 → Analogy ｜v5.18：等級 3→1（E188）</t>
  </si>
  <si>
    <t xml:space="preserve">SRC_PERF_038</t>
  </si>
  <si>
    <r>
      <rPr>
        <sz val="10"/>
        <color rgb="FF000000"/>
        <rFont val="Arial"/>
        <family val="0"/>
        <charset val="1"/>
      </rPr>
      <t xml:space="preserve">ROLL Flash RLVR </t>
    </r>
    <r>
      <rPr>
        <sz val="10"/>
        <color rgb="FF000000"/>
        <rFont val="Noto Sans CJK SC"/>
        <family val="2"/>
      </rPr>
      <t xml:space="preserve">加速（同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預算）</t>
    </r>
  </si>
  <si>
    <t xml:space="preserve">框架基準</t>
  </si>
  <si>
    <t xml:space="preserve">ROLL Flash</t>
  </si>
  <si>
    <r>
      <rPr>
        <sz val="10"/>
        <color rgb="FF000000"/>
        <rFont val="Arial"/>
        <family val="0"/>
        <charset val="1"/>
      </rPr>
      <t xml:space="preserve">arxiv 2510.11345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inclusionai.github.io/AReaL</t>
    </r>
  </si>
  <si>
    <t xml:space="preserve">阿里淘天、螞蟻：框架作者自測</t>
  </si>
  <si>
    <r>
      <rPr>
        <sz val="10"/>
        <color rgb="FF000000"/>
        <rFont val="Arial"/>
        <family val="0"/>
        <charset val="1"/>
      </rPr>
      <t xml:space="preserve">E146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E009</t>
    </r>
  </si>
  <si>
    <t xml:space="preserve">S49</t>
  </si>
  <si>
    <t xml:space="preserve">只用於 rollout 效率區間</t>
  </si>
  <si>
    <t xml:space="preserve">SRC_PERF_039</t>
  </si>
  <si>
    <r>
      <rPr>
        <sz val="10"/>
        <color rgb="FF000000"/>
        <rFont val="Arial"/>
        <family val="0"/>
        <charset val="1"/>
      </rPr>
      <t xml:space="preserve">ROLL Flash agentic </t>
    </r>
    <r>
      <rPr>
        <sz val="10"/>
        <color rgb="FF000000"/>
        <rFont val="Noto Sans CJK SC"/>
        <family val="2"/>
      </rPr>
      <t xml:space="preserve">加速</t>
    </r>
  </si>
  <si>
    <t xml:space="preserve">SRC_PERF_040</t>
  </si>
  <si>
    <r>
      <rPr>
        <sz val="10"/>
        <color rgb="FF000000"/>
        <rFont val="Arial"/>
        <family val="0"/>
        <charset val="1"/>
      </rPr>
      <t xml:space="preserve">AReaL </t>
    </r>
    <r>
      <rPr>
        <sz val="10"/>
        <color rgb="FF000000"/>
        <rFont val="Noto Sans CJK SC"/>
        <family val="2"/>
      </rPr>
      <t xml:space="preserve">同步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非同步耗時</t>
    </r>
  </si>
  <si>
    <t xml:space="preserve">AReaL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</si>
  <si>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線上服務：每節點平均輸入吞吐（</t>
    </r>
    <r>
      <rPr>
        <sz val="10"/>
        <color rgb="FF000000"/>
        <rFont val="Arial"/>
        <family val="0"/>
        <charset val="1"/>
      </rPr>
      <t xml:space="preserve">prefill</t>
    </r>
    <r>
      <rPr>
        <sz val="10"/>
        <color rgb="FF000000"/>
        <rFont val="Noto Sans CJK SC"/>
        <family val="2"/>
      </rPr>
      <t xml:space="preserve">，含快取命中）</t>
    </r>
  </si>
  <si>
    <r>
      <rPr>
        <sz val="10"/>
        <color rgb="FF000000"/>
        <rFont val="Arial"/>
        <family val="0"/>
        <charset val="1"/>
      </rPr>
      <t xml:space="preserve">tok/s/</t>
    </r>
    <r>
      <rPr>
        <sz val="10"/>
        <color rgb="FF000000"/>
        <rFont val="Noto Sans CJK SC"/>
        <family val="2"/>
      </rPr>
      <t xml:space="preserve">節點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</si>
  <si>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~73.7k</t>
    </r>
    <r>
      <rPr>
        <sz val="10"/>
        <color rgb="FF000000"/>
        <rFont val="Noto Sans CJK SC"/>
        <family val="2"/>
      </rPr>
      <t xml:space="preserve">」</t>
    </r>
  </si>
  <si>
    <r>
      <rPr>
        <sz val="10"/>
        <color rgb="FF000000"/>
        <rFont val="Arial"/>
        <family val="0"/>
        <charset val="1"/>
      </rPr>
      <t xml:space="preserve">DeepSeek-V3/R1 </t>
    </r>
    <r>
      <rPr>
        <sz val="10"/>
        <color rgb="FF000000"/>
        <rFont val="Noto Sans CJK SC"/>
        <family val="2"/>
      </rPr>
      <t xml:space="preserve">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，每節點 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</t>
    </r>
  </si>
  <si>
    <t xml:space="preserve">2025-02-28</t>
  </si>
  <si>
    <r>
      <rPr>
        <sz val="10"/>
        <color rgb="FF000000"/>
        <rFont val="Arial"/>
        <family val="0"/>
        <charset val="1"/>
      </rPr>
      <t xml:space="preserve">DeepSeek open-infra-index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202502OpenSourceWeek/day_6_one_more_thing_deepseekV3R1_inference_system_overview.md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Statistics of DeepSeek's Online Service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2026-10-03 </t>
    </r>
    <r>
      <rPr>
        <sz val="10"/>
        <color rgb="FF000000"/>
        <rFont val="Noto Sans CJK SC"/>
        <family val="2"/>
      </rPr>
      <t xml:space="preserve">讀原文）</t>
    </r>
  </si>
  <si>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：自家線上服務自述；吞吐與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量為實際統計，成本與毛利敘事有宣傳誘因（後者不登錄）</t>
    </r>
  </si>
  <si>
    <t xml:space="preserve">E164</t>
  </si>
  <si>
    <t xml:space="preserve">對照：Calib!C5 η_p（Analogy 可比對象）</t>
  </si>
  <si>
    <t xml:space="preserve">原文為約值；換算 η_p 需每 token FLOPs（S30 原記 0.37 為推算，非原文）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</si>
  <si>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自有線上服務（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</si>
  <si>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推論系統（</t>
    </r>
    <r>
      <rPr>
        <sz val="10"/>
        <color rgb="FF000000"/>
        <rFont val="Arial"/>
        <family val="0"/>
        <charset val="1"/>
      </rPr>
      <t xml:space="preserve">2025-02-27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28</t>
    </r>
    <r>
      <rPr>
        <sz val="10"/>
        <color rgb="FF000000"/>
        <rFont val="Noto Sans CJK SC"/>
        <family val="2"/>
      </rPr>
      <t xml:space="preserve">）</t>
    </r>
  </si>
  <si>
    <t xml:space="preserve">輸入 token（含快取命中）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</si>
  <si>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線上服務：每節點平均輸出吞吐（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</si>
  <si>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期間；原文「</t>
    </r>
    <r>
      <rPr>
        <sz val="10"/>
        <color rgb="FF000000"/>
        <rFont val="Arial"/>
        <family val="0"/>
        <charset val="1"/>
      </rPr>
      <t xml:space="preserve">~14.8k</t>
    </r>
    <r>
      <rPr>
        <sz val="10"/>
        <color rgb="FF000000"/>
        <rFont val="Noto Sans CJK SC"/>
        <family val="2"/>
      </rPr>
      <t xml:space="preserve">」</t>
    </r>
  </si>
  <si>
    <t xml:space="preserve">對照：Calib!C67 Hopper η_d 倍數（Analogy 可比對象）</t>
  </si>
  <si>
    <t xml:space="preserve">原文為約值</t>
  </si>
  <si>
    <t xml:space="preserve">輸出 token</t>
  </si>
  <si>
    <t xml:space="preserve">SRC_PERF_043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</si>
  <si>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</si>
  <si>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B tok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</si>
  <si>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</t>
    </r>
  </si>
  <si>
    <t xml:space="preserve">SRC_PERF_044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</si>
  <si>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線上服務：輸入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命中磁碟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快取比例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</si>
  <si>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342B ÷ 608B</t>
    </r>
    <r>
      <rPr>
        <sz val="10"/>
        <color rgb="FF000000"/>
        <rFont val="Noto Sans CJK SC"/>
        <family val="2"/>
      </rPr>
      <t xml:space="preserve">（原文直接給 </t>
    </r>
    <r>
      <rPr>
        <sz val="10"/>
        <color rgb="FF000000"/>
        <rFont val="Arial"/>
        <family val="0"/>
        <charset val="1"/>
      </rPr>
      <t xml:space="preserve">56.3%</t>
    </r>
    <r>
      <rPr>
        <sz val="10"/>
        <color rgb="FF000000"/>
        <rFont val="Noto Sans CJK SC"/>
        <family val="2"/>
      </rPr>
      <t xml:space="preserve">）</t>
    </r>
  </si>
  <si>
    <t xml:space="preserve">對照：Workload!C11 歷史快取命中率 χ</t>
  </si>
  <si>
    <t xml:space="preserve">聊天與 API 混合，非代理迴圈</t>
  </si>
  <si>
    <t xml:space="preserve">SRC_PERF_045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</si>
  <si>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總量</t>
    </r>
  </si>
  <si>
    <t xml:space="preserve">SRC_PERF_046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</si>
  <si>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線上服務：平均每用戶輸出速度</t>
    </r>
  </si>
  <si>
    <t xml:space="preserve">對照：Serving 第 21 列 SLO</t>
  </si>
  <si>
    <t xml:space="preserve">原文為區間 20–22</t>
  </si>
  <si>
    <t xml:space="preserve">SRC_PERF_047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</si>
  <si>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</t>
    </r>
  </si>
  <si>
    <t xml:space="preserve">SRC_PERF_048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</si>
  <si>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線上服務：推論服務尖峰節點數</t>
    </r>
  </si>
  <si>
    <t xml:space="preserve">節點</t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</si>
  <si>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 </t>
    </r>
    <r>
      <rPr>
        <sz val="10"/>
        <color rgb="FF000000"/>
        <rFont val="Noto Sans CJK SC"/>
        <family val="2"/>
      </rPr>
      <t xml:space="preserve">合計</t>
    </r>
  </si>
  <si>
    <t xml:space="preserve">夜間減少推論節點、轉作研究與訓練</t>
  </si>
  <si>
    <t xml:space="preserve">SRC_PERF_049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</si>
  <si>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線上服務：推論服務平均節點數</t>
    </r>
  </si>
  <si>
    <t xml:space="preserve">SRC_PERF_050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</si>
  <si>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</si>
  <si>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DP32</t>
    </r>
  </si>
  <si>
    <t xml:space="preserve">對照：Spec_Rack!C29 decode EP 基準寬度（Hopper）</t>
  </si>
  <si>
    <t xml:space="preserve">每 GPU 9 個路由專家＋1 個共享專家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</si>
  <si>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部署單元節點數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</si>
  <si>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小時統計（</t>
    </r>
    <r>
      <rPr>
        <sz val="10"/>
        <color rgb="FF000000"/>
        <rFont val="Arial"/>
        <family val="0"/>
        <charset val="1"/>
      </rPr>
      <t xml:space="preserve">UTC+8 2025-02-27 12:00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 12:00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V3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R1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web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APP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全部請求；路由專家 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MLA</t>
    </r>
    <r>
      <rPr>
        <sz val="10"/>
        <color rgb="FF000000"/>
        <rFont val="Noto Sans CJK SC"/>
        <family val="2"/>
      </rPr>
      <t xml:space="preserve">／共享專家 </t>
    </r>
    <r>
      <rPr>
        <sz val="10"/>
        <color rgb="FF000000"/>
        <rFont val="Arial"/>
        <family val="0"/>
        <charset val="1"/>
      </rPr>
      <t xml:space="preserve">DP144</t>
    </r>
  </si>
  <si>
    <t xml:space="preserve">對照：Spec_Rack!C29 decode EP 基準寬度（Hopper；Analogy 可比對象）</t>
  </si>
  <si>
    <t xml:space="preserve">每 GPU 2 個路由專家＋1 個共享專家；EP144＝18 節點 × 8 GPU</t>
  </si>
  <si>
    <t xml:space="preserve">SRC_PERF_052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</si>
  <si>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</si>
  <si>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；輸出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</si>
  <si>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</si>
  <si>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r>
      <rPr>
        <sz val="10"/>
        <color rgb="FF000000"/>
        <rFont val="Arial"/>
        <family val="0"/>
        <charset val="1"/>
      </rPr>
      <t xml:space="preserve">Nebius 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）</t>
    </r>
  </si>
  <si>
    <t xml:space="preserve">2026-09-29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</si>
  <si>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</si>
  <si>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t xml:space="preserve">E245</t>
  </si>
  <si>
    <t xml:space="preserve">U-V521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</si>
  <si>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36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</si>
  <si>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t xml:space="preserve">SRC_PERF_053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</si>
  <si>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</si>
  <si>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；預覽類（</t>
    </r>
    <r>
      <rPr>
        <sz val="10"/>
        <color rgb="FF000000"/>
        <rFont val="Arial"/>
        <family val="0"/>
        <charset val="1"/>
      </rPr>
      <t xml:space="preserve">preview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inferred=1</t>
    </r>
  </si>
  <si>
    <t xml:space="preserve">SRC_PERF_057</t>
  </si>
  <si>
    <t xml:space="preserve">SRC_PERF_054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</si>
  <si>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</si>
  <si>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offline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</si>
  <si>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</si>
  <si>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稽核為中立；提交者自行挑選配置</t>
    </r>
  </si>
  <si>
    <t xml:space="preserve">SRC_PERF_058</t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</si>
  <si>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</si>
  <si>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t xml:space="preserve">SRC_PERF_055</t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</si>
  <si>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</si>
  <si>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inferred=0</t>
    </r>
  </si>
  <si>
    <t xml:space="preserve">SRC_PERF_059</t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</si>
  <si>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</si>
  <si>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Vera Rubin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</si>
  <si>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VR200 Nebius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36 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，比較以每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計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</si>
  <si>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</si>
  <si>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offline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</si>
  <si>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提交；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</si>
  <si>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v5.21 X6 </t>
    </r>
    <r>
      <rPr>
        <sz val="10"/>
        <color rgb="FF000000"/>
        <rFont val="Noto Sans CJK SC"/>
        <family val="2"/>
      </rPr>
      <t xml:space="preserve">新增（純證據，不連結任何模型格）；每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Result ÷ 72</t>
    </r>
    <r>
      <rPr>
        <sz val="10"/>
        <color rgb="FF000000"/>
        <rFont val="Noto Sans CJK SC"/>
        <family val="2"/>
      </rPr>
      <t xml:space="preserve">；同硬體、同情境的另一提交者（</t>
    </r>
    <r>
      <rPr>
        <sz val="10"/>
        <color rgb="FF000000"/>
        <rFont val="Arial"/>
        <family val="0"/>
        <charset val="1"/>
      </rPr>
      <t xml:space="preserve">Nebius</t>
    </r>
    <r>
      <rPr>
        <sz val="10"/>
        <color rgb="FF000000"/>
        <rFont val="Noto Sans CJK SC"/>
        <family val="2"/>
      </rPr>
      <t xml:space="preserve">）見 </t>
    </r>
    <r>
      <rPr>
        <sz val="10"/>
        <color rgb="FF000000"/>
        <rFont val="Arial"/>
        <family val="0"/>
        <charset val="1"/>
      </rPr>
      <t xml:space="preserve">SRC_PERF_052–059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027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028</t>
    </r>
    <r>
      <rPr>
        <sz val="10"/>
        <color rgb="FF000000"/>
        <rFont val="Noto Sans CJK SC"/>
        <family val="2"/>
      </rPr>
      <t xml:space="preserve">，互為第二來源；</t>
    </r>
    <r>
      <rPr>
        <sz val="10"/>
        <color rgb="FF000000"/>
        <rFont val="Arial"/>
        <family val="0"/>
        <charset val="1"/>
      </rPr>
      <t xml:space="preserve">inferred=0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summary.csv </t>
    </r>
    <r>
      <rPr>
        <sz val="10"/>
        <color rgb="FF000000"/>
        <rFont val="Noto Sans CJK SC"/>
        <family val="2"/>
      </rPr>
      <t xml:space="preserve">欄 </t>
    </r>
    <r>
      <rPr>
        <sz val="10"/>
        <color rgb="FF000000"/>
        <rFont val="Arial"/>
        <family val="0"/>
        <charset val="1"/>
      </rPr>
      <t xml:space="preserve">inferred</t>
    </r>
    <r>
      <rPr>
        <sz val="10"/>
        <color rgb="FF000000"/>
        <rFont val="Noto Sans CJK SC"/>
        <family val="2"/>
      </rPr>
      <t xml:space="preserve">；含義未查得（</t>
    </r>
    <r>
      <rPr>
        <sz val="10"/>
        <color rgb="FF000000"/>
        <rFont val="Arial"/>
        <family val="0"/>
        <charset val="1"/>
      </rPr>
      <t xml:space="preserve">repo </t>
    </r>
    <r>
      <rPr>
        <sz val="10"/>
        <color rgb="FF000000"/>
        <rFont val="Noto Sans CJK SC"/>
        <family val="2"/>
      </rPr>
      <t xml:space="preserve">內 </t>
    </r>
    <r>
      <rPr>
        <sz val="10"/>
        <color rgb="FF000000"/>
        <rFont val="Arial"/>
        <family val="0"/>
        <charset val="1"/>
      </rPr>
      <t xml:space="preserve">MLPerf Inference v6.1 Supplemental Discussion .pdf </t>
    </r>
    <r>
      <rPr>
        <sz val="10"/>
        <color rgb="FF000000"/>
        <rFont val="Noto Sans CJK SC"/>
        <family val="2"/>
      </rPr>
      <t xml:space="preserve">未定義）） ｜第二來源：不同提交者同情境（</t>
    </r>
    <r>
      <rPr>
        <sz val="10"/>
        <color rgb="FF000000"/>
        <rFont val="Arial"/>
        <family val="0"/>
        <charset val="1"/>
      </rPr>
      <t xml:space="preserve">v5.22 X9 Q2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</si>
  <si>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</si>
  <si>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SRC_PERF_060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</si>
  <si>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</si>
  <si>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</si>
  <si>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r>
      <rPr>
        <sz val="10"/>
        <color rgb="FF000000"/>
        <rFont val="Arial"/>
        <family val="0"/>
        <charset val="1"/>
      </rPr>
      <t xml:space="preserve">DGX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 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</si>
  <si>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</si>
  <si>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自行挑選配置；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結果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註明未經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驗證</t>
    </r>
  </si>
  <si>
    <t xml:space="preserve">二手（3A 查證轉引）</t>
  </si>
  <si>
    <t xml:space="preserve">E378</t>
  </si>
  <si>
    <t xml:space="preserve">U-V1000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</si>
  <si>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G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V1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</si>
  <si>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H200 server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v6.0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提交已搜尋未找到；</t>
    </r>
    <r>
      <rPr>
        <sz val="10"/>
        <color rgb="FF000000"/>
        <rFont val="Arial"/>
        <family val="0"/>
        <charset val="1"/>
      </rPr>
      <t xml:space="preserve">H200 </t>
    </r>
    <r>
      <rPr>
        <sz val="10"/>
        <color rgb="FF000000"/>
        <rFont val="Noto Sans CJK SC"/>
        <family val="2"/>
      </rPr>
      <t xml:space="preserve">頻寬高於模型的 </t>
    </r>
    <r>
      <rPr>
        <sz val="10"/>
        <color rgb="FF000000"/>
        <rFont val="Arial"/>
        <family val="0"/>
        <charset val="1"/>
      </rPr>
      <t xml:space="preserve">H100</t>
    </r>
    <r>
      <rPr>
        <sz val="10"/>
        <color rgb="FF000000"/>
        <rFont val="Noto Sans CJK SC"/>
        <family val="2"/>
      </rPr>
      <t xml:space="preserve">，上限偏寬</t>
    </r>
  </si>
  <si>
    <t xml:space="preserve">SRC_PERF_061</t>
  </si>
  <si>
    <r>
      <rPr>
        <sz val="10"/>
        <color rgb="FF000000"/>
        <rFont val="Arial"/>
        <family val="0"/>
        <charset val="1"/>
      </rPr>
      <t xml:space="preserve">MLPerf v5.1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</si>
  <si>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</si>
  <si>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</si>
  <si>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自行挑選配置</t>
    </r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</si>
  <si>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驗證點）；</t>
    </r>
    <r>
      <rPr>
        <sz val="10"/>
        <color rgb="FF000000"/>
        <rFont val="Arial"/>
        <family val="0"/>
        <charset val="1"/>
      </rPr>
      <t xml:space="preserve">Checks V2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</si>
  <si>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上限（</t>
    </r>
    <r>
      <rPr>
        <sz val="10"/>
        <color rgb="FF000000"/>
        <rFont val="Arial"/>
        <family val="0"/>
        <charset val="1"/>
      </rPr>
      <t xml:space="preserve">v5.1 server</t>
    </r>
    <r>
      <rPr>
        <sz val="10"/>
        <color rgb="FF000000"/>
        <rFont val="Noto Sans CJK SC"/>
        <family val="2"/>
      </rPr>
      <t xml:space="preserve">）；同輪 </t>
    </r>
    <r>
      <rPr>
        <sz val="10"/>
        <color rgb="FF000000"/>
        <rFont val="Arial"/>
        <family val="0"/>
        <charset val="1"/>
      </rPr>
      <t xml:space="preserve">offline 4,024</t>
    </r>
  </si>
  <si>
    <t xml:space="preserve">SRC_PERF_062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</si>
  <si>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DeepSeek-V3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96×H100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</si>
  <si>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decode GPU</t>
    </r>
    <r>
      <rPr>
        <sz val="10"/>
        <color rgb="FF000000"/>
        <rFont val="Noto Sans CJK SC"/>
        <family val="2"/>
      </rPr>
      <t xml:space="preserve">）</t>
    </r>
  </si>
  <si>
    <t xml:space="preserve">輸入 2,000；ITL 約 100 ms；TTFT 2–5 秒；無明確 SLO；PD 分離</t>
  </si>
  <si>
    <r>
      <rPr>
        <sz val="10"/>
        <color rgb="FF000000"/>
        <rFont val="Arial"/>
        <family val="0"/>
        <charset val="1"/>
      </rPr>
      <t xml:space="preserve">Hopper H100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Atlas Cloud </t>
    </r>
    <r>
      <rPr>
        <sz val="10"/>
        <color rgb="FF000000"/>
        <rFont val="Noto Sans CJK SC"/>
        <family val="2"/>
      </rPr>
      <t xml:space="preserve">機器）</t>
    </r>
  </si>
  <si>
    <t xml:space="preserve">獨立複現，但 Atlas Cloud 有商業動機；SLO 寬鬆</t>
  </si>
  <si>
    <r>
      <rPr>
        <sz val="10"/>
        <color rgb="FF000000"/>
        <rFont val="Arial"/>
        <family val="0"/>
        <charset val="1"/>
      </rPr>
      <t xml:space="preserve">Checks V7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</si>
  <si>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× Sol </t>
    </r>
    <r>
      <rPr>
        <sz val="10"/>
        <color rgb="FF000000"/>
        <rFont val="Noto Sans CJK SC"/>
        <family val="2"/>
      </rPr>
      <t xml:space="preserve">級獨立驗證點；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6,540 </t>
    </r>
    <r>
      <rPr>
        <sz val="10"/>
        <color rgb="FF000000"/>
        <rFont val="Noto Sans CJK SC"/>
        <family val="2"/>
      </rPr>
      <t xml:space="preserve">輸入 </t>
    </r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</si>
  <si>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SRC_PERF_063</t>
  </si>
  <si>
    <r>
      <rPr>
        <sz val="10"/>
        <color rgb="FF000000"/>
        <rFont val="Arial"/>
        <family val="0"/>
        <charset val="1"/>
      </rPr>
      <t xml:space="preserve">LMSYS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SGLang DeepSeek decode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NVL72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</si>
  <si>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；輸入 </t>
    </r>
    <r>
      <rPr>
        <sz val="10"/>
        <color rgb="FF000000"/>
        <rFont val="Arial"/>
        <family val="0"/>
        <charset val="1"/>
      </rPr>
      <t xml:space="preserve">2,000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48 rank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TPOT</t>
    </r>
    <r>
      <rPr>
        <sz val="10"/>
        <color rgb="FF000000"/>
        <rFont val="Noto Sans CJK SC"/>
        <family val="2"/>
      </rPr>
      <t xml:space="preserve">；原精度為 </t>
    </r>
    <r>
      <rPr>
        <sz val="10"/>
        <color rgb="FF000000"/>
        <rFont val="Arial"/>
        <family val="0"/>
        <charset val="1"/>
      </rPr>
      <t xml:space="preserve">9,087</t>
    </r>
  </si>
  <si>
    <t xml:space="preserve">與 NVIDIA 合作，Interested-party 成分高；無明確 SLO</t>
  </si>
  <si>
    <r>
      <rPr>
        <sz val="10"/>
        <color rgb="FF000000"/>
        <rFont val="Arial"/>
        <family val="0"/>
        <charset val="1"/>
      </rPr>
      <t xml:space="preserve">Checks V8</t>
    </r>
    <r>
      <rPr>
        <sz val="10"/>
        <color rgb="FF000000"/>
        <rFont val="Noto Sans CJK SC"/>
        <family val="2"/>
      </rPr>
      <t xml:space="preserve">（獨立驗證點，不用於校準）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</si>
  <si>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× Sol </t>
    </r>
    <r>
      <rPr>
        <sz val="10"/>
        <color rgb="FF000000"/>
        <rFont val="Noto Sans CJK SC"/>
        <family val="2"/>
      </rPr>
      <t xml:space="preserve">級獨立驗證點；原精度 </t>
    </r>
    <r>
      <rPr>
        <sz val="10"/>
        <color rgb="FF000000"/>
        <rFont val="Arial"/>
        <family val="0"/>
        <charset val="1"/>
      </rPr>
      <t xml:space="preserve">9,087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prefill 26,156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18,471</t>
    </r>
    <r>
      <rPr>
        <sz val="10"/>
        <color rgb="FF000000"/>
        <rFont val="Noto Sans CJK SC"/>
        <family val="2"/>
      </rPr>
      <t xml:space="preserve">（未使用）</t>
    </r>
  </si>
  <si>
    <t xml:space="preserve">SRC_PERF_064</t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</si>
  <si>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RL ÷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時間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</si>
  <si>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天比（</t>
    </r>
    <r>
      <rPr>
        <sz val="10"/>
        <color rgb="FF000000"/>
        <rFont val="Arial"/>
        <family val="0"/>
        <charset val="1"/>
      </rPr>
      <t xml:space="preserve">RL continuation 21 </t>
    </r>
    <r>
      <rPr>
        <sz val="10"/>
        <color rgb="FF000000"/>
        <rFont val="Noto Sans CJK SC"/>
        <family val="2"/>
      </rPr>
      <t xml:space="preserve">天 </t>
    </r>
    <r>
      <rPr>
        <sz val="10"/>
        <color rgb="FF000000"/>
        <rFont val="Arial"/>
        <family val="0"/>
        <charset val="1"/>
      </rPr>
      <t xml:space="preserve">× 224 GPU ÷ </t>
    </r>
    <r>
      <rPr>
        <sz val="10"/>
        <color rgb="FF000000"/>
        <rFont val="Noto Sans CJK SC"/>
        <family val="2"/>
      </rPr>
      <t xml:space="preserve">預訓練約 </t>
    </r>
    <r>
      <rPr>
        <sz val="10"/>
        <color rgb="FF000000"/>
        <rFont val="Arial"/>
        <family val="0"/>
        <charset val="1"/>
      </rPr>
      <t xml:space="preserve">43,300 GPU </t>
    </r>
    <r>
      <rPr>
        <sz val="10"/>
        <color rgb="FF000000"/>
        <rFont val="Noto Sans CJK SC"/>
        <family val="2"/>
      </rPr>
      <t xml:space="preserve">天，</t>
    </r>
    <r>
      <rPr>
        <sz val="10"/>
        <color rgb="FF000000"/>
        <rFont val="Arial"/>
        <family val="0"/>
        <charset val="1"/>
      </rPr>
      <t xml:space="preserve">3A </t>
    </r>
    <r>
      <rPr>
        <sz val="10"/>
        <color rgb="FF000000"/>
        <rFont val="Noto Sans CJK SC"/>
        <family val="2"/>
      </rPr>
      <t xml:space="preserve">本表相除）</t>
    </r>
  </si>
  <si>
    <r>
      <rPr>
        <sz val="10"/>
        <color rgb="FF000000"/>
        <rFont val="Arial"/>
        <family val="0"/>
        <charset val="1"/>
      </rPr>
      <t xml:space="preserve">Olmo 3 32B Think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）</t>
    </r>
  </si>
  <si>
    <t xml:space="preserve">2025-12</t>
  </si>
  <si>
    <r>
      <rPr>
        <sz val="10"/>
        <color rgb="FF000000"/>
        <rFont val="Arial"/>
        <family val="0"/>
        <charset val="1"/>
      </rPr>
      <t xml:space="preserve">docs/reports/20261015_</t>
    </r>
    <r>
      <rPr>
        <sz val="10"/>
        <color rgb="FF000000"/>
        <rFont val="Noto Sans CJK SC"/>
        <family val="2"/>
      </rPr>
      <t xml:space="preserve">稽核修正</t>
    </r>
    <r>
      <rPr>
        <sz val="10"/>
        <color rgb="FF000000"/>
        <rFont val="Arial"/>
        <family val="0"/>
        <charset val="1"/>
      </rPr>
      <t xml:space="preserve">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2026-10-15 CC </t>
    </r>
    <r>
      <rPr>
        <sz val="10"/>
        <color rgb="FF000000"/>
        <rFont val="Noto Sans CJK SC"/>
        <family val="2"/>
      </rPr>
      <t xml:space="preserve">查證；原始出處見該表；本欄值轉引，未逐一回到原文重讀）</t>
    </r>
  </si>
  <si>
    <t xml:space="preserve">開放實驗室，可核對；GPU 天口徑與模型的 GPU 小時口徑一致</t>
  </si>
  <si>
    <r>
      <rPr>
        <sz val="10"/>
        <color rgb="FF000000"/>
        <rFont val="Arial"/>
        <family val="0"/>
        <charset val="1"/>
      </rPr>
      <t xml:space="preserve">Checks V9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V10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對照，不用於校準）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</si>
  <si>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對照；首輪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天、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數未寫</t>
    </r>
  </si>
  <si>
    <t xml:space="preserve">SRC_PERF_065</t>
  </si>
  <si>
    <r>
      <rPr>
        <sz val="10"/>
        <color rgb="FF000000"/>
        <rFont val="Arial"/>
        <family val="0"/>
        <charset val="1"/>
      </rPr>
      <t xml:space="preserve">DeepSeek-V3.2</t>
    </r>
    <r>
      <rPr>
        <sz val="10"/>
        <color rgb="FF000000"/>
        <rFont val="Noto Sans CJK SC"/>
        <family val="2"/>
      </rPr>
      <t xml:space="preserve">：後訓練預算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預訓練成本（下限式）</t>
    </r>
  </si>
  <si>
    <t xml:space="preserve">成本口徑（下限式：超過 10%）</t>
  </si>
  <si>
    <t xml:space="preserve">DeepSeek-V3.2</t>
  </si>
  <si>
    <t xml:space="preserve">公司自述</t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</si>
  <si>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對照下限；成本口徑，非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</t>
    </r>
  </si>
  <si>
    <r>
      <rPr>
        <sz val="10"/>
        <color rgb="FF000000"/>
        <rFont val="Noto Sans CJK SC"/>
        <family val="2"/>
      </rPr>
      <t xml:space="preserve">輸出速度（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中位）：</t>
    </r>
    <r>
      <rPr>
        <sz val="10"/>
        <color rgb="FF000000"/>
        <rFont val="Arial"/>
        <family val="0"/>
        <charset val="1"/>
      </rPr>
      <t xml:space="preserve">GPT-6 Luna</t>
    </r>
  </si>
  <si>
    <r>
      <rPr>
        <sz val="10"/>
        <color rgb="FF000000"/>
        <rFont val="Noto Sans CJK SC"/>
        <family val="2"/>
      </rPr>
      <t xml:space="preserve">每用戶輸出速度（首 </t>
    </r>
    <r>
      <rPr>
        <sz val="10"/>
        <color rgb="FF000000"/>
        <rFont val="Arial"/>
        <family val="0"/>
        <charset val="1"/>
      </rPr>
      <t xml:space="preserve">chunk </t>
    </r>
    <r>
      <rPr>
        <sz val="10"/>
        <color rgb="FF000000"/>
        <rFont val="Noto Sans CJK SC"/>
        <family val="2"/>
      </rPr>
      <t xml:space="preserve">之後）；</t>
    </r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（第三方量測商；以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探測請求量測，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端點，</t>
    </r>
    <r>
      <rPr>
        <sz val="10"/>
        <color rgb="FF000000"/>
        <rFont val="Arial"/>
        <family val="0"/>
        <charset val="1"/>
      </rPr>
      <t xml:space="preserve">72 </t>
    </r>
    <r>
      <rPr>
        <sz val="10"/>
        <color rgb="FF000000"/>
        <rFont val="Noto Sans CJK SC"/>
        <family val="2"/>
      </rPr>
      <t xml:space="preserve">小時中位數，</t>
    </r>
    <r>
      <rPr>
        <sz val="10"/>
        <color rgb="FF000000"/>
        <rFont val="Arial"/>
        <family val="0"/>
        <charset val="1"/>
      </rPr>
      <t xml:space="preserve">10K </t>
    </r>
    <r>
      <rPr>
        <sz val="10"/>
        <color rgb="FF000000"/>
        <rFont val="Noto Sans CJK SC"/>
        <family val="2"/>
      </rPr>
      <t xml:space="preserve">輸入探測）</t>
    </r>
  </si>
  <si>
    <t xml:space="preserve">2026-10</t>
  </si>
  <si>
    <t xml:space="preserve">https://artificialanalysis.ai/models/gpt-6-luna/providers</t>
  </si>
  <si>
    <t xml:space="preserve">第三方量測，無賣方利益；探測請求（低頻），數值系統性高於實際流量</t>
  </si>
  <si>
    <r>
      <rPr>
        <sz val="10"/>
        <color rgb="FF000000"/>
        <rFont val="Noto Sans CJK SC"/>
        <family val="2"/>
      </rPr>
      <t xml:space="preserve">一手（</t>
    </r>
    <r>
      <rPr>
        <sz val="10"/>
        <color rgb="FF000000"/>
        <rFont val="Arial"/>
        <family val="0"/>
        <charset val="1"/>
      </rPr>
      <t xml:space="preserve">WebFetch </t>
    </r>
    <r>
      <rPr>
        <sz val="10"/>
        <color rgb="FF000000"/>
        <rFont val="Noto Sans CJK SC"/>
        <family val="2"/>
      </rPr>
      <t xml:space="preserve">摘要）</t>
    </r>
  </si>
  <si>
    <t xml:space="preserve">E379</t>
  </si>
  <si>
    <t xml:space="preserve">SRC_PERF_067</t>
  </si>
  <si>
    <t xml:space="preserve">U-V1020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</si>
  <si>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Luna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</si>
  <si>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Luna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Luna</t>
    </r>
    <r>
      <rPr>
        <sz val="10"/>
        <color rgb="FF000000"/>
        <rFont val="Noto Sans CJK SC"/>
        <family val="2"/>
      </rPr>
      <t xml:space="preserve">；與 </t>
    </r>
    <r>
      <rPr>
        <sz val="10"/>
        <color rgb="FF000000"/>
        <rFont val="Arial"/>
        <family val="0"/>
        <charset val="1"/>
      </rPr>
      <t xml:space="preserve">SRC_PERF_067 </t>
    </r>
    <r>
      <rPr>
        <sz val="10"/>
        <color rgb="FF000000"/>
        <rFont val="Noto Sans CJK SC"/>
        <family val="2"/>
      </rPr>
      <t xml:space="preserve">取幾何平均</t>
    </r>
  </si>
  <si>
    <r>
      <rPr>
        <sz val="10"/>
        <color rgb="FF000000"/>
        <rFont val="Noto Sans CJK SC"/>
        <family val="2"/>
      </rPr>
      <t xml:space="preserve">輸出速度（</t>
    </r>
    <r>
      <rPr>
        <sz val="10"/>
        <color rgb="FF000000"/>
        <rFont val="Arial"/>
        <family val="0"/>
        <charset val="1"/>
      </rPr>
      <t xml:space="preserve">OpenRouter P50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GPT-6 Luna</t>
    </r>
  </si>
  <si>
    <r>
      <rPr>
        <sz val="10"/>
        <color rgb="FF000000"/>
        <rFont val="Noto Sans CJK SC"/>
        <family val="2"/>
      </rPr>
      <t xml:space="preserve">每用戶輸出速度；</t>
    </r>
    <r>
      <rPr>
        <sz val="10"/>
        <color rgb="FF000000"/>
        <rFont val="Arial"/>
        <family val="0"/>
        <charset val="1"/>
      </rPr>
      <t xml:space="preserve">OpenRouter</t>
    </r>
    <r>
      <rPr>
        <sz val="10"/>
        <color rgb="FF000000"/>
        <rFont val="Noto Sans CJK SC"/>
        <family val="2"/>
      </rPr>
      <t xml:space="preserve">（路由商；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端點，實際流量 </t>
    </r>
    <r>
      <rPr>
        <sz val="10"/>
        <color rgb="FF000000"/>
        <rFont val="Arial"/>
        <family val="0"/>
        <charset val="1"/>
      </rPr>
      <t xml:space="preserve">P50</t>
    </r>
    <r>
      <rPr>
        <sz val="10"/>
        <color rgb="FF000000"/>
        <rFont val="Noto Sans CJK SC"/>
        <family val="2"/>
      </rPr>
      <t xml:space="preserve">）</t>
    </r>
  </si>
  <si>
    <t xml:space="preserve">https://openrouter.ai/models/openai/gpt-6-luna</t>
  </si>
  <si>
    <r>
      <rPr>
        <sz val="10"/>
        <color rgb="FF000000"/>
        <rFont val="Noto Sans CJK SC"/>
        <family val="2"/>
      </rPr>
      <t xml:space="preserve">第三方量測，實際流量；延遲 </t>
    </r>
    <r>
      <rPr>
        <sz val="10"/>
        <color rgb="FF000000"/>
        <rFont val="Arial"/>
        <family val="0"/>
        <charset val="1"/>
      </rPr>
      <t xml:space="preserve">2.59 s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</si>
  <si>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SRC_PERF_066 </t>
    </r>
    <r>
      <rPr>
        <sz val="10"/>
        <color rgb="FF000000"/>
        <rFont val="Noto Sans CJK SC"/>
        <family val="2"/>
      </rPr>
      <t xml:space="preserve">取幾何平均；兩家量測商系統性相差 </t>
    </r>
    <r>
      <rPr>
        <sz val="10"/>
        <color rgb="FF000000"/>
        <rFont val="Arial"/>
        <family val="0"/>
        <charset val="1"/>
      </rPr>
      <t xml:space="preserve">1.5–2 </t>
    </r>
    <r>
      <rPr>
        <sz val="10"/>
        <color rgb="FF000000"/>
        <rFont val="Noto Sans CJK SC"/>
        <family val="2"/>
      </rPr>
      <t xml:space="preserve">倍（原因未查明）</t>
    </r>
  </si>
  <si>
    <r>
      <rPr>
        <sz val="10"/>
        <color rgb="FF000000"/>
        <rFont val="Noto Sans CJK SC"/>
        <family val="2"/>
      </rPr>
      <t xml:space="preserve">輸出速度（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中位）：</t>
    </r>
    <r>
      <rPr>
        <sz val="10"/>
        <color rgb="FF000000"/>
        <rFont val="Arial"/>
        <family val="0"/>
        <charset val="1"/>
      </rPr>
      <t xml:space="preserve">GPT-6.1 Sol (medium)</t>
    </r>
  </si>
  <si>
    <t xml:space="preserve">GPT-6.1 Sol (medium)</t>
  </si>
  <si>
    <t xml:space="preserve">https://artificialanalysis.ai/models/gpt-6-1-sol-medium/providers</t>
  </si>
  <si>
    <t xml:space="preserve">第三方量測，無賣方利益</t>
  </si>
  <si>
    <t xml:space="preserve">SRC_PERF_069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</si>
  <si>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Sol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</si>
  <si>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Sol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GPT-6.1 Sol</t>
    </r>
    <r>
      <rPr>
        <sz val="10"/>
        <color rgb="FF000000"/>
        <rFont val="Noto Sans CJK SC"/>
        <family val="2"/>
      </rPr>
      <t xml:space="preserve">（現行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主力；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端預設）</t>
    </r>
  </si>
  <si>
    <r>
      <rPr>
        <sz val="10"/>
        <color rgb="FF000000"/>
        <rFont val="Noto Sans CJK SC"/>
        <family val="2"/>
      </rPr>
      <t xml:space="preserve">輸出速度（</t>
    </r>
    <r>
      <rPr>
        <sz val="10"/>
        <color rgb="FF000000"/>
        <rFont val="Arial"/>
        <family val="0"/>
        <charset val="1"/>
      </rPr>
      <t xml:space="preserve">OpenRouter P50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GPT-6.1 Sol</t>
    </r>
  </si>
  <si>
    <t xml:space="preserve">GPT-6.1 Sol</t>
  </si>
  <si>
    <t xml:space="preserve">https://openrouter.ai/models/openai/gpt-6.1-sol</t>
  </si>
  <si>
    <r>
      <rPr>
        <sz val="10"/>
        <color rgb="FF000000"/>
        <rFont val="Noto Sans CJK SC"/>
        <family val="2"/>
      </rPr>
      <t xml:space="preserve">第三方量測，實際流量；延遲 </t>
    </r>
    <r>
      <rPr>
        <sz val="10"/>
        <color rgb="FF000000"/>
        <rFont val="Arial"/>
        <family val="0"/>
        <charset val="1"/>
      </rPr>
      <t xml:space="preserve">3.36 s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</si>
  <si>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SRC_PERF_068 </t>
    </r>
    <r>
      <rPr>
        <sz val="10"/>
        <color rgb="FF000000"/>
        <rFont val="Noto Sans CJK SC"/>
        <family val="2"/>
      </rPr>
      <t xml:space="preserve">取幾何平均</t>
    </r>
  </si>
  <si>
    <r>
      <rPr>
        <sz val="10"/>
        <color rgb="FF000000"/>
        <rFont val="Noto Sans CJK SC"/>
        <family val="2"/>
      </rPr>
      <t xml:space="preserve">輸出速度（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中位）：</t>
    </r>
    <r>
      <rPr>
        <sz val="10"/>
        <color rgb="FF000000"/>
        <rFont val="Arial"/>
        <family val="0"/>
        <charset val="1"/>
      </rPr>
      <t xml:space="preserve">GPT-6 Astra (high)</t>
    </r>
  </si>
  <si>
    <t xml:space="preserve">GPT-6 Astra (high)</t>
  </si>
  <si>
    <t xml:space="preserve">https://artificialanalysis.ai/ko/models/gpt-6-astra-high/providers</t>
  </si>
  <si>
    <t xml:space="preserve">SRC_PERF_071</t>
  </si>
  <si>
    <r>
      <rPr>
        <sz val="10"/>
        <color rgb="FF000000"/>
        <rFont val="Arial"/>
        <family val="0"/>
        <charset val="1"/>
      </rPr>
      <t xml:space="preserve">Serving!C21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D21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E21</t>
    </r>
    <r>
      <rPr>
        <sz val="10"/>
        <color rgb="FF000000"/>
        <rFont val="Noto Sans CJK SC"/>
        <family val="2"/>
      </rPr>
      <t xml:space="preserve">（兩家中位數的幾何平均）｜</t>
    </r>
    <r>
      <rPr>
        <sz val="10"/>
        <color rgb="FF000000"/>
        <rFont val="Arial"/>
        <family val="0"/>
        <charset val="1"/>
      </rPr>
      <t xml:space="preserve">Astra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</si>
  <si>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Astra </t>
    </r>
    <r>
      <rPr>
        <sz val="10"/>
        <color rgb="FF000000"/>
        <rFont val="Noto Sans CJK SC"/>
        <family val="2"/>
      </rPr>
      <t xml:space="preserve">層代表模型 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</si>
  <si>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Noto Sans CJK SC"/>
        <family val="2"/>
      </rPr>
      <t xml:space="preserve">輸出速度（</t>
    </r>
    <r>
      <rPr>
        <sz val="10"/>
        <color rgb="FF000000"/>
        <rFont val="Arial"/>
        <family val="0"/>
        <charset val="1"/>
      </rPr>
      <t xml:space="preserve">OpenRouter P50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GPT-6 Astra</t>
    </r>
  </si>
  <si>
    <t xml:space="preserve">https://openrouter.ai/models/openai/gpt-6-astra</t>
  </si>
  <si>
    <r>
      <rPr>
        <sz val="10"/>
        <color rgb="FF000000"/>
        <rFont val="Noto Sans CJK SC"/>
        <family val="2"/>
      </rPr>
      <t xml:space="preserve">第三方量測，實際流量；延遲 </t>
    </r>
    <r>
      <rPr>
        <sz val="10"/>
        <color rgb="FF000000"/>
        <rFont val="Arial"/>
        <family val="0"/>
        <charset val="1"/>
      </rPr>
      <t xml:space="preserve">4.16 s</t>
    </r>
  </si>
  <si>
    <r>
      <rPr>
        <sz val="10"/>
        <color rgb="FF000000"/>
        <rFont val="Arial"/>
        <family val="0"/>
        <charset val="1"/>
      </rPr>
      <t xml:space="preserve">v10.2 E2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）：與 </t>
    </r>
    <r>
      <rPr>
        <sz val="10"/>
        <color rgb="FF000000"/>
        <rFont val="Arial"/>
        <family val="0"/>
        <charset val="1"/>
      </rPr>
      <t xml:space="preserve">SRC_PERF_070 </t>
    </r>
    <r>
      <rPr>
        <sz val="10"/>
        <color rgb="FF000000"/>
        <rFont val="Noto Sans CJK SC"/>
        <family val="2"/>
      </rPr>
      <t xml:space="preserve">取幾何平均</t>
    </r>
  </si>
  <si>
    <t xml:space="preserve">SRC_PERF_072</t>
  </si>
  <si>
    <r>
      <rPr>
        <sz val="10"/>
        <color rgb="FF000000"/>
        <rFont val="Arial"/>
        <family val="0"/>
        <charset val="1"/>
      </rPr>
      <t xml:space="preserve">DeepSeek profile 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，批次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</si>
  <si>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tok/s/GPU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decode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</si>
  <si>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官方 </t>
    </r>
    <r>
      <rPr>
        <sz val="10"/>
        <color rgb="FF000000"/>
        <rFont val="Arial"/>
        <family val="0"/>
        <charset val="1"/>
      </rPr>
      <t xml:space="preserve">profile </t>
    </r>
    <r>
      <rPr>
        <sz val="10"/>
        <color rgb="FF000000"/>
        <rFont val="Noto Sans CJK SC"/>
        <family val="2"/>
      </rPr>
      <t xml:space="preserve">配置；每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批次 </t>
    </r>
    <r>
      <rPr>
        <sz val="10"/>
        <color rgb="FF000000"/>
        <rFont val="Arial"/>
        <family val="0"/>
        <charset val="1"/>
      </rPr>
      <t xml:space="preserve">128</t>
    </r>
    <r>
      <rPr>
        <sz val="10"/>
        <color rgb="FF000000"/>
        <rFont val="Noto Sans CJK SC"/>
        <family val="2"/>
      </rPr>
      <t xml:space="preserve">；提示長度 </t>
    </r>
    <r>
      <rPr>
        <sz val="10"/>
        <color rgb="FF000000"/>
        <rFont val="Arial"/>
        <family val="0"/>
        <charset val="1"/>
      </rPr>
      <t xml:space="preserve">4K</t>
    </r>
    <r>
      <rPr>
        <sz val="10"/>
        <color rgb="FF000000"/>
        <rFont val="Noto Sans CJK SC"/>
        <family val="2"/>
      </rPr>
      <t xml:space="preserve">；兩個 </t>
    </r>
    <r>
      <rPr>
        <sz val="10"/>
        <color rgb="FF000000"/>
        <rFont val="Arial"/>
        <family val="0"/>
        <charset val="1"/>
      </rPr>
      <t xml:space="preserve">micro-batch </t>
    </r>
    <r>
      <rPr>
        <sz val="10"/>
        <color rgb="FF000000"/>
        <rFont val="Noto Sans CJK SC"/>
        <family val="2"/>
      </rPr>
      <t xml:space="preserve">重疊；</t>
    </r>
    <r>
      <rPr>
        <sz val="10"/>
        <color rgb="FF000000"/>
        <rFont val="Arial"/>
        <family val="0"/>
        <charset val="1"/>
      </rPr>
      <t xml:space="preserve">TPOT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55 ms</t>
    </r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</si>
  <si>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EP128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</si>
  <si>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https://github.com/deepseek-ai/profile-data</t>
    </r>
    <r>
      <rPr>
        <sz val="10"/>
        <color rgb="FF000000"/>
        <rFont val="Noto Sans CJK SC"/>
        <family val="2"/>
      </rPr>
      <t xml:space="preserve">；數值轉引 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2507.19427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</si>
  <si>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自揭（宣傳成本效率）；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論文為轉引，非獨立量測</t>
    </r>
  </si>
  <si>
    <t xml:space="preserve">一手（官方配置）＋二手（吞吐轉引）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</si>
  <si>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C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</si>
  <si>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校準目標；與 </t>
    </r>
    <r>
      <rPr>
        <sz val="10"/>
        <color rgb="FF000000"/>
        <rFont val="Arial"/>
        <family val="0"/>
        <charset val="1"/>
      </rPr>
      <t xml:space="preserve">SRC_PERF_073 </t>
    </r>
    <r>
      <rPr>
        <sz val="10"/>
        <color rgb="FF000000"/>
        <rFont val="Noto Sans CJK SC"/>
        <family val="2"/>
      </rPr>
      <t xml:space="preserve">同一家公司，相關性高，兩者不獨立</t>
    </r>
  </si>
  <si>
    <t xml:space="preserve">SRC_PERF_073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</si>
  <si>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線上服務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小時平均）</t>
    </r>
  </si>
  <si>
    <r>
      <rPr>
        <sz val="10"/>
        <color rgb="FF000000"/>
        <rFont val="Arial"/>
        <family val="0"/>
        <charset val="1"/>
      </rPr>
      <t xml:space="preserve">24 </t>
    </r>
    <r>
      <rPr>
        <sz val="10"/>
        <color rgb="FF000000"/>
        <rFont val="Noto Sans CJK SC"/>
        <family val="2"/>
      </rPr>
      <t xml:space="preserve">小時平均（</t>
    </r>
    <r>
      <rPr>
        <sz val="10"/>
        <color rgb="FF000000"/>
        <rFont val="Arial"/>
        <family val="0"/>
        <charset val="1"/>
      </rPr>
      <t xml:space="preserve">2025-02-27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02-28</t>
    </r>
    <r>
      <rPr>
        <sz val="10"/>
        <color rgb="FF000000"/>
        <rFont val="Noto Sans CJK SC"/>
        <family val="2"/>
      </rPr>
      <t xml:space="preserve">）；平均每用戶輸出 </t>
    </r>
    <r>
      <rPr>
        <sz val="10"/>
        <color rgb="FF000000"/>
        <rFont val="Arial"/>
        <family val="0"/>
        <charset val="1"/>
      </rPr>
      <t xml:space="preserve">20–22 tok/s</t>
    </r>
    <r>
      <rPr>
        <sz val="10"/>
        <color rgb="FF000000"/>
        <rFont val="Noto Sans CJK SC"/>
        <family val="2"/>
      </rPr>
      <t xml:space="preserve">；每輸出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KV </t>
    </r>
    <r>
      <rPr>
        <sz val="10"/>
        <color rgb="FF000000"/>
        <rFont val="Noto Sans CJK SC"/>
        <family val="2"/>
      </rPr>
      <t xml:space="preserve">長度 </t>
    </r>
    <r>
      <rPr>
        <sz val="10"/>
        <color rgb="FF000000"/>
        <rFont val="Arial"/>
        <family val="0"/>
        <charset val="1"/>
      </rPr>
      <t xml:space="preserve">4,989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單元 </t>
    </r>
    <r>
      <rPr>
        <sz val="10"/>
        <color rgb="FF000000"/>
        <rFont val="Arial"/>
        <family val="0"/>
        <charset val="1"/>
      </rPr>
      <t xml:space="preserve">18 </t>
    </r>
    <r>
      <rPr>
        <sz val="10"/>
        <color rgb="FF000000"/>
        <rFont val="Noto Sans CJK SC"/>
        <family val="2"/>
      </rPr>
      <t xml:space="preserve">節點（</t>
    </r>
    <r>
      <rPr>
        <sz val="10"/>
        <color rgb="FF000000"/>
        <rFont val="Arial"/>
        <family val="0"/>
        <charset val="1"/>
      </rPr>
      <t xml:space="preserve">EP144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</si>
  <si>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DeepSeek-V3/R1 on H800</t>
    </r>
    <r>
      <rPr>
        <sz val="10"/>
        <color rgb="FF000000"/>
        <rFont val="Noto Sans CJK SC"/>
        <family val="2"/>
      </rPr>
      <t xml:space="preserve">（線上服務）</t>
    </r>
  </si>
  <si>
    <t xml:space="preserve">2025-03</t>
  </si>
  <si>
    <t xml:space="preserve">https://github.com/deepseek-ai/open-infra-index/blob/main/202502OpenSourceWeek/day_6_one_more_thing_deepseekV3R1_inference_system_overview.md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</si>
  <si>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自營服務自揭（並宣稱理論利潤率 </t>
    </r>
    <r>
      <rPr>
        <sz val="10"/>
        <color rgb="FF000000"/>
        <rFont val="Arial"/>
        <family val="0"/>
        <charset val="1"/>
      </rPr>
      <t xml:space="preserve">545%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Step-3 </t>
    </r>
    <r>
      <rPr>
        <sz val="10"/>
        <color rgb="FF000000"/>
        <rFont val="Noto Sans CJK SC"/>
        <family val="2"/>
      </rPr>
      <t xml:space="preserve">論文表 </t>
    </r>
    <r>
      <rPr>
        <sz val="10"/>
        <color rgb="FF000000"/>
        <rFont val="Arial"/>
        <family val="0"/>
        <charset val="1"/>
      </rPr>
      <t xml:space="preserve">8 </t>
    </r>
    <r>
      <rPr>
        <sz val="10"/>
        <color rgb="FF000000"/>
        <rFont val="Noto Sans CJK SC"/>
        <family val="2"/>
      </rPr>
      <t xml:space="preserve">轉引 </t>
    </r>
    <r>
      <rPr>
        <sz val="10"/>
        <color rgb="FF000000"/>
        <rFont val="Arial"/>
        <family val="0"/>
        <charset val="1"/>
      </rPr>
      <t xml:space="preserve">1,850</t>
    </r>
  </si>
  <si>
    <t xml:space="preserve">一手（官方文件）</t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</si>
  <si>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E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V15</t>
    </r>
    <r>
      <rPr>
        <sz val="10"/>
        <color rgb="FF000000"/>
        <rFont val="Noto Sans CJK SC"/>
        <family val="2"/>
      </rPr>
      <t xml:space="preserve">（驗證，不用於校準）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</si>
  <si>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Hopper </t>
    </r>
    <r>
      <rPr>
        <sz val="10"/>
        <color rgb="FF000000"/>
        <rFont val="Noto Sans CJK SC"/>
        <family val="2"/>
      </rPr>
      <t xml:space="preserve">條件對齊後驗證點；與校準點 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2,324</t>
    </r>
    <r>
      <rPr>
        <sz val="10"/>
        <color rgb="FF000000"/>
        <rFont val="Noto Sans CJK SC"/>
        <family val="2"/>
      </rPr>
      <t xml:space="preserve">）同一家公司，相關性高</t>
    </r>
  </si>
  <si>
    <t xml:space="preserve">SRC_PERF_074</t>
  </si>
  <si>
    <r>
      <rPr>
        <sz val="10"/>
        <color rgb="FF000000"/>
        <rFont val="Arial"/>
        <family val="0"/>
        <charset val="1"/>
      </rPr>
      <t xml:space="preserve">vLLM WideEP on GB200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每 </t>
    </r>
    <r>
      <rPr>
        <sz val="10"/>
        <color rgb="FF000000"/>
        <rFont val="Arial"/>
        <family val="0"/>
        <charset val="1"/>
      </rPr>
      <t xml:space="preserve">GPU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 </t>
    </r>
    <r>
      <rPr>
        <sz val="10"/>
        <color rgb="FF000000"/>
        <rFont val="Noto Sans CJK SC"/>
        <family val="2"/>
      </rPr>
      <t xml:space="preserve">類，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2K</t>
    </r>
    <r>
      <rPr>
        <sz val="10"/>
        <color rgb="FF000000"/>
        <rFont val="Noto Sans CJK SC"/>
        <family val="2"/>
      </rPr>
      <t xml:space="preserve">，專家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</si>
  <si>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decode 1 </t>
    </r>
    <r>
      <rPr>
        <sz val="10"/>
        <color rgb="FF000000"/>
        <rFont val="Noto Sans CJK SC"/>
        <family val="2"/>
      </rPr>
      <t xml:space="preserve">個 </t>
    </r>
    <r>
      <rPr>
        <sz val="10"/>
        <color rgb="FF000000"/>
        <rFont val="Arial"/>
        <family val="0"/>
        <charset val="1"/>
      </rPr>
      <t xml:space="preserve">8 GPU </t>
    </r>
    <r>
      <rPr>
        <sz val="10"/>
        <color rgb="FF000000"/>
        <rFont val="Noto Sans CJK SC"/>
        <family val="2"/>
      </rPr>
      <t xml:space="preserve">實例；批次填滿 </t>
    </r>
    <r>
      <rPr>
        <sz val="10"/>
        <color rgb="FF000000"/>
        <rFont val="Arial"/>
        <family val="0"/>
        <charset val="1"/>
      </rPr>
      <t xml:space="preserve">HBM</t>
    </r>
    <r>
      <rPr>
        <sz val="10"/>
        <color rgb="FF000000"/>
        <rFont val="Noto Sans CJK SC"/>
        <family val="2"/>
      </rPr>
      <t xml:space="preserve">；無 </t>
    </r>
    <r>
      <rPr>
        <sz val="10"/>
        <color rgb="FF000000"/>
        <rFont val="Arial"/>
        <family val="0"/>
        <charset val="1"/>
      </rPr>
      <t xml:space="preserve">ITL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SLO</t>
    </r>
    <r>
      <rPr>
        <sz val="10"/>
        <color rgb="FF000000"/>
        <rFont val="Noto Sans CJK SC"/>
        <family val="2"/>
      </rPr>
      <t xml:space="preserve">；是否只算輸出未寫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</si>
  <si>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vLLM wide-EP</t>
    </r>
    <r>
      <rPr>
        <sz val="10"/>
        <color rgb="FF000000"/>
        <rFont val="Noto Sans CJK SC"/>
        <family val="2"/>
      </rPr>
      <t xml:space="preserve">）</t>
    </r>
  </si>
  <si>
    <t xml:space="preserve">https://vllm.ai/blog/dsr1-gb200-part1</t>
  </si>
  <si>
    <r>
      <rPr>
        <sz val="10"/>
        <color rgb="FF000000"/>
        <rFont val="Arial"/>
        <family val="0"/>
        <charset val="1"/>
      </rPr>
      <t xml:space="preserve">vLLM </t>
    </r>
    <r>
      <rPr>
        <sz val="10"/>
        <color rgb="FF000000"/>
        <rFont val="Noto Sans CJK SC"/>
        <family val="2"/>
      </rPr>
      <t xml:space="preserve">專案（開源；宣傳）；與 </t>
    </r>
    <r>
      <rPr>
        <sz val="10"/>
        <color rgb="FF000000"/>
        <rFont val="Arial"/>
        <family val="0"/>
        <charset val="1"/>
      </rPr>
      <t xml:space="preserve">LMSYS 13,386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NVFP4</t>
    </r>
    <r>
      <rPr>
        <sz val="10"/>
        <color rgb="FF000000"/>
        <rFont val="Noto Sans CJK SC"/>
        <family val="2"/>
      </rPr>
      <t xml:space="preserve">）互相佐證但非同一數字</t>
    </r>
  </si>
  <si>
    <r>
      <rPr>
        <sz val="10"/>
        <color rgb="FF000000"/>
        <rFont val="Arial"/>
        <family val="0"/>
        <charset val="1"/>
      </rPr>
      <t xml:space="preserve">Calib J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D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校準複本列）</t>
    </r>
  </si>
  <si>
    <r>
      <rPr>
        <sz val="10"/>
        <color rgb="FF000000"/>
        <rFont val="Arial"/>
        <family val="0"/>
        <charset val="1"/>
      </rPr>
      <t xml:space="preserve">v10.2 E1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大批次、無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的校準目標（候選）；</t>
    </r>
    <r>
      <rPr>
        <sz val="10"/>
        <color rgb="FF000000"/>
        <rFont val="Arial"/>
        <family val="0"/>
        <charset val="1"/>
      </rPr>
      <t xml:space="preserve">MLPerf v6.0 server 4,668 </t>
    </r>
    <r>
      <rPr>
        <sz val="10"/>
        <color rgb="FF000000"/>
        <rFont val="Noto Sans CJK SC"/>
        <family val="2"/>
      </rPr>
      <t xml:space="preserve">才是有 </t>
    </r>
    <r>
      <rPr>
        <sz val="10"/>
        <color rgb="FF000000"/>
        <rFont val="Arial"/>
        <family val="0"/>
        <charset val="1"/>
      </rPr>
      <t xml:space="preserve">SLO </t>
    </r>
    <r>
      <rPr>
        <sz val="10"/>
        <color rgb="FF000000"/>
        <rFont val="Noto Sans CJK SC"/>
        <family val="2"/>
      </rPr>
      <t xml:space="preserve">的對照</t>
    </r>
  </si>
  <si>
    <t xml:space="preserve">SRC_PERF_075</t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</si>
  <si>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</si>
  <si>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TPOT p99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336,106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</si>
  <si>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6.0-0075</t>
    </r>
    <r>
      <rPr>
        <sz val="10"/>
        <color rgb="FF000000"/>
        <rFont val="Noto Sans CJK SC"/>
        <family val="2"/>
      </rPr>
      <t xml:space="preserve">）</t>
    </r>
  </si>
  <si>
    <t xml:space="preserve">2026-04</t>
  </si>
  <si>
    <t xml:space="preserve">https://raw.githubusercontent.com/mlcommons/inference_results_v6.0/main/summary_results.json</t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</si>
  <si>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為賣方；其他提交者 </t>
    </r>
    <r>
      <rPr>
        <sz val="10"/>
        <color rgb="FF000000"/>
        <rFont val="Arial"/>
        <family val="0"/>
        <charset val="1"/>
      </rPr>
      <t xml:space="preserve">Google 2,178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CoreWeave 4,868</t>
    </r>
    <r>
      <rPr>
        <sz val="10"/>
        <color rgb="FF000000"/>
        <rFont val="Noto Sans CJK SC"/>
        <family val="2"/>
      </rPr>
      <t xml:space="preserve">（依軟體調校差很多）</t>
    </r>
  </si>
  <si>
    <r>
      <rPr>
        <sz val="10"/>
        <color rgb="FF000000"/>
        <rFont val="Noto Sans CJK SC"/>
        <family val="2"/>
      </rPr>
      <t xml:space="preserve">一手（原始 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已讀）</t>
    </r>
  </si>
  <si>
    <t xml:space="preserve">SRC_PERF_077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</si>
  <si>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H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</si>
  <si>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新上限（取代 </t>
    </r>
    <r>
      <rPr>
        <sz val="10"/>
        <color rgb="FF000000"/>
        <rFont val="Arial"/>
        <family val="0"/>
        <charset val="1"/>
      </rPr>
      <t xml:space="preserve">v5.1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2,327</t>
    </r>
    <r>
      <rPr>
        <sz val="10"/>
        <color rgb="FF000000"/>
        <rFont val="Noto Sans CJK SC"/>
        <family val="2"/>
      </rPr>
      <t xml:space="preserve">）；第二來源 </t>
    </r>
    <r>
      <rPr>
        <sz val="10"/>
        <color rgb="FF000000"/>
        <rFont val="Arial"/>
        <family val="0"/>
        <charset val="1"/>
      </rPr>
      <t xml:space="preserve">SRC_PERF_077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</si>
  <si>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NVIDIA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</si>
  <si>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400,437 ÷ 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MLCommons summary_results.json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</si>
  <si>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6.0-0078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</si>
  <si>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稽核為中立；提交者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為賣方；同輪 </t>
    </r>
    <r>
      <rPr>
        <sz val="10"/>
        <color rgb="FF000000"/>
        <rFont val="Arial"/>
        <family val="0"/>
        <charset val="1"/>
      </rPr>
      <t xml:space="preserve">Nebius 72 GPU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7,994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Nebius 8 GPU </t>
    </r>
    <r>
      <rPr>
        <sz val="10"/>
        <color rgb="FF000000"/>
        <rFont val="Noto Sans CJK SC"/>
        <family val="2"/>
      </rPr>
      <t xml:space="preserve">單機 </t>
    </r>
    <r>
      <rPr>
        <sz val="10"/>
        <color rgb="FF000000"/>
        <rFont val="Arial"/>
        <family val="0"/>
        <charset val="1"/>
      </rPr>
      <t xml:space="preserve">8,064</t>
    </r>
    <r>
      <rPr>
        <sz val="10"/>
        <color rgb="FF000000"/>
        <rFont val="Noto Sans CJK SC"/>
        <family val="2"/>
      </rPr>
      <t xml:space="preserve">（即舊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對照）</t>
    </r>
  </si>
  <si>
    <t xml:space="preserve">SRC_PERF_078</t>
  </si>
  <si>
    <r>
      <rPr>
        <sz val="10"/>
        <color rgb="FF000000"/>
        <rFont val="Arial"/>
        <family val="0"/>
        <charset val="1"/>
      </rPr>
      <t xml:space="preserve">Calib H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F </t>
    </r>
    <r>
      <rPr>
        <sz val="10"/>
        <color rgb="FF000000"/>
        <rFont val="Noto Sans CJK SC"/>
        <family val="2"/>
      </rPr>
      <t xml:space="preserve">欄；</t>
    </r>
    <r>
      <rPr>
        <sz val="10"/>
        <color rgb="FF000000"/>
        <rFont val="Arial"/>
        <family val="0"/>
        <charset val="1"/>
      </rPr>
      <t xml:space="preserve">Checks V3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MLPerf </t>
    </r>
    <r>
      <rPr>
        <sz val="10"/>
        <color rgb="FF000000"/>
        <rFont val="Noto Sans CJK SC"/>
        <family val="2"/>
      </rPr>
      <t xml:space="preserve">上限）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</si>
  <si>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對照改為同輪 </t>
    </r>
    <r>
      <rPr>
        <sz val="10"/>
        <color rgb="FF000000"/>
        <rFont val="Arial"/>
        <family val="0"/>
        <charset val="1"/>
      </rPr>
      <t xml:space="preserve">72 GPU </t>
    </r>
    <r>
      <rPr>
        <sz val="10"/>
        <color rgb="FF000000"/>
        <rFont val="Noto Sans CJK SC"/>
        <family val="2"/>
      </rPr>
      <t xml:space="preserve">機櫃；範圍 </t>
    </r>
    <r>
      <rPr>
        <sz val="10"/>
        <color rgb="FF000000"/>
        <rFont val="Arial"/>
        <family val="0"/>
        <charset val="1"/>
      </rPr>
      <t xml:space="preserve">5,562–7,994</t>
    </r>
    <r>
      <rPr>
        <sz val="10"/>
        <color rgb="FF000000"/>
        <rFont val="Noto Sans CJK SC"/>
        <family val="2"/>
      </rPr>
      <t xml:space="preserve">；第二來源 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</si>
  <si>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CoreWeave 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</si>
  <si>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311,531 ÷ 64</t>
    </r>
  </si>
  <si>
    <r>
      <rPr>
        <sz val="10"/>
        <color rgb="FF000000"/>
        <rFont val="Arial"/>
        <family val="0"/>
        <charset val="1"/>
      </rPr>
      <t xml:space="preserve">GB200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</si>
  <si>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</si>
  <si>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V2 </t>
    </r>
    <r>
      <rPr>
        <sz val="10"/>
        <color rgb="FF000000"/>
        <rFont val="Noto Sans CJK SC"/>
        <family val="2"/>
      </rPr>
      <t xml:space="preserve">說明欄（第二來源）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</si>
  <si>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V2 </t>
    </r>
    <r>
      <rPr>
        <sz val="10"/>
        <color rgb="FF000000"/>
        <rFont val="Noto Sans CJK SC"/>
        <family val="2"/>
      </rPr>
      <t xml:space="preserve">第二來源（不同提交者、</t>
    </r>
    <r>
      <rPr>
        <sz val="10"/>
        <color rgb="FF000000"/>
        <rFont val="Arial"/>
        <family val="0"/>
        <charset val="1"/>
      </rPr>
      <t xml:space="preserve">64 GPU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</si>
  <si>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MLPerf v6.0 DeepSeek-R1 server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Nebius 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）每 </t>
    </r>
    <r>
      <rPr>
        <sz val="10"/>
        <color rgb="FF000000"/>
        <rFont val="Arial"/>
        <family val="0"/>
        <charset val="1"/>
      </rPr>
      <t xml:space="preserve">GPU</t>
    </r>
  </si>
  <si>
    <r>
      <rPr>
        <sz val="10"/>
        <color rgb="FF000000"/>
        <rFont val="Arial"/>
        <family val="0"/>
        <charset val="1"/>
      </rPr>
      <t xml:space="preserve">server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Closed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available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575,580 ÷ 72</t>
    </r>
  </si>
  <si>
    <r>
      <rPr>
        <sz val="10"/>
        <color rgb="FF000000"/>
        <rFont val="Arial"/>
        <family val="0"/>
        <charset val="1"/>
      </rPr>
      <t xml:space="preserve">GB300 NVL72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提交 </t>
    </r>
    <r>
      <rPr>
        <sz val="10"/>
        <color rgb="FF000000"/>
        <rFont val="Arial"/>
        <family val="0"/>
        <charset val="1"/>
      </rPr>
      <t xml:space="preserve">6.0-0081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</si>
  <si>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Nebius </t>
    </r>
    <r>
      <rPr>
        <sz val="10"/>
        <color rgb="FF000000"/>
        <rFont val="Noto Sans CJK SC"/>
        <family val="2"/>
      </rPr>
      <t xml:space="preserve">為雲端出租方；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稽核為中立</t>
    </r>
  </si>
  <si>
    <r>
      <rPr>
        <sz val="10"/>
        <color rgb="FF000000"/>
        <rFont val="Arial"/>
        <family val="0"/>
        <charset val="1"/>
      </rPr>
      <t xml:space="preserve">Checks V3 </t>
    </r>
    <r>
      <rPr>
        <sz val="10"/>
        <color rgb="FF000000"/>
        <rFont val="Noto Sans CJK SC"/>
        <family val="2"/>
      </rPr>
      <t xml:space="preserve">說明欄（第二來源，範圍上端）</t>
    </r>
  </si>
  <si>
    <r>
      <rPr>
        <sz val="10"/>
        <color rgb="FF000000"/>
        <rFont val="Arial"/>
        <family val="0"/>
        <charset val="1"/>
      </rPr>
      <t xml:space="preserve">v10.2 E3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E379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第二來源（同輪 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，不同提交者）</t>
    </r>
  </si>
  <si>
    <r>
      <rPr>
        <b val="true"/>
        <sz val="13"/>
        <rFont val="Arial"/>
        <family val="0"/>
        <charset val="1"/>
      </rPr>
      <t xml:space="preserve">SRC_Price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API </t>
    </r>
    <r>
      <rPr>
        <b val="true"/>
        <sz val="13"/>
        <rFont val="Noto Sans CJK SC"/>
        <family val="2"/>
      </rPr>
      <t xml:space="preserve">牌價與算力租金（廠商牌價、新雲價目、第三方推算）</t>
    </r>
  </si>
  <si>
    <t xml:space="preserve">來源等級：A＝Andy、1＝一手且已讀原文、2＝二手已讀或一手文件轉載、3＝模型內建知識、只見摘錄或待查核（G0-7）。狀態：Active／Alt（口徑不同或多家獨立估計並列，G13）／Superseded。 ｜v5.29：X–AB 為價格分層欄（價格層、合約期、客戶規模、可中斷性、計價單位；既有紀錄留空，待 chat 端填）；檢查公式欄移至 AC–AE、鍵欄 AM</t>
  </si>
  <si>
    <t xml:space="preserve">價格層（隨需／預留／長約）</t>
  </si>
  <si>
    <t xml:space="preserve">合約期（月）</t>
  </si>
  <si>
    <t xml:space="preserve">客戶規模</t>
  </si>
  <si>
    <t xml:space="preserve">可中斷性（是／否）</t>
  </si>
  <si>
    <t xml:space="preserve">計價單位（token／GPU-hr／MW-year）</t>
  </si>
  <si>
    <r>
      <rPr>
        <sz val="10"/>
        <color rgb="FF000000"/>
        <rFont val="Arial"/>
        <family val="0"/>
        <charset val="1"/>
      </rPr>
      <t xml:space="preserve">CoreWeave GB200 4-GPU </t>
    </r>
    <r>
      <rPr>
        <sz val="10"/>
        <color rgb="FF000000"/>
        <rFont val="Noto Sans CJK SC"/>
        <family val="2"/>
      </rPr>
      <t xml:space="preserve">執行個體牌價</t>
    </r>
  </si>
  <si>
    <t xml:space="preserve">$/hr</t>
  </si>
  <si>
    <t xml:space="preserve">隨需牌價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</si>
  <si>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CoreWeave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</si>
  <si>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spheron.network </t>
    </r>
    <r>
      <rPr>
        <sz val="10"/>
        <color rgb="FF000000"/>
        <rFont val="Noto Sans CJK SC"/>
        <family val="2"/>
      </rPr>
      <t xml:space="preserve">引述 </t>
    </r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價目表</t>
    </r>
  </si>
  <si>
    <r>
      <rPr>
        <sz val="10"/>
        <color rgb="FF000000"/>
        <rFont val="Arial"/>
        <family val="0"/>
        <charset val="1"/>
      </rPr>
      <t xml:space="preserve">CoreWeave </t>
    </r>
    <r>
      <rPr>
        <sz val="10"/>
        <color rgb="FF000000"/>
        <rFont val="Noto Sans CJK SC"/>
        <family val="2"/>
      </rPr>
      <t xml:space="preserve">牌價（經 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spheron </t>
    </r>
    <r>
      <rPr>
        <sz val="10"/>
        <color rgb="FF000000"/>
        <rFont val="Noto Sans CJK SC"/>
        <family val="2"/>
      </rPr>
      <t xml:space="preserve">為競爭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雲）</t>
    </r>
  </si>
  <si>
    <t xml:space="preserve">E148</t>
  </si>
  <si>
    <t xml:space="preserve">S18</t>
  </si>
  <si>
    <r>
      <rPr>
        <sz val="10"/>
        <color rgb="FF000000"/>
        <rFont val="Arial"/>
        <family val="0"/>
        <charset val="1"/>
      </rPr>
      <t xml:space="preserve">Checks!C9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</si>
  <si>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÷4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10.50 $/GPU-hr</t>
    </r>
  </si>
  <si>
    <t xml:space="preserve">新雲損益兩平租金（Cape Fear）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</si>
  <si>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</t>
    </r>
  </si>
  <si>
    <t xml:space="preserve">機型未明</t>
  </si>
  <si>
    <t xml:space="preserve">capefearadvisors.substack.com</t>
  </si>
  <si>
    <t xml:space="preserve">獨立部落客推算（第三方推算值，非實測）；機型未明</t>
  </si>
  <si>
    <t xml:space="preserve">一手（作者自算）</t>
  </si>
  <si>
    <t xml:space="preserve">E149</t>
  </si>
  <si>
    <t xml:space="preserve">S19</t>
  </si>
  <si>
    <r>
      <rPr>
        <sz val="10"/>
        <color rgb="FF000000"/>
        <rFont val="Arial"/>
        <family val="0"/>
        <charset val="1"/>
      </rPr>
      <t xml:space="preserve">Checks!C10</t>
    </r>
    <r>
      <rPr>
        <sz val="10"/>
        <color rgb="FF000000"/>
        <rFont val="Noto Sans CJK SC"/>
        <family val="2"/>
      </rPr>
      <t xml:space="preserve">｜對照</t>
    </r>
  </si>
  <si>
    <t xml:space="preserve">第三方推算值</t>
  </si>
  <si>
    <t xml:space="preserve">SRC_PRC_003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</si>
  <si>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新鮮輸入</t>
    </r>
  </si>
  <si>
    <t xml:space="preserve">Standard</t>
  </si>
  <si>
    <r>
      <rPr>
        <sz val="10"/>
        <color rgb="FF000000"/>
        <rFont val="Arial"/>
        <family val="0"/>
        <charset val="1"/>
      </rPr>
      <t xml:space="preserve">developers.openai.com/api/docs/pricing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已核對）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</si>
  <si>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牌價（牌價本身即事實，誤報誘因低）</t>
    </r>
  </si>
  <si>
    <t xml:space="preserve">E152</t>
  </si>
  <si>
    <t xml:space="preserve">S50</t>
  </si>
  <si>
    <r>
      <rPr>
        <sz val="10"/>
        <color rgb="FF000000"/>
        <rFont val="Arial"/>
        <family val="0"/>
        <charset val="1"/>
      </rPr>
      <t xml:space="preserve">Cap_In!C6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Cap_In!E46</t>
    </r>
    <r>
      <rPr>
        <sz val="10"/>
        <color rgb="FF000000"/>
        <rFont val="Noto Sans CJK SC"/>
        <family val="2"/>
      </rPr>
      <t xml:space="preserve">｜直接</t>
    </r>
  </si>
  <si>
    <t xml:space="preserve">SRC_PRC_004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</si>
  <si>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</si>
  <si>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Cap_In!C7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Cap_In!F46</t>
    </r>
    <r>
      <rPr>
        <sz val="10"/>
        <color rgb="FF000000"/>
        <rFont val="Noto Sans CJK SC"/>
        <family val="2"/>
      </rPr>
      <t xml:space="preserve">｜直接</t>
    </r>
  </si>
  <si>
    <t xml:space="preserve">SRC_PRC_005</t>
  </si>
  <si>
    <r>
      <rPr>
        <sz val="10"/>
        <color rgb="FF000000"/>
        <rFont val="Arial"/>
        <family val="0"/>
        <charset val="1"/>
      </rPr>
      <t xml:space="preserve">GPT-6 Luna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</si>
  <si>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Cap_In!C8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Cap_In!G46</t>
    </r>
    <r>
      <rPr>
        <sz val="10"/>
        <color rgb="FF000000"/>
        <rFont val="Noto Sans CJK SC"/>
        <family val="2"/>
      </rPr>
      <t xml:space="preserve">｜直接</t>
    </r>
  </si>
  <si>
    <t xml:space="preserve">SRC_PRC_006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</si>
  <si>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</si>
  <si>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Cap_In!D6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Cap_In!E47</t>
    </r>
    <r>
      <rPr>
        <sz val="10"/>
        <color rgb="FF000000"/>
        <rFont val="Noto Sans CJK SC"/>
        <family val="2"/>
      </rPr>
      <t xml:space="preserve">｜直接</t>
    </r>
  </si>
  <si>
    <t xml:space="preserve">SRC_PRC_007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</si>
  <si>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</si>
  <si>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Cap_In!D7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Cap_In!F47</t>
    </r>
    <r>
      <rPr>
        <sz val="10"/>
        <color rgb="FF000000"/>
        <rFont val="Noto Sans CJK SC"/>
        <family val="2"/>
      </rPr>
      <t xml:space="preserve">｜直接</t>
    </r>
  </si>
  <si>
    <t xml:space="preserve">SRC_PRC_008</t>
  </si>
  <si>
    <r>
      <rPr>
        <sz val="10"/>
        <color rgb="FF000000"/>
        <rFont val="Arial"/>
        <family val="0"/>
        <charset val="1"/>
      </rPr>
      <t xml:space="preserve">GPT-6 Sol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</si>
  <si>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Cap_In!D8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Cap_In!G47</t>
    </r>
    <r>
      <rPr>
        <sz val="10"/>
        <color rgb="FF000000"/>
        <rFont val="Noto Sans CJK SC"/>
        <family val="2"/>
      </rPr>
      <t xml:space="preserve">｜直接</t>
    </r>
  </si>
  <si>
    <t xml:space="preserve">SRC_PRC_009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</si>
  <si>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新鮮輸入</t>
    </r>
  </si>
  <si>
    <r>
      <rPr>
        <sz val="10"/>
        <color rgb="FF000000"/>
        <rFont val="Arial"/>
        <family val="0"/>
        <charset val="1"/>
      </rPr>
      <t xml:space="preserve">Cap_In!E6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Cap_In!E48</t>
    </r>
    <r>
      <rPr>
        <sz val="10"/>
        <color rgb="FF000000"/>
        <rFont val="Noto Sans CJK SC"/>
        <family val="2"/>
      </rPr>
      <t xml:space="preserve">｜直接</t>
    </r>
  </si>
  <si>
    <t xml:space="preserve">SRC_PRC_010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</si>
  <si>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</si>
  <si>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Cap_In!E7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Cap_In!F48</t>
    </r>
    <r>
      <rPr>
        <sz val="10"/>
        <color rgb="FF000000"/>
        <rFont val="Noto Sans CJK SC"/>
        <family val="2"/>
      </rPr>
      <t xml:space="preserve">｜直接</t>
    </r>
  </si>
  <si>
    <t xml:space="preserve">SRC_PRC_011</t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</si>
  <si>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輸出（含思考）</t>
    </r>
  </si>
  <si>
    <r>
      <rPr>
        <sz val="10"/>
        <color rgb="FF000000"/>
        <rFont val="Arial"/>
        <family val="0"/>
        <charset val="1"/>
      </rPr>
      <t xml:space="preserve">Cap_In!E8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Cap_In!G48</t>
    </r>
    <r>
      <rPr>
        <sz val="10"/>
        <color rgb="FF000000"/>
        <rFont val="Noto Sans CJK SC"/>
        <family val="2"/>
      </rPr>
      <t xml:space="preserve">｜直接</t>
    </r>
  </si>
  <si>
    <t xml:space="preserve">SRC_PRC_012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</si>
  <si>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</si>
  <si>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docs.claude.com </t>
    </r>
    <r>
      <rPr>
        <sz val="10"/>
        <color rgb="FF000000"/>
        <rFont val="Noto Sans CJK SC"/>
        <family val="2"/>
      </rPr>
      <t xml:space="preserve">定價頁（未直接讀取）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</si>
  <si>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牌價（官方頁未直接讀取）</t>
    </r>
  </si>
  <si>
    <t xml:space="preserve">E153</t>
  </si>
  <si>
    <t xml:space="preserve">S51</t>
  </si>
  <si>
    <r>
      <rPr>
        <sz val="10"/>
        <color rgb="FF000000"/>
        <rFont val="Arial"/>
        <family val="0"/>
        <charset val="1"/>
      </rPr>
      <t xml:space="preserve">Cap_In!E49</t>
    </r>
    <r>
      <rPr>
        <sz val="10"/>
        <color rgb="FF000000"/>
        <rFont val="Noto Sans CJK SC"/>
        <family val="2"/>
      </rPr>
      <t xml:space="preserve">｜直接</t>
    </r>
  </si>
  <si>
    <t xml:space="preserve">SRC_PRC_013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</si>
  <si>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快取讀取</t>
    </r>
  </si>
  <si>
    <r>
      <rPr>
        <sz val="10"/>
        <color rgb="FF000000"/>
        <rFont val="Arial"/>
        <family val="0"/>
        <charset val="1"/>
      </rPr>
      <t xml:space="preserve">Cap_In!F49</t>
    </r>
    <r>
      <rPr>
        <sz val="10"/>
        <color rgb="FF000000"/>
        <rFont val="Noto Sans CJK SC"/>
        <family val="2"/>
      </rPr>
      <t xml:space="preserve">｜直接</t>
    </r>
  </si>
  <si>
    <t xml:space="preserve">僅單一二手來源</t>
  </si>
  <si>
    <t xml:space="preserve">SRC_PRC_014</t>
  </si>
  <si>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</si>
  <si>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Cap_In!G49</t>
    </r>
    <r>
      <rPr>
        <sz val="10"/>
        <color rgb="FF000000"/>
        <rFont val="Noto Sans CJK SC"/>
        <family val="2"/>
      </rPr>
      <t xml:space="preserve">｜直接</t>
    </r>
  </si>
  <si>
    <t xml:space="preserve">SRC_PRC_015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</si>
  <si>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輸入</t>
    </r>
  </si>
  <si>
    <t xml:space="preserve">2026-07</t>
  </si>
  <si>
    <r>
      <rPr>
        <sz val="10"/>
        <color rgb="FF000000"/>
        <rFont val="Arial"/>
        <family val="0"/>
        <charset val="1"/>
      </rPr>
      <t xml:space="preserve">Cap_In!E50</t>
    </r>
    <r>
      <rPr>
        <sz val="10"/>
        <color rgb="FF000000"/>
        <rFont val="Noto Sans CJK SC"/>
        <family val="2"/>
      </rPr>
      <t xml:space="preserve">｜直接</t>
    </r>
  </si>
  <si>
    <t xml:space="preserve">模型快取 0.5 無來源（推測為輸入 10%）</t>
  </si>
  <si>
    <t xml:space="preserve">SRC_PRC_016</t>
  </si>
  <si>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</si>
  <si>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Cap_In!G50</t>
    </r>
    <r>
      <rPr>
        <sz val="10"/>
        <color rgb="FF000000"/>
        <rFont val="Noto Sans CJK SC"/>
        <family val="2"/>
      </rPr>
      <t xml:space="preserve">｜直接</t>
    </r>
  </si>
  <si>
    <t xml:space="preserve">SRC_PRC_017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</si>
  <si>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</si>
  <si>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Cap_In!E51</t>
    </r>
    <r>
      <rPr>
        <sz val="10"/>
        <color rgb="FF000000"/>
        <rFont val="Noto Sans CJK SC"/>
        <family val="2"/>
      </rPr>
      <t xml:space="preserve">｜直接</t>
    </r>
  </si>
  <si>
    <t xml:space="preserve">模型快取 0.2 無來源</t>
  </si>
  <si>
    <t xml:space="preserve">SRC_PRC_018</t>
  </si>
  <si>
    <r>
      <rPr>
        <sz val="10"/>
        <color rgb="FF000000"/>
        <rFont val="Arial"/>
        <family val="0"/>
        <charset val="1"/>
      </rPr>
      <t xml:space="preserve">Claude Opus 5.5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</si>
  <si>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Cap_In!G51</t>
    </r>
    <r>
      <rPr>
        <sz val="10"/>
        <color rgb="FF000000"/>
        <rFont val="Noto Sans CJK SC"/>
        <family val="2"/>
      </rPr>
      <t xml:space="preserve">｜直接</t>
    </r>
  </si>
  <si>
    <t xml:space="preserve">SRC_PRC_019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</si>
  <si>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分鐘）</t>
    </r>
  </si>
  <si>
    <r>
      <rPr>
        <sz val="10"/>
        <color rgb="FF000000"/>
        <rFont val="Arial"/>
        <family val="0"/>
        <charset val="1"/>
      </rPr>
      <t xml:space="preserve">× </t>
    </r>
    <r>
      <rPr>
        <sz val="10"/>
        <color rgb="FF000000"/>
        <rFont val="Noto Sans CJK SC"/>
        <family val="2"/>
      </rPr>
      <t xml:space="preserve">輸入價</t>
    </r>
  </si>
  <si>
    <t xml:space="preserve">SRC_PRC_020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</si>
  <si>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快取寫入倍數（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小時）</t>
    </r>
  </si>
  <si>
    <t xml:space="preserve">SRC_PRC_021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</si>
  <si>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輸入（尖峰）</t>
    </r>
  </si>
  <si>
    <t xml:space="preserve">尖峰；國際站美元</t>
  </si>
  <si>
    <t xml:space="preserve">api-docs.deepseek.com/quick_start/pricing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</si>
  <si>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官方牌價</t>
    </r>
  </si>
  <si>
    <t xml:space="preserve">E154</t>
  </si>
  <si>
    <r>
      <rPr>
        <sz val="10"/>
        <color rgb="FF000000"/>
        <rFont val="Arial"/>
        <family val="0"/>
        <charset val="1"/>
      </rPr>
      <t xml:space="preserve">Cap_In!E52</t>
    </r>
    <r>
      <rPr>
        <sz val="10"/>
        <color rgb="FF000000"/>
        <rFont val="Noto Sans CJK SC"/>
        <family val="2"/>
      </rPr>
      <t xml:space="preserve">｜直接</t>
    </r>
  </si>
  <si>
    <t xml:space="preserve">SRC_PRC_022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</si>
  <si>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快取輸入（尖峰）</t>
    </r>
  </si>
  <si>
    <t xml:space="preserve">尖峰</t>
  </si>
  <si>
    <r>
      <rPr>
        <sz val="10"/>
        <color rgb="FF000000"/>
        <rFont val="Arial"/>
        <family val="0"/>
        <charset val="1"/>
      </rPr>
      <t xml:space="preserve">Cap_In!F52</t>
    </r>
    <r>
      <rPr>
        <sz val="10"/>
        <color rgb="FF000000"/>
        <rFont val="Noto Sans CJK SC"/>
        <family val="2"/>
      </rPr>
      <t xml:space="preserve">｜直接</t>
    </r>
  </si>
  <si>
    <t xml:space="preserve">SRC_PRC_023</t>
  </si>
  <si>
    <r>
      <rPr>
        <sz val="10"/>
        <color rgb="FF000000"/>
        <rFont val="Arial"/>
        <family val="0"/>
        <charset val="1"/>
      </rPr>
      <t xml:space="preserve">DeepSeek V4.1-Flash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</si>
  <si>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Cap_In!G52</t>
    </r>
    <r>
      <rPr>
        <sz val="10"/>
        <color rgb="FF000000"/>
        <rFont val="Noto Sans CJK SC"/>
        <family val="2"/>
      </rPr>
      <t xml:space="preserve">｜直接</t>
    </r>
  </si>
  <si>
    <t xml:space="preserve">SRC_PRC_024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</si>
  <si>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輸入（尖峰）</t>
    </r>
  </si>
  <si>
    <r>
      <rPr>
        <sz val="10"/>
        <color rgb="FF000000"/>
        <rFont val="Arial"/>
        <family val="0"/>
        <charset val="1"/>
      </rPr>
      <t xml:space="preserve">Cap_In!E53</t>
    </r>
    <r>
      <rPr>
        <sz val="10"/>
        <color rgb="FF000000"/>
        <rFont val="Noto Sans CJK SC"/>
        <family val="2"/>
      </rPr>
      <t xml:space="preserve">｜直接</t>
    </r>
  </si>
  <si>
    <t xml:space="preserve">SRC_PRC_025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</si>
  <si>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快取輸入（尖峰）</t>
    </r>
  </si>
  <si>
    <r>
      <rPr>
        <sz val="10"/>
        <color rgb="FF000000"/>
        <rFont val="Arial"/>
        <family val="0"/>
        <charset val="1"/>
      </rPr>
      <t xml:space="preserve">Cap_In!F53</t>
    </r>
    <r>
      <rPr>
        <sz val="10"/>
        <color rgb="FF000000"/>
        <rFont val="Noto Sans CJK SC"/>
        <family val="2"/>
      </rPr>
      <t xml:space="preserve">｜直接</t>
    </r>
  </si>
  <si>
    <t xml:space="preserve">SRC_PRC_026</t>
  </si>
  <si>
    <r>
      <rPr>
        <sz val="10"/>
        <color rgb="FF000000"/>
        <rFont val="Arial"/>
        <family val="0"/>
        <charset val="1"/>
      </rPr>
      <t xml:space="preserve">DeepSeek V4-Pro-0813 </t>
    </r>
    <r>
      <rPr>
        <sz val="10"/>
        <color rgb="FF000000"/>
        <rFont val="Noto Sans CJK SC"/>
        <family val="2"/>
      </rPr>
      <t xml:space="preserve">輸出（尖峰）</t>
    </r>
  </si>
  <si>
    <r>
      <rPr>
        <sz val="10"/>
        <color rgb="FF000000"/>
        <rFont val="Arial"/>
        <family val="0"/>
        <charset val="1"/>
      </rPr>
      <t xml:space="preserve">Cap_In!G53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</si>
  <si>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離峰價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尖峰價</t>
    </r>
  </si>
  <si>
    <r>
      <rPr>
        <sz val="10"/>
        <color rgb="FF000000"/>
        <rFont val="Arial"/>
        <family val="0"/>
        <charset val="1"/>
      </rPr>
      <t xml:space="preserve">Cap_In!C18</t>
    </r>
    <r>
      <rPr>
        <sz val="10"/>
        <color rgb="FF000000"/>
        <rFont val="Noto Sans CJK SC"/>
        <family val="2"/>
      </rPr>
      <t xml:space="preserve">｜直接</t>
    </r>
  </si>
  <si>
    <t xml:space="preserve">SRC_PRC_028</t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</si>
  <si>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每週尖峰時數</t>
    </r>
  </si>
  <si>
    <r>
      <rPr>
        <sz val="10"/>
        <color rgb="FF000000"/>
        <rFont val="Arial"/>
        <family val="0"/>
        <charset val="1"/>
      </rPr>
      <t xml:space="preserve">hr/</t>
    </r>
    <r>
      <rPr>
        <sz val="10"/>
        <color rgb="FF000000"/>
        <rFont val="Noto Sans CJK SC"/>
        <family val="2"/>
      </rPr>
      <t xml:space="preserve">週</t>
    </r>
  </si>
  <si>
    <t xml:space="preserve">週一至五 UTC 01–04、06–10</t>
  </si>
  <si>
    <r>
      <rPr>
        <sz val="10"/>
        <color rgb="FF000000"/>
        <rFont val="Arial"/>
        <family val="0"/>
        <charset val="1"/>
      </rPr>
      <t xml:space="preserve">Cap_In!C17</t>
    </r>
    <r>
      <rPr>
        <sz val="10"/>
        <color rgb="FF000000"/>
        <rFont val="Noto Sans CJK SC"/>
        <family val="2"/>
      </rPr>
      <t xml:space="preserve">｜直接</t>
    </r>
  </si>
  <si>
    <t xml:space="preserve">由公告時段計算（7 hr × 5）</t>
  </si>
  <si>
    <t xml:space="preserve">SRC_PRC_029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</si>
  <si>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輸入</t>
    </r>
  </si>
  <si>
    <t xml:space="preserve">docs.z.ai/guides/overview/pricing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</si>
  <si>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官方牌價</t>
    </r>
  </si>
  <si>
    <t xml:space="preserve">E155</t>
  </si>
  <si>
    <t xml:space="preserve">S53</t>
  </si>
  <si>
    <r>
      <rPr>
        <sz val="10"/>
        <color rgb="FF000000"/>
        <rFont val="Arial"/>
        <family val="0"/>
        <charset val="1"/>
      </rPr>
      <t xml:space="preserve">Cap_In!E54</t>
    </r>
    <r>
      <rPr>
        <sz val="10"/>
        <color rgb="FF000000"/>
        <rFont val="Noto Sans CJK SC"/>
        <family val="2"/>
      </rPr>
      <t xml:space="preserve">｜直接</t>
    </r>
  </si>
  <si>
    <t xml:space="preserve">SRC_PRC_030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</si>
  <si>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</si>
  <si>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Cap_In!F54</t>
    </r>
    <r>
      <rPr>
        <sz val="10"/>
        <color rgb="FF000000"/>
        <rFont val="Noto Sans CJK SC"/>
        <family val="2"/>
      </rPr>
      <t xml:space="preserve">｜直接</t>
    </r>
  </si>
  <si>
    <t xml:space="preserve">SRC_PRC_031</t>
  </si>
  <si>
    <r>
      <rPr>
        <sz val="10"/>
        <color rgb="FF000000"/>
        <rFont val="Arial"/>
        <family val="0"/>
        <charset val="1"/>
      </rPr>
      <t xml:space="preserve">GLM-5.3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</si>
  <si>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Cap_In!G54</t>
    </r>
    <r>
      <rPr>
        <sz val="10"/>
        <color rgb="FF000000"/>
        <rFont val="Noto Sans CJK SC"/>
        <family val="2"/>
      </rPr>
      <t xml:space="preserve">｜直接</t>
    </r>
  </si>
  <si>
    <t xml:space="preserve">SRC_PRC_032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</si>
  <si>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</si>
  <si>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Cap_In!E55</t>
    </r>
    <r>
      <rPr>
        <sz val="10"/>
        <color rgb="FF000000"/>
        <rFont val="Noto Sans CJK SC"/>
        <family val="2"/>
      </rPr>
      <t xml:space="preserve">｜直接</t>
    </r>
  </si>
  <si>
    <t xml:space="preserve">SRC_PRC_033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</si>
  <si>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</si>
  <si>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Cap_In!F55</t>
    </r>
    <r>
      <rPr>
        <sz val="10"/>
        <color rgb="FF000000"/>
        <rFont val="Noto Sans CJK SC"/>
        <family val="2"/>
      </rPr>
      <t xml:space="preserve">｜直接</t>
    </r>
  </si>
  <si>
    <t xml:space="preserve">SRC_PRC_034</t>
  </si>
  <si>
    <r>
      <rPr>
        <sz val="10"/>
        <color rgb="FF000000"/>
        <rFont val="Arial"/>
        <family val="0"/>
        <charset val="1"/>
      </rPr>
      <t xml:space="preserve">GLM-5.3-Flash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</si>
  <si>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Cap_In!G55</t>
    </r>
    <r>
      <rPr>
        <sz val="10"/>
        <color rgb="FF000000"/>
        <rFont val="Noto Sans CJK SC"/>
        <family val="2"/>
      </rPr>
      <t xml:space="preserve">｜直接</t>
    </r>
  </si>
  <si>
    <t xml:space="preserve">SRC_PRC_035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</si>
  <si>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</si>
  <si>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benchlm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morphllm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developersdigest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aireiter </t>
    </r>
    <r>
      <rPr>
        <sz val="10"/>
        <color rgb="FF000000"/>
        <rFont val="Noto Sans CJK SC"/>
        <family val="2"/>
      </rPr>
      <t xml:space="preserve">等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</si>
  <si>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牌價（官方頁未讀）</t>
    </r>
  </si>
  <si>
    <t xml:space="preserve">E156</t>
  </si>
  <si>
    <t xml:space="preserve">S54</t>
  </si>
  <si>
    <r>
      <rPr>
        <sz val="10"/>
        <color rgb="FF000000"/>
        <rFont val="Arial"/>
        <family val="0"/>
        <charset val="1"/>
      </rPr>
      <t xml:space="preserve">Cap_In!E57</t>
    </r>
    <r>
      <rPr>
        <sz val="10"/>
        <color rgb="FF000000"/>
        <rFont val="Noto Sans CJK SC"/>
        <family val="2"/>
      </rPr>
      <t xml:space="preserve">｜直接</t>
    </r>
  </si>
  <si>
    <t xml:space="preserve">SRC_PRC_036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</si>
  <si>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快取輸入</t>
    </r>
  </si>
  <si>
    <r>
      <rPr>
        <sz val="10"/>
        <color rgb="FF000000"/>
        <rFont val="Arial"/>
        <family val="0"/>
        <charset val="1"/>
      </rPr>
      <t xml:space="preserve">Cap_In!F57</t>
    </r>
    <r>
      <rPr>
        <sz val="10"/>
        <color rgb="FF000000"/>
        <rFont val="Noto Sans CJK SC"/>
        <family val="2"/>
      </rPr>
      <t xml:space="preserve">｜直接</t>
    </r>
  </si>
  <si>
    <t xml:space="preserve">SRC_PRC_037</t>
  </si>
  <si>
    <r>
      <rPr>
        <sz val="10"/>
        <color rgb="FF000000"/>
        <rFont val="Arial"/>
        <family val="0"/>
        <charset val="1"/>
      </rPr>
      <t xml:space="preserve">Kimi K3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</si>
  <si>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Cap_In!G57</t>
    </r>
    <r>
      <rPr>
        <sz val="10"/>
        <color rgb="FF000000"/>
        <rFont val="Noto Sans CJK SC"/>
        <family val="2"/>
      </rPr>
      <t xml:space="preserve">｜直接</t>
    </r>
  </si>
  <si>
    <t xml:space="preserve">SRC_PRC_038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</si>
  <si>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輸入（國際站）</t>
    </r>
  </si>
  <si>
    <t xml:space="preserve">國際站</t>
  </si>
  <si>
    <r>
      <rPr>
        <sz val="10"/>
        <color rgb="FF000000"/>
        <rFont val="Arial"/>
        <family val="0"/>
        <charset val="1"/>
      </rPr>
      <t xml:space="preserve">Cap_In!E56</t>
    </r>
    <r>
      <rPr>
        <sz val="10"/>
        <color rgb="FF000000"/>
        <rFont val="Noto Sans CJK SC"/>
        <family val="2"/>
      </rPr>
      <t xml:space="preserve">｜直接</t>
    </r>
  </si>
  <si>
    <t xml:space="preserve">SRC_PRC_039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</si>
  <si>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快取輸入（國際站）</t>
    </r>
  </si>
  <si>
    <r>
      <rPr>
        <sz val="10"/>
        <color rgb="FF000000"/>
        <rFont val="Arial"/>
        <family val="0"/>
        <charset val="1"/>
      </rPr>
      <t xml:space="preserve">Cap_In!F56</t>
    </r>
    <r>
      <rPr>
        <sz val="10"/>
        <color rgb="FF000000"/>
        <rFont val="Noto Sans CJK SC"/>
        <family val="2"/>
      </rPr>
      <t xml:space="preserve">｜直接</t>
    </r>
  </si>
  <si>
    <t xml:space="preserve">SRC_PRC_040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</si>
  <si>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輸出（國際站）</t>
    </r>
  </si>
  <si>
    <r>
      <rPr>
        <sz val="10"/>
        <color rgb="FF000000"/>
        <rFont val="Arial"/>
        <family val="0"/>
        <charset val="1"/>
      </rPr>
      <t xml:space="preserve">Cap_In!G56</t>
    </r>
    <r>
      <rPr>
        <sz val="10"/>
        <color rgb="FF000000"/>
        <rFont val="Noto Sans CJK SC"/>
        <family val="2"/>
      </rPr>
      <t xml:space="preserve">｜直接</t>
    </r>
  </si>
  <si>
    <t xml:space="preserve">SRC_PRC_041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</si>
  <si>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輸入（另一記載，附五折）</t>
    </r>
  </si>
  <si>
    <t xml:space="preserve">牌價附五折</t>
  </si>
  <si>
    <t xml:space="preserve">衝突記載，待官方頁</t>
  </si>
  <si>
    <t xml:space="preserve">SRC_PRC_042</t>
  </si>
  <si>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輸出（另一記載，附五折）</t>
    </r>
  </si>
  <si>
    <t xml:space="preserve">SRC_PRC_043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</si>
  <si>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</si>
  <si>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≤512K </t>
    </r>
    <r>
      <rPr>
        <sz val="10"/>
        <color rgb="FF000000"/>
        <rFont val="Noto Sans CJK SC"/>
        <family val="2"/>
      </rPr>
      <t xml:space="preserve">輸入</t>
    </r>
  </si>
  <si>
    <r>
      <rPr>
        <sz val="10"/>
        <color rgb="FF000000"/>
        <rFont val="Arial"/>
        <family val="0"/>
        <charset val="1"/>
      </rPr>
      <t xml:space="preserve">Cap_In!E58</t>
    </r>
    <r>
      <rPr>
        <sz val="10"/>
        <color rgb="FF000000"/>
        <rFont val="Noto Sans CJK SC"/>
        <family val="2"/>
      </rPr>
      <t xml:space="preserve">｜直接</t>
    </r>
  </si>
  <si>
    <t xml:space="preserve">SRC_PRC_044</t>
  </si>
  <si>
    <r>
      <rPr>
        <sz val="10"/>
        <color rgb="FF000000"/>
        <rFont val="Arial"/>
        <family val="0"/>
        <charset val="1"/>
      </rPr>
      <t xml:space="preserve">MiniMax M3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</si>
  <si>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Cap_In!G58</t>
    </r>
    <r>
      <rPr>
        <sz val="10"/>
        <color rgb="FF000000"/>
        <rFont val="Noto Sans CJK SC"/>
        <family val="2"/>
      </rPr>
      <t xml:space="preserve">｜直接</t>
    </r>
  </si>
  <si>
    <r>
      <rPr>
        <b val="true"/>
        <sz val="13"/>
        <rFont val="Arial"/>
        <family val="0"/>
        <charset val="1"/>
      </rPr>
      <t xml:space="preserve">SRC_Cap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：能力評測（</t>
    </r>
    <r>
      <rPr>
        <b val="true"/>
        <sz val="13"/>
        <rFont val="Arial"/>
        <family val="0"/>
        <charset val="1"/>
      </rPr>
      <t xml:space="preserve">Artificial Analysis </t>
    </r>
    <r>
      <rPr>
        <b val="true"/>
        <sz val="13"/>
        <rFont val="Noto Sans CJK SC"/>
        <family val="2"/>
      </rPr>
      <t xml:space="preserve">指數、</t>
    </r>
    <r>
      <rPr>
        <b val="true"/>
        <sz val="13"/>
        <rFont val="Arial"/>
        <family val="0"/>
        <charset val="1"/>
      </rPr>
      <t xml:space="preserve">METR </t>
    </r>
    <r>
      <rPr>
        <b val="true"/>
        <sz val="13"/>
        <rFont val="Noto Sans CJK SC"/>
        <family val="2"/>
      </rPr>
      <t xml:space="preserve">時間範圍）</t>
    </r>
  </si>
  <si>
    <t xml:space="preserve">SRC_CAP_001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</si>
  <si>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</si>
  <si>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trendingtopics.eu </t>
    </r>
    <r>
      <rPr>
        <sz val="10"/>
        <color rgb="FF000000"/>
        <rFont val="Noto Sans CJK SC"/>
        <family val="2"/>
      </rPr>
      <t xml:space="preserve">報導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</si>
  <si>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：獨立評測（經報導）；</t>
    </r>
    <r>
      <rPr>
        <sz val="10"/>
        <color rgb="FF000000"/>
        <rFont val="Arial"/>
        <family val="0"/>
        <charset val="1"/>
      </rPr>
      <t xml:space="preserve">v4.3</t>
    </r>
  </si>
  <si>
    <t xml:space="preserve">E157</t>
  </si>
  <si>
    <t xml:space="preserve">S55</t>
  </si>
  <si>
    <r>
      <rPr>
        <sz val="10"/>
        <color rgb="FF000000"/>
        <rFont val="Arial"/>
        <family val="0"/>
        <charset val="1"/>
      </rPr>
      <t xml:space="preserve">Cap_In!I48</t>
    </r>
    <r>
      <rPr>
        <sz val="10"/>
        <color rgb="FF000000"/>
        <rFont val="Noto Sans CJK SC"/>
        <family val="2"/>
      </rPr>
      <t xml:space="preserve">｜直接</t>
    </r>
  </si>
  <si>
    <t xml:space="preserve">SRC_CAP_002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</si>
  <si>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Fable 5.1</t>
    </r>
  </si>
  <si>
    <r>
      <rPr>
        <sz val="10"/>
        <color rgb="FF000000"/>
        <rFont val="Arial"/>
        <family val="0"/>
        <charset val="1"/>
      </rPr>
      <t xml:space="preserve">Cap_In!I49</t>
    </r>
    <r>
      <rPr>
        <sz val="10"/>
        <color rgb="FF000000"/>
        <rFont val="Noto Sans CJK SC"/>
        <family val="2"/>
      </rPr>
      <t xml:space="preserve">｜直接</t>
    </r>
  </si>
  <si>
    <t xml:space="preserve">SRC_CAP_003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</si>
  <si>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</t>
    </r>
  </si>
  <si>
    <r>
      <rPr>
        <sz val="10"/>
        <color rgb="FF000000"/>
        <rFont val="Arial"/>
        <family val="0"/>
        <charset val="1"/>
      </rPr>
      <t xml:space="preserve">Cap_In!I50</t>
    </r>
    <r>
      <rPr>
        <sz val="10"/>
        <color rgb="FF000000"/>
        <rFont val="Noto Sans CJK SC"/>
        <family val="2"/>
      </rPr>
      <t xml:space="preserve">｜直接</t>
    </r>
  </si>
  <si>
    <t xml:space="preserve">SRC_CAP_004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</si>
  <si>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GPT-5.6 Sol</t>
    </r>
  </si>
  <si>
    <t xml:space="preserve">SRC_CAP_005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</si>
  <si>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GLM-5.3-Flash</t>
    </r>
  </si>
  <si>
    <r>
      <rPr>
        <sz val="10"/>
        <color rgb="FF000000"/>
        <rFont val="Arial"/>
        <family val="0"/>
        <charset val="1"/>
      </rPr>
      <t xml:space="preserve">Cap_In!I55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</si>
  <si>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Qwen3.8 2.4T</t>
    </r>
  </si>
  <si>
    <t xml:space="preserve">Qwen3.8 2.4T</t>
  </si>
  <si>
    <r>
      <rPr>
        <sz val="10"/>
        <color rgb="FF000000"/>
        <rFont val="Arial"/>
        <family val="0"/>
        <charset val="1"/>
      </rPr>
      <t xml:space="preserve">Cap_In!I56</t>
    </r>
    <r>
      <rPr>
        <sz val="10"/>
        <color rgb="FF000000"/>
        <rFont val="Noto Sans CJK SC"/>
        <family val="2"/>
      </rPr>
      <t xml:space="preserve">｜選取</t>
    </r>
  </si>
  <si>
    <t xml:space="preserve">模型用於 Qwen3.8-Max；是否同一模型待查</t>
  </si>
  <si>
    <r>
      <rPr>
        <sz val="10"/>
        <color rgb="FF000000"/>
        <rFont val="Arial"/>
        <family val="0"/>
        <charset val="1"/>
      </rPr>
      <t xml:space="preserve">AA Intelligence Index v4.3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 Pro</t>
    </r>
  </si>
  <si>
    <t xml:space="preserve">DeepSeek V4 Pro</t>
  </si>
  <si>
    <r>
      <rPr>
        <sz val="10"/>
        <color rgb="FF000000"/>
        <rFont val="Arial"/>
        <family val="0"/>
        <charset val="1"/>
      </rPr>
      <t xml:space="preserve">Cap_In!I53</t>
    </r>
    <r>
      <rPr>
        <sz val="10"/>
        <color rgb="FF000000"/>
        <rFont val="Noto Sans CJK SC"/>
        <family val="2"/>
      </rPr>
      <t xml:space="preserve">｜選取</t>
    </r>
  </si>
  <si>
    <t xml:space="preserve">模型用於 V4-Pro-0813；版本是否相同待查</t>
  </si>
  <si>
    <t xml:space="preserve">SRC_CAP_008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</si>
  <si>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Sol</t>
    </r>
  </si>
  <si>
    <t xml:space="preserve">artificialanalysis.ai/models/releases/comparisons/…</t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</si>
  <si>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：獨立評測；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</si>
  <si>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E189</t>
    </r>
  </si>
  <si>
    <t xml:space="preserve">S56</t>
  </si>
  <si>
    <r>
      <rPr>
        <sz val="10"/>
        <color rgb="FF000000"/>
        <rFont val="Arial"/>
        <family val="0"/>
        <charset val="1"/>
      </rPr>
      <t xml:space="preserve">Cap_In!I47</t>
    </r>
    <r>
      <rPr>
        <sz val="10"/>
        <color rgb="FF000000"/>
        <rFont val="Noto Sans CJK SC"/>
        <family val="2"/>
      </rPr>
      <t xml:space="preserve">｜直接</t>
    </r>
  </si>
  <si>
    <t xml:space="preserve">與 v4.3 不同口徑（G4） ｜v5.18：等級 3→1（E189）</t>
  </si>
  <si>
    <t xml:space="preserve">SRC_CAP_009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</si>
  <si>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Luna</t>
    </r>
  </si>
  <si>
    <t xml:space="preserve">E158</t>
  </si>
  <si>
    <r>
      <rPr>
        <sz val="10"/>
        <color rgb="FF000000"/>
        <rFont val="Arial"/>
        <family val="0"/>
        <charset val="1"/>
      </rPr>
      <t xml:space="preserve">Cap_In!I46</t>
    </r>
    <r>
      <rPr>
        <sz val="10"/>
        <color rgb="FF000000"/>
        <rFont val="Noto Sans CJK SC"/>
        <family val="2"/>
      </rPr>
      <t xml:space="preserve">｜直接</t>
    </r>
  </si>
  <si>
    <t xml:space="preserve">SRC_CAP_010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</si>
  <si>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DeepSeek V4.1-Flash</t>
    </r>
  </si>
  <si>
    <r>
      <rPr>
        <sz val="10"/>
        <color rgb="FF000000"/>
        <rFont val="Arial"/>
        <family val="0"/>
        <charset val="1"/>
      </rPr>
      <t xml:space="preserve">Cap_In!I52</t>
    </r>
    <r>
      <rPr>
        <sz val="10"/>
        <color rgb="FF000000"/>
        <rFont val="Noto Sans CJK SC"/>
        <family val="2"/>
      </rPr>
      <t xml:space="preserve">｜直接</t>
    </r>
  </si>
  <si>
    <t xml:space="preserve">SRC_CAP_011</t>
  </si>
  <si>
    <r>
      <rPr>
        <sz val="10"/>
        <color rgb="FF000000"/>
        <rFont val="Arial"/>
        <family val="0"/>
        <charset val="1"/>
      </rPr>
      <t xml:space="preserve">AA Intelligence Index v4.3.2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GLM-5.3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</si>
  <si>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v4.3.2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</t>
    </r>
  </si>
  <si>
    <r>
      <rPr>
        <sz val="10"/>
        <color rgb="FF000000"/>
        <rFont val="Arial"/>
        <family val="0"/>
        <charset val="1"/>
      </rPr>
      <t xml:space="preserve">E158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E190</t>
    </r>
  </si>
  <si>
    <r>
      <rPr>
        <sz val="10"/>
        <color rgb="FF000000"/>
        <rFont val="Arial"/>
        <family val="0"/>
        <charset val="1"/>
      </rPr>
      <t xml:space="preserve">Cap_In!I54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</si>
  <si>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3→1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</si>
  <si>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</si>
  <si>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t xml:space="preserve">小時</t>
  </si>
  <si>
    <t xml:space="preserve">Time Horizon 1.1</t>
  </si>
  <si>
    <r>
      <rPr>
        <sz val="10"/>
        <color rgb="FF000000"/>
        <rFont val="Arial"/>
        <family val="0"/>
        <charset val="1"/>
      </rPr>
      <t xml:space="preserve">Wikipedia METR </t>
    </r>
    <r>
      <rPr>
        <sz val="10"/>
        <color rgb="FF000000"/>
        <rFont val="Noto Sans CJK SC"/>
        <family val="2"/>
      </rPr>
      <t xml:space="preserve">條目、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metr.org</t>
    </r>
  </si>
  <si>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：獨立評測（經 </t>
    </r>
    <r>
      <rPr>
        <sz val="10"/>
        <color rgb="FF000000"/>
        <rFont val="Arial"/>
        <family val="0"/>
        <charset val="1"/>
      </rPr>
      <t xml:space="preserve">Wikipedia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futuresearch </t>
    </r>
    <r>
      <rPr>
        <sz val="10"/>
        <color rgb="FF000000"/>
        <rFont val="Noto Sans CJK SC"/>
        <family val="2"/>
      </rPr>
      <t xml:space="preserve">轉述）</t>
    </r>
  </si>
  <si>
    <t xml:space="preserve">E161</t>
  </si>
  <si>
    <r>
      <rPr>
        <sz val="10"/>
        <color rgb="FF000000"/>
        <rFont val="Arial"/>
        <family val="0"/>
        <charset val="1"/>
      </rPr>
      <t xml:space="preserve">Har_In!C77</t>
    </r>
    <r>
      <rPr>
        <sz val="10"/>
        <color rgb="FF000000"/>
        <rFont val="Noto Sans CJK SC"/>
        <family val="2"/>
      </rPr>
      <t xml:space="preserve">｜直接</t>
    </r>
  </si>
  <si>
    <t xml:space="preserve">3h34</t>
  </si>
  <si>
    <t xml:space="preserve">SRC_CAP_013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</si>
  <si>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</t>
    </r>
  </si>
  <si>
    <r>
      <rPr>
        <sz val="10"/>
        <color rgb="FF000000"/>
        <rFont val="Arial"/>
        <family val="0"/>
        <charset val="1"/>
      </rPr>
      <t xml:space="preserve">Har_In!D77</t>
    </r>
    <r>
      <rPr>
        <sz val="10"/>
        <color rgb="FF000000"/>
        <rFont val="Noto Sans CJK SC"/>
        <family val="2"/>
      </rPr>
      <t xml:space="preserve">｜直接</t>
    </r>
  </si>
  <si>
    <t xml:space="preserve">32m</t>
  </si>
  <si>
    <t xml:space="preserve">SRC_CAP_014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</si>
  <si>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</si>
  <si>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t xml:space="preserve">TH1.1</t>
  </si>
  <si>
    <t xml:space="preserve">GPT-5.2</t>
  </si>
  <si>
    <r>
      <rPr>
        <sz val="10"/>
        <color rgb="FF000000"/>
        <rFont val="Arial"/>
        <family val="0"/>
        <charset val="1"/>
      </rPr>
      <t xml:space="preserve">Har_In!C78</t>
    </r>
    <r>
      <rPr>
        <sz val="10"/>
        <color rgb="FF000000"/>
        <rFont val="Noto Sans CJK SC"/>
        <family val="2"/>
      </rPr>
      <t xml:space="preserve">｜直接</t>
    </r>
  </si>
  <si>
    <t xml:space="preserve">SRC_CAP_015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</si>
  <si>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</si>
  <si>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Har_In!D78</t>
    </r>
    <r>
      <rPr>
        <sz val="10"/>
        <color rgb="FF000000"/>
        <rFont val="Noto Sans CJK SC"/>
        <family val="2"/>
      </rPr>
      <t xml:space="preserve">｜直接</t>
    </r>
  </si>
  <si>
    <t xml:space="preserve">SRC_CAP_016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</si>
  <si>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</si>
  <si>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t xml:space="preserve">GPT-5.4</t>
  </si>
  <si>
    <r>
      <rPr>
        <sz val="10"/>
        <color rgb="FF000000"/>
        <rFont val="Arial"/>
        <family val="0"/>
        <charset val="1"/>
      </rPr>
      <t xml:space="preserve">Har_In!C79</t>
    </r>
    <r>
      <rPr>
        <sz val="10"/>
        <color rgb="FF000000"/>
        <rFont val="Noto Sans CJK SC"/>
        <family val="2"/>
      </rPr>
      <t xml:space="preserve">｜直接</t>
    </r>
  </si>
  <si>
    <t xml:space="preserve">SRC_CAP_017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</si>
  <si>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</si>
  <si>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Har_In!D79</t>
    </r>
    <r>
      <rPr>
        <sz val="10"/>
        <color rgb="FF000000"/>
        <rFont val="Noto Sans CJK SC"/>
        <family val="2"/>
      </rPr>
      <t xml:space="preserve">｜直接</t>
    </r>
  </si>
  <si>
    <t xml:space="preserve">SRC_CAP_018</t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</si>
  <si>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</si>
  <si>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Har_In!C80</t>
    </r>
    <r>
      <rPr>
        <sz val="10"/>
        <color rgb="FF000000"/>
        <rFont val="Noto Sans CJK SC"/>
        <family val="2"/>
      </rPr>
      <t xml:space="preserve">｜直接</t>
    </r>
  </si>
  <si>
    <t xml:space="preserve">SRC_CAP_019</t>
  </si>
  <si>
    <r>
      <rPr>
        <sz val="10"/>
        <color rgb="FF000000"/>
        <rFont val="Arial"/>
        <family val="0"/>
        <charset val="1"/>
      </rPr>
      <t xml:space="preserve">METR 80%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Gemini 3.1 Pro</t>
    </r>
  </si>
  <si>
    <r>
      <rPr>
        <sz val="10"/>
        <color rgb="FF000000"/>
        <rFont val="Arial"/>
        <family val="0"/>
        <charset val="1"/>
      </rPr>
      <t xml:space="preserve">Har_In!D80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</si>
  <si>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GPT-5.6 Sol</t>
    </r>
  </si>
  <si>
    <r>
      <rPr>
        <sz val="10"/>
        <color rgb="FF000000"/>
        <rFont val="Arial"/>
        <family val="0"/>
        <charset val="1"/>
      </rPr>
      <t xml:space="preserve">Har_In </t>
    </r>
    <r>
      <rPr>
        <sz val="10"/>
        <color rgb="FF000000"/>
        <rFont val="Noto Sans CJK SC"/>
        <family val="2"/>
      </rPr>
      <t xml:space="preserve">層級 </t>
    </r>
    <r>
      <rPr>
        <sz val="10"/>
        <color rgb="FF000000"/>
        <rFont val="Arial"/>
        <family val="0"/>
        <charset val="1"/>
      </rPr>
      <t xml:space="preserve">H50 </t>
    </r>
    <r>
      <rPr>
        <sz val="10"/>
        <color rgb="FF000000"/>
        <rFont val="Noto Sans CJK SC"/>
        <family val="2"/>
      </rPr>
      <t xml:space="preserve">的類比基礎（</t>
    </r>
    <r>
      <rPr>
        <sz val="10"/>
        <color rgb="FF000000"/>
        <rFont val="Arial"/>
        <family val="0"/>
        <charset val="1"/>
      </rPr>
      <t xml:space="preserve">E018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</si>
  <si>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METR 50% </t>
    </r>
    <r>
      <rPr>
        <sz val="10"/>
        <color rgb="FF000000"/>
        <rFont val="Noto Sans CJK SC"/>
        <family val="2"/>
      </rPr>
      <t xml:space="preserve">時間範圍：</t>
    </r>
    <r>
      <rPr>
        <sz val="10"/>
        <color rgb="FF000000"/>
        <rFont val="Arial"/>
        <family val="0"/>
        <charset val="1"/>
      </rPr>
      <t xml:space="preserve">Claude Mythos Preview</t>
    </r>
  </si>
  <si>
    <r>
      <rPr>
        <sz val="10"/>
        <color rgb="FF000000"/>
        <rFont val="Arial"/>
        <family val="0"/>
        <charset val="1"/>
      </rPr>
      <t xml:space="preserve">TH1.1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&gt;16 </t>
    </r>
    <r>
      <rPr>
        <sz val="10"/>
        <color rgb="FF000000"/>
        <rFont val="Noto Sans CJK SC"/>
        <family val="2"/>
      </rPr>
      <t xml:space="preserve">小時量不準</t>
    </r>
  </si>
  <si>
    <t xml:space="preserve">Claude Mythos Preview</t>
  </si>
  <si>
    <r>
      <rPr>
        <b val="true"/>
        <sz val="13"/>
        <rFont val="Arial"/>
        <family val="0"/>
        <charset val="1"/>
      </rPr>
      <t xml:space="preserve">SRC_Harness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</t>
    </r>
    <r>
      <rPr>
        <b val="true"/>
        <sz val="13"/>
        <rFont val="Arial"/>
        <family val="0"/>
        <charset val="1"/>
      </rPr>
      <t xml:space="preserve">harness </t>
    </r>
    <r>
      <rPr>
        <b val="true"/>
        <sz val="13"/>
        <rFont val="Noto Sans CJK SC"/>
        <family val="2"/>
      </rPr>
      <t xml:space="preserve">與代理的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倍數、成功率、成本（</t>
    </r>
    <r>
      <rPr>
        <b val="true"/>
        <sz val="13"/>
        <rFont val="Arial"/>
        <family val="0"/>
        <charset val="1"/>
      </rPr>
      <t xml:space="preserve">ARC-AGI-3</t>
    </r>
    <r>
      <rPr>
        <b val="true"/>
        <sz val="13"/>
        <rFont val="Noto Sans CJK SC"/>
        <family val="2"/>
      </rPr>
      <t xml:space="preserve">、廠商揭露）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</si>
  <si>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：單代理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</si>
  <si>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t xml:space="preserve">約值；「聊天」是否含思考未說明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</si>
  <si>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研究系統</t>
    </r>
  </si>
  <si>
    <r>
      <rPr>
        <sz val="10"/>
        <color rgb="FF000000"/>
        <rFont val="Arial"/>
        <family val="0"/>
        <charset val="1"/>
      </rPr>
      <t xml:space="preserve">Anthropic Engineering Blog</t>
    </r>
    <r>
      <rPr>
        <sz val="10"/>
        <color rgb="FF000000"/>
        <rFont val="Noto Sans CJK SC"/>
        <family val="2"/>
      </rPr>
      <t xml:space="preserve">（經多方轉述核對）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</si>
  <si>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：自家產品宣傳</t>
    </r>
  </si>
  <si>
    <t xml:space="preserve">E150</t>
  </si>
  <si>
    <t xml:space="preserve">S25</t>
  </si>
  <si>
    <r>
      <rPr>
        <sz val="10"/>
        <color rgb="FF000000"/>
        <rFont val="Arial"/>
        <family val="0"/>
        <charset val="1"/>
      </rPr>
      <t xml:space="preserve">Workload!E40</t>
    </r>
    <r>
      <rPr>
        <sz val="10"/>
        <color rgb="FF000000"/>
        <rFont val="Noto Sans CJK SC"/>
        <family val="2"/>
      </rPr>
      <t xml:space="preserve">｜直接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</si>
  <si>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：多代理 </t>
    </r>
    <r>
      <rPr>
        <sz val="10"/>
        <color rgb="FF000000"/>
        <rFont val="Arial"/>
        <family val="0"/>
        <charset val="1"/>
      </rPr>
      <t xml:space="preserve">token ÷ </t>
    </r>
    <r>
      <rPr>
        <sz val="10"/>
        <color rgb="FF000000"/>
        <rFont val="Noto Sans CJK SC"/>
        <family val="2"/>
      </rPr>
      <t xml:space="preserve">聊天</t>
    </r>
  </si>
  <si>
    <r>
      <rPr>
        <sz val="10"/>
        <color rgb="FF000000"/>
        <rFont val="Arial"/>
        <family val="0"/>
        <charset val="1"/>
      </rPr>
      <t xml:space="preserve">Workload!F40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Har_In!E75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</si>
  <si>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Har_In 3.75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15 ÷ 4</t>
    </r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</si>
  <si>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成功率（最高推理）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</si>
  <si>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</t>
    </r>
  </si>
  <si>
    <r>
      <rPr>
        <sz val="10"/>
        <color rgb="FF000000"/>
        <rFont val="Arial"/>
        <family val="0"/>
        <charset val="1"/>
      </rPr>
      <t xml:space="preserve">thenextweb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ibl.ai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ecosistemastartup </t>
    </r>
    <r>
      <rPr>
        <sz val="10"/>
        <color rgb="FF000000"/>
        <rFont val="Noto Sans CJK SC"/>
        <family val="2"/>
      </rPr>
      <t xml:space="preserve">等轉述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</si>
  <si>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自測為中立；</t>
    </r>
    <r>
      <rPr>
        <sz val="10"/>
        <color rgb="FF000000"/>
        <rFont val="Arial"/>
        <family val="0"/>
        <charset val="1"/>
      </rPr>
      <t xml:space="preserve">99.9% </t>
    </r>
    <r>
      <rPr>
        <sz val="10"/>
        <color rgb="FF000000"/>
        <rFont val="Noto Sans CJK SC"/>
        <family val="2"/>
      </rPr>
      <t xml:space="preserve">由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</si>
  <si>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t xml:space="preserve">E160</t>
  </si>
  <si>
    <r>
      <rPr>
        <sz val="10"/>
        <color rgb="FF000000"/>
        <rFont val="Arial"/>
        <family val="0"/>
        <charset val="1"/>
      </rPr>
      <t xml:space="preserve">Har_In!C70</t>
    </r>
    <r>
      <rPr>
        <sz val="10"/>
        <color rgb="FF000000"/>
        <rFont val="Noto Sans CJK SC"/>
        <family val="2"/>
      </rPr>
      <t xml:space="preserve">｜直接</t>
    </r>
  </si>
  <si>
    <t xml:space="preserve">SRC_HAR_004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</si>
  <si>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成本</t>
    </r>
  </si>
  <si>
    <r>
      <rPr>
        <sz val="10"/>
        <color rgb="FF000000"/>
        <rFont val="Arial"/>
        <family val="0"/>
        <charset val="1"/>
      </rPr>
      <t xml:space="preserve">Har_In!D70</t>
    </r>
    <r>
      <rPr>
        <sz val="10"/>
        <color rgb="FF000000"/>
        <rFont val="Noto Sans CJK SC"/>
        <family val="2"/>
      </rPr>
      <t xml:space="preserve">｜直接</t>
    </r>
  </si>
  <si>
    <t xml:space="preserve">SRC_HAR_005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</si>
  <si>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最高推理成功率</t>
    </r>
  </si>
  <si>
    <r>
      <rPr>
        <sz val="10"/>
        <color rgb="FF000000"/>
        <rFont val="Arial"/>
        <family val="0"/>
        <charset val="1"/>
      </rPr>
      <t xml:space="preserve">Har_In!C71</t>
    </r>
    <r>
      <rPr>
        <sz val="10"/>
        <color rgb="FF000000"/>
        <rFont val="Noto Sans CJK SC"/>
        <family val="2"/>
      </rPr>
      <t xml:space="preserve">｜直接</t>
    </r>
  </si>
  <si>
    <t xml:space="preserve">SRC_HAR_006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</si>
  <si>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最高推理成本</t>
    </r>
  </si>
  <si>
    <r>
      <rPr>
        <sz val="10"/>
        <color rgb="FF000000"/>
        <rFont val="Arial"/>
        <family val="0"/>
        <charset val="1"/>
      </rPr>
      <t xml:space="preserve">Har_In!D71</t>
    </r>
    <r>
      <rPr>
        <sz val="10"/>
        <color rgb="FF000000"/>
        <rFont val="Noto Sans CJK SC"/>
        <family val="2"/>
      </rPr>
      <t xml:space="preserve">｜直接</t>
    </r>
  </si>
  <si>
    <t xml:space="preserve">SRC_HAR_007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</si>
  <si>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高推理成功率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</si>
  <si>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</t>
    </r>
  </si>
  <si>
    <r>
      <rPr>
        <sz val="10"/>
        <color rgb="FF000000"/>
        <rFont val="Arial"/>
        <family val="0"/>
        <charset val="1"/>
      </rPr>
      <t xml:space="preserve">Har_In!C72</t>
    </r>
    <r>
      <rPr>
        <sz val="10"/>
        <color rgb="FF000000"/>
        <rFont val="Noto Sans CJK SC"/>
        <family val="2"/>
      </rPr>
      <t xml:space="preserve">｜直接</t>
    </r>
  </si>
  <si>
    <t xml:space="preserve">SRC_HAR_008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</si>
  <si>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</t>
    </r>
  </si>
  <si>
    <r>
      <rPr>
        <sz val="10"/>
        <color rgb="FF000000"/>
        <rFont val="Arial"/>
        <family val="0"/>
        <charset val="1"/>
      </rPr>
      <t xml:space="preserve">Har_In!D72</t>
    </r>
    <r>
      <rPr>
        <sz val="10"/>
        <color rgb="FF000000"/>
        <rFont val="Noto Sans CJK SC"/>
        <family val="2"/>
      </rPr>
      <t xml:space="preserve">｜直接</t>
    </r>
  </si>
  <si>
    <t xml:space="preserve">另載 $19,302（衝突）</t>
  </si>
  <si>
    <t xml:space="preserve">SRC_HAR_009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</si>
  <si>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Provider Adapter </t>
    </r>
    <r>
      <rPr>
        <sz val="10"/>
        <color rgb="FF000000"/>
        <rFont val="Noto Sans CJK SC"/>
        <family val="2"/>
      </rPr>
      <t xml:space="preserve">高推理成本（另一記載）</t>
    </r>
  </si>
  <si>
    <t xml:space="preserve">金額衝突待核</t>
  </si>
  <si>
    <t xml:space="preserve">SRC_HAR_010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</si>
  <si>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token ÷ </t>
    </r>
    <r>
      <rPr>
        <sz val="10"/>
        <color rgb="FF000000"/>
        <rFont val="Noto Sans CJK SC"/>
        <family val="2"/>
      </rPr>
      <t xml:space="preserve">標準</t>
    </r>
  </si>
  <si>
    <t xml:space="preserve">「少用約 49%」，範圍不明</t>
  </si>
  <si>
    <r>
      <rPr>
        <sz val="10"/>
        <color rgb="FF000000"/>
        <rFont val="Arial"/>
        <family val="0"/>
        <charset val="1"/>
      </rPr>
      <t xml:space="preserve">Har_In!E72</t>
    </r>
    <r>
      <rPr>
        <sz val="10"/>
        <color rgb="FF000000"/>
        <rFont val="Noto Sans CJK SC"/>
        <family val="2"/>
      </rPr>
      <t xml:space="preserve">｜直接；</t>
    </r>
    <r>
      <rPr>
        <sz val="10"/>
        <color rgb="FF000000"/>
        <rFont val="Arial"/>
        <family val="0"/>
        <charset val="1"/>
      </rPr>
      <t xml:space="preserve">Checks!C62</t>
    </r>
    <r>
      <rPr>
        <sz val="10"/>
        <color rgb="FF000000"/>
        <rFont val="Noto Sans CJK SC"/>
        <family val="2"/>
      </rPr>
      <t xml:space="preserve">｜對照</t>
    </r>
  </si>
  <si>
    <t xml:space="preserve">SRC_HAR_011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</si>
  <si>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耗時加速</t>
    </r>
  </si>
  <si>
    <t xml:space="preserve">SRC_HAR_012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</si>
  <si>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成功率</t>
    </r>
  </si>
  <si>
    <t xml:space="preserve">ARC Prize</t>
  </si>
  <si>
    <r>
      <rPr>
        <sz val="10"/>
        <color rgb="FF000000"/>
        <rFont val="Arial"/>
        <family val="0"/>
        <charset val="1"/>
      </rPr>
      <t xml:space="preserve">Har_In!C73</t>
    </r>
    <r>
      <rPr>
        <sz val="10"/>
        <color rgb="FF000000"/>
        <rFont val="Noto Sans CJK SC"/>
        <family val="2"/>
      </rPr>
      <t xml:space="preserve">｜直接</t>
    </r>
  </si>
  <si>
    <t xml:space="preserve">SRC_HAR_013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</si>
  <si>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GPT-6 Astra</t>
    </r>
  </si>
  <si>
    <r>
      <rPr>
        <sz val="10"/>
        <color rgb="FF000000"/>
        <rFont val="Arial"/>
        <family val="0"/>
        <charset val="1"/>
      </rPr>
      <t xml:space="preserve">$/</t>
    </r>
    <r>
      <rPr>
        <sz val="10"/>
        <color rgb="FF000000"/>
        <rFont val="Noto Sans CJK SC"/>
        <family val="2"/>
      </rPr>
      <t xml:space="preserve">任務</t>
    </r>
  </si>
  <si>
    <r>
      <rPr>
        <sz val="10"/>
        <color rgb="FF000000"/>
        <rFont val="Arial"/>
        <family val="0"/>
        <charset val="1"/>
      </rPr>
      <t xml:space="preserve">AA agent </t>
    </r>
    <r>
      <rPr>
        <sz val="10"/>
        <color rgb="FF000000"/>
        <rFont val="Noto Sans CJK SC"/>
        <family val="2"/>
      </rPr>
      <t xml:space="preserve">評測</t>
    </r>
  </si>
  <si>
    <r>
      <rPr>
        <sz val="10"/>
        <color rgb="FF000000"/>
        <rFont val="Arial"/>
        <family val="0"/>
        <charset val="1"/>
      </rPr>
      <t xml:space="preserve">sentisense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</si>
  <si>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Artificial Analysis</t>
    </r>
    <r>
      <rPr>
        <sz val="10"/>
        <color rgb="FF000000"/>
        <rFont val="Noto Sans CJK SC"/>
        <family val="2"/>
      </rPr>
      <t xml:space="preserve">：獨立評測（經轉述）；任務組合與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</si>
  <si>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t xml:space="preserve">E162</t>
  </si>
  <si>
    <t xml:space="preserve">S60</t>
  </si>
  <si>
    <t xml:space="preserve">只作對照</t>
  </si>
  <si>
    <t xml:space="preserve">SRC_HAR_014</t>
  </si>
  <si>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每任務成本：</t>
    </r>
    <r>
      <rPr>
        <sz val="10"/>
        <color rgb="FF000000"/>
        <rFont val="Arial"/>
        <family val="0"/>
        <charset val="1"/>
      </rPr>
      <t xml:space="preserve">Claude Fable 5.1</t>
    </r>
  </si>
  <si>
    <t xml:space="preserve">SRC_HAR_015</t>
  </si>
  <si>
    <r>
      <rPr>
        <sz val="10"/>
        <color rgb="FF000000"/>
        <rFont val="Arial"/>
        <family val="0"/>
        <charset val="1"/>
      </rPr>
      <t xml:space="preserve">ARC-AGI-3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Opus 5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Nvidia harness </t>
    </r>
    <r>
      <rPr>
        <sz val="10"/>
        <color rgb="FF000000"/>
        <rFont val="Noto Sans CJK SC"/>
        <family val="2"/>
      </rPr>
      <t xml:space="preserve">成功率</t>
    </r>
  </si>
  <si>
    <t xml:space="preserve">全部關卡通關</t>
  </si>
  <si>
    <r>
      <rPr>
        <sz val="10"/>
        <color rgb="FF000000"/>
        <rFont val="Arial"/>
        <family val="0"/>
        <charset val="1"/>
      </rPr>
      <t xml:space="preserve">thenextweb </t>
    </r>
    <r>
      <rPr>
        <sz val="10"/>
        <color rgb="FF000000"/>
        <rFont val="Noto Sans CJK SC"/>
        <family val="2"/>
      </rPr>
      <t xml:space="preserve">轉述</t>
    </r>
  </si>
  <si>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（報導）；歸屬與 </t>
    </r>
    <r>
      <rPr>
        <sz val="10"/>
        <color rgb="FF000000"/>
        <rFont val="Arial"/>
        <family val="0"/>
        <charset val="1"/>
      </rPr>
      <t xml:space="preserve">Strands </t>
    </r>
    <r>
      <rPr>
        <sz val="10"/>
        <color rgb="FF000000"/>
        <rFont val="Noto Sans CJK SC"/>
        <family val="2"/>
      </rPr>
      <t xml:space="preserve">衝突</t>
    </r>
  </si>
  <si>
    <t xml:space="preserve">E163</t>
  </si>
  <si>
    <t xml:space="preserve">S61</t>
  </si>
  <si>
    <r>
      <rPr>
        <sz val="10"/>
        <color rgb="FF000000"/>
        <rFont val="Arial"/>
        <family val="0"/>
        <charset val="1"/>
      </rPr>
      <t xml:space="preserve">Har_In!C74</t>
    </r>
    <r>
      <rPr>
        <sz val="10"/>
        <color rgb="FF000000"/>
        <rFont val="Noto Sans CJK SC"/>
        <family val="2"/>
      </rPr>
      <t xml:space="preserve">｜直接</t>
    </r>
  </si>
  <si>
    <t xml:space="preserve">歸屬（Nvidia／Strands）待核</t>
  </si>
  <si>
    <t xml:space="preserve">SRC_HAR_016</t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</si>
  <si>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：原生 </t>
    </r>
    <r>
      <rPr>
        <sz val="10"/>
        <color rgb="FF000000"/>
        <rFont val="Arial"/>
        <family val="0"/>
        <charset val="1"/>
      </rPr>
      <t xml:space="preserve">scaffold ÷ mini-SWE-agent </t>
    </r>
    <r>
      <rPr>
        <sz val="10"/>
        <color rgb="FF000000"/>
        <rFont val="Noto Sans CJK SC"/>
        <family val="2"/>
      </rPr>
      <t xml:space="preserve">工具呼叫數</t>
    </r>
  </si>
  <si>
    <r>
      <rPr>
        <sz val="10"/>
        <color rgb="FF000000"/>
        <rFont val="Arial"/>
        <family val="0"/>
        <charset val="1"/>
      </rPr>
      <t xml:space="preserve">Opus 4.6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58</t>
    </r>
    <r>
      <rPr>
        <sz val="10"/>
        <color rgb="FF000000"/>
        <rFont val="Noto Sans CJK SC"/>
        <family val="2"/>
      </rPr>
      <t xml:space="preserve">（讀自圖上標籤）；工具呼叫數不等於輪數</t>
    </r>
  </si>
  <si>
    <r>
      <rPr>
        <sz val="10"/>
        <color rgb="FF000000"/>
        <rFont val="Arial"/>
        <family val="0"/>
        <charset val="1"/>
      </rPr>
      <t xml:space="preserve">SWE Atlas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arXiv 2605.08366</t>
    </r>
    <r>
      <rPr>
        <sz val="10"/>
        <color rgb="FF000000"/>
        <rFont val="Noto Sans CJK SC"/>
        <family val="2"/>
      </rPr>
      <t xml:space="preserve">）</t>
    </r>
  </si>
  <si>
    <t xml:space="preserve">論文，無廠商利益；數字讀自圖上標籤</t>
  </si>
  <si>
    <r>
      <rPr>
        <sz val="10"/>
        <color rgb="FF000000"/>
        <rFont val="Arial"/>
        <family val="0"/>
        <charset val="1"/>
      </rPr>
      <t xml:space="preserve">Checks V11</t>
    </r>
    <r>
      <rPr>
        <sz val="10"/>
        <color rgb="FF000000"/>
        <rFont val="Noto Sans CJK SC"/>
        <family val="2"/>
      </rPr>
      <t xml:space="preserve">（方向證據，只判方向）</t>
    </r>
  </si>
  <si>
    <r>
      <rPr>
        <sz val="10"/>
        <color rgb="FF000000"/>
        <rFont val="Arial"/>
        <family val="0"/>
        <charset val="1"/>
      </rPr>
      <t xml:space="preserve">v10.0 N3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E378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輪數方向對照；原生 </t>
    </r>
    <r>
      <rPr>
        <sz val="10"/>
        <color rgb="FF000000"/>
        <rFont val="Arial"/>
        <family val="0"/>
        <charset val="1"/>
      </rPr>
      <t xml:space="preserve">scaffold </t>
    </r>
    <r>
      <rPr>
        <sz val="10"/>
        <color rgb="FF000000"/>
        <rFont val="Noto Sans CJK SC"/>
        <family val="2"/>
      </rPr>
      <t xml:space="preserve">傾向呼叫更多而非更少，與模型 </t>
    </r>
    <r>
      <rPr>
        <sz val="10"/>
        <color rgb="FF000000"/>
        <rFont val="Arial"/>
        <family val="0"/>
        <charset val="1"/>
      </rPr>
      <t xml:space="preserve">0.7 </t>
    </r>
    <r>
      <rPr>
        <sz val="10"/>
        <color rgb="FF000000"/>
        <rFont val="Noto Sans CJK SC"/>
        <family val="2"/>
      </rPr>
      <t xml:space="preserve">方向相反</t>
    </r>
  </si>
  <si>
    <r>
      <rPr>
        <b val="true"/>
        <sz val="13"/>
        <rFont val="Arial"/>
        <family val="0"/>
        <charset val="1"/>
      </rPr>
      <t xml:space="preserve">SRC_Demand — </t>
    </r>
    <r>
      <rPr>
        <b val="true"/>
        <sz val="13"/>
        <rFont val="Noto Sans CJK SC"/>
        <family val="2"/>
      </rPr>
      <t xml:space="preserve">第 </t>
    </r>
    <r>
      <rPr>
        <b val="true"/>
        <sz val="13"/>
        <rFont val="Arial"/>
        <family val="0"/>
        <charset val="1"/>
      </rPr>
      <t xml:space="preserve">0 </t>
    </r>
    <r>
      <rPr>
        <b val="true"/>
        <sz val="13"/>
        <rFont val="Noto Sans CJK SC"/>
        <family val="2"/>
      </rPr>
      <t xml:space="preserve">層 </t>
    </r>
    <r>
      <rPr>
        <b val="true"/>
        <sz val="13"/>
        <rFont val="Arial"/>
        <family val="0"/>
        <charset val="1"/>
      </rPr>
      <t xml:space="preserve">Source</t>
    </r>
    <r>
      <rPr>
        <b val="true"/>
        <sz val="13"/>
        <rFont val="Noto Sans CJK SC"/>
        <family val="2"/>
      </rPr>
      <t xml:space="preserve">：需求與支出揭露（實驗室推論／訓練支出、營收、算力規模）</t>
    </r>
  </si>
  <si>
    <t xml:space="preserve">最終訓練占研發支出：OpenAI</t>
  </si>
  <si>
    <t xml:space="preserve">支出口徑；Epoch 推估</t>
  </si>
  <si>
    <t xml:space="preserve">epoch.ai/gradient-updates/r-and-d-vs-training-compute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</si>
  <si>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：獨立研究（底層資料為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</si>
  <si>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t xml:space="preserve">E151</t>
  </si>
  <si>
    <t xml:space="preserve">S38</t>
  </si>
  <si>
    <r>
      <rPr>
        <sz val="10"/>
        <color rgb="FF000000"/>
        <rFont val="Arial"/>
        <family val="0"/>
        <charset val="1"/>
      </rPr>
      <t xml:space="preserve">Checks!C37</t>
    </r>
    <r>
      <rPr>
        <sz val="10"/>
        <color rgb="FF000000"/>
        <rFont val="Noto Sans CJK SC"/>
        <family val="2"/>
      </rPr>
      <t xml:space="preserve">｜對照</t>
    </r>
  </si>
  <si>
    <t xml:space="preserve">研發倍數 4.4–10.4 由此換算</t>
  </si>
  <si>
    <t xml:space="preserve">SRC_DEM_002</t>
  </si>
  <si>
    <t xml:space="preserve">最終訓練占研發支出：MiniMax</t>
  </si>
  <si>
    <t xml:space="preserve">SRC_DEM_003</t>
  </si>
  <si>
    <t xml:space="preserve">最終訓練占研發支出：Z.ai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</si>
  <si>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</t>
    </r>
  </si>
  <si>
    <t xml:space="preserve">年度；json 一致集（與 005／006／007 同源）</t>
  </si>
  <si>
    <t xml:space="preserve">openai_token_revenue.json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</si>
  <si>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投資人資料（經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）：有呈現成長的誘因</t>
    </r>
  </si>
  <si>
    <t xml:space="preserve">E159</t>
  </si>
  <si>
    <t xml:space="preserve">S57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</si>
  <si>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 ｜</t>
    </r>
    <r>
      <rPr>
        <sz val="10"/>
        <color rgb="FF000000"/>
        <rFont val="Arial"/>
        <family val="0"/>
        <charset val="1"/>
      </rPr>
      <t xml:space="preserve">v5.36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欄推論支出</t>
    </r>
  </si>
  <si>
    <t xml:space="preserve">服務占比 0.41＝8.4 ÷（8.4＋12）＝0.4118 ｜v5.29 X14 (k) r2：維持 Active，與 SRC_DEM_018（Azure 帳單全年推估 12.6）口徑不同、兩筆並列（E7 以同指標同口徑判定，不衝突）；本筆供 Alloc 支出比（C55）、免費支出占比（C63）、L1_ExtFreeShare／L1_Ans5_GM 外部欄與 Cap_In C28 換算（同源分子分母）；SRC_DEM_018 只用於支出路線服務 GW（Alloc C61、L1_ExtServeGW） ｜v5.36 B1：Lo＝OpenAI 2025 查核財報營業成本 75 億（含所有供應商；付 Microsoft 60.47 億；SRC_DEM_073）；Hi＝投資人文件調整後毛利率 33% 換算 13.07×0.67＝8.76（約 8.8）；v5.36 起本筆為支出路線的推論支出（Alloc C61、Cap_In H10 2025 欄）；Microsoft 端 SRC_DEM_018 12.6 改為對照列（工作單 v5.36 r0 B1；E361、E362、E363）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</si>
  <si>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非付費用戶推論支出</t>
    </r>
  </si>
  <si>
    <t xml:space="preserve">年度</t>
  </si>
  <si>
    <r>
      <rPr>
        <sz val="10"/>
        <color rgb="FF000000"/>
        <rFont val="Arial"/>
        <family val="0"/>
        <charset val="1"/>
      </rPr>
      <t xml:space="preserve">Cap_In!C29</t>
    </r>
    <r>
      <rPr>
        <sz val="10"/>
        <color rgb="FF000000"/>
        <rFont val="Noto Sans CJK SC"/>
        <family val="2"/>
      </rPr>
      <t xml:space="preserve">｜換算</t>
    </r>
  </si>
  <si>
    <t xml:space="preserve">免費占服務 0.46＝3.9 ÷ 8.4＝0.4643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</si>
  <si>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訓練支出</t>
    </r>
  </si>
  <si>
    <t xml:space="preserve">年度；約值</t>
  </si>
  <si>
    <r>
      <rPr>
        <sz val="10"/>
        <color rgb="FF000000"/>
        <rFont val="Arial"/>
        <family val="0"/>
        <charset val="1"/>
      </rPr>
      <t xml:space="preserve">Cap_In!C28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</si>
  <si>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營收</t>
    </r>
  </si>
  <si>
    <r>
      <rPr>
        <sz val="10"/>
        <color rgb="FF000000"/>
        <rFont val="Arial"/>
        <family val="0"/>
        <charset val="1"/>
      </rPr>
      <t xml:space="preserve">Checks!C43</t>
    </r>
    <r>
      <rPr>
        <sz val="10"/>
        <color rgb="FF000000"/>
        <rFont val="Noto Sans CJK SC"/>
        <family val="2"/>
      </rPr>
      <t xml:space="preserve">｜換算</t>
    </r>
  </si>
  <si>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自身營收口徑（不含 </t>
    </r>
    <r>
      <rPr>
        <sz val="10"/>
        <color rgb="FF000000"/>
        <rFont val="Arial"/>
        <family val="0"/>
        <charset val="1"/>
      </rPr>
      <t xml:space="preserve">Azure OpenAI Service </t>
    </r>
    <r>
      <rPr>
        <sz val="10"/>
        <color rgb="FF000000"/>
        <rFont val="Noto Sans CJK SC"/>
        <family val="2"/>
      </rPr>
      <t xml:space="preserve">轉售），與分母的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帳單口徑一致；待一手確認（</t>
    </r>
    <r>
      <rPr>
        <sz val="10"/>
        <color rgb="FF000000"/>
        <rFont val="Arial"/>
        <family val="0"/>
        <charset val="1"/>
      </rPr>
      <t xml:space="preserve">v5.33 J14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Axios 2026-10-08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年化數字不含經雲端夥伴銷售，</t>
    </r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）</t>
    </r>
  </si>
  <si>
    <t xml:space="preserve">SRC_DEM_008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</si>
  <si>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年底</t>
    </r>
  </si>
  <si>
    <r>
      <rPr>
        <sz val="10"/>
        <color rgb="FF000000"/>
        <rFont val="Arial"/>
        <family val="0"/>
        <charset val="1"/>
      </rPr>
      <t xml:space="preserve">GW </t>
    </r>
    <r>
      <rPr>
        <sz val="10"/>
        <color rgb="FF000000"/>
        <rFont val="Noto Sans CJK SC"/>
        <family val="2"/>
      </rPr>
      <t xml:space="preserve">口徑未明（</t>
    </r>
    <r>
      <rPr>
        <sz val="10"/>
        <color rgb="FF000000"/>
        <rFont val="Arial"/>
        <family val="0"/>
        <charset val="1"/>
      </rPr>
      <t xml:space="preserve">D1</t>
    </r>
    <r>
      <rPr>
        <sz val="10"/>
        <color rgb="FF000000"/>
        <rFont val="Noto Sans CJK SC"/>
        <family val="2"/>
      </rPr>
      <t xml:space="preserve">）</t>
    </r>
  </si>
  <si>
    <t xml:space="preserve">2024</t>
  </si>
  <si>
    <t xml:space="preserve">SRC_DEM_009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</si>
  <si>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算力規模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</t>
    </r>
  </si>
  <si>
    <t xml:space="preserve">約值；口徑未明</t>
  </si>
  <si>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N15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Altman 2025-10-13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年底超過 </t>
    </r>
    <r>
      <rPr>
        <sz val="10"/>
        <color rgb="FF000000"/>
        <rFont val="Arial"/>
        <family val="0"/>
        <charset val="1"/>
      </rPr>
      <t xml:space="preserve">2 GW</t>
    </r>
    <r>
      <rPr>
        <sz val="10"/>
        <color rgb="FF000000"/>
        <rFont val="Noto Sans CJK SC"/>
        <family val="2"/>
      </rPr>
      <t xml:space="preserve">」（</t>
    </r>
    <r>
      <rPr>
        <sz val="10"/>
        <color rgb="FF000000"/>
        <rFont val="Arial"/>
        <family val="0"/>
        <charset val="1"/>
      </rPr>
      <t xml:space="preserve">YouTube </t>
    </r>
    <r>
      <rPr>
        <sz val="10"/>
        <color rgb="FF000000"/>
        <rFont val="Noto Sans CJK SC"/>
        <family val="2"/>
      </rPr>
      <t xml:space="preserve">訪談，經 </t>
    </r>
    <r>
      <rPr>
        <sz val="10"/>
        <color rgb="FF000000"/>
        <rFont val="Arial"/>
        <family val="0"/>
        <charset val="1"/>
      </rPr>
      <t xml:space="preserve">Parekh </t>
    </r>
    <r>
      <rPr>
        <sz val="10"/>
        <color rgb="FF000000"/>
        <rFont val="Noto Sans CJK SC"/>
        <family val="2"/>
      </rPr>
      <t xml:space="preserve">轉述）與 </t>
    </r>
    <r>
      <rPr>
        <sz val="10"/>
        <color rgb="FF000000"/>
        <rFont val="Arial"/>
        <family val="0"/>
        <charset val="1"/>
      </rPr>
      <t xml:space="preserve">1.9 </t>
    </r>
    <r>
      <rPr>
        <sz val="10"/>
        <color rgb="FF000000"/>
        <rFont val="Noto Sans CJK SC"/>
        <family val="2"/>
      </rPr>
      <t xml:space="preserve">一致；口徑未明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</si>
  <si>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處理量</t>
    </r>
  </si>
  <si>
    <t xml:space="preserve">B tok/min</t>
  </si>
  <si>
    <t xml:space="preserve">時點值；API 全部</t>
  </si>
  <si>
    <t xml:space="preserve">2025-10-06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</si>
  <si>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DevDay 2025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2025-10-06 </t>
    </r>
    <r>
      <rPr>
        <sz val="10"/>
        <color rgb="FF000000"/>
        <rFont val="Noto Sans CJK SC"/>
        <family val="2"/>
      </rPr>
      <t xml:space="preserve">報導；</t>
    </r>
    <r>
      <rPr>
        <sz val="10"/>
        <color rgb="FF000000"/>
        <rFont val="Arial"/>
        <family val="0"/>
        <charset val="1"/>
      </rPr>
      <t xml:space="preserve">Epoch usage reports </t>
    </r>
    <r>
      <rPr>
        <sz val="10"/>
        <color rgb="FF000000"/>
        <rFont val="Noto Sans CJK SC"/>
        <family val="2"/>
      </rPr>
      <t xml:space="preserve">收錄）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</si>
  <si>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管理層公開宣示（經媒體報導）：有呈現成長的誘因</t>
    </r>
  </si>
  <si>
    <t xml:space="preserve">E166</t>
  </si>
  <si>
    <t xml:space="preserve">U-V515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</si>
  <si>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AL_DAPI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</si>
  <si>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月時點值；全年平均由 </t>
    </r>
    <r>
      <rPr>
        <sz val="10"/>
        <color rgb="FF000000"/>
        <rFont val="Arial"/>
        <family val="0"/>
        <charset val="1"/>
      </rPr>
      <t xml:space="preserve">Alloc_In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全年平均 </t>
    </r>
    <r>
      <rPr>
        <sz val="10"/>
        <color rgb="FF000000"/>
        <rFont val="Arial"/>
        <family val="0"/>
        <charset val="1"/>
      </rPr>
      <t xml:space="preserve">÷ 10 </t>
    </r>
    <r>
      <rPr>
        <sz val="10"/>
        <color rgb="FF000000"/>
        <rFont val="Noto Sans CJK SC"/>
        <family val="2"/>
      </rPr>
      <t xml:space="preserve">月時點值」換算（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）</t>
    </r>
  </si>
  <si>
    <t xml:space="preserve">時點值；「超過」；API 全部</t>
  </si>
  <si>
    <t xml:space="preserve">2026-03-31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</si>
  <si>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融資公告（</t>
    </r>
    <r>
      <rPr>
        <sz val="10"/>
        <color rgb="FF000000"/>
        <rFont val="Arial"/>
        <family val="0"/>
        <charset val="1"/>
      </rPr>
      <t xml:space="preserve">$122B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TechRadar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Business Analytics 2026-04 </t>
    </r>
    <r>
      <rPr>
        <sz val="10"/>
        <color rgb="FF000000"/>
        <rFont val="Noto Sans CJK SC"/>
        <family val="2"/>
      </rPr>
      <t xml:space="preserve">轉述；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官方繁中頁 </t>
    </r>
    <r>
      <rPr>
        <sz val="10"/>
        <color rgb="FF000000"/>
        <rFont val="Arial"/>
        <family val="0"/>
        <charset val="1"/>
      </rPr>
      <t xml:space="preserve">https://openai.com/zh-Hant/index/accelerating-the-next-phase-ai/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讀取，</t>
    </r>
    <r>
      <rPr>
        <sz val="10"/>
        <color rgb="FF000000"/>
        <rFont val="Arial"/>
        <family val="0"/>
        <charset val="1"/>
      </rPr>
      <t xml:space="preserve">2026-03-31</t>
    </r>
    <r>
      <rPr>
        <sz val="10"/>
        <color rgb="FF000000"/>
        <rFont val="Noto Sans CJK SC"/>
        <family val="2"/>
      </rPr>
      <t xml:space="preserve">：「我們的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目前每分鐘可處理超過 </t>
    </r>
    <r>
      <rPr>
        <sz val="10"/>
        <color rgb="FF000000"/>
        <rFont val="Arial"/>
        <family val="0"/>
        <charset val="1"/>
      </rPr>
      <t xml:space="preserve">150 </t>
    </r>
    <r>
      <rPr>
        <sz val="10"/>
        <color rgb="FF000000"/>
        <rFont val="Noto Sans CJK SC"/>
        <family val="2"/>
      </rPr>
      <t xml:space="preserve">億個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。」）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</si>
  <si>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融資公告：有呈現成長的誘因；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融資公告，有呈現成長的誘因；</t>
    </r>
    <r>
      <rPr>
        <sz val="10"/>
        <color rgb="FF000000"/>
        <rFont val="Arial"/>
        <family val="0"/>
        <charset val="1"/>
      </rPr>
      <t xml:space="preserve">Andy </t>
    </r>
    <r>
      <rPr>
        <sz val="10"/>
        <color rgb="FF000000"/>
        <rFont val="Noto Sans CJK SC"/>
        <family val="2"/>
      </rPr>
      <t xml:space="preserve">讀官方繁中頁（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</si>
  <si>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E167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E192</t>
    </r>
  </si>
  <si>
    <t xml:space="preserve">（備查；Alloc 基準年為 2025，A1；不在模型內使用）</t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</si>
  <si>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時點值，晚於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穩態基準年（</t>
    </r>
    <r>
      <rPr>
        <sz val="10"/>
        <color rgb="FF000000"/>
        <rFont val="Arial"/>
        <family val="0"/>
        <charset val="1"/>
      </rPr>
      <t xml:space="preserve">A1</t>
    </r>
    <r>
      <rPr>
        <sz val="10"/>
        <color rgb="FF000000"/>
        <rFont val="Noto Sans CJK SC"/>
        <family val="2"/>
      </rPr>
      <t xml:space="preserve">）；與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口徑不同（「超過」；日期不同），不構成 </t>
    </r>
    <r>
      <rPr>
        <sz val="10"/>
        <color rgb="FF000000"/>
        <rFont val="Arial"/>
        <family val="0"/>
        <charset val="1"/>
      </rPr>
      <t xml:space="preserve">E7 </t>
    </r>
    <r>
      <rPr>
        <sz val="10"/>
        <color rgb="FF000000"/>
        <rFont val="Noto Sans CJK SC"/>
        <family val="2"/>
      </rPr>
      <t xml:space="preserve">重複 ｜</t>
    </r>
    <r>
      <rPr>
        <sz val="10"/>
        <color rgb="FF000000"/>
        <rFont val="Arial"/>
        <family val="0"/>
        <charset val="1"/>
      </rPr>
      <t xml:space="preserve">v5.18</t>
    </r>
    <r>
      <rPr>
        <sz val="10"/>
        <color rgb="FF000000"/>
        <rFont val="Noto Sans CJK SC"/>
        <family val="2"/>
      </rPr>
      <t xml:space="preserve">：等級 </t>
    </r>
    <r>
      <rPr>
        <sz val="10"/>
        <color rgb="FF000000"/>
        <rFont val="Arial"/>
        <family val="0"/>
        <charset val="1"/>
      </rPr>
      <t xml:space="preserve">2→1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E192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</si>
  <si>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每日提示數</t>
    </r>
  </si>
  <si>
    <t xml:space="preserve">全球；其中美國約 0.33B</t>
  </si>
  <si>
    <t xml:space="preserve">2025-07-21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</si>
  <si>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告知 </t>
    </r>
    <r>
      <rPr>
        <sz val="10"/>
        <color rgb="FF000000"/>
        <rFont val="Arial"/>
        <family val="0"/>
        <charset val="1"/>
      </rPr>
      <t xml:space="preserve">Axios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2025-07-21 </t>
    </r>
    <r>
      <rPr>
        <sz val="10"/>
        <color rgb="FF000000"/>
        <rFont val="Noto Sans CJK SC"/>
        <family val="2"/>
      </rPr>
      <t xml:space="preserve">報導）</t>
    </r>
  </si>
  <si>
    <t xml:space="preserve">E168</t>
  </si>
  <si>
    <r>
      <rPr>
        <sz val="10"/>
        <color rgb="FF000000"/>
        <rFont val="Arial"/>
        <family val="0"/>
        <charset val="1"/>
      </rPr>
      <t xml:space="preserve">Alloc!A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</si>
  <si>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2025-07 </t>
    </r>
    <r>
      <rPr>
        <sz val="10"/>
        <color rgb="FF000000"/>
        <rFont val="Noto Sans CJK SC"/>
        <family val="2"/>
      </rPr>
      <t xml:space="preserve">年中時點值；年內近似線性成長下視同全年平均（</t>
    </r>
    <r>
      <rPr>
        <sz val="10"/>
        <color rgb="FF000000"/>
        <rFont val="Arial"/>
        <family val="0"/>
        <charset val="1"/>
      </rPr>
      <t xml:space="preserve">A9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）</t>
    </r>
  </si>
  <si>
    <t xml:space="preserve">前沿實驗室（OpenAI）每日 token</t>
  </si>
  <si>
    <t xml:space="preserve">由算力推估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</si>
  <si>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（前沿實驗室）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</si>
  <si>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tokensperday.com </t>
    </r>
    <r>
      <rPr>
        <sz val="10"/>
        <color rgb="FF000000"/>
        <rFont val="Noto Sans CJK SC"/>
        <family val="2"/>
      </rPr>
      <t xml:space="preserve">引用）</t>
    </r>
  </si>
  <si>
    <r>
      <rPr>
        <sz val="10"/>
        <color rgb="FF000000"/>
        <rFont val="Arial"/>
        <family val="0"/>
        <charset val="1"/>
      </rPr>
      <t xml:space="preserve">Epoch AI</t>
    </r>
    <r>
      <rPr>
        <sz val="10"/>
        <color rgb="FF000000"/>
        <rFont val="Noto Sans CJK SC"/>
        <family val="2"/>
      </rPr>
      <t xml:space="preserve">：獨立研究機構，由算力推估，無銷售誘因</t>
    </r>
  </si>
  <si>
    <r>
      <rPr>
        <sz val="10"/>
        <color rgb="FF000000"/>
        <rFont val="Arial"/>
        <family val="0"/>
        <charset val="1"/>
      </rPr>
      <t xml:space="preserve">E169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E191</t>
    </r>
  </si>
  <si>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外部對照、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</t>
    </r>
  </si>
  <si>
    <t xml:space="preserve">低 10、高 100 T tok/日（由算力推估的區間） ｜v5.18：等級 2→1（E191）</t>
  </si>
  <si>
    <t xml:space="preserve">SRC_DEM_014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</si>
  <si>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每請求平均輸入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</si>
  <si>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r>
      <rPr>
        <sz val="10"/>
        <color rgb="FF000000"/>
        <rFont val="Arial"/>
        <family val="0"/>
        <charset val="1"/>
      </rPr>
      <t xml:space="preserve">tok</t>
    </r>
    <r>
      <rPr>
        <sz val="10"/>
        <color rgb="FF000000"/>
        <rFont val="Noto Sans CJK SC"/>
        <family val="2"/>
      </rPr>
      <t xml:space="preserve">／請求</t>
    </r>
  </si>
  <si>
    <t xml:space="preserve">平均值（非中位數）；2025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</si>
  <si>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全市場路由流量</t>
    </r>
  </si>
  <si>
    <t xml:space="preserve">2026-01</t>
  </si>
  <si>
    <r>
      <rPr>
        <sz val="10"/>
        <color rgb="FF000000"/>
        <rFont val="Arial"/>
        <family val="0"/>
        <charset val="1"/>
      </rPr>
      <t xml:space="preserve">arXiv 2601.10088v1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State of AI: An Empirical 100 Trillion Token Study with OpenRouter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OpenRouter Inc.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a16z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https://arxiv.org/html/2601.10088v1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2026-10-07 CC </t>
    </r>
    <r>
      <rPr>
        <sz val="10"/>
        <color rgb="FF000000"/>
        <rFont val="Noto Sans CJK SC"/>
        <family val="2"/>
      </rPr>
      <t xml:space="preserve">讀原文 </t>
    </r>
    <r>
      <rPr>
        <sz val="10"/>
        <color rgb="FF000000"/>
        <rFont val="Arial"/>
        <family val="0"/>
        <charset val="1"/>
      </rPr>
      <t xml:space="preserve">HTML </t>
    </r>
    <r>
      <rPr>
        <sz val="10"/>
        <color rgb="FF000000"/>
        <rFont val="Noto Sans CJK SC"/>
        <family val="2"/>
      </rPr>
      <t xml:space="preserve">並逐字核對）</t>
    </r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</si>
  <si>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自身路由流量；</t>
    </r>
    <r>
      <rPr>
        <sz val="10"/>
        <color rgb="FF000000"/>
        <rFont val="Arial"/>
        <family val="0"/>
        <charset val="1"/>
      </rPr>
      <t xml:space="preserve">a16z </t>
    </r>
    <r>
      <rPr>
        <sz val="10"/>
        <color rgb="FF000000"/>
        <rFont val="Noto Sans CJK SC"/>
        <family val="2"/>
      </rPr>
      <t xml:space="preserve">為其投資人；樣本偏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、開發者與代理流量</t>
    </r>
  </si>
  <si>
    <t xml:space="preserve">E247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</si>
  <si>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14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Average prompt tokens per request have increased roughly fourfold from around 1.5K to over 6K</t>
    </r>
    <r>
      <rPr>
        <sz val="10"/>
        <color rgb="FF000000"/>
        <rFont val="Noto Sans CJK SC"/>
        <family val="2"/>
      </rPr>
      <t xml:space="preserve">」；原文另稱平均序列長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 </t>
    </r>
    <r>
      <rPr>
        <sz val="10"/>
        <color rgb="FF000000"/>
        <rFont val="Arial"/>
        <family val="0"/>
        <charset val="1"/>
      </rPr>
      <t xml:space="preserve">over 5,400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17</t>
    </r>
    <r>
      <rPr>
        <sz val="10"/>
        <color rgb="FF000000"/>
        <rFont val="Noto Sans CJK SC"/>
        <family val="2"/>
      </rPr>
      <t xml:space="preserve">），與輸入 </t>
    </r>
    <r>
      <rPr>
        <sz val="10"/>
        <color rgb="FF000000"/>
        <rFont val="Arial"/>
        <family val="0"/>
        <charset val="1"/>
      </rPr>
      <t xml:space="preserve">6K</t>
    </r>
    <r>
      <rPr>
        <sz val="10"/>
        <color rgb="FF000000"/>
        <rFont val="Noto Sans CJK SC"/>
        <family val="2"/>
      </rPr>
      <t xml:space="preserve">＋輸出 </t>
    </r>
    <r>
      <rPr>
        <sz val="10"/>
        <color rgb="FF000000"/>
        <rFont val="Arial"/>
        <family val="0"/>
        <charset val="1"/>
      </rPr>
      <t xml:space="preserve">400 </t>
    </r>
    <r>
      <rPr>
        <sz val="10"/>
        <color rgb="FF000000"/>
        <rFont val="Noto Sans CJK SC"/>
        <family val="2"/>
      </rPr>
      <t xml:space="preserve">不一致，原文未說明</t>
    </r>
  </si>
  <si>
    <t xml:space="preserve">SRC_DEM_015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</si>
  <si>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每請求平均輸出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（含推理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</si>
  <si>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平均值（非中位數）；含推理 token；2025 年末；資料期間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</si>
  <si>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4.3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15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completions have nearly tripled from about 150 to 400 tokens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2.3 </t>
    </r>
    <r>
      <rPr>
        <sz val="10"/>
        <color rgb="FF000000"/>
        <rFont val="Noto Sans CJK SC"/>
        <family val="2"/>
      </rPr>
      <t xml:space="preserve">節：「</t>
    </r>
    <r>
      <rPr>
        <sz val="10"/>
        <color rgb="FF000000"/>
        <rFont val="Arial"/>
        <family val="0"/>
        <charset val="1"/>
      </rPr>
      <t xml:space="preserve">Reasoning tokens ... are included within completion tokens</t>
    </r>
    <r>
      <rPr>
        <sz val="10"/>
        <color rgb="FF000000"/>
        <rFont val="Noto Sans CJK SC"/>
        <family val="2"/>
      </rPr>
      <t xml:space="preserve">」</t>
    </r>
  </si>
  <si>
    <t xml:space="preserve">SRC_DEM_016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</si>
  <si>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程式類輸入長度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一般類</t>
    </r>
  </si>
  <si>
    <t xml:space="preserve">倍</t>
  </si>
  <si>
    <t xml:space="preserve">平均值（非中位數）；程式類 ÷ 一般類的提示長度；資料期間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</si>
  <si>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4.4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18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programming-related prompts now average 3–4 times the token length of general-purpose prompts</t>
    </r>
    <r>
      <rPr>
        <sz val="10"/>
        <color rgb="FF000000"/>
        <rFont val="Noto Sans CJK SC"/>
        <family val="2"/>
      </rPr>
      <t xml:space="preserve">」；基準取中值 </t>
    </r>
    <r>
      <rPr>
        <sz val="10"/>
        <color rgb="FF000000"/>
        <rFont val="Arial"/>
        <family val="0"/>
        <charset val="1"/>
      </rPr>
      <t xml:space="preserve">3.5</t>
    </r>
  </si>
  <si>
    <t xml:space="preserve">SRC_DEM_017</t>
  </si>
  <si>
    <r>
      <rPr>
        <sz val="10"/>
        <color rgb="FF000000"/>
        <rFont val="Arial"/>
        <family val="0"/>
        <charset val="1"/>
      </rPr>
      <t xml:space="preserve">OpenRouter </t>
    </r>
    <r>
      <rPr>
        <sz val="10"/>
        <color rgb="FF000000"/>
        <rFont val="Noto Sans CJK SC"/>
        <family val="2"/>
      </rPr>
      <t xml:space="preserve">推理模型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占比（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年末）</t>
    </r>
  </si>
  <si>
    <t xml:space="preserve">平均值（非中位數）；全部 token 中經推理模型路由的占比；下限值；資料期間 2024-11-03 至 2025-11-30（2.5 節）</t>
  </si>
  <si>
    <r>
      <rPr>
        <sz val="10"/>
        <color rgb="FF000000"/>
        <rFont val="Arial"/>
        <family val="0"/>
        <charset val="1"/>
      </rPr>
      <t xml:space="preserve">v5.25 X12 </t>
    </r>
    <r>
      <rPr>
        <sz val="10"/>
        <color rgb="FF000000"/>
        <rFont val="Noto Sans CJK SC"/>
        <family val="2"/>
      </rPr>
      <t xml:space="preserve">新增（純證據，不連結任何模型格）；</t>
    </r>
    <r>
      <rPr>
        <sz val="10"/>
        <color rgb="FF000000"/>
        <rFont val="Arial"/>
        <family val="0"/>
        <charset val="1"/>
      </rPr>
      <t xml:space="preserve">4.1 </t>
    </r>
    <r>
      <rPr>
        <sz val="10"/>
        <color rgb="FF000000"/>
        <rFont val="Noto Sans CJK SC"/>
        <family val="2"/>
      </rPr>
      <t xml:space="preserve">節、</t>
    </r>
    <r>
      <rPr>
        <sz val="10"/>
        <color rgb="FF000000"/>
        <rFont val="Arial"/>
        <family val="0"/>
        <charset val="1"/>
      </rPr>
      <t xml:space="preserve">Figure 10</t>
    </r>
    <r>
      <rPr>
        <sz val="10"/>
        <color rgb="FF000000"/>
        <rFont val="Noto Sans CJK SC"/>
        <family val="2"/>
      </rPr>
      <t xml:space="preserve">：「</t>
    </r>
    <r>
      <rPr>
        <sz val="10"/>
        <color rgb="FF000000"/>
        <rFont val="Arial"/>
        <family val="0"/>
        <charset val="1"/>
      </rPr>
      <t xml:space="preserve">now exceeds fifty percent</t>
    </r>
    <r>
      <rPr>
        <sz val="10"/>
        <color rgb="FF000000"/>
        <rFont val="Noto Sans CJK SC"/>
        <family val="2"/>
      </rPr>
      <t xml:space="preserve">」（下限值；高端未給）</t>
    </r>
  </si>
  <si>
    <t xml:space="preserve">SRC_DEM_018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</si>
  <si>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帳單，全年推估）</t>
    </r>
  </si>
  <si>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計價，含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利潤與資本回收；</t>
    </r>
    <r>
      <rPr>
        <sz val="10"/>
        <color rgb="FF000000"/>
        <rFont val="Arial"/>
        <family val="0"/>
        <charset val="1"/>
      </rPr>
      <t xml:space="preserve">Q1–Q3 </t>
    </r>
    <r>
      <rPr>
        <sz val="10"/>
        <color rgb="FF000000"/>
        <rFont val="Noto Sans CJK SC"/>
        <family val="2"/>
      </rPr>
      <t xml:space="preserve">實際 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Q1 2.075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2.947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Q3 3.648</t>
    </r>
    <r>
      <rPr>
        <sz val="10"/>
        <color rgb="FF000000"/>
        <rFont val="Noto Sans CJK SC"/>
        <family val="2"/>
      </rPr>
      <t xml:space="preserve">）＋ </t>
    </r>
    <r>
      <rPr>
        <sz val="10"/>
        <color rgb="FF000000"/>
        <rFont val="Arial"/>
        <family val="0"/>
        <charset val="1"/>
      </rPr>
      <t xml:space="preserve">Q4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Q3 run-rate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</t>
    </r>
    <r>
      <rPr>
        <sz val="10"/>
        <color rgb="FF000000"/>
        <rFont val="Noto Sans CJK SC"/>
        <family val="2"/>
      </rPr>
      <t xml:space="preserve">推估</t>
    </r>
  </si>
  <si>
    <r>
      <rPr>
        <sz val="10"/>
        <color rgb="FF000000"/>
        <rFont val="Arial"/>
        <family val="0"/>
        <charset val="1"/>
      </rPr>
      <t xml:space="preserve">Where's Your Ed At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The OpenAI documents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https://www.wheresyoured.at/oai_docs/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2025-11-12</t>
    </r>
    <r>
      <rPr>
        <sz val="10"/>
        <color rgb="FF000000"/>
        <rFont val="Noto Sans CJK SC"/>
        <family val="2"/>
      </rPr>
      <t xml:space="preserve">；文件為該刊所見，未公開；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報導雙方未評論）；</t>
    </r>
    <r>
      <rPr>
        <sz val="10"/>
        <color rgb="FF000000"/>
        <rFont val="Arial"/>
        <family val="0"/>
        <charset val="1"/>
      </rPr>
      <t xml:space="preserve">chat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2026-10-08 </t>
    </r>
    <r>
      <rPr>
        <sz val="10"/>
        <color rgb="FF000000"/>
        <rFont val="Noto Sans CJK SC"/>
        <family val="2"/>
      </rPr>
      <t xml:space="preserve">讀取（二手）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</si>
  <si>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內部文件經媒體轉述（文件未公開）；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分成 </t>
    </r>
    <r>
      <rPr>
        <sz val="10"/>
        <color rgb="FF000000"/>
        <rFont val="Arial"/>
        <family val="0"/>
        <charset val="1"/>
      </rPr>
      <t xml:space="preserve">20%</t>
    </r>
  </si>
  <si>
    <t xml:space="preserve">二手（文件未公開）</t>
  </si>
  <si>
    <t xml:space="preserve">E259</t>
  </si>
  <si>
    <t xml:space="preserve">U-V529</t>
  </si>
  <si>
    <r>
      <rPr>
        <sz val="10"/>
        <color rgb="FF000000"/>
        <rFont val="Arial"/>
        <family val="0"/>
        <charset val="1"/>
      </rPr>
      <t xml:space="preserve">Alloc!F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，支出路線服務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 </t>
    </r>
    <r>
      <rPr>
        <sz val="10"/>
        <color rgb="FF000000"/>
        <rFont val="Noto Sans CJK SC"/>
        <family val="2"/>
      </rPr>
      <t xml:space="preserve">外部對照（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</si>
  <si>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v5.29 X14 (k) </t>
    </r>
    <r>
      <rPr>
        <sz val="10"/>
        <color rgb="FF000000"/>
        <rFont val="Noto Sans CJK SC"/>
        <family val="2"/>
      </rPr>
      <t xml:space="preserve">新增；</t>
    </r>
    <r>
      <rPr>
        <sz val="10"/>
        <color rgb="FF000000"/>
        <rFont val="Arial"/>
        <family val="0"/>
        <charset val="1"/>
      </rPr>
      <t xml:space="preserve">r2</t>
    </r>
    <r>
      <rPr>
        <sz val="10"/>
        <color rgb="FF000000"/>
        <rFont val="Noto Sans CJK SC"/>
        <family val="2"/>
      </rPr>
      <t xml:space="preserve">：與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json </t>
    </r>
    <r>
      <rPr>
        <sz val="10"/>
        <color rgb="FF000000"/>
        <rFont val="Noto Sans CJK SC"/>
        <family val="2"/>
      </rPr>
      <t xml:space="preserve">一致集）口徑不同，兩筆並列 </t>
    </r>
    <r>
      <rPr>
        <sz val="10"/>
        <color rgb="FF000000"/>
        <rFont val="Arial"/>
        <family val="0"/>
        <charset val="1"/>
      </rPr>
      <t xml:space="preserve">Active——</t>
    </r>
    <r>
      <rPr>
        <sz val="10"/>
        <color rgb="FF000000"/>
        <rFont val="Noto Sans CJK SC"/>
        <family val="2"/>
      </rPr>
      <t xml:space="preserve">本筆只用於支出路線服務 </t>
    </r>
    <r>
      <rPr>
        <sz val="10"/>
        <color rgb="FF000000"/>
        <rFont val="Arial"/>
        <family val="0"/>
        <charset val="1"/>
      </rPr>
      <t xml:space="preserve">GW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Alloc C61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），比例類公式（支出比、免費支出占比、毛利隱含值、</t>
    </r>
    <r>
      <rPr>
        <sz val="10"/>
        <color rgb="FF000000"/>
        <rFont val="Arial"/>
        <family val="0"/>
        <charset val="1"/>
      </rPr>
      <t xml:space="preserve">Cap_In C28 </t>
    </r>
    <r>
      <rPr>
        <sz val="10"/>
        <color rgb="FF000000"/>
        <rFont val="Noto Sans CJK SC"/>
        <family val="2"/>
      </rPr>
      <t xml:space="preserve">換算）仍用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（同源分子分母）；全年 </t>
    </r>
    <r>
      <rPr>
        <sz val="10"/>
        <color rgb="FF000000"/>
        <rFont val="Arial"/>
        <family val="0"/>
        <charset val="1"/>
      </rPr>
      <t xml:space="preserve">12.6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8.67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Q4 3.648 × 1.075</t>
    </r>
    <r>
      <rPr>
        <sz val="10"/>
        <color rgb="FF000000"/>
        <rFont val="Noto Sans CJK SC"/>
        <family val="2"/>
      </rPr>
      <t xml:space="preserve">（區間：</t>
    </r>
    <r>
      <rPr>
        <sz val="10"/>
        <color rgb="FF000000"/>
        <rFont val="Arial"/>
        <family val="0"/>
        <charset val="1"/>
      </rPr>
      <t xml:space="preserve">Q4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Q3 run-rate 12.3 </t>
    </r>
    <r>
      <rPr>
        <sz val="10"/>
        <color rgb="FF000000"/>
        <rFont val="Noto Sans CJK SC"/>
        <family val="2"/>
      </rPr>
      <t xml:space="preserve">至 </t>
    </r>
    <r>
      <rPr>
        <sz val="10"/>
        <color rgb="FF000000"/>
        <rFont val="Arial"/>
        <family val="0"/>
        <charset val="1"/>
      </rPr>
      <t xml:space="preserve">+15% 13.0</t>
    </r>
    <r>
      <rPr>
        <sz val="10"/>
        <color rgb="FF000000"/>
        <rFont val="Noto Sans CJK SC"/>
        <family val="2"/>
      </rPr>
      <t xml:space="preserve">）；口徑為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計價，不等於持有成本口徑（</t>
    </r>
    <r>
      <rPr>
        <sz val="10"/>
        <color rgb="FF000000"/>
        <rFont val="Arial"/>
        <family val="0"/>
        <charset val="1"/>
      </rPr>
      <t xml:space="preserve">L1_GapSpendBasis </t>
    </r>
    <r>
      <rPr>
        <sz val="10"/>
        <color rgb="FF000000"/>
        <rFont val="Noto Sans CJK SC"/>
        <family val="2"/>
      </rPr>
      <t xml:space="preserve">另以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倍數換算） ｜</t>
    </r>
    <r>
      <rPr>
        <sz val="10"/>
        <color rgb="FF000000"/>
        <rFont val="Arial"/>
        <family val="0"/>
        <charset val="1"/>
      </rPr>
      <t xml:space="preserve">v5.32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分潤 </t>
    </r>
    <r>
      <rPr>
        <sz val="10"/>
        <color rgb="FF000000"/>
        <rFont val="Arial"/>
        <family val="0"/>
        <charset val="1"/>
      </rPr>
      <t xml:space="preserve">20%</t>
    </r>
    <r>
      <rPr>
        <sz val="10"/>
        <color rgb="FF000000"/>
        <rFont val="Noto Sans CJK SC"/>
        <family val="2"/>
      </rPr>
      <t xml:space="preserve">（至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）另登錄 </t>
    </r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上限只有二手，待查一手；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 ｜</t>
    </r>
    <r>
      <rPr>
        <sz val="10"/>
        <color rgb="FF000000"/>
        <rFont val="Arial"/>
        <family val="0"/>
        <charset val="1"/>
      </rPr>
      <t xml:space="preserve">v5.36 B1</t>
    </r>
    <r>
      <rPr>
        <sz val="10"/>
        <color rgb="FF000000"/>
        <rFont val="Noto Sans CJK SC"/>
        <family val="2"/>
      </rPr>
      <t xml:space="preserve">：維持 </t>
    </r>
    <r>
      <rPr>
        <sz val="10"/>
        <color rgb="FF000000"/>
        <rFont val="Arial"/>
        <family val="0"/>
        <charset val="1"/>
      </rPr>
      <t xml:space="preserve">Active</t>
    </r>
    <r>
      <rPr>
        <sz val="10"/>
        <color rgb="FF000000"/>
        <rFont val="Noto Sans CJK SC"/>
        <family val="2"/>
      </rPr>
      <t xml:space="preserve">，改為對照列、不進機隊路線（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節對照列「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端 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推論」）；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稱為推論的 </t>
    </r>
    <r>
      <rPr>
        <sz val="10"/>
        <color rgb="FF000000"/>
        <rFont val="Arial"/>
        <family val="0"/>
        <charset val="1"/>
      </rPr>
      <t xml:space="preserve">126 </t>
    </r>
    <r>
      <rPr>
        <sz val="10"/>
        <color rgb="FF000000"/>
        <rFont val="Noto Sans CJK SC"/>
        <family val="2"/>
      </rPr>
      <t xml:space="preserve">億中約一半未進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營業成本（付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營業成本 </t>
    </r>
    <r>
      <rPr>
        <sz val="10"/>
        <color rgb="FF000000"/>
        <rFont val="Arial"/>
        <family val="0"/>
        <charset val="1"/>
      </rPr>
      <t xml:space="preserve">60.47 </t>
    </r>
    <r>
      <rPr>
        <sz val="10"/>
        <color rgb="FF000000"/>
        <rFont val="Noto Sans CJK SC"/>
        <family val="2"/>
      </rPr>
      <t xml:space="preserve">億，</t>
    </r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），最可能是研究用推論列在研發（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節）；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向 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表示數字「不太正確」（</t>
    </r>
    <r>
      <rPr>
        <sz val="10"/>
        <color rgb="FF000000"/>
        <rFont val="Arial"/>
        <family val="0"/>
        <charset val="1"/>
      </rPr>
      <t xml:space="preserve">E350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</si>
  <si>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消費訂閱數</t>
    </r>
  </si>
  <si>
    <t xml:space="preserve">時點 2026-02-27；「超過」；消費訂閱（Plus／Pro 等）</t>
  </si>
  <si>
    <t xml:space="preserve">OpenAI ChatGPT</t>
  </si>
  <si>
    <t xml:space="preserve">2026-02-27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</si>
  <si>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</si>
  <si>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</t>
    </r>
  </si>
  <si>
    <t xml:space="preserve">E279</t>
  </si>
  <si>
    <t xml:space="preserve">U-V532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</si>
  <si>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節（訂閱人數期間平均的期末端）｜換算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</si>
  <si>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）：採用：訂閱時間序列的一手錨點；</t>
    </r>
    <r>
      <rPr>
        <sz val="10"/>
        <color rgb="FF000000"/>
        <rFont val="Arial"/>
        <family val="0"/>
        <charset val="1"/>
      </rPr>
      <t xml:space="preserve">2026-03-31 </t>
    </r>
    <r>
      <rPr>
        <sz val="10"/>
        <color rgb="FF000000"/>
        <rFont val="Noto Sans CJK SC"/>
        <family val="2"/>
      </rPr>
      <t xml:space="preserve">融資公告同值（不構成新時點）；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</si>
  <si>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SRC_DEM_020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</si>
  <si>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付費商用用戶數</t>
    </r>
  </si>
  <si>
    <t xml:space="preserve">時點 2026-02-27；「超過」；Business／Enterprise／Edu 付費用戶</t>
  </si>
  <si>
    <t xml:space="preserve">（時間序列；不連結模型格）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</si>
  <si>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）：採用：商用時間序列的一手錨點（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N06 </t>
    </r>
    <r>
      <rPr>
        <sz val="10"/>
        <color rgb="FF000000"/>
        <rFont val="Noto Sans CJK SC"/>
        <family val="2"/>
      </rPr>
      <t xml:space="preserve">序列的最後一點）；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</si>
  <si>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SRC_DEM_021</t>
  </si>
  <si>
    <r>
      <rPr>
        <sz val="10"/>
        <color rgb="FF000000"/>
        <rFont val="Arial"/>
        <family val="0"/>
        <charset val="1"/>
      </rPr>
      <t xml:space="preserve">Codex </t>
    </r>
    <r>
      <rPr>
        <sz val="10"/>
        <color rgb="FF000000"/>
        <rFont val="Noto Sans CJK SC"/>
        <family val="2"/>
      </rPr>
      <t xml:space="preserve">每週用戶</t>
    </r>
  </si>
  <si>
    <t xml:space="preserve">時點 2026-02-27；每週活躍；含訂閱內使用與 API</t>
  </si>
  <si>
    <t xml:space="preserve">OpenAI Codex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</si>
  <si>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E279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）：採用：程式代理用戶數；</t>
    </r>
    <r>
      <rPr>
        <sz val="10"/>
        <color rgb="FF000000"/>
        <rFont val="Arial"/>
        <family val="0"/>
        <charset val="1"/>
      </rPr>
      <t xml:space="preserve">2026-03-31 &gt;2M</t>
    </r>
    <r>
      <rPr>
        <sz val="10"/>
        <color rgb="FF000000"/>
        <rFont val="Noto Sans CJK SC"/>
        <family val="2"/>
      </rPr>
      <t xml:space="preserve">（同公司融資公告，未另登錄）；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</si>
  <si>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SRC_DEM_022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</si>
  <si>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月營收</t>
    </r>
  </si>
  <si>
    <r>
      <rPr>
        <sz val="10"/>
        <color rgb="FF000000"/>
        <rFont val="Arial"/>
        <family val="0"/>
        <charset val="1"/>
      </rPr>
      <t xml:space="preserve">$B/</t>
    </r>
    <r>
      <rPr>
        <sz val="10"/>
        <color rgb="FF000000"/>
        <rFont val="Noto Sans CJK SC"/>
        <family val="2"/>
      </rPr>
      <t xml:space="preserve">月</t>
    </r>
  </si>
  <si>
    <t xml:space="preserve">時點 2026-03；月營收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</si>
  <si>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融資公告 </t>
    </r>
    <r>
      <rPr>
        <sz val="10"/>
        <color rgb="FF000000"/>
        <rFont val="Arial"/>
        <family val="0"/>
        <charset val="1"/>
      </rPr>
      <t xml:space="preserve">https://openai.com/index/accelerating-the-next-phase-ai/</t>
    </r>
  </si>
  <si>
    <t xml:space="preserve">E280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</si>
  <si>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）：採用：營收拆分下限的分母；同公告 </t>
    </r>
    <r>
      <rPr>
        <sz val="10"/>
        <color rgb="FF000000"/>
        <rFont val="Arial"/>
        <family val="0"/>
        <charset val="1"/>
      </rPr>
      <t xml:space="preserve">API &gt;15B tok/min </t>
    </r>
    <r>
      <rPr>
        <sz val="10"/>
        <color rgb="FF000000"/>
        <rFont val="Noto Sans CJK SC"/>
        <family val="2"/>
      </rPr>
      <t xml:space="preserve">已為 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</si>
  <si>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營收中「企業」占比</t>
    </r>
  </si>
  <si>
    <t xml:space="preserve">時點 2026-03；「超過」；「企業」口徑未定義（可能含商用席次＋API）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</si>
  <si>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）：採用（口徑註明未定義）：與「消費約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」相加 </t>
    </r>
    <r>
      <rPr>
        <sz val="10"/>
        <color rgb="FF000000"/>
        <rFont val="Arial"/>
        <family val="0"/>
        <charset val="1"/>
      </rPr>
      <t xml:space="preserve">&gt;100%</t>
    </r>
    <r>
      <rPr>
        <sz val="10"/>
        <color rgb="FF000000"/>
        <rFont val="Noto Sans CJK SC"/>
        <family val="2"/>
      </rPr>
      <t xml:space="preserve">，口徑互相重疊；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</si>
  <si>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2025-01；消費訂閱（Plus＋Pro）</t>
  </si>
  <si>
    <t xml:space="preserve">2025-04-02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</si>
  <si>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</si>
  <si>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內部數字經媒體轉述；有呈現成長的誘因</t>
    </r>
  </si>
  <si>
    <t xml:space="preserve">E281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</si>
  <si>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節（訂閱人數期間平均的期初端）｜換算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</si>
  <si>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SRC_DEM_025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</si>
  <si>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2025-03／04；「超過」；消費訂閱</t>
  </si>
  <si>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AIN.UA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https://en.ain.ua/2025/04/02/chatgpt-revenue-grew-30-percent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ChatGPT revenue surges 30% in just three months</t>
    </r>
    <r>
      <rPr>
        <sz val="10"/>
        <color rgb="FF000000"/>
        <rFont val="Noto Sans CJK SC"/>
        <family val="2"/>
      </rPr>
      <t xml:space="preserve">」）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</si>
  <si>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節（訂閱人數時間序列）｜顯示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</si>
  <si>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）：部分採用：時間序列早段；與 </t>
    </r>
    <r>
      <rPr>
        <sz val="10"/>
        <color rgb="FF000000"/>
        <rFont val="Arial"/>
        <family val="0"/>
        <charset val="1"/>
      </rPr>
      <t xml:space="preserve">SRC_DEM_024 </t>
    </r>
    <r>
      <rPr>
        <sz val="10"/>
        <color rgb="FF000000"/>
        <rFont val="Noto Sans CJK SC"/>
        <family val="2"/>
      </rPr>
      <t xml:space="preserve">同一則報導（不獨立）；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</si>
  <si>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時點 2025-07；消費訂閱（Plus 或 Pro）</t>
  </si>
  <si>
    <t xml:space="preserve">2025-11-26</t>
  </si>
  <si>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</si>
  <si>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投資人資料經媒體；有呈現成長的誘因</t>
    </r>
  </si>
  <si>
    <t xml:space="preserve">E282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</si>
  <si>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年中錨點；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</si>
  <si>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SRC_DEM_027</t>
  </si>
  <si>
    <t xml:space="preserve">時點 2025-02</t>
  </si>
  <si>
    <t xml:space="preserve">2025-06-09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</si>
  <si>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</si>
  <si>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</t>
    </r>
  </si>
  <si>
    <t xml:space="preserve">E284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</si>
  <si>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點（與 </t>
    </r>
    <r>
      <rPr>
        <sz val="10"/>
        <color rgb="FF000000"/>
        <rFont val="Arial"/>
        <family val="0"/>
        <charset val="1"/>
      </rPr>
      <t xml:space="preserve">SRC_DEM_028 </t>
    </r>
    <r>
      <rPr>
        <sz val="10"/>
        <color rgb="FF000000"/>
        <rFont val="Noto Sans CJK SC"/>
        <family val="2"/>
      </rPr>
      <t xml:space="preserve">同一則報導）；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</si>
  <si>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SRC_DEM_028</t>
  </si>
  <si>
    <t xml:space="preserve">時點 2025-06</t>
  </si>
  <si>
    <t xml:space="preserve">2025-06-04</t>
  </si>
  <si>
    <r>
      <rPr>
        <sz val="10"/>
        <color rgb="FF000000"/>
        <rFont val="Arial"/>
        <family val="0"/>
        <charset val="1"/>
      </rPr>
      <t xml:space="preserve">CNBC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NBC Miami https://www.nbcmiami.com/news/business/money-report/openai-hits-10-billion-in-annual-recurring-revenue-fueled-by-chatgpt-growth/3632896/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TipRanks https://www.tipranks.com/news/microsoft-backed-openai-msft-now-has-three-million-paying-business-users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</si>
  <si>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發言人經媒體（多家轉述同一公司發言，不另算）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</si>
  <si>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</si>
  <si>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SRC_DEM_029</t>
  </si>
  <si>
    <t xml:space="preserve">時點 2025-08</t>
  </si>
  <si>
    <t xml:space="preserve">The Decoder https://the-decoder.com/chatgpt-is-set-to-reach-700-million-weekly-users-this-week/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</si>
  <si>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經媒體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</si>
  <si>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）：採用：商用序列第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</si>
  <si>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SRC_DEM_030</t>
  </si>
  <si>
    <r>
      <rPr>
        <sz val="10"/>
        <color rgb="FF000000"/>
        <rFont val="Arial"/>
        <family val="0"/>
        <charset val="1"/>
      </rPr>
      <t xml:space="preserve">ChatGPT for Work </t>
    </r>
    <r>
      <rPr>
        <sz val="10"/>
        <color rgb="FF000000"/>
        <rFont val="Noto Sans CJK SC"/>
        <family val="2"/>
      </rPr>
      <t xml:space="preserve">席次</t>
    </r>
  </si>
  <si>
    <t xml:space="preserve">時點 2025-11-05；「超過」；席次（非用戶；口徑與前後點不同）</t>
  </si>
  <si>
    <t xml:space="preserve">2025-11-05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</si>
  <si>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1 million businesses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https://openai.com/index/1-million-businesses-putting-ai-to-work/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</si>
  <si>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）：採用（</t>
    </r>
    <r>
      <rPr>
        <sz val="10"/>
        <color rgb="FF000000"/>
        <rFont val="Arial"/>
        <family val="0"/>
        <charset val="1"/>
      </rPr>
      <t xml:space="preserve">7M </t>
    </r>
    <r>
      <rPr>
        <sz val="10"/>
        <color rgb="FF000000"/>
        <rFont val="Noto Sans CJK SC"/>
        <family val="2"/>
      </rPr>
      <t xml:space="preserve">為「席次」口徑另註）：商用序列第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點；同文：商用客戶 </t>
    </r>
    <r>
      <rPr>
        <sz val="10"/>
        <color rgb="FF000000"/>
        <rFont val="Arial"/>
        <family val="0"/>
        <charset val="1"/>
      </rPr>
      <t xml:space="preserve">&gt;100 </t>
    </r>
    <r>
      <rPr>
        <sz val="10"/>
        <color rgb="FF000000"/>
        <rFont val="Noto Sans CJK SC"/>
        <family val="2"/>
      </rPr>
      <t xml:space="preserve">萬家；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</si>
  <si>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</si>
  <si>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平台開發者數</t>
    </r>
  </si>
  <si>
    <t xml:space="preserve">時點 2025-10-06；開發者（非付費 API 組織）</t>
  </si>
  <si>
    <t xml:space="preserve">OpenAI API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</si>
  <si>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https://alicialyttle.com/openai-devday-2025-what-just-changed-for-builders/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TechCrunch </t>
    </r>
    <r>
      <rPr>
        <sz val="10"/>
        <color rgb="FF000000"/>
        <rFont val="Noto Sans CJK SC"/>
        <family val="2"/>
      </rPr>
      <t xml:space="preserve">同日報導）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</si>
  <si>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</t>
    </r>
  </si>
  <si>
    <t xml:space="preserve">E285</t>
  </si>
  <si>
    <t xml:space="preserve">（API 路線每開發者口徑的上界分母；不連結模型格）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</si>
  <si>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）：部分採用：只作上界分母；付費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組織數找不到；與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同一場合；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</si>
  <si>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SRC_DEM_032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</si>
  <si>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商用客戶數</t>
    </r>
  </si>
  <si>
    <t xml:space="preserve">家</t>
  </si>
  <si>
    <t xml:space="preserve">時點 2025-08／09；「超過」；家（非席次）</t>
  </si>
  <si>
    <t xml:space="preserve">2025-09-02</t>
  </si>
  <si>
    <r>
      <rPr>
        <sz val="10"/>
        <color rgb="FF000000"/>
        <rFont val="Arial"/>
        <family val="0"/>
        <charset val="1"/>
      </rPr>
      <t xml:space="preserve">Anthropic Series F </t>
    </r>
    <r>
      <rPr>
        <sz val="10"/>
        <color rgb="FF000000"/>
        <rFont val="Noto Sans CJK SC"/>
        <family val="2"/>
      </rPr>
      <t xml:space="preserve">公告（</t>
    </r>
    <r>
      <rPr>
        <sz val="10"/>
        <color rgb="FF000000"/>
        <rFont val="Arial"/>
        <family val="0"/>
        <charset val="1"/>
      </rPr>
      <t xml:space="preserve">GIC </t>
    </r>
    <r>
      <rPr>
        <sz val="10"/>
        <color rgb="FF000000"/>
        <rFont val="Noto Sans CJK SC"/>
        <family val="2"/>
      </rPr>
      <t xml:space="preserve">存檔）</t>
    </r>
    <r>
      <rPr>
        <sz val="10"/>
        <color rgb="FF000000"/>
        <rFont val="Arial"/>
        <family val="0"/>
        <charset val="1"/>
      </rPr>
      <t xml:space="preserve">https://www.gic.com.sg/uploads/2025/09/Anthropic-raises-13B-Series-F-at-183B-post-money-valuation.pdf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</si>
  <si>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融資公告</t>
    </r>
  </si>
  <si>
    <t xml:space="preserve">E286</t>
  </si>
  <si>
    <t xml:space="preserve">（Anthropic 序列；Alloc_In A8 尚未啟用）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</si>
  <si>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序列起點；消費訂閱數未揭露；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</si>
  <si>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SRC_DEM_033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</si>
  <si>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年付超過 </t>
    </r>
    <r>
      <rPr>
        <sz val="10"/>
        <color rgb="FF000000"/>
        <rFont val="Arial"/>
        <family val="0"/>
        <charset val="1"/>
      </rPr>
      <t xml:space="preserve">$1M </t>
    </r>
    <r>
      <rPr>
        <sz val="10"/>
        <color rgb="FF000000"/>
        <rFont val="Noto Sans CJK SC"/>
        <family val="2"/>
      </rPr>
      <t xml:space="preserve">客戶數</t>
    </r>
  </si>
  <si>
    <t xml:space="preserve">時點 2026-02-12；「超過」</t>
  </si>
  <si>
    <t xml:space="preserve">2026-02-12</t>
  </si>
  <si>
    <t xml:space="preserve">Anthropic Series G https://www.anthropic.com/news/anthropic-raises-30-billion-series-g-funding-380-billion-post-money-valuation</t>
  </si>
  <si>
    <t xml:space="preserve">（Anthropic 序列；不連結模型格）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</si>
  <si>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）：採用；同文：</t>
    </r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商用訂閱自年初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</si>
  <si>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SRC_DEM_034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</si>
  <si>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用量計費營收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</si>
  <si>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年度；用量計費（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</si>
  <si>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</t>
    </r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</si>
  <si>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未公開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經媒體轉述；上市前</t>
    </r>
  </si>
  <si>
    <t xml:space="preserve">E287</t>
  </si>
  <si>
    <t xml:space="preserve">（m 偏離來源 (4) 通路分潤的依據；不連結模型格）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</si>
  <si>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N09</t>
    </r>
    <r>
      <rPr>
        <sz val="10"/>
        <color rgb="FF000000"/>
        <rFont val="Noto Sans CJK SC"/>
        <family val="2"/>
      </rPr>
      <t xml:space="preserve">）：採用；公開 </t>
    </r>
    <r>
      <rPr>
        <sz val="10"/>
        <color rgb="FF000000"/>
        <rFont val="Arial"/>
        <family val="0"/>
        <charset val="1"/>
      </rPr>
      <t xml:space="preserve">S-1 </t>
    </r>
    <r>
      <rPr>
        <sz val="10"/>
        <color rgb="FF000000"/>
        <rFont val="Noto Sans CJK SC"/>
        <family val="2"/>
      </rPr>
      <t xml:space="preserve">出來後升級；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</si>
  <si>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SRC_DEM_035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</si>
  <si>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訂閱營收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</si>
  <si>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年度；訂閱（占約 </t>
    </r>
    <r>
      <rPr>
        <sz val="10"/>
        <color rgb="FF000000"/>
        <rFont val="Arial"/>
        <family val="0"/>
        <charset val="1"/>
      </rPr>
      <t xml:space="preserve">17%</t>
    </r>
    <r>
      <rPr>
        <sz val="10"/>
        <color rgb="FF000000"/>
        <rFont val="Noto Sans CJK SC"/>
        <family val="2"/>
      </rPr>
      <t xml:space="preserve">）</t>
    </r>
  </si>
  <si>
    <t xml:space="preserve">（不連結模型格）</t>
  </si>
  <si>
    <t xml:space="preserve">SRC_DEM_036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</si>
  <si>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經雲端市集營收（</t>
    </r>
    <r>
      <rPr>
        <sz val="10"/>
        <color rgb="FF000000"/>
        <rFont val="Arial"/>
        <family val="0"/>
        <charset val="1"/>
      </rPr>
      <t xml:space="preserve">AWS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Google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</si>
  <si>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年度；雲端市集（占約 </t>
    </r>
    <r>
      <rPr>
        <sz val="10"/>
        <color rgb="FF000000"/>
        <rFont val="Arial"/>
        <family val="0"/>
        <charset val="1"/>
      </rPr>
      <t xml:space="preserve">47%</t>
    </r>
    <r>
      <rPr>
        <sz val="10"/>
        <color rgb="FF000000"/>
        <rFont val="Noto Sans CJK SC"/>
        <family val="2"/>
      </rPr>
      <t xml:space="preserve">；營收為總額）</t>
    </r>
  </si>
  <si>
    <t xml:space="preserve">SRC_DEM_037</t>
  </si>
  <si>
    <r>
      <rPr>
        <sz val="10"/>
        <color rgb="FF000000"/>
        <rFont val="Arial"/>
        <family val="0"/>
        <charset val="1"/>
      </rPr>
      <t xml:space="preserve">Anthropic 2025 </t>
    </r>
    <r>
      <rPr>
        <sz val="10"/>
        <color rgb="FF000000"/>
        <rFont val="Noto Sans CJK SC"/>
        <family val="2"/>
      </rPr>
      <t xml:space="preserve">付給雲端平台的分潤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</si>
  <si>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年度；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自行分析；列為費用（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市集營收＝</t>
    </r>
    <r>
      <rPr>
        <sz val="10"/>
        <color rgb="FF000000"/>
        <rFont val="Arial"/>
        <family val="0"/>
        <charset val="1"/>
      </rPr>
      <t xml:space="preserve">16%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總營收＝</t>
    </r>
    <r>
      <rPr>
        <sz val="10"/>
        <color rgb="FF000000"/>
        <rFont val="Arial"/>
        <family val="0"/>
        <charset val="1"/>
      </rPr>
      <t xml:space="preserve">7.6%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</si>
  <si>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Reuters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Echo Wang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Krystal Hu</t>
    </r>
    <r>
      <rPr>
        <sz val="10"/>
        <color rgb="FF000000"/>
        <rFont val="Noto Sans CJK SC"/>
        <family val="2"/>
      </rPr>
      <t xml:space="preserve">）讀機密 </t>
    </r>
    <r>
      <rPr>
        <sz val="10"/>
        <color rgb="FF000000"/>
        <rFont val="Arial"/>
        <family val="0"/>
        <charset val="1"/>
      </rPr>
      <t xml:space="preserve">S-1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Khaleej Times </t>
    </r>
    <r>
      <rPr>
        <sz val="10"/>
        <color rgb="FF000000"/>
        <rFont val="Noto Sans CJK SC"/>
        <family val="2"/>
      </rPr>
      <t xml:space="preserve">同文）；分潤為 </t>
    </r>
    <r>
      <rPr>
        <sz val="10"/>
        <color rgb="FF000000"/>
        <rFont val="Arial"/>
        <family val="0"/>
        <charset val="1"/>
      </rPr>
      <t xml:space="preserve">Reuters </t>
    </r>
    <r>
      <rPr>
        <sz val="10"/>
        <color rgb="FF000000"/>
        <rFont val="Noto Sans CJK SC"/>
        <family val="2"/>
      </rPr>
      <t xml:space="preserve">自行分析</t>
    </r>
  </si>
  <si>
    <t xml:space="preserve">（m 偏離來源 (4) 通路分潤唯一量化依據；不連結模型格）</t>
  </si>
  <si>
    <t xml:space="preserve">SRC_DEM_038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</si>
  <si>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營收中消費訂閱占比</t>
    </r>
  </si>
  <si>
    <t xml:space="preserve">時點 2024-10；約值；CFO 口述</t>
  </si>
  <si>
    <t xml:space="preserve">2024-10-28</t>
  </si>
  <si>
    <r>
      <rPr>
        <sz val="10"/>
        <color rgb="FF000000"/>
        <rFont val="Arial"/>
        <family val="0"/>
        <charset val="1"/>
      </rPr>
      <t xml:space="preserve">Friar </t>
    </r>
    <r>
      <rPr>
        <sz val="10"/>
        <color rgb="FF000000"/>
        <rFont val="Noto Sans CJK SC"/>
        <family val="2"/>
      </rPr>
      <t xml:space="preserve">於 </t>
    </r>
    <r>
      <rPr>
        <sz val="10"/>
        <color rgb="FF000000"/>
        <rFont val="Arial"/>
        <family val="0"/>
        <charset val="1"/>
      </rPr>
      <t xml:space="preserve">Bloomberg TV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CO/AI https://getcoai.com/news/openai-cfo-reveals-75-of-revenue-from-consumer-subscriptions</t>
    </r>
  </si>
  <si>
    <t xml:space="preserve">OpenAI CFO</t>
  </si>
  <si>
    <t xml:space="preserve">E288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</si>
  <si>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）：採用；另：免費轉付費 </t>
    </r>
    <r>
      <rPr>
        <sz val="10"/>
        <color rgb="FF000000"/>
        <rFont val="Arial"/>
        <family val="0"/>
        <charset val="1"/>
      </rPr>
      <t xml:space="preserve">5–6%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</si>
  <si>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年度（年營收約 </t>
    </r>
    <r>
      <rPr>
        <sz val="10"/>
        <color rgb="FF000000"/>
        <rFont val="Arial"/>
        <family val="0"/>
        <charset val="1"/>
      </rPr>
      <t xml:space="preserve">$13B</t>
    </r>
    <r>
      <rPr>
        <sz val="10"/>
        <color rgb="FF000000"/>
        <rFont val="Noto Sans CJK SC"/>
        <family val="2"/>
      </rPr>
      <t xml:space="preserve">）；約值</t>
    </r>
  </si>
  <si>
    <t xml:space="preserve">2025-10-15</t>
  </si>
  <si>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Global Trade Mag https://www.globaltrademag.com/openai-hits-13b-revenue-fueled-by-consumer-subscriptions/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</si>
  <si>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節（訂閱占比基準）｜直接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</si>
  <si>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）：採用：訂閱占比區間 </t>
    </r>
    <r>
      <rPr>
        <sz val="10"/>
        <color rgb="FF000000"/>
        <rFont val="Arial"/>
        <family val="0"/>
        <charset val="1"/>
      </rPr>
      <t xml:space="preserve">0.61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0.70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0.82 </t>
    </r>
    <r>
      <rPr>
        <sz val="10"/>
        <color rgb="FF000000"/>
        <rFont val="Noto Sans CJK SC"/>
        <family val="2"/>
      </rPr>
      <t xml:space="preserve">的基準；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</si>
  <si>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SRC_DEM_040</t>
  </si>
  <si>
    <r>
      <rPr>
        <sz val="10"/>
        <color rgb="FF000000"/>
        <rFont val="Arial"/>
        <family val="0"/>
        <charset val="1"/>
      </rPr>
      <t xml:space="preserve">OpenAI 2024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</si>
  <si>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年度預期；其他（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等）</t>
    </r>
    <r>
      <rPr>
        <sz val="10"/>
        <color rgb="FF000000"/>
        <rFont val="Arial"/>
        <family val="0"/>
        <charset val="1"/>
      </rPr>
      <t xml:space="preserve">1.0</t>
    </r>
    <r>
      <rPr>
        <sz val="10"/>
        <color rgb="FF000000"/>
        <rFont val="Noto Sans CJK SC"/>
        <family val="2"/>
      </rPr>
      <t xml:space="preserve">、合計 </t>
    </r>
    <r>
      <rPr>
        <sz val="10"/>
        <color rgb="FF000000"/>
        <rFont val="Arial"/>
        <family val="0"/>
        <charset val="1"/>
      </rPr>
      <t xml:space="preserve">3.7</t>
    </r>
  </si>
  <si>
    <t xml:space="preserve">2024-09-27</t>
  </si>
  <si>
    <r>
      <rPr>
        <sz val="10"/>
        <color rgb="FF000000"/>
        <rFont val="Arial"/>
        <family val="0"/>
        <charset val="1"/>
      </rPr>
      <t xml:space="preserve">NYT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Isaac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Griffith</t>
    </r>
    <r>
      <rPr>
        <sz val="10"/>
        <color rgb="FF000000"/>
        <rFont val="Noto Sans CJK SC"/>
        <family val="2"/>
      </rPr>
      <t xml:space="preserve">）財務文件，經 </t>
    </r>
    <r>
      <rPr>
        <sz val="10"/>
        <color rgb="FF000000"/>
        <rFont val="Arial"/>
        <family val="0"/>
        <charset val="1"/>
      </rPr>
      <t xml:space="preserve">https://www.simonwillison.net/2024/Oct/23/mike-isaac-and-erin-griffith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</si>
  <si>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募資文件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</si>
  <si>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占 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營收約 </t>
    </r>
    <r>
      <rPr>
        <sz val="10"/>
        <color rgb="FF000000"/>
        <rFont val="Arial"/>
        <family val="0"/>
        <charset val="1"/>
      </rPr>
      <t xml:space="preserve">73%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</si>
  <si>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SRC_DEM_041</t>
  </si>
  <si>
    <r>
      <rPr>
        <sz val="10"/>
        <color rgb="FF000000"/>
        <rFont val="Arial"/>
        <family val="0"/>
        <charset val="1"/>
      </rPr>
      <t xml:space="preserve">OpenAI 2025 ChatGPT </t>
    </r>
    <r>
      <rPr>
        <sz val="10"/>
        <color rgb="FF000000"/>
        <rFont val="Noto Sans CJK SC"/>
        <family val="2"/>
      </rPr>
      <t xml:space="preserve">營收（預期）</t>
    </r>
  </si>
  <si>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年度預期（同期營收預期約 </t>
    </r>
    <r>
      <rPr>
        <sz val="10"/>
        <color rgb="FF000000"/>
        <rFont val="Arial"/>
        <family val="0"/>
        <charset val="1"/>
      </rPr>
      <t xml:space="preserve">12.7</t>
    </r>
    <r>
      <rPr>
        <sz val="10"/>
        <color rgb="FF000000"/>
        <rFont val="Noto Sans CJK SC"/>
        <family val="2"/>
      </rPr>
      <t xml:space="preserve">）</t>
    </r>
  </si>
  <si>
    <t xml:space="preserve">2025-06-10</t>
  </si>
  <si>
    <r>
      <rPr>
        <sz val="10"/>
        <color rgb="FF000000"/>
        <rFont val="Arial"/>
        <family val="0"/>
        <charset val="1"/>
      </rPr>
      <t xml:space="preserve">CTech https://www.calcalistech.com/ctechnews/article/ry8117uhmll</t>
    </r>
    <r>
      <rPr>
        <sz val="10"/>
        <color rgb="FF000000"/>
        <rFont val="Noto Sans CJK SC"/>
        <family val="2"/>
      </rPr>
      <t xml:space="preserve">（引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</si>
  <si>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預測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</si>
  <si>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節（訂閱占比低端＝本筆 </t>
    </r>
    <r>
      <rPr>
        <sz val="10"/>
        <color rgb="FF000000"/>
        <rFont val="Arial"/>
        <family val="0"/>
        <charset val="1"/>
      </rPr>
      <t xml:space="preserve">÷ SRC_DEM_007</t>
    </r>
    <r>
      <rPr>
        <sz val="10"/>
        <color rgb="FF000000"/>
        <rFont val="Noto Sans CJK SC"/>
        <family val="2"/>
      </rPr>
      <t xml:space="preserve">）｜換算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</si>
  <si>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8 ÷ 13.07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0.61 </t>
    </r>
    <r>
      <rPr>
        <sz val="10"/>
        <color rgb="FF000000"/>
        <rFont val="Noto Sans CJK SC"/>
        <family val="2"/>
      </rPr>
      <t xml:space="preserve">為訂閱占比低端；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</si>
  <si>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季營收</t>
    </r>
  </si>
  <si>
    <r>
      <rPr>
        <sz val="10"/>
        <color rgb="FF000000"/>
        <rFont val="Arial"/>
        <family val="0"/>
        <charset val="1"/>
      </rPr>
      <t xml:space="preserve">2026 Q2</t>
    </r>
    <r>
      <rPr>
        <sz val="10"/>
        <color rgb="FF000000"/>
        <rFont val="Noto Sans CJK SC"/>
        <family val="2"/>
      </rPr>
      <t xml:space="preserve">；季度</t>
    </r>
  </si>
  <si>
    <t xml:space="preserve">2026-08-18</t>
  </si>
  <si>
    <r>
      <rPr>
        <sz val="10"/>
        <color rgb="FF000000"/>
        <rFont val="Arial"/>
        <family val="0"/>
        <charset val="1"/>
      </rPr>
      <t xml:space="preserve">WSJ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CryptoBriefing https://cryptobriefing.com/openai-revenue-6-7-billion-q2-2026/</t>
    </r>
  </si>
  <si>
    <t xml:space="preserve">E289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</si>
  <si>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E289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）：部分採用：營收採用；同文「消費約 </t>
    </r>
    <r>
      <rPr>
        <sz val="10"/>
        <color rgb="FF000000"/>
        <rFont val="Arial"/>
        <family val="0"/>
        <charset val="1"/>
      </rPr>
      <t xml:space="preserve">70%</t>
    </r>
    <r>
      <rPr>
        <sz val="10"/>
        <color rgb="FF000000"/>
        <rFont val="Noto Sans CJK SC"/>
        <family val="2"/>
      </rPr>
      <t xml:space="preserve">」與「企業 </t>
    </r>
    <r>
      <rPr>
        <sz val="10"/>
        <color rgb="FF000000"/>
        <rFont val="Arial"/>
        <family val="0"/>
        <charset val="1"/>
      </rPr>
      <t xml:space="preserve">&gt;40%</t>
    </r>
    <r>
      <rPr>
        <sz val="10"/>
        <color rgb="FF000000"/>
        <rFont val="Noto Sans CJK SC"/>
        <family val="2"/>
      </rPr>
      <t xml:space="preserve">」口徑重疊，占比不採用；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E326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N02 </t>
    </r>
    <r>
      <rPr>
        <sz val="10"/>
        <color rgb="FF000000"/>
        <rFont val="Noto Sans CJK SC"/>
        <family val="2"/>
      </rPr>
      <t xml:space="preserve">不重登）：季營收序列 </t>
    </r>
    <r>
      <rPr>
        <sz val="10"/>
        <color rgb="FF000000"/>
        <rFont val="Arial"/>
        <family val="0"/>
        <charset val="1"/>
      </rPr>
      <t xml:space="preserve">2026 Q1 5.7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SRC_DEM_069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）→ </t>
    </r>
    <r>
      <rPr>
        <sz val="10"/>
        <color rgb="FF000000"/>
        <rFont val="Arial"/>
        <family val="0"/>
        <charset val="1"/>
      </rPr>
      <t xml:space="preserve">Q2 6.7</t>
    </r>
    <r>
      <rPr>
        <sz val="10"/>
        <color rgb="FF000000"/>
        <rFont val="Noto Sans CJK SC"/>
        <family val="2"/>
      </rPr>
      <t xml:space="preserve">；年化 </t>
    </r>
    <r>
      <rPr>
        <sz val="10"/>
        <color rgb="FF000000"/>
        <rFont val="Arial"/>
        <family val="0"/>
        <charset val="1"/>
      </rPr>
      <t xml:space="preserve">22.8 → 26.8</t>
    </r>
  </si>
  <si>
    <t xml:space="preserve">SRC_DEM_043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</si>
  <si>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付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營收分成比例</t>
    </r>
  </si>
  <si>
    <r>
      <rPr>
        <sz val="10"/>
        <color rgb="FF000000"/>
        <rFont val="Arial"/>
        <family val="0"/>
        <charset val="1"/>
      </rPr>
      <t xml:space="preserve">2025-10 </t>
    </r>
    <r>
      <rPr>
        <sz val="10"/>
        <color rgb="FF000000"/>
        <rFont val="Noto Sans CJK SC"/>
        <family val="2"/>
      </rPr>
      <t xml:space="preserve">重組後至 </t>
    </r>
    <r>
      <rPr>
        <sz val="10"/>
        <color rgb="FF000000"/>
        <rFont val="Arial"/>
        <family val="0"/>
        <charset val="1"/>
      </rPr>
      <t xml:space="preserve">2030</t>
    </r>
    <r>
      <rPr>
        <sz val="10"/>
        <color rgb="FF000000"/>
        <rFont val="Noto Sans CJK SC"/>
        <family val="2"/>
      </rPr>
      <t xml:space="preserve">；上限 </t>
    </r>
    <r>
      <rPr>
        <sz val="10"/>
        <color rgb="FF000000"/>
        <rFont val="Arial"/>
        <family val="0"/>
        <charset val="1"/>
      </rPr>
      <t xml:space="preserve">$38B</t>
    </r>
    <r>
      <rPr>
        <sz val="10"/>
        <color rgb="FF000000"/>
        <rFont val="Noto Sans CJK SC"/>
        <family val="2"/>
      </rPr>
      <t xml:space="preserve">（只有二手，待查一手）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</si>
  <si>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Microsoft</t>
    </r>
  </si>
  <si>
    <t xml:space="preserve">2026-05-13</t>
  </si>
  <si>
    <r>
      <rPr>
        <sz val="10"/>
        <color rgb="FF000000"/>
        <rFont val="Arial"/>
        <family val="0"/>
        <charset val="1"/>
      </rPr>
      <t xml:space="preserve">The Decoder https://the-decoder.com/openai-and-microsoft-rewrite-their-deal-no-more-exclusivity-no-more-agi-clause/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Let's Data Science </t>
    </r>
    <r>
      <rPr>
        <sz val="10"/>
        <color rgb="FF000000"/>
        <rFont val="Noto Sans CJK SC"/>
        <family val="2"/>
      </rPr>
      <t xml:space="preserve">引 </t>
    </r>
    <r>
      <rPr>
        <sz val="10"/>
        <color rgb="FF000000"/>
        <rFont val="Arial"/>
        <family val="0"/>
        <charset val="1"/>
      </rPr>
      <t xml:space="preserve">CryptoBriefing https://letsdatascience.com/news/openai-renegotiates-microsoft-deal-caps-payments-at-38b-94907359</t>
    </r>
  </si>
  <si>
    <t xml:space="preserve">交易雙方</t>
  </si>
  <si>
    <t xml:space="preserve">E290</t>
  </si>
  <si>
    <t xml:space="preserve">（m 偏離來源 (4)；營收以毛額計（J3），不扣分潤；不連結模型格）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</si>
  <si>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N12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採用；</t>
    </r>
    <r>
      <rPr>
        <sz val="10"/>
        <color rgb="FF000000"/>
        <rFont val="Arial"/>
        <family val="0"/>
        <charset val="1"/>
      </rPr>
      <t xml:space="preserve">$38B </t>
    </r>
    <r>
      <rPr>
        <sz val="10"/>
        <color rgb="FF000000"/>
        <rFont val="Noto Sans CJK SC"/>
        <family val="2"/>
      </rPr>
      <t xml:space="preserve">上限待查一手；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轉售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模型的 </t>
    </r>
    <r>
      <rPr>
        <sz val="10"/>
        <color rgb="FF000000"/>
        <rFont val="Arial"/>
        <family val="0"/>
        <charset val="1"/>
      </rPr>
      <t xml:space="preserve">20% </t>
    </r>
    <r>
      <rPr>
        <sz val="10"/>
        <color rgb="FF000000"/>
        <rFont val="Noto Sans CJK SC"/>
        <family val="2"/>
      </rPr>
      <t xml:space="preserve">回付已停止；</t>
    </r>
    <r>
      <rPr>
        <sz val="10"/>
        <color rgb="FF000000"/>
        <rFont val="Arial"/>
        <family val="0"/>
        <charset val="1"/>
      </rPr>
      <t xml:space="preserve">SRC_DEM_018 </t>
    </r>
    <r>
      <rPr>
        <sz val="10"/>
        <color rgb="FF000000"/>
        <rFont val="Noto Sans CJK SC"/>
        <family val="2"/>
      </rPr>
      <t xml:space="preserve">備註同步；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</si>
  <si>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SRC_DEM_044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</si>
  <si>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企業部署平均花費</t>
    </r>
  </si>
  <si>
    <t xml:space="preserve">列價口徑；企業部署平均；高欄＝p90 上限（&lt;$30）；月約 $150–250</t>
  </si>
  <si>
    <r>
      <rPr>
        <sz val="10"/>
        <color rgb="FF000000"/>
        <rFont val="Arial"/>
        <family val="0"/>
        <charset val="1"/>
      </rPr>
      <t xml:space="preserve">Anthropic Claude Code</t>
    </r>
    <r>
      <rPr>
        <sz val="10"/>
        <color rgb="FF000000"/>
        <rFont val="Noto Sans CJK SC"/>
        <family val="2"/>
      </rPr>
      <t xml:space="preserve">（企業）</t>
    </r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</si>
  <si>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文件「</t>
    </r>
    <r>
      <rPr>
        <sz val="10"/>
        <color rgb="FF000000"/>
        <rFont val="Arial"/>
        <family val="0"/>
        <charset val="1"/>
      </rPr>
      <t xml:space="preserve">Manage costs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https://code.claude.com/docs/en/costs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2026-10-11 </t>
    </r>
    <r>
      <rPr>
        <sz val="10"/>
        <color rgb="FF000000"/>
        <rFont val="Noto Sans CJK SC"/>
        <family val="2"/>
      </rPr>
      <t xml:space="preserve">讀）；舊值 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p90 $12 </t>
    </r>
    <r>
      <rPr>
        <sz val="10"/>
        <color rgb="FF000000"/>
        <rFont val="Noto Sans CJK SC"/>
        <family val="2"/>
      </rPr>
      <t xml:space="preserve">見 </t>
    </r>
    <r>
      <rPr>
        <sz val="10"/>
        <color rgb="FF000000"/>
        <rFont val="Arial"/>
        <family val="0"/>
        <charset val="1"/>
      </rPr>
      <t xml:space="preserve">Shopifreaks 2026-04-29</t>
    </r>
  </si>
  <si>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；預算建議偏保守或偏高皆可能</t>
    </r>
  </si>
  <si>
    <t xml:space="preserve">E291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</si>
  <si>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節（程式代理對照列）｜直接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</si>
  <si>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）：採用：程式代理路線每用戶用量的唯一一手數字（列價口徑；平均 </t>
    </r>
    <r>
      <rPr>
        <sz val="10"/>
        <color rgb="FF000000"/>
        <rFont val="Arial"/>
        <family val="0"/>
        <charset val="1"/>
      </rPr>
      <t xml:space="preserve">vs p90 → </t>
    </r>
    <r>
      <rPr>
        <sz val="10"/>
        <color rgb="FF000000"/>
        <rFont val="Noto Sans CJK SC"/>
        <family val="2"/>
      </rPr>
      <t xml:space="preserve">分布右偏）；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</si>
  <si>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SRC_DEM_045</t>
  </si>
  <si>
    <r>
      <rPr>
        <sz val="10"/>
        <color rgb="FF000000"/>
        <rFont val="Arial"/>
        <family val="0"/>
        <charset val="1"/>
      </rPr>
      <t xml:space="preserve">ChatGPT Enterprise </t>
    </r>
    <r>
      <rPr>
        <sz val="10"/>
        <color rgb="FF000000"/>
        <rFont val="Noto Sans CJK SC"/>
        <family val="2"/>
      </rPr>
      <t xml:space="preserve">員工訊息數 </t>
    </r>
    <r>
      <rPr>
        <sz val="10"/>
        <color rgb="FF000000"/>
        <rFont val="Arial"/>
        <family val="0"/>
        <charset val="1"/>
      </rPr>
      <t xml:space="preserve">p95 ÷ </t>
    </r>
    <r>
      <rPr>
        <sz val="10"/>
        <color rgb="FF000000"/>
        <rFont val="Noto Sans CJK SC"/>
        <family val="2"/>
      </rPr>
      <t xml:space="preserve">中位數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</si>
  <si>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；分布形狀（若對數常態，平均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中位數 ≈ </t>
    </r>
    <r>
      <rPr>
        <sz val="10"/>
        <color rgb="FF000000"/>
        <rFont val="Arial"/>
        <family val="0"/>
        <charset val="1"/>
      </rPr>
      <t xml:space="preserve">1.8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</si>
  <si>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OpenAI ChatGPT Enterprise</t>
  </si>
  <si>
    <t xml:space="preserve">2025-12-08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</si>
  <si>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The state of enterprise AI 2025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https://openai.com/index/the-state-of-enterprise-ai-2025-report/</t>
    </r>
  </si>
  <si>
    <t xml:space="preserve">E292</t>
  </si>
  <si>
    <t xml:space="preserve">（重度用戶占比的分布線索；不連結模型格）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</si>
  <si>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）：採用：分布形狀唯一一手；同文：每組織推理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一年 </t>
    </r>
    <r>
      <rPr>
        <sz val="10"/>
        <color rgb="FF000000"/>
        <rFont val="Arial"/>
        <family val="0"/>
        <charset val="1"/>
      </rPr>
      <t xml:space="preserve">×320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v5.33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E313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N12 </t>
    </r>
    <r>
      <rPr>
        <sz val="10"/>
        <color rgb="FF000000"/>
        <rFont val="Noto Sans CJK SC"/>
        <family val="2"/>
      </rPr>
      <t xml:space="preserve">部分採用）：同文：</t>
    </r>
    <r>
      <rPr>
        <sz val="10"/>
        <color rgb="FF000000"/>
        <rFont val="Arial"/>
        <family val="0"/>
        <charset val="1"/>
      </rPr>
      <t xml:space="preserve">Enterprise </t>
    </r>
    <r>
      <rPr>
        <sz val="10"/>
        <color rgb="FF000000"/>
        <rFont val="Noto Sans CJK SC"/>
        <family val="2"/>
      </rPr>
      <t xml:space="preserve">每週訊息一年 </t>
    </r>
    <r>
      <rPr>
        <sz val="10"/>
        <color rgb="FF000000"/>
        <rFont val="Arial"/>
        <family val="0"/>
        <charset val="1"/>
      </rPr>
      <t xml:space="preserve">×8</t>
    </r>
    <r>
      <rPr>
        <sz val="10"/>
        <color rgb="FF000000"/>
        <rFont val="Noto Sans CJK SC"/>
        <family val="2"/>
      </rPr>
      <t xml:space="preserve">、每人 </t>
    </r>
    <r>
      <rPr>
        <sz val="10"/>
        <color rgb="FF000000"/>
        <rFont val="Arial"/>
        <family val="0"/>
        <charset val="1"/>
      </rPr>
      <t xml:space="preserve">+30%</t>
    </r>
    <r>
      <rPr>
        <sz val="10"/>
        <color rgb="FF000000"/>
        <rFont val="Noto Sans CJK SC"/>
        <family val="2"/>
      </rPr>
      <t xml:space="preserve">、前沿公司每席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</t>
    </r>
  </si>
  <si>
    <t xml:space="preserve">SRC_DEM_046</t>
  </si>
  <si>
    <t xml:space="preserve">單一開發者 Claude Code 快取讀取占輸入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</si>
  <si>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；極端重度用戶（</t>
    </r>
    <r>
      <rPr>
        <sz val="10"/>
        <color rgb="FF000000"/>
        <rFont val="Arial"/>
        <family val="0"/>
        <charset val="1"/>
      </rPr>
      <t xml:space="preserve">548 M tok</t>
    </r>
    <r>
      <rPr>
        <sz val="10"/>
        <color rgb="FF000000"/>
        <rFont val="Noto Sans CJK SC"/>
        <family val="2"/>
      </rPr>
      <t xml:space="preserve">／日）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</si>
  <si>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Opus</t>
    </r>
    <r>
      <rPr>
        <sz val="10"/>
        <color rgb="FF000000"/>
        <rFont val="Noto Sans CJK SC"/>
        <family val="2"/>
      </rPr>
      <t xml:space="preserve">（單一開發者）</t>
    </r>
  </si>
  <si>
    <t xml:space="preserve">2026-07-13</t>
  </si>
  <si>
    <r>
      <rPr>
        <sz val="10"/>
        <color rgb="FF000000"/>
        <rFont val="Arial"/>
        <family val="0"/>
        <charset val="1"/>
      </rPr>
      <t xml:space="preserve">Peng </t>
    </r>
    <r>
      <rPr>
        <sz val="10"/>
        <color rgb="FF000000"/>
        <rFont val="Noto Sans CJK SC"/>
        <family val="2"/>
      </rPr>
      <t xml:space="preserve">等（</t>
    </r>
    <r>
      <rPr>
        <sz val="10"/>
        <color rgb="FF000000"/>
        <rFont val="Arial"/>
        <family val="0"/>
        <charset val="1"/>
      </rPr>
      <t xml:space="preserve">Pegatron PEGAVERSE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arXiv:2607.13080 https://arxiv.org/pdf/2607.13080</t>
    </r>
  </si>
  <si>
    <t xml:space="preserve">作者比較雲端與自建成本，無銷售 token 誘因；n＝1</t>
  </si>
  <si>
    <t xml:space="preserve">E293</t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</si>
  <si>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節（程式代理單價結構對照）｜直接；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不改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</si>
  <si>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，只作程式代理高端佐證；每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實付 </t>
    </r>
    <r>
      <rPr>
        <sz val="10"/>
        <color rgb="FF000000"/>
        <rFont val="Arial"/>
        <family val="0"/>
        <charset val="1"/>
      </rPr>
      <t xml:space="preserve">$0.573</t>
    </r>
    <r>
      <rPr>
        <sz val="10"/>
        <color rgb="FF000000"/>
        <rFont val="Noto Sans CJK SC"/>
        <family val="2"/>
      </rPr>
      <t xml:space="preserve">（無快取時 </t>
    </r>
    <r>
      <rPr>
        <sz val="10"/>
        <color rgb="FF000000"/>
        <rFont val="Arial"/>
        <family val="0"/>
        <charset val="1"/>
      </rPr>
      <t xml:space="preserve">8.8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</si>
  <si>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SRC_DEM_047</t>
  </si>
  <si>
    <t xml:space="preserve">單一開發者 Claude Code 輸入占全部 token</t>
  </si>
  <si>
    <r>
      <rPr>
        <sz val="10"/>
        <color rgb="FF000000"/>
        <rFont val="Arial"/>
        <family val="0"/>
        <charset val="1"/>
      </rPr>
      <t xml:space="preserve">2026-05-11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06-07 </t>
    </r>
    <r>
      <rPr>
        <sz val="10"/>
        <color rgb="FF000000"/>
        <rFont val="Noto Sans CJK SC"/>
        <family val="2"/>
      </rPr>
      <t xml:space="preserve">實測；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；每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9,987 </t>
    </r>
    <r>
      <rPr>
        <sz val="10"/>
        <color rgb="FF000000"/>
        <rFont val="Noto Sans CJK SC"/>
        <family val="2"/>
      </rPr>
      <t xml:space="preserve">輸入：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輸出</t>
    </r>
  </si>
  <si>
    <r>
      <rPr>
        <sz val="10"/>
        <color rgb="FF000000"/>
        <rFont val="Arial"/>
        <family val="0"/>
        <charset val="1"/>
      </rPr>
      <t xml:space="preserve">Cap_In H </t>
    </r>
    <r>
      <rPr>
        <sz val="10"/>
        <color rgb="FF000000"/>
        <rFont val="Noto Sans CJK SC"/>
        <family val="2"/>
      </rPr>
      <t xml:space="preserve">節（程式代理單價結構對照）｜直接</t>
    </r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</si>
  <si>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N15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n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段第 </t>
    </r>
    <r>
      <rPr>
        <sz val="10"/>
        <color rgb="FF000000"/>
        <rFont val="Arial"/>
        <family val="0"/>
        <charset val="1"/>
      </rPr>
      <t xml:space="preserve">4.2 </t>
    </r>
    <r>
      <rPr>
        <sz val="10"/>
        <color rgb="FF000000"/>
        <rFont val="Noto Sans CJK SC"/>
        <family val="2"/>
      </rPr>
      <t xml:space="preserve">節以 </t>
    </r>
    <r>
      <rPr>
        <sz val="10"/>
        <color rgb="FF000000"/>
        <rFont val="Arial"/>
        <family val="0"/>
        <charset val="1"/>
      </rPr>
      <t xml:space="preserve">9,987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13 </t>
    </r>
    <r>
      <rPr>
        <sz val="10"/>
        <color rgb="FF000000"/>
        <rFont val="Noto Sans CJK SC"/>
        <family val="2"/>
      </rPr>
      <t xml:space="preserve">計；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</si>
  <si>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SRC_DEM_048</t>
  </si>
  <si>
    <r>
      <rPr>
        <sz val="10"/>
        <color rgb="FF000000"/>
        <rFont val="Arial"/>
        <family val="0"/>
        <charset val="1"/>
      </rPr>
      <t xml:space="preserve">Claude Code </t>
    </r>
    <r>
      <rPr>
        <sz val="10"/>
        <color rgb="FF000000"/>
        <rFont val="Noto Sans CJK SC"/>
        <family val="2"/>
      </rPr>
      <t xml:space="preserve">快取命中率（</t>
    </r>
    <r>
      <rPr>
        <sz val="10"/>
        <color rgb="FF000000"/>
        <rFont val="Arial"/>
        <family val="0"/>
        <charset val="1"/>
      </rPr>
      <t xml:space="preserve">cached ÷ input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</si>
  <si>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2026-04</t>
    </r>
    <r>
      <rPr>
        <sz val="10"/>
        <color rgb="FF000000"/>
        <rFont val="Noto Sans CJK SC"/>
        <family val="2"/>
      </rPr>
      <t xml:space="preserve">；路由流量；樣本數未揭露（其他代理 </t>
    </r>
    <r>
      <rPr>
        <sz val="10"/>
        <color rgb="FF000000"/>
        <rFont val="Arial"/>
        <family val="0"/>
        <charset val="1"/>
      </rPr>
      <t xml:space="preserve">46–89%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</si>
  <si>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Claude Code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路由）</t>
    </r>
  </si>
  <si>
    <t xml:space="preserve">2026-05-16</t>
  </si>
  <si>
    <r>
      <rPr>
        <sz val="10"/>
        <color rgb="FF000000"/>
        <rFont val="Arial"/>
        <family val="0"/>
        <charset val="1"/>
      </rPr>
      <t xml:space="preserve">Requesty </t>
    </r>
    <r>
      <rPr>
        <sz val="10"/>
        <color rgb="FF000000"/>
        <rFont val="Noto Sans CJK SC"/>
        <family val="2"/>
      </rPr>
      <t xml:space="preserve">路由資料 </t>
    </r>
    <r>
      <rPr>
        <sz val="10"/>
        <color rgb="FF000000"/>
        <rFont val="Arial"/>
        <family val="0"/>
        <charset val="1"/>
      </rPr>
      <t xml:space="preserve">https://www.requesty.ai/data/coding-agent-cache-hit-rate-apr-2026</t>
    </r>
  </si>
  <si>
    <r>
      <rPr>
        <sz val="10"/>
        <color rgb="FF000000"/>
        <rFont val="Arial"/>
        <family val="0"/>
        <charset val="1"/>
      </rPr>
      <t xml:space="preserve">Requesty</t>
    </r>
    <r>
      <rPr>
        <sz val="10"/>
        <color rgb="FF000000"/>
        <rFont val="Noto Sans CJK SC"/>
        <family val="2"/>
      </rPr>
      <t xml:space="preserve">：推廣自家路由</t>
    </r>
  </si>
  <si>
    <t xml:space="preserve">E294</t>
  </si>
  <si>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E294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）：部分採用：程式代理 </t>
    </r>
    <r>
      <rPr>
        <sz val="10"/>
        <color rgb="FF000000"/>
        <rFont val="Arial"/>
        <family val="0"/>
        <charset val="1"/>
      </rPr>
      <t xml:space="preserve">χ </t>
    </r>
    <r>
      <rPr>
        <sz val="10"/>
        <color rgb="FF000000"/>
        <rFont val="Noto Sans CJK SC"/>
        <family val="2"/>
      </rPr>
      <t xml:space="preserve">高於 </t>
    </r>
    <r>
      <rPr>
        <sz val="10"/>
        <color rgb="FF000000"/>
        <rFont val="Arial"/>
        <family val="0"/>
        <charset val="1"/>
      </rPr>
      <t xml:space="preserve">Cap_In C13 </t>
    </r>
    <r>
      <rPr>
        <sz val="10"/>
        <color rgb="FF000000"/>
        <rFont val="Noto Sans CJK SC"/>
        <family val="2"/>
      </rPr>
      <t xml:space="preserve">高端 </t>
    </r>
    <r>
      <rPr>
        <sz val="10"/>
        <color rgb="FF000000"/>
        <rFont val="Arial"/>
        <family val="0"/>
        <charset val="1"/>
      </rPr>
      <t xml:space="preserve">0.75</t>
    </r>
    <r>
      <rPr>
        <sz val="10"/>
        <color rgb="FF000000"/>
        <rFont val="Noto Sans CJK SC"/>
        <family val="2"/>
      </rPr>
      <t xml:space="preserve">；只登錄，不改 </t>
    </r>
    <r>
      <rPr>
        <sz val="10"/>
        <color rgb="FF000000"/>
        <rFont val="Arial"/>
        <family val="0"/>
        <charset val="1"/>
      </rPr>
      <t xml:space="preserve">χ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docs/reports/20261011_v5.32A_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</si>
  <si>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SRC_DEM_049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</si>
  <si>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每日訊息數（</t>
    </r>
    <r>
      <rPr>
        <sz val="10"/>
        <color rgb="FF000000"/>
        <rFont val="Arial"/>
        <family val="0"/>
        <charset val="1"/>
      </rPr>
      <t xml:space="preserve">7 </t>
    </r>
    <r>
      <rPr>
        <sz val="10"/>
        <color rgb="FF000000"/>
        <rFont val="Noto Sans CJK SC"/>
        <family val="2"/>
      </rPr>
      <t xml:space="preserve">日平均）</t>
    </r>
  </si>
  <si>
    <t xml:space="preserve">時點 2024-06-26 止；消費方案（Free／Plus／Pro；排除 Business／Enterprise／Edu、未登入、18 歲以下）</t>
  </si>
  <si>
    <t xml:space="preserve">2025-09-15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</si>
  <si>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（表 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</si>
  <si>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公司揭露；融資期間有呈現成長的誘因；論文期間正值融資</t>
    </r>
  </si>
  <si>
    <t xml:space="preserve">E302</t>
  </si>
  <si>
    <t xml:space="preserve">U-V533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</si>
  <si>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SRC_DEM_012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2025-07</t>
    </r>
    <r>
      <rPr>
        <sz val="10"/>
        <color rgb="FF000000"/>
        <rFont val="Noto Sans CJK SC"/>
        <family val="2"/>
      </rPr>
      <t xml:space="preserve">）的時間序列前一年點；總數「</t>
    </r>
    <r>
      <rPr>
        <sz val="10"/>
        <color rgb="FF000000"/>
        <rFont val="Arial"/>
        <family val="0"/>
        <charset val="1"/>
      </rPr>
      <t xml:space="preserve">exact</t>
    </r>
    <r>
      <rPr>
        <sz val="10"/>
        <color rgb="FF000000"/>
        <rFont val="Noto Sans CJK SC"/>
        <family val="2"/>
      </rPr>
      <t xml:space="preserve">」；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</si>
  <si>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SRC_DEM_050</t>
  </si>
  <si>
    <t xml:space="preserve">時點 2025-06-26 止；消費方案（同上）；工作相關占比 47% → 27%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</si>
  <si>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）：採用：與 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一致（</t>
    </r>
    <r>
      <rPr>
        <sz val="10"/>
        <color rgb="FF000000"/>
        <rFont val="Arial"/>
        <family val="0"/>
        <charset val="1"/>
      </rPr>
      <t xml:space="preserve">18 B</t>
    </r>
    <r>
      <rPr>
        <sz val="10"/>
        <color rgb="FF000000"/>
        <rFont val="Noto Sans CJK SC"/>
        <family val="2"/>
      </rPr>
      <t xml:space="preserve">／週 </t>
    </r>
    <r>
      <rPr>
        <sz val="10"/>
        <color rgb="FF000000"/>
        <rFont val="Arial"/>
        <family val="0"/>
        <charset val="1"/>
      </rPr>
      <t xml:space="preserve">÷ 7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2.57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SRC_DEM_012 </t>
    </r>
    <r>
      <rPr>
        <sz val="10"/>
        <color rgb="FF000000"/>
        <rFont val="Noto Sans CJK SC"/>
        <family val="2"/>
      </rPr>
      <t xml:space="preserve">不改（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節：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全年平均取 </t>
    </r>
    <r>
      <rPr>
        <sz val="10"/>
        <color rgb="FF000000"/>
        <rFont val="Arial"/>
        <family val="0"/>
        <charset val="1"/>
      </rPr>
      <t xml:space="preserve">2.5 B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2.2–2.7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</si>
  <si>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多媒體類訊息占比</t>
    </r>
  </si>
  <si>
    <t xml:space="preserve">消費方案；2024-07 2% → 2025-06「略超過 7%」；訊息口徑，非營收口徑</t>
  </si>
  <si>
    <r>
      <rPr>
        <sz val="10"/>
        <color rgb="FF000000"/>
        <rFont val="Arial"/>
        <family val="0"/>
        <charset val="1"/>
      </rPr>
      <t xml:space="preserve">NBER WP 34255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How People Use ChatGPT</t>
    </r>
    <r>
      <rPr>
        <sz val="10"/>
        <color rgb="FF000000"/>
        <rFont val="Noto Sans CJK SC"/>
        <family val="2"/>
      </rPr>
      <t xml:space="preserve">》（</t>
    </r>
    <r>
      <rPr>
        <sz val="10"/>
        <color rgb="FF000000"/>
        <rFont val="Arial"/>
        <family val="0"/>
        <charset val="1"/>
      </rPr>
      <t xml:space="preserve">Chatterji </t>
    </r>
    <r>
      <rPr>
        <sz val="10"/>
        <color rgb="FF000000"/>
        <rFont val="Noto Sans CJK SC"/>
        <family val="2"/>
      </rPr>
      <t xml:space="preserve">等，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研究者合著）</t>
    </r>
    <r>
      <rPr>
        <sz val="10"/>
        <color rgb="FF000000"/>
        <rFont val="Arial"/>
        <family val="0"/>
        <charset val="1"/>
      </rPr>
      <t xml:space="preserve">https://www.nber.org/system/files/working_papers/w34255/w34255.pdf</t>
    </r>
    <r>
      <rPr>
        <sz val="10"/>
        <color rgb="FF000000"/>
        <rFont val="Noto Sans CJK SC"/>
        <family val="2"/>
      </rPr>
      <t xml:space="preserve">（第 </t>
    </r>
    <r>
      <rPr>
        <sz val="10"/>
        <color rgb="FF000000"/>
        <rFont val="Arial"/>
        <family val="0"/>
        <charset val="1"/>
      </rPr>
      <t xml:space="preserve">5.2 </t>
    </r>
    <r>
      <rPr>
        <sz val="10"/>
        <color rgb="FF000000"/>
        <rFont val="Noto Sans CJK SC"/>
        <family val="2"/>
      </rPr>
      <t xml:space="preserve">節）</t>
    </r>
  </si>
  <si>
    <t xml:space="preserve">E303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</si>
  <si>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非文字對照列的唯一一手代理（份額為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</si>
  <si>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E303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N02</t>
    </r>
    <r>
      <rPr>
        <sz val="10"/>
        <color rgb="FF000000"/>
        <rFont val="Noto Sans CJK SC"/>
        <family val="2"/>
      </rPr>
      <t xml:space="preserve">）：採用：非文字份額（</t>
    </r>
    <r>
      <rPr>
        <sz val="10"/>
        <color rgb="FF000000"/>
        <rFont val="Arial"/>
        <family val="0"/>
        <charset val="1"/>
      </rPr>
      <t xml:space="preserve">J11</t>
    </r>
    <r>
      <rPr>
        <sz val="10"/>
        <color rgb="FF000000"/>
        <rFont val="Noto Sans CJK SC"/>
        <family val="2"/>
      </rPr>
      <t xml:space="preserve">）的唯一一手代理；同文沒有每則 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、方案別占比、用量分布（「不存在於該文」）；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</si>
  <si>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SRC_DEM_052</t>
  </si>
  <si>
    <r>
      <rPr>
        <sz val="10"/>
        <color rgb="FF000000"/>
        <rFont val="Arial"/>
        <family val="0"/>
        <charset val="1"/>
      </rPr>
      <t xml:space="preserve">LMSYS-Chat-1M </t>
    </r>
    <r>
      <rPr>
        <sz val="10"/>
        <color rgb="FF000000"/>
        <rFont val="Noto Sans CJK SC"/>
        <family val="2"/>
      </rPr>
      <t xml:space="preserve">每則提示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</si>
  <si>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Llama-2 tokenizer</t>
    </r>
    <r>
      <rPr>
        <sz val="10"/>
        <color rgb="FF000000"/>
        <rFont val="Noto Sans CJK SC"/>
        <family val="2"/>
      </rPr>
      <t xml:space="preserve">；每則回覆 </t>
    </r>
    <r>
      <rPr>
        <sz val="10"/>
        <color rgb="FF000000"/>
        <rFont val="Arial"/>
        <family val="0"/>
        <charset val="1"/>
      </rPr>
      <t xml:space="preserve">214.5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2.0 </t>
    </r>
    <r>
      <rPr>
        <sz val="10"/>
        <color rgb="FF000000"/>
        <rFont val="Noto Sans CJK SC"/>
        <family val="2"/>
      </rPr>
      <t xml:space="preserve">輪（本筆值＝提示；回覆與輪數見口徑）</t>
    </r>
  </si>
  <si>
    <r>
      <rPr>
        <sz val="10"/>
        <color rgb="FF000000"/>
        <rFont val="Arial"/>
        <family val="0"/>
        <charset val="1"/>
      </rPr>
      <t xml:space="preserve">LMSYS Chatbot Arena</t>
    </r>
    <r>
      <rPr>
        <sz val="10"/>
        <color rgb="FF000000"/>
        <rFont val="Noto Sans CJK SC"/>
        <family val="2"/>
      </rPr>
      <t xml:space="preserve">（類比，非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</si>
  <si>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2023-09</t>
  </si>
  <si>
    <r>
      <rPr>
        <sz val="10"/>
        <color rgb="FF000000"/>
        <rFont val="Arial"/>
        <family val="0"/>
        <charset val="1"/>
      </rPr>
      <t xml:space="preserve">arXiv 2309.11998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https://arxiv.org/pdf/2309.11998</t>
    </r>
  </si>
  <si>
    <r>
      <rPr>
        <sz val="10"/>
        <color rgb="FF000000"/>
        <rFont val="Arial"/>
        <family val="0"/>
        <charset val="1"/>
      </rPr>
      <t xml:space="preserve">LMSYS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</si>
  <si>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E304</t>
  </si>
  <si>
    <t xml:space="preserve">（Alloc_In C15 組成 (a)(e) 的下界對照；不連結模型格）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</si>
  <si>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2023 Arena </t>
    </r>
    <r>
      <rPr>
        <sz val="10"/>
        <color rgb="FF000000"/>
        <rFont val="Noto Sans CJK SC"/>
        <family val="2"/>
      </rPr>
      <t xml:space="preserve">用戶，只作每則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下界（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284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Decisions C4 </t>
    </r>
    <r>
      <rPr>
        <sz val="10"/>
        <color rgb="FF000000"/>
        <rFont val="Noto Sans CJK SC"/>
        <family val="2"/>
      </rPr>
      <t xml:space="preserve">已登錄資料集名稱，本筆補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</si>
  <si>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SRC_DEM_053</t>
  </si>
  <si>
    <r>
      <rPr>
        <sz val="10"/>
        <color rgb="FF000000"/>
        <rFont val="Arial"/>
        <family val="0"/>
        <charset val="1"/>
      </rPr>
      <t xml:space="preserve">WildChat </t>
    </r>
    <r>
      <rPr>
        <sz val="10"/>
        <color rgb="FF000000"/>
        <rFont val="Noto Sans CJK SC"/>
        <family val="2"/>
      </rPr>
      <t xml:space="preserve">每則用戶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數</t>
    </r>
  </si>
  <si>
    <r>
      <rPr>
        <sz val="10"/>
        <color rgb="FF000000"/>
        <rFont val="Arial"/>
        <family val="0"/>
        <charset val="1"/>
      </rPr>
      <t xml:space="preserve">2023-04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2024-05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GPT-3.5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GPT-4 API </t>
    </r>
    <r>
      <rPr>
        <sz val="10"/>
        <color rgb="FF000000"/>
        <rFont val="Noto Sans CJK SC"/>
        <family val="2"/>
      </rPr>
      <t xml:space="preserve">免費代理；每則回覆 </t>
    </r>
    <r>
      <rPr>
        <sz val="10"/>
        <color rgb="FF000000"/>
        <rFont val="Arial"/>
        <family val="0"/>
        <charset val="1"/>
      </rPr>
      <t xml:space="preserve">441.3 tok</t>
    </r>
    <r>
      <rPr>
        <sz val="10"/>
        <color rgb="FF000000"/>
        <rFont val="Noto Sans CJK SC"/>
        <family val="2"/>
      </rPr>
      <t xml:space="preserve">；每對話 </t>
    </r>
    <r>
      <rPr>
        <sz val="10"/>
        <color rgb="FF000000"/>
        <rFont val="Arial"/>
        <family val="0"/>
        <charset val="1"/>
      </rPr>
      <t xml:space="preserve">2.54 </t>
    </r>
    <r>
      <rPr>
        <sz val="10"/>
        <color rgb="FF000000"/>
        <rFont val="Noto Sans CJK SC"/>
        <family val="2"/>
      </rPr>
      <t xml:space="preserve">輪；標準差 </t>
    </r>
    <r>
      <rPr>
        <sz val="10"/>
        <color rgb="FF000000"/>
        <rFont val="Arial"/>
        <family val="0"/>
        <charset val="1"/>
      </rPr>
      <t xml:space="preserve">1,609</t>
    </r>
    <r>
      <rPr>
        <sz val="10"/>
        <color rgb="FF000000"/>
        <rFont val="Noto Sans CJK SC"/>
        <family val="2"/>
      </rPr>
      <t xml:space="preserve">（本筆值＝用戶；回覆與輪數見口徑）</t>
    </r>
  </si>
  <si>
    <r>
      <rPr>
        <sz val="10"/>
        <color rgb="FF000000"/>
        <rFont val="Arial"/>
        <family val="0"/>
        <charset val="1"/>
      </rPr>
      <t xml:space="preserve">WildChat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AI2</t>
    </r>
    <r>
      <rPr>
        <sz val="10"/>
        <color rgb="FF000000"/>
        <rFont val="Noto Sans CJK SC"/>
        <family val="2"/>
      </rPr>
      <t xml:space="preserve">；類比，非 </t>
    </r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）</t>
    </r>
  </si>
  <si>
    <t xml:space="preserve">2024-05</t>
  </si>
  <si>
    <r>
      <rPr>
        <sz val="10"/>
        <color rgb="FF000000"/>
        <rFont val="Arial"/>
        <family val="0"/>
        <charset val="1"/>
      </rPr>
      <t xml:space="preserve">arXiv 2405.01470 </t>
    </r>
    <r>
      <rPr>
        <sz val="10"/>
        <color rgb="FF000000"/>
        <rFont val="Noto Sans CJK SC"/>
        <family val="2"/>
      </rPr>
      <t xml:space="preserve">表 </t>
    </r>
    <r>
      <rPr>
        <sz val="10"/>
        <color rgb="FF000000"/>
        <rFont val="Arial"/>
        <family val="0"/>
        <charset val="1"/>
      </rPr>
      <t xml:space="preserve">1 https://arxiv.org/pdf/2405.01470</t>
    </r>
  </si>
  <si>
    <r>
      <rPr>
        <sz val="10"/>
        <color rgb="FF000000"/>
        <rFont val="Arial"/>
        <family val="0"/>
        <charset val="1"/>
      </rPr>
      <t xml:space="preserve">AI2 </t>
    </r>
    <r>
      <rPr>
        <sz val="10"/>
        <color rgb="FF000000"/>
        <rFont val="Noto Sans CJK SC"/>
        <family val="2"/>
      </rPr>
      <t xml:space="preserve">學術資料集；無銷售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誘因</t>
    </r>
  </si>
  <si>
    <t xml:space="preserve">E305</t>
  </si>
  <si>
    <t xml:space="preserve">（Alloc_In C15 組成 (a)(e) 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</si>
  <si>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）：部分採用：分布極右偏（</t>
    </r>
    <r>
      <rPr>
        <sz val="10"/>
        <color rgb="FF000000"/>
        <rFont val="Arial"/>
        <family val="0"/>
        <charset val="1"/>
      </rPr>
      <t xml:space="preserve">sd </t>
    </r>
    <r>
      <rPr>
        <sz val="10"/>
        <color rgb="FF000000"/>
        <rFont val="Noto Sans CJK SC"/>
        <family val="2"/>
      </rPr>
      <t xml:space="preserve">為平均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倍）的證據；</t>
    </r>
    <r>
      <rPr>
        <sz val="10"/>
        <color rgb="FF000000"/>
        <rFont val="Arial"/>
        <family val="0"/>
        <charset val="1"/>
      </rPr>
      <t xml:space="preserve">a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e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737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</si>
  <si>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SRC_DEM_054</t>
  </si>
  <si>
    <t xml:space="preserve">推理模型每日用戶占比（免費／Plus）</t>
  </si>
  <si>
    <r>
      <rPr>
        <sz val="10"/>
        <color rgb="FF000000"/>
        <rFont val="Arial"/>
        <family val="0"/>
        <charset val="1"/>
      </rPr>
      <t xml:space="preserve">GPT-5 </t>
    </r>
    <r>
      <rPr>
        <sz val="10"/>
        <color rgb="FF000000"/>
        <rFont val="Noto Sans CJK SC"/>
        <family val="2"/>
      </rPr>
      <t xml:space="preserve">發布後（</t>
    </r>
    <r>
      <rPr>
        <sz val="10"/>
        <color rgb="FF000000"/>
        <rFont val="Arial"/>
        <family val="0"/>
        <charset val="1"/>
      </rPr>
      <t xml:space="preserve">2025-08</t>
    </r>
    <r>
      <rPr>
        <sz val="10"/>
        <color rgb="FF000000"/>
        <rFont val="Noto Sans CJK SC"/>
        <family val="2"/>
      </rPr>
      <t xml:space="preserve">）；免費 </t>
    </r>
    <r>
      <rPr>
        <sz val="10"/>
        <color rgb="FF000000"/>
        <rFont val="Arial"/>
        <family val="0"/>
        <charset val="1"/>
      </rPr>
      <t xml:space="preserve">&lt;1% → 7%</t>
    </r>
    <r>
      <rPr>
        <sz val="10"/>
        <color rgb="FF000000"/>
        <rFont val="Noto Sans CJK SC"/>
        <family val="2"/>
      </rPr>
      <t xml:space="preserve">（本筆值）、</t>
    </r>
    <r>
      <rPr>
        <sz val="10"/>
        <color rgb="FF000000"/>
        <rFont val="Arial"/>
        <family val="0"/>
        <charset val="1"/>
      </rPr>
      <t xml:space="preserve">Plus 7% → 24%</t>
    </r>
    <r>
      <rPr>
        <sz val="10"/>
        <color rgb="FF000000"/>
        <rFont val="Noto Sans CJK SC"/>
        <family val="2"/>
      </rPr>
      <t xml:space="preserve">（高欄）；用戶占比，非訊息占比</t>
    </r>
  </si>
  <si>
    <t xml:space="preserve">2025-08-10</t>
  </si>
  <si>
    <r>
      <rPr>
        <sz val="10"/>
        <color rgb="FF000000"/>
        <rFont val="Arial"/>
        <family val="0"/>
        <charset val="1"/>
      </rPr>
      <t xml:space="preserve">Altman X https://x.com/sama/status/1954603417252532479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Simon Willison https://www.simonwillison.net/2025/Aug/10/sam-altman/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</si>
  <si>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管理層一手貼文經轉載</t>
    </r>
  </si>
  <si>
    <t xml:space="preserve">一手貼文經轉載</t>
  </si>
  <si>
    <t xml:space="preserve">E306</t>
  </si>
  <si>
    <t xml:space="preserve">（付費 vs 免費用量倍數的線索；不連結模型格）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</si>
  <si>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E306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N05</t>
    </r>
    <r>
      <rPr>
        <sz val="10"/>
        <color rgb="FF000000"/>
        <rFont val="Noto Sans CJK SC"/>
        <family val="2"/>
      </rPr>
      <t xml:space="preserve">）：採用：付費 </t>
    </r>
    <r>
      <rPr>
        <sz val="10"/>
        <color rgb="FF000000"/>
        <rFont val="Arial"/>
        <family val="0"/>
        <charset val="1"/>
      </rPr>
      <t xml:space="preserve">vs </t>
    </r>
    <r>
      <rPr>
        <sz val="10"/>
        <color rgb="FF000000"/>
        <rFont val="Noto Sans CJK SC"/>
        <family val="2"/>
      </rPr>
      <t xml:space="preserve">免費用量差的唯一一手線索（</t>
    </r>
    <r>
      <rPr>
        <sz val="10"/>
        <color rgb="FF000000"/>
        <rFont val="Arial"/>
        <family val="0"/>
        <charset val="1"/>
      </rPr>
      <t xml:space="preserve">Plus ÷ </t>
    </r>
    <r>
      <rPr>
        <sz val="10"/>
        <color rgb="FF000000"/>
        <rFont val="Noto Sans CJK SC"/>
        <family val="2"/>
      </rPr>
      <t xml:space="preserve">免費＝</t>
    </r>
    <r>
      <rPr>
        <sz val="10"/>
        <color rgb="FF000000"/>
        <rFont val="Arial"/>
        <family val="0"/>
        <charset val="1"/>
      </rPr>
      <t xml:space="preserve">3.4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</si>
  <si>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SRC_DEM_055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</si>
  <si>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方案上下文上限</t>
    </r>
  </si>
  <si>
    <t xml:space="preserve">現行（2026-10）；Instant：Free 27K（本筆值）／Go·Plus 54K／Pro 128K；推理模型：Go·Plus 256K／Pro 400K（高欄）；Free／Go 不限文字訊息（受濫用防護）</t>
  </si>
  <si>
    <t xml:space="preserve">2026-10-12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</si>
  <si>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定價頁 </t>
    </r>
    <r>
      <rPr>
        <sz val="10"/>
        <color rgb="FF000000"/>
        <rFont val="Arial"/>
        <family val="0"/>
        <charset val="1"/>
      </rPr>
      <t xml:space="preserve">https://chatgpt.com/pricing/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Help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GPT-6 in ChatGPT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https://help.openai.com/en/articles/11909943-gpt-5-in-chatgpt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2026-10-12 </t>
    </r>
    <r>
      <rPr>
        <sz val="10"/>
        <color rgb="FF000000"/>
        <rFont val="Noto Sans CJK SC"/>
        <family val="2"/>
      </rPr>
      <t xml:space="preserve">讀）</t>
    </r>
  </si>
  <si>
    <t xml:space="preserve">E307</t>
  </si>
  <si>
    <t xml:space="preserve">（Alloc_In C15 組成 (b) 歷史上下文的物理上限；不連結模型格）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</si>
  <si>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N06</t>
    </r>
    <r>
      <rPr>
        <sz val="10"/>
        <color rgb="FF000000"/>
        <rFont val="Noto Sans CJK SC"/>
        <family val="2"/>
      </rPr>
      <t xml:space="preserve">）：採用：歷史上下文的物理上限；限流不封頂人數口徑的用量倍數 </t>
    </r>
    <r>
      <rPr>
        <sz val="10"/>
        <color rgb="FF000000"/>
        <rFont val="Arial"/>
        <family val="0"/>
        <charset val="1"/>
      </rPr>
      <t xml:space="preserve">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</si>
  <si>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SRC_DEM_056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</si>
  <si>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每週網頁搜尋次數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</si>
  <si>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次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</si>
  <si>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t xml:space="preserve">「超過」；2025-04；÷ 每週 18 B 則 ≈ 5.6% 訊息觸發搜尋（Derived，期間略不同）</t>
  </si>
  <si>
    <t xml:space="preserve">2025-04-28</t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</si>
  <si>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（購物功能公告），經 </t>
    </r>
    <r>
      <rPr>
        <sz val="10"/>
        <color rgb="FF000000"/>
        <rFont val="Arial"/>
        <family val="0"/>
        <charset val="1"/>
      </rPr>
      <t xml:space="preserve">The Decoder https://the-decoder.com/chatgpt-search-hits-a-billion-weekly-queries-as-openai-bets-big-on-ai-powered-shopping/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</si>
  <si>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數字經媒體轉述；有呈現成長的誘因</t>
    </r>
  </si>
  <si>
    <t xml:space="preserve">E308</t>
  </si>
  <si>
    <t xml:space="preserve">（Alloc_In C15 組成 (c) 工具內容的唯一量化依據；不連結模型格）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</si>
  <si>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E308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N07</t>
    </r>
    <r>
      <rPr>
        <sz val="10"/>
        <color rgb="FF000000"/>
        <rFont val="Noto Sans CJK SC"/>
        <family val="2"/>
      </rPr>
      <t xml:space="preserve">）：採用：工具內容的唯一量化依據；日期由公告推定（二手轉述，未取得一手）；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</si>
  <si>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SRC_DEM_057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</si>
  <si>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圖像生成一週張數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</si>
  <si>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張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週</t>
    </r>
  </si>
  <si>
    <r>
      <rPr>
        <sz val="10"/>
        <color rgb="FF000000"/>
        <rFont val="Arial"/>
        <family val="0"/>
        <charset val="1"/>
      </rPr>
      <t xml:space="preserve">2025-04 </t>
    </r>
    <r>
      <rPr>
        <sz val="10"/>
        <color rgb="FF000000"/>
        <rFont val="Noto Sans CJK SC"/>
        <family val="2"/>
      </rPr>
      <t xml:space="preserve">初（尖峰週）；</t>
    </r>
    <r>
      <rPr>
        <sz val="10"/>
        <color rgb="FF000000"/>
        <rFont val="Arial"/>
        <family val="0"/>
        <charset val="1"/>
      </rPr>
      <t xml:space="preserve">1.3 </t>
    </r>
    <r>
      <rPr>
        <sz val="10"/>
        <color rgb="FF000000"/>
        <rFont val="Noto Sans CJK SC"/>
        <family val="2"/>
      </rPr>
      <t xml:space="preserve">億用戶；</t>
    </r>
    <r>
      <rPr>
        <sz val="10"/>
        <color rgb="FF000000"/>
        <rFont val="Arial"/>
        <family val="0"/>
        <charset val="1"/>
      </rPr>
      <t xml:space="preserve">÷ 25 </t>
    </r>
    <r>
      <rPr>
        <sz val="10"/>
        <color rgb="FF000000"/>
        <rFont val="Noto Sans CJK SC"/>
        <family val="2"/>
      </rPr>
      <t xml:space="preserve">億則／日 ≈ </t>
    </r>
    <r>
      <rPr>
        <sz val="10"/>
        <color rgb="FF000000"/>
        <rFont val="Arial"/>
        <family val="0"/>
        <charset val="1"/>
      </rPr>
      <t xml:space="preserve">4% </t>
    </r>
    <r>
      <rPr>
        <sz val="10"/>
        <color rgb="FF000000"/>
        <rFont val="Noto Sans CJK SC"/>
        <family val="2"/>
      </rPr>
      <t xml:space="preserve">訊息（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</si>
  <si>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2025-08-04</t>
  </si>
  <si>
    <r>
      <rPr>
        <sz val="10"/>
        <color rgb="FF000000"/>
        <rFont val="Arial"/>
        <family val="0"/>
        <charset val="1"/>
      </rPr>
      <t xml:space="preserve">Lightcap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</si>
  <si>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E309</t>
  </si>
  <si>
    <t xml:space="preserve">（非文字份額對照；不連結模型格）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</si>
  <si>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E309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N08</t>
    </r>
    <r>
      <rPr>
        <sz val="10"/>
        <color rgb="FF000000"/>
        <rFont val="Noto Sans CJK SC"/>
        <family val="2"/>
      </rPr>
      <t xml:space="preserve">）：部分採用：尖峰週，非平均；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</si>
  <si>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SRC_DEM_058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</si>
  <si>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每日產生字數</t>
    </r>
  </si>
  <si>
    <r>
      <rPr>
        <sz val="10"/>
        <color rgb="FF000000"/>
        <rFont val="Arial"/>
        <family val="0"/>
        <charset val="1"/>
      </rPr>
      <t xml:space="preserve">B </t>
    </r>
    <r>
      <rPr>
        <sz val="10"/>
        <color rgb="FF000000"/>
        <rFont val="Noto Sans CJK SC"/>
        <family val="2"/>
      </rPr>
      <t xml:space="preserve">字</t>
    </r>
    <r>
      <rPr>
        <sz val="10"/>
        <color rgb="FF000000"/>
        <rFont val="Arial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日</t>
    </r>
  </si>
  <si>
    <r>
      <rPr>
        <sz val="10"/>
        <color rgb="FF000000"/>
        <rFont val="Arial"/>
        <family val="0"/>
        <charset val="1"/>
      </rPr>
      <t xml:space="preserve">2024-02</t>
    </r>
    <r>
      <rPr>
        <sz val="10"/>
        <color rgb="FF000000"/>
        <rFont val="Noto Sans CJK SC"/>
        <family val="2"/>
      </rPr>
      <t xml:space="preserve">；含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；≈</t>
    </r>
    <r>
      <rPr>
        <sz val="10"/>
        <color rgb="FF000000"/>
        <rFont val="Arial"/>
        <family val="0"/>
        <charset val="1"/>
      </rPr>
      <t xml:space="preserve">133 B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0.75 </t>
    </r>
    <r>
      <rPr>
        <sz val="10"/>
        <color rgb="FF000000"/>
        <rFont val="Noto Sans CJK SC"/>
        <family val="2"/>
      </rPr>
      <t xml:space="preserve">字／</t>
    </r>
    <r>
      <rPr>
        <sz val="10"/>
        <color rgb="FF000000"/>
        <rFont val="Arial"/>
        <family val="0"/>
        <charset val="1"/>
      </rPr>
      <t xml:space="preserve">token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÷ 2024-06 </t>
    </r>
    <r>
      <rPr>
        <sz val="10"/>
        <color rgb="FF000000"/>
        <rFont val="Noto Sans CJK SC"/>
        <family val="2"/>
      </rPr>
      <t xml:space="preserve">每日 </t>
    </r>
    <r>
      <rPr>
        <sz val="10"/>
        <color rgb="FF000000"/>
        <rFont val="Arial"/>
        <family val="0"/>
        <charset val="1"/>
      </rPr>
      <t xml:space="preserve">4.51 </t>
    </r>
    <r>
      <rPr>
        <sz val="10"/>
        <color rgb="FF000000"/>
        <rFont val="Noto Sans CJK SC"/>
        <family val="2"/>
      </rPr>
      <t xml:space="preserve">億則 → 每則可見輸出約 </t>
    </r>
    <r>
      <rPr>
        <sz val="10"/>
        <color rgb="FF000000"/>
        <rFont val="Arial"/>
        <family val="0"/>
        <charset val="1"/>
      </rPr>
      <t xml:space="preserve">300 tok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，上界含 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</si>
  <si>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Altman 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Interconnects https://www.interconnects.ai/p/people-use-ai-more-than-you-think</t>
    </r>
  </si>
  <si>
    <t xml:space="preserve">E311</t>
  </si>
  <si>
    <t xml:space="preserve">（Alloc_In C15 組成 (e) 可見輸出對照；不連結模型格）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</si>
  <si>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N10</t>
    </r>
    <r>
      <rPr>
        <sz val="10"/>
        <color rgb="FF000000"/>
        <rFont val="Noto Sans CJK SC"/>
        <family val="2"/>
      </rPr>
      <t xml:space="preserve">）：部分採用：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時點；二手轉述，未取得一手；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</si>
  <si>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SRC_DEM_059</t>
  </si>
  <si>
    <t xml:space="preserve">美國成人上週用過 ChatGPT 的比例</t>
  </si>
  <si>
    <r>
      <rPr>
        <sz val="10"/>
        <color rgb="FF000000"/>
        <rFont val="Arial"/>
        <family val="0"/>
        <charset val="1"/>
      </rPr>
      <t xml:space="preserve">2025-11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12 </t>
    </r>
    <r>
      <rPr>
        <sz val="10"/>
        <color rgb="FF000000"/>
        <rFont val="Noto Sans CJK SC"/>
        <family val="2"/>
      </rPr>
      <t xml:space="preserve">調查 </t>
    </r>
    <r>
      <rPr>
        <sz val="10"/>
        <color rgb="FF000000"/>
        <rFont val="Arial"/>
        <family val="0"/>
        <charset val="1"/>
      </rPr>
      <t xml:space="preserve">5,660 </t>
    </r>
    <r>
      <rPr>
        <sz val="10"/>
        <color rgb="FF000000"/>
        <rFont val="Noto Sans CJK SC"/>
        <family val="2"/>
      </rPr>
      <t xml:space="preserve">人；同調查：付費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訂閱 </t>
    </r>
    <r>
      <rPr>
        <sz val="10"/>
        <color rgb="FF000000"/>
        <rFont val="Arial"/>
        <family val="0"/>
        <charset val="1"/>
      </rPr>
      <t xml:space="preserve">&lt;10%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訂閱者占美國成人 </t>
    </r>
    <r>
      <rPr>
        <sz val="10"/>
        <color rgb="FF000000"/>
        <rFont val="Arial"/>
        <family val="0"/>
        <charset val="1"/>
      </rPr>
      <t xml:space="preserve">4.6%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4.6 ÷ 35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13% </t>
    </r>
    <r>
      <rPr>
        <sz val="10"/>
        <color rgb="FF000000"/>
        <rFont val="Noto Sans CJK SC"/>
        <family val="2"/>
      </rPr>
      <t xml:space="preserve">的美國週用戶付費，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</si>
  <si>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ChatGPT</t>
    </r>
    <r>
      <rPr>
        <sz val="10"/>
        <color rgb="FF000000"/>
        <rFont val="Noto Sans CJK SC"/>
        <family val="2"/>
      </rPr>
      <t xml:space="preserve">（美國）</t>
    </r>
  </si>
  <si>
    <t xml:space="preserve">2026-01-21</t>
  </si>
  <si>
    <r>
      <rPr>
        <sz val="10"/>
        <color rgb="FF000000"/>
        <rFont val="Arial"/>
        <family val="0"/>
        <charset val="1"/>
      </rPr>
      <t xml:space="preserve">Epoch AI https://epochai.substack.com/p/polling-on-ai-usage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https://epoch.ai/data/polling</t>
    </r>
  </si>
  <si>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中立調查</t>
    </r>
  </si>
  <si>
    <t xml:space="preserve">E312</t>
  </si>
  <si>
    <t xml:space="preserve">（人數口徑付費率對照；美國高於全球 5.7%；不連結模型格）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</si>
  <si>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N11</t>
    </r>
    <r>
      <rPr>
        <sz val="10"/>
        <color rgb="FF000000"/>
        <rFont val="Noto Sans CJK SC"/>
        <family val="2"/>
      </rPr>
      <t xml:space="preserve">）：採用：中立調查；無每用戶訊息數、無付費／免費用量差（</t>
    </r>
    <r>
      <rPr>
        <sz val="10"/>
        <color rgb="FF000000"/>
        <rFont val="Arial"/>
        <family val="0"/>
        <charset val="1"/>
      </rPr>
      <t xml:space="preserve">CSV </t>
    </r>
    <r>
      <rPr>
        <sz val="10"/>
        <color rgb="FF000000"/>
        <rFont val="Noto Sans CJK SC"/>
        <family val="2"/>
      </rPr>
      <t xml:space="preserve">本輪未下載）；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</si>
  <si>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SRC_DEM_060</t>
  </si>
  <si>
    <t xml:space="preserve">時點 2026-07-14；序列 2026-02-05 1M → 03-05 2M → 04-21 4M → 05-31 5M → 07-14 8M</t>
  </si>
  <si>
    <t xml:space="preserve">2026-07-15</t>
  </si>
  <si>
    <r>
      <rPr>
        <sz val="10"/>
        <color rgb="FF000000"/>
        <rFont val="Arial"/>
        <family val="0"/>
        <charset val="1"/>
      </rPr>
      <t xml:space="preserve">Altman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Sottiaux X</t>
    </r>
    <r>
      <rPr>
        <sz val="10"/>
        <color rgb="FF000000"/>
        <rFont val="Noto Sans CJK SC"/>
        <family val="2"/>
      </rPr>
      <t xml:space="preserve">，經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，彙整於 </t>
    </r>
    <r>
      <rPr>
        <sz val="10"/>
        <color rgb="FF000000"/>
        <rFont val="Arial"/>
        <family val="0"/>
        <charset val="1"/>
      </rPr>
      <t xml:space="preserve">https://fourweekmba.com/ai-ai-openai-codex-7-million-weekly-users-harness-war/</t>
    </r>
  </si>
  <si>
    <t xml:space="preserve">E314</t>
  </si>
  <si>
    <t xml:space="preserve">（程式代理用戶序列；SRC_DEM_021 為 2026-02 點；不連結模型格）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</si>
  <si>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E314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N13</t>
    </r>
    <r>
      <rPr>
        <sz val="10"/>
        <color rgb="FF000000"/>
        <rFont val="Noto Sans CJK SC"/>
        <family val="2"/>
      </rPr>
      <t xml:space="preserve">）：採用：解決 </t>
    </r>
    <r>
      <rPr>
        <sz val="10"/>
        <color rgb="FF000000"/>
        <rFont val="Arial"/>
        <family val="0"/>
        <charset val="1"/>
      </rPr>
      <t xml:space="preserve">v5.32 E301</t>
    </r>
    <r>
      <rPr>
        <sz val="10"/>
        <color rgb="FF000000"/>
        <rFont val="Noto Sans CJK SC"/>
        <family val="2"/>
      </rPr>
      <t xml:space="preserve">「待查」（</t>
    </r>
    <r>
      <rPr>
        <sz val="10"/>
        <color rgb="FF000000"/>
        <rFont val="Arial"/>
        <family val="0"/>
        <charset val="1"/>
      </rPr>
      <t xml:space="preserve">8M </t>
    </r>
    <r>
      <rPr>
        <sz val="10"/>
        <color rgb="FF000000"/>
        <rFont val="Noto Sans CJK SC"/>
        <family val="2"/>
      </rPr>
      <t xml:space="preserve">有出處：</t>
    </r>
    <r>
      <rPr>
        <sz val="10"/>
        <color rgb="FF000000"/>
        <rFont val="Arial"/>
        <family val="0"/>
        <charset val="1"/>
      </rPr>
      <t xml:space="preserve">Altman 2026-07-14</t>
    </r>
    <r>
      <rPr>
        <sz val="10"/>
        <color rgb="FF000000"/>
        <rFont val="Noto Sans CJK SC"/>
        <family val="2"/>
      </rPr>
      <t xml:space="preserve">）；彙整站轉述 </t>
    </r>
    <r>
      <rPr>
        <sz val="10"/>
        <color rgb="FF000000"/>
        <rFont val="Arial"/>
        <family val="0"/>
        <charset val="1"/>
      </rPr>
      <t xml:space="preserve">Fortune</t>
    </r>
    <r>
      <rPr>
        <sz val="10"/>
        <color rgb="FF000000"/>
        <rFont val="Noto Sans CJK SC"/>
        <family val="2"/>
      </rPr>
      <t xml:space="preserve">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 ｜</t>
    </r>
    <r>
      <rPr>
        <sz val="10"/>
        <color rgb="FF000000"/>
        <rFont val="Arial"/>
        <family val="0"/>
        <charset val="1"/>
      </rPr>
      <t xml:space="preserve">v5.34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E332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N08 </t>
    </r>
    <r>
      <rPr>
        <sz val="10"/>
        <color rgb="FF000000"/>
        <rFont val="Noto Sans CJK SC"/>
        <family val="2"/>
      </rPr>
      <t xml:space="preserve">不新增）：序列補點 </t>
    </r>
    <r>
      <rPr>
        <sz val="10"/>
        <color rgb="FF000000"/>
        <rFont val="Arial"/>
        <family val="0"/>
        <charset val="1"/>
      </rPr>
      <t xml:space="preserve">2026-08-21 20 M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08-31 25 M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Sottiaux X </t>
    </r>
    <r>
      <rPr>
        <sz val="10"/>
        <color rgb="FF000000"/>
        <rFont val="Noto Sans CJK SC"/>
        <family val="2"/>
      </rPr>
      <t xml:space="preserve">貼文；口徑未定義）</t>
    </r>
  </si>
  <si>
    <t xml:space="preserve">SRC_DEM_061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</si>
  <si>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專用推論算力（前瞻承諾）</t>
    </r>
  </si>
  <si>
    <r>
      <rPr>
        <sz val="10"/>
        <color rgb="FF000000"/>
        <rFont val="Arial"/>
        <family val="0"/>
        <charset val="1"/>
      </rPr>
      <t xml:space="preserve">2026-02-27 </t>
    </r>
    <r>
      <rPr>
        <sz val="10"/>
        <color rgb="FF000000"/>
        <rFont val="Noto Sans CJK SC"/>
        <family val="2"/>
      </rPr>
      <t xml:space="preserve">起（前瞻，非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運轉量）；另 </t>
    </r>
    <r>
      <rPr>
        <sz val="10"/>
        <color rgb="FF000000"/>
        <rFont val="Arial"/>
        <family val="0"/>
        <charset val="1"/>
      </rPr>
      <t xml:space="preserve">2 GW </t>
    </r>
    <r>
      <rPr>
        <sz val="10"/>
        <color rgb="FF000000"/>
        <rFont val="Noto Sans CJK SC"/>
        <family val="2"/>
      </rPr>
      <t xml:space="preserve">訓練（</t>
    </r>
    <r>
      <rPr>
        <sz val="10"/>
        <color rgb="FF000000"/>
        <rFont val="Arial"/>
        <family val="0"/>
        <charset val="1"/>
      </rPr>
      <t xml:space="preserve">Vera Rubin</t>
    </r>
    <r>
      <rPr>
        <sz val="10"/>
        <color rgb="FF000000"/>
        <rFont val="Noto Sans CJK SC"/>
        <family val="2"/>
      </rPr>
      <t xml:space="preserve">）；口徑未明（</t>
    </r>
    <r>
      <rPr>
        <sz val="10"/>
        <color rgb="FF000000"/>
        <rFont val="Arial"/>
        <family val="0"/>
        <charset val="1"/>
      </rPr>
      <t xml:space="preserve">IT</t>
    </r>
    <r>
      <rPr>
        <sz val="10"/>
        <color rgb="FF000000"/>
        <rFont val="Noto Sans CJK SC"/>
        <family val="2"/>
      </rPr>
      <t xml:space="preserve">／設施）；推論 </t>
    </r>
    <r>
      <rPr>
        <sz val="10"/>
        <color rgb="FF000000"/>
        <rFont val="Arial"/>
        <family val="0"/>
        <charset val="1"/>
      </rPr>
      <t xml:space="preserve">÷ </t>
    </r>
    <r>
      <rPr>
        <sz val="10"/>
        <color rgb="FF000000"/>
        <rFont val="Noto Sans CJK SC"/>
        <family val="2"/>
      </rPr>
      <t xml:space="preserve">總＝</t>
    </r>
    <r>
      <rPr>
        <sz val="10"/>
        <color rgb="FF000000"/>
        <rFont val="Arial"/>
        <family val="0"/>
        <charset val="1"/>
      </rPr>
      <t xml:space="preserve">60%</t>
    </r>
  </si>
  <si>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「</t>
    </r>
    <r>
      <rPr>
        <sz val="10"/>
        <color rgb="FF000000"/>
        <rFont val="Arial"/>
        <family val="0"/>
        <charset val="1"/>
      </rPr>
      <t xml:space="preserve">Scaling AI for everyone</t>
    </r>
    <r>
      <rPr>
        <sz val="10"/>
        <color rgb="FF000000"/>
        <rFont val="Noto Sans CJK SC"/>
        <family val="2"/>
      </rPr>
      <t xml:space="preserve">」</t>
    </r>
    <r>
      <rPr>
        <sz val="10"/>
        <color rgb="FF000000"/>
        <rFont val="Arial"/>
        <family val="0"/>
        <charset val="1"/>
      </rPr>
      <t xml:space="preserve">https://openai.com/index/scaling-ai-for-everyone/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SRC_DEM_019 </t>
    </r>
    <r>
      <rPr>
        <sz val="10"/>
        <color rgb="FF000000"/>
        <rFont val="Noto Sans CJK SC"/>
        <family val="2"/>
      </rPr>
      <t xml:space="preserve">同文）</t>
    </r>
  </si>
  <si>
    <t xml:space="preserve">E315</t>
  </si>
  <si>
    <t xml:space="preserve">（算力序列；不入 2025 平均；不連結模型格）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</si>
  <si>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E315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N14</t>
    </r>
    <r>
      <rPr>
        <sz val="10"/>
        <color rgb="FF000000"/>
        <rFont val="Noto Sans CJK SC"/>
        <family val="2"/>
      </rPr>
      <t xml:space="preserve">）：部分採用：登錄為前瞻承諾，不入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</si>
  <si>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SRC_DEM_062</t>
  </si>
  <si>
    <t xml:space="preserve">OpenAI ARR</t>
  </si>
  <si>
    <t xml:space="preserve">時點 2026-10；OpenAI 自身營收口徑（只記自身份額，不含經雲端夥伴銷售）；高欄 70＝先前報導的毛額口徑（gross up，與 Anthropic 可比）</t>
  </si>
  <si>
    <r>
      <rPr>
        <sz val="10"/>
        <color rgb="FF000000"/>
        <rFont val="Arial"/>
        <family val="0"/>
        <charset val="1"/>
      </rPr>
      <t xml:space="preserve">Axios https://www.axios.com/2026/10/08/openai-50-billion-arr-anthropic-revenue-accounting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Axios 2026-09-29 https://www.axios.com/2026/09/29/scoop-openais-annual-recurring-revenue-nears-70b</t>
    </r>
  </si>
  <si>
    <t xml:space="preserve">雙方（OpenAI、Anthropic）經媒體；匿名消息來源</t>
  </si>
  <si>
    <t xml:space="preserve">E317</t>
  </si>
  <si>
    <t xml:space="preserve">（J14：SRC_DEM_007 營收口徑的佐證；不連結模型格）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</si>
  <si>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E317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N16</t>
    </r>
    <r>
      <rPr>
        <sz val="10"/>
        <color rgb="FF000000"/>
        <rFont val="Noto Sans CJK SC"/>
        <family val="2"/>
      </rPr>
      <t xml:space="preserve">）：採用：營收口徑（毛額／淨額）證據；</t>
    </r>
    <r>
      <rPr>
        <sz val="10"/>
        <color rgb="FF000000"/>
        <rFont val="Arial"/>
        <family val="0"/>
        <charset val="1"/>
      </rPr>
      <t xml:space="preserve">SRC_DEM_007 13.07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自身營收口徑（</t>
    </r>
    <r>
      <rPr>
        <sz val="10"/>
        <color rgb="FF000000"/>
        <rFont val="Arial"/>
        <family val="0"/>
        <charset val="1"/>
      </rPr>
      <t xml:space="preserve">J14</t>
    </r>
    <r>
      <rPr>
        <sz val="10"/>
        <color rgb="FF000000"/>
        <rFont val="Noto Sans CJK SC"/>
        <family val="2"/>
      </rPr>
      <t xml:space="preserve">）；匿名消息來源，未取得一手；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</si>
  <si>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SRC_DEM_063</t>
  </si>
  <si>
    <r>
      <rPr>
        <sz val="10"/>
        <color rgb="FF000000"/>
        <rFont val="Arial"/>
        <family val="0"/>
        <charset val="1"/>
      </rPr>
      <t xml:space="preserve">ChatGPT </t>
    </r>
    <r>
      <rPr>
        <sz val="10"/>
        <color rgb="FF000000"/>
        <rFont val="Noto Sans CJK SC"/>
        <family val="2"/>
      </rPr>
      <t xml:space="preserve">週活用戶數</t>
    </r>
  </si>
  <si>
    <t xml:space="preserve">時點 2025-03；每週活躍用戶</t>
  </si>
  <si>
    <r>
      <rPr>
        <sz val="10"/>
        <color rgb="FF000000"/>
        <rFont val="Arial"/>
        <family val="0"/>
        <charset val="1"/>
      </rPr>
      <t xml:space="preserve">Turley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X </t>
    </r>
    <r>
      <rPr>
        <sz val="10"/>
        <color rgb="FF000000"/>
        <rFont val="Noto Sans CJK SC"/>
        <family val="2"/>
      </rPr>
      <t xml:space="preserve">貼文，經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</si>
  <si>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t xml:space="preserve">E321</t>
  </si>
  <si>
    <t xml:space="preserve">（人數口徑付費率的分母；不連結模型格）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</si>
  <si>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</si>
  <si>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SRC_DEM_064</t>
  </si>
  <si>
    <t xml:space="preserve">時點 2025-07；每週活躍用戶</t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</si>
  <si>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經 </t>
    </r>
    <r>
      <rPr>
        <sz val="10"/>
        <color rgb="FF000000"/>
        <rFont val="Arial"/>
        <family val="0"/>
        <charset val="1"/>
      </rPr>
      <t xml:space="preserve">TechCrunch https://techcrunch.com/2025/08/04/openai-says-chatgpt-is-on-track-to-reach-700m-weekly-users/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</si>
  <si>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</si>
  <si>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SRC_DEM_065</t>
  </si>
  <si>
    <t xml:space="preserve">時點 2025-10；每週活躍用戶</t>
  </si>
  <si>
    <r>
      <rPr>
        <sz val="10"/>
        <color rgb="FF000000"/>
        <rFont val="Arial"/>
        <family val="0"/>
        <charset val="1"/>
      </rPr>
      <t xml:space="preserve">Altman DevDay 2025</t>
    </r>
    <r>
      <rPr>
        <sz val="10"/>
        <color rgb="FF000000"/>
        <rFont val="Noto Sans CJK SC"/>
        <family val="2"/>
      </rPr>
      <t xml:space="preserve">（與 </t>
    </r>
    <r>
      <rPr>
        <sz val="10"/>
        <color rgb="FF000000"/>
        <rFont val="Arial"/>
        <family val="0"/>
        <charset val="1"/>
      </rPr>
      <t xml:space="preserve">SRC_DEM_010 </t>
    </r>
    <r>
      <rPr>
        <sz val="10"/>
        <color rgb="FF000000"/>
        <rFont val="Noto Sans CJK SC"/>
        <family val="2"/>
      </rPr>
      <t xml:space="preserve">同場合）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</si>
  <si>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</si>
  <si>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SRC_DEM_066</t>
  </si>
  <si>
    <t xml:space="preserve">時點 2026-02；每週活躍用戶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</si>
  <si>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</si>
  <si>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SRC_DEM_067</t>
  </si>
  <si>
    <t xml:space="preserve">時點 2026-07；每週活躍用戶；「超過」</t>
  </si>
  <si>
    <t xml:space="preserve">2026-07-31</t>
  </si>
  <si>
    <r>
      <rPr>
        <sz val="10"/>
        <color rgb="FF000000"/>
        <rFont val="Arial"/>
        <family val="0"/>
        <charset val="1"/>
      </rPr>
      <t xml:space="preserve">Bloomberg 2026-07-31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A </t>
    </r>
    <r>
      <rPr>
        <sz val="10"/>
        <color rgb="FF000000"/>
        <rFont val="Noto Sans CJK SC"/>
        <family val="2"/>
      </rPr>
      <t xml:space="preserve">段 </t>
    </r>
    <r>
      <rPr>
        <sz val="10"/>
        <color rgb="FF000000"/>
        <rFont val="Arial"/>
        <family val="0"/>
        <charset val="1"/>
      </rPr>
      <t xml:space="preserve">U13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</si>
  <si>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</si>
  <si>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SRC_DEM_068</t>
  </si>
  <si>
    <t xml:space="preserve">時點 2026-09；每週活躍用戶</t>
  </si>
  <si>
    <t xml:space="preserve">OpenAI DevDay 2026 recap https://openai.com/index/devday-2026-recap/</t>
  </si>
  <si>
    <r>
      <rPr>
        <sz val="10"/>
        <color rgb="FF000000"/>
        <rFont val="Arial"/>
        <family val="0"/>
        <charset val="1"/>
      </rPr>
      <t xml:space="preserve">v5.33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E321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段暫編 </t>
    </r>
    <r>
      <rPr>
        <sz val="10"/>
        <color rgb="FF000000"/>
        <rFont val="Arial"/>
        <family val="0"/>
        <charset val="1"/>
      </rPr>
      <t xml:space="preserve">N20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WAU </t>
    </r>
    <r>
      <rPr>
        <sz val="10"/>
        <color rgb="FF000000"/>
        <rFont val="Noto Sans CJK SC"/>
        <family val="2"/>
      </rPr>
      <t xml:space="preserve">序列第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點（</t>
    </r>
    <r>
      <rPr>
        <sz val="10"/>
        <color rgb="FF000000"/>
        <rFont val="Arial"/>
        <family val="0"/>
        <charset val="1"/>
      </rPr>
      <t xml:space="preserve">v5.32 U18 </t>
    </r>
    <r>
      <rPr>
        <sz val="10"/>
        <color rgb="FF000000"/>
        <rFont val="Noto Sans CJK SC"/>
        <family val="2"/>
      </rPr>
      <t xml:space="preserve">未登錄）；</t>
    </r>
    <r>
      <rPr>
        <sz val="10"/>
        <color rgb="FF000000"/>
        <rFont val="Arial"/>
        <family val="0"/>
        <charset val="1"/>
      </rPr>
      <t xml:space="preserve">A </t>
    </r>
    <r>
      <rPr>
        <sz val="10"/>
        <color rgb="FF000000"/>
        <rFont val="Noto Sans CJK SC"/>
        <family val="2"/>
      </rPr>
      <t xml:space="preserve">段查證（</t>
    </r>
    <r>
      <rPr>
        <sz val="10"/>
        <color rgb="FF000000"/>
        <rFont val="Arial"/>
        <family val="0"/>
        <charset val="1"/>
      </rPr>
      <t xml:space="preserve">docs/reports/20261012_v5.33A_</t>
    </r>
    <r>
      <rPr>
        <sz val="10"/>
        <color rgb="FF000000"/>
        <rFont val="Noto Sans CJK SC"/>
        <family val="2"/>
      </rPr>
      <t xml:space="preserve">查證</t>
    </r>
    <r>
      <rPr>
        <sz val="10"/>
        <color rgb="FF000000"/>
        <rFont val="Arial"/>
        <family val="0"/>
        <charset val="1"/>
      </rPr>
      <t xml:space="preserve">.md</t>
    </r>
    <r>
      <rPr>
        <sz val="10"/>
        <color rgb="FF000000"/>
        <rFont val="Noto Sans CJK SC"/>
        <family val="2"/>
      </rPr>
      <t xml:space="preserve">）</t>
    </r>
  </si>
  <si>
    <t xml:space="preserve">SRC_DEM_069</t>
  </si>
  <si>
    <r>
      <rPr>
        <sz val="10"/>
        <color rgb="FF000000"/>
        <rFont val="Arial"/>
        <family val="0"/>
        <charset val="1"/>
      </rPr>
      <t xml:space="preserve">2026 Q1</t>
    </r>
    <r>
      <rPr>
        <sz val="10"/>
        <color rgb="FF000000"/>
        <rFont val="Noto Sans CJK SC"/>
        <family val="2"/>
      </rPr>
      <t xml:space="preserve">；季度（確認值）</t>
    </r>
  </si>
  <si>
    <r>
      <rPr>
        <sz val="10"/>
        <color rgb="FF000000"/>
        <rFont val="Arial"/>
        <family val="0"/>
        <charset val="1"/>
      </rPr>
      <t xml:space="preserve">The Information 2026-05-22</t>
    </r>
    <r>
      <rPr>
        <sz val="10"/>
        <color rgb="FF000000"/>
        <rFont val="Noto Sans CJK SC"/>
        <family val="2"/>
      </rPr>
      <t xml:space="preserve">（二手）</t>
    </r>
  </si>
  <si>
    <t xml:space="preserve">E325</t>
  </si>
  <si>
    <t xml:space="preserve">U-V534</t>
  </si>
  <si>
    <r>
      <rPr>
        <sz val="10"/>
        <color rgb="FF000000"/>
        <rFont val="Arial"/>
        <family val="0"/>
        <charset val="1"/>
      </rPr>
      <t xml:space="preserve">Cap_In H10 2026 Q1 </t>
    </r>
    <r>
      <rPr>
        <sz val="10"/>
        <color rgb="FF000000"/>
        <rFont val="Noto Sans CJK SC"/>
        <family val="2"/>
      </rPr>
      <t xml:space="preserve">欄（</t>
    </r>
    <r>
      <rPr>
        <sz val="10"/>
        <color rgb="FF000000"/>
        <rFont val="Arial"/>
        <family val="0"/>
        <charset val="1"/>
      </rPr>
      <t xml:space="preserve">× 4 </t>
    </r>
    <r>
      <rPr>
        <sz val="10"/>
        <color rgb="FF000000"/>
        <rFont val="Noto Sans CJK SC"/>
        <family val="2"/>
      </rPr>
      <t xml:space="preserve">年化）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</si>
  <si>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E325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N01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2026 Q1 </t>
    </r>
    <r>
      <rPr>
        <sz val="10"/>
        <color rgb="FF000000"/>
        <rFont val="Noto Sans CJK SC"/>
        <family val="2"/>
      </rPr>
      <t xml:space="preserve">確認值；與 </t>
    </r>
    <r>
      <rPr>
        <sz val="10"/>
        <color rgb="FF000000"/>
        <rFont val="Arial"/>
        <family val="0"/>
        <charset val="1"/>
      </rPr>
      <t xml:space="preserve">SRC_DEM_042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 Q2 6.7</t>
    </r>
    <r>
      <rPr>
        <sz val="10"/>
        <color rgb="FF000000"/>
        <rFont val="Noto Sans CJK SC"/>
        <family val="2"/>
      </rPr>
      <t xml:space="preserve">）成序列；工作單 </t>
    </r>
    <r>
      <rPr>
        <sz val="10"/>
        <color rgb="FF000000"/>
        <rFont val="Arial"/>
        <family val="0"/>
        <charset val="1"/>
      </rPr>
      <t xml:space="preserve">v5.34 r0.1 B1</t>
    </r>
  </si>
  <si>
    <t xml:space="preserve">SRC_DEM_070</t>
  </si>
  <si>
    <r>
      <rPr>
        <sz val="10"/>
        <color rgb="FF000000"/>
        <rFont val="Arial"/>
        <family val="0"/>
        <charset val="1"/>
      </rPr>
      <t xml:space="preserve">OpenAI 2026 </t>
    </r>
    <r>
      <rPr>
        <sz val="10"/>
        <color rgb="FF000000"/>
        <rFont val="Noto Sans CJK SC"/>
        <family val="2"/>
      </rPr>
      <t xml:space="preserve">推論支出（預測）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</si>
  <si>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全年預測；</t>
    </r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預測值（區間 </t>
    </r>
    <r>
      <rPr>
        <sz val="10"/>
        <color rgb="FF000000"/>
        <rFont val="Arial"/>
        <family val="0"/>
        <charset val="1"/>
      </rPr>
      <t xml:space="preserve">12–18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Azure </t>
    </r>
    <r>
      <rPr>
        <sz val="10"/>
        <color rgb="FF000000"/>
        <rFont val="Noto Sans CJK SC"/>
        <family val="2"/>
      </rPr>
      <t xml:space="preserve">計價口徑視同 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</si>
  <si>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（二手預測）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</si>
  <si>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以研究報告為業；預測值</t>
    </r>
  </si>
  <si>
    <t xml:space="preserve">E327</t>
  </si>
  <si>
    <r>
      <rPr>
        <sz val="10"/>
        <color rgb="FF000000"/>
        <rFont val="Arial"/>
        <family val="0"/>
        <charset val="1"/>
      </rPr>
      <t xml:space="preserve">Cap_In H10 2026 </t>
    </r>
    <r>
      <rPr>
        <sz val="10"/>
        <color rgb="FF000000"/>
        <rFont val="Noto Sans CJK SC"/>
        <family val="2"/>
      </rPr>
      <t xml:space="preserve">三欄的機隊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推論支出（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：預測值）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</si>
  <si>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E327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N03</t>
    </r>
    <r>
      <rPr>
        <sz val="10"/>
        <color rgb="FF000000"/>
        <rFont val="Noto Sans CJK SC"/>
        <family val="2"/>
      </rPr>
      <t xml:space="preserve">）：部分採用（</t>
    </r>
    <r>
      <rPr>
        <sz val="10"/>
        <color rgb="FF000000"/>
        <rFont val="Arial"/>
        <family val="0"/>
        <charset val="1"/>
      </rPr>
      <t xml:space="preserve">Alt</t>
    </r>
    <r>
      <rPr>
        <sz val="10"/>
        <color rgb="FF000000"/>
        <rFont val="Noto Sans CJK SC"/>
        <family val="2"/>
      </rPr>
      <t xml:space="preserve">）：預測值，不入 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平均；只用於 </t>
    </r>
    <r>
      <rPr>
        <sz val="10"/>
        <color rgb="FF000000"/>
        <rFont val="Arial"/>
        <family val="0"/>
        <charset val="1"/>
      </rPr>
      <t xml:space="preserve">H10 2026 </t>
    </r>
    <r>
      <rPr>
        <sz val="10"/>
        <color rgb="FF000000"/>
        <rFont val="Noto Sans CJK SC"/>
        <family val="2"/>
      </rPr>
      <t xml:space="preserve">欄；工作單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</si>
  <si>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占營收</t>
    </r>
  </si>
  <si>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初；</t>
    </r>
    <r>
      <rPr>
        <sz val="10"/>
        <color rgb="FF000000"/>
        <rFont val="Arial"/>
        <family val="0"/>
        <charset val="1"/>
      </rPr>
      <t xml:space="preserve">Sacra 15–20%</t>
    </r>
    <r>
      <rPr>
        <sz val="10"/>
        <color rgb="FF000000"/>
        <rFont val="Noto Sans CJK SC"/>
        <family val="2"/>
      </rPr>
      <t xml:space="preserve">（本筆值＝高端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份額依據；低欄 </t>
    </r>
    <r>
      <rPr>
        <sz val="10"/>
        <color rgb="FF000000"/>
        <rFont val="Arial"/>
        <family val="0"/>
        <charset val="1"/>
      </rPr>
      <t xml:space="preserve">0.15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</si>
  <si>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Sacra</t>
    </r>
    <r>
      <rPr>
        <sz val="10"/>
        <color rgb="FF000000"/>
        <rFont val="Noto Sans CJK SC"/>
        <family val="2"/>
      </rPr>
      <t xml:space="preserve">（二手）</t>
    </r>
  </si>
  <si>
    <r>
      <rPr>
        <sz val="10"/>
        <color rgb="FF000000"/>
        <rFont val="Arial"/>
        <family val="0"/>
        <charset val="1"/>
      </rPr>
      <t xml:space="preserve">Sacra </t>
    </r>
    <r>
      <rPr>
        <sz val="10"/>
        <color rgb="FF000000"/>
        <rFont val="Noto Sans CJK SC"/>
        <family val="2"/>
      </rPr>
      <t xml:space="preserve">以研究報告為業</t>
    </r>
  </si>
  <si>
    <t xml:space="preserve">E328</t>
  </si>
  <si>
    <r>
      <rPr>
        <sz val="10"/>
        <color rgb="FF000000"/>
        <rFont val="Arial"/>
        <family val="0"/>
        <charset val="1"/>
      </rPr>
      <t xml:space="preserve">Cap_In H8 2025 </t>
    </r>
    <r>
      <rPr>
        <sz val="10"/>
        <color rgb="FF000000"/>
        <rFont val="Noto Sans CJK SC"/>
        <family val="2"/>
      </rPr>
      <t xml:space="preserve">三分（</t>
    </r>
    <r>
      <rPr>
        <sz val="10"/>
        <color rgb="FF000000"/>
        <rFont val="Arial"/>
        <family val="0"/>
        <charset val="1"/>
      </rPr>
      <t xml:space="preserve">API</t>
    </r>
    <r>
      <rPr>
        <sz val="10"/>
        <color rgb="FF000000"/>
        <rFont val="Noto Sans CJK SC"/>
        <family val="2"/>
      </rPr>
      <t xml:space="preserve">＝餘額 </t>
    </r>
    <r>
      <rPr>
        <sz val="10"/>
        <color rgb="FF000000"/>
        <rFont val="Arial"/>
        <family val="0"/>
        <charset val="1"/>
      </rPr>
      <t xml:space="preserve">0.20</t>
    </r>
    <r>
      <rPr>
        <sz val="10"/>
        <color rgb="FF000000"/>
        <rFont val="Noto Sans CJK SC"/>
        <family val="2"/>
      </rPr>
      <t xml:space="preserve">）與 </t>
    </r>
    <r>
      <rPr>
        <sz val="10"/>
        <color rgb="FF000000"/>
        <rFont val="Arial"/>
        <family val="0"/>
        <charset val="1"/>
      </rPr>
      <t xml:space="preserve">H10 </t>
    </r>
    <r>
      <rPr>
        <sz val="10"/>
        <color rgb="FF000000"/>
        <rFont val="Noto Sans CJK SC"/>
        <family val="2"/>
      </rPr>
      <t xml:space="preserve">各欄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份額的依據（份額為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藍字，不連結）</t>
    </r>
  </si>
  <si>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E328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N04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J18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0.20 </t>
    </r>
    <r>
      <rPr>
        <sz val="10"/>
        <color rgb="FF000000"/>
        <rFont val="Noto Sans CJK SC"/>
        <family val="2"/>
      </rPr>
      <t xml:space="preserve">依據；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份額區間 </t>
    </r>
    <r>
      <rPr>
        <sz val="10"/>
        <color rgb="FF000000"/>
        <rFont val="Arial"/>
        <family val="0"/>
        <charset val="1"/>
      </rPr>
      <t xml:space="preserve">0.15–0.25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0.15–0.20</t>
    </r>
    <r>
      <rPr>
        <sz val="10"/>
        <color rgb="FF000000"/>
        <rFont val="Noto Sans CJK SC"/>
        <family val="2"/>
      </rPr>
      <t xml:space="preserve">；工作單 </t>
    </r>
    <r>
      <rPr>
        <sz val="10"/>
        <color rgb="FF000000"/>
        <rFont val="Arial"/>
        <family val="0"/>
        <charset val="1"/>
      </rPr>
      <t xml:space="preserve">v5.34 r0.1 B1</t>
    </r>
  </si>
  <si>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廣告年化營收</t>
    </r>
  </si>
  <si>
    <t xml:space="preserve">年化（run-rate）；廣告上線約 200 天後；2026-08 時點值</t>
  </si>
  <si>
    <t xml:space="preserve">2026-08-31</t>
  </si>
  <si>
    <r>
      <rPr>
        <sz val="10"/>
        <color rgb="FF000000"/>
        <rFont val="Arial"/>
        <family val="0"/>
        <charset val="1"/>
      </rPr>
      <t xml:space="preserve">CNBC 2026-08-31</t>
    </r>
    <r>
      <rPr>
        <sz val="10"/>
        <color rgb="FF000000"/>
        <rFont val="Noto Sans CJK SC"/>
        <family val="2"/>
      </rPr>
      <t xml:space="preserve">（二手）</t>
    </r>
  </si>
  <si>
    <t xml:space="preserve">E343</t>
  </si>
  <si>
    <t xml:space="preserve">U-V535</t>
  </si>
  <si>
    <r>
      <rPr>
        <sz val="10"/>
        <color rgb="FF000000"/>
        <rFont val="Arial"/>
        <family val="0"/>
        <charset val="1"/>
      </rPr>
      <t xml:space="preserve">Cap_In H10 </t>
    </r>
    <r>
      <rPr>
        <sz val="10"/>
        <color rgb="FF000000"/>
        <rFont val="Noto Sans CJK SC"/>
        <family val="2"/>
      </rPr>
      <t xml:space="preserve">廣告營收年化 </t>
    </r>
    <r>
      <rPr>
        <sz val="10"/>
        <color rgb="FF000000"/>
        <rFont val="Arial"/>
        <family val="0"/>
        <charset val="1"/>
      </rPr>
      <t xml:space="preserve">2026 </t>
    </r>
    <r>
      <rPr>
        <sz val="10"/>
        <color rgb="FF000000"/>
        <rFont val="Noto Sans CJK SC"/>
        <family val="2"/>
      </rPr>
      <t xml:space="preserve">三欄（</t>
    </r>
    <r>
      <rPr>
        <sz val="10"/>
        <color rgb="FF000000"/>
        <rFont val="Arial"/>
        <family val="0"/>
        <charset val="1"/>
      </rPr>
      <t xml:space="preserve">Q1 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Q2 0.5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FY2026 1.0</t>
    </r>
    <r>
      <rPr>
        <sz val="10"/>
        <color rgb="FF000000"/>
        <rFont val="Noto Sans CJK SC"/>
        <family val="2"/>
      </rPr>
      <t xml:space="preserve">；藍字 </t>
    </r>
    <r>
      <rPr>
        <sz val="10"/>
        <color rgb="FF000000"/>
        <rFont val="Arial"/>
        <family val="0"/>
        <charset val="1"/>
      </rPr>
      <t xml:space="preserve">Assumed</t>
    </r>
    <r>
      <rPr>
        <sz val="10"/>
        <color rgb="FF000000"/>
        <rFont val="Noto Sans CJK SC"/>
        <family val="2"/>
      </rPr>
      <t xml:space="preserve">，不連結）的依據</t>
    </r>
  </si>
  <si>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E343</t>
    </r>
    <r>
      <rPr>
        <sz val="10"/>
        <color rgb="FF000000"/>
        <rFont val="Noto Sans CJK SC"/>
        <family val="2"/>
      </rPr>
      <t xml:space="preserve">，暫編 </t>
    </r>
    <r>
      <rPr>
        <sz val="10"/>
        <color rgb="FF000000"/>
        <rFont val="Arial"/>
        <family val="0"/>
        <charset val="1"/>
      </rPr>
      <t xml:space="preserve">N19</t>
    </r>
    <r>
      <rPr>
        <sz val="10"/>
        <color rgb="FF000000"/>
        <rFont val="Noto Sans CJK SC"/>
        <family val="2"/>
      </rPr>
      <t xml:space="preserve">）：採用：</t>
    </r>
    <r>
      <rPr>
        <sz val="10"/>
        <color rgb="FF000000"/>
        <rFont val="Arial"/>
        <family val="0"/>
        <charset val="1"/>
      </rPr>
      <t xml:space="preserve">J23 (2) </t>
    </r>
    <r>
      <rPr>
        <sz val="10"/>
        <color rgb="FF000000"/>
        <rFont val="Noto Sans CJK SC"/>
        <family val="2"/>
      </rPr>
      <t xml:space="preserve">廣告年化每欄各自輸入的依據；廣告不進任何 </t>
    </r>
    <r>
      <rPr>
        <sz val="10"/>
        <color rgb="FF000000"/>
        <rFont val="Arial"/>
        <family val="0"/>
        <charset val="1"/>
      </rPr>
      <t xml:space="preserve">m </t>
    </r>
    <r>
      <rPr>
        <sz val="10"/>
        <color rgb="FF000000"/>
        <rFont val="Noto Sans CJK SC"/>
        <family val="2"/>
      </rPr>
      <t xml:space="preserve">的分子；工作單 </t>
    </r>
    <r>
      <rPr>
        <sz val="10"/>
        <color rgb="FF000000"/>
        <rFont val="Arial"/>
        <family val="0"/>
        <charset val="1"/>
      </rPr>
      <t xml:space="preserve">v5.35 r0 B3</t>
    </r>
  </si>
  <si>
    <t xml:space="preserve">SRC_DEM_073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</si>
  <si>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營業成本（查核財報）</t>
    </r>
  </si>
  <si>
    <t xml:space="preserve">年度；經會計師查核之 2025 財務報表的營業成本（含所有供應商）；其中付 Microsoft 6.047；研發 191.8 中付 Microsoft 10.59；付 Microsoft 合計 17.2</t>
  </si>
  <si>
    <t xml:space="preserve">2026-06-16</t>
  </si>
  <si>
    <r>
      <rPr>
        <sz val="10"/>
        <color rgb="FF000000"/>
        <rFont val="Arial"/>
        <family val="0"/>
        <charset val="1"/>
      </rPr>
      <t xml:space="preserve">Zitron </t>
    </r>
    <r>
      <rPr>
        <sz val="10"/>
        <color rgb="FF000000"/>
        <rFont val="Noto Sans CJK SC"/>
        <family val="2"/>
      </rPr>
      <t xml:space="preserve">取得之查核財報，</t>
    </r>
    <r>
      <rPr>
        <sz val="10"/>
        <color rgb="FF000000"/>
        <rFont val="Arial"/>
        <family val="0"/>
        <charset val="1"/>
      </rPr>
      <t xml:space="preserve">FT </t>
    </r>
    <r>
      <rPr>
        <sz val="10"/>
        <color rgb="FF000000"/>
        <rFont val="Noto Sans CJK SC"/>
        <family val="2"/>
      </rPr>
      <t xml:space="preserve">獨立核實（</t>
    </r>
    <r>
      <rPr>
        <sz val="10"/>
        <color rgb="FF000000"/>
        <rFont val="Arial"/>
        <family val="0"/>
        <charset val="1"/>
      </rPr>
      <t xml:space="preserve">2026-06-16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TechFlow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Quartz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Yahoo </t>
    </r>
    <r>
      <rPr>
        <sz val="10"/>
        <color rgb="FF000000"/>
        <rFont val="Noto Sans CJK SC"/>
        <family val="2"/>
      </rPr>
      <t xml:space="preserve">轉述</t>
    </r>
  </si>
  <si>
    <t xml:space="preserve">查核報表（外流，FT 獨立核實）；公司自身數字但經會計師查核，OpenAI 未評論</t>
  </si>
  <si>
    <t xml:space="preserve">二手（外流查核報表）</t>
  </si>
  <si>
    <t xml:space="preserve">E363</t>
  </si>
  <si>
    <t xml:space="preserve">U-V536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</si>
  <si>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節推論支出的 </t>
    </r>
    <r>
      <rPr>
        <sz val="10"/>
        <color rgb="FF000000"/>
        <rFont val="Arial"/>
        <family val="0"/>
        <charset val="1"/>
      </rPr>
      <t xml:space="preserve">Lo </t>
    </r>
    <r>
      <rPr>
        <sz val="10"/>
        <color rgb="FF000000"/>
        <rFont val="Noto Sans CJK SC"/>
        <family val="2"/>
      </rPr>
      <t xml:space="preserve">端對照（</t>
    </r>
    <r>
      <rPr>
        <sz val="10"/>
        <color rgb="FF000000"/>
        <rFont val="Arial"/>
        <family val="0"/>
        <charset val="1"/>
      </rPr>
      <t xml:space="preserve">SRC_DEM_004 </t>
    </r>
    <r>
      <rPr>
        <sz val="10"/>
        <color rgb="FF000000"/>
        <rFont val="Noto Sans CJK SC"/>
        <family val="2"/>
      </rPr>
      <t xml:space="preserve">低端 </t>
    </r>
    <r>
      <rPr>
        <sz val="10"/>
        <color rgb="FF000000"/>
        <rFont val="Arial"/>
        <family val="0"/>
        <charset val="1"/>
      </rPr>
      <t xml:space="preserve">7.5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v5.36A </t>
    </r>
    <r>
      <rPr>
        <sz val="10"/>
        <color rgb="FF000000"/>
        <rFont val="Noto Sans CJK SC"/>
        <family val="2"/>
      </rPr>
      <t xml:space="preserve">補充第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節交叉核對</t>
    </r>
  </si>
  <si>
    <r>
      <rPr>
        <sz val="10"/>
        <color rgb="FF000000"/>
        <rFont val="Arial"/>
        <family val="0"/>
        <charset val="1"/>
      </rPr>
      <t xml:space="preserve">v5.36 </t>
    </r>
    <r>
      <rPr>
        <sz val="10"/>
        <color rgb="FF000000"/>
        <rFont val="Noto Sans CJK SC"/>
        <family val="2"/>
      </rPr>
      <t xml:space="preserve">新增（</t>
    </r>
    <r>
      <rPr>
        <sz val="10"/>
        <color rgb="FF000000"/>
        <rFont val="Arial"/>
        <family val="0"/>
        <charset val="1"/>
      </rPr>
      <t xml:space="preserve">E363</t>
    </r>
    <r>
      <rPr>
        <sz val="10"/>
        <color rgb="FF000000"/>
        <rFont val="Noto Sans CJK SC"/>
        <family val="2"/>
      </rPr>
      <t xml:space="preserve">）：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端推論支出的最接近一手來源；營業成本 </t>
    </r>
    <r>
      <rPr>
        <sz val="10"/>
        <color rgb="FF000000"/>
        <rFont val="Arial"/>
        <family val="0"/>
        <charset val="1"/>
      </rPr>
      <t xml:space="preserve">7.5 </t>
    </r>
    <r>
      <rPr>
        <sz val="10"/>
        <color rgb="FF000000"/>
        <rFont val="Noto Sans CJK SC"/>
        <family val="2"/>
      </rPr>
      <t xml:space="preserve">含所有供應商（非 </t>
    </r>
    <r>
      <rPr>
        <sz val="10"/>
        <color rgb="FF000000"/>
        <rFont val="Arial"/>
        <family val="0"/>
        <charset val="1"/>
      </rPr>
      <t xml:space="preserve">Microsoft </t>
    </r>
    <r>
      <rPr>
        <sz val="10"/>
        <color rgb="FF000000"/>
        <rFont val="Noto Sans CJK SC"/>
        <family val="2"/>
      </rPr>
      <t xml:space="preserve">部分僅 </t>
    </r>
    <r>
      <rPr>
        <sz val="10"/>
        <color rgb="FF000000"/>
        <rFont val="Arial"/>
        <family val="0"/>
        <charset val="1"/>
      </rPr>
      <t xml:space="preserve">1.45</t>
    </r>
    <r>
      <rPr>
        <sz val="10"/>
        <color rgb="FF000000"/>
        <rFont val="Noto Sans CJK SC"/>
        <family val="2"/>
      </rPr>
      <t xml:space="preserve">），與 </t>
    </r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8.4</t>
    </r>
    <r>
      <rPr>
        <sz val="10"/>
        <color rgb="FF000000"/>
        <rFont val="Noto Sans CJK SC"/>
        <family val="2"/>
      </rPr>
      <t xml:space="preserve">）同量級；工作單 </t>
    </r>
    <r>
      <rPr>
        <sz val="10"/>
        <color rgb="FF000000"/>
        <rFont val="Arial"/>
        <family val="0"/>
        <charset val="1"/>
      </rPr>
      <t xml:space="preserve">v5.36 r0 B1</t>
    </r>
  </si>
  <si>
    <r>
      <rPr>
        <b val="true"/>
        <sz val="13"/>
        <rFont val="Arial"/>
        <family val="0"/>
        <charset val="1"/>
      </rPr>
      <t xml:space="preserve">SRC_Index — SRC_* </t>
    </r>
    <r>
      <rPr>
        <b val="true"/>
        <sz val="13"/>
        <rFont val="Noto Sans CJK SC"/>
        <family val="2"/>
      </rPr>
      <t xml:space="preserve">的 </t>
    </r>
    <r>
      <rPr>
        <b val="true"/>
        <sz val="13"/>
        <rFont val="Arial"/>
        <family val="0"/>
        <charset val="1"/>
      </rPr>
      <t xml:space="preserve">ID</t>
    </r>
    <r>
      <rPr>
        <b val="true"/>
        <sz val="13"/>
        <rFont val="Noto Sans CJK SC"/>
        <family val="2"/>
      </rPr>
      <t xml:space="preserve">、狀態、等級依序堆疊（</t>
    </r>
    <r>
      <rPr>
        <b val="true"/>
        <sz val="13"/>
        <rFont val="Arial"/>
        <family val="0"/>
        <charset val="1"/>
      </rPr>
      <t xml:space="preserve">builder </t>
    </r>
    <r>
      <rPr>
        <b val="true"/>
        <sz val="13"/>
        <rFont val="Noto Sans CJK SC"/>
        <family val="2"/>
      </rPr>
      <t xml:space="preserve">擁有，每次重建；只供 </t>
    </r>
    <r>
      <rPr>
        <b val="true"/>
        <sz val="13"/>
        <rFont val="Arial"/>
        <family val="0"/>
        <charset val="1"/>
      </rPr>
      <t xml:space="preserve">Gov_Map </t>
    </r>
    <r>
      <rPr>
        <b val="true"/>
        <sz val="13"/>
        <rFont val="Noto Sans CJK SC"/>
        <family val="2"/>
      </rPr>
      <t xml:space="preserve">查找，不放任何數值）</t>
    </r>
  </si>
  <si>
    <r>
      <rPr>
        <sz val="9"/>
        <color rgb="FF595959"/>
        <rFont val="Arial"/>
        <family val="0"/>
        <charset val="1"/>
      </rPr>
      <t xml:space="preserve">Gov_Map AF </t>
    </r>
    <r>
      <rPr>
        <sz val="9"/>
        <color rgb="FF595959"/>
        <rFont val="Noto Sans CJK SC"/>
        <family val="2"/>
      </rPr>
      <t xml:space="preserve">欄以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 </t>
    </r>
    <r>
      <rPr>
        <sz val="9"/>
        <color rgb="FF595959"/>
        <rFont val="Arial"/>
        <family val="0"/>
        <charset val="1"/>
      </rPr>
      <t xml:space="preserve">MATCH </t>
    </r>
    <r>
      <rPr>
        <sz val="9"/>
        <color rgb="FF595959"/>
        <rFont val="Noto Sans CJK SC"/>
        <family val="2"/>
      </rPr>
      <t xml:space="preserve">找到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所在列，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（狀態）、</t>
    </r>
    <r>
      <rPr>
        <sz val="9"/>
        <color rgb="FF595959"/>
        <rFont val="Arial"/>
        <family val="0"/>
        <charset val="1"/>
      </rPr>
      <t xml:space="preserve">T</t>
    </r>
    <r>
      <rPr>
        <sz val="9"/>
        <color rgb="FF595959"/>
        <rFont val="Noto Sans CJK SC"/>
        <family val="2"/>
      </rPr>
      <t xml:space="preserve">（等級）欄以 </t>
    </r>
    <r>
      <rPr>
        <sz val="9"/>
        <color rgb="FF595959"/>
        <rFont val="Arial"/>
        <family val="0"/>
        <charset val="1"/>
      </rPr>
      <t xml:space="preserve">INDEX </t>
    </r>
    <r>
      <rPr>
        <sz val="9"/>
        <color rgb="FF595959"/>
        <rFont val="Noto Sans CJK SC"/>
        <family val="2"/>
      </rPr>
      <t xml:space="preserve">讀本頁。各 </t>
    </r>
    <r>
      <rPr>
        <sz val="9"/>
        <color rgb="FF595959"/>
        <rFont val="Arial"/>
        <family val="0"/>
        <charset val="1"/>
      </rPr>
      <t xml:space="preserve">SRC </t>
    </r>
    <r>
      <rPr>
        <sz val="9"/>
        <color rgb="FF595959"/>
        <rFont val="Noto Sans CJK SC"/>
        <family val="2"/>
      </rPr>
      <t xml:space="preserve">頁的範圍＝第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列到最後一筆紀錄＋</t>
    </r>
    <r>
      <rPr>
        <sz val="9"/>
        <color rgb="FF595959"/>
        <rFont val="Arial"/>
        <family val="0"/>
        <charset val="1"/>
      </rPr>
      <t xml:space="preserve">50 </t>
    </r>
    <r>
      <rPr>
        <sz val="9"/>
        <color rgb="FF595959"/>
        <rFont val="Noto Sans CJK SC"/>
        <family val="2"/>
      </rPr>
      <t xml:space="preserve">列；紀錄超出範圍時 </t>
    </r>
    <r>
      <rPr>
        <sz val="9"/>
        <color rgb="FF595959"/>
        <rFont val="Arial"/>
        <family val="0"/>
        <charset val="1"/>
      </rPr>
      <t xml:space="preserve">Checks E13 </t>
    </r>
    <r>
      <rPr>
        <sz val="9"/>
        <color rgb="FF595959"/>
        <rFont val="Noto Sans CJK SC"/>
        <family val="2"/>
      </rPr>
      <t xml:space="preserve">報錯（重建即可）。最後一段為 </t>
    </r>
    <r>
      <rPr>
        <sz val="9"/>
        <color rgb="FF595959"/>
        <rFont val="Arial"/>
        <family val="0"/>
        <charset val="1"/>
      </rPr>
      <t xml:space="preserve">Gov_Map H </t>
    </r>
    <r>
      <rPr>
        <sz val="9"/>
        <color rgb="FF595959"/>
        <rFont val="Noto Sans CJK SC"/>
        <family val="2"/>
      </rPr>
      <t xml:space="preserve">欄的鏡像（哨兵）：找不到的 </t>
    </r>
    <r>
      <rPr>
        <sz val="9"/>
        <color rgb="FF595959"/>
        <rFont val="Arial"/>
        <family val="0"/>
        <charset val="1"/>
      </rPr>
      <t xml:space="preserve">SRC_ID </t>
    </r>
    <r>
      <rPr>
        <sz val="9"/>
        <color rgb="FF595959"/>
        <rFont val="Noto Sans CJK SC"/>
        <family val="2"/>
      </rPr>
      <t xml:space="preserve">落在這段，狀態與等級為「不存在」。</t>
    </r>
  </si>
  <si>
    <t xml:space="preserve">原列</t>
  </si>
  <si>
    <r>
      <rPr>
        <b val="true"/>
        <sz val="10"/>
        <rFont val="Noto Sans CJK SC"/>
        <family val="2"/>
      </rPr>
      <t xml:space="preserve">審查日（</t>
    </r>
    <r>
      <rPr>
        <b val="true"/>
        <sz val="10"/>
        <rFont val="Arial"/>
        <family val="0"/>
        <charset val="1"/>
      </rPr>
      <t xml:space="preserve">v5.29</t>
    </r>
    <r>
      <rPr>
        <b val="true"/>
        <sz val="10"/>
        <rFont val="Noto Sans CJK SC"/>
        <family val="2"/>
      </rPr>
      <t xml:space="preserve">）</t>
    </r>
  </si>
  <si>
    <t xml:space="preserve">SRC_HW</t>
  </si>
  <si>
    <t xml:space="preserve">SRC_DC</t>
  </si>
  <si>
    <t xml:space="preserve">SRC_Model</t>
  </si>
  <si>
    <t xml:space="preserve">SRC_Perf</t>
  </si>
  <si>
    <t xml:space="preserve">SRC_Price</t>
  </si>
  <si>
    <t xml:space="preserve">SRC_Cap</t>
  </si>
  <si>
    <t xml:space="preserve">SRC_Harness</t>
  </si>
  <si>
    <t xml:space="preserve">SRC_Demand</t>
  </si>
  <si>
    <t xml:space="preserve">（哨兵）</t>
  </si>
  <si>
    <t xml:space="preserve">不存在</t>
  </si>
  <si>
    <r>
      <rPr>
        <b val="true"/>
        <sz val="13"/>
        <rFont val="Arial"/>
        <family val="0"/>
        <charset val="1"/>
      </rPr>
      <t xml:space="preserve">Sources_Legacy — v5.11 </t>
    </r>
    <r>
      <rPr>
        <b val="true"/>
        <sz val="13"/>
        <rFont val="Noto Sans CJK SC"/>
        <family val="2"/>
      </rPr>
      <t xml:space="preserve">以前的來源清單（</t>
    </r>
    <r>
      <rPr>
        <b val="true"/>
        <sz val="13"/>
        <rFont val="Arial"/>
        <family val="0"/>
        <charset val="1"/>
      </rPr>
      <t xml:space="preserve">v5.12 </t>
    </r>
    <r>
      <rPr>
        <b val="true"/>
        <sz val="13"/>
        <rFont val="Noto Sans CJK SC"/>
        <family val="2"/>
      </rPr>
      <t xml:space="preserve">起凍結，只供追溯原 </t>
    </r>
    <r>
      <rPr>
        <b val="true"/>
        <sz val="13"/>
        <rFont val="Arial"/>
        <family val="0"/>
        <charset val="1"/>
      </rPr>
      <t xml:space="preserve">S </t>
    </r>
    <r>
      <rPr>
        <b val="true"/>
        <sz val="13"/>
        <rFont val="Noto Sans CJK SC"/>
        <family val="2"/>
      </rPr>
      <t xml:space="preserve">編號；新來源一律先登錄 </t>
    </r>
    <r>
      <rPr>
        <b val="true"/>
        <sz val="13"/>
        <rFont val="Arial"/>
        <family val="0"/>
        <charset val="1"/>
      </rPr>
      <t xml:space="preserve">DB_Evidence</t>
    </r>
    <r>
      <rPr>
        <b val="true"/>
        <sz val="13"/>
        <rFont val="Noto Sans CJK SC"/>
        <family val="2"/>
      </rPr>
      <t xml:space="preserve">，擇優寫入 </t>
    </r>
    <r>
      <rPr>
        <b val="true"/>
        <sz val="13"/>
        <rFont val="Arial"/>
        <family val="0"/>
        <charset val="1"/>
      </rPr>
      <t xml:space="preserve">SRC_*</t>
    </r>
    <r>
      <rPr>
        <b val="true"/>
        <sz val="13"/>
        <rFont val="Noto Sans CJK SC"/>
        <family val="2"/>
      </rPr>
      <t xml:space="preserve">）</t>
    </r>
  </si>
  <si>
    <t xml:space="preserve">內容摘要</t>
  </si>
  <si>
    <t xml:space="preserve">查核狀態</t>
  </si>
  <si>
    <r>
      <rPr>
        <sz val="10"/>
        <color rgb="FF000000"/>
        <rFont val="Arial"/>
        <family val="0"/>
        <charset val="1"/>
      </rPr>
      <t xml:space="preserve">DGX H100 </t>
    </r>
    <r>
      <rPr>
        <sz val="10"/>
        <color rgb="FF000000"/>
        <rFont val="Noto Sans CJK SC"/>
        <family val="2"/>
      </rPr>
      <t xml:space="preserve">功率</t>
    </r>
  </si>
  <si>
    <t xml:space="preserve">最大約 10.2 kW／8 GPU</t>
  </si>
  <si>
    <t xml:space="preserve">待查核</t>
  </si>
  <si>
    <r>
      <rPr>
        <sz val="10"/>
        <color rgb="FF000000"/>
        <rFont val="Arial"/>
        <family val="0"/>
        <charset val="1"/>
      </rPr>
      <t xml:space="preserve">HGX H100 </t>
    </r>
    <r>
      <rPr>
        <sz val="10"/>
        <color rgb="FF000000"/>
        <rFont val="Noto Sans CJK SC"/>
        <family val="2"/>
      </rPr>
      <t xml:space="preserve">價格</t>
    </r>
  </si>
  <si>
    <t xml:space="preserve">約 $30K／GPU；8 GPU 伺服器約 $220–320K</t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</si>
  <si>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</si>
  <si>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r>
      <rPr>
        <sz val="10"/>
        <color rgb="FF000000"/>
        <rFont val="Arial"/>
        <family val="0"/>
        <charset val="1"/>
      </rPr>
      <t xml:space="preserve">Blackwell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120–130 kW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NVL72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132–142 kW</t>
    </r>
  </si>
  <si>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價格</t>
    </r>
  </si>
  <si>
    <r>
      <rPr>
        <sz val="10"/>
        <color rgb="FF000000"/>
        <rFont val="Arial"/>
        <family val="0"/>
        <charset val="1"/>
      </rPr>
      <t xml:space="preserve">GB200 $2.8–3.4M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GB300 $6–6.5M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VR200 $5–7M</t>
    </r>
    <r>
      <rPr>
        <sz val="10"/>
        <color rgb="FF000000"/>
        <rFont val="Noto Sans CJK SC"/>
        <family val="2"/>
      </rPr>
      <t xml:space="preserve">（含約 </t>
    </r>
    <r>
      <rPr>
        <sz val="10"/>
        <color rgb="FF000000"/>
        <rFont val="Arial"/>
        <family val="0"/>
        <charset val="1"/>
      </rPr>
      <t xml:space="preserve">$1M NAND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</si>
  <si>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機架功率</t>
    </r>
  </si>
  <si>
    <t xml:space="preserve">Supermicro GB300 NVL72 132–140 kW</t>
  </si>
  <si>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採購單價</t>
    </r>
  </si>
  <si>
    <r>
      <rPr>
        <sz val="10"/>
        <color rgb="FF000000"/>
        <rFont val="Arial"/>
        <family val="0"/>
        <charset val="1"/>
      </rPr>
      <t xml:space="preserve">2026-08 </t>
    </r>
    <r>
      <rPr>
        <sz val="10"/>
        <color rgb="FF000000"/>
        <rFont val="Noto Sans CJK SC"/>
        <family val="2"/>
      </rPr>
      <t xml:space="preserve">採購單約 </t>
    </r>
    <r>
      <rPr>
        <sz val="10"/>
        <color rgb="FF000000"/>
        <rFont val="Arial"/>
        <family val="0"/>
        <charset val="1"/>
      </rPr>
      <t xml:space="preserve">$5M</t>
    </r>
    <r>
      <rPr>
        <sz val="10"/>
        <color rgb="FF000000"/>
        <rFont val="Noto Sans CJK SC"/>
        <family val="2"/>
      </rPr>
      <t xml:space="preserve">／架</t>
    </r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</si>
  <si>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</si>
  <si>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功率</t>
    </r>
  </si>
  <si>
    <r>
      <rPr>
        <sz val="10"/>
        <color rgb="FF000000"/>
        <rFont val="Arial"/>
        <family val="0"/>
        <charset val="1"/>
      </rPr>
      <t xml:space="preserve">VR200 Max-Q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190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Max-P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230 kW</t>
    </r>
    <r>
      <rPr>
        <sz val="10"/>
        <color rgb="FF000000"/>
        <rFont val="Noto Sans CJK SC"/>
        <family val="2"/>
      </rPr>
      <t xml:space="preserve">（郭明錤）；</t>
    </r>
    <r>
      <rPr>
        <sz val="10"/>
        <color rgb="FF000000"/>
        <rFont val="Arial"/>
        <family val="0"/>
        <charset val="1"/>
      </rPr>
      <t xml:space="preserve">Rubin Ultra NVL576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600 kW</t>
    </r>
  </si>
  <si>
    <r>
      <rPr>
        <sz val="10"/>
        <color rgb="FF000000"/>
        <rFont val="Arial"/>
        <family val="0"/>
        <charset val="1"/>
      </rPr>
      <t xml:space="preserve">DLC-2 </t>
    </r>
    <r>
      <rPr>
        <sz val="10"/>
        <color rgb="FF000000"/>
        <rFont val="Noto Sans CJK SC"/>
        <family val="2"/>
      </rPr>
      <t xml:space="preserve">按每架 </t>
    </r>
    <r>
      <rPr>
        <sz val="10"/>
        <color rgb="FF000000"/>
        <rFont val="Arial"/>
        <family val="0"/>
        <charset val="1"/>
      </rPr>
      <t xml:space="preserve">227 kW </t>
    </r>
    <r>
      <rPr>
        <sz val="10"/>
        <color rgb="FF000000"/>
        <rFont val="Noto Sans CJK SC"/>
        <family val="2"/>
      </rPr>
      <t xml:space="preserve">設計；</t>
    </r>
    <r>
      <rPr>
        <sz val="10"/>
        <color rgb="FF000000"/>
        <rFont val="Arial"/>
        <family val="0"/>
        <charset val="1"/>
      </rPr>
      <t xml:space="preserve">2026-09-23 </t>
    </r>
    <r>
      <rPr>
        <sz val="10"/>
        <color rgb="FF000000"/>
        <rFont val="Noto Sans CJK SC"/>
        <family val="2"/>
      </rPr>
      <t xml:space="preserve">開始出貨</t>
    </r>
  </si>
  <si>
    <r>
      <rPr>
        <sz val="10"/>
        <color rgb="FF000000"/>
        <rFont val="Arial"/>
        <family val="0"/>
        <charset val="1"/>
      </rPr>
      <t xml:space="preserve">windowsforum.com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Supermicro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</si>
  <si>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機架成本估計</t>
    </r>
  </si>
  <si>
    <r>
      <rPr>
        <sz val="10"/>
        <color rgb="FF000000"/>
        <rFont val="Arial"/>
        <family val="0"/>
        <charset val="1"/>
      </rPr>
      <t xml:space="preserve">Morgan Stanley $7.8M</t>
    </r>
    <r>
      <rPr>
        <sz val="10"/>
        <color rgb="FF000000"/>
        <rFont val="Noto Sans CJK SC"/>
        <family val="2"/>
      </rPr>
      <t xml:space="preserve">（自購記憶體 </t>
    </r>
    <r>
      <rPr>
        <sz val="10"/>
        <color rgb="FF000000"/>
        <rFont val="Arial"/>
        <family val="0"/>
        <charset val="1"/>
      </rPr>
      <t xml:space="preserve">$6.7M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Bernstein $9.09M</t>
    </r>
  </si>
  <si>
    <r>
      <rPr>
        <sz val="10"/>
        <color rgb="FF000000"/>
        <rFont val="Arial"/>
        <family val="0"/>
        <charset val="1"/>
      </rPr>
      <t xml:space="preserve">2026-05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06</t>
    </r>
  </si>
  <si>
    <t xml:space="preserve">網路資本支出占比</t>
  </si>
  <si>
    <r>
      <rPr>
        <sz val="10"/>
        <color rgb="FF000000"/>
        <rFont val="Arial"/>
        <family val="0"/>
        <charset val="1"/>
      </rPr>
      <t xml:space="preserve">1,024 GPU </t>
    </r>
    <r>
      <rPr>
        <sz val="10"/>
        <color rgb="FF000000"/>
        <rFont val="Noto Sans CJK SC"/>
        <family val="2"/>
      </rPr>
      <t xml:space="preserve">叢集網路約為 </t>
    </r>
    <r>
      <rPr>
        <sz val="10"/>
        <color rgb="FF000000"/>
        <rFont val="Arial"/>
        <family val="0"/>
        <charset val="1"/>
      </rPr>
      <t xml:space="preserve">GPU BOM 4–8%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JPM </t>
    </r>
    <r>
      <rPr>
        <sz val="10"/>
        <color rgb="FF000000"/>
        <rFont val="Noto Sans CJK SC"/>
        <family val="2"/>
      </rPr>
      <t xml:space="preserve">假設網路占 </t>
    </r>
    <r>
      <rPr>
        <sz val="10"/>
        <color rgb="FF000000"/>
        <rFont val="Arial"/>
        <family val="0"/>
        <charset val="1"/>
      </rPr>
      <t xml:space="preserve">AI </t>
    </r>
    <r>
      <rPr>
        <sz val="10"/>
        <color rgb="FF000000"/>
        <rFont val="Noto Sans CJK SC"/>
        <family val="2"/>
      </rPr>
      <t xml:space="preserve">支出 </t>
    </r>
    <r>
      <rPr>
        <sz val="10"/>
        <color rgb="FF000000"/>
        <rFont val="Arial"/>
        <family val="0"/>
        <charset val="1"/>
      </rPr>
      <t xml:space="preserve">15%</t>
    </r>
  </si>
  <si>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報價是否含網路</t>
    </r>
  </si>
  <si>
    <t xml:space="preserve">有來源稱報價中約 $1M 與網路設備有關；與 S4 的 NAND 說法可能重疊</t>
  </si>
  <si>
    <t xml:space="preserve">未解：可能重複計算</t>
  </si>
  <si>
    <t xml:space="preserve">廠房建造成本</t>
  </si>
  <si>
    <r>
      <rPr>
        <sz val="10"/>
        <color rgb="FF000000"/>
        <rFont val="Arial"/>
        <family val="0"/>
        <charset val="1"/>
      </rPr>
      <t xml:space="preserve">JLL 2026 </t>
    </r>
    <r>
      <rPr>
        <sz val="10"/>
        <color rgb="FF000000"/>
        <rFont val="Noto Sans CJK SC"/>
        <family val="2"/>
      </rPr>
      <t xml:space="preserve">全球平均 </t>
    </r>
    <r>
      <rPr>
        <sz val="10"/>
        <color rgb="FF000000"/>
        <rFont val="Arial"/>
        <family val="0"/>
        <charset val="1"/>
      </rPr>
      <t xml:space="preserve">$11.3M/MW</t>
    </r>
    <r>
      <rPr>
        <sz val="10"/>
        <color rgb="FF000000"/>
        <rFont val="Noto Sans CJK SC"/>
        <family val="2"/>
      </rPr>
      <t xml:space="preserve">；液冷溢價 </t>
    </r>
    <r>
      <rPr>
        <sz val="10"/>
        <color rgb="FF000000"/>
        <rFont val="Arial"/>
        <family val="0"/>
        <charset val="1"/>
      </rPr>
      <t xml:space="preserve">7–10%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Turner &amp; Townsend</t>
    </r>
    <r>
      <rPr>
        <sz val="10"/>
        <color rgb="FF000000"/>
        <rFont val="Noto Sans CJK SC"/>
        <family val="2"/>
      </rPr>
      <t xml:space="preserve">）</t>
    </r>
  </si>
  <si>
    <t xml:space="preserve">美國工業電價</t>
  </si>
  <si>
    <r>
      <rPr>
        <sz val="10"/>
        <color rgb="FF000000"/>
        <rFont val="Arial"/>
        <family val="0"/>
        <charset val="1"/>
      </rPr>
      <t xml:space="preserve">2026-03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8.58¢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 </t>
    </r>
    <r>
      <rPr>
        <sz val="10"/>
        <color rgb="FF000000"/>
        <rFont val="Noto Sans CJK SC"/>
        <family val="2"/>
      </rPr>
      <t xml:space="preserve">為 </t>
    </r>
    <r>
      <rPr>
        <sz val="10"/>
        <color rgb="FF000000"/>
        <rFont val="Arial"/>
        <family val="0"/>
        <charset val="1"/>
      </rPr>
      <t xml:space="preserve">8.71¢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kWh</t>
    </r>
  </si>
  <si>
    <t xml:space="preserve">已核對二手轉載</t>
  </si>
  <si>
    <t xml:space="preserve">S14</t>
  </si>
  <si>
    <t xml:space="preserve">液冷 AI 設施 1.1–1.3；v4 用 1.2</t>
  </si>
  <si>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假設；</t>
    </r>
    <r>
      <rPr>
        <sz val="10"/>
        <color rgb="FF000000"/>
        <rFont val="Arial"/>
        <family val="0"/>
        <charset val="1"/>
      </rPr>
      <t xml:space="preserve">hyperscaler </t>
    </r>
    <r>
      <rPr>
        <sz val="10"/>
        <color rgb="FF000000"/>
        <rFont val="Noto Sans CJK SC"/>
        <family val="2"/>
      </rPr>
      <t xml:space="preserve">車隊 </t>
    </r>
    <r>
      <rPr>
        <sz val="10"/>
        <color rgb="FF000000"/>
        <rFont val="Arial"/>
        <family val="0"/>
        <charset val="1"/>
      </rPr>
      <t xml:space="preserve">PUE </t>
    </r>
    <r>
      <rPr>
        <sz val="10"/>
        <color rgb="FF000000"/>
        <rFont val="Noto Sans CJK SC"/>
        <family val="2"/>
      </rPr>
      <t xml:space="preserve">較低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</si>
  <si>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折舊年限</t>
    </r>
  </si>
  <si>
    <r>
      <rPr>
        <sz val="10"/>
        <color rgb="FF000000"/>
        <rFont val="Arial"/>
        <family val="0"/>
        <charset val="1"/>
      </rPr>
      <t xml:space="preserve">CoreWeave 6 </t>
    </r>
    <r>
      <rPr>
        <sz val="10"/>
        <color rgb="FF000000"/>
        <rFont val="Noto Sans CJK SC"/>
        <family val="2"/>
      </rPr>
      <t xml:space="preserve">年（授信文件亦約定 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年）；</t>
    </r>
    <r>
      <rPr>
        <sz val="10"/>
        <color rgb="FF000000"/>
        <rFont val="Arial"/>
        <family val="0"/>
        <charset val="1"/>
      </rPr>
      <t xml:space="preserve">Nebius 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Lambda 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Amazon 2025 </t>
    </r>
    <r>
      <rPr>
        <sz val="10"/>
        <color rgb="FF000000"/>
        <rFont val="Noto Sans CJK SC"/>
        <family val="2"/>
      </rPr>
      <t xml:space="preserve">年縮短</t>
    </r>
  </si>
  <si>
    <t xml:space="preserve">待以 10-K 原文核對</t>
  </si>
  <si>
    <t xml:space="preserve">每 GW 建置成本</t>
  </si>
  <si>
    <t xml:space="preserve">黃仁勳：每 GW $50–60B，其中約 $35B 為 NVIDIA 晶片與系統</t>
  </si>
  <si>
    <t xml:space="preserve">待查核；口徑（IT／設施）未明</t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</si>
  <si>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每小時 </t>
    </r>
    <r>
      <rPr>
        <sz val="10"/>
        <color rgb="FF000000"/>
        <rFont val="Arial"/>
        <family val="0"/>
        <charset val="1"/>
      </rPr>
      <t xml:space="preserve">TCO</t>
    </r>
  </si>
  <si>
    <r>
      <rPr>
        <sz val="10"/>
        <color rgb="FF000000"/>
        <rFont val="Arial"/>
        <family val="0"/>
        <charset val="1"/>
      </rPr>
      <t xml:space="preserve">GB200 NVL72 $2.21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NVL72 $2.65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</si>
  <si>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CoreWeave GB200 </t>
    </r>
    <r>
      <rPr>
        <sz val="10"/>
        <color rgb="FF000000"/>
        <rFont val="Noto Sans CJK SC"/>
        <family val="2"/>
      </rPr>
      <t xml:space="preserve">牌價</t>
    </r>
  </si>
  <si>
    <r>
      <rPr>
        <sz val="10"/>
        <color rgb="FF000000"/>
        <rFont val="Arial"/>
        <family val="0"/>
        <charset val="1"/>
      </rPr>
      <t xml:space="preserve">4-GPU </t>
    </r>
    <r>
      <rPr>
        <sz val="10"/>
        <color rgb="FF000000"/>
        <rFont val="Noto Sans CJK SC"/>
        <family val="2"/>
      </rPr>
      <t xml:space="preserve">執行個體 </t>
    </r>
    <r>
      <rPr>
        <sz val="10"/>
        <color rgb="FF000000"/>
        <rFont val="Arial"/>
        <family val="0"/>
        <charset val="1"/>
      </rPr>
      <t xml:space="preserve">$42/hr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$10.50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</si>
  <si>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t xml:space="preserve">新雲損益兩平租金</t>
  </si>
  <si>
    <r>
      <rPr>
        <sz val="10"/>
        <color rgb="FF000000"/>
        <rFont val="Arial"/>
        <family val="0"/>
        <charset val="1"/>
      </rPr>
      <t xml:space="preserve">85% </t>
    </r>
    <r>
      <rPr>
        <sz val="10"/>
        <color rgb="FF000000"/>
        <rFont val="Noto Sans CJK SC"/>
        <family val="2"/>
      </rPr>
      <t xml:space="preserve">利用率、</t>
    </r>
    <r>
      <rPr>
        <sz val="10"/>
        <color rgb="FF000000"/>
        <rFont val="Arial"/>
        <family val="0"/>
        <charset val="1"/>
      </rPr>
      <t xml:space="preserve">9.12% </t>
    </r>
    <r>
      <rPr>
        <sz val="10"/>
        <color rgb="FF000000"/>
        <rFont val="Noto Sans CJK SC"/>
        <family val="2"/>
      </rPr>
      <t xml:space="preserve">資金成本、</t>
    </r>
    <r>
      <rPr>
        <sz val="10"/>
        <color rgb="FF000000"/>
        <rFont val="Arial"/>
        <family val="0"/>
        <charset val="1"/>
      </rPr>
      <t xml:space="preserve">6 </t>
    </r>
    <r>
      <rPr>
        <sz val="10"/>
        <color rgb="FF000000"/>
        <rFont val="Noto Sans CJK SC"/>
        <family val="2"/>
      </rPr>
      <t xml:space="preserve">年：</t>
    </r>
    <r>
      <rPr>
        <sz val="10"/>
        <color rgb="FF000000"/>
        <rFont val="Arial"/>
        <family val="0"/>
        <charset val="1"/>
      </rPr>
      <t xml:space="preserve">$3.57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GPU-hr</t>
    </r>
  </si>
  <si>
    <r>
      <rPr>
        <sz val="10"/>
        <color rgb="FF000000"/>
        <rFont val="Arial"/>
        <family val="0"/>
        <charset val="1"/>
      </rPr>
      <t xml:space="preserve">InferenceX GB300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</si>
  <si>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vLLM</t>
    </r>
    <r>
      <rPr>
        <sz val="10"/>
        <color rgb="FF000000"/>
        <rFont val="Noto Sans CJK SC"/>
        <family val="2"/>
      </rPr>
      <t xml:space="preserve">、無 </t>
    </r>
    <r>
      <rPr>
        <sz val="10"/>
        <color rgb="FF000000"/>
        <rFont val="Arial"/>
        <family val="0"/>
        <charset val="1"/>
      </rPr>
      <t xml:space="preserve">MTP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2026-05-22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27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6,182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2,189 tok/s/GPU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峰值 </t>
    </r>
    <r>
      <rPr>
        <sz val="10"/>
        <color rgb="FF000000"/>
        <rFont val="Arial"/>
        <family val="0"/>
        <charset val="1"/>
      </rPr>
      <t xml:space="preserve">11,056@13.1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GB300 </t>
    </r>
    <r>
      <rPr>
        <sz val="10"/>
        <color rgb="FF000000"/>
        <rFont val="Noto Sans CJK SC"/>
        <family val="2"/>
      </rPr>
      <t xml:space="preserve">多 </t>
    </r>
    <r>
      <rPr>
        <sz val="10"/>
        <color rgb="FF000000"/>
        <rFont val="Arial"/>
        <family val="0"/>
        <charset val="1"/>
      </rPr>
      <t xml:space="preserve">50% HBM </t>
    </r>
    <r>
      <rPr>
        <sz val="10"/>
        <color rgb="FF000000"/>
        <rFont val="Noto Sans CJK SC"/>
        <family val="2"/>
      </rPr>
      <t xml:space="preserve">使配方更寬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</si>
  <si>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：平台受晶片商贊助、另售 </t>
    </r>
    <r>
      <rPr>
        <sz val="10"/>
        <color rgb="FF000000"/>
        <rFont val="Arial"/>
        <family val="0"/>
        <charset val="1"/>
      </rPr>
      <t xml:space="preserve">TCO </t>
    </r>
    <r>
      <rPr>
        <sz val="10"/>
        <color rgb="FF000000"/>
        <rFont val="Noto Sans CJK SC"/>
        <family val="2"/>
      </rPr>
      <t xml:space="preserve">模型）；單一來源須佐證</t>
    </r>
  </si>
  <si>
    <t xml:space="preserve">已核對原文（交接錨點即此，屬舊軟體）</t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</si>
  <si>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V4 on GB300</t>
    </r>
  </si>
  <si>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MTP 2026-06</t>
    </r>
    <r>
      <rPr>
        <sz val="10"/>
        <color rgb="FF000000"/>
        <rFont val="Noto Sans CJK SC"/>
        <family val="2"/>
      </rPr>
      <t xml:space="preserve">：約 </t>
    </r>
    <r>
      <rPr>
        <sz val="10"/>
        <color rgb="FF000000"/>
        <rFont val="Arial"/>
        <family val="0"/>
        <charset val="1"/>
      </rPr>
      <t xml:space="preserve">50 tok/s/user </t>
    </r>
    <r>
      <rPr>
        <sz val="10"/>
        <color rgb="FF000000"/>
        <rFont val="Noto Sans CJK SC"/>
        <family val="2"/>
      </rPr>
      <t xml:space="preserve">時約 </t>
    </r>
    <r>
      <rPr>
        <sz val="10"/>
        <color rgb="FF000000"/>
        <rFont val="Arial"/>
        <family val="0"/>
        <charset val="1"/>
      </rPr>
      <t xml:space="preserve">11,200 tok/s/GPU</t>
    </r>
    <r>
      <rPr>
        <sz val="10"/>
        <color rgb="FF000000"/>
        <rFont val="Noto Sans CJK SC"/>
        <family val="2"/>
      </rPr>
      <t xml:space="preserve">；草稿接受率 </t>
    </r>
    <r>
      <rPr>
        <sz val="10"/>
        <color rgb="FF000000"/>
        <rFont val="Arial"/>
        <family val="0"/>
        <charset val="1"/>
      </rPr>
      <t xml:space="preserve">0.57→0.70</t>
    </r>
    <r>
      <rPr>
        <sz val="10"/>
        <color rgb="FF000000"/>
        <rFont val="Noto Sans CJK SC"/>
        <family val="2"/>
      </rPr>
      <t xml:space="preserve">；配方 </t>
    </r>
    <r>
      <rPr>
        <sz val="10"/>
        <color rgb="FF000000"/>
        <rFont val="Arial"/>
        <family val="0"/>
        <charset val="1"/>
      </rPr>
      <t xml:space="preserve">10p1d dep4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dep32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</si>
  <si>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SGLang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作者）</t>
    </r>
  </si>
  <si>
    <t xml:space="preserve">已核對原文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</si>
  <si>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每美元比較（</t>
    </r>
    <r>
      <rPr>
        <sz val="10"/>
        <color rgb="FF000000"/>
        <rFont val="Arial"/>
        <family val="0"/>
        <charset val="1"/>
      </rPr>
      <t xml:space="preserve">B300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</si>
  <si>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72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9,384 tok/s/GPU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$0.078/M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130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3,474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$0.216/M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187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$1.436/M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</si>
  <si>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）；擬合所用，第二來源見 </t>
    </r>
    <r>
      <rPr>
        <sz val="10"/>
        <color rgb="FF000000"/>
        <rFont val="Arial"/>
        <family val="0"/>
        <charset val="1"/>
      </rPr>
      <t xml:space="preserve">S31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S32</t>
    </r>
  </si>
  <si>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2026-07</t>
    </r>
  </si>
  <si>
    <t xml:space="preserve">已核對搜尋摘錄；軟體與日期待確認</t>
  </si>
  <si>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比較（</t>
    </r>
    <r>
      <rPr>
        <sz val="10"/>
        <color rgb="FF000000"/>
        <rFont val="Arial"/>
        <family val="0"/>
        <charset val="1"/>
      </rPr>
      <t xml:space="preserve">GB200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V4-Pro 0813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</si>
  <si>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110 tok/s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GB200 3,795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GB300 6,522 tok/s/GPU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</si>
  <si>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SemiAnalysis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</si>
  <si>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口徑待查：頁面預設為 </t>
    </r>
    <r>
      <rPr>
        <sz val="10"/>
        <color rgb="FF000000"/>
        <rFont val="Arial"/>
        <family val="0"/>
        <charset val="1"/>
      </rPr>
      <t xml:space="preserve">agentic traces</t>
    </r>
  </si>
  <si>
    <r>
      <rPr>
        <sz val="10"/>
        <color rgb="FF000000"/>
        <rFont val="Arial"/>
        <family val="0"/>
        <charset val="1"/>
      </rPr>
      <t xml:space="preserve">InferenceX H200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V4-Pro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FP8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</si>
  <si>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75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4,036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100 tok/s </t>
    </r>
    <r>
      <rPr>
        <sz val="10"/>
        <color rgb="FF000000"/>
        <rFont val="Noto Sans CJK SC"/>
        <family val="2"/>
      </rPr>
      <t xml:space="preserve">時 </t>
    </r>
    <r>
      <rPr>
        <sz val="10"/>
        <color rgb="FF000000"/>
        <rFont val="Arial"/>
        <family val="0"/>
        <charset val="1"/>
      </rPr>
      <t xml:space="preserve">3,102 tok/s/GPU</t>
    </r>
  </si>
  <si>
    <t xml:space="preserve">口徑待查；未入驗證</t>
  </si>
  <si>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多代理研究系統</t>
    </r>
  </si>
  <si>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 </t>
    </r>
    <r>
      <rPr>
        <sz val="10"/>
        <color rgb="FF000000"/>
        <rFont val="Noto Sans CJK SC"/>
        <family val="2"/>
      </rPr>
      <t xml:space="preserve">倍、多代理約 </t>
    </r>
    <r>
      <rPr>
        <sz val="10"/>
        <color rgb="FF000000"/>
        <rFont val="Arial"/>
        <family val="0"/>
        <charset val="1"/>
      </rPr>
      <t xml:space="preserve">15 </t>
    </r>
    <r>
      <rPr>
        <sz val="10"/>
        <color rgb="FF000000"/>
        <rFont val="Noto Sans CJK SC"/>
        <family val="2"/>
      </rPr>
      <t xml:space="preserve">倍聊天 </t>
    </r>
    <r>
      <rPr>
        <sz val="10"/>
        <color rgb="FF000000"/>
        <rFont val="Arial"/>
        <family val="0"/>
        <charset val="1"/>
      </rPr>
      <t xml:space="preserve">token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</si>
  <si>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</t>
    </r>
    <r>
      <rPr>
        <sz val="10"/>
        <color rgb="FF000000"/>
        <rFont val="Noto Sans CJK SC"/>
        <family val="2"/>
      </rPr>
      <t xml:space="preserve">）</t>
    </r>
  </si>
  <si>
    <t xml:space="preserve">已核對二手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</si>
  <si>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輸出速度</t>
    </r>
  </si>
  <si>
    <r>
      <rPr>
        <sz val="10"/>
        <color rgb="FF000000"/>
        <rFont val="Arial"/>
        <family val="0"/>
        <charset val="1"/>
      </rPr>
      <t xml:space="preserve">GPT-5.6 Luna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120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68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52–56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Gemini 3.8 Flash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290–350 tok/s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</si>
  <si>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（反映供應商自身服務選擇）</t>
    </r>
  </si>
  <si>
    <t xml:space="preserve">已核對</t>
  </si>
  <si>
    <r>
      <rPr>
        <sz val="10"/>
        <color rgb="FF000000"/>
        <rFont val="Arial"/>
        <family val="0"/>
        <charset val="1"/>
      </rPr>
      <t xml:space="preserve">DeepSeek V4 </t>
    </r>
    <r>
      <rPr>
        <sz val="10"/>
        <color rgb="FF000000"/>
        <rFont val="Noto Sans CJK SC"/>
        <family val="2"/>
      </rPr>
      <t xml:space="preserve">模型卡與 </t>
    </r>
    <r>
      <rPr>
        <sz val="10"/>
        <color rgb="FF000000"/>
        <rFont val="Arial"/>
        <family val="0"/>
        <charset val="1"/>
      </rPr>
      <t xml:space="preserve">v4 </t>
    </r>
    <r>
      <rPr>
        <sz val="10"/>
        <color rgb="FF000000"/>
        <rFont val="Noto Sans CJK SC"/>
        <family val="2"/>
      </rPr>
      <t xml:space="preserve">架構預設表</t>
    </r>
  </si>
  <si>
    <r>
      <rPr>
        <sz val="10"/>
        <color rgb="FF000000"/>
        <rFont val="Arial"/>
        <family val="0"/>
        <charset val="1"/>
      </rPr>
      <t xml:space="preserve">V4-Pro 1.6T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49B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61 </t>
    </r>
    <r>
      <rPr>
        <sz val="10"/>
        <color rgb="FF000000"/>
        <rFont val="Noto Sans CJK SC"/>
        <family val="2"/>
      </rPr>
      <t xml:space="preserve">層、</t>
    </r>
    <r>
      <rPr>
        <sz val="10"/>
        <color rgb="FF000000"/>
        <rFont val="Arial"/>
        <family val="0"/>
        <charset val="1"/>
      </rPr>
      <t xml:space="preserve">d 7168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V4-Flash 284B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13B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</si>
  <si>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config.json </t>
    </r>
    <r>
      <rPr>
        <sz val="10"/>
        <color rgb="FF000000"/>
        <rFont val="Noto Sans CJK SC"/>
        <family val="2"/>
      </rPr>
      <t xml:space="preserve">核對</t>
    </r>
  </si>
  <si>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規格</t>
    </r>
  </si>
  <si>
    <r>
      <rPr>
        <sz val="10"/>
        <color rgb="FF000000"/>
        <rFont val="Arial"/>
        <family val="0"/>
        <charset val="1"/>
      </rPr>
      <t xml:space="preserve">H100 FP8 989 TF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80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3.35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GB200 FP4 10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186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8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B300 15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Rubin 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35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288 GB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22 TB/s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RU NVL576 15 EF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HBM4e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</si>
  <si>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</si>
  <si>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t xml:space="preserve">待以規格表核對</t>
  </si>
  <si>
    <t xml:space="preserve">能量常數</t>
  </si>
  <si>
    <r>
      <rPr>
        <sz val="10"/>
        <color rgb="FF000000"/>
        <rFont val="Arial"/>
        <family val="0"/>
        <charset val="1"/>
      </rPr>
      <t xml:space="preserve">HBM3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3.9 pJ/bit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HBM3e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HBM4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2.5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SerDes 1–2 pJ/bit</t>
    </r>
  </si>
  <si>
    <r>
      <rPr>
        <sz val="10"/>
        <color rgb="FF000000"/>
        <rFont val="Arial"/>
        <family val="0"/>
        <charset val="1"/>
      </rPr>
      <t xml:space="preserve">MLPerf Inference v6.0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DeepSeek-R1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</si>
  <si>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GB300 NVL72 interactive 250,634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GB200 NVL72 240,318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GB300 server 8,064 tok/s/GPU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</si>
  <si>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稽核）／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提交並挑選配置）</t>
    </r>
  </si>
  <si>
    <r>
      <rPr>
        <sz val="10"/>
        <color rgb="FF000000"/>
        <rFont val="Arial"/>
        <family val="0"/>
        <charset val="1"/>
      </rPr>
      <t xml:space="preserve">MLPerf Inference v6.1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首次提交）</t>
    </r>
  </si>
  <si>
    <r>
      <rPr>
        <sz val="10"/>
        <color rgb="FF000000"/>
        <rFont val="Arial"/>
        <family val="0"/>
        <charset val="1"/>
      </rPr>
      <t xml:space="preserve">DeepSeek-R1 interactive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VR200 NVL72 652,750 </t>
    </r>
    <r>
      <rPr>
        <sz val="10"/>
        <color rgb="FF000000"/>
        <rFont val="Noto Sans CJK SC"/>
        <family val="2"/>
      </rPr>
      <t xml:space="preserve">對 </t>
    </r>
    <r>
      <rPr>
        <sz val="10"/>
        <color rgb="FF000000"/>
        <rFont val="Arial"/>
        <family val="0"/>
        <charset val="1"/>
      </rPr>
      <t xml:space="preserve">GB300 NVL72 253,506 tok/s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2.58 </t>
    </r>
    <r>
      <rPr>
        <sz val="10"/>
        <color rgb="FF000000"/>
        <rFont val="Noto Sans CJK SC"/>
        <family val="2"/>
      </rPr>
      <t xml:space="preserve">倍）；</t>
    </r>
    <r>
      <rPr>
        <sz val="10"/>
        <color rgb="FF000000"/>
        <rFont val="Arial"/>
        <family val="0"/>
        <charset val="1"/>
      </rPr>
      <t xml:space="preserve">VR </t>
    </r>
    <r>
      <rPr>
        <sz val="10"/>
        <color rgb="FF000000"/>
        <rFont val="Noto Sans CJK SC"/>
        <family val="2"/>
      </rPr>
      <t xml:space="preserve">為預覽類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</si>
  <si>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MLCommons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對照表）</t>
    </r>
  </si>
  <si>
    <r>
      <rPr>
        <sz val="10"/>
        <color rgb="FF000000"/>
        <rFont val="Arial"/>
        <family val="0"/>
        <charset val="1"/>
      </rPr>
      <t xml:space="preserve">shattered.io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 </t>
    </r>
    <r>
      <rPr>
        <sz val="10"/>
        <color rgb="FF000000"/>
        <rFont val="Noto Sans CJK SC"/>
        <family val="2"/>
      </rPr>
      <t xml:space="preserve">對照表</t>
    </r>
  </si>
  <si>
    <r>
      <rPr>
        <sz val="10"/>
        <color rgb="FF000000"/>
        <rFont val="Noto Sans CJK SC"/>
        <family val="2"/>
      </rPr>
      <t xml:space="preserve">待以 </t>
    </r>
    <r>
      <rPr>
        <sz val="10"/>
        <color rgb="FF000000"/>
        <rFont val="Arial"/>
        <family val="0"/>
        <charset val="1"/>
      </rPr>
      <t xml:space="preserve">MLCommons </t>
    </r>
    <r>
      <rPr>
        <sz val="10"/>
        <color rgb="FF000000"/>
        <rFont val="Noto Sans CJK SC"/>
        <family val="2"/>
      </rPr>
      <t xml:space="preserve">原始結果核對</t>
    </r>
  </si>
  <si>
    <r>
      <rPr>
        <sz val="10"/>
        <color rgb="FF000000"/>
        <rFont val="Arial"/>
        <family val="0"/>
        <charset val="1"/>
      </rPr>
      <t xml:space="preserve">MLCommons DeepSeek-R1 </t>
    </r>
    <r>
      <rPr>
        <sz val="10"/>
        <color rgb="FF000000"/>
        <rFont val="Noto Sans CJK SC"/>
        <family val="2"/>
      </rPr>
      <t xml:space="preserve">基準規格</t>
    </r>
  </si>
  <si>
    <r>
      <rPr>
        <sz val="10"/>
        <color rgb="FF000000"/>
        <rFont val="Noto Sans CJK SC"/>
        <family val="2"/>
      </rPr>
      <t xml:space="preserve">平均 </t>
    </r>
    <r>
      <rPr>
        <sz val="10"/>
        <color rgb="FF000000"/>
        <rFont val="Arial"/>
        <family val="0"/>
        <charset val="1"/>
      </rPr>
      <t xml:space="preserve">ISL 800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OSL 3,880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server TTFT 2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80 ms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interactive TTFT 1.5 s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TPOT 15 ms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p99</t>
    </r>
    <r>
      <rPr>
        <sz val="10"/>
        <color rgb="FF000000"/>
        <rFont val="Noto Sans CJK SC"/>
        <family val="2"/>
      </rPr>
      <t xml:space="preserve">），允許 </t>
    </r>
    <r>
      <rPr>
        <sz val="10"/>
        <color rgb="FF000000"/>
        <rFont val="Arial"/>
        <family val="0"/>
        <charset val="1"/>
      </rPr>
      <t xml:space="preserve">3 </t>
    </r>
    <r>
      <rPr>
        <sz val="10"/>
        <color rgb="FF000000"/>
        <rFont val="Noto Sans CJK SC"/>
        <family val="2"/>
      </rPr>
      <t xml:space="preserve">步 </t>
    </r>
    <r>
      <rPr>
        <sz val="10"/>
        <color rgb="FF000000"/>
        <rFont val="Arial"/>
        <family val="0"/>
        <charset val="1"/>
      </rPr>
      <t xml:space="preserve">MTP</t>
    </r>
  </si>
  <si>
    <r>
      <rPr>
        <sz val="10"/>
        <color rgb="FF000000"/>
        <rFont val="Arial"/>
        <family val="0"/>
        <charset val="1"/>
      </rPr>
      <t xml:space="preserve">2025-09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2026-03</t>
    </r>
  </si>
  <si>
    <t xml:space="preserve">S34</t>
  </si>
  <si>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資料的選擇性使用</t>
    </r>
  </si>
  <si>
    <r>
      <rPr>
        <sz val="10"/>
        <color rgb="FF000000"/>
        <rFont val="Arial"/>
        <family val="0"/>
        <charset val="1"/>
      </rPr>
      <t xml:space="preserve">NVIDIA GTC 2026 </t>
    </r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InferenceX </t>
    </r>
    <r>
      <rPr>
        <sz val="10"/>
        <color rgb="FF000000"/>
        <rFont val="Noto Sans CJK SC"/>
        <family val="2"/>
      </rPr>
      <t xml:space="preserve">資料比較時選 </t>
    </r>
    <r>
      <rPr>
        <sz val="10"/>
        <color rgb="FF000000"/>
        <rFont val="Arial"/>
        <family val="0"/>
        <charset val="1"/>
      </rPr>
      <t xml:space="preserve">FP4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MTP=3 </t>
    </r>
    <r>
      <rPr>
        <sz val="10"/>
        <color rgb="FF000000"/>
        <rFont val="Noto Sans CJK SC"/>
        <family val="2"/>
      </rPr>
      <t xml:space="preserve">等有利設定；同條件下 </t>
    </r>
    <r>
      <rPr>
        <sz val="10"/>
        <color rgb="FF000000"/>
        <rFont val="Arial"/>
        <family val="0"/>
        <charset val="1"/>
      </rPr>
      <t xml:space="preserve">MI355X </t>
    </r>
    <r>
      <rPr>
        <sz val="10"/>
        <color rgb="FF000000"/>
        <rFont val="Noto Sans CJK SC"/>
        <family val="2"/>
      </rPr>
      <t xml:space="preserve">可能更便宜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</si>
  <si>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AMD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</si>
  <si>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amd.com </t>
    </r>
    <r>
      <rPr>
        <sz val="10"/>
        <color rgb="FF000000"/>
        <rFont val="Noto Sans CJK SC"/>
        <family val="2"/>
      </rPr>
      <t xml:space="preserve">技術文章</t>
    </r>
  </si>
  <si>
    <t xml:space="preserve">提醒：同一平台資料可因設定選擇而偏向</t>
  </si>
  <si>
    <r>
      <rPr>
        <sz val="10"/>
        <color rgb="FF000000"/>
        <rFont val="Arial"/>
        <family val="0"/>
        <charset val="1"/>
      </rPr>
      <t xml:space="preserve">DeepSeek-V4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2606.19348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</si>
  <si>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V4-Flash 32T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V4-Pro 33T token </t>
    </r>
    <r>
      <rPr>
        <sz val="10"/>
        <color rgb="FF000000"/>
        <rFont val="Noto Sans CJK SC"/>
        <family val="2"/>
      </rPr>
      <t xml:space="preserve">預訓練；</t>
    </r>
    <r>
      <rPr>
        <sz val="10"/>
        <color rgb="FF000000"/>
        <rFont val="Arial"/>
        <family val="0"/>
        <charset val="1"/>
      </rPr>
      <t xml:space="preserve">4K→16K dense </t>
    </r>
    <r>
      <rPr>
        <sz val="10"/>
        <color rgb="FF000000"/>
        <rFont val="Noto Sans CJK SC"/>
        <family val="2"/>
      </rPr>
      <t xml:space="preserve">注意力後切換稀疏；後訓練：專家 </t>
    </r>
    <r>
      <rPr>
        <sz val="10"/>
        <color rgb="FF000000"/>
        <rFont val="Arial"/>
        <family val="0"/>
        <charset val="1"/>
      </rPr>
      <t xml:space="preserve">SFT</t>
    </r>
    <r>
      <rPr>
        <sz val="10"/>
        <color rgb="FF000000"/>
        <rFont val="Noto Sans CJK SC"/>
        <family val="2"/>
      </rPr>
      <t xml:space="preserve">＋</t>
    </r>
    <r>
      <rPr>
        <sz val="10"/>
        <color rgb="FF000000"/>
        <rFont val="Arial"/>
        <family val="0"/>
        <charset val="1"/>
      </rPr>
      <t xml:space="preserve">GRPO</t>
    </r>
    <r>
      <rPr>
        <sz val="10"/>
        <color rgb="FF000000"/>
        <rFont val="Noto Sans CJK SC"/>
        <family val="2"/>
      </rPr>
      <t xml:space="preserve">，再以 </t>
    </r>
    <r>
      <rPr>
        <sz val="10"/>
        <color rgb="FF000000"/>
        <rFont val="Arial"/>
        <family val="0"/>
        <charset val="1"/>
      </rPr>
      <t xml:space="preserve">on-policy </t>
    </r>
    <r>
      <rPr>
        <sz val="10"/>
        <color rgb="FF000000"/>
        <rFont val="Noto Sans CJK SC"/>
        <family val="2"/>
      </rPr>
      <t xml:space="preserve">蒸餾整合；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計算＋</t>
    </r>
    <r>
      <rPr>
        <sz val="10"/>
        <color rgb="FF000000"/>
        <rFont val="Arial"/>
        <family val="0"/>
        <charset val="1"/>
      </rPr>
      <t xml:space="preserve">FP4 QAT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用原生 </t>
    </r>
    <r>
      <rPr>
        <sz val="10"/>
        <color rgb="FF000000"/>
        <rFont val="Arial"/>
        <family val="0"/>
        <charset val="1"/>
      </rPr>
      <t xml:space="preserve">FP4 </t>
    </r>
    <r>
      <rPr>
        <sz val="10"/>
        <color rgb="FF000000"/>
        <rFont val="Noto Sans CJK SC"/>
        <family val="2"/>
      </rPr>
      <t xml:space="preserve">權重；未揭露訓練算力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</si>
  <si>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）</t>
    </r>
  </si>
  <si>
    <t xml:space="preserve">已核對原文摘錄</t>
  </si>
  <si>
    <r>
      <rPr>
        <sz val="10"/>
        <color rgb="FF000000"/>
        <rFont val="Arial"/>
        <family val="0"/>
        <charset val="1"/>
      </rPr>
      <t xml:space="preserve">NVIDIA Vera Rubin NVL72 </t>
    </r>
    <r>
      <rPr>
        <sz val="10"/>
        <color rgb="FF000000"/>
        <rFont val="Noto Sans CJK SC"/>
        <family val="2"/>
      </rPr>
      <t xml:space="preserve">規格表</t>
    </r>
  </si>
  <si>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3,600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NVFP4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2,520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FP8/FP6 </t>
    </r>
    <r>
      <rPr>
        <sz val="10"/>
        <color rgb="FF000000"/>
        <rFont val="Noto Sans CJK SC"/>
        <family val="2"/>
      </rPr>
      <t xml:space="preserve">訓練 </t>
    </r>
    <r>
      <rPr>
        <sz val="10"/>
        <color rgb="FF000000"/>
        <rFont val="Arial"/>
        <family val="0"/>
        <charset val="1"/>
      </rPr>
      <t xml:space="preserve">1,260 PF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BF16 288 PF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72 GPU</t>
    </r>
    <r>
      <rPr>
        <sz val="10"/>
        <color rgb="FF000000"/>
        <rFont val="Noto Sans CJK SC"/>
        <family val="2"/>
      </rPr>
      <t xml:space="preserve">）</t>
    </r>
  </si>
  <si>
    <t xml:space="preserve">已核對兩處轉載</t>
  </si>
  <si>
    <r>
      <rPr>
        <sz val="10"/>
        <color rgb="FF000000"/>
        <rFont val="Arial"/>
        <family val="0"/>
        <charset val="1"/>
      </rPr>
      <t xml:space="preserve">Meta Llama 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</si>
  <si>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Arial"/>
        <family val="0"/>
        <charset val="1"/>
      </rPr>
      <t xml:space="preserve">405B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16K H100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BF16 MFU 38–43%</t>
    </r>
    <r>
      <rPr>
        <sz val="10"/>
        <color rgb="FF000000"/>
        <rFont val="Noto Sans CJK SC"/>
        <family val="2"/>
      </rPr>
      <t xml:space="preserve">；有效訓練時間 </t>
    </r>
    <r>
      <rPr>
        <sz val="10"/>
        <color rgb="FF000000"/>
        <rFont val="Arial"/>
        <family val="0"/>
        <charset val="1"/>
      </rPr>
      <t xml:space="preserve">&gt;90%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</si>
  <si>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</si>
  <si>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：最終訓練占研發算力少數</t>
    </r>
  </si>
  <si>
    <r>
      <rPr>
        <sz val="10"/>
        <color rgb="FF000000"/>
        <rFont val="Noto Sans CJK SC"/>
        <family val="2"/>
      </rPr>
      <t xml:space="preserve">最終訓練占研發支出：</t>
    </r>
    <r>
      <rPr>
        <sz val="10"/>
        <color rgb="FF000000"/>
        <rFont val="Arial"/>
        <family val="0"/>
        <charset val="1"/>
      </rPr>
      <t xml:space="preserve">OpenAI 9.6%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22.6%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Z.ai 12.3%</t>
    </r>
    <r>
      <rPr>
        <sz val="10"/>
        <color rgb="FF000000"/>
        <rFont val="Noto Sans CJK SC"/>
        <family val="2"/>
      </rPr>
      <t xml:space="preserve">；實驗利用率低於最終訓練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</si>
  <si>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推估；資料源為 </t>
    </r>
    <r>
      <rPr>
        <sz val="10"/>
        <color rgb="FF000000"/>
        <rFont val="Arial"/>
        <family val="0"/>
        <charset val="1"/>
      </rPr>
      <t xml:space="preserve">The Information </t>
    </r>
    <r>
      <rPr>
        <sz val="10"/>
        <color rgb="FF000000"/>
        <rFont val="Noto Sans CJK SC"/>
        <family val="2"/>
      </rPr>
      <t xml:space="preserve">等報導）</t>
    </r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</si>
  <si>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：超過 </t>
    </r>
    <r>
      <rPr>
        <sz val="10"/>
        <color rgb="FF000000"/>
        <rFont val="Arial"/>
        <family val="0"/>
        <charset val="1"/>
      </rPr>
      <t xml:space="preserve">1e25 FLOP </t>
    </r>
    <r>
      <rPr>
        <sz val="10"/>
        <color rgb="FF000000"/>
        <rFont val="Noto Sans CJK SC"/>
        <family val="2"/>
      </rPr>
      <t xml:space="preserve">的模型</t>
    </r>
  </si>
  <si>
    <r>
      <rPr>
        <sz val="10"/>
        <color rgb="FF000000"/>
        <rFont val="Arial"/>
        <family val="0"/>
        <charset val="1"/>
      </rPr>
      <t xml:space="preserve">Grok-3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4.6e26 FLOP</t>
    </r>
    <r>
      <rPr>
        <sz val="10"/>
        <color rgb="FF000000"/>
        <rFont val="Noto Sans CJK SC"/>
        <family val="2"/>
      </rPr>
      <t xml:space="preserve">；估計誤差 </t>
    </r>
    <r>
      <rPr>
        <sz val="10"/>
        <color rgb="FF000000"/>
        <rFont val="Arial"/>
        <family val="0"/>
        <charset val="1"/>
      </rPr>
      <t xml:space="preserve">2–5 </t>
    </r>
    <r>
      <rPr>
        <sz val="10"/>
        <color rgb="FF000000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</si>
  <si>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推估）</t>
    </r>
  </si>
  <si>
    <r>
      <rPr>
        <sz val="10"/>
        <color rgb="FF000000"/>
        <rFont val="Arial"/>
        <family val="0"/>
        <charset val="1"/>
      </rPr>
      <t xml:space="preserve">R1 RL </t>
    </r>
    <r>
      <rPr>
        <sz val="10"/>
        <color rgb="FF000000"/>
        <rFont val="Noto Sans CJK SC"/>
        <family val="2"/>
      </rPr>
      <t xml:space="preserve">算力（</t>
    </r>
    <r>
      <rPr>
        <sz val="10"/>
        <color rgb="FF000000"/>
        <rFont val="Arial"/>
        <family val="0"/>
        <charset val="1"/>
      </rPr>
      <t xml:space="preserve">Lambert</t>
    </r>
    <r>
      <rPr>
        <sz val="10"/>
        <color rgb="FF000000"/>
        <rFont val="Noto Sans CJK SC"/>
        <family val="2"/>
      </rPr>
      <t xml:space="preserve">《</t>
    </r>
    <r>
      <rPr>
        <sz val="10"/>
        <color rgb="FF000000"/>
        <rFont val="Arial"/>
        <family val="0"/>
        <charset val="1"/>
      </rPr>
      <t xml:space="preserve">RLHF</t>
    </r>
    <r>
      <rPr>
        <sz val="10"/>
        <color rgb="FF000000"/>
        <rFont val="Noto Sans CJK SC"/>
        <family val="2"/>
      </rPr>
      <t xml:space="preserve">》書）</t>
    </r>
  </si>
  <si>
    <r>
      <rPr>
        <sz val="10"/>
        <color rgb="FF000000"/>
        <rFont val="Arial"/>
        <family val="0"/>
        <charset val="1"/>
      </rPr>
      <t xml:space="preserve">R1 RL 147K H800 GPU </t>
    </r>
    <r>
      <rPr>
        <sz val="10"/>
        <color rgb="FF000000"/>
        <rFont val="Noto Sans CJK SC"/>
        <family val="2"/>
      </rPr>
      <t xml:space="preserve">小時，約 </t>
    </r>
    <r>
      <rPr>
        <sz val="10"/>
        <color rgb="FF000000"/>
        <rFont val="Arial"/>
        <family val="0"/>
        <charset val="1"/>
      </rPr>
      <t xml:space="preserve">V3 </t>
    </r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2.8M </t>
    </r>
    <r>
      <rPr>
        <sz val="10"/>
        <color rgb="FF000000"/>
        <rFont val="Noto Sans CJK SC"/>
        <family val="2"/>
      </rPr>
      <t xml:space="preserve">的 </t>
    </r>
    <r>
      <rPr>
        <sz val="10"/>
        <color rgb="FF000000"/>
        <rFont val="Arial"/>
        <family val="0"/>
        <charset val="1"/>
      </rPr>
      <t xml:space="preserve">5%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</si>
  <si>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DeepSeek</t>
    </r>
    <r>
      <rPr>
        <sz val="10"/>
        <color rgb="FF000000"/>
        <rFont val="Noto Sans CJK SC"/>
        <family val="2"/>
      </rPr>
      <t xml:space="preserve">，經轉述）</t>
    </r>
  </si>
  <si>
    <r>
      <rPr>
        <sz val="10"/>
        <color rgb="FF000000"/>
        <rFont val="Arial"/>
        <family val="0"/>
        <charset val="1"/>
      </rPr>
      <t xml:space="preserve">2025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2026</t>
    </r>
  </si>
  <si>
    <t xml:space="preserve">已核對轉述</t>
  </si>
  <si>
    <r>
      <rPr>
        <sz val="10"/>
        <color rgb="FF000000"/>
        <rFont val="Arial"/>
        <family val="0"/>
        <charset val="1"/>
      </rPr>
      <t xml:space="preserve">Epoch</t>
    </r>
    <r>
      <rPr>
        <sz val="10"/>
        <color rgb="FF000000"/>
        <rFont val="Noto Sans CJK SC"/>
        <family val="2"/>
      </rPr>
      <t xml:space="preserve">：推理模型能擴展多遠</t>
    </r>
  </si>
  <si>
    <r>
      <rPr>
        <sz val="10"/>
        <color rgb="FF000000"/>
        <rFont val="Arial"/>
        <family val="0"/>
        <charset val="1"/>
      </rPr>
      <t xml:space="preserve">Nemotron Ultra RL 14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H100 </t>
    </r>
    <r>
      <rPr>
        <sz val="10"/>
        <color rgb="FF000000"/>
        <rFont val="Noto Sans CJK SC"/>
        <family val="2"/>
      </rPr>
      <t xml:space="preserve">小時，不到預訓練 </t>
    </r>
    <r>
      <rPr>
        <sz val="10"/>
        <color rgb="FF000000"/>
        <rFont val="Arial"/>
        <family val="0"/>
        <charset val="1"/>
      </rPr>
      <t xml:space="preserve">1%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</si>
  <si>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Epoch </t>
    </r>
    <r>
      <rPr>
        <sz val="10"/>
        <color rgb="FF000000"/>
        <rFont val="Noto Sans CJK SC"/>
        <family val="2"/>
      </rPr>
      <t xml:space="preserve">轉述 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</si>
  <si>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xAI Grok 4 </t>
    </r>
    <r>
      <rPr>
        <sz val="10"/>
        <color rgb="FF000000"/>
        <rFont val="Noto Sans CJK SC"/>
        <family val="2"/>
      </rPr>
      <t xml:space="preserve">發表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</si>
  <si>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20 </t>
    </r>
    <r>
      <rPr>
        <sz val="10"/>
        <color rgb="FF000000"/>
        <rFont val="Noto Sans CJK SC"/>
        <family val="2"/>
      </rPr>
      <t xml:space="preserve">萬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叢集做預訓練規模的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算力為前次 </t>
    </r>
    <r>
      <rPr>
        <sz val="10"/>
        <color rgb="FF000000"/>
        <rFont val="Arial"/>
        <family val="0"/>
        <charset val="1"/>
      </rPr>
      <t xml:space="preserve">10 </t>
    </r>
    <r>
      <rPr>
        <sz val="10"/>
        <color rgb="FF000000"/>
        <rFont val="Noto Sans CJK SC"/>
        <family val="2"/>
      </rPr>
      <t xml:space="preserve">倍以上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</si>
  <si>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xAI</t>
    </r>
    <r>
      <rPr>
        <sz val="10"/>
        <color rgb="FF000000"/>
        <rFont val="Noto Sans CJK SC"/>
        <family val="2"/>
      </rPr>
      <t xml:space="preserve">，宣傳誘因）</t>
    </r>
  </si>
  <si>
    <t xml:space="preserve">已核對原文；口徑不明</t>
  </si>
  <si>
    <t xml:space="preserve">S43</t>
  </si>
  <si>
    <r>
      <rPr>
        <sz val="10"/>
        <color rgb="FF000000"/>
        <rFont val="Arial"/>
        <family val="0"/>
        <charset val="1"/>
      </rPr>
      <t xml:space="preserve">verl DeepSeek V4 RL </t>
    </r>
    <r>
      <rPr>
        <sz val="10"/>
        <color rgb="FF000000"/>
        <rFont val="Noto Sans CJK SC"/>
        <family val="2"/>
      </rPr>
      <t xml:space="preserve">配方（</t>
    </r>
    <r>
      <rPr>
        <sz val="10"/>
        <color rgb="FF000000"/>
        <rFont val="Arial"/>
        <family val="0"/>
        <charset val="1"/>
      </rPr>
      <t xml:space="preserve">PR #7895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</si>
  <si>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TE FP8 </t>
    </r>
    <r>
      <rPr>
        <sz val="10"/>
        <color rgb="FF000000"/>
        <rFont val="Noto Sans CJK SC"/>
        <family val="2"/>
      </rPr>
      <t xml:space="preserve">訓練＋</t>
    </r>
    <r>
      <rPr>
        <sz val="10"/>
        <color rgb="FF000000"/>
        <rFont val="Arial"/>
        <family val="0"/>
        <charset val="1"/>
      </rPr>
      <t xml:space="preserve">MXFP4 </t>
    </r>
    <r>
      <rPr>
        <sz val="10"/>
        <color rgb="FF000000"/>
        <rFont val="Noto Sans CJK SC"/>
        <family val="2"/>
      </rPr>
      <t xml:space="preserve">專家 </t>
    </r>
    <r>
      <rPr>
        <sz val="10"/>
        <color rgb="FF000000"/>
        <rFont val="Arial"/>
        <family val="0"/>
        <charset val="1"/>
      </rPr>
      <t xml:space="preserve">QAT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vLLM rollout FP8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KV FP8</t>
    </r>
  </si>
  <si>
    <r>
      <rPr>
        <sz val="10"/>
        <color rgb="FF000000"/>
        <rFont val="Arial"/>
        <family val="0"/>
        <charset val="1"/>
      </rPr>
      <t xml:space="preserve">Verified</t>
    </r>
    <r>
      <rPr>
        <sz val="10"/>
        <color rgb="FF000000"/>
        <rFont val="Noto Sans CJK SC"/>
        <family val="2"/>
      </rPr>
      <t xml:space="preserve">（開源程式碼）</t>
    </r>
  </si>
  <si>
    <t xml:space="preserve">github.com/verl-project/verl/pull/7895</t>
  </si>
  <si>
    <r>
      <rPr>
        <sz val="10"/>
        <color rgb="FF000000"/>
        <rFont val="Noto Sans CJK SC"/>
        <family val="2"/>
      </rPr>
      <t xml:space="preserve">已核對；</t>
    </r>
    <r>
      <rPr>
        <sz val="10"/>
        <color rgb="FF000000"/>
        <rFont val="Arial"/>
        <family val="0"/>
        <charset val="1"/>
      </rPr>
      <t xml:space="preserve">J12 </t>
    </r>
    <r>
      <rPr>
        <sz val="10"/>
        <color rgb="FF000000"/>
        <rFont val="Noto Sans CJK SC"/>
        <family val="2"/>
      </rPr>
      <t xml:space="preserve">替代情境依據</t>
    </r>
  </si>
  <si>
    <r>
      <rPr>
        <sz val="10"/>
        <color rgb="FF000000"/>
        <rFont val="Arial"/>
        <family val="0"/>
        <charset val="1"/>
      </rPr>
      <t xml:space="preserve">DeepSeek-V3 </t>
    </r>
    <r>
      <rPr>
        <sz val="10"/>
        <color rgb="FF000000"/>
        <rFont val="Noto Sans CJK SC"/>
        <family val="2"/>
      </rPr>
      <t xml:space="preserve">技術報告</t>
    </r>
  </si>
  <si>
    <r>
      <rPr>
        <sz val="10"/>
        <color rgb="FF000000"/>
        <rFont val="Noto Sans CJK SC"/>
        <family val="2"/>
      </rPr>
      <t xml:space="preserve">預訓練 </t>
    </r>
    <r>
      <rPr>
        <sz val="10"/>
        <color rgb="FF000000"/>
        <rFont val="Arial"/>
        <family val="0"/>
        <charset val="1"/>
      </rPr>
      <t xml:space="preserve">14.8T token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2.664M H800 GPU </t>
    </r>
    <r>
      <rPr>
        <sz val="10"/>
        <color rgb="FF000000"/>
        <rFont val="Noto Sans CJK SC"/>
        <family val="2"/>
      </rPr>
      <t xml:space="preserve">小時（全部 </t>
    </r>
    <r>
      <rPr>
        <sz val="10"/>
        <color rgb="FF000000"/>
        <rFont val="Arial"/>
        <family val="0"/>
        <charset val="1"/>
      </rPr>
      <t xml:space="preserve">2.788M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FP8 </t>
    </r>
    <r>
      <rPr>
        <sz val="10"/>
        <color rgb="FF000000"/>
        <rFont val="Noto Sans CJK SC"/>
        <family val="2"/>
      </rPr>
      <t xml:space="preserve">混合精度訓練；序列長 </t>
    </r>
    <r>
      <rPr>
        <sz val="10"/>
        <color rgb="FF000000"/>
        <rFont val="Arial"/>
        <family val="0"/>
        <charset val="1"/>
      </rPr>
      <t xml:space="preserve">4K</t>
    </r>
  </si>
  <si>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小時為模型內建知識，待以原文核對</t>
    </r>
  </si>
  <si>
    <r>
      <rPr>
        <sz val="10"/>
        <color rgb="FF000000"/>
        <rFont val="Arial"/>
        <family val="0"/>
        <charset val="1"/>
      </rPr>
      <t xml:space="preserve">DeepSeek-V4.1-Flash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2609.19969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</si>
  <si>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合成任務以大規模非同步 </t>
    </r>
    <r>
      <rPr>
        <sz val="10"/>
        <color rgb="FF000000"/>
        <rFont val="Arial"/>
        <family val="0"/>
        <charset val="1"/>
      </rPr>
      <t xml:space="preserve">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在 </t>
    </r>
    <r>
      <rPr>
        <sz val="10"/>
        <color rgb="FF000000"/>
        <rFont val="Arial"/>
        <family val="0"/>
        <charset val="1"/>
      </rPr>
      <t xml:space="preserve">DSec </t>
    </r>
    <r>
      <rPr>
        <sz val="10"/>
        <color rgb="FF000000"/>
        <rFont val="Noto Sans CJK SC"/>
        <family val="2"/>
      </rPr>
      <t xml:space="preserve">沙箱、與可搶占訓練池分離；非同步已用於幾乎全部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OPD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與訓練共置分時</t>
    </r>
  </si>
  <si>
    <r>
      <rPr>
        <sz val="10"/>
        <color rgb="FF000000"/>
        <rFont val="Arial"/>
        <family val="0"/>
        <charset val="1"/>
      </rPr>
      <t xml:space="preserve">GLM-5 </t>
    </r>
    <r>
      <rPr>
        <sz val="10"/>
        <color rgb="FF000000"/>
        <rFont val="Noto Sans CJK SC"/>
        <family val="2"/>
      </rPr>
      <t xml:space="preserve">技術報告（</t>
    </r>
    <r>
      <rPr>
        <sz val="10"/>
        <color rgb="FF000000"/>
        <rFont val="Arial"/>
        <family val="0"/>
        <charset val="1"/>
      </rPr>
      <t xml:space="preserve">arXiv 2602.15763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</si>
  <si>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以 </t>
    </r>
    <r>
      <rPr>
        <sz val="10"/>
        <color rgb="FF000000"/>
        <rFont val="Arial"/>
        <family val="0"/>
        <charset val="1"/>
      </rPr>
      <t xml:space="preserve">slime </t>
    </r>
    <r>
      <rPr>
        <sz val="10"/>
        <color rgb="FF000000"/>
        <rFont val="Noto Sans CJK SC"/>
        <family val="2"/>
      </rPr>
      <t xml:space="preserve">框架建新非同步 </t>
    </r>
    <r>
      <rPr>
        <sz val="10"/>
        <color rgb="FF000000"/>
        <rFont val="Arial"/>
        <family val="0"/>
        <charset val="1"/>
      </rPr>
      <t xml:space="preserve">RL </t>
    </r>
    <r>
      <rPr>
        <sz val="10"/>
        <color rgb="FF000000"/>
        <rFont val="Noto Sans CJK SC"/>
        <family val="2"/>
      </rPr>
      <t xml:space="preserve">基礎設施，進一步解耦生成與訓練；非同步 </t>
    </r>
    <r>
      <rPr>
        <sz val="10"/>
        <color rgb="FF000000"/>
        <rFont val="Arial"/>
        <family val="0"/>
        <charset val="1"/>
      </rPr>
      <t xml:space="preserve">Agent RL </t>
    </r>
    <r>
      <rPr>
        <sz val="10"/>
        <color rgb="FF000000"/>
        <rFont val="Noto Sans CJK SC"/>
        <family val="2"/>
      </rPr>
      <t xml:space="preserve">演算法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</si>
  <si>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Zhipu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</si>
  <si>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Kimi-Researcher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</si>
  <si>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完全非同步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＋回合層級部分 </t>
    </r>
    <r>
      <rPr>
        <sz val="10"/>
        <color rgb="FF000000"/>
        <rFont val="Arial"/>
        <family val="0"/>
        <charset val="1"/>
      </rPr>
      <t xml:space="preserve">rollout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rollout </t>
    </r>
    <r>
      <rPr>
        <sz val="10"/>
        <color rgb="FF000000"/>
        <rFont val="Noto Sans CJK SC"/>
        <family val="2"/>
      </rPr>
      <t xml:space="preserve">至少加速 </t>
    </r>
    <r>
      <rPr>
        <sz val="10"/>
        <color rgb="FF000000"/>
        <rFont val="Arial"/>
        <family val="0"/>
        <charset val="1"/>
      </rPr>
      <t xml:space="preserve">1.5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K1.5 </t>
    </r>
    <r>
      <rPr>
        <sz val="10"/>
        <color rgb="FF000000"/>
        <rFont val="Noto Sans CJK SC"/>
        <family val="2"/>
      </rPr>
      <t xml:space="preserve">為迭代同步＋部分 </t>
    </r>
    <r>
      <rPr>
        <sz val="10"/>
        <color rgb="FF000000"/>
        <rFont val="Arial"/>
        <family val="0"/>
        <charset val="1"/>
      </rPr>
      <t xml:space="preserve">rollout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</si>
  <si>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</si>
  <si>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LlamaRL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Meta</t>
    </r>
    <r>
      <rPr>
        <sz val="10"/>
        <color rgb="FF000000"/>
        <rFont val="Noto Sans CJK SC"/>
        <family val="2"/>
      </rPr>
      <t xml:space="preserve">，</t>
    </r>
    <r>
      <rPr>
        <sz val="10"/>
        <color rgb="FF000000"/>
        <rFont val="Arial"/>
        <family val="0"/>
        <charset val="1"/>
      </rPr>
      <t xml:space="preserve">arXiv 2505.24034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</si>
  <si>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Llama 3 </t>
    </r>
    <r>
      <rPr>
        <sz val="10"/>
        <color rgb="FF000000"/>
        <rFont val="Noto Sans CJK SC"/>
        <family val="2"/>
      </rPr>
      <t xml:space="preserve">後訓練使用非同步 </t>
    </r>
    <r>
      <rPr>
        <sz val="10"/>
        <color rgb="FF000000"/>
        <rFont val="Arial"/>
        <family val="0"/>
        <charset val="1"/>
      </rPr>
      <t xml:space="preserve">off-policy RL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405B </t>
    </r>
    <r>
      <rPr>
        <sz val="10"/>
        <color rgb="FF000000"/>
        <rFont val="Noto Sans CJK SC"/>
        <family val="2"/>
      </rPr>
      <t xml:space="preserve">相對 </t>
    </r>
    <r>
      <rPr>
        <sz val="10"/>
        <color rgb="FF000000"/>
        <rFont val="Arial"/>
        <family val="0"/>
        <charset val="1"/>
      </rPr>
      <t xml:space="preserve">DeepSpeed-Chat </t>
    </r>
    <r>
      <rPr>
        <sz val="10"/>
        <color rgb="FF000000"/>
        <rFont val="Noto Sans CJK SC"/>
        <family val="2"/>
      </rPr>
      <t xml:space="preserve">類系統最高 </t>
    </r>
    <r>
      <rPr>
        <sz val="10"/>
        <color rgb="FF000000"/>
        <rFont val="Arial"/>
        <family val="0"/>
        <charset val="1"/>
      </rPr>
      <t xml:space="preserve">10.7 </t>
    </r>
    <r>
      <rPr>
        <sz val="10"/>
        <color rgb="FF000000"/>
        <rFont val="Noto Sans CJK SC"/>
        <family val="2"/>
      </rPr>
      <t xml:space="preserve">倍（基準線較弱）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</si>
  <si>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（阿里淘天）、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（螞蟻）框架</t>
    </r>
  </si>
  <si>
    <r>
      <rPr>
        <sz val="10"/>
        <color rgb="FF000000"/>
        <rFont val="Arial"/>
        <family val="0"/>
        <charset val="1"/>
      </rPr>
      <t xml:space="preserve">ROLL Flash</t>
    </r>
    <r>
      <rPr>
        <sz val="10"/>
        <color rgb="FF000000"/>
        <rFont val="Noto Sans CJK SC"/>
        <family val="2"/>
      </rPr>
      <t xml:space="preserve">：同 </t>
    </r>
    <r>
      <rPr>
        <sz val="10"/>
        <color rgb="FF000000"/>
        <rFont val="Arial"/>
        <family val="0"/>
        <charset val="1"/>
      </rPr>
      <t xml:space="preserve">GPU </t>
    </r>
    <r>
      <rPr>
        <sz val="10"/>
        <color rgb="FF000000"/>
        <rFont val="Noto Sans CJK SC"/>
        <family val="2"/>
      </rPr>
      <t xml:space="preserve">預算下 </t>
    </r>
    <r>
      <rPr>
        <sz val="10"/>
        <color rgb="FF000000"/>
        <rFont val="Arial"/>
        <family val="0"/>
        <charset val="1"/>
      </rPr>
      <t xml:space="preserve">RLVR 2.24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agentic 2.72 </t>
    </r>
    <r>
      <rPr>
        <sz val="10"/>
        <color rgb="FF000000"/>
        <rFont val="Noto Sans CJK SC"/>
        <family val="2"/>
      </rPr>
      <t xml:space="preserve">倍；</t>
    </r>
    <r>
      <rPr>
        <sz val="10"/>
        <color rgb="FF000000"/>
        <rFont val="Arial"/>
        <family val="0"/>
        <charset val="1"/>
      </rPr>
      <t xml:space="preserve">AReaL</t>
    </r>
    <r>
      <rPr>
        <sz val="10"/>
        <color rgb="FF000000"/>
        <rFont val="Noto Sans CJK SC"/>
        <family val="2"/>
      </rPr>
      <t xml:space="preserve">：同步約慢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倍。僅框架，未證實用於 </t>
    </r>
    <r>
      <rPr>
        <sz val="10"/>
        <color rgb="FF000000"/>
        <rFont val="Arial"/>
        <family val="0"/>
        <charset val="1"/>
      </rPr>
      <t xml:space="preserve">Qwen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Ling </t>
    </r>
    <r>
      <rPr>
        <sz val="10"/>
        <color rgb="FF000000"/>
        <rFont val="Noto Sans CJK SC"/>
        <family val="2"/>
      </rPr>
      <t xml:space="preserve">旗艦模型</t>
    </r>
  </si>
  <si>
    <r>
      <rPr>
        <sz val="10"/>
        <color rgb="FF000000"/>
        <rFont val="Arial"/>
        <family val="0"/>
        <charset val="1"/>
      </rPr>
      <t xml:space="preserve">Analogy</t>
    </r>
    <r>
      <rPr>
        <sz val="10"/>
        <color rgb="FF000000"/>
        <rFont val="Noto Sans CJK SC"/>
        <family val="2"/>
      </rPr>
      <t xml:space="preserve">（框架基準測試）</t>
    </r>
  </si>
  <si>
    <t xml:space="preserve">2025–2026</t>
  </si>
  <si>
    <r>
      <rPr>
        <sz val="10"/>
        <color rgb="FF000000"/>
        <rFont val="Noto Sans CJK SC"/>
        <family val="2"/>
      </rPr>
      <t xml:space="preserve">已核對；不計入 </t>
    </r>
    <r>
      <rPr>
        <sz val="10"/>
        <color rgb="FF000000"/>
        <rFont val="Arial"/>
        <family val="0"/>
        <charset val="1"/>
      </rPr>
      <t xml:space="preserve">J14 </t>
    </r>
    <r>
      <rPr>
        <sz val="10"/>
        <color rgb="FF000000"/>
        <rFont val="Noto Sans CJK SC"/>
        <family val="2"/>
      </rPr>
      <t xml:space="preserve">採用數</t>
    </r>
  </si>
  <si>
    <r>
      <rPr>
        <sz val="10"/>
        <color rgb="FF000000"/>
        <rFont val="Arial"/>
        <family val="0"/>
        <charset val="1"/>
      </rPr>
      <t xml:space="preserve">DeepSeek </t>
    </r>
    <r>
      <rPr>
        <sz val="10"/>
        <color rgb="FF000000"/>
        <rFont val="Noto Sans CJK SC"/>
        <family val="2"/>
      </rPr>
      <t xml:space="preserve">推論系統公開統計（</t>
    </r>
    <r>
      <rPr>
        <sz val="10"/>
        <color rgb="FF000000"/>
        <rFont val="Arial"/>
        <family val="0"/>
        <charset val="1"/>
      </rPr>
      <t xml:space="preserve">H800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</si>
  <si>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V3/R1 </t>
    </r>
    <r>
      <rPr>
        <sz val="10"/>
        <color rgb="FF000000"/>
        <rFont val="Noto Sans CJK SC"/>
        <family val="2"/>
      </rPr>
      <t xml:space="preserve">線上：</t>
    </r>
    <r>
      <rPr>
        <sz val="10"/>
        <color rgb="FF000000"/>
        <rFont val="Arial"/>
        <family val="0"/>
        <charset val="1"/>
      </rPr>
      <t xml:space="preserve">prefill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decode </t>
    </r>
    <r>
      <rPr>
        <sz val="10"/>
        <color rgb="FF000000"/>
        <rFont val="Noto Sans CJK SC"/>
        <family val="2"/>
      </rPr>
      <t xml:space="preserve">節點吞吐、每用戶約 </t>
    </r>
    <r>
      <rPr>
        <sz val="10"/>
        <color rgb="FF000000"/>
        <rFont val="Arial"/>
        <family val="0"/>
        <charset val="1"/>
      </rPr>
      <t xml:space="preserve">20 tok/s</t>
    </r>
    <r>
      <rPr>
        <sz val="10"/>
        <color rgb="FF000000"/>
        <rFont val="Noto Sans CJK SC"/>
        <family val="2"/>
      </rPr>
      <t xml:space="preserve">；本模型用於 </t>
    </r>
    <r>
      <rPr>
        <sz val="10"/>
        <color rgb="FF000000"/>
        <rFont val="Arial"/>
        <family val="0"/>
        <charset val="1"/>
      </rPr>
      <t xml:space="preserve">η_p </t>
    </r>
    <r>
      <rPr>
        <sz val="10"/>
        <color rgb="FF000000"/>
        <rFont val="Noto Sans CJK SC"/>
        <family val="2"/>
      </rPr>
      <t xml:space="preserve">與 </t>
    </r>
    <r>
      <rPr>
        <sz val="10"/>
        <color rgb="FF000000"/>
        <rFont val="Arial"/>
        <family val="0"/>
        <charset val="1"/>
      </rPr>
      <t xml:space="preserve">Hopper η_d </t>
    </r>
    <r>
      <rPr>
        <sz val="10"/>
        <color rgb="FF000000"/>
        <rFont val="Noto Sans CJK SC"/>
        <family val="2"/>
      </rPr>
      <t xml:space="preserve">倍數</t>
    </r>
  </si>
  <si>
    <r>
      <rPr>
        <sz val="10"/>
        <color rgb="FF000000"/>
        <rFont val="Arial"/>
        <family val="0"/>
        <charset val="1"/>
      </rPr>
      <t xml:space="preserve">OpenAI API </t>
    </r>
    <r>
      <rPr>
        <sz val="10"/>
        <color rgb="FF000000"/>
        <rFont val="Noto Sans CJK SC"/>
        <family val="2"/>
      </rPr>
      <t xml:space="preserve">定價頁（</t>
    </r>
    <r>
      <rPr>
        <sz val="10"/>
        <color rgb="FF000000"/>
        <rFont val="Arial"/>
        <family val="0"/>
        <charset val="1"/>
      </rPr>
      <t xml:space="preserve">GPT-6 Astra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Luna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</si>
  <si>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Standard</t>
    </r>
    <r>
      <rPr>
        <sz val="10"/>
        <color rgb="FF000000"/>
        <rFont val="Noto Sans CJK SC"/>
        <family val="2"/>
      </rPr>
      <t xml:space="preserve">：</t>
    </r>
    <r>
      <rPr>
        <sz val="10"/>
        <color rgb="FF000000"/>
        <rFont val="Arial"/>
        <family val="0"/>
        <charset val="1"/>
      </rPr>
      <t xml:space="preserve">Astra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Sol 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Luna $0.1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（輸入／快取／輸出）；推理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</si>
  <si>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Anthropic API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</si>
  <si>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Fable 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5.1 $10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5 $5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Opus 5.5 $4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$20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2026-09-22</t>
    </r>
    <r>
      <rPr>
        <sz val="10"/>
        <color rgb="FF000000"/>
        <rFont val="Noto Sans CJK SC"/>
        <family val="2"/>
      </rPr>
      <t xml:space="preserve">）；快取寫入 </t>
    </r>
    <r>
      <rPr>
        <sz val="10"/>
        <color rgb="FF000000"/>
        <rFont val="Arial"/>
        <family val="0"/>
        <charset val="1"/>
      </rPr>
      <t xml:space="preserve">5 </t>
    </r>
    <r>
      <rPr>
        <sz val="10"/>
        <color rgb="FF000000"/>
        <rFont val="Noto Sans CJK SC"/>
        <family val="2"/>
      </rPr>
      <t xml:space="preserve">分鐘 </t>
    </r>
    <r>
      <rPr>
        <sz val="10"/>
        <color rgb="FF000000"/>
        <rFont val="Arial"/>
        <family val="0"/>
        <charset val="1"/>
      </rPr>
      <t xml:space="preserve">1.25 </t>
    </r>
    <r>
      <rPr>
        <sz val="10"/>
        <color rgb="FF000000"/>
        <rFont val="Noto Sans CJK SC"/>
        <family val="2"/>
      </rPr>
      <t xml:space="preserve">倍、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小時 </t>
    </r>
    <r>
      <rPr>
        <sz val="10"/>
        <color rgb="FF000000"/>
        <rFont val="Arial"/>
        <family val="0"/>
        <charset val="1"/>
      </rPr>
      <t xml:space="preserve">2 </t>
    </r>
    <r>
      <rPr>
        <sz val="10"/>
        <color rgb="FF000000"/>
        <rFont val="Noto Sans CJK SC"/>
        <family val="2"/>
      </rPr>
      <t xml:space="preserve">倍；思考 </t>
    </r>
    <r>
      <rPr>
        <sz val="10"/>
        <color rgb="FF000000"/>
        <rFont val="Arial"/>
        <family val="0"/>
        <charset val="1"/>
      </rPr>
      <t xml:space="preserve">token </t>
    </r>
    <r>
      <rPr>
        <sz val="10"/>
        <color rgb="FF000000"/>
        <rFont val="Noto Sans CJK SC"/>
        <family val="2"/>
      </rPr>
      <t xml:space="preserve">依輸出計費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</si>
  <si>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Anthropic </t>
    </r>
    <r>
      <rPr>
        <sz val="10"/>
        <color rgb="FF000000"/>
        <rFont val="Noto Sans CJK SC"/>
        <family val="2"/>
      </rPr>
      <t xml:space="preserve">定價；經 </t>
    </r>
    <r>
      <rPr>
        <sz val="10"/>
        <color rgb="FF000000"/>
        <rFont val="Arial"/>
        <family val="0"/>
        <charset val="1"/>
      </rPr>
      <t xml:space="preserve">dev.to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eesel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orcarouter </t>
    </r>
    <r>
      <rPr>
        <sz val="10"/>
        <color rgb="FF000000"/>
        <rFont val="Noto Sans CJK SC"/>
        <family val="2"/>
      </rPr>
      <t xml:space="preserve">轉述）</t>
    </r>
  </si>
  <si>
    <r>
      <rPr>
        <sz val="10"/>
        <color rgb="FF000000"/>
        <rFont val="Arial"/>
        <family val="0"/>
        <charset val="1"/>
      </rPr>
      <t xml:space="preserve">2026-07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</si>
  <si>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Noto Sans CJK SC"/>
        <family val="2"/>
      </rPr>
      <t xml:space="preserve">多個二手來源一致；</t>
    </r>
    <r>
      <rPr>
        <sz val="10"/>
        <color rgb="FF000000"/>
        <rFont val="Arial"/>
        <family val="0"/>
        <charset val="1"/>
      </rPr>
      <t xml:space="preserve">Fable 5.1 </t>
    </r>
    <r>
      <rPr>
        <sz val="10"/>
        <color rgb="FF000000"/>
        <rFont val="Noto Sans CJK SC"/>
        <family val="2"/>
      </rPr>
      <t xml:space="preserve">快取讀取 </t>
    </r>
    <r>
      <rPr>
        <sz val="10"/>
        <color rgb="FF000000"/>
        <rFont val="Arial"/>
        <family val="0"/>
        <charset val="1"/>
      </rPr>
      <t xml:space="preserve">$0.25 </t>
    </r>
    <r>
      <rPr>
        <sz val="10"/>
        <color rgb="FF000000"/>
        <rFont val="Noto Sans CJK SC"/>
        <family val="2"/>
      </rPr>
      <t xml:space="preserve">僅單一來源</t>
    </r>
  </si>
  <si>
    <r>
      <rPr>
        <sz val="10"/>
        <color rgb="FF000000"/>
        <rFont val="Arial"/>
        <family val="0"/>
        <charset val="1"/>
      </rPr>
      <t xml:space="preserve">DeepSeek API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</si>
  <si>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V4.1-Flash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$0.006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V4-Pro-0813 </t>
    </r>
    <r>
      <rPr>
        <sz val="10"/>
        <color rgb="FF000000"/>
        <rFont val="Noto Sans CJK SC"/>
        <family val="2"/>
      </rPr>
      <t xml:space="preserve">尖峰 </t>
    </r>
    <r>
      <rPr>
        <sz val="10"/>
        <color rgb="FF000000"/>
        <rFont val="Arial"/>
        <family val="0"/>
        <charset val="1"/>
      </rPr>
      <t xml:space="preserve">$1.32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$0.044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$3.96</t>
    </r>
    <r>
      <rPr>
        <sz val="10"/>
        <color rgb="FF000000"/>
        <rFont val="Noto Sans CJK SC"/>
        <family val="2"/>
      </rPr>
      <t xml:space="preserve">；離峰半價；尖峰＝週一至五 </t>
    </r>
    <r>
      <rPr>
        <sz val="10"/>
        <color rgb="FF000000"/>
        <rFont val="Arial"/>
        <family val="0"/>
        <charset val="1"/>
      </rPr>
      <t xml:space="preserve">UTC 01–04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06–10</t>
    </r>
  </si>
  <si>
    <t xml:space="preserve">已核對原文；第三方頁多為過時價</t>
  </si>
  <si>
    <r>
      <rPr>
        <sz val="10"/>
        <color rgb="FF000000"/>
        <rFont val="Arial"/>
        <family val="0"/>
        <charset val="1"/>
      </rPr>
      <t xml:space="preserve">Z.ai </t>
    </r>
    <r>
      <rPr>
        <sz val="10"/>
        <color rgb="FF000000"/>
        <rFont val="Noto Sans CJK SC"/>
        <family val="2"/>
      </rPr>
      <t xml:space="preserve">官方定價頁</t>
    </r>
  </si>
  <si>
    <r>
      <rPr>
        <sz val="10"/>
        <color rgb="FF000000"/>
        <rFont val="Arial"/>
        <family val="0"/>
        <charset val="1"/>
      </rPr>
      <t xml:space="preserve">GLM-5.3 $1.4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$0.26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$4.4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GLM-5.3-Flash $0.15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$0.03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$0.5</t>
    </r>
    <r>
      <rPr>
        <sz val="10"/>
        <color rgb="FF000000"/>
        <rFont val="Noto Sans CJK SC"/>
        <family val="2"/>
      </rPr>
      <t xml:space="preserve">；快取儲存限時免費</t>
    </r>
  </si>
  <si>
    <r>
      <rPr>
        <sz val="10"/>
        <color rgb="FF000000"/>
        <rFont val="Arial"/>
        <family val="0"/>
        <charset val="1"/>
      </rPr>
      <t xml:space="preserve">Moonshot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Alibaba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MiniMax </t>
    </r>
    <r>
      <rPr>
        <sz val="10"/>
        <color rgb="FF000000"/>
        <rFont val="Noto Sans CJK SC"/>
        <family val="2"/>
      </rPr>
      <t xml:space="preserve">定價（二手）</t>
    </r>
  </si>
  <si>
    <r>
      <rPr>
        <sz val="10"/>
        <color rgb="FF000000"/>
        <rFont val="Arial"/>
        <family val="0"/>
        <charset val="1"/>
      </rPr>
      <t xml:space="preserve">Kimi K3 $3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Qwen3.8-Max </t>
    </r>
    <r>
      <rPr>
        <sz val="10"/>
        <color rgb="FF000000"/>
        <rFont val="Noto Sans CJK SC"/>
        <family val="2"/>
      </rPr>
      <t xml:space="preserve">國際站 </t>
    </r>
    <r>
      <rPr>
        <sz val="10"/>
        <color rgb="FF000000"/>
        <rFont val="Arial"/>
        <family val="0"/>
        <charset val="1"/>
      </rPr>
      <t xml:space="preserve">$2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$0.25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MiniMax M3 $0.30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$1.20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</si>
  <si>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（廠商定價，經彙整站轉述）</t>
    </r>
  </si>
  <si>
    <r>
      <rPr>
        <sz val="10"/>
        <color rgb="FF000000"/>
        <rFont val="Noto Sans CJK SC"/>
        <family val="2"/>
      </rPr>
      <t xml:space="preserve">官方頁未直接讀取；</t>
    </r>
    <r>
      <rPr>
        <sz val="10"/>
        <color rgb="FF000000"/>
        <rFont val="Arial"/>
        <family val="0"/>
        <charset val="1"/>
      </rPr>
      <t xml:space="preserve">Qwen </t>
    </r>
    <r>
      <rPr>
        <sz val="10"/>
        <color rgb="FF000000"/>
        <rFont val="Noto Sans CJK SC"/>
        <family val="2"/>
      </rPr>
      <t xml:space="preserve">有 </t>
    </r>
    <r>
      <rPr>
        <sz val="10"/>
        <color rgb="FF000000"/>
        <rFont val="Arial"/>
        <family val="0"/>
        <charset val="1"/>
      </rPr>
      <t xml:space="preserve">$2.5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$7.5 </t>
    </r>
    <r>
      <rPr>
        <sz val="10"/>
        <color rgb="FF000000"/>
        <rFont val="Noto Sans CJK SC"/>
        <family val="2"/>
      </rPr>
      <t xml:space="preserve">附五折之衝突記載</t>
    </r>
  </si>
  <si>
    <r>
      <rPr>
        <sz val="10"/>
        <color rgb="FF000000"/>
        <rFont val="Arial"/>
        <family val="0"/>
        <charset val="1"/>
      </rPr>
      <t xml:space="preserve">Artificial Analysis Intelligence Index v4.3</t>
    </r>
    <r>
      <rPr>
        <sz val="10"/>
        <color rgb="FF000000"/>
        <rFont val="Noto Sans CJK SC"/>
        <family val="2"/>
      </rPr>
      <t xml:space="preserve">（經報導）</t>
    </r>
  </si>
  <si>
    <r>
      <rPr>
        <sz val="10"/>
        <color rgb="FF000000"/>
        <rFont val="Arial"/>
        <family val="0"/>
        <charset val="1"/>
      </rPr>
      <t xml:space="preserve">GPT-6 Astra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Fable 5.1 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Opus 5 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GPT-5.6 Sol 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GLM-5.3-Flash 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Qwen3.8 2.4T 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 Pro 36</t>
    </r>
    <r>
      <rPr>
        <sz val="10"/>
        <color rgb="FF000000"/>
        <rFont val="Noto Sans CJK SC"/>
        <family val="2"/>
      </rPr>
      <t xml:space="preserve">；一週內三次改版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</si>
  <si>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（獨立評測；改版頻繁，跨版本不可比）</t>
    </r>
  </si>
  <si>
    <t xml:space="preserve">已核對報導原文</t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</si>
  <si>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發布比較頁 </t>
    </r>
    <r>
      <rPr>
        <sz val="10"/>
        <color rgb="FF000000"/>
        <rFont val="Arial"/>
        <family val="0"/>
        <charset val="1"/>
      </rPr>
      <t xml:space="preserve">v4.3.2</t>
    </r>
  </si>
  <si>
    <r>
      <rPr>
        <sz val="10"/>
        <color rgb="FF000000"/>
        <rFont val="Arial"/>
        <family val="0"/>
        <charset val="1"/>
      </rPr>
      <t xml:space="preserve">GPT-6 Sol 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GPT-6 Luna 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DeepSeek V4.1-Flash 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GLM-5.3 45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設定）</t>
    </r>
  </si>
  <si>
    <t xml:space="preserve">已核對搜尋摘錄</t>
  </si>
  <si>
    <r>
      <rPr>
        <sz val="10"/>
        <color rgb="FF000000"/>
        <rFont val="Arial"/>
        <family val="0"/>
        <charset val="1"/>
      </rPr>
      <t xml:space="preserve">OpenAI 2025 </t>
    </r>
    <r>
      <rPr>
        <sz val="10"/>
        <color rgb="FF000000"/>
        <rFont val="Noto Sans CJK SC"/>
        <family val="2"/>
      </rPr>
      <t xml:space="preserve">推論與訓練支出（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模型 </t>
    </r>
    <r>
      <rPr>
        <sz val="10"/>
        <color rgb="FF000000"/>
        <rFont val="Arial"/>
        <family val="0"/>
        <charset val="1"/>
      </rPr>
      <t xml:space="preserve">v0.5 </t>
    </r>
    <r>
      <rPr>
        <sz val="10"/>
        <color rgb="FF000000"/>
        <rFont val="Noto Sans CJK SC"/>
        <family val="2"/>
      </rPr>
      <t xml:space="preserve">已收錄）</t>
    </r>
  </si>
  <si>
    <r>
      <rPr>
        <sz val="10"/>
        <color rgb="FF000000"/>
        <rFont val="Noto Sans CJK SC"/>
        <family val="2"/>
      </rPr>
      <t xml:space="preserve">推論 </t>
    </r>
    <r>
      <rPr>
        <sz val="10"/>
        <color rgb="FF000000"/>
        <rFont val="Arial"/>
        <family val="0"/>
        <charset val="1"/>
      </rPr>
      <t xml:space="preserve">$8.4B</t>
    </r>
    <r>
      <rPr>
        <sz val="10"/>
        <color rgb="FF000000"/>
        <rFont val="Noto Sans CJK SC"/>
        <family val="2"/>
      </rPr>
      <t xml:space="preserve">（非付費 </t>
    </r>
    <r>
      <rPr>
        <sz val="10"/>
        <color rgb="FF000000"/>
        <rFont val="Arial"/>
        <family val="0"/>
        <charset val="1"/>
      </rPr>
      <t xml:space="preserve">$3.9B</t>
    </r>
    <r>
      <rPr>
        <sz val="10"/>
        <color rgb="FF000000"/>
        <rFont val="Noto Sans CJK SC"/>
        <family val="2"/>
      </rPr>
      <t xml:space="preserve">）、訓練約 </t>
    </r>
    <r>
      <rPr>
        <sz val="10"/>
        <color rgb="FF000000"/>
        <rFont val="Arial"/>
        <family val="0"/>
        <charset val="1"/>
      </rPr>
      <t xml:space="preserve">$12B</t>
    </r>
    <r>
      <rPr>
        <sz val="10"/>
        <color rgb="FF000000"/>
        <rFont val="Noto Sans CJK SC"/>
        <family val="2"/>
      </rPr>
      <t xml:space="preserve">；營收 </t>
    </r>
    <r>
      <rPr>
        <sz val="10"/>
        <color rgb="FF000000"/>
        <rFont val="Arial"/>
        <family val="0"/>
        <charset val="1"/>
      </rPr>
      <t xml:space="preserve">$13.07B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GW 0.6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2024 </t>
    </r>
    <r>
      <rPr>
        <sz val="10"/>
        <color rgb="FF000000"/>
        <rFont val="Noto Sans CJK SC"/>
        <family val="2"/>
      </rPr>
      <t xml:space="preserve">底）→ 約 </t>
    </r>
    <r>
      <rPr>
        <sz val="10"/>
        <color rgb="FF000000"/>
        <rFont val="Arial"/>
        <family val="0"/>
        <charset val="1"/>
      </rPr>
      <t xml:space="preserve">1.9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2025 </t>
    </r>
    <r>
      <rPr>
        <sz val="10"/>
        <color rgb="FF000000"/>
        <rFont val="Noto Sans CJK SC"/>
        <family val="2"/>
      </rPr>
      <t xml:space="preserve">底）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</si>
  <si>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投資人資料，經 </t>
    </r>
    <r>
      <rPr>
        <sz val="10"/>
        <color rgb="FF000000"/>
        <rFont val="Arial"/>
        <family val="0"/>
        <charset val="1"/>
      </rPr>
      <t xml:space="preserve">The Information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FT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CFO </t>
    </r>
    <r>
      <rPr>
        <sz val="10"/>
        <color rgb="FF000000"/>
        <rFont val="Noto Sans CJK SC"/>
        <family val="2"/>
      </rPr>
      <t xml:space="preserve">部落格）</t>
    </r>
  </si>
  <si>
    <t xml:space="preserve">待查核（報導）</t>
  </si>
  <si>
    <r>
      <rPr>
        <sz val="10"/>
        <color rgb="FF000000"/>
        <rFont val="Arial"/>
        <family val="0"/>
        <charset val="1"/>
      </rPr>
      <t xml:space="preserve">ARC-AGI-3 harness </t>
    </r>
    <r>
      <rPr>
        <sz val="10"/>
        <color rgb="FF000000"/>
        <rFont val="Noto Sans CJK SC"/>
        <family val="2"/>
      </rPr>
      <t xml:space="preserve">對照（</t>
    </r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自測，經報導）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</si>
  <si>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最高推理 </t>
    </r>
    <r>
      <rPr>
        <sz val="10"/>
        <color rgb="FF000000"/>
        <rFont val="Arial"/>
        <family val="0"/>
        <charset val="1"/>
      </rPr>
      <t xml:space="preserve">62.7%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$26,098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OpenAI Provider Adapter </t>
    </r>
    <r>
      <rPr>
        <sz val="10"/>
        <color rgb="FF000000"/>
        <rFont val="Noto Sans CJK SC"/>
        <family val="2"/>
      </rPr>
      <t xml:space="preserve">高推理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$18,817</t>
    </r>
    <r>
      <rPr>
        <sz val="10"/>
        <color rgb="FF000000"/>
        <rFont val="Noto Sans CJK SC"/>
        <family val="2"/>
      </rPr>
      <t xml:space="preserve">（另載 </t>
    </r>
    <r>
      <rPr>
        <sz val="10"/>
        <color rgb="FF000000"/>
        <rFont val="Arial"/>
        <family val="0"/>
        <charset val="1"/>
      </rPr>
      <t xml:space="preserve">$19,302</t>
    </r>
    <r>
      <rPr>
        <sz val="10"/>
        <color rgb="FF000000"/>
        <rFont val="Noto Sans CJK SC"/>
        <family val="2"/>
      </rPr>
      <t xml:space="preserve">）；同為最高推理 </t>
    </r>
    <r>
      <rPr>
        <sz val="10"/>
        <color rgb="FF000000"/>
        <rFont val="Arial"/>
        <family val="0"/>
        <charset val="1"/>
      </rPr>
      <t xml:space="preserve">98.6%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$17,332</t>
    </r>
    <r>
      <rPr>
        <sz val="10"/>
        <color rgb="FF000000"/>
        <rFont val="Noto Sans CJK SC"/>
        <family val="2"/>
      </rPr>
      <t xml:space="preserve">；耗時約快 </t>
    </r>
    <r>
      <rPr>
        <sz val="10"/>
        <color rgb="FF000000"/>
        <rFont val="Arial"/>
        <family val="0"/>
        <charset val="1"/>
      </rPr>
      <t xml:space="preserve">3.66 </t>
    </r>
    <r>
      <rPr>
        <sz val="10"/>
        <color rgb="FF000000"/>
        <rFont val="Noto Sans CJK SC"/>
        <family val="2"/>
      </rPr>
      <t xml:space="preserve">倍；少用約 </t>
    </r>
    <r>
      <rPr>
        <sz val="10"/>
        <color rgb="FF000000"/>
        <rFont val="Arial"/>
        <family val="0"/>
        <charset val="1"/>
      </rPr>
      <t xml:space="preserve">49% token</t>
    </r>
    <r>
      <rPr>
        <sz val="10"/>
        <color rgb="FF000000"/>
        <rFont val="Noto Sans CJK SC"/>
        <family val="2"/>
      </rPr>
      <t xml:space="preserve">（範圍不明）；</t>
    </r>
    <r>
      <rPr>
        <sz val="10"/>
        <color rgb="FF000000"/>
        <rFont val="Arial"/>
        <family val="0"/>
        <charset val="1"/>
      </rPr>
      <t xml:space="preserve">adapter </t>
    </r>
    <r>
      <rPr>
        <sz val="10"/>
        <color rgb="FF000000"/>
        <rFont val="Noto Sans CJK SC"/>
        <family val="2"/>
      </rPr>
      <t xml:space="preserve">保留不透明推理狀態並壓縮長對話，使用公開 </t>
    </r>
    <r>
      <rPr>
        <sz val="10"/>
        <color rgb="FF000000"/>
        <rFont val="Arial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功能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</si>
  <si>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ARC Prize</t>
    </r>
    <r>
      <rPr>
        <sz val="10"/>
        <color rgb="FF000000"/>
        <rFont val="Noto Sans CJK SC"/>
        <family val="2"/>
      </rPr>
      <t xml:space="preserve">）／</t>
    </r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OpenAI </t>
    </r>
    <r>
      <rPr>
        <sz val="10"/>
        <color rgb="FF000000"/>
        <rFont val="Noto Sans CJK SC"/>
        <family val="2"/>
      </rPr>
      <t xml:space="preserve">發布 </t>
    </r>
    <r>
      <rPr>
        <sz val="10"/>
        <color rgb="FF000000"/>
        <rFont val="Arial"/>
        <family val="0"/>
        <charset val="1"/>
      </rPr>
      <t xml:space="preserve">99.9%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</si>
  <si>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ARC Prize </t>
    </r>
    <r>
      <rPr>
        <sz val="10"/>
        <color rgb="FF000000"/>
        <rFont val="Noto Sans CJK SC"/>
        <family val="2"/>
      </rPr>
      <t xml:space="preserve">原頁待核；金額衝突待核</t>
    </r>
  </si>
  <si>
    <r>
      <rPr>
        <sz val="10"/>
        <color rgb="FF000000"/>
        <rFont val="Arial"/>
        <family val="0"/>
        <charset val="1"/>
      </rPr>
      <t xml:space="preserve">METR </t>
    </r>
    <r>
      <rPr>
        <sz val="10"/>
        <color rgb="FF000000"/>
        <rFont val="Noto Sans CJK SC"/>
        <family val="2"/>
      </rPr>
      <t xml:space="preserve">時間範圍（</t>
    </r>
    <r>
      <rPr>
        <sz val="10"/>
        <color rgb="FF000000"/>
        <rFont val="Arial"/>
        <family val="0"/>
        <charset val="1"/>
      </rPr>
      <t xml:space="preserve">Time Horizon 1.1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</si>
  <si>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GPT-5 3h34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32m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GPT-5.2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6h34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55m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GPT-5.4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xhigh</t>
    </r>
    <r>
      <rPr>
        <sz val="10"/>
        <color rgb="FF000000"/>
        <rFont val="Noto Sans CJK SC"/>
        <family val="2"/>
      </rPr>
      <t xml:space="preserve">）</t>
    </r>
    <r>
      <rPr>
        <sz val="10"/>
        <color rgb="FF000000"/>
        <rFont val="Arial"/>
        <family val="0"/>
        <charset val="1"/>
      </rPr>
      <t xml:space="preserve">5h42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54m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Gemini 3.1 Pro 5h50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1h30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GPT-5.6 Sol 11.3h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Claude Mythos Preview 17.4h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50%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80%</t>
    </r>
    <r>
      <rPr>
        <sz val="10"/>
        <color rgb="FF000000"/>
        <rFont val="Noto Sans CJK SC"/>
        <family val="2"/>
      </rPr>
      <t xml:space="preserve">）；套件 </t>
    </r>
    <r>
      <rPr>
        <sz val="10"/>
        <color rgb="FF000000"/>
        <rFont val="Arial"/>
        <family val="0"/>
        <charset val="1"/>
      </rPr>
      <t xml:space="preserve">16 </t>
    </r>
    <r>
      <rPr>
        <sz val="10"/>
        <color rgb="FF000000"/>
        <rFont val="Noto Sans CJK SC"/>
        <family val="2"/>
      </rPr>
      <t xml:space="preserve">小時以上量不準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</si>
  <si>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METR</t>
    </r>
    <r>
      <rPr>
        <sz val="10"/>
        <color rgb="FF000000"/>
        <rFont val="Noto Sans CJK SC"/>
        <family val="2"/>
      </rPr>
      <t xml:space="preserve">，獨立評測）</t>
    </r>
  </si>
  <si>
    <r>
      <rPr>
        <sz val="10"/>
        <color rgb="FF000000"/>
        <rFont val="Arial"/>
        <family val="0"/>
        <charset val="1"/>
      </rPr>
      <t xml:space="preserve">2026-01</t>
    </r>
    <r>
      <rPr>
        <sz val="10"/>
        <color rgb="FF000000"/>
        <rFont val="Noto Sans CJK SC"/>
        <family val="2"/>
      </rPr>
      <t xml:space="preserve">～</t>
    </r>
    <r>
      <rPr>
        <sz val="10"/>
        <color rgb="FF000000"/>
        <rFont val="Arial"/>
        <family val="0"/>
        <charset val="1"/>
      </rPr>
      <t xml:space="preserve">09</t>
    </r>
  </si>
  <si>
    <r>
      <rPr>
        <sz val="10"/>
        <color rgb="FF000000"/>
        <rFont val="Arial"/>
        <family val="0"/>
        <charset val="1"/>
      </rPr>
      <t xml:space="preserve">metr.org </t>
    </r>
    <r>
      <rPr>
        <sz val="10"/>
        <color rgb="FF000000"/>
        <rFont val="Noto Sans CJK SC"/>
        <family val="2"/>
      </rPr>
      <t xml:space="preserve">原頁待核；</t>
    </r>
    <r>
      <rPr>
        <sz val="10"/>
        <color rgb="FF000000"/>
        <rFont val="Arial"/>
        <family val="0"/>
        <charset val="1"/>
      </rPr>
      <t xml:space="preserve">GPT-6 </t>
    </r>
    <r>
      <rPr>
        <sz val="10"/>
        <color rgb="FF000000"/>
        <rFont val="Noto Sans CJK SC"/>
        <family val="2"/>
      </rPr>
      <t xml:space="preserve">各層級未發布</t>
    </r>
  </si>
  <si>
    <r>
      <rPr>
        <sz val="10"/>
        <color rgb="FF000000"/>
        <rFont val="Arial"/>
        <family val="0"/>
        <charset val="1"/>
      </rPr>
      <t xml:space="preserve">Artificial Analysis </t>
    </r>
    <r>
      <rPr>
        <sz val="10"/>
        <color rgb="FF000000"/>
        <rFont val="Noto Sans CJK SC"/>
        <family val="2"/>
      </rPr>
      <t xml:space="preserve">每任務成本</t>
    </r>
  </si>
  <si>
    <r>
      <rPr>
        <sz val="10"/>
        <color rgb="FF000000"/>
        <rFont val="Arial"/>
        <family val="0"/>
        <charset val="1"/>
      </rPr>
      <t xml:space="preserve">GPT-6 Astra </t>
    </r>
    <r>
      <rPr>
        <sz val="10"/>
        <color rgb="FF000000"/>
        <rFont val="Noto Sans CJK SC"/>
        <family val="2"/>
      </rPr>
      <t xml:space="preserve">每任務約 </t>
    </r>
    <r>
      <rPr>
        <sz val="10"/>
        <color rgb="FF000000"/>
        <rFont val="Arial"/>
        <family val="0"/>
        <charset val="1"/>
      </rPr>
      <t xml:space="preserve">$4.72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Claude Fable 5.1 </t>
    </r>
    <r>
      <rPr>
        <sz val="10"/>
        <color rgb="FF000000"/>
        <rFont val="Noto Sans CJK SC"/>
        <family val="2"/>
      </rPr>
      <t xml:space="preserve">約 </t>
    </r>
    <r>
      <rPr>
        <sz val="10"/>
        <color rgb="FF000000"/>
        <rFont val="Arial"/>
        <family val="0"/>
        <charset val="1"/>
      </rPr>
      <t xml:space="preserve">$9.18</t>
    </r>
    <r>
      <rPr>
        <sz val="10"/>
        <color rgb="FF000000"/>
        <rFont val="Noto Sans CJK SC"/>
        <family val="2"/>
      </rPr>
      <t xml:space="preserve">（其 </t>
    </r>
    <r>
      <rPr>
        <sz val="10"/>
        <color rgb="FF000000"/>
        <rFont val="Arial"/>
        <family val="0"/>
        <charset val="1"/>
      </rPr>
      <t xml:space="preserve">agent </t>
    </r>
    <r>
      <rPr>
        <sz val="10"/>
        <color rgb="FF000000"/>
        <rFont val="Noto Sans CJK SC"/>
        <family val="2"/>
      </rPr>
      <t xml:space="preserve">評測）</t>
    </r>
  </si>
  <si>
    <r>
      <rPr>
        <sz val="10"/>
        <color rgb="FF000000"/>
        <rFont val="Arial"/>
        <family val="0"/>
        <charset val="1"/>
      </rPr>
      <t xml:space="preserve">Verified-measured</t>
    </r>
    <r>
      <rPr>
        <sz val="10"/>
        <color rgb="FF000000"/>
        <rFont val="Noto Sans CJK SC"/>
        <family val="2"/>
      </rPr>
      <t xml:space="preserve">（獨立評測）</t>
    </r>
  </si>
  <si>
    <r>
      <rPr>
        <sz val="10"/>
        <color rgb="FF000000"/>
        <rFont val="Noto Sans CJK SC"/>
        <family val="2"/>
      </rPr>
      <t xml:space="preserve">只作對照：</t>
    </r>
    <r>
      <rPr>
        <sz val="10"/>
        <color rgb="FF000000"/>
        <rFont val="Arial"/>
        <family val="0"/>
        <charset val="1"/>
      </rPr>
      <t xml:space="preserve">AA </t>
    </r>
    <r>
      <rPr>
        <sz val="10"/>
        <color rgb="FF000000"/>
        <rFont val="Noto Sans CJK SC"/>
        <family val="2"/>
      </rPr>
      <t xml:space="preserve">的任務組合與 </t>
    </r>
    <r>
      <rPr>
        <sz val="10"/>
        <color rgb="FF000000"/>
        <rFont val="Arial"/>
        <family val="0"/>
        <charset val="1"/>
      </rPr>
      <t xml:space="preserve">Workload </t>
    </r>
    <r>
      <rPr>
        <sz val="10"/>
        <color rgb="FF000000"/>
        <rFont val="Noto Sans CJK SC"/>
        <family val="2"/>
      </rPr>
      <t xml:space="preserve">不同</t>
    </r>
  </si>
  <si>
    <r>
      <rPr>
        <sz val="10"/>
        <color rgb="FF000000"/>
        <rFont val="Arial"/>
        <family val="0"/>
        <charset val="1"/>
      </rPr>
      <t xml:space="preserve">Claude Opus 5 + Nvidia </t>
    </r>
    <r>
      <rPr>
        <sz val="10"/>
        <color rgb="FF000000"/>
        <rFont val="Noto Sans CJK SC"/>
        <family val="2"/>
      </rPr>
      <t xml:space="preserve">所建 </t>
    </r>
    <r>
      <rPr>
        <sz val="10"/>
        <color rgb="FF000000"/>
        <rFont val="Arial"/>
        <family val="0"/>
        <charset val="1"/>
      </rPr>
      <t xml:space="preserve">harness </t>
    </r>
    <r>
      <rPr>
        <sz val="10"/>
        <color rgb="FF000000"/>
        <rFont val="Noto Sans CJK SC"/>
        <family val="2"/>
      </rPr>
      <t xml:space="preserve">通關 </t>
    </r>
    <r>
      <rPr>
        <sz val="10"/>
        <color rgb="FF000000"/>
        <rFont val="Arial"/>
        <family val="0"/>
        <charset val="1"/>
      </rPr>
      <t xml:space="preserve">ARC-AGI-3</t>
    </r>
  </si>
  <si>
    <r>
      <rPr>
        <sz val="10"/>
        <color rgb="FF000000"/>
        <rFont val="Arial"/>
        <family val="0"/>
        <charset val="1"/>
      </rPr>
      <t xml:space="preserve">Opus 5 </t>
    </r>
    <r>
      <rPr>
        <sz val="10"/>
        <color rgb="FF000000"/>
        <rFont val="Noto Sans CJK SC"/>
        <family val="2"/>
      </rPr>
      <t xml:space="preserve">標準 </t>
    </r>
    <r>
      <rPr>
        <sz val="10"/>
        <color rgb="FF000000"/>
        <rFont val="Arial"/>
        <family val="0"/>
        <charset val="1"/>
      </rPr>
      <t xml:space="preserve">30.2% → </t>
    </r>
    <r>
      <rPr>
        <sz val="10"/>
        <color rgb="FF000000"/>
        <rFont val="Noto Sans CJK SC"/>
        <family val="2"/>
      </rPr>
      <t xml:space="preserve">全部關卡通關</t>
    </r>
  </si>
  <si>
    <r>
      <rPr>
        <sz val="10"/>
        <color rgb="FF000000"/>
        <rFont val="Arial"/>
        <family val="0"/>
        <charset val="1"/>
      </rPr>
      <t xml:space="preserve">Interested-party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Nvidia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</si>
  <si>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交接原記 </t>
    </r>
    <r>
      <rPr>
        <sz val="10"/>
        <color rgb="FF000000"/>
        <rFont val="Arial"/>
        <family val="0"/>
        <charset val="1"/>
      </rPr>
      <t xml:space="preserve">Strands</t>
    </r>
    <r>
      <rPr>
        <sz val="10"/>
        <color rgb="FF000000"/>
        <rFont val="Noto Sans CJK SC"/>
        <family val="2"/>
      </rPr>
      <t xml:space="preserve">；歸屬與成本待核</t>
    </r>
  </si>
  <si>
    <r>
      <rPr>
        <b val="true"/>
        <sz val="13"/>
        <rFont val="Arial"/>
        <family val="0"/>
        <charset val="1"/>
      </rPr>
      <t xml:space="preserve">DB_Evidence — </t>
    </r>
    <r>
      <rPr>
        <b val="true"/>
        <sz val="13"/>
        <rFont val="Noto Sans CJK SC"/>
        <family val="2"/>
      </rPr>
      <t xml:space="preserve">證據登錄表：所有比對過的新資訊（含不採納者）</t>
    </r>
  </si>
  <si>
    <t xml:space="preserve">每一筆新發現先與 Tokenomics 現值比對，再判定採納／部分採納／不採納／待查。本頁由 Andy 與 Claude 直接在 Excel 維護；builder 只在本頁不存在時建立，之後不再覆寫</t>
  </si>
  <si>
    <r>
      <rPr>
        <sz val="9"/>
        <color rgb="FF595959"/>
        <rFont val="Arial"/>
        <family val="0"/>
        <charset val="1"/>
      </rPr>
      <t xml:space="preserve">v5.11</t>
    </r>
    <r>
      <rPr>
        <sz val="9"/>
        <color rgb="FF595959"/>
        <rFont val="Noto Sans CJK SC"/>
        <family val="2"/>
      </rPr>
      <t xml:space="preserve">：新增 </t>
    </r>
    <r>
      <rPr>
        <sz val="9"/>
        <color rgb="FF595959"/>
        <rFont val="Arial"/>
        <family val="0"/>
        <charset val="1"/>
      </rPr>
      <t xml:space="preserve">L–Q </t>
    </r>
    <r>
      <rPr>
        <sz val="9"/>
        <color rgb="FF595959"/>
        <rFont val="Noto Sans CJK SC"/>
        <family val="2"/>
      </rPr>
      <t xml:space="preserve">欄（</t>
    </r>
    <r>
      <rPr>
        <sz val="9"/>
        <color rgb="FF595959"/>
        <rFont val="Arial"/>
        <family val="0"/>
        <charset val="1"/>
      </rPr>
      <t xml:space="preserve">G2 </t>
    </r>
    <r>
      <rPr>
        <sz val="9"/>
        <color rgb="FF595959"/>
        <rFont val="Noto Sans CJK SC"/>
        <family val="2"/>
      </rPr>
      <t xml:space="preserve">流程的狀態、相關 </t>
    </r>
    <r>
      <rPr>
        <sz val="9"/>
        <color rgb="FF595959"/>
        <rFont val="Arial"/>
        <family val="0"/>
        <charset val="1"/>
      </rPr>
      <t xml:space="preserve">SRC_ID</t>
    </r>
    <r>
      <rPr>
        <sz val="9"/>
        <color rgb="FF595959"/>
        <rFont val="Noto Sans CJK SC"/>
        <family val="2"/>
      </rPr>
      <t xml:space="preserve">、取代者、受影響名稱、等級、立場）；</t>
    </r>
    <r>
      <rPr>
        <sz val="9"/>
        <color rgb="FF595959"/>
        <rFont val="Arial"/>
        <family val="0"/>
        <charset val="1"/>
      </rPr>
      <t xml:space="preserve">E101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Stage 1 </t>
    </r>
    <r>
      <rPr>
        <sz val="9"/>
        <color rgb="FF595959"/>
        <rFont val="Noto Sans CJK SC"/>
        <family val="2"/>
      </rPr>
      <t xml:space="preserve">遷移紀錄。</t>
    </r>
  </si>
  <si>
    <t xml:space="preserve">主張（摘要）</t>
  </si>
  <si>
    <t xml:space="preserve">來源（S 編號或出處）</t>
  </si>
  <si>
    <t xml:space="preserve">對應參數（工作表與列）</t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</si>
  <si>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當時值</t>
    </r>
  </si>
  <si>
    <t xml:space="preserve">新資訊值</t>
  </si>
  <si>
    <t xml:space="preserve">判定</t>
  </si>
  <si>
    <t xml:space="preserve">處理版本</t>
  </si>
  <si>
    <t xml:space="preserve">狀態（已處理／待判定／待 Andy）</t>
  </si>
  <si>
    <t xml:space="preserve">相關 SRC_ID</t>
  </si>
  <si>
    <t xml:space="preserve">受影響 IF_／L1_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</si>
  <si>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峰值為 </t>
    </r>
    <r>
      <rPr>
        <sz val="10"/>
        <color rgb="FF0000FF"/>
        <rFont val="Arial"/>
        <family val="0"/>
        <charset val="1"/>
      </rPr>
      <t xml:space="preserve">1,979 TF</t>
    </r>
    <r>
      <rPr>
        <sz val="10"/>
        <color rgb="FF0000FF"/>
        <rFont val="Noto Sans CJK SC"/>
        <family val="2"/>
      </rPr>
      <t xml:space="preserve">，非 </t>
    </r>
    <r>
      <rPr>
        <sz val="10"/>
        <color rgb="FF0000FF"/>
        <rFont val="Arial"/>
        <family val="0"/>
        <charset val="1"/>
      </rPr>
      <t xml:space="preserve">989 TF</t>
    </r>
  </si>
  <si>
    <r>
      <rPr>
        <sz val="10"/>
        <color rgb="FF0000FF"/>
        <rFont val="Arial"/>
        <family val="0"/>
        <charset val="1"/>
      </rPr>
      <t xml:space="preserve">NVIDIA H100 </t>
    </r>
    <r>
      <rPr>
        <sz val="10"/>
        <color rgb="FF0000FF"/>
        <rFont val="Noto Sans CJK SC"/>
        <family val="2"/>
      </rPr>
      <t xml:space="preserve">規格（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交叉核對）</t>
    </r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</si>
  <si>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峰值 </t>
    </r>
    <r>
      <rPr>
        <sz val="10"/>
        <color rgb="FF0000FF"/>
        <rFont val="Arial"/>
        <family val="0"/>
        <charset val="1"/>
      </rPr>
      <t xml:space="preserve">Hopper</t>
    </r>
  </si>
  <si>
    <t xml:space="preserve">0.989 PF</t>
  </si>
  <si>
    <t xml:space="preserve">1.979 PF</t>
  </si>
  <si>
    <t xml:space="preserve">採納</t>
  </si>
  <si>
    <t xml:space="preserve">v5.5</t>
  </si>
  <si>
    <r>
      <rPr>
        <sz val="10"/>
        <color rgb="FF0000FF"/>
        <rFont val="Arial"/>
        <family val="0"/>
        <charset val="1"/>
      </rPr>
      <t xml:space="preserve">η_d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η_p </t>
    </r>
    <r>
      <rPr>
        <sz val="10"/>
        <color rgb="FF0000FF"/>
        <rFont val="Noto Sans CJK SC"/>
        <family val="2"/>
      </rPr>
      <t xml:space="preserve">倍數同步減半維持產出；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口徑待查</t>
    </r>
  </si>
  <si>
    <t xml:space="preserve">已處理</t>
  </si>
  <si>
    <r>
      <rPr>
        <sz val="10"/>
        <color rgb="FF000000"/>
        <rFont val="Arial"/>
        <family val="0"/>
        <charset val="1"/>
      </rPr>
      <t xml:space="preserve">SRC_HW_040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SRC_HW_019</t>
    </r>
  </si>
  <si>
    <t xml:space="preserve">E002</t>
  </si>
  <si>
    <r>
      <rPr>
        <sz val="10"/>
        <color rgb="FF0000FF"/>
        <rFont val="Arial"/>
        <family val="0"/>
        <charset val="1"/>
      </rPr>
      <t xml:space="preserve">DeepSeek V4-Flash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32T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 token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</si>
  <si>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</si>
  <si>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t xml:space="preserve">—（新增）</t>
  </si>
  <si>
    <r>
      <rPr>
        <sz val="10"/>
        <color rgb="FF0000FF"/>
        <rFont val="Arial"/>
        <family val="0"/>
        <charset val="1"/>
      </rPr>
      <t xml:space="preserve">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33T</t>
    </r>
  </si>
  <si>
    <r>
      <rPr>
        <sz val="10"/>
        <color rgb="FF000000"/>
        <rFont val="Arial"/>
        <family val="0"/>
        <charset val="1"/>
      </rPr>
      <t xml:space="preserve">SRC_MOD_029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SRC_MOD_032</t>
    </r>
  </si>
  <si>
    <t xml:space="preserve">E003</t>
  </si>
  <si>
    <r>
      <rPr>
        <sz val="10"/>
        <color rgb="FF0000FF"/>
        <rFont val="Arial"/>
        <family val="0"/>
        <charset val="1"/>
      </rPr>
      <t xml:space="preserve">Rubin NVL72 FP8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PF/GPU</t>
    </r>
  </si>
  <si>
    <r>
      <rPr>
        <sz val="10"/>
        <color rgb="FF0000FF"/>
        <rFont val="Arial"/>
        <family val="0"/>
        <charset val="1"/>
      </rPr>
      <t xml:space="preserve">Spec_Rack B3 </t>
    </r>
    <r>
      <rPr>
        <sz val="10"/>
        <color rgb="FF0000FF"/>
        <rFont val="Noto Sans CJK SC"/>
        <family val="2"/>
      </rPr>
      <t xml:space="preserve">訓練峰值</t>
    </r>
  </si>
  <si>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 PF</t>
    </r>
  </si>
  <si>
    <r>
      <rPr>
        <sz val="10"/>
        <color rgb="FF000000"/>
        <rFont val="Arial"/>
        <family val="0"/>
        <charset val="1"/>
      </rPr>
      <t xml:space="preserve">SRC_HW_036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SRC_HW_039</t>
    </r>
  </si>
  <si>
    <t xml:space="preserve">E004</t>
  </si>
  <si>
    <t xml:space="preserve">最終訓練占研發算力支出 9.6–22.6%（OpenAI、MiniMax、Z.ai）</t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</si>
  <si>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研發倍數</t>
    </r>
  </si>
  <si>
    <r>
      <rPr>
        <sz val="10"/>
        <color rgb="FF0000FF"/>
        <rFont val="Arial"/>
        <family val="0"/>
        <charset val="1"/>
      </rPr>
      <t xml:space="preserve">4.4–10.4 </t>
    </r>
    <r>
      <rPr>
        <sz val="10"/>
        <color rgb="FF0000FF"/>
        <rFont val="Noto Sans CJK SC"/>
        <family val="2"/>
      </rPr>
      <t xml:space="preserve">倍</t>
    </r>
  </si>
  <si>
    <t xml:space="preserve">採納（取 8）</t>
  </si>
  <si>
    <t xml:space="preserve">支出口徑，乘在 GPU 小時上</t>
  </si>
  <si>
    <r>
      <rPr>
        <sz val="10"/>
        <color rgb="FF000000"/>
        <rFont val="Arial"/>
        <family val="0"/>
        <charset val="1"/>
      </rPr>
      <t xml:space="preserve">SRC_DEM_001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SRC_DEM_003</t>
    </r>
  </si>
  <si>
    <t xml:space="preserve">E005</t>
  </si>
  <si>
    <r>
      <rPr>
        <sz val="10"/>
        <color rgb="FF0000FF"/>
        <rFont val="Arial"/>
        <family val="0"/>
        <charset val="1"/>
      </rPr>
      <t xml:space="preserve">Grok 4 </t>
    </r>
    <r>
      <rPr>
        <sz val="10"/>
        <color rgb="FF0000FF"/>
        <rFont val="Noto Sans CJK SC"/>
        <family val="2"/>
      </rPr>
      <t xml:space="preserve">以預訓練規模做 </t>
    </r>
    <r>
      <rPr>
        <sz val="10"/>
        <color rgb="FF0000FF"/>
        <rFont val="Arial"/>
        <family val="0"/>
        <charset val="1"/>
      </rPr>
      <t xml:space="preserve">RL</t>
    </r>
  </si>
  <si>
    <r>
      <rPr>
        <sz val="10"/>
        <color rgb="FF0000FF"/>
        <rFont val="Arial"/>
        <family val="0"/>
        <charset val="1"/>
      </rPr>
      <t xml:space="preserve">Train_In RL rollout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J9 </t>
    </r>
    <r>
      <rPr>
        <sz val="10"/>
        <color rgb="FF0000FF"/>
        <rFont val="Noto Sans CJK SC"/>
        <family val="2"/>
      </rPr>
      <t xml:space="preserve">錨點）</t>
    </r>
  </si>
  <si>
    <r>
      <rPr>
        <sz val="10"/>
        <color rgb="FF0000FF"/>
        <rFont val="Arial"/>
        <family val="0"/>
        <charset val="1"/>
      </rPr>
      <t xml:space="preserve">RL ≈ 1 × </t>
    </r>
    <r>
      <rPr>
        <sz val="10"/>
        <color rgb="FF0000FF"/>
        <rFont val="Noto Sans CJK SC"/>
        <family val="2"/>
      </rPr>
      <t xml:space="preserve">預訓練</t>
    </r>
  </si>
  <si>
    <t xml:space="preserve">部分採納</t>
  </si>
  <si>
    <t xml:space="preserve">口徑不明，只作 Astra 錨點上緣參考</t>
  </si>
  <si>
    <r>
      <rPr>
        <sz val="10"/>
        <color rgb="FF000000"/>
        <rFont val="Arial"/>
        <family val="0"/>
        <charset val="1"/>
      </rPr>
      <t xml:space="preserve">SRC_MOD_036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SRC_MOD_038</t>
    </r>
  </si>
  <si>
    <t xml:space="preserve">E006</t>
  </si>
  <si>
    <t xml:space="preserve">前沿預訓練算力約 2e26–2e27 FLOP（Grok-3 約 4.6e26）</t>
  </si>
  <si>
    <r>
      <rPr>
        <sz val="10"/>
        <color rgb="FF0000FF"/>
        <rFont val="Arial"/>
        <family val="0"/>
        <charset val="1"/>
      </rPr>
      <t xml:space="preserve">Train_In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</si>
  <si>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7e25 FLOP</t>
    </r>
    <r>
      <rPr>
        <sz val="10"/>
        <color rgb="FF0000FF"/>
        <rFont val="Noto Sans CJK SC"/>
        <family val="2"/>
      </rPr>
      <t xml:space="preserve">）</t>
    </r>
  </si>
  <si>
    <t xml:space="preserve">需約 438T（5e26）</t>
  </si>
  <si>
    <r>
      <rPr>
        <sz val="10"/>
        <color rgb="FF0000FF"/>
        <rFont val="Arial"/>
        <family val="0"/>
        <charset val="1"/>
      </rPr>
      <t xml:space="preserve">J8 </t>
    </r>
    <r>
      <rPr>
        <sz val="10"/>
        <color rgb="FF0000FF"/>
        <rFont val="Noto Sans CJK SC"/>
        <family val="2"/>
      </rPr>
      <t xml:space="preserve">差距；</t>
    </r>
    <r>
      <rPr>
        <sz val="10"/>
        <color rgb="FF0000FF"/>
        <rFont val="Arial"/>
        <family val="0"/>
        <charset val="1"/>
      </rPr>
      <t xml:space="preserve">Block 4 </t>
    </r>
    <r>
      <rPr>
        <sz val="10"/>
        <color rgb="FF0000FF"/>
        <rFont val="Noto Sans CJK SC"/>
        <family val="2"/>
      </rPr>
      <t xml:space="preserve">以能力錨點檢驗</t>
    </r>
  </si>
  <si>
    <t xml:space="preserve">待判定</t>
  </si>
  <si>
    <t xml:space="preserve">E007</t>
  </si>
  <si>
    <t xml:space="preserve">非同步 RL 已用於 DeepSeek、Zhipu、Moonshot、Meta 旗艦模型</t>
  </si>
  <si>
    <t xml:space="preserve">S45–S48</t>
  </si>
  <si>
    <r>
      <rPr>
        <sz val="10"/>
        <color rgb="FF0000FF"/>
        <rFont val="Arial"/>
        <family val="0"/>
        <charset val="1"/>
      </rPr>
      <t xml:space="preserve">Tech_Registry T10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</si>
  <si>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（未入基準）</t>
    </r>
  </si>
  <si>
    <r>
      <rPr>
        <sz val="10"/>
        <color rgb="FF0000FF"/>
        <rFont val="Arial"/>
        <family val="0"/>
        <charset val="1"/>
      </rPr>
      <t xml:space="preserve">0.85</t>
    </r>
    <r>
      <rPr>
        <sz val="10"/>
        <color rgb="FF0000FF"/>
        <rFont val="Noto Sans CJK SC"/>
        <family val="2"/>
      </rPr>
      <t xml:space="preserve">（入基準）</t>
    </r>
  </si>
  <si>
    <t xml:space="preserve">v5.6</t>
  </si>
  <si>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rollout token </t>
    </r>
    <r>
      <rPr>
        <sz val="10"/>
        <color rgb="FF0000FF"/>
        <rFont val="Noto Sans CJK SC"/>
        <family val="2"/>
      </rPr>
      <t xml:space="preserve">重校</t>
    </r>
  </si>
  <si>
    <r>
      <rPr>
        <sz val="10"/>
        <color rgb="FF000000"/>
        <rFont val="Arial"/>
        <family val="0"/>
        <charset val="1"/>
      </rPr>
      <t xml:space="preserve">SRC_MOD_043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</si>
  <si>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t xml:space="preserve">E008</t>
  </si>
  <si>
    <t xml:space="preserve">開源 RL 框架（verl）DeepSeek V4 配方以 FP8 rollout</t>
  </si>
  <si>
    <r>
      <rPr>
        <sz val="10"/>
        <color rgb="FF0000FF"/>
        <rFont val="Arial"/>
        <family val="0"/>
        <charset val="1"/>
      </rPr>
      <t xml:space="preserve">Sens_Train rollout </t>
    </r>
    <r>
      <rPr>
        <sz val="10"/>
        <color rgb="FF0000FF"/>
        <rFont val="Noto Sans CJK SC"/>
        <family val="2"/>
      </rPr>
      <t xml:space="preserve">精度情境</t>
    </r>
  </si>
  <si>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（基準）</t>
    </r>
  </si>
  <si>
    <t xml:space="preserve">不採納為基準</t>
  </si>
  <si>
    <t xml:space="preserve">列為 J12 替代情境</t>
  </si>
  <si>
    <t xml:space="preserve">相關來源不遷入（G0-9）或無數值紀錄</t>
  </si>
  <si>
    <t xml:space="preserve">E009</t>
  </si>
  <si>
    <r>
      <rPr>
        <sz val="10"/>
        <color rgb="FF0000FF"/>
        <rFont val="Arial"/>
        <family val="0"/>
        <charset val="1"/>
      </rPr>
      <t xml:space="preserve">ROLL 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AReaL </t>
    </r>
    <r>
      <rPr>
        <sz val="10"/>
        <color rgb="FF0000FF"/>
        <rFont val="Noto Sans CJK SC"/>
        <family val="2"/>
      </rPr>
      <t xml:space="preserve">非同步增益約 </t>
    </r>
    <r>
      <rPr>
        <sz val="10"/>
        <color rgb="FF0000FF"/>
        <rFont val="Arial"/>
        <family val="0"/>
        <charset val="1"/>
      </rPr>
      <t xml:space="preserve">2–2.7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</si>
  <si>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Train_In rollout </t>
    </r>
    <r>
      <rPr>
        <sz val="10"/>
        <color rgb="FF0000FF"/>
        <rFont val="Noto Sans CJK SC"/>
        <family val="2"/>
      </rPr>
      <t xml:space="preserve">效率區間</t>
    </r>
  </si>
  <si>
    <t xml:space="preserve">增益 2–2.7 倍</t>
  </si>
  <si>
    <t xml:space="preserve">僅框架，不計入 J14 採用數；只用於區間</t>
  </si>
  <si>
    <r>
      <rPr>
        <sz val="10"/>
        <color rgb="FF000000"/>
        <rFont val="Arial"/>
        <family val="0"/>
        <charset val="1"/>
      </rPr>
      <t xml:space="preserve">SRC_PERF_038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SRC_PERF_040</t>
    </r>
  </si>
  <si>
    <t xml:space="preserve">E010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</si>
  <si>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機隊：服務約 </t>
    </r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、免費占服務約 </t>
    </r>
    <r>
      <rPr>
        <sz val="10"/>
        <color rgb="FF0000FF"/>
        <rFont val="Arial"/>
        <family val="0"/>
        <charset val="1"/>
      </rPr>
      <t xml:space="preserve">46%</t>
    </r>
    <r>
      <rPr>
        <sz val="10"/>
        <color rgb="FF0000FF"/>
        <rFont val="Noto Sans CJK SC"/>
        <family val="2"/>
      </rPr>
      <t xml:space="preserve">（支出比）</t>
    </r>
  </si>
  <si>
    <r>
      <rPr>
        <sz val="10"/>
        <color rgb="FF0000FF"/>
        <rFont val="Arial"/>
        <family val="0"/>
        <charset val="1"/>
      </rPr>
      <t xml:space="preserve">Cap_In D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</si>
  <si>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41%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46%</t>
    </r>
  </si>
  <si>
    <t xml:space="preserve">v5.8</t>
  </si>
  <si>
    <t xml:space="preserve">以支出比代 GW 比，為 Derived</t>
  </si>
  <si>
    <r>
      <rPr>
        <sz val="10"/>
        <color rgb="FF000000"/>
        <rFont val="Arial"/>
        <family val="0"/>
        <charset val="1"/>
      </rPr>
      <t xml:space="preserve">SRC_DEM_004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SRC_DEM_009</t>
    </r>
  </si>
  <si>
    <t xml:space="preserve">E011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</si>
  <si>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官方現價：</t>
    </r>
    <r>
      <rPr>
        <sz val="10"/>
        <color rgb="FF0000FF"/>
        <rFont val="Arial"/>
        <family val="0"/>
        <charset val="1"/>
      </rPr>
      <t xml:space="preserve">V4.1-Flash $0.30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$1.20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V4-Pro $1.32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$3.96</t>
    </r>
    <r>
      <rPr>
        <sz val="10"/>
        <color rgb="FF0000FF"/>
        <rFont val="Noto Sans CJK SC"/>
        <family val="2"/>
      </rPr>
      <t xml:space="preserve">（尖峰），離峰半價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</si>
  <si>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Checks</t>
    </r>
  </si>
  <si>
    <t xml:space="preserve">第三方頁 $0.14／$0.28</t>
  </si>
  <si>
    <t xml:space="preserve">官方 $0.30／$1.20</t>
  </si>
  <si>
    <t xml:space="preserve">第三方彙整頁多為過時價；只採官方頁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</si>
  <si>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</si>
  <si>
    <t xml:space="preserve">E012</t>
  </si>
  <si>
    <t xml:space="preserve">中國廠商 2026 年調漲價格（DeepSeek Flash、GLM 5.1、Kimi K2.5、MiniMax）</t>
  </si>
  <si>
    <r>
      <rPr>
        <sz val="10"/>
        <color rgb="FF0000FF"/>
        <rFont val="Arial"/>
        <family val="0"/>
        <charset val="1"/>
      </rPr>
      <t xml:space="preserve">S52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S54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</si>
  <si>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</t>
    </r>
  </si>
  <si>
    <t xml:space="preserve">上漲約 30% 至 4 倍</t>
  </si>
  <si>
    <t xml:space="preserve">說明單價非單向下降；年降幅（K9 (b)）不入基準</t>
  </si>
  <si>
    <r>
      <rPr>
        <sz val="10"/>
        <color rgb="FF000000"/>
        <rFont val="Arial"/>
        <family val="0"/>
        <charset val="1"/>
      </rPr>
      <t xml:space="preserve">SRC_PRC_021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</si>
  <si>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E013</t>
  </si>
  <si>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指數一週改版三次，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由第五升至第一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</si>
  <si>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能力指數</t>
    </r>
  </si>
  <si>
    <r>
      <rPr>
        <sz val="10"/>
        <color rgb="FF0000FF"/>
        <rFont val="Arial"/>
        <family val="0"/>
        <charset val="1"/>
      </rPr>
      <t xml:space="preserve">v4.3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v4.3.2</t>
    </r>
  </si>
  <si>
    <t xml:space="preserve">全表固定同一版本；跨版本不比較</t>
  </si>
  <si>
    <r>
      <rPr>
        <sz val="10"/>
        <color rgb="FF000000"/>
        <rFont val="Arial"/>
        <family val="0"/>
        <charset val="1"/>
      </rPr>
      <t xml:space="preserve">SRC_CAP_001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SRC_CAP_007</t>
    </r>
  </si>
  <si>
    <t xml:space="preserve">E014</t>
  </si>
  <si>
    <r>
      <rPr>
        <sz val="10"/>
        <color rgb="FF0000FF"/>
        <rFont val="Arial"/>
        <family val="0"/>
        <charset val="1"/>
      </rPr>
      <t xml:space="preserve">Claude Opus 5.5 $4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$20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自稱達 </t>
    </r>
    <r>
      <rPr>
        <sz val="10"/>
        <color rgb="FF0000FF"/>
        <rFont val="Arial"/>
        <family val="0"/>
        <charset val="1"/>
      </rPr>
      <t xml:space="preserve">Fable 5.1 </t>
    </r>
    <r>
      <rPr>
        <sz val="10"/>
        <color rgb="FF0000FF"/>
        <rFont val="Noto Sans CJK SC"/>
        <family val="2"/>
      </rPr>
      <t xml:space="preserve">水準</t>
    </r>
  </si>
  <si>
    <r>
      <rPr>
        <sz val="10"/>
        <color rgb="FF0000FF"/>
        <rFont val="Arial"/>
        <family val="0"/>
        <charset val="1"/>
      </rPr>
      <t xml:space="preserve">Price_Frontier Astra </t>
    </r>
    <r>
      <rPr>
        <sz val="10"/>
        <color rgb="FF0000FF"/>
        <rFont val="Noto Sans CJK SC"/>
        <family val="2"/>
      </rPr>
      <t xml:space="preserve">前緣</t>
    </r>
  </si>
  <si>
    <t xml:space="preserve">未納入前緣</t>
  </si>
  <si>
    <t xml:space="preserve">待獨立評測指數；若 ≥ 53，Astra 前緣下移至 $4／$20</t>
  </si>
  <si>
    <r>
      <rPr>
        <sz val="10"/>
        <color rgb="FF000000"/>
        <rFont val="Arial"/>
        <family val="0"/>
        <charset val="1"/>
      </rPr>
      <t xml:space="preserve">SRC_PRC_012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SRC_PRC_020</t>
    </r>
  </si>
  <si>
    <t xml:space="preserve">E015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</si>
  <si>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為開放權重（</t>
    </r>
    <r>
      <rPr>
        <sz val="10"/>
        <color rgb="FF0000FF"/>
        <rFont val="Arial"/>
        <family val="0"/>
        <charset val="1"/>
      </rPr>
      <t xml:space="preserve">Artificial Analysis </t>
    </r>
    <r>
      <rPr>
        <sz val="10"/>
        <color rgb="FF0000FF"/>
        <rFont val="Noto Sans CJK SC"/>
        <family val="2"/>
      </rPr>
      <t xml:space="preserve">標示）／閉源（另一來源）</t>
    </r>
  </si>
  <si>
    <r>
      <rPr>
        <sz val="10"/>
        <color rgb="FF0000FF"/>
        <rFont val="Arial"/>
        <family val="0"/>
        <charset val="1"/>
      </rPr>
      <t xml:space="preserve">Cap_In F </t>
    </r>
    <r>
      <rPr>
        <sz val="10"/>
        <color rgb="FF0000FF"/>
        <rFont val="Noto Sans CJK SC"/>
        <family val="2"/>
      </rPr>
      <t xml:space="preserve">節 開放權重欄</t>
    </r>
  </si>
  <si>
    <r>
      <rPr>
        <sz val="10"/>
        <color rgb="FF000000"/>
        <rFont val="Arial"/>
        <family val="0"/>
        <charset val="1"/>
      </rPr>
      <t xml:space="preserve">SRC_PRC_035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SRC_PRC_044</t>
    </r>
  </si>
  <si>
    <t xml:space="preserve">E016</t>
  </si>
  <si>
    <r>
      <rPr>
        <sz val="10"/>
        <color rgb="FF0000FF"/>
        <rFont val="Arial"/>
        <family val="0"/>
        <charset val="1"/>
      </rPr>
      <t xml:space="preserve">ARC-AGI-3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Provider Adapter </t>
    </r>
    <r>
      <rPr>
        <sz val="10"/>
        <color rgb="FF0000FF"/>
        <rFont val="Noto Sans CJK SC"/>
        <family val="2"/>
      </rPr>
      <t xml:space="preserve">同檔成本 </t>
    </r>
    <r>
      <rPr>
        <sz val="10"/>
        <color rgb="FF0000FF"/>
        <rFont val="Arial"/>
        <family val="0"/>
        <charset val="1"/>
      </rPr>
      <t xml:space="preserve">0.66 </t>
    </r>
    <r>
      <rPr>
        <sz val="10"/>
        <color rgb="FF0000FF"/>
        <rFont val="Noto Sans CJK SC"/>
        <family val="2"/>
      </rPr>
      <t xml:space="preserve">倍、成功率 </t>
    </r>
    <r>
      <rPr>
        <sz val="10"/>
        <color rgb="FF0000FF"/>
        <rFont val="Arial"/>
        <family val="0"/>
        <charset val="1"/>
      </rPr>
      <t xml:space="preserve">1.57 </t>
    </r>
    <r>
      <rPr>
        <sz val="10"/>
        <color rgb="FF0000FF"/>
        <rFont val="Noto Sans CJK SC"/>
        <family val="2"/>
      </rPr>
      <t xml:space="preserve">倍 → 每成功任務成本約 </t>
    </r>
    <r>
      <rPr>
        <sz val="10"/>
        <color rgb="FF0000FF"/>
        <rFont val="Arial"/>
        <family val="0"/>
        <charset val="1"/>
      </rPr>
      <t xml:space="preserve">0.42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</si>
  <si>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Verified-measured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</si>
  <si>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Block 5</t>
    </r>
  </si>
  <si>
    <t xml:space="preserve">R≈0.42</t>
  </si>
  <si>
    <t xml:space="preserve">v5.9</t>
  </si>
  <si>
    <t xml:space="preserve">只作方向檢查；ARC 不是 Workload 任務</t>
  </si>
  <si>
    <r>
      <rPr>
        <sz val="10"/>
        <color rgb="FF000000"/>
        <rFont val="Arial"/>
        <family val="0"/>
        <charset val="1"/>
      </rPr>
      <t xml:space="preserve">SRC_HAR_003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SRC_HAR_012</t>
    </r>
  </si>
  <si>
    <t xml:space="preserve">E017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</si>
  <si>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多代理：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約單代理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倍、評測分數 </t>
    </r>
    <r>
      <rPr>
        <sz val="10"/>
        <color rgb="FF0000FF"/>
        <rFont val="Arial"/>
        <family val="0"/>
        <charset val="1"/>
      </rPr>
      <t xml:space="preserve">+90.2%</t>
    </r>
  </si>
  <si>
    <r>
      <rPr>
        <sz val="10"/>
        <color rgb="FF0000FF"/>
        <rFont val="Arial"/>
        <family val="0"/>
        <charset val="1"/>
      </rPr>
      <t xml:space="preserve">Har_In B </t>
    </r>
    <r>
      <rPr>
        <sz val="10"/>
        <color rgb="FF0000FF"/>
        <rFont val="Noto Sans CJK SC"/>
        <family val="2"/>
      </rPr>
      <t xml:space="preserve">節檔案 </t>
    </r>
    <r>
      <rPr>
        <sz val="10"/>
        <color rgb="FF0000FF"/>
        <rFont val="Arial"/>
        <family val="0"/>
        <charset val="1"/>
      </rPr>
      <t xml:space="preserve">3</t>
    </r>
  </si>
  <si>
    <t xml:space="preserve">R≈2.0</t>
  </si>
  <si>
    <r>
      <rPr>
        <sz val="10"/>
        <color rgb="FF0000FF"/>
        <rFont val="Arial"/>
        <family val="0"/>
        <charset val="1"/>
      </rPr>
      <t xml:space="preserve">90.2% </t>
    </r>
    <r>
      <rPr>
        <sz val="10"/>
        <color rgb="FF0000FF"/>
        <rFont val="Noto Sans CJK SC"/>
        <family val="2"/>
      </rPr>
      <t xml:space="preserve">非成功率且為內建知識，待查核；只作對照（</t>
    </r>
    <r>
      <rPr>
        <sz val="10"/>
        <color rgb="FF0000FF"/>
        <rFont val="Arial"/>
        <family val="0"/>
        <charset val="1"/>
      </rPr>
      <t xml:space="preserve">L7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</si>
  <si>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SRC_HAR_001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SRC_HAR_002</t>
    </r>
  </si>
  <si>
    <t xml:space="preserve">E018</t>
  </si>
  <si>
    <r>
      <rPr>
        <sz val="10"/>
        <color rgb="FF0000FF"/>
        <rFont val="Arial"/>
        <family val="0"/>
        <charset val="1"/>
      </rPr>
      <t xml:space="preserve">METR TH1.1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GPT-5.6 Sol 50% </t>
    </r>
    <r>
      <rPr>
        <sz val="10"/>
        <color rgb="FF0000FF"/>
        <rFont val="Noto Sans CJK SC"/>
        <family val="2"/>
      </rPr>
      <t xml:space="preserve">時間範圍 </t>
    </r>
    <r>
      <rPr>
        <sz val="10"/>
        <color rgb="FF0000FF"/>
        <rFont val="Arial"/>
        <family val="0"/>
        <charset val="1"/>
      </rPr>
      <t xml:space="preserve">11.3 </t>
    </r>
    <r>
      <rPr>
        <sz val="10"/>
        <color rgb="FF0000FF"/>
        <rFont val="Noto Sans CJK SC"/>
        <family val="2"/>
      </rPr>
      <t xml:space="preserve">小時；</t>
    </r>
    <r>
      <rPr>
        <sz val="10"/>
        <color rgb="FF0000FF"/>
        <rFont val="Arial"/>
        <family val="0"/>
        <charset val="1"/>
      </rPr>
      <t xml:space="preserve">Mythos Preview 17.4 </t>
    </r>
    <r>
      <rPr>
        <sz val="10"/>
        <color rgb="FF0000FF"/>
        <rFont val="Noto Sans CJK SC"/>
        <family val="2"/>
      </rPr>
      <t xml:space="preserve">小時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</si>
  <si>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時間範圍</t>
    </r>
  </si>
  <si>
    <r>
      <rPr>
        <sz val="10"/>
        <color rgb="FF0000FF"/>
        <rFont val="Arial"/>
        <family val="0"/>
        <charset val="1"/>
      </rPr>
      <t xml:space="preserve">Luna 1.5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Sol 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Astra 16 hr</t>
    </r>
  </si>
  <si>
    <r>
      <rPr>
        <sz val="10"/>
        <color rgb="FF0000FF"/>
        <rFont val="Arial"/>
        <family val="0"/>
        <charset val="1"/>
      </rPr>
      <t xml:space="preserve">GPT-6 </t>
    </r>
    <r>
      <rPr>
        <sz val="10"/>
        <color rgb="FF0000FF"/>
        <rFont val="Noto Sans CJK SC"/>
        <family val="2"/>
      </rPr>
      <t xml:space="preserve">各層級未發布，以相近模型類比</t>
    </r>
  </si>
  <si>
    <r>
      <rPr>
        <sz val="10"/>
        <color rgb="FF000000"/>
        <rFont val="Arial"/>
        <family val="0"/>
        <charset val="1"/>
      </rPr>
      <t xml:space="preserve">SRC_CAP_012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SRC_CAP_021</t>
    </r>
  </si>
  <si>
    <t xml:space="preserve">E019</t>
  </si>
  <si>
    <r>
      <rPr>
        <sz val="10"/>
        <color rgb="FF0000FF"/>
        <rFont val="Arial"/>
        <family val="0"/>
        <charset val="1"/>
      </rPr>
      <t xml:space="preserve">METR 50% ÷ 80% </t>
    </r>
    <r>
      <rPr>
        <sz val="10"/>
        <color rgb="FF0000FF"/>
        <rFont val="Noto Sans CJK SC"/>
        <family val="2"/>
      </rPr>
      <t xml:space="preserve">時間範圍比 </t>
    </r>
    <r>
      <rPr>
        <sz val="10"/>
        <color rgb="FF0000FF"/>
        <rFont val="Arial"/>
        <family val="0"/>
        <charset val="1"/>
      </rPr>
      <t xml:space="preserve">3.9–7.2 → β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0.70–1.0</t>
    </r>
  </si>
  <si>
    <r>
      <rPr>
        <sz val="10"/>
        <color rgb="FF0000FF"/>
        <rFont val="Arial"/>
        <family val="0"/>
        <charset val="1"/>
      </rPr>
      <t xml:space="preserve">Har_In C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β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</si>
  <si>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0.65–1.0</t>
    </r>
    <r>
      <rPr>
        <sz val="10"/>
        <color rgb="FF0000FF"/>
        <rFont val="Noto Sans CJK SC"/>
        <family val="2"/>
      </rPr>
      <t xml:space="preserve">）</t>
    </r>
  </si>
  <si>
    <t xml:space="preserve">E020</t>
  </si>
  <si>
    <r>
      <rPr>
        <sz val="10"/>
        <color rgb="FF0000FF"/>
        <rFont val="Arial"/>
        <family val="0"/>
        <charset val="1"/>
      </rPr>
      <t xml:space="preserve">Opus 5 </t>
    </r>
    <r>
      <rPr>
        <sz val="10"/>
        <color rgb="FF0000FF"/>
        <rFont val="Noto Sans CJK SC"/>
        <family val="2"/>
      </rPr>
      <t xml:space="preserve">搭配 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由 </t>
    </r>
    <r>
      <rPr>
        <sz val="10"/>
        <color rgb="FF0000FF"/>
        <rFont val="Arial"/>
        <family val="0"/>
        <charset val="1"/>
      </rPr>
      <t xml:space="preserve">30.2% </t>
    </r>
    <r>
      <rPr>
        <sz val="10"/>
        <color rgb="FF0000FF"/>
        <rFont val="Noto Sans CJK SC"/>
        <family val="2"/>
      </rPr>
      <t xml:space="preserve">至全部通關（歸屬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或 </t>
    </r>
    <r>
      <rPr>
        <sz val="10"/>
        <color rgb="FF0000FF"/>
        <rFont val="Arial"/>
        <family val="0"/>
        <charset val="1"/>
      </rPr>
      <t xml:space="preserve">Strands </t>
    </r>
    <r>
      <rPr>
        <sz val="10"/>
        <color rgb="FF0000FF"/>
        <rFont val="Noto Sans CJK SC"/>
        <family val="2"/>
      </rPr>
      <t xml:space="preserve">不一）</t>
    </r>
  </si>
  <si>
    <r>
      <rPr>
        <sz val="10"/>
        <color rgb="FF0000FF"/>
        <rFont val="Arial"/>
        <family val="0"/>
        <charset val="1"/>
      </rPr>
      <t xml:space="preserve">Har_In E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</si>
  <si>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Strands</t>
    </r>
    <r>
      <rPr>
        <sz val="10"/>
        <color rgb="FF0000FF"/>
        <rFont val="Noto Sans CJK SC"/>
        <family val="2"/>
      </rPr>
      <t xml:space="preserve">（交接）</t>
    </r>
  </si>
  <si>
    <r>
      <rPr>
        <sz val="10"/>
        <color rgb="FF0000FF"/>
        <rFont val="Arial"/>
        <family val="0"/>
        <charset val="1"/>
      </rPr>
      <t xml:space="preserve">Nvidia</t>
    </r>
    <r>
      <rPr>
        <sz val="10"/>
        <color rgb="FF0000FF"/>
        <rFont val="Noto Sans CJK SC"/>
        <family val="2"/>
      </rPr>
      <t xml:space="preserve">（報導）</t>
    </r>
  </si>
  <si>
    <t xml:space="preserve">成本未找到</t>
  </si>
  <si>
    <t xml:space="preserve">E101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</si>
  <si>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</si>
  <si>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遷移</t>
  </si>
  <si>
    <t xml:space="preserve">見 SRC 模型使用位置</t>
  </si>
  <si>
    <t xml:space="preserve">遷移（G0-1）</t>
  </si>
  <si>
    <t xml:space="preserve">v5.11</t>
  </si>
  <si>
    <r>
      <rPr>
        <sz val="10"/>
        <color rgb="FF0000FF"/>
        <rFont val="Arial"/>
        <family val="0"/>
        <charset val="1"/>
      </rPr>
      <t xml:space="preserve">Stage 0 </t>
    </r>
    <r>
      <rPr>
        <sz val="10"/>
        <color rgb="FF0000FF"/>
        <rFont val="Noto Sans CJK SC"/>
        <family val="2"/>
      </rPr>
      <t xml:space="preserve">審閱檔 </t>
    </r>
    <r>
      <rPr>
        <sz val="10"/>
        <color rgb="FF0000FF"/>
        <rFont val="Arial"/>
        <family val="0"/>
        <charset val="1"/>
      </rPr>
      <t xml:space="preserve">Sources_</t>
    </r>
    <r>
      <rPr>
        <sz val="10"/>
        <color rgb="FF0000FF"/>
        <rFont val="Noto Sans CJK SC"/>
        <family val="2"/>
      </rPr>
      <t xml:space="preserve">拆解；數值取自 </t>
    </r>
    <r>
      <rPr>
        <sz val="10"/>
        <color rgb="FF0000FF"/>
        <rFont val="Arial"/>
        <family val="0"/>
        <charset val="1"/>
      </rPr>
      <t xml:space="preserve">Sources </t>
    </r>
    <r>
      <rPr>
        <sz val="10"/>
        <color rgb="FF0000FF"/>
        <rFont val="Noto Sans CJK SC"/>
        <family val="2"/>
      </rPr>
      <t xml:space="preserve">文字與模型格，未重新查核原文</t>
    </r>
  </si>
  <si>
    <t xml:space="preserve">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</si>
  <si>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</si>
  <si>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SRC_HW_003</t>
    </r>
  </si>
  <si>
    <t xml:space="preserve">E103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</si>
  <si>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</si>
  <si>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</si>
  <si>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</si>
  <si>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</si>
  <si>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</si>
  <si>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E106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</si>
  <si>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</si>
  <si>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</si>
  <si>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SRC_HW_013</t>
    </r>
  </si>
  <si>
    <t xml:space="preserve">E108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</si>
  <si>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</si>
  <si>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</si>
  <si>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</si>
  <si>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</si>
  <si>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</si>
  <si>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</si>
  <si>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</si>
  <si>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SRC_HW_035</t>
    </r>
  </si>
  <si>
    <t xml:space="preserve">E113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</si>
  <si>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</si>
  <si>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2</t>
  </si>
  <si>
    <t xml:space="preserve">E114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</si>
  <si>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E001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</si>
  <si>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U-NV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</si>
  <si>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SRC_HW_050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</si>
  <si>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U-PR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</si>
  <si>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SRC_HW_051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</si>
  <si>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</si>
  <si>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</si>
  <si>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</si>
  <si>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</si>
  <si>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</si>
  <si>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</si>
  <si>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</si>
  <si>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SRC_DC_009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</si>
  <si>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</si>
  <si>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</si>
  <si>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S17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</si>
  <si>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SRC_DC_012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SRC_DC_013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</si>
  <si>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</si>
  <si>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SRC_MOD_006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</si>
  <si>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U-DS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</si>
  <si>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SRC_MOD_028</t>
    </r>
  </si>
  <si>
    <t xml:space="preserve">E125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</si>
  <si>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</si>
  <si>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1</t>
  </si>
  <si>
    <t xml:space="preserve">E126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</si>
  <si>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</si>
  <si>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</si>
  <si>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</si>
  <si>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E129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</si>
  <si>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</si>
  <si>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</si>
  <si>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SRC_MOD_039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SRC_MOD_042</t>
    </r>
  </si>
  <si>
    <t xml:space="preserve">E131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</si>
  <si>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</si>
  <si>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E132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</si>
  <si>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</si>
  <si>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E133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</si>
  <si>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</si>
  <si>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SRC_MOD_046</t>
    </r>
  </si>
  <si>
    <t xml:space="preserve">E134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</si>
  <si>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</si>
  <si>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SRC_MOD_047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</si>
  <si>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</si>
  <si>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</si>
  <si>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</si>
  <si>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SRC_PERF_008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</si>
  <si>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</si>
  <si>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SRC_PERF_013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</si>
  <si>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</si>
  <si>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SRC_PERF_015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</si>
  <si>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</si>
  <si>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SRC_PERF_017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</si>
  <si>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S26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</si>
  <si>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SRC_PERF_018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SRC_PERF_019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SRC_PERF_022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</si>
  <si>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</si>
  <si>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</si>
  <si>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SRC_PERF_026</t>
    </r>
  </si>
  <si>
    <t xml:space="preserve">E143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</si>
  <si>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</si>
  <si>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SRC_PERF_028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</si>
  <si>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</si>
  <si>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SRC_PERF_035</t>
    </r>
  </si>
  <si>
    <t xml:space="preserve">E145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</si>
  <si>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S37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</si>
  <si>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SRC_PERF_036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SRC_PERF_037</t>
    </r>
  </si>
  <si>
    <t xml:space="preserve">E146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</si>
  <si>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遷移：</t>
    </r>
    <r>
      <rPr>
        <sz val="10"/>
        <color rgb="FF0000FF"/>
        <rFont val="Arial"/>
        <family val="0"/>
        <charset val="1"/>
      </rPr>
      <t xml:space="preserve">S49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</si>
  <si>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v5.11 </t>
    </r>
    <r>
      <rPr>
        <sz val="10"/>
        <color rgb="FF0000FF"/>
        <rFont val="Noto Sans CJK SC"/>
        <family val="2"/>
      </rPr>
      <t xml:space="preserve">補登：模型頁原始數據原無來源紀錄，新增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</si>
  <si>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t xml:space="preserve">補登</t>
  </si>
  <si>
    <t xml:space="preserve">補登（G2；3 級待查）</t>
  </si>
  <si>
    <r>
      <rPr>
        <sz val="10"/>
        <color rgb="FF0000FF"/>
        <rFont val="Arial"/>
        <family val="0"/>
        <charset val="1"/>
      </rPr>
      <t xml:space="preserve">Stage 2 </t>
    </r>
    <r>
      <rPr>
        <sz val="10"/>
        <color rgb="FF0000FF"/>
        <rFont val="Noto Sans CJK SC"/>
        <family val="2"/>
      </rPr>
      <t xml:space="preserve">依敏感度查核</t>
    </r>
  </si>
  <si>
    <r>
      <rPr>
        <sz val="10"/>
        <color rgb="FF000000"/>
        <rFont val="Arial"/>
        <family val="0"/>
        <charset val="1"/>
      </rPr>
      <t xml:space="preserve">SRC_HW_053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SRC_HW_060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SRC_MOD_051</t>
    </r>
  </si>
  <si>
    <t xml:space="preserve">中立／利害關係方</t>
  </si>
  <si>
    <t xml:space="preserve">2026-10-03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</si>
  <si>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</si>
  <si>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t xml:space="preserve">v5.13</t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</si>
  <si>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S19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</si>
  <si>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S25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</si>
  <si>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S38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</si>
  <si>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</si>
  <si>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SRC_PRC_003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</si>
  <si>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</si>
  <si>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S52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</si>
  <si>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S53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</si>
  <si>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SRC_PRC_029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SRC_PRC_034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</si>
  <si>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S54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</si>
  <si>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S55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</si>
  <si>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S56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</si>
  <si>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SRC_CAP_008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SRC_CAP_011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</si>
  <si>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S57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</si>
  <si>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S58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</si>
  <si>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S59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</si>
  <si>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S60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</si>
  <si>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00"/>
        <rFont val="Arial"/>
        <family val="0"/>
        <charset val="1"/>
      </rPr>
      <t xml:space="preserve">SRC_HAR_013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SRC_HAR_014</t>
    </r>
  </si>
  <si>
    <r>
      <rPr>
        <sz val="10"/>
        <color rgb="FF0000FF"/>
        <rFont val="Arial"/>
        <family val="0"/>
        <charset val="1"/>
      </rPr>
      <t xml:space="preserve">Stage 1 </t>
    </r>
    <r>
      <rPr>
        <sz val="10"/>
        <color rgb="FF0000FF"/>
        <rFont val="Noto Sans CJK SC"/>
        <family val="2"/>
      </rPr>
      <t xml:space="preserve">切片二遷移：</t>
    </r>
    <r>
      <rPr>
        <sz val="10"/>
        <color rgb="FF0000FF"/>
        <rFont val="Arial"/>
        <family val="0"/>
        <charset val="1"/>
      </rPr>
      <t xml:space="preserve">S61 </t>
    </r>
    <r>
      <rPr>
        <sz val="10"/>
        <color rgb="FF0000FF"/>
        <rFont val="Noto Sans CJK SC"/>
        <family val="2"/>
      </rPr>
      <t xml:space="preserve">拆為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 </t>
    </r>
    <r>
      <rPr>
        <sz val="10"/>
        <color rgb="FF0000FF"/>
        <rFont val="Noto Sans CJK SC"/>
        <family val="2"/>
      </rPr>
      <t xml:space="preserve">數值紀錄</t>
    </r>
  </si>
  <si>
    <r>
      <rPr>
        <sz val="10"/>
        <color rgb="FF0000FF"/>
        <rFont val="Arial"/>
        <family val="0"/>
        <charset val="1"/>
      </rPr>
      <t xml:space="preserve">S30 </t>
    </r>
    <r>
      <rPr>
        <sz val="10"/>
        <color rgb="FF0000FF"/>
        <rFont val="Noto Sans CJK SC"/>
        <family val="2"/>
      </rPr>
      <t xml:space="preserve">一手原文已讀：</t>
    </r>
    <r>
      <rPr>
        <sz val="10"/>
        <color rgb="FF0000FF"/>
        <rFont val="Arial"/>
        <family val="0"/>
        <charset val="1"/>
      </rPr>
      <t xml:space="preserve">DeepSeek V3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線上服務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小時統計，補登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筆 </t>
    </r>
    <r>
      <rPr>
        <sz val="10"/>
        <color rgb="FF0000FF"/>
        <rFont val="Arial"/>
        <family val="0"/>
        <charset val="1"/>
      </rPr>
      <t xml:space="preserve">SRC_Perf</t>
    </r>
  </si>
  <si>
    <t xml:space="preserve">一手原文</t>
  </si>
  <si>
    <r>
      <rPr>
        <sz val="10"/>
        <color rgb="FF0000FF"/>
        <rFont val="Arial"/>
        <family val="0"/>
        <charset val="1"/>
      </rPr>
      <t xml:space="preserve">Spec_Rack!C29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Calib!C67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 </t>
    </r>
    <r>
      <rPr>
        <sz val="10"/>
        <color rgb="FF0000FF"/>
        <rFont val="Noto Sans CJK SC"/>
        <family val="2"/>
      </rPr>
      <t xml:space="preserve">可比對象）；</t>
    </r>
    <r>
      <rPr>
        <sz val="10"/>
        <color rgb="FF0000FF"/>
        <rFont val="Arial"/>
        <family val="0"/>
        <charset val="1"/>
      </rPr>
      <t xml:space="preserve">Workload!C11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列（對照）</t>
    </r>
  </si>
  <si>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14.8k tok/s/</t>
    </r>
    <r>
      <rPr>
        <sz val="10"/>
        <color rgb="FF0000FF"/>
        <rFont val="Noto Sans CJK SC"/>
        <family val="2"/>
      </rPr>
      <t xml:space="preserve">節點；快取命中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；每用戶 </t>
    </r>
    <r>
      <rPr>
        <sz val="10"/>
        <color rgb="FF0000FF"/>
        <rFont val="Arial"/>
        <family val="0"/>
        <charset val="1"/>
      </rPr>
      <t xml:space="preserve">20–22 tok/s</t>
    </r>
  </si>
  <si>
    <t xml:space="preserve">補登（G2；1 級）</t>
  </si>
  <si>
    <r>
      <rPr>
        <sz val="10"/>
        <color rgb="FF0000FF"/>
        <rFont val="Arial"/>
        <family val="0"/>
        <charset val="1"/>
      </rPr>
      <t xml:space="preserve">Sources_Legacy S30 </t>
    </r>
    <r>
      <rPr>
        <sz val="10"/>
        <color rgb="FF0000FF"/>
        <rFont val="Noto Sans CJK SC"/>
        <family val="2"/>
      </rPr>
      <t xml:space="preserve">原為模型內建知識（待查核）。原文的日成本 </t>
    </r>
    <r>
      <rPr>
        <sz val="10"/>
        <color rgb="FF0000FF"/>
        <rFont val="Arial"/>
        <family val="0"/>
        <charset val="1"/>
      </rPr>
      <t xml:space="preserve">$87,072 </t>
    </r>
    <r>
      <rPr>
        <sz val="10"/>
        <color rgb="FF0000FF"/>
        <rFont val="Noto Sans CJK SC"/>
        <family val="2"/>
      </rPr>
      <t xml:space="preserve">與成本毛利率 </t>
    </r>
    <r>
      <rPr>
        <sz val="10"/>
        <color rgb="FF0000FF"/>
        <rFont val="Arial"/>
        <family val="0"/>
        <charset val="1"/>
      </rPr>
      <t xml:space="preserve">545%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假設的 </t>
    </r>
    <r>
      <rPr>
        <sz val="10"/>
        <color rgb="FF0000FF"/>
        <rFont val="Arial"/>
        <family val="0"/>
        <charset val="1"/>
      </rPr>
      <t xml:space="preserve">$2/GPU-hr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R1 </t>
    </r>
    <r>
      <rPr>
        <sz val="10"/>
        <color rgb="FF0000FF"/>
        <rFont val="Noto Sans CJK SC"/>
        <family val="2"/>
      </rPr>
      <t xml:space="preserve">全額計價推算，非實測，不登錄為 </t>
    </r>
    <r>
      <rPr>
        <sz val="10"/>
        <color rgb="FF0000FF"/>
        <rFont val="Arial"/>
        <family val="0"/>
        <charset val="1"/>
      </rPr>
      <t xml:space="preserve">SRC</t>
    </r>
    <r>
      <rPr>
        <sz val="10"/>
        <color rgb="FF0000FF"/>
        <rFont val="Noto Sans CJK SC"/>
        <family val="2"/>
      </rPr>
      <t xml:space="preserve">。</t>
    </r>
  </si>
  <si>
    <r>
      <rPr>
        <sz val="10"/>
        <color rgb="FF000000"/>
        <rFont val="Arial"/>
        <family val="0"/>
        <charset val="1"/>
      </rPr>
      <t xml:space="preserve">SRC_PERF_041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SRC_PERF_044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SRC_PERF_046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SRC_PERF_049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SRC_PERF_051</t>
    </r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</si>
  <si>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官方 </t>
    </r>
    <r>
      <rPr>
        <sz val="10"/>
        <color rgb="FF0000FF"/>
        <rFont val="Arial"/>
        <family val="0"/>
        <charset val="1"/>
      </rPr>
      <t xml:space="preserve">config.json </t>
    </r>
    <r>
      <rPr>
        <sz val="10"/>
        <color rgb="FF0000FF"/>
        <rFont val="Noto Sans CJK SC"/>
        <family val="2"/>
      </rPr>
      <t xml:space="preserve">已讀：補登 </t>
    </r>
    <r>
      <rPr>
        <sz val="10"/>
        <color rgb="FF0000FF"/>
        <rFont val="Arial"/>
        <family val="0"/>
        <charset val="1"/>
      </rPr>
      <t xml:space="preserve">d_model 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query heads 64</t>
    </r>
  </si>
  <si>
    <r>
      <rPr>
        <sz val="10"/>
        <color rgb="FF0000FF"/>
        <rFont val="Arial"/>
        <family val="0"/>
        <charset val="1"/>
      </rPr>
      <t xml:space="preserve">Arch!C9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Arch!C10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</si>
  <si>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（反推）、</t>
    </r>
    <r>
      <rPr>
        <sz val="10"/>
        <color rgb="FF0000FF"/>
        <rFont val="Arial"/>
        <family val="0"/>
        <charset val="1"/>
      </rPr>
      <t xml:space="preserve">64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</si>
  <si>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4096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64</t>
    </r>
  </si>
  <si>
    <t xml:space="preserve">同檔亦確認 SRC_MOD_007 層數 43、009 KV head 512、010 routed experts 256、012 top-6、013 shared 1、014 vocab 129280、017 滑動窗 128；這些紀錄目前為 3 級，升級留 Stage 2。另載 num_key_value_heads 1、qk_rope_head_dim 64、compress_ratios（4／128 交替），可供 Luna 每層 KV 結構重算</t>
  </si>
  <si>
    <r>
      <rPr>
        <sz val="10"/>
        <color rgb="FF000000"/>
        <rFont val="Arial"/>
        <family val="0"/>
        <charset val="1"/>
      </rPr>
      <t xml:space="preserve">SRC_MOD_052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SRC_MOD_053</t>
    </r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</si>
  <si>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DevDay 2025-10-06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</si>
  <si>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TechCrunch 2025-10-06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Epoch usage reports</t>
    </r>
  </si>
  <si>
    <t xml:space="preserve">二手（待查原文）</t>
  </si>
  <si>
    <r>
      <rPr>
        <sz val="10"/>
        <color rgb="FF0000FF"/>
        <rFont val="Arial"/>
        <family val="0"/>
        <charset val="1"/>
      </rPr>
      <t xml:space="preserve">Alloc!A </t>
    </r>
    <r>
      <rPr>
        <sz val="10"/>
        <color rgb="FF0000FF"/>
        <rFont val="Noto Sans CJK SC"/>
        <family val="2"/>
      </rPr>
      <t xml:space="preserve">節</t>
    </r>
  </si>
  <si>
    <t xml:space="preserve">6 B tok/min</t>
  </si>
  <si>
    <t xml:space="preserve">補登（G2；2 級）</t>
  </si>
  <si>
    <t xml:space="preserve">v5.15</t>
  </si>
  <si>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月時點值；工作單 </t>
    </r>
    <r>
      <rPr>
        <sz val="10"/>
        <color rgb="FF0000FF"/>
        <rFont val="Arial"/>
        <family val="0"/>
        <charset val="1"/>
      </rPr>
      <t xml:space="preserve">v5.15 B2 </t>
    </r>
    <r>
      <rPr>
        <sz val="10"/>
        <color rgb="FF0000FF"/>
        <rFont val="Noto Sans CJK SC"/>
        <family val="2"/>
      </rPr>
      <t xml:space="preserve">登錄；原文未直接讀取</t>
    </r>
  </si>
  <si>
    <r>
      <rPr>
        <sz val="10"/>
        <color rgb="FF000000"/>
        <rFont val="Arial"/>
        <family val="0"/>
        <charset val="1"/>
      </rPr>
      <t xml:space="preserve">IF_Alloc*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L1_Ans1–9</t>
    </r>
  </si>
  <si>
    <t xml:space="preserve">E167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</si>
  <si>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處理量「超過」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（融資公告，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</si>
  <si>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融資公告（</t>
    </r>
    <r>
      <rPr>
        <sz val="10"/>
        <color rgb="FF0000FF"/>
        <rFont val="Arial"/>
        <family val="0"/>
        <charset val="1"/>
      </rPr>
      <t xml:space="preserve">$122B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TechRadar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Business Analytics </t>
    </r>
    <r>
      <rPr>
        <sz val="10"/>
        <color rgb="FF0000FF"/>
        <rFont val="Noto Sans CJK SC"/>
        <family val="2"/>
      </rPr>
      <t xml:space="preserve">轉述</t>
    </r>
  </si>
  <si>
    <t xml:space="preserve">（備查）</t>
  </si>
  <si>
    <t xml:space="preserve">15 B tok/min</t>
  </si>
  <si>
    <t xml:space="preserve">工作單 v5.15 B2 登錄；CC 2026-10-04 以網路搜尋交叉確認「15 billion tokens per minute」見於多家轉述（pulse2、CoinDesk 2026-04-01 等）；openai.com 原文未能直接讀取，仍為二手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</si>
  <si>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每日提示數 </t>
    </r>
    <r>
      <rPr>
        <sz val="10"/>
        <color rgb="FF0000FF"/>
        <rFont val="Arial"/>
        <family val="0"/>
        <charset val="1"/>
      </rPr>
      <t xml:space="preserve">2.5B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2025-07-21</t>
    </r>
    <r>
      <rPr>
        <sz val="10"/>
        <color rgb="FF0000FF"/>
        <rFont val="Noto Sans CJK SC"/>
        <family val="2"/>
      </rPr>
      <t xml:space="preserve">；美國約 </t>
    </r>
    <r>
      <rPr>
        <sz val="10"/>
        <color rgb="FF0000FF"/>
        <rFont val="Arial"/>
        <family val="0"/>
        <charset val="1"/>
      </rPr>
      <t xml:space="preserve">0.33B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</si>
  <si>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告知 </t>
    </r>
    <r>
      <rPr>
        <sz val="10"/>
        <color rgb="FF0000FF"/>
        <rFont val="Arial"/>
        <family val="0"/>
        <charset val="1"/>
      </rPr>
      <t xml:space="preserve">Axios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TechCrunch 2025-07-21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</si>
  <si>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2.5 B </t>
    </r>
    <r>
      <rPr>
        <sz val="10"/>
        <color rgb="FF0000FF"/>
        <rFont val="Noto Sans CJK SC"/>
        <family val="2"/>
      </rPr>
      <t xml:space="preserve">則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日</t>
    </r>
  </si>
  <si>
    <t xml:space="preserve">年中時點值視同全年平均（A9）；工作單 v5.15 B2 登錄</t>
  </si>
  <si>
    <t xml:space="preserve">E169</t>
  </si>
  <si>
    <t xml:space="preserve">前沿實驗室每日 token 10–100T（Epoch AI 由算力推估）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</si>
  <si>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tokensperday.com </t>
    </r>
    <r>
      <rPr>
        <sz val="10"/>
        <color rgb="FF0000FF"/>
        <rFont val="Noto Sans CJK SC"/>
        <family val="2"/>
      </rPr>
      <t xml:space="preserve">引用）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</si>
  <si>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</t>
    </r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</si>
  <si>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</t>
    </r>
  </si>
  <si>
    <t xml:space="preserve">工作單 v5.15 B2 登錄；CC 2026-10-04 搜尋未找到 tokensperday.com 或 Epoch 原始頁，數值未查核，仍為二手</t>
  </si>
  <si>
    <t xml:space="preserve">E170</t>
  </si>
  <si>
    <r>
      <rPr>
        <sz val="10"/>
        <color rgb="FF0000FF"/>
        <rFont val="Arial"/>
        <family val="0"/>
        <charset val="1"/>
      </rPr>
      <t xml:space="preserve">DeepSeek V4-Pro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49 B</t>
    </r>
  </si>
  <si>
    <t xml:space="preserve">https://huggingface.co/deepseek-ai/DeepSeek-V4-Flash</t>
  </si>
  <si>
    <t xml:space="preserve">一手（已讀原文）</t>
  </si>
  <si>
    <t xml:space="preserve">Arch D7</t>
  </si>
  <si>
    <t xml:space="preserve">49 B</t>
  </si>
  <si>
    <r>
      <rPr>
        <sz val="10"/>
        <color rgb="FF0000FF"/>
        <rFont val="Arial"/>
        <family val="0"/>
        <charset val="1"/>
      </rPr>
      <t xml:space="preserve">49B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</si>
  <si>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(a)；值相同）</t>
  </si>
  <si>
    <t xml:space="preserve">v5.18</t>
  </si>
  <si>
    <t xml:space="preserve">讀取者：CC｜讀取日 2026-10-05｜S1 (a)；值相同｜摘錄：“DeepSeek-V4-Pro … (49B activated) … DeepSeek-V4-Flash … (13B activated)”｜換算：—｜立場：利害關係方：DeepSeek 自揭規格；啟用參數為可由權重與 config 推算的結構量，誘因影響小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</si>
  <si>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等級；數值不變）</t>
    </r>
  </si>
  <si>
    <t xml:space="preserve">E171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</si>
  <si>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啟用參數（</t>
    </r>
    <r>
      <rPr>
        <sz val="10"/>
        <color rgb="FF0000FF"/>
        <rFont val="Arial"/>
        <family val="0"/>
        <charset val="1"/>
      </rPr>
      <t xml:space="preserve">SRC_MOD_006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 B</t>
    </r>
  </si>
  <si>
    <t xml:space="preserve">Arch C7</t>
  </si>
  <si>
    <t xml:space="preserve">13 B</t>
  </si>
  <si>
    <r>
      <rPr>
        <sz val="10"/>
        <color rgb="FF0000FF"/>
        <rFont val="Arial"/>
        <family val="0"/>
        <charset val="1"/>
      </rPr>
      <t xml:space="preserve">13B activated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</t>
    </r>
  </si>
  <si>
    <t xml:space="preserve">E172</t>
  </si>
  <si>
    <r>
      <rPr>
        <sz val="10"/>
        <color rgb="FF0000FF"/>
        <rFont val="Arial"/>
        <family val="0"/>
        <charset val="1"/>
      </rPr>
      <t xml:space="preserve">DeepSeek V4-Flash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SRC_MOD_007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</si>
  <si>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t xml:space="preserve">https://huggingface.co/deepseek-ai/DeepSeek-V4-Flash/raw/fd53f94/config.json</t>
  </si>
  <si>
    <t xml:space="preserve">Arch C8</t>
  </si>
  <si>
    <r>
      <rPr>
        <sz val="10"/>
        <color rgb="FF0000FF"/>
        <rFont val="Arial"/>
        <family val="0"/>
        <charset val="1"/>
      </rPr>
      <t xml:space="preserve">43 </t>
    </r>
    <r>
      <rPr>
        <sz val="10"/>
        <color rgb="FF0000FF"/>
        <rFont val="Noto Sans CJK SC"/>
        <family val="2"/>
      </rPr>
      <t xml:space="preserve">層</t>
    </r>
  </si>
  <si>
    <r>
      <rPr>
        <sz val="10"/>
        <color rgb="FF0000FF"/>
        <rFont val="Arial"/>
        <family val="0"/>
        <charset val="1"/>
      </rPr>
      <t xml:space="preserve">Flash 43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61</t>
    </r>
  </si>
  <si>
    <t xml:space="preserve">讀取者：CC｜讀取日 2026-10-05｜S1 (a)；值相同｜摘錄：“num_hidden_layers: 43”｜換算：—｜立場：利害關係方：DeepSeek 自揭；config.json 為模型實際載入的結構設定，可由權重形狀互證，誘因影響小</t>
  </si>
  <si>
    <t xml:space="preserve">E173</t>
  </si>
  <si>
    <r>
      <rPr>
        <sz val="10"/>
        <color rgb="FF0000FF"/>
        <rFont val="Arial"/>
        <family val="0"/>
        <charset val="1"/>
      </rPr>
      <t xml:space="preserve">DeepSeek V4 KV head </t>
    </r>
    <r>
      <rPr>
        <sz val="10"/>
        <color rgb="FF0000FF"/>
        <rFont val="Noto Sans CJK SC"/>
        <family val="2"/>
      </rPr>
      <t xml:space="preserve">維度（</t>
    </r>
    <r>
      <rPr>
        <sz val="10"/>
        <color rgb="FF0000FF"/>
        <rFont val="Arial"/>
        <family val="0"/>
        <charset val="1"/>
      </rPr>
      <t xml:space="preserve">SRC_MOD_009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</si>
  <si>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D11</t>
    </r>
  </si>
  <si>
    <r>
      <rPr>
        <sz val="10"/>
        <color rgb="FF0000FF"/>
        <rFont val="Arial"/>
        <family val="0"/>
        <charset val="1"/>
      </rPr>
      <t xml:space="preserve">512 </t>
    </r>
    <r>
      <rPr>
        <sz val="10"/>
        <color rgb="FF0000FF"/>
        <rFont val="Noto Sans CJK SC"/>
        <family val="2"/>
      </rPr>
      <t xml:space="preserve">維（單一 </t>
    </r>
    <r>
      <rPr>
        <sz val="10"/>
        <color rgb="FF0000FF"/>
        <rFont val="Arial"/>
        <family val="0"/>
        <charset val="1"/>
      </rPr>
      <t xml:space="preserve">KV head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</si>
  <si>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512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</si>
  <si>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(a)；值相同｜摘錄：“head_dim: 512；num_key_value_heads: 1”｜換算：—｜立場：利害關係方：DeepSeek 自揭；config.json 為模型實際載入的結構設定，可由權重形狀互證，誘因影響小</t>
  </si>
  <si>
    <t xml:space="preserve">E174</t>
  </si>
  <si>
    <r>
      <rPr>
        <sz val="10"/>
        <color rgb="FF0000FF"/>
        <rFont val="Arial"/>
        <family val="0"/>
        <charset val="1"/>
      </rPr>
      <t xml:space="preserve">DeepSeek V4-Flash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</si>
  <si>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t xml:space="preserve">Arch C12</t>
  </si>
  <si>
    <r>
      <rPr>
        <sz val="10"/>
        <color rgb="FF0000FF"/>
        <rFont val="Arial"/>
        <family val="0"/>
        <charset val="1"/>
      </rPr>
      <t xml:space="preserve">256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</si>
  <si>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 256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Pro 384</t>
    </r>
    <r>
      <rPr>
        <sz val="10"/>
        <color rgb="FF0000FF"/>
        <rFont val="Noto Sans CJK SC"/>
        <family val="2"/>
      </rPr>
      <t xml:space="preserve">，見 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</si>
  <si>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(a)；值相同｜摘錄：“n_routed_experts: 256”｜換算：—｜立場：利害關係方：DeepSeek 自揭；config.json 為模型實際載入的結構設定，可由權重形狀互證，誘因影響小</t>
  </si>
  <si>
    <t xml:space="preserve">E175</t>
  </si>
  <si>
    <r>
      <rPr>
        <sz val="10"/>
        <color rgb="FF0000FF"/>
        <rFont val="Arial"/>
        <family val="0"/>
        <charset val="1"/>
      </rPr>
      <t xml:space="preserve">DeepSeek V4-Pro 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</si>
  <si>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Arch D12</t>
  </si>
  <si>
    <r>
      <rPr>
        <sz val="10"/>
        <color rgb="FF0000FF"/>
        <rFont val="Arial"/>
        <family val="0"/>
        <charset val="1"/>
      </rPr>
      <t xml:space="preserve">384 </t>
    </r>
    <r>
      <rPr>
        <sz val="10"/>
        <color rgb="FF0000FF"/>
        <rFont val="Noto Sans CJK SC"/>
        <family val="2"/>
      </rPr>
      <t xml:space="preserve">個</t>
    </r>
  </si>
  <si>
    <t xml:space="preserve">384</t>
  </si>
  <si>
    <t xml:space="preserve">讀取者：CC｜讀取日 2026-10-05｜S1 (a)；值相同｜摘錄：“n_routed_experts: 384”｜換算：—｜立場：利害關係方：DeepSeek 自揭</t>
  </si>
  <si>
    <t xml:space="preserve">E176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</si>
  <si>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啟用 </t>
    </r>
    <r>
      <rPr>
        <sz val="10"/>
        <color rgb="FF0000FF"/>
        <rFont val="Arial"/>
        <family val="0"/>
        <charset val="1"/>
      </rPr>
      <t xml:space="preserve">routed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SRC_MOD_012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</si>
  <si>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</si>
  <si>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</si>
  <si>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6</t>
    </r>
  </si>
  <si>
    <t xml:space="preserve">讀取者：CC｜讀取日 2026-10-05｜S1 (a)；值相同｜摘錄：“num_experts_per_tok: 6”｜換算：—｜立場：利害關係方：DeepSeek 自揭；config.json 為模型實際載入的結構設定，可由權重形狀互證，誘因影響小</t>
  </si>
  <si>
    <t xml:space="preserve">E177</t>
  </si>
  <si>
    <r>
      <rPr>
        <sz val="10"/>
        <color rgb="FF0000FF"/>
        <rFont val="Arial"/>
        <family val="0"/>
        <charset val="1"/>
      </rPr>
      <t xml:space="preserve">DeepSeek V4 shared experts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</si>
  <si>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Arch C14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D14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</si>
  <si>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</si>
  <si>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</t>
    </r>
  </si>
  <si>
    <t xml:space="preserve">讀取者：CC｜讀取日 2026-10-05｜S1 (a)；值相同｜摘錄：“n_shared_experts: 1”｜換算：—｜立場：利害關係方：DeepSeek 自揭；config.json 為模型實際載入的結構設定，可由權重形狀互證，誘因影響小</t>
  </si>
  <si>
    <t xml:space="preserve">E178</t>
  </si>
  <si>
    <r>
      <rPr>
        <sz val="10"/>
        <color rgb="FF0000FF"/>
        <rFont val="Arial"/>
        <family val="0"/>
        <charset val="1"/>
      </rPr>
      <t xml:space="preserve">DeepSeek V4 vocab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SRC_MOD_014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129,280</t>
    </r>
  </si>
  <si>
    <r>
      <rPr>
        <sz val="10"/>
        <color rgb="FF0000FF"/>
        <rFont val="Arial"/>
        <family val="0"/>
        <charset val="1"/>
      </rPr>
      <t xml:space="preserve">Arch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D15</t>
    </r>
  </si>
  <si>
    <t xml:space="preserve">129,280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</si>
  <si>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129280</t>
    </r>
  </si>
  <si>
    <t xml:space="preserve">讀取者：CC｜讀取日 2026-10-05｜S1 (a)；值相同｜摘錄：“vocab_size: 129280”｜換算：—｜立場：利害關係方：DeepSeek 自揭；config.json 為模型實際載入的結構設定，可由權重形狀互證，誘因影響小</t>
  </si>
  <si>
    <t xml:space="preserve">E179</t>
  </si>
  <si>
    <r>
      <rPr>
        <sz val="10"/>
        <color rgb="FF0000FF"/>
        <rFont val="Arial"/>
        <family val="0"/>
        <charset val="1"/>
      </rPr>
      <t xml:space="preserve">DeepSeek V4 HCA </t>
    </r>
    <r>
      <rPr>
        <sz val="10"/>
        <color rgb="FF0000FF"/>
        <rFont val="Noto Sans CJK SC"/>
        <family val="2"/>
      </rPr>
      <t xml:space="preserve">壓縮比（</t>
    </r>
    <r>
      <rPr>
        <sz val="10"/>
        <color rgb="FF0000FF"/>
        <rFont val="Arial"/>
        <family val="0"/>
        <charset val="1"/>
      </rPr>
      <t xml:space="preserve">SRC_MOD_016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x</t>
    </r>
  </si>
  <si>
    <r>
      <rPr>
        <sz val="10"/>
        <color rgb="FF0000FF"/>
        <rFont val="Arial"/>
        <family val="0"/>
        <charset val="1"/>
      </rPr>
      <t xml:space="preserve">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結構）</t>
    </r>
  </si>
  <si>
    <t xml:space="preserve">128 x</t>
  </si>
  <si>
    <r>
      <rPr>
        <sz val="10"/>
        <color rgb="FF0000FF"/>
        <rFont val="Arial"/>
        <family val="0"/>
        <charset val="1"/>
      </rPr>
      <t xml:space="preserve">128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CSA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</si>
  <si>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(a)；值相同｜摘錄：“compress_ratios”（含 128）｜換算：—｜立場：利害關係方：DeepSeek 自揭</t>
  </si>
  <si>
    <t xml:space="preserve">E180</t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</si>
  <si>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滑動窗（</t>
    </r>
    <r>
      <rPr>
        <sz val="10"/>
        <color rgb="FF0000FF"/>
        <rFont val="Arial"/>
        <family val="0"/>
        <charset val="1"/>
      </rPr>
      <t xml:space="preserve">SRC_MOD_017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128 tok</t>
    </r>
  </si>
  <si>
    <r>
      <rPr>
        <sz val="10"/>
        <color rgb="FF0000FF"/>
        <rFont val="Arial"/>
        <family val="0"/>
        <charset val="1"/>
      </rPr>
      <t xml:space="preserve">Arch C19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C17</t>
    </r>
  </si>
  <si>
    <t xml:space="preserve">128 tok</t>
  </si>
  <si>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128</t>
    </r>
  </si>
  <si>
    <t xml:space="preserve">讀取者：CC｜讀取日 2026-10-05｜S1 (a)；值相同｜摘錄：“sliding_window: 128”｜換算：—｜立場：利害關係方：DeepSeek 自揭；config.json 為模型實際載入的結構設定，可由權重形狀互證，誘因影響小</t>
  </si>
  <si>
    <t xml:space="preserve">E181</t>
  </si>
  <si>
    <r>
      <rPr>
        <sz val="10"/>
        <color rgb="FF0000FF"/>
        <rFont val="Arial"/>
        <family val="0"/>
        <charset val="1"/>
      </rPr>
      <t xml:space="preserve">DGX H100 </t>
    </r>
    <r>
      <rPr>
        <sz val="10"/>
        <color rgb="FF0000FF"/>
        <rFont val="Noto Sans CJK SC"/>
        <family val="2"/>
      </rPr>
      <t xml:space="preserve">最大系統功率（</t>
    </r>
    <r>
      <rPr>
        <sz val="10"/>
        <color rgb="FF0000FF"/>
        <rFont val="Arial"/>
        <family val="0"/>
        <charset val="1"/>
      </rPr>
      <t xml:space="preserve">SRC_HW_001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</si>
  <si>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https://docs.nvidia.com/dgx/dgxh100-user-guide/introduction-to-dgxh100.html</t>
  </si>
  <si>
    <r>
      <rPr>
        <sz val="10"/>
        <color rgb="FF0000FF"/>
        <rFont val="Arial"/>
        <family val="0"/>
        <charset val="1"/>
      </rPr>
      <t xml:space="preserve">Spec_Rack C9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×4 </t>
    </r>
    <r>
      <rPr>
        <sz val="10"/>
        <color rgb="FF0000FF"/>
        <rFont val="Noto Sans CJK SC"/>
        <family val="2"/>
      </rPr>
      <t xml:space="preserve">台取整 </t>
    </r>
    <r>
      <rPr>
        <sz val="10"/>
        <color rgb="FF0000FF"/>
        <rFont val="Arial"/>
        <family val="0"/>
        <charset val="1"/>
      </rPr>
      <t xml:space="preserve">41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</si>
  <si>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10.2 kW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 GPU</t>
    </r>
  </si>
  <si>
    <t xml:space="preserve">系統最大功率 10.2 kW（DGX H100/H200，8 GPU）</t>
  </si>
  <si>
    <t xml:space="preserve">讀取者：CC｜讀取日 2026-10-05｜S1 (a)；值相同｜摘錄：“10.2 kW max. 3300 W @ 200-240 V, 16 A”（六顆電源供應器、4+2 冗餘）｜換算：— （直接寫出單機值，無需換算；互證：SuperPOD 表 7 反推亦為 10.2）｜立場：利害關係方：NVIDIA 為賣方；電力設計指南偏保守（利於客戶備電），誘因影響小</t>
  </si>
  <si>
    <t xml:space="preserve">E182</t>
  </si>
  <si>
    <r>
      <rPr>
        <sz val="10"/>
        <color rgb="FF0000FF"/>
        <rFont val="Arial"/>
        <family val="0"/>
        <charset val="1"/>
      </rPr>
      <t xml:space="preserve">B300 FP4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SRC_HW_025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PF/GPU</t>
    </r>
  </si>
  <si>
    <t xml:space="preserve">https://developer.nvidia.com/blog/inside-nvidia-blackwell-ultra-the-chip-powering-the-ai-factory-era/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</si>
  <si>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推論峰值，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欄）</t>
    </r>
  </si>
  <si>
    <t xml:space="preserve">15 PF/GPU</t>
  </si>
  <si>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B200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</t>
    </r>
    <r>
      <rPr>
        <sz val="10"/>
        <color rgb="FF0000FF"/>
        <rFont val="Noto Sans CJK SC"/>
        <family val="2"/>
      </rPr>
      <t xml:space="preserve">（對應 </t>
    </r>
    <r>
      <rPr>
        <sz val="10"/>
        <color rgb="FF0000FF"/>
        <rFont val="Arial"/>
        <family val="0"/>
        <charset val="1"/>
      </rPr>
      <t xml:space="preserve">SRC_HW_022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Blackwell Ultra dense 15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20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</si>
  <si>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dense | sparse performance … 10 | 20 PetaFLOPS 15 | 20 PetaFLOPS”｜換算：—｜立場：利害關係方：NVIDIA 為賣方；規格表為自家設計值</t>
  </si>
  <si>
    <t xml:space="preserve">E183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</si>
  <si>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訓練峰值（</t>
    </r>
    <r>
      <rPr>
        <sz val="10"/>
        <color rgb="FF0000FF"/>
        <rFont val="Arial"/>
        <family val="0"/>
        <charset val="1"/>
      </rPr>
      <t xml:space="preserve">SRC_HW_028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35 PF/GPU</t>
    </r>
  </si>
  <si>
    <t xml:space="preserve">https://developer.nvidia.com/blog/inside-the-nvidia-rubin-platform-six-new-chips-one-ai-supercomputer/</t>
  </si>
  <si>
    <r>
      <rPr>
        <sz val="10"/>
        <color rgb="FF0000FF"/>
        <rFont val="Arial"/>
        <family val="0"/>
        <charset val="1"/>
      </rPr>
      <t xml:space="preserve">Spec_Rack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欄；列標「訓練峰值」）</t>
    </r>
  </si>
  <si>
    <t xml:space="preserve">35 PF/GPU</t>
  </si>
  <si>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35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* Transformer Engine compute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</si>
  <si>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(a)；值相同｜摘錄：“NVFP4 training (PFLOPS) 10 | 35**”；註腳 “** Dense compute”｜換算：—｜立場：利害關係方：NVIDIA 為賣方；規格為發布前設計值（產品 2026-09 發布）</t>
  </si>
  <si>
    <t xml:space="preserve">E184</t>
  </si>
  <si>
    <r>
      <rPr>
        <sz val="10"/>
        <color rgb="FF0000FF"/>
        <rFont val="Arial"/>
        <family val="0"/>
        <charset val="1"/>
      </rPr>
      <t xml:space="preserve">H100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1.979 PF/GPU</t>
    </r>
  </si>
  <si>
    <t xml:space="preserve">https://www.nvidia.com/en-us/data-center/h100/</t>
  </si>
  <si>
    <r>
      <rPr>
        <sz val="10"/>
        <color rgb="FF0000FF"/>
        <rFont val="Arial"/>
        <family val="0"/>
        <charset val="1"/>
      </rPr>
      <t xml:space="preserve">Spec_Rack C23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C40</t>
    </r>
  </si>
  <si>
    <t xml:space="preserve">1.979 PF/GPU</t>
  </si>
  <si>
    <r>
      <rPr>
        <sz val="10"/>
        <color rgb="FF0000FF"/>
        <rFont val="Arial"/>
        <family val="0"/>
        <charset val="1"/>
      </rPr>
      <t xml:space="preserve">3,958 TFLOPS</t>
    </r>
    <r>
      <rPr>
        <sz val="10"/>
        <color rgb="FF0000FF"/>
        <rFont val="Noto Sans CJK SC"/>
        <family val="2"/>
      </rPr>
      <t xml:space="preserve">（含稀疏，</t>
    </r>
    <r>
      <rPr>
        <sz val="10"/>
        <color rgb="FF0000FF"/>
        <rFont val="Arial"/>
        <family val="0"/>
        <charset val="1"/>
      </rPr>
      <t xml:space="preserve">SXM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</si>
  <si>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Tensor Core * 3,958 teraFLOPS”（SXM）；表末註 “* With sparsity”；BF16／FP16 同列 1,979（含稀疏）｜換算：dense＝含稀疏值 ÷2＝3,958÷2＝1,979 TFLOPS＝1.979 PF（NVIDIA 慣例；交叉：BF16 1,979÷2＝989.5≈SRC 0.989 的 BF16 列）｜立場：利害關係方：NVIDIA 為賣方</t>
  </si>
  <si>
    <t xml:space="preserve">E185</t>
  </si>
  <si>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FP8 dense </t>
    </r>
    <r>
      <rPr>
        <sz val="10"/>
        <color rgb="FF0000FF"/>
        <rFont val="Noto Sans CJK SC"/>
        <family val="2"/>
      </rPr>
      <t xml:space="preserve">峰值（</t>
    </r>
    <r>
      <rPr>
        <sz val="10"/>
        <color rgb="FF0000FF"/>
        <rFont val="Arial"/>
        <family val="0"/>
        <charset val="1"/>
      </rPr>
      <t xml:space="preserve">SRC_HW_043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 PF/GPU</t>
    </r>
  </si>
  <si>
    <r>
      <rPr>
        <sz val="10"/>
        <color rgb="FF0000FF"/>
        <rFont val="Arial"/>
        <family val="0"/>
        <charset val="1"/>
      </rPr>
      <t xml:space="preserve">Spec_Rack D40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E40</t>
    </r>
  </si>
  <si>
    <t xml:space="preserve">5 PF/GPU</t>
  </si>
  <si>
    <r>
      <rPr>
        <sz val="10"/>
        <color rgb="FF0000FF"/>
        <rFont val="Arial"/>
        <family val="0"/>
        <charset val="1"/>
      </rPr>
      <t xml:space="preserve">Blackwell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Blackwell Ultra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FP8 dense 5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sparse 10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</si>
  <si>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(a)；值相同｜摘錄：“FP8 dense | sparse performance … 5 | 10 PetaFLOPS 5 | 10 PetaFLOPS”｜換算：—｜立場：利害關係方：NVIDIA 為賣方；規格表為其自有產品的量測／設計值</t>
  </si>
  <si>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數（</t>
    </r>
    <r>
      <rPr>
        <sz val="10"/>
        <color rgb="FF0000FF"/>
        <rFont val="Arial"/>
        <family val="0"/>
        <charset val="1"/>
      </rPr>
      <t xml:space="preserve">SRC_HW_047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72</t>
    </r>
  </si>
  <si>
    <t xml:space="preserve">https://developer.nvidia.com/blog/nvidia-blackwell-ultra-for-the-era-of-ai-reasoning/</t>
  </si>
  <si>
    <r>
      <rPr>
        <sz val="10"/>
        <color rgb="FF0000FF"/>
        <rFont val="Arial"/>
        <family val="0"/>
        <charset val="1"/>
      </rPr>
      <t xml:space="preserve">Spec_Rack D6:F6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D28:F28</t>
    </r>
  </si>
  <si>
    <t xml:space="preserve">72</t>
  </si>
  <si>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皆 </t>
    </r>
    <r>
      <rPr>
        <sz val="10"/>
        <color rgb="FF0000FF"/>
        <rFont val="Arial"/>
        <family val="0"/>
        <charset val="1"/>
      </rPr>
      <t xml:space="preserve">72</t>
    </r>
  </si>
  <si>
    <t xml:space="preserve">讀取者：CC｜讀取日 2026-10-05｜S1 (a)；值相同｜摘錄：“connects 72 Blackwell GPUs in a single NVLink domain”（GB200）；“integrates 72 Rubin GPUs and 36 Vera CPUs”（VR200）｜換算：—｜立場：利害關係方：NVIDIA 為賣方；72 為產品名稱定義，誘因影響極小</t>
  </si>
  <si>
    <t xml:space="preserve">E187</t>
  </si>
  <si>
    <r>
      <rPr>
        <sz val="10"/>
        <color rgb="FF0000FF"/>
        <rFont val="Arial"/>
        <family val="0"/>
        <charset val="1"/>
      </rPr>
      <t xml:space="preserve">Llama 3 405B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BF16 MFU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SRC_PERF_036</t>
    </r>
    <r>
      <rPr>
        <sz val="10"/>
        <color rgb="FF0000FF"/>
        <rFont val="Noto Sans CJK SC"/>
        <family val="2"/>
      </rPr>
      <t xml:space="preserve">）：值 低 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／高 </t>
    </r>
    <r>
      <rPr>
        <sz val="10"/>
        <color rgb="FF0000FF"/>
        <rFont val="Arial"/>
        <family val="0"/>
        <charset val="1"/>
      </rPr>
      <t xml:space="preserve">0.43</t>
    </r>
  </si>
  <si>
    <t xml:space="preserve">https://arxiv.org/pdf/2407.21783</t>
  </si>
  <si>
    <t xml:space="preserve">（無直接連結；Train_In C6 預訓練 MFU 0.25（0.18–0.35，Analogy）的可比對象）</t>
  </si>
  <si>
    <t xml:space="preserve">低 0.38／高 0.43</t>
  </si>
  <si>
    <t xml:space="preserve">BF16 MFU 38–43%</t>
  </si>
  <si>
    <t xml:space="preserve">讀取者：CC｜讀取日 2026-10-05｜S1 (a)；值相同｜摘錄：“overall BF16 Model FLOPs Utilization (MFU …) of 38-43%”（Table 4：43%／430 TFLOPs；38%／380 TFLOPs）｜換算：與 Train_In C6（FP8 分母）換算：×(0.989/1.979)＝0.19–0.215（[Derived]，與 SRC 值本身無關）｜立場：利害關係方：Meta 自揭；MFU 為其自家叢集量測，誘因影響小</t>
  </si>
  <si>
    <t xml:space="preserve">E188</t>
  </si>
  <si>
    <r>
      <rPr>
        <sz val="10"/>
        <color rgb="FF0000FF"/>
        <rFont val="Arial"/>
        <family val="0"/>
        <charset val="1"/>
      </rPr>
      <t xml:space="preserve">Llama 3 </t>
    </r>
    <r>
      <rPr>
        <sz val="10"/>
        <color rgb="FF0000FF"/>
        <rFont val="Noto Sans CJK SC"/>
        <family val="2"/>
      </rPr>
      <t xml:space="preserve">有效訓練時間比（</t>
    </r>
    <r>
      <rPr>
        <sz val="10"/>
        <color rgb="FF0000FF"/>
        <rFont val="Arial"/>
        <family val="0"/>
        <charset val="1"/>
      </rPr>
      <t xml:space="preserve">goodput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SRC_PERF_037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</si>
  <si>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Train_In C7 goodput 0.90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0.80–0.95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</si>
  <si>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0.90</t>
    </r>
    <r>
      <rPr>
        <sz val="10"/>
        <color rgb="FF0000FF"/>
        <rFont val="Noto Sans CJK SC"/>
        <family val="2"/>
      </rPr>
      <t xml:space="preserve">（下限 </t>
    </r>
    <r>
      <rPr>
        <sz val="10"/>
        <color rgb="FF0000FF"/>
        <rFont val="Arial"/>
        <family val="0"/>
        <charset val="1"/>
      </rPr>
      <t xml:space="preserve">&gt;90%</t>
    </r>
    <r>
      <rPr>
        <sz val="10"/>
        <color rgb="FF0000FF"/>
        <rFont val="Noto Sans CJK SC"/>
        <family val="2"/>
      </rPr>
      <t xml:space="preserve">）</t>
    </r>
  </si>
  <si>
    <t xml:space="preserve">有效訓練時間 &gt;90%</t>
  </si>
  <si>
    <t xml:space="preserve">讀取者：CC｜讀取日 2026-10-05｜S1 (a)；值相同｜摘錄：“more than 90% effective training time”｜換算：—｜立場：利害關係方：Meta 自揭</t>
  </si>
  <si>
    <t xml:space="preserve">E189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</si>
  <si>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Sol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SRC_CAP_008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48</t>
    </r>
  </si>
  <si>
    <t xml:space="preserve">https://artificialanalysis.ai/models/comparisons/gpt-6-sol-vs-glm-5-3</t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</si>
  <si>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47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GPT-6 Sol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</si>
  <si>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48</t>
  </si>
  <si>
    <t xml:space="preserve">讀取者：CC｜讀取日 2026-10-05｜S1 (a)；值相同｜摘錄：比較表列「Intelligence Index」：GPT-6 Sol (Max) 48｜GLM-5.3 (Max) 45；頁面註明 Index v4.3.2（10 項評測）｜換算：無需換算（頁面標示 Max 設定，與 SRC 一致）｜立場：中立：Artificial Analysis 為獨立評測，但指數的評測集與權重由其自訂（10 項評測）；廠商可針對評測最佳化</t>
  </si>
  <si>
    <t xml:space="preserve">E190</t>
  </si>
  <si>
    <r>
      <rPr>
        <sz val="10"/>
        <color rgb="FF0000FF"/>
        <rFont val="Arial"/>
        <family val="0"/>
        <charset val="1"/>
      </rPr>
      <t xml:space="preserve">AA Intelligence Index v4.3.2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GLM-5.3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SRC_CAP_011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45</t>
    </r>
  </si>
  <si>
    <r>
      <rPr>
        <sz val="10"/>
        <color rgb="FF0000FF"/>
        <rFont val="Arial"/>
        <family val="0"/>
        <charset val="1"/>
      </rPr>
      <t xml:space="preserve">Cap_In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54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GLM-5.3 </t>
    </r>
    <r>
      <rPr>
        <sz val="10"/>
        <color rgb="FF0000FF"/>
        <rFont val="Noto Sans CJK SC"/>
        <family val="2"/>
      </rPr>
      <t xml:space="preserve">能力指數）→ </t>
    </r>
    <r>
      <rPr>
        <sz val="10"/>
        <color rgb="FF0000FF"/>
        <rFont val="Arial"/>
        <family val="0"/>
        <charset val="1"/>
      </rPr>
      <t xml:space="preserve">L1_Ans7 </t>
    </r>
    <r>
      <rPr>
        <sz val="10"/>
        <color rgb="FF0000FF"/>
        <rFont val="Noto Sans CJK SC"/>
        <family val="2"/>
      </rPr>
      <t xml:space="preserve">前緣</t>
    </r>
  </si>
  <si>
    <t xml:space="preserve">45</t>
  </si>
  <si>
    <t xml:space="preserve">讀取者：CC｜讀取日 2026-10-05｜S1 (a)；值相同｜摘錄：同表同列：GLM-5.3 (Max) 45｜換算：無需換算｜立場：中立：同 SRC_CAP_008</t>
  </si>
  <si>
    <t xml:space="preserve">E191</t>
  </si>
  <si>
    <t xml:space="preserve">前沿實驗室（OpenAI）每日 token（SRC_DEM_013）：值 低 10／高 100 T tok/日</t>
  </si>
  <si>
    <t xml:space="preserve">https://epoch.ai/gradient-updates/how-many-digital-workers-could-openai-deploy</t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</si>
  <si>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外部對照、</t>
    </r>
    <r>
      <rPr>
        <sz val="10"/>
        <color rgb="FF0000FF"/>
        <rFont val="Arial"/>
        <family val="0"/>
        <charset val="1"/>
      </rPr>
      <t xml:space="preserve">Alloc F </t>
    </r>
    <r>
      <rPr>
        <sz val="10"/>
        <color rgb="FF0000FF"/>
        <rFont val="Noto Sans CJK SC"/>
        <family val="2"/>
      </rPr>
      <t xml:space="preserve">節</t>
    </r>
  </si>
  <si>
    <t xml:space="preserve">低 10／高 100 T tok/日</t>
  </si>
  <si>
    <r>
      <rPr>
        <sz val="10"/>
        <color rgb="FF0000FF"/>
        <rFont val="Arial"/>
        <family val="0"/>
        <charset val="1"/>
      </rPr>
      <t xml:space="preserve">10–100 T tok/</t>
    </r>
    <r>
      <rPr>
        <sz val="10"/>
        <color rgb="FF0000FF"/>
        <rFont val="Noto Sans CJK SC"/>
        <family val="2"/>
      </rPr>
      <t xml:space="preserve">日（方法一：算力推估，</t>
    </r>
    <r>
      <rPr>
        <sz val="10"/>
        <color rgb="FF0000FF"/>
        <rFont val="Arial"/>
        <family val="0"/>
        <charset val="1"/>
      </rPr>
      <t xml:space="preserve">OpenAI GPT-5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</si>
  <si>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2026-10-05｜S1 (a)；值相同｜摘錄：“around 10 to 100 trillion tokens per day”｜換算：—｜立場：中立：Epoch AI（獨立研究；Gradient Updates 為其「opinionated」欄位）；對 OpenAI 的算力數字來自 The Information 報導（二手）</t>
  </si>
  <si>
    <t xml:space="preserve">E192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</si>
  <si>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處理量（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</si>
  <si>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t xml:space="preserve">https://openai.com/zh-Hant/index/accelerating-the-next-phase-ai/</t>
  </si>
  <si>
    <t xml:space="preserve">（備查；不在模型內使用）</t>
  </si>
  <si>
    <r>
      <rPr>
        <sz val="10"/>
        <color rgb="FF0000FF"/>
        <rFont val="Arial"/>
        <family val="0"/>
        <charset val="1"/>
      </rPr>
      <t xml:space="preserve">15 B tok/min</t>
    </r>
    <r>
      <rPr>
        <sz val="10"/>
        <color rgb="FF0000FF"/>
        <rFont val="Noto Sans CJK SC"/>
        <family val="2"/>
      </rPr>
      <t xml:space="preserve">（「超過」；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全部）</t>
    </r>
  </si>
  <si>
    <r>
      <rPr>
        <sz val="10"/>
        <color rgb="FF0000FF"/>
        <rFont val="Arial"/>
        <family val="0"/>
        <charset val="1"/>
      </rPr>
      <t xml:space="preserve">&gt; 15 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150 </t>
    </r>
    <r>
      <rPr>
        <sz val="10"/>
        <color rgb="FF0000FF"/>
        <rFont val="Noto Sans CJK SC"/>
        <family val="2"/>
      </rPr>
      <t xml:space="preserve">億）</t>
    </r>
  </si>
  <si>
    <t xml:space="preserve">採納（S1 (a)；Andy 讀官方繁中頁（G2））</t>
  </si>
  <si>
    <t xml:space="preserve">讀取者：Andy（G2）｜讀取日 2026-10-05（Andy 讀取，提供給 CC）｜S1 (a)；Andy 讀官方繁中頁（G2）｜摘錄：「我們的 API 目前每分鐘可處理超過 150 億個 Token。」｜換算：無需換算（150 億＝15 B）｜立場：Interested-party：OpenAI 融資公告，有呈現成長與規模的誘因</t>
  </si>
  <si>
    <t xml:space="preserve">E193</t>
  </si>
  <si>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SRC_HW_014</t>
    </r>
    <r>
      <rPr>
        <sz val="10"/>
        <color rgb="FF0000FF"/>
        <rFont val="Noto Sans CJK SC"/>
        <family val="2"/>
      </rPr>
      <t xml:space="preserve">）</t>
    </r>
  </si>
  <si>
    <t xml:space="preserve">https://blog.se.com/datacenter/2026/05/08/nvidia-and-schneider-electric-get-in-sync-at-nvidia-gtc-2026-to-deliver-vera-rubin-ai-factories/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</si>
  <si>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F8 </t>
    </r>
    <r>
      <rPr>
        <sz val="10"/>
        <color rgb="FF0000FF"/>
        <rFont val="Noto Sans CJK SC"/>
        <family val="2"/>
      </rPr>
      <t xml:space="preserve">低 </t>
    </r>
    <r>
      <rPr>
        <sz val="10"/>
        <color rgb="FF0000FF"/>
        <rFont val="Arial"/>
        <family val="0"/>
        <charset val="1"/>
      </rPr>
      <t xml:space="preserve">188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</si>
  <si>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架（記為 </t>
    </r>
    <r>
      <rPr>
        <sz val="10"/>
        <color rgb="FF0000FF"/>
        <rFont val="Arial"/>
        <family val="0"/>
        <charset val="1"/>
      </rPr>
      <t xml:space="preserve">Supermicro DLC-2 </t>
    </r>
    <r>
      <rPr>
        <sz val="10"/>
        <color rgb="FF0000FF"/>
        <rFont val="Noto Sans CJK SC"/>
        <family val="2"/>
      </rPr>
      <t xml:space="preserve">設計點）</t>
    </r>
  </si>
  <si>
    <r>
      <rPr>
        <sz val="10"/>
        <color rgb="FF0000FF"/>
        <rFont val="Arial"/>
        <family val="0"/>
        <charset val="1"/>
      </rPr>
      <t xml:space="preserve">MaxP 227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MaxQ 188 kW/rack</t>
    </r>
  </si>
  <si>
    <t xml:space="preserve">採納（S1 (a)；出處更正）</t>
  </si>
  <si>
    <t xml:space="preserve">讀取者：chat 端（2026-10-05，Andy 提供）＋CC（1d，curl HTTP 200 自讀）｜逐字：“supports operation at MaxQ 188 kw/rack and MaxP 227 kw/rack”｜原 SRC 記「Supermicro DLC-2 設計點」，Andy 讀新聞稿確認其全文無 227 kW，實際出處為本部落格（NVIDIA 參考設計 MaxP）｜立場：Interested-party（供電與冷卻設備商）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</si>
  <si>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（等級；數值不變）</t>
    </r>
  </si>
  <si>
    <r>
      <rPr>
        <sz val="10"/>
        <color rgb="FF0000FF"/>
        <rFont val="Arial"/>
        <family val="0"/>
        <charset val="1"/>
      </rPr>
      <t xml:space="preserve">Supermicro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DLC-2 </t>
    </r>
    <r>
      <rPr>
        <sz val="10"/>
        <color rgb="FF0000FF"/>
        <rFont val="Noto Sans CJK SC"/>
        <family val="2"/>
      </rPr>
      <t xml:space="preserve">液冷 “</t>
    </r>
    <r>
      <rPr>
        <sz val="10"/>
        <color rgb="FF0000FF"/>
        <rFont val="Arial"/>
        <family val="0"/>
        <charset val="1"/>
      </rPr>
      <t xml:space="preserve">sized for 227 kW per rack”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SRC_HW_064</t>
    </r>
    <r>
      <rPr>
        <sz val="10"/>
        <color rgb="FF0000FF"/>
        <rFont val="Noto Sans CJK SC"/>
        <family val="2"/>
      </rPr>
      <t xml:space="preserve">）</t>
    </r>
  </si>
  <si>
    <t xml:space="preserve">https://www.supermicro.com/en/accelerators/nvidia/vera-rubin</t>
  </si>
  <si>
    <r>
      <rPr>
        <sz val="10"/>
        <color rgb="FF0000FF"/>
        <rFont val="Arial"/>
        <family val="0"/>
        <charset val="1"/>
      </rPr>
      <t xml:space="preserve">227 kW/</t>
    </r>
    <r>
      <rPr>
        <sz val="10"/>
        <color rgb="FF0000FF"/>
        <rFont val="Noto Sans CJK SC"/>
        <family val="2"/>
      </rPr>
      <t xml:space="preserve">架（冷卻 </t>
    </r>
    <r>
      <rPr>
        <sz val="10"/>
        <color rgb="FF0000FF"/>
        <rFont val="Arial"/>
        <family val="0"/>
        <charset val="1"/>
      </rPr>
      <t xml:space="preserve">sized-for </t>
    </r>
    <r>
      <rPr>
        <sz val="10"/>
        <color rgb="FF0000FF"/>
        <rFont val="Noto Sans CJK SC"/>
        <family val="2"/>
      </rPr>
      <t xml:space="preserve">容量）</t>
    </r>
  </si>
  <si>
    <t xml:space="preserve">採納（並列第二來源）</t>
  </si>
  <si>
    <t xml:space="preserve">讀取者：CC（1d；curl 為 Akamai「Access Denied」403，改以 WebFetch 讀成，引文與搜尋結果同句）｜口徑＝DLC-2 液冷堆疊每機架設計容量，不是機架實測功率｜兩來源同為 227 可能同源於 NVIDIA 參考設計，獨立性未確認｜立場：Interested-party（系統廠）</t>
  </si>
  <si>
    <t xml:space="preserve">E195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</si>
  <si>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機架功率：</t>
    </r>
    <r>
      <rPr>
        <sz val="10"/>
        <color rgb="FF0000FF"/>
        <rFont val="Arial"/>
        <family val="0"/>
        <charset val="1"/>
      </rPr>
      <t xml:space="preserve">TDP 132 kW nominal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</si>
  <si>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https://newsletter.semianalysis.com/p/gb200-hardware-architecture-and-component</t>
    </r>
  </si>
  <si>
    <r>
      <rPr>
        <sz val="10"/>
        <color rgb="FF0000FF"/>
        <rFont val="Arial"/>
        <family val="0"/>
        <charset val="1"/>
      </rPr>
      <t xml:space="preserve">Spec_Rack D8</t>
    </r>
    <r>
      <rPr>
        <sz val="10"/>
        <color rgb="FF0000FF"/>
        <rFont val="Noto Sans CJK SC"/>
        <family val="2"/>
      </rPr>
      <t xml:space="preserve">（低 </t>
    </r>
    <r>
      <rPr>
        <sz val="10"/>
        <color rgb="FF0000FF"/>
        <rFont val="Arial"/>
        <family val="0"/>
        <charset val="1"/>
      </rPr>
      <t xml:space="preserve">120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</si>
  <si>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120–130 kW/</t>
    </r>
    <r>
      <rPr>
        <sz val="10"/>
        <color rgb="FF0000FF"/>
        <rFont val="Noto Sans CJK SC"/>
        <family val="2"/>
      </rPr>
      <t xml:space="preserve">架（基準 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</si>
  <si>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132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TDP nominal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120 kW</t>
    </r>
  </si>
  <si>
    <t xml:space="preserve">採納（工作單 v5.18 G2；升 1 級）</t>
  </si>
  <si>
    <t xml:space="preserve">讀取者：chat 端（HPE QuickSpecs V6；工作單 r2 第 2.2 節 G2 所述；CC 未獨立讀，hpe.com 被出口政策擋）；CC（SemiAnalysis 120／123.6 kW，1d 讀取，二手 2 級）｜EDPp 192 kW 為電氣設計尖峰口徑，只登錄不採用（見 DB_Evidence「已讀，未採用」列）｜立場：HPE 為系統廠（利害關係方）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</si>
  <si>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D9 </t>
    </r>
    <r>
      <rPr>
        <sz val="10"/>
        <color rgb="FF000000"/>
        <rFont val="Noto Sans CJK SC"/>
        <family val="2"/>
      </rPr>
      <t xml:space="preserve">基準 </t>
    </r>
    <r>
      <rPr>
        <sz val="10"/>
        <color rgb="FF000000"/>
        <rFont val="Arial"/>
        <family val="0"/>
        <charset val="1"/>
      </rPr>
      <t xml:space="preserve">130→132</t>
    </r>
    <r>
      <rPr>
        <sz val="10"/>
        <color rgb="FF000000"/>
        <rFont val="Noto Sans CJK SC"/>
        <family val="2"/>
      </rPr>
      <t xml:space="preserve">）</t>
    </r>
  </si>
  <si>
    <t xml:space="preserve">E196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</si>
  <si>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伺服器價格：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估計約 </t>
    </r>
    <r>
      <rPr>
        <sz val="10"/>
        <color rgb="FF0000FF"/>
        <rFont val="Arial"/>
        <family val="0"/>
        <charset val="1"/>
      </rPr>
      <t xml:space="preserve">190K</t>
    </r>
    <r>
      <rPr>
        <sz val="10"/>
        <color rgb="FF0000FF"/>
        <rFont val="Noto Sans CJK SC"/>
        <family val="2"/>
      </rPr>
      <t xml:space="preserve">（僅伺服器）、約 </t>
    </r>
    <r>
      <rPr>
        <sz val="10"/>
        <color rgb="FF0000FF"/>
        <rFont val="Arial"/>
        <family val="0"/>
        <charset val="1"/>
      </rPr>
      <t xml:space="preserve">250K</t>
    </r>
    <r>
      <rPr>
        <sz val="10"/>
        <color rgb="FF0000FF"/>
        <rFont val="Noto Sans CJK SC"/>
        <family val="2"/>
      </rPr>
      <t xml:space="preserve">（含儲存與網路）；</t>
    </r>
    <r>
      <rPr>
        <sz val="10"/>
        <color rgb="FF0000FF"/>
        <rFont val="Arial"/>
        <family val="0"/>
        <charset val="1"/>
      </rPr>
      <t xml:space="preserve">Newegg HGX </t>
    </r>
    <r>
      <rPr>
        <sz val="10"/>
        <color rgb="FF0000FF"/>
        <rFont val="Noto Sans CJK SC"/>
        <family val="2"/>
      </rPr>
      <t xml:space="preserve">掛牌 </t>
    </r>
    <r>
      <rPr>
        <sz val="10"/>
        <color rgb="FF0000FF"/>
        <rFont val="Arial"/>
        <family val="0"/>
        <charset val="1"/>
      </rPr>
      <t xml:space="preserve">306,672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</t>
    </r>
  </si>
  <si>
    <t xml:space="preserve">https://gpuperhour.com/blog/nvidia-h100-price</t>
  </si>
  <si>
    <t xml:space="preserve">二手（已讀）</t>
  </si>
  <si>
    <r>
      <rPr>
        <sz val="10"/>
        <color rgb="FF0000FF"/>
        <rFont val="Arial"/>
        <family val="0"/>
        <charset val="1"/>
      </rPr>
      <t xml:space="preserve">Spec_Rack C11:C13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機架價格；</t>
    </r>
    <r>
      <rPr>
        <sz val="10"/>
        <color rgb="FF0000FF"/>
        <rFont val="Arial"/>
        <family val="0"/>
        <charset val="1"/>
      </rPr>
      <t xml:space="preserve">C12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1.1 M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275 K×4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</si>
  <si>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</si>
  <si>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約 190K（僅伺服器）；約 250K（含儲存與網路）；306,672（Newegg 掛牌）</t>
  </si>
  <si>
    <t xml:space="preserve">採納（G1 規則 (ii) 成立；維持 2 級）</t>
  </si>
  <si>
    <t xml:space="preserve">讀取者：chat 端（2026-10-06；頁面日期 2026-09-21）；CC 未獨立讀｜二手彙整頁，網站有聯盟行銷利益（利害關係方）｜已讀範圍 190K–312K（含 SHI 德州政府合約標價 $311,624），基準 275K 落在其內 → G1 規則 (ii) 成立｜口徑：伺服器本體、含儲存與網路、掛牌價，各不相同</t>
  </si>
  <si>
    <t xml:space="preserve">E197</t>
  </si>
  <si>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伺服器價格（</t>
    </r>
    <r>
      <rPr>
        <sz val="10"/>
        <color rgb="FF0000FF"/>
        <rFont val="Arial"/>
        <family val="0"/>
        <charset val="1"/>
      </rPr>
      <t xml:space="preserve">SRC_HW_003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220,000–320,000 $/</t>
    </r>
    <r>
      <rPr>
        <sz val="10"/>
        <color rgb="FF0000FF"/>
        <rFont val="Noto Sans CJK SC"/>
        <family val="2"/>
      </rPr>
      <t xml:space="preserve">台</t>
    </r>
  </si>
  <si>
    <t xml:space="preserve">搜尋彙整摘要未標明逐項出處（出現的頁面：servermall.com、texas.gs.shi.com、vpsbenchmarks.com、cyfuture.cloud、electronics.alibaba.com），故不可為摘要指定網…</t>
  </si>
  <si>
    <r>
      <rPr>
        <sz val="10"/>
        <color rgb="FF0000FF"/>
        <rFont val="Arial"/>
        <family val="0"/>
        <charset val="1"/>
      </rPr>
      <t xml:space="preserve">Spec_Rack C11</t>
    </r>
    <r>
      <rPr>
        <sz val="10"/>
        <color rgb="FF0000FF"/>
        <rFont val="Noto Sans CJK SC"/>
        <family val="2"/>
      </rPr>
      <t xml:space="preserve">（低）、</t>
    </r>
    <r>
      <rPr>
        <sz val="10"/>
        <color rgb="FF0000FF"/>
        <rFont val="Arial"/>
        <family val="0"/>
        <charset val="1"/>
      </rPr>
      <t xml:space="preserve">C12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C13</t>
    </r>
    <r>
      <rPr>
        <sz val="10"/>
        <color rgb="FF0000FF"/>
        <rFont val="Noto Sans CJK SC"/>
        <family val="2"/>
      </rPr>
      <t xml:space="preserve">（高）</t>
    </r>
  </si>
  <si>
    <t xml:space="preserve">搜尋摘要（其他來源）：Arc Compute 起價 $210,000；B2B 掛牌約 $265,000 起；ASUS 7U 掛牌 $311,599.87、$249,200.05；7U 8480+ 配置 $316,203.84</t>
  </si>
  <si>
    <t xml:space="preserve">採納（G1 規則；二手已讀）</t>
  </si>
  <si>
    <t xml:space="preserve">讀取者：CC｜讀取日 2026-10-05｜G1 規則；二手已讀｜摘錄：（無；cyfuture.cloud 出口政策擋；其餘頁面未讀）｜換算：×4 台＝機架 0.88–1.28 $M（SRC 備註）｜立場：經銷商掛牌價（銷售誘因）；口徑＝售價（掛牌），不含折讓｜區間型紀錄：至少一值讀到原文、基準在已讀範圍</t>
  </si>
  <si>
    <t xml:space="preserve">經銷商掛牌價（銷售誘因）；口徑＝售價（…</t>
  </si>
  <si>
    <t xml:space="preserve">E198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</si>
  <si>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機架功率（</t>
    </r>
    <r>
      <rPr>
        <sz val="10"/>
        <color rgb="FF0000FF"/>
        <rFont val="Arial"/>
        <family val="0"/>
        <charset val="1"/>
      </rPr>
      <t xml:space="preserve">SRC_HW_005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</si>
  <si>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https://www.wing.vc/content/how-much-does-an-nvidia-nvl72-cost</t>
  </si>
  <si>
    <r>
      <rPr>
        <sz val="10"/>
        <color rgb="FF0000FF"/>
        <rFont val="Arial"/>
        <family val="0"/>
        <charset val="1"/>
      </rPr>
      <t xml:space="preserve">Spec_Rack 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E9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137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E10</t>
    </r>
  </si>
  <si>
    <r>
      <rPr>
        <sz val="10"/>
        <color rgb="FF0000FF"/>
        <rFont val="Arial"/>
        <family val="0"/>
        <charset val="1"/>
      </rPr>
      <t xml:space="preserve">132</t>
    </r>
    <r>
      <rPr>
        <sz val="10"/>
        <color rgb="FF0000FF"/>
        <rFont val="Noto Sans CJK SC"/>
        <family val="2"/>
      </rPr>
      <t xml:space="preserve">（高 </t>
    </r>
    <r>
      <rPr>
        <sz val="10"/>
        <color rgb="FF0000FF"/>
        <rFont val="Arial"/>
        <family val="0"/>
        <charset val="1"/>
      </rPr>
      <t xml:space="preserve">142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kW/</t>
    </r>
    <r>
      <rPr>
        <sz val="10"/>
        <color rgb="FF0000FF"/>
        <rFont val="Noto Sans CJK SC"/>
        <family val="2"/>
      </rPr>
      <t xml:space="preserve">架</t>
    </r>
  </si>
  <si>
    <t xml:space="preserve">搜尋摘要：132 kW 標稱 TDP、EDPp 約 155 kW（HPE 類）；TrendForce 預估 135–140 kW；另見 132–140 kW 區間</t>
  </si>
  <si>
    <t xml:space="preserve">讀取者：CC｜讀取日 2026-10-05｜G1 規則；二手已讀｜摘錄：“It requires 132–140 kW of power”（wing.vc 摘要，WebFetch 回傳；原頁為 Data Gravity 文章轉載）｜換算：口徑同上：TDP 132／預估 135–140／尖峰 155｜立場：wing.vc（創投機構內容頁，非設備商；誘因＝內容行銷）。口徑未明（頁面未說 TDP 或最大）。搜尋摘要另稱 TDP 135、峰值 155（HPE 類），未讀。｜區間型紀錄：至少一值讀到原文、基準在已讀範圍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</si>
  <si>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wing.vc</t>
    </r>
    <r>
      <rPr>
        <sz val="10"/>
        <color rgb="FF000000"/>
        <rFont val="Noto Sans CJK SC"/>
        <family val="2"/>
      </rPr>
      <t xml:space="preserve">（創投機構內容頁，非設備…</t>
    </r>
  </si>
  <si>
    <t xml:space="preserve">E199</t>
  </si>
  <si>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機架價格（</t>
    </r>
    <r>
      <rPr>
        <sz val="10"/>
        <color rgb="FF0000FF"/>
        <rFont val="Arial"/>
        <family val="0"/>
        <charset val="1"/>
      </rPr>
      <t xml:space="preserve">SRC_HW_006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</si>
  <si>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https://wccftech.com/morgan-stanley-nvidia-gb200-nvl72-racks-deliver-a-profit-margin-of-77-6-vs-64-for-amd-mi355x-while-entailing-nearly-the-same-tco/amp/</t>
  </si>
  <si>
    <r>
      <rPr>
        <sz val="10"/>
        <color rgb="FF0000FF"/>
        <rFont val="Arial"/>
        <family val="0"/>
        <charset val="1"/>
      </rPr>
      <t xml:space="preserve">Spec_Rack D11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3.1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G0-2 </t>
    </r>
    <r>
      <rPr>
        <sz val="10"/>
        <color rgb="FF0000FF"/>
        <rFont val="Noto Sans CJK SC"/>
        <family val="2"/>
      </rPr>
      <t xml:space="preserve">保留）、</t>
    </r>
    <r>
      <rPr>
        <sz val="10"/>
        <color rgb="FF0000FF"/>
        <rFont val="Arial"/>
        <family val="0"/>
        <charset val="1"/>
      </rPr>
      <t xml:space="preserve">D13</t>
    </r>
  </si>
  <si>
    <r>
      <rPr>
        <sz val="10"/>
        <color rgb="FF0000FF"/>
        <rFont val="Arial"/>
        <family val="0"/>
        <charset val="1"/>
      </rPr>
      <t xml:space="preserve">2.8–3.4 $M/</t>
    </r>
    <r>
      <rPr>
        <sz val="10"/>
        <color rgb="FF0000FF"/>
        <rFont val="Noto Sans CJK SC"/>
        <family val="2"/>
      </rPr>
      <t xml:space="preserve">架</t>
    </r>
  </si>
  <si>
    <t xml:space="preserve">搜尋摘要：Wolfe Research 約 $3.0M（2026-01-30）；Morgan Stanley $3.1M；SemiAnalysis $3.1M（裸機）、$3.9M（含網路與儲存）</t>
  </si>
  <si>
    <t xml:space="preserve">讀取者：CC｜讀取日 2026-10-05｜G1 規則；二手已讀｜摘錄：“each such server rack currently costs around [$3.1 million]”（WebFetch 回傳，括號為其標示）；來源歸屬：文中引用 X 貼文 @firstadopter｜換算：口徑：裸機 vs 含網路儲存；本模型以裸機（SRC 區間 2.8–3.4）｜立場：wccftech（媒體）轉述個人貼文，方法未公開；口徑「currently costs」＝市價，成本或售價未明。｜區間型紀錄：至少一值讀到原文、基準在已讀範圍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</si>
  <si>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wccftech</t>
    </r>
    <r>
      <rPr>
        <sz val="10"/>
        <color rgb="FF000000"/>
        <rFont val="Noto Sans CJK SC"/>
        <family val="2"/>
      </rPr>
      <t xml:space="preserve">（媒體）轉述個人貼文，…</t>
    </r>
  </si>
  <si>
    <t xml:space="preserve">E200</t>
  </si>
  <si>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採購單價（</t>
    </r>
    <r>
      <rPr>
        <sz val="10"/>
        <color rgb="FF0000FF"/>
        <rFont val="Arial"/>
        <family val="0"/>
        <charset val="1"/>
      </rPr>
      <t xml:space="preserve">SRC_HW_010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</si>
  <si>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</t>
    </r>
  </si>
  <si>
    <r>
      <rPr>
        <sz val="10"/>
        <color rgb="FF0000FF"/>
        <rFont val="Arial"/>
        <family val="0"/>
        <charset val="1"/>
      </rPr>
      <t xml:space="preserve">5.0 $M/</t>
    </r>
    <r>
      <rPr>
        <sz val="10"/>
        <color rgb="FF0000FF"/>
        <rFont val="Noto Sans CJK SC"/>
        <family val="2"/>
      </rPr>
      <t xml:space="preserve">架</t>
    </r>
  </si>
  <si>
    <t xml:space="preserve">搜尋摘要：最近採購單「just under $5.0M」不含機架內 CDU；加 250 kW CDU 約多 $32K</t>
  </si>
  <si>
    <t xml:space="preserve">讀取者：CC｜讀取日 2026-10-05｜G1 規則；二手已讀｜摘錄：“recent purchase orders reviewed in August 2026 show GB300 NVL72 racks priced at ‘just under $5.0M’ without cooling, or ‘~$32K more’ with an in-rack CDU”（wing.vc 摘要，WebFetch 回傳）；同頁：媒體估計 $6–6.5M｜換算：現值 5.0 對「略低於 5.0」；差值未知（&lt;1%～數%）｜立場：Data Gravity（經 wing.vc）；採購單成交價，口徑＝售價（買方付款），不含 CDU；原文 datagravity.dev 被出口政策擋，未讀｜區間型紀錄：至少一值讀到原文、基準在已讀範圍</t>
  </si>
  <si>
    <r>
      <rPr>
        <sz val="10"/>
        <color rgb="FF000000"/>
        <rFont val="Arial"/>
        <family val="0"/>
        <charset val="1"/>
      </rPr>
      <t xml:space="preserve">Data Gravity</t>
    </r>
    <r>
      <rPr>
        <sz val="10"/>
        <color rgb="FF000000"/>
        <rFont val="Noto Sans CJK SC"/>
        <family val="2"/>
      </rPr>
      <t xml:space="preserve">（經 </t>
    </r>
    <r>
      <rPr>
        <sz val="10"/>
        <color rgb="FF000000"/>
        <rFont val="Arial"/>
        <family val="0"/>
        <charset val="1"/>
      </rPr>
      <t xml:space="preserve">wing…</t>
    </r>
  </si>
  <si>
    <t xml:space="preserve">E201</t>
  </si>
  <si>
    <r>
      <rPr>
        <sz val="10"/>
        <color rgb="FF0000FF"/>
        <rFont val="Arial"/>
        <family val="0"/>
        <charset val="1"/>
      </rPr>
      <t xml:space="preserve">VR200 NVL72 </t>
    </r>
    <r>
      <rPr>
        <sz val="10"/>
        <color rgb="FF0000FF"/>
        <rFont val="Noto Sans CJK SC"/>
        <family val="2"/>
      </rPr>
      <t xml:space="preserve">機架成本（</t>
    </r>
    <r>
      <rPr>
        <sz val="10"/>
        <color rgb="FF0000FF"/>
        <rFont val="Arial"/>
        <family val="0"/>
        <charset val="1"/>
      </rPr>
      <t xml:space="preserve">Morgan Stanley</t>
    </r>
    <r>
      <rPr>
        <sz val="10"/>
        <color rgb="FF0000FF"/>
        <rFont val="Noto Sans CJK SC"/>
        <family val="2"/>
      </rPr>
      <t xml:space="preserve">）（</t>
    </r>
    <r>
      <rPr>
        <sz val="10"/>
        <color rgb="FF0000FF"/>
        <rFont val="Arial"/>
        <family val="0"/>
        <charset val="1"/>
      </rPr>
      <t xml:space="preserve">SRC_HW_015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</si>
  <si>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https://wccftech.com/nvidia-vera-rubin-rack-hit-with-memory-price-surge-pushing-hbm4-lpddr5x-bill-to-2m-of-7-8m-total/amp/</t>
  </si>
  <si>
    <r>
      <rPr>
        <sz val="10"/>
        <color rgb="FF0000FF"/>
        <rFont val="Arial"/>
        <family val="0"/>
        <charset val="1"/>
      </rPr>
      <t xml:space="preserve">Spec_Rack F12</t>
    </r>
    <r>
      <rPr>
        <sz val="10"/>
        <color rgb="FF0000FF"/>
        <rFont val="Noto Sans CJK SC"/>
        <family val="2"/>
      </rPr>
      <t xml:space="preserve">（基準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</si>
  <si>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7.8 $M/</t>
    </r>
    <r>
      <rPr>
        <sz val="10"/>
        <color rgb="FF0000FF"/>
        <rFont val="Noto Sans CJK SC"/>
        <family val="2"/>
      </rPr>
      <t xml:space="preserve">架</t>
    </r>
  </si>
  <si>
    <t xml:space="preserve">搜尋摘要：Morgan Stanley 預期 VR200 NVL72 每機架約 $7.8M（記憶體約 25%、約 $2M）；Bernstein 認為可達 $9.1M（HBM4 $53/GB）</t>
  </si>
  <si>
    <t xml:space="preserve">讀取者：CC｜讀取日 2026-10-05｜G1 規則；二手已讀｜摘錄：“a total estimated BOM of $7.8 million”（WebFetch 回傳）；頁面稱估計出自 Morgan Stanley Research；日期 2026-05-21；頁面無 Bernstein 數字｜換算：MS 為「成本」（SRC 登錄為「機架成本」）；Bernstein 為「售價」可能；口徑未必相同｜立場：Morgan Stanley Research（賣方研究，方法未公開）。**口徑＝BOM（物料成本），不是售價**；SRC 欄記「機架成本」一致，但 Spec_Rack 該列為「機架價格」。搜尋摘要另稱 “cost hyperscale …｜區間型紀錄：至少一值讀到原文、基準在已讀範圍</t>
  </si>
  <si>
    <t xml:space="preserve">Morgan Stanley Rese…</t>
  </si>
  <si>
    <t xml:space="preserve">E202</t>
  </si>
  <si>
    <r>
      <rPr>
        <sz val="10"/>
        <color rgb="FF0000FF"/>
        <rFont val="Arial"/>
        <family val="0"/>
        <charset val="1"/>
      </rPr>
      <t xml:space="preserve">InferenceX GB300 V4-Pro @72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</si>
  <si>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https://inferencex.semianalysis.com/compare-per-dollar/deepseek-v4-b300-vs-gb300</t>
  </si>
  <si>
    <r>
      <rPr>
        <sz val="10"/>
        <color rgb="FF0000FF"/>
        <rFont val="Arial"/>
        <family val="0"/>
        <charset val="1"/>
      </rPr>
      <t xml:space="preserve">Calib C14:C17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D67:G67 η_d </t>
    </r>
    <r>
      <rPr>
        <sz val="10"/>
        <color rgb="FF0000FF"/>
        <rFont val="Noto Sans CJK SC"/>
        <family val="2"/>
      </rPr>
      <t xml:space="preserve">以此為可比</t>
    </r>
  </si>
  <si>
    <r>
      <rPr>
        <sz val="10"/>
        <color rgb="FF0000FF"/>
        <rFont val="Arial"/>
        <family val="0"/>
        <charset val="1"/>
      </rPr>
      <t xml:space="preserve">9384.4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</si>
  <si>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9,384.4；頁面自身在其目標互動性（未明示，約 70.5）顯示 9,506.8</t>
  </si>
  <si>
    <t xml:space="preserve">採納（H1 規則；上限 2 級）</t>
  </si>
  <si>
    <t xml:space="preserve">讀取者：CC｜讀取日 2026-10-05｜H1 規則；上限 2 級｜摘錄：頁面資料列（GB300 dynamo-trt mtp，ISL 8192／OSL 1024）：互動性 74.26→9,097.2；dynamo-sglang mtp：68.27→9,746.1 tok/s/GPU｜換算：自行線性內插至 72：9097.16+(74.263−72)/(74.263−68.267)×(9746.09−9097.16)＝9,342.1（−0.45%）｜立場：利害關係方：SemiAnalysis 以訂閱與諮詢為業；InferenceX 在廠商捐贈硬體上執行（廠商有調校誘因）｜H1：(i) 已讀一手原始資料（頁面內嵌資料列與前端程式）、(ii) 已搜尋同口徑第二來源（見下一列）、(iii) 口徑與方法已寫明</t>
  </si>
  <si>
    <t xml:space="preserve">E203</t>
  </si>
  <si>
    <r>
      <rPr>
        <sz val="10"/>
        <color rgb="FF0000FF"/>
        <rFont val="Arial"/>
        <family val="0"/>
        <charset val="1"/>
      </rPr>
      <t xml:space="preserve">InferenceX GB300 V4-Pro @130 tok/s/user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SRC_PERF_010</t>
    </r>
    <r>
      <rPr>
        <sz val="10"/>
        <color rgb="FF0000FF"/>
        <rFont val="Noto Sans CJK SC"/>
        <family val="2"/>
      </rPr>
      <t xml:space="preserve">）：值 </t>
    </r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</si>
  <si>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Calib D14:D17</t>
  </si>
  <si>
    <r>
      <rPr>
        <sz val="10"/>
        <color rgb="FF0000FF"/>
        <rFont val="Arial"/>
        <family val="0"/>
        <charset val="1"/>
      </rPr>
      <t xml:space="preserve">3473.9 tok/s/GPU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8192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MTP</t>
    </r>
    <r>
      <rPr>
        <sz val="10"/>
        <color rgb="FF0000FF"/>
        <rFont val="Noto Sans CJK SC"/>
        <family val="2"/>
      </rPr>
      <t xml:space="preserve">）</t>
    </r>
  </si>
  <si>
    <t xml:space="preserve">頁面無 3,473.9；頁面自身顯示 3,506.7（目標互動性未明示）</t>
  </si>
  <si>
    <t xml:space="preserve">讀取者：CC｜讀取日 2026-10-05｜H1 規則；上限 2 級｜摘錄：頁面資料列（GB300 mtp，ISL 8192／OSL 1024）：互動性 136.3→3,055.6（sglang）；118.3→4,056.1（trt）；頁面自身顯示 3,506.7｜換算：沿前緣線性內插至 130：3055.6+(136.29−130)/(136.29−118.29)×(4056.1−3055.6)＝3,405.2（−2.0%）；頁面顯示值 3,506.7（+0.9%）｜立場：同 SRC_PERF_009｜H1：(i) 已讀一手原始資料（頁面內嵌資料列與前端程式）、(ii) 已搜尋同口徑第二來源（見下一列）、(iii) 口徑與方法已寫明</t>
  </si>
  <si>
    <t xml:space="preserve">同 SRC_PERF_009</t>
  </si>
  <si>
    <t xml:space="preserve">E204</t>
  </si>
  <si>
    <r>
      <rPr>
        <sz val="10"/>
        <color rgb="FF0000FF"/>
        <rFont val="Arial"/>
        <family val="0"/>
        <charset val="1"/>
      </rPr>
      <t xml:space="preserve">InferenceX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GB300 V4-Pro</t>
    </r>
    <r>
      <rPr>
        <sz val="10"/>
        <color rgb="FF0000FF"/>
        <rFont val="Noto Sans CJK SC"/>
        <family val="2"/>
      </rPr>
      <t xml:space="preserve">：同口徑第二來源搜尋紀錄（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規則 </t>
    </r>
    <r>
      <rPr>
        <sz val="10"/>
        <color rgb="FF0000FF"/>
        <rFont val="Arial"/>
        <family val="0"/>
        <charset val="1"/>
      </rPr>
      <t xml:space="preserve">(ii)</t>
    </r>
    <r>
      <rPr>
        <sz val="10"/>
        <color rgb="FF0000FF"/>
        <rFont val="Noto Sans CJK SC"/>
        <family val="2"/>
      </rPr>
      <t xml:space="preserve">）</t>
    </r>
  </si>
  <si>
    <t xml:space="preserve">https://developer.nvidia.com/blog/nvidia-platform-delivers-lowest-token-cost-enabled-by-extreme-co-design/</t>
  </si>
  <si>
    <r>
      <rPr>
        <sz val="10"/>
        <color rgb="FF0000FF"/>
        <rFont val="Arial"/>
        <family val="0"/>
        <charset val="1"/>
      </rPr>
      <t xml:space="preserve">Calib C17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D17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SRC_PERF_009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</si>
  <si>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MLPerf Inference v6.0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GB300 NVL72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DeepSeek-R1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Offline 9,821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Server 8,064 tok/s/GPU</t>
    </r>
  </si>
  <si>
    <t xml:space="preserve">已讀，口徑不同，不作為第二來源（H1 (ii) 已記錄）</t>
  </si>
  <si>
    <t xml:space="preserve">查詢詞：「MLPerf Inference v6.0 GB300 NVL72 DeepSeek tok/s/GPU」「InferenceX GB300 V4-Pro 72 tok/s second source」；結果：MLPerf 為 R1 模型（37B 啟用）非 V4-Pro（49B）、ISL／OSL 設定不同、NVIDIA 為賣方且自行挑選配置，只作量級對照；無同口徑獨立第二來源｜依 H1 規則記 2 級並標 W1「待第二來源」，不擋完成條件｜讀取者：CC（1，2026-10-05）</t>
  </si>
  <si>
    <r>
      <rPr>
        <sz val="10"/>
        <color rgb="FF000000"/>
        <rFont val="Arial"/>
        <family val="0"/>
        <charset val="1"/>
      </rPr>
      <t xml:space="preserve">SRC_PERF_009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SRC_PERF_010</t>
    </r>
  </si>
  <si>
    <r>
      <rPr>
        <sz val="10"/>
        <color rgb="FF0000FF"/>
        <rFont val="Arial"/>
        <family val="0"/>
        <charset val="1"/>
      </rPr>
      <t xml:space="preserve">DeepSeek V4 </t>
    </r>
    <r>
      <rPr>
        <sz val="10"/>
        <color rgb="FF0000FF"/>
        <rFont val="Noto Sans CJK SC"/>
        <family val="2"/>
      </rPr>
      <t xml:space="preserve">全注意力層比例：由 </t>
    </r>
    <r>
      <rPr>
        <sz val="10"/>
        <color rgb="FF0000FF"/>
        <rFont val="Arial"/>
        <family val="0"/>
        <charset val="1"/>
      </rPr>
      <t xml:space="preserve">config.json compress_ratios </t>
    </r>
    <r>
      <rPr>
        <sz val="10"/>
        <color rgb="FF0000FF"/>
        <rFont val="Noto Sans CJK SC"/>
        <family val="2"/>
      </rPr>
      <t xml:space="preserve">結構計算（</t>
    </r>
    <r>
      <rPr>
        <sz val="10"/>
        <color rgb="FF0000FF"/>
        <rFont val="Arial"/>
        <family val="0"/>
        <charset val="1"/>
      </rPr>
      <t xml:space="preserve">Flash 21/41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30/61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0.492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</si>
  <si>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</si>
  <si>
    <r>
      <rPr>
        <sz val="10"/>
        <color rgb="FF0000FF"/>
        <rFont val="Arial"/>
        <family val="0"/>
        <charset val="1"/>
      </rPr>
      <t xml:space="preserve">Arch C16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Luna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Flash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D16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</si>
  <si>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（約值，兩層級共用）</t>
    </r>
  </si>
  <si>
    <r>
      <rPr>
        <sz val="10"/>
        <color rgb="FF0000FF"/>
        <rFont val="Arial"/>
        <family val="0"/>
        <charset val="1"/>
      </rPr>
      <t xml:space="preserve">Flash 0.512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Pro 0.492</t>
    </r>
  </si>
  <si>
    <t xml:space="preserve">採納（工作單 v5.18 E3）</t>
  </si>
  <si>
    <t xml:space="preserve">讀取者：CC（2026-10-05）｜Flash：壓縮比 4 的 21 層、128 的 20 層、0 的 2 層（共 43；compress_ratios 長度 44＝43＋1 個 MTP 層，不計）；Pro：4 的 30 層、128 的 31 層（共 61）｜比例＝壓縮比 4 的層數÷（壓縮比 4＋128 的層數）：Flash 21/41、Pro 30/61 [Derived]｜立場：DeepSeek 自揭（利害關係方）</t>
  </si>
  <si>
    <r>
      <rPr>
        <sz val="10"/>
        <color rgb="FF000000"/>
        <rFont val="Arial"/>
        <family val="0"/>
        <charset val="1"/>
      </rPr>
      <t xml:space="preserve">SRC_MOD_015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SRC_MOD_054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</si>
  <si>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L1_*</t>
    </r>
    <r>
      <rPr>
        <sz val="10"/>
        <color rgb="FF000000"/>
        <rFont val="Noto Sans CJK SC"/>
        <family val="2"/>
      </rPr>
      <t xml:space="preserve">（見歸因 </t>
    </r>
    <r>
      <rPr>
        <sz val="10"/>
        <color rgb="FF000000"/>
        <rFont val="Arial"/>
        <family val="0"/>
        <charset val="1"/>
      </rPr>
      <t xml:space="preserve">E3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</si>
  <si>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欄改單架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封裝：</t>
    </r>
    <r>
      <rPr>
        <sz val="10"/>
        <color rgb="FF0000FF"/>
        <rFont val="Arial"/>
        <family val="0"/>
        <charset val="1"/>
      </rPr>
      <t xml:space="preserve">NVL576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MGX NVL </t>
    </r>
    <r>
      <rPr>
        <sz val="10"/>
        <color rgb="FF0000FF"/>
        <rFont val="Noto Sans CJK SC"/>
        <family val="2"/>
      </rPr>
      <t xml:space="preserve">機架、每架 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顆 </t>
    </r>
    <r>
      <rPr>
        <sz val="10"/>
        <color rgb="FF0000FF"/>
        <rFont val="Arial"/>
        <family val="0"/>
        <charset val="1"/>
      </rPr>
      <t xml:space="preserve">Rubin Ultra GPU</t>
    </r>
    <r>
      <rPr>
        <sz val="10"/>
        <color rgb="FF0000FF"/>
        <rFont val="Noto Sans CJK SC"/>
        <family val="2"/>
      </rPr>
      <t xml:space="preserve">、單一 </t>
    </r>
    <r>
      <rPr>
        <sz val="10"/>
        <color rgb="FF0000FF"/>
        <rFont val="Arial"/>
        <family val="0"/>
        <charset val="1"/>
      </rPr>
      <t xml:space="preserve">576 GPU NVLink </t>
    </r>
    <r>
      <rPr>
        <sz val="10"/>
        <color rgb="FF0000FF"/>
        <rFont val="Noto Sans CJK SC"/>
        <family val="2"/>
      </rPr>
      <t xml:space="preserve">域</t>
    </r>
  </si>
  <si>
    <t xml:space="preserve">https://developer.nvidia.com/blog/nvidia-vera-rubin-pod-seven-chips-five-rack-scale-systems-one-ai-supercomputer</t>
  </si>
  <si>
    <r>
      <rPr>
        <sz val="10"/>
        <color rgb="FF0000FF"/>
        <rFont val="Arial"/>
        <family val="0"/>
        <charset val="1"/>
      </rPr>
      <t xml:space="preserve">Spec_Rack G6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G8–G13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 </t>
    </r>
    <r>
      <rPr>
        <sz val="10"/>
        <color rgb="FF0000FF"/>
        <rFont val="Noto Sans CJK SC"/>
        <family val="2"/>
      </rPr>
      <t xml:space="preserve">隨之改為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</si>
  <si>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封裝／架（</t>
    </r>
    <r>
      <rPr>
        <sz val="10"/>
        <color rgb="FF0000FF"/>
        <rFont val="Arial"/>
        <family val="0"/>
        <charset val="1"/>
      </rPr>
      <t xml:space="preserve">Kyber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</si>
  <si>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封裝／架；</t>
    </r>
    <r>
      <rPr>
        <sz val="10"/>
        <color rgb="FF0000FF"/>
        <rFont val="Arial"/>
        <family val="0"/>
        <charset val="1"/>
      </rPr>
      <t xml:space="preserve">NVLink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576</t>
    </r>
  </si>
  <si>
    <t xml:space="preserve">採納（工作單 v5.18 2.3；E2、F2–F5）</t>
  </si>
  <si>
    <t xml:space="preserve">讀取者：CC（1b 起，2026-10-05）｜逐字：“Vera Rubin Ultra NVL576 will combine eight separate MGX NVL racks, each with 72 Rubin Ultra GPUs … single 576-GPU NVLink domain”；“Kyber NVL144 rack … double the NVLink domain per rack to 144 GPUs for the Feynman era”（不納入）｜「GPU」是封裝或 die 部落格未明載；推斷為封裝（Derived）：Kyber NVL144＝144 封裝＝舊 NVL576（576 die）；Schneider 稱 Rubin Ultra＝Kyber 576 GPU／架、1–1.2 MW，與 NVIDIA 2026-09 衝突，依 Andy 指示列較舊路線圖｜立場：Interested-party</t>
  </si>
  <si>
    <r>
      <rPr>
        <sz val="10"/>
        <color rgb="FF000000"/>
        <rFont val="Arial"/>
        <family val="0"/>
        <charset val="1"/>
      </rPr>
      <t xml:space="preserve">SRC_HW_061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SRC_HW_062</t>
    </r>
  </si>
  <si>
    <r>
      <rPr>
        <sz val="10"/>
        <color rgb="FF000000"/>
        <rFont val="Arial"/>
        <family val="0"/>
        <charset val="1"/>
      </rPr>
      <t xml:space="preserve">SRC_HW_013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SRC_HW_045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SRC_HW_054</t>
    </r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</si>
  <si>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欄）、</t>
    </r>
    <r>
      <rPr>
        <sz val="10"/>
        <color rgb="FF000000"/>
        <rFont val="Arial"/>
        <family val="0"/>
        <charset val="1"/>
      </rPr>
      <t xml:space="preserve">L1_*</t>
    </r>
  </si>
  <si>
    <r>
      <rPr>
        <sz val="10"/>
        <color rgb="FF0000FF"/>
        <rFont val="Arial"/>
        <family val="0"/>
        <charset val="1"/>
      </rPr>
      <t xml:space="preserve">DGX Vera Rubin NVL72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 PFLOPS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 PFLOPS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</si>
  <si>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https://www.nvidia.com/en-us/data-center/dgx-vera-rubin-nvl72/</t>
  </si>
  <si>
    <r>
      <rPr>
        <sz val="10"/>
        <color rgb="FF0000FF"/>
        <rFont val="Arial"/>
        <family val="0"/>
        <charset val="1"/>
      </rPr>
      <t xml:space="preserve">Spec_Rack G23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G24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 </t>
    </r>
    <r>
      <rPr>
        <sz val="10"/>
        <color rgb="FF0000FF"/>
        <rFont val="Noto Sans CJK SC"/>
        <family val="2"/>
      </rPr>
      <t xml:space="preserve">依據）</t>
    </r>
  </si>
  <si>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2,520÷72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35 PF/GPU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FP8/FP6 </t>
    </r>
    <r>
      <rPr>
        <sz val="10"/>
        <color rgb="FF0000FF"/>
        <rFont val="Noto Sans CJK SC"/>
        <family val="2"/>
      </rPr>
      <t xml:space="preserve">訓練 </t>
    </r>
    <r>
      <rPr>
        <sz val="10"/>
        <color rgb="FF0000FF"/>
        <rFont val="Arial"/>
        <family val="0"/>
        <charset val="1"/>
      </rPr>
      <t xml:space="preserve">1,260÷72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17.5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（註 </t>
    </r>
    <r>
      <rPr>
        <sz val="10"/>
        <color rgb="FF0000FF"/>
        <rFont val="Arial"/>
        <family val="0"/>
        <charset val="1"/>
      </rPr>
      <t xml:space="preserve">Sparse</t>
    </r>
    <r>
      <rPr>
        <sz val="10"/>
        <color rgb="FF0000FF"/>
        <rFont val="Noto Sans CJK SC"/>
        <family val="2"/>
      </rPr>
      <t xml:space="preserve">）</t>
    </r>
  </si>
  <si>
    <t xml:space="preserve">採納（Derived 依據；工作單 v5.18 2.3）</t>
  </si>
  <si>
    <t xml:space="preserve">讀取者：CC（1c，2026-10-05；nvidia.com HTTP 200）｜註腳 “Dense specification”／“Sparse specification”｜Rubin Ultra 為 4 die（Rubin 2 die）：G23＝2×35＝70；G40＝2×17.5＝35.0；G24＝2×50＝100 [Derived]｜立場：NVIDIA 為賣方</t>
  </si>
  <si>
    <r>
      <rPr>
        <sz val="10"/>
        <color rgb="FF000000"/>
        <rFont val="Arial"/>
        <family val="0"/>
        <charset val="1"/>
      </rPr>
      <t xml:space="preserve">IF_*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Rubin Ultra </t>
    </r>
    <r>
      <rPr>
        <sz val="10"/>
        <color rgb="FF000000"/>
        <rFont val="Noto Sans CJK SC"/>
        <family val="2"/>
      </rPr>
      <t xml:space="preserve">欄）</t>
    </r>
  </si>
  <si>
    <t xml:space="preserve">E208</t>
  </si>
  <si>
    <r>
      <rPr>
        <sz val="10"/>
        <color rgb="FF0000FF"/>
        <rFont val="Arial"/>
        <family val="0"/>
        <charset val="1"/>
      </rPr>
      <t xml:space="preserve">Copilot </t>
    </r>
    <r>
      <rPr>
        <sz val="10"/>
        <color rgb="FF0000FF"/>
        <rFont val="Noto Sans CJK SC"/>
        <family val="2"/>
      </rPr>
      <t xml:space="preserve">追蹤：每工作階段使用者輪中位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6.1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P90 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LLM </t>
    </r>
    <r>
      <rPr>
        <sz val="10"/>
        <color rgb="FF0000FF"/>
        <rFont val="Noto Sans CJK SC"/>
        <family val="2"/>
      </rPr>
      <t xml:space="preserve">呼叫中位 </t>
    </r>
    <r>
      <rPr>
        <sz val="10"/>
        <color rgb="FF0000FF"/>
        <rFont val="Arial"/>
        <family val="0"/>
        <charset val="1"/>
      </rPr>
      <t xml:space="preserve">15</t>
    </r>
    <r>
      <rPr>
        <sz val="10"/>
        <color rgb="FF0000FF"/>
        <rFont val="Noto Sans CJK SC"/>
        <family val="2"/>
      </rPr>
      <t xml:space="preserve">／平均 </t>
    </r>
    <r>
      <rPr>
        <sz val="10"/>
        <color rgb="FF0000FF"/>
        <rFont val="Arial"/>
        <family val="0"/>
        <charset val="1"/>
      </rPr>
      <t xml:space="preserve">40.6</t>
    </r>
  </si>
  <si>
    <r>
      <rPr>
        <sz val="10"/>
        <color rgb="FF0000FF"/>
        <rFont val="Arial"/>
        <family val="0"/>
        <charset val="1"/>
      </rPr>
      <t xml:space="preserve">https://arxiv.org/abs/2608.00101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Agentic Coding in the Wild: Characterizing GitHub Copilot Traces at Production Scale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全文 </t>
    </r>
    <r>
      <rPr>
        <sz val="10"/>
        <color rgb="FF0000FF"/>
        <rFont val="Arial"/>
        <family val="0"/>
        <charset val="1"/>
      </rPr>
      <t xml:space="preserve">arxiv.org/html/2608.00101v1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</si>
  <si>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Workload 5</t>
    </r>
    <r>
      <rPr>
        <sz val="10"/>
        <color rgb="FF0000FF"/>
        <rFont val="Noto Sans CJK SC"/>
        <family val="2"/>
      </rPr>
      <t xml:space="preserve">（輪數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E5:G5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</si>
  <si>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30</t>
    </r>
  </si>
  <si>
    <t xml:space="preserve">不改（r3 I1）</t>
  </si>
  <si>
    <t xml:space="preserve">已讀，已涵蓋（不改）</t>
  </si>
  <si>
    <t xml:space="preserve">讀取者：CC｜Table 4｜單位對應：Workload T 以每次新輸入（使用者或工具結果）計一輪＝LLM 呼叫數；Copilot『LLM 呼叫平均 40.6』對應 G 欄（Coding agent，區間 15–60，已涵蓋）；『使用者輪中位 3』單位不同，不套用；E、F 非 coding 工作負載｜Analogy｜立場：Microsoft 研究（中立偏利害）</t>
  </si>
  <si>
    <t xml:space="preserve">—（區間與基準皆不改）</t>
  </si>
  <si>
    <t xml:space="preserve">中立偏利害</t>
  </si>
  <si>
    <t xml:space="preserve">E209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</si>
  <si>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KV </t>
    </r>
    <r>
      <rPr>
        <sz val="10"/>
        <color rgb="FF0000FF"/>
        <rFont val="Noto Sans CJK SC"/>
        <family val="2"/>
      </rPr>
      <t xml:space="preserve">快取命中率輪內平均約 </t>
    </r>
    <r>
      <rPr>
        <sz val="10"/>
        <color rgb="FF0000FF"/>
        <rFont val="Arial"/>
        <family val="0"/>
        <charset val="1"/>
      </rPr>
      <t xml:space="preserve">90%</t>
    </r>
    <r>
      <rPr>
        <sz val="10"/>
        <color rgb="FF0000FF"/>
        <rFont val="Noto Sans CJK SC"/>
        <family val="2"/>
      </rPr>
      <t xml:space="preserve">、跨輪邊界 </t>
    </r>
    <r>
      <rPr>
        <sz val="10"/>
        <color rgb="FF0000FF"/>
        <rFont val="Arial"/>
        <family val="0"/>
        <charset val="1"/>
      </rPr>
      <t xml:space="preserve">55%</t>
    </r>
    <r>
      <rPr>
        <sz val="10"/>
        <color rgb="FF0000FF"/>
        <rFont val="Noto Sans CJK SC"/>
        <family val="2"/>
      </rPr>
      <t xml:space="preserve">、呼叫層中位約 </t>
    </r>
    <r>
      <rPr>
        <sz val="10"/>
        <color rgb="FF0000FF"/>
        <rFont val="Arial"/>
        <family val="0"/>
        <charset val="1"/>
      </rPr>
      <t xml:space="preserve">98%</t>
    </r>
  </si>
  <si>
    <r>
      <rPr>
        <sz val="10"/>
        <color rgb="FF0000FF"/>
        <rFont val="Arial"/>
        <family val="0"/>
        <charset val="1"/>
      </rPr>
      <t xml:space="preserve">Workload 11</t>
    </r>
    <r>
      <rPr>
        <sz val="10"/>
        <color rgb="FF0000FF"/>
        <rFont val="Noto Sans CJK SC"/>
        <family val="2"/>
      </rPr>
      <t xml:space="preserve">（歷史快取命中率 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E11:G11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</si>
  <si>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E:G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0.7–0.95</t>
    </r>
  </si>
  <si>
    <t xml:space="preserve">讀取者：CC｜單位對應：T 以呼叫計，相鄰呼叫多屬輪內（命中 90–94%）；跨使用者輪 55% 約占 40 次中 2 次，加權約 0.90；現區間 0.70–0.95 已涵蓋｜Analogy｜立場：Microsoft 研究（中立偏利害）</t>
  </si>
  <si>
    <t xml:space="preserve">E210</t>
  </si>
  <si>
    <r>
      <rPr>
        <sz val="10"/>
        <color rgb="FF0000FF"/>
        <rFont val="Arial"/>
        <family val="0"/>
        <charset val="1"/>
      </rPr>
      <t xml:space="preserve">DeepSeek </t>
    </r>
    <r>
      <rPr>
        <sz val="10"/>
        <color rgb="FF0000FF"/>
        <rFont val="Noto Sans CJK SC"/>
        <family val="2"/>
      </rPr>
      <t xml:space="preserve">推論系統概述：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小時輸入 </t>
    </r>
    <r>
      <rPr>
        <sz val="10"/>
        <color rgb="FF0000FF"/>
        <rFont val="Arial"/>
        <family val="0"/>
        <charset val="1"/>
      </rPr>
      <t xml:space="preserve">608 B token </t>
    </r>
    <r>
      <rPr>
        <sz val="10"/>
        <color rgb="FF0000FF"/>
        <rFont val="Noto Sans CJK SC"/>
        <family val="2"/>
      </rPr>
      <t xml:space="preserve">中 </t>
    </r>
    <r>
      <rPr>
        <sz val="10"/>
        <color rgb="FF0000FF"/>
        <rFont val="Arial"/>
        <family val="0"/>
        <charset val="1"/>
      </rPr>
      <t xml:space="preserve">342 B </t>
    </r>
    <r>
      <rPr>
        <sz val="10"/>
        <color rgb="FF0000FF"/>
        <rFont val="Noto Sans CJK SC"/>
        <family val="2"/>
      </rPr>
      <t xml:space="preserve">命中（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）；每節點吞吐 </t>
    </r>
    <r>
      <rPr>
        <sz val="10"/>
        <color rgb="FF0000FF"/>
        <rFont val="Arial"/>
        <family val="0"/>
        <charset val="1"/>
      </rPr>
      <t xml:space="preserve">73.7k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14.8k tok/s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prefill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階段中的值，非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小時均值</t>
    </r>
  </si>
  <si>
    <t xml:space="preserve">https://raw.githubusercontent.com/deepseek-ai/open-infra-index/main/202502OpenSourceWeek/day_6_one_more_thing_deepseekV3R1_inference_system_overview.md</t>
  </si>
  <si>
    <r>
      <rPr>
        <sz val="10"/>
        <color rgb="FF0000FF"/>
        <rFont val="Arial"/>
        <family val="0"/>
        <charset val="1"/>
      </rPr>
      <t xml:space="preserve">Workload 11 C:D</t>
    </r>
    <r>
      <rPr>
        <sz val="10"/>
        <color rgb="FF0000FF"/>
        <rFont val="Noto Sans CJK SC"/>
        <family val="2"/>
      </rPr>
      <t xml:space="preserve">（一般對話；區間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，不動）；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</t>
    </r>
    <r>
      <rPr>
        <sz val="10"/>
        <color rgb="FF0000FF"/>
        <rFont val="Noto Sans CJK SC"/>
        <family val="2"/>
      </rPr>
      <t xml:space="preserve">（未採用）</t>
    </r>
  </si>
  <si>
    <r>
      <rPr>
        <sz val="10"/>
        <color rgb="FF0000FF"/>
        <rFont val="Arial"/>
        <family val="0"/>
        <charset val="1"/>
      </rPr>
      <t xml:space="preserve">C:D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0.3–0.7</t>
    </r>
  </si>
  <si>
    <r>
      <rPr>
        <sz val="10"/>
        <color rgb="FF0000FF"/>
        <rFont val="Arial"/>
        <family val="0"/>
        <charset val="1"/>
      </rPr>
      <t xml:space="preserve">χ C:D </t>
    </r>
    <r>
      <rPr>
        <sz val="10"/>
        <color rgb="FF0000FF"/>
        <rFont val="Noto Sans CJK SC"/>
        <family val="2"/>
      </rPr>
      <t xml:space="preserve">不改（現區間 </t>
    </r>
    <r>
      <rPr>
        <sz val="10"/>
        <color rgb="FF0000FF"/>
        <rFont val="Arial"/>
        <family val="0"/>
        <charset val="1"/>
      </rPr>
      <t xml:space="preserve">0.3–0.7 </t>
    </r>
    <r>
      <rPr>
        <sz val="10"/>
        <color rgb="FF0000FF"/>
        <rFont val="Noto Sans CJK SC"/>
        <family val="2"/>
      </rPr>
      <t xml:space="preserve">已涵蓋 </t>
    </r>
    <r>
      <rPr>
        <sz val="10"/>
        <color rgb="FF0000FF"/>
        <rFont val="Arial"/>
        <family val="0"/>
        <charset val="1"/>
      </rPr>
      <t xml:space="preserve">0.563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18 </t>
    </r>
    <r>
      <rPr>
        <sz val="10"/>
        <color rgb="FF0000FF"/>
        <rFont val="Noto Sans CJK SC"/>
        <family val="2"/>
      </rPr>
      <t xml:space="preserve">只蒐集證據</t>
    </r>
  </si>
  <si>
    <t xml:space="preserve">已讀，已涵蓋（χ C:D 不改）；Serving 17／18 未採用（S2 (a)）</t>
  </si>
  <si>
    <t xml:space="preserve">讀取者：CC｜節點利用（平均÷尖峰節點）＝226.75/278＝0.816 [Derived]｜硬體 H800、模型 V3／R1、2025-02，與第 0 層差異大，僅作量級參考；前次『日均÷73.7k＝0.42／0.58』口徑有誤已更正｜立場：DeepSeek 自揭（利害關係方）</t>
  </si>
  <si>
    <t xml:space="preserve">E211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</si>
  <si>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68K</t>
    </r>
    <r>
      <rPr>
        <sz val="10"/>
        <color rgb="FF0000FF"/>
        <rFont val="Noto Sans CJK SC"/>
        <family val="2"/>
      </rPr>
      <t xml:space="preserve">（快取 </t>
    </r>
    <r>
      <rPr>
        <sz val="10"/>
        <color rgb="FF0000FF"/>
        <rFont val="Arial"/>
        <family val="0"/>
        <charset val="1"/>
      </rPr>
      <t xml:space="preserve">63K</t>
    </r>
    <r>
      <rPr>
        <sz val="10"/>
        <color rgb="FF0000FF"/>
        <rFont val="Noto Sans CJK SC"/>
        <family val="2"/>
      </rPr>
      <t xml:space="preserve">）；每使用者輪提示中位 </t>
    </r>
    <r>
      <rPr>
        <sz val="10"/>
        <color rgb="FF0000FF"/>
        <rFont val="Arial"/>
        <family val="0"/>
        <charset val="1"/>
      </rPr>
      <t xml:space="preserve">160.2K</t>
    </r>
  </si>
  <si>
    <r>
      <rPr>
        <sz val="10"/>
        <color rgb="FF0000FF"/>
        <rFont val="Arial"/>
        <family val="0"/>
        <charset val="1"/>
      </rPr>
      <t xml:space="preserve">Serving 23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ISL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C23:E23 </t>
    </r>
    <r>
      <rPr>
        <sz val="10"/>
        <color rgb="FF0000FF"/>
        <rFont val="Noto Sans CJK SC"/>
        <family val="2"/>
      </rPr>
      <t xml:space="preserve">區間）</t>
    </r>
  </si>
  <si>
    <t xml:space="preserve">×0.5–×2</t>
  </si>
  <si>
    <r>
      <rPr>
        <sz val="10"/>
        <color rgb="FF0000FF"/>
        <rFont val="Arial"/>
        <family val="0"/>
        <charset val="1"/>
      </rPr>
      <t xml:space="preserve">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E23 </t>
    </r>
    <r>
      <rPr>
        <sz val="10"/>
        <color rgb="FF0000FF"/>
        <rFont val="Noto Sans CJK SC"/>
        <family val="2"/>
      </rPr>
      <t xml:space="preserve">區間高擴至 </t>
    </r>
    <r>
      <rPr>
        <sz val="10"/>
        <color rgb="FF0000FF"/>
        <rFont val="Arial"/>
        <family val="0"/>
        <charset val="1"/>
      </rPr>
      <t xml:space="preserve">68,000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C23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r3 I1</t>
    </r>
    <r>
      <rPr>
        <sz val="10"/>
        <color rgb="FF0000FF"/>
        <rFont val="Noto Sans CJK SC"/>
        <family val="2"/>
      </rPr>
      <t xml:space="preserve">：只套中、頂層）</t>
    </r>
  </si>
  <si>
    <t xml:space="preserve">採用為區間依據（Analogy；D23、E23）</t>
  </si>
  <si>
    <t xml:space="preserve">讀取者：CC｜Figure 10、Table 4｜不用每使用者輪 160K（口徑不同）｜差異：編碼代理的累積上下文，僅代理層有對應；低層（Luna）不套用｜基準不動｜立場：Microsoft 研究</t>
  </si>
  <si>
    <t xml:space="preserve">區間（基準輸出影響 0）</t>
  </si>
  <si>
    <t xml:space="preserve">E212</t>
  </si>
  <si>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：每呼叫輸出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中位 </t>
    </r>
    <r>
      <rPr>
        <sz val="10"/>
        <color rgb="FF0000FF"/>
        <rFont val="Arial"/>
        <family val="0"/>
        <charset val="1"/>
      </rPr>
      <t xml:space="preserve">247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88% </t>
    </r>
    <r>
      <rPr>
        <sz val="10"/>
        <color rgb="FF0000FF"/>
        <rFont val="Noto Sans CJK SC"/>
        <family val="2"/>
      </rPr>
      <t xml:space="preserve">呼叫 </t>
    </r>
    <r>
      <rPr>
        <sz val="10"/>
        <color rgb="FF0000FF"/>
        <rFont val="Arial"/>
        <family val="0"/>
        <charset val="1"/>
      </rPr>
      <t xml:space="preserve">&lt;1,000</t>
    </r>
    <r>
      <rPr>
        <sz val="10"/>
        <color rgb="FF0000FF"/>
        <rFont val="Noto Sans CJK SC"/>
        <family val="2"/>
      </rPr>
      <t xml:space="preserve">；不含推理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</si>
  <si>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24</t>
    </r>
    <r>
      <rPr>
        <sz val="10"/>
        <color rgb="FF0000FF"/>
        <rFont val="Noto Sans CJK SC"/>
        <family val="2"/>
      </rPr>
      <t xml:space="preserve">（參考 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，含思考）</t>
    </r>
  </si>
  <si>
    <r>
      <rPr>
        <sz val="10"/>
        <color rgb="FF0000FF"/>
        <rFont val="Arial"/>
        <family val="0"/>
        <charset val="1"/>
      </rPr>
      <t xml:space="preserve">1024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4096</t>
    </r>
  </si>
  <si>
    <t xml:space="preserve">不套用（判為不可比）</t>
  </si>
  <si>
    <t xml:space="preserve">已讀，未採用</t>
  </si>
  <si>
    <t xml:space="preserve">讀取者：CC｜不含推理 token，口徑與模型 OSL（含思考）不同；單一產品；僅作下界參考｜OpenRouter State of AI PDF 被出口政策擋（R5），仍缺含推理 token 的分布｜工作單 2.4：Serving 24 不套用（chat 端判讀，Andy 可改）</t>
  </si>
  <si>
    <t xml:space="preserve">E213</t>
  </si>
  <si>
    <r>
      <rPr>
        <sz val="10"/>
        <color rgb="FF0000FF"/>
        <rFont val="Arial"/>
        <family val="0"/>
        <charset val="1"/>
      </rPr>
      <t xml:space="preserve">MegaScale-MoE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arXiv 2505.11432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上 </t>
    </r>
    <r>
      <rPr>
        <sz val="10"/>
        <color rgb="FF0000FF"/>
        <rFont val="Arial"/>
        <family val="0"/>
        <charset val="1"/>
      </rPr>
      <t xml:space="preserve">MFU 27.89–32.48%</t>
    </r>
    <r>
      <rPr>
        <sz val="10"/>
        <color rgb="FF0000FF"/>
        <rFont val="Noto Sans CJK SC"/>
        <family val="2"/>
      </rPr>
      <t xml:space="preserve">；原文稱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隨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運算能力增加而下降</t>
    </r>
  </si>
  <si>
    <t xml:space="preserve">https://arxiv.org/abs/2505.11432</t>
  </si>
  <si>
    <r>
      <rPr>
        <sz val="10"/>
        <color rgb="FF0000FF"/>
        <rFont val="Arial"/>
        <family val="0"/>
        <charset val="1"/>
      </rPr>
      <t xml:space="preserve">Train_In 21</t>
    </r>
    <r>
      <rPr>
        <sz val="10"/>
        <color rgb="FF0000FF"/>
        <rFont val="Noto Sans CJK SC"/>
        <family val="2"/>
      </rPr>
      <t xml:space="preserve">（預訓練 </t>
    </r>
    <r>
      <rPr>
        <sz val="10"/>
        <color rgb="FF0000FF"/>
        <rFont val="Arial"/>
        <family val="0"/>
        <charset val="1"/>
      </rPr>
      <t xml:space="preserve">MFU </t>
    </r>
    <r>
      <rPr>
        <sz val="10"/>
        <color rgb="FF0000FF"/>
        <rFont val="Noto Sans CJK SC"/>
        <family val="2"/>
      </rPr>
      <t xml:space="preserve">世代倍數）</t>
    </r>
  </si>
  <si>
    <r>
      <rPr>
        <sz val="10"/>
        <color rgb="FF0000FF"/>
        <rFont val="Arial"/>
        <family val="0"/>
        <charset val="1"/>
      </rPr>
      <t xml:space="preserve">Hopper 0.8→1.0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E1</t>
    </r>
    <r>
      <rPr>
        <sz val="10"/>
        <color rgb="FF0000FF"/>
        <rFont val="Noto Sans CJK SC"/>
        <family val="2"/>
      </rPr>
      <t xml:space="preserve">）</t>
    </r>
  </si>
  <si>
    <t xml:space="preserve">讀取者：CC｜方向性證據（Blackwell 的 MFU 不高於 Hopper）與模型『Hopper 0.8、GB200 1』相反；僅有 Hopper 世代內量測，無 Blackwell／Rubin 絕對值；E1 依 Andy 決定改 Hopper 1.0（區間 0.8–1.2），此證據不採用，列待判斷</t>
  </si>
  <si>
    <t xml:space="preserve">E214</t>
  </si>
  <si>
    <r>
      <rPr>
        <sz val="10"/>
        <color rgb="FF0000FF"/>
        <rFont val="Arial"/>
        <family val="0"/>
        <charset val="1"/>
      </rPr>
      <t xml:space="preserve">HPE QuickSpecs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GB200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192 kW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EDPp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155 kW</t>
    </r>
    <r>
      <rPr>
        <sz val="10"/>
        <color rgb="FF0000FF"/>
        <rFont val="Noto Sans CJK SC"/>
        <family val="2"/>
      </rPr>
      <t xml:space="preserve">（電氣設計尖峰）</t>
    </r>
  </si>
  <si>
    <r>
      <rPr>
        <sz val="10"/>
        <color rgb="FF0000FF"/>
        <rFont val="Arial"/>
        <family val="0"/>
        <charset val="1"/>
      </rPr>
      <t xml:space="preserve">HPE QuickSpecs V6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；搜尋摘要，</t>
    </r>
    <r>
      <rPr>
        <sz val="10"/>
        <color rgb="FF0000FF"/>
        <rFont val="Arial"/>
        <family val="0"/>
        <charset val="1"/>
      </rPr>
      <t xml:space="preserve">hpe.com </t>
    </r>
    <r>
      <rPr>
        <sz val="10"/>
        <color rgb="FF0000FF"/>
        <rFont val="Noto Sans CJK SC"/>
        <family val="2"/>
      </rPr>
      <t xml:space="preserve">被出口政策擋）</t>
    </r>
  </si>
  <si>
    <t xml:space="preserve">二手（只見摘錄）</t>
  </si>
  <si>
    <r>
      <rPr>
        <sz val="10"/>
        <color rgb="FF0000FF"/>
        <rFont val="Arial"/>
        <family val="0"/>
        <charset val="1"/>
      </rPr>
      <t xml:space="preserve">Spec_Rack D8:E10</t>
    </r>
    <r>
      <rPr>
        <sz val="10"/>
        <color rgb="FF0000FF"/>
        <rFont val="Noto Sans CJK SC"/>
        <family val="2"/>
      </rPr>
      <t xml:space="preserve">（機架功率）</t>
    </r>
  </si>
  <si>
    <t xml:space="preserve">已讀，未採用（口徑不同）</t>
  </si>
  <si>
    <t xml:space="preserve">電氣設計尖峰口徑（≈1.5×TDP），與模型採用的 TDP／設計功率口徑不同；只登錄於 DB_Evidence（工作單 v5.18 G2）</t>
  </si>
  <si>
    <t xml:space="preserve">E215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</si>
  <si>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（搜尋摘錄）：</t>
    </r>
    <r>
      <rPr>
        <sz val="10"/>
        <color rgb="FF0000FF"/>
        <rFont val="Arial"/>
        <family val="0"/>
        <charset val="1"/>
      </rPr>
      <t xml:space="preserve">Supermicro SRS-VR-NVL72 4×110 kW </t>
    </r>
    <r>
      <rPr>
        <sz val="10"/>
        <color rgb="FF0000FF"/>
        <rFont val="Noto Sans CJK SC"/>
        <family val="2"/>
      </rPr>
      <t xml:space="preserve">電源架供 ≤</t>
    </r>
    <r>
      <rPr>
        <sz val="10"/>
        <color rgb="FF0000FF"/>
        <rFont val="Arial"/>
        <family val="0"/>
        <charset val="1"/>
      </rPr>
      <t xml:space="preserve">220 kW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</si>
  <si>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（搜尋摘錄，未讀）</t>
    </r>
  </si>
  <si>
    <t xml:space="preserve">只見摘錄</t>
  </si>
  <si>
    <r>
      <rPr>
        <sz val="10"/>
        <color rgb="FF0000FF"/>
        <rFont val="Arial"/>
        <family val="0"/>
        <charset val="1"/>
      </rPr>
      <t xml:space="preserve">Spec_Rack F9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機架功率）</t>
    </r>
  </si>
  <si>
    <t xml:space="preserve">已讀（摘錄），未採用</t>
  </si>
  <si>
    <t xml:space="preserve">僅搜尋摘錄、未讀原文；若屬實可用容量略低於 MaxP 227；Supermicro Datasheet 440 kW（含備援，Verified）、CDU 2.2 MW÷8＝275 kW/架（Derived）並不衝突｜工作單 v5.18 3.5 指定登錄為「已讀，未採用」</t>
  </si>
  <si>
    <t xml:space="preserve">E216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</si>
  <si>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（轉述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揭露）：至 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累計出貨 </t>
    </r>
    <r>
      <rPr>
        <sz val="10"/>
        <color rgb="FF0000FF"/>
        <rFont val="Arial"/>
        <family val="0"/>
        <charset val="1"/>
      </rPr>
      <t xml:space="preserve">Hopper 4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Blackwell 3 M → Hopper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4/7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0.571</t>
    </r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</si>
  <si>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1d </t>
    </r>
    <r>
      <rPr>
        <sz val="10"/>
        <color rgb="FF0000FF"/>
        <rFont val="Noto Sans CJK SC"/>
        <family val="2"/>
      </rPr>
      <t xml:space="preserve">重跑讀取；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出貨揭露轉述）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</si>
  <si>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對帳常數『</t>
    </r>
    <r>
      <rPr>
        <sz val="10"/>
        <color rgb="FF0000FF"/>
        <rFont val="Arial"/>
        <family val="0"/>
        <charset val="1"/>
      </rPr>
      <t xml:space="preserve">2025 Hopper </t>
    </r>
    <r>
      <rPr>
        <sz val="10"/>
        <color rgb="FF0000FF"/>
        <rFont val="Noto Sans CJK SC"/>
        <family val="2"/>
      </rPr>
      <t xml:space="preserve">占機隊』（</t>
    </r>
    <r>
      <rPr>
        <sz val="10"/>
        <color rgb="FF0000FF"/>
        <rFont val="Arial"/>
        <family val="0"/>
        <charset val="1"/>
      </rPr>
      <t xml:space="preserve">I46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</si>
  <si>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</si>
  <si>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0.57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0.5–0.6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D4</t>
    </r>
    <r>
      <rPr>
        <sz val="10"/>
        <color rgb="FF0000FF"/>
        <rFont val="Noto Sans CJK SC"/>
        <family val="2"/>
      </rPr>
      <t xml:space="preserve">）</t>
    </r>
  </si>
  <si>
    <t xml:space="preserve">採納（Analogy）</t>
  </si>
  <si>
    <t xml:space="preserve">讀取者：CC｜口徑：全球累計出貨，非 OpenAI 機隊；OpenAI 自身組成未找到出處；Analogy 區間 0.5–0.6</t>
  </si>
  <si>
    <r>
      <rPr>
        <sz val="10"/>
        <color rgb="FF000000"/>
        <rFont val="Arial"/>
        <family val="0"/>
        <charset val="1"/>
      </rPr>
      <t xml:space="preserve">L1_RevGWFleet_OAI2025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Checks 43</t>
    </r>
  </si>
  <si>
    <t xml:space="preserve">E217</t>
  </si>
  <si>
    <r>
      <rPr>
        <sz val="10"/>
        <color rgb="FF0000FF"/>
        <rFont val="Arial"/>
        <family val="0"/>
        <charset val="1"/>
      </rPr>
      <t xml:space="preserve">InferenceX </t>
    </r>
    <r>
      <rPr>
        <sz val="10"/>
        <color rgb="FF0000FF"/>
        <rFont val="Noto Sans CJK SC"/>
        <family val="2"/>
      </rPr>
      <t xml:space="preserve">頁面 </t>
    </r>
    <r>
      <rPr>
        <sz val="10"/>
        <color rgb="FF0000FF"/>
        <rFont val="Arial"/>
        <family val="0"/>
        <charset val="1"/>
      </rPr>
      <t xml:space="preserve">tok/s/MW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tok/s/GPU÷</t>
    </r>
    <r>
      <rPr>
        <sz val="10"/>
        <color rgb="FF0000FF"/>
        <rFont val="Noto Sans CJK SC"/>
        <family val="2"/>
      </rPr>
      <t xml:space="preserve">固定常數（</t>
    </r>
    <r>
      <rPr>
        <sz val="10"/>
        <color rgb="FF0000FF"/>
        <rFont val="Arial"/>
        <family val="0"/>
        <charset val="1"/>
      </rPr>
      <t xml:space="preserve">GB300 2.12 kW/GPU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9,506.83÷4,484,352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2,120.0 W</t>
    </r>
  </si>
  <si>
    <r>
      <rPr>
        <sz val="10"/>
        <color rgb="FF0000FF"/>
        <rFont val="Arial"/>
        <family val="0"/>
        <charset val="1"/>
      </rPr>
      <t xml:space="preserve">https://inferencex.semianalysis.com/compare-per-dollar/deepseek-v4-b300-vs-gb300</t>
    </r>
    <r>
      <rPr>
        <sz val="10"/>
        <color rgb="FF0000FF"/>
        <rFont val="Noto Sans CJK SC"/>
        <family val="2"/>
      </rPr>
      <t xml:space="preserve">（頁面資料列與前端程式）</t>
    </r>
  </si>
  <si>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列（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功率對照 </t>
    </r>
    <r>
      <rPr>
        <sz val="10"/>
        <color rgb="FF0000FF"/>
        <rFont val="Arial"/>
        <family val="0"/>
        <charset val="1"/>
      </rPr>
      <t xml:space="preserve">2.12 kW</t>
    </r>
    <r>
      <rPr>
        <sz val="10"/>
        <color rgb="FF0000FF"/>
        <rFont val="Noto Sans CJK SC"/>
        <family val="2"/>
      </rPr>
      <t xml:space="preserve">）</t>
    </r>
  </si>
  <si>
    <t xml:space="preserve">『9,384÷4.43 M 反推』</t>
  </si>
  <si>
    <t xml:space="preserve">改述為『InferenceX 內部常數，非獨立對照』</t>
  </si>
  <si>
    <t xml:space="preserve">採納（工作單 v5.18 3.3）</t>
  </si>
  <si>
    <t xml:space="preserve">讀取者：CC｜頁面的 4.43 M tok/s/MW 即由其前端程式固定常數換算，由 9,384 與 4.43 M 反推 2.12 是循環；常數是否含設施頁面未載明；模型 IT 平均 1.52 kW/GPU，2.12÷1.52＝1.39｜立場：SemiAnalysis（利害關係方）</t>
  </si>
  <si>
    <r>
      <rPr>
        <sz val="10"/>
        <color rgb="FF000000"/>
        <rFont val="Arial"/>
        <family val="0"/>
        <charset val="1"/>
      </rPr>
      <t xml:space="preserve">Checks 21</t>
    </r>
    <r>
      <rPr>
        <sz val="10"/>
        <color rgb="FF000000"/>
        <rFont val="Noto Sans CJK SC"/>
        <family val="2"/>
      </rPr>
      <t xml:space="preserve">（不再作外部驗證）</t>
    </r>
  </si>
  <si>
    <t xml:space="preserve">E218</t>
  </si>
  <si>
    <r>
      <rPr>
        <sz val="10"/>
        <color rgb="FF0000FF"/>
        <rFont val="Arial"/>
        <family val="0"/>
        <charset val="1"/>
      </rPr>
      <t xml:space="preserve">Arch C34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D34 </t>
    </r>
    <r>
      <rPr>
        <sz val="10"/>
        <color rgb="FF0000FF"/>
        <rFont val="Noto Sans CJK SC"/>
        <family val="2"/>
      </rPr>
      <t xml:space="preserve">每層 </t>
    </r>
    <r>
      <rPr>
        <sz val="10"/>
        <color rgb="FF0000FF"/>
        <rFont val="Arial"/>
        <family val="0"/>
        <charset val="1"/>
      </rPr>
      <t xml:space="preserve">KV bytes</t>
    </r>
    <r>
      <rPr>
        <sz val="10"/>
        <color rgb="FF0000FF"/>
        <rFont val="Noto Sans CJK SC"/>
        <family val="2"/>
      </rPr>
      <t xml:space="preserve">：由 </t>
    </r>
    <r>
      <rPr>
        <sz val="10"/>
        <color rgb="FF0000FF"/>
        <rFont val="Arial"/>
        <family val="0"/>
        <charset val="1"/>
      </rPr>
      <t xml:space="preserve">config </t>
    </r>
    <r>
      <rPr>
        <sz val="10"/>
        <color rgb="FF0000FF"/>
        <rFont val="Noto Sans CJK SC"/>
        <family val="2"/>
      </rPr>
      <t xml:space="preserve">結構重算 </t>
    </r>
    <r>
      <rPr>
        <sz val="10"/>
        <color rgb="FF0000FF"/>
        <rFont val="Arial"/>
        <family val="0"/>
        <charset val="1"/>
      </rPr>
      <t xml:space="preserve">(a)</t>
    </r>
    <r>
      <rPr>
        <sz val="10"/>
        <color rgb="FF0000FF"/>
        <rFont val="Noto Sans CJK SC"/>
        <family val="2"/>
      </rPr>
      <t xml:space="preserve">只計壓縮 </t>
    </r>
    <r>
      <rPr>
        <sz val="10"/>
        <color rgb="FF0000FF"/>
        <rFont val="Arial"/>
        <family val="0"/>
        <charset val="1"/>
      </rPr>
      <t xml:space="preserve">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Flash 64.37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Pro 64.98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計入 </t>
    </r>
    <r>
      <rPr>
        <sz val="10"/>
        <color rgb="FF0000FF"/>
        <rFont val="Arial"/>
        <family val="0"/>
        <charset val="1"/>
      </rPr>
      <t xml:space="preserve">indexer key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80.00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80.72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(c)bf16 KV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128.74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129.97</t>
    </r>
  </si>
  <si>
    <r>
      <rPr>
        <sz val="10"/>
        <color rgb="FF0000FF"/>
        <rFont val="Arial"/>
        <family val="0"/>
        <charset val="1"/>
      </rPr>
      <t xml:space="preserve">https://huggingface.co/deepseek-ai/DeepSeek-V4-Flash/raw/fd53f94/config.json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https://huggingface.co/deepseek-ai/DeepSeek-V4-Pro/raw/main/config.json</t>
    </r>
    <r>
      <rPr>
        <sz val="10"/>
        <color rgb="FF0000FF"/>
        <rFont val="Noto Sans CJK SC"/>
        <family val="2"/>
      </rPr>
      <t xml:space="preserve">；官方 </t>
    </r>
    <r>
      <rPr>
        <sz val="10"/>
        <color rgb="FF0000FF"/>
        <rFont val="Arial"/>
        <family val="0"/>
        <charset val="1"/>
      </rPr>
      <t xml:space="preserve">inference/model.py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commit fd53f94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</si>
  <si>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Arch C34:D34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區間）</t>
    </r>
  </si>
  <si>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（基準；不動）</t>
    </r>
  </si>
  <si>
    <t xml:space="preserve">基準 65；高 130（D3／E4）</t>
  </si>
  <si>
    <t xml:space="preserve">採用為區間上緣（bf16 KV 涵蓋 indexer key 情境）</t>
  </si>
  <si>
    <t xml:space="preserve">讀取者：CC（B5 結構重算，engine 唯讀）｜(a) 與現值 65 相差 −1.0%／−0.03%，影響 &lt;1e-5；官方參考程式以預設 dtype（bf16）配置 kv_cache，模型假設 FP8（SRC_HW_055），若生產為 bf16 則約 128.7／130.0；生產精度未找到出處｜基準不動，只擴大區間</t>
  </si>
  <si>
    <t xml:space="preserve">—（區間；(c) 影響最大 L1_Ans9 +1.1e-2、IF_FullCost_Sol(VR200) +7.7e-4）</t>
  </si>
  <si>
    <t xml:space="preserve">E219</t>
  </si>
  <si>
    <r>
      <rPr>
        <sz val="10"/>
        <color rgb="FF0000FF"/>
        <rFont val="Arial"/>
        <family val="0"/>
        <charset val="1"/>
      </rPr>
      <t xml:space="preserve">G4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基準 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Morgan Stanley BOM 7.8 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＋代工毛利約 </t>
    </r>
    <r>
      <rPr>
        <sz val="10"/>
        <color rgb="FF0000FF"/>
        <rFont val="Arial"/>
        <family val="0"/>
        <charset val="1"/>
      </rPr>
      <t xml:space="preserve">7.5%</t>
    </r>
    <r>
      <rPr>
        <sz val="10"/>
        <color rgb="FF0000FF"/>
        <rFont val="Noto Sans CJK SC"/>
        <family val="2"/>
      </rPr>
      <t xml:space="preserve">，區間 </t>
    </r>
    <r>
      <rPr>
        <sz val="10"/>
        <color rgb="FF0000FF"/>
        <rFont val="Arial"/>
        <family val="0"/>
        <charset val="1"/>
      </rPr>
      <t xml:space="preserve">5–10%</t>
    </r>
    <r>
      <rPr>
        <sz val="10"/>
        <color rgb="FF0000FF"/>
        <rFont val="Noto Sans CJK SC"/>
        <family val="2"/>
      </rPr>
      <t xml:space="preserve">）；低 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（零毛利 </t>
    </r>
    <r>
      <rPr>
        <sz val="10"/>
        <color rgb="FF0000FF"/>
        <rFont val="Arial"/>
        <family val="0"/>
        <charset val="1"/>
      </rPr>
      <t xml:space="preserve">BOM </t>
    </r>
    <r>
      <rPr>
        <sz val="10"/>
        <color rgb="FF0000FF"/>
        <rFont val="Noto Sans CJK SC"/>
        <family val="2"/>
      </rPr>
      <t xml:space="preserve">下限）；高 </t>
    </r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（不變）</t>
    </r>
  </si>
  <si>
    <r>
      <rPr>
        <sz val="10"/>
        <color rgb="FF0000FF"/>
        <rFont val="Arial"/>
        <family val="0"/>
        <charset val="1"/>
      </rPr>
      <t xml:space="preserve">wccftech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Morgan Stanley Research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）；毛利率為 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</si>
  <si>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Spec_Rack F11:F13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</si>
  <si>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</si>
  <si>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r>
      <rPr>
        <sz val="10"/>
        <color rgb="FF0000FF"/>
        <rFont val="Arial"/>
        <family val="0"/>
        <charset val="1"/>
      </rPr>
      <t xml:space="preserve">7.8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9.1</t>
    </r>
  </si>
  <si>
    <t xml:space="preserve">採納（工作單 v5.18 r3 G4／I2；Derived）</t>
  </si>
  <si>
    <t xml:space="preserve">代工毛利 5–10% 為 Assumed（無來源）；MS 為成本（BOM）、Bernstein 9.1 M 為售價口徑（摘要，未讀）；r3 I2：BOM 7.8 本身為分析師估計，區間須保留 BOM 不確定，故低取零毛利 BOM 7.8、高維持 9.1（SRC_HW_017，不變）；原 F11 6.7（SRC_HW_016）不再連結，記錄保留</t>
  </si>
  <si>
    <r>
      <rPr>
        <sz val="10"/>
        <color rgb="FF000000"/>
        <rFont val="Arial"/>
        <family val="0"/>
        <charset val="1"/>
      </rPr>
      <t xml:space="preserve">IF_FullCost_Sol(VR200)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Ans4</t>
    </r>
    <r>
      <rPr>
        <sz val="10"/>
        <color rgb="FF000000"/>
        <rFont val="Noto Sans CJK SC"/>
        <family val="2"/>
      </rPr>
      <t xml:space="preserve">（基準預期約 </t>
    </r>
    <r>
      <rPr>
        <sz val="10"/>
        <color rgb="FF000000"/>
        <rFont val="Arial"/>
        <family val="0"/>
        <charset val="1"/>
      </rPr>
      <t xml:space="preserve">+6%</t>
    </r>
    <r>
      <rPr>
        <sz val="10"/>
        <color rgb="FF000000"/>
        <rFont val="Noto Sans CJK SC"/>
        <family val="2"/>
      </rPr>
      <t xml:space="preserve">）</t>
    </r>
  </si>
  <si>
    <t xml:space="preserve">E220</t>
  </si>
  <si>
    <r>
      <rPr>
        <sz val="10"/>
        <color rgb="FF0000FF"/>
        <rFont val="Arial"/>
        <family val="0"/>
        <charset val="1"/>
      </rPr>
      <t xml:space="preserve">Epoch AI</t>
    </r>
    <r>
      <rPr>
        <sz val="10"/>
        <color rgb="FF0000FF"/>
        <rFont val="Noto Sans CJK SC"/>
        <family val="2"/>
      </rPr>
      <t xml:space="preserve">：最終訓練占 </t>
    </r>
    <r>
      <rPr>
        <sz val="10"/>
        <color rgb="FF0000FF"/>
        <rFont val="Arial"/>
        <family val="0"/>
        <charset val="1"/>
      </rPr>
      <t xml:space="preserve">R&amp;D </t>
    </r>
    <r>
      <rPr>
        <sz val="10"/>
        <color rgb="FF0000FF"/>
        <rFont val="Noto Sans CJK SC"/>
        <family val="2"/>
      </rPr>
      <t xml:space="preserve">算力支出 </t>
    </r>
    <r>
      <rPr>
        <sz val="10"/>
        <color rgb="FF0000FF"/>
        <rFont val="Arial"/>
        <family val="0"/>
        <charset val="1"/>
      </rPr>
      <t xml:space="preserve">OpenAI 9.6%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MiniMax 22.6%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Z.ai 12.3%</t>
    </r>
    <r>
      <rPr>
        <sz val="10"/>
        <color rgb="FF0000FF"/>
        <rFont val="Noto Sans CJK SC"/>
        <family val="2"/>
      </rPr>
      <t xml:space="preserve">（倍數 </t>
    </r>
    <r>
      <rPr>
        <sz val="10"/>
        <color rgb="FF0000FF"/>
        <rFont val="Arial"/>
        <family val="0"/>
        <charset val="1"/>
      </rPr>
      <t xml:space="preserve">10.4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8.1</t>
    </r>
    <r>
      <rPr>
        <sz val="10"/>
        <color rgb="FF0000FF"/>
        <rFont val="Noto Sans CJK SC"/>
        <family val="2"/>
      </rPr>
      <t xml:space="preserve">）</t>
    </r>
  </si>
  <si>
    <t xml:space="preserve">https://epoch.ai/gradient-updates/r-and-d-vs-training-compute</t>
  </si>
  <si>
    <r>
      <rPr>
        <sz val="10"/>
        <color rgb="FF0000FF"/>
        <rFont val="Arial"/>
        <family val="0"/>
        <charset val="1"/>
      </rPr>
      <t xml:space="preserve">Train_In 13</t>
    </r>
    <r>
      <rPr>
        <sz val="10"/>
        <color rgb="FF0000FF"/>
        <rFont val="Noto Sans CJK SC"/>
        <family val="2"/>
      </rPr>
      <t xml:space="preserve">（研發倍數；</t>
    </r>
    <r>
      <rPr>
        <sz val="10"/>
        <color rgb="FF0000FF"/>
        <rFont val="Arial"/>
        <family val="0"/>
        <charset val="1"/>
      </rPr>
      <t xml:space="preserve">SRC_DEM_001–003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</si>
  <si>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4.4–10.4</t>
    </r>
    <r>
      <rPr>
        <sz val="10"/>
        <color rgb="FF0000FF"/>
        <rFont val="Noto Sans CJK SC"/>
        <family val="2"/>
      </rPr>
      <t xml:space="preserve">）</t>
    </r>
  </si>
  <si>
    <t xml:space="preserve">不改</t>
  </si>
  <si>
    <t xml:space="preserve">已讀，未新增（與現區間完全相同）</t>
  </si>
  <si>
    <t xml:space="preserve">讀取者：CC｜無新獨立對象｜立場：Epoch AI（中立）</t>
  </si>
  <si>
    <t xml:space="preserve">E221</t>
  </si>
  <si>
    <t xml:space="preserve">每層延遲倍數（Calib 68）、RL rollout token（Train_In 34）：以查詢詞搜尋，找不到原始出處</t>
  </si>
  <si>
    <t xml:space="preserve">搜尋引擎、github raw、arXiv</t>
  </si>
  <si>
    <t xml:space="preserve">找不到原始出處（R6）</t>
  </si>
  <si>
    <r>
      <rPr>
        <sz val="10"/>
        <color rgb="FF0000FF"/>
        <rFont val="Arial"/>
        <family val="0"/>
        <charset val="1"/>
      </rPr>
      <t xml:space="preserve">Calib 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Train_In 34</t>
    </r>
  </si>
  <si>
    <r>
      <rPr>
        <sz val="10"/>
        <color rgb="FF0000FF"/>
        <rFont val="Arial"/>
        <family val="0"/>
        <charset val="1"/>
      </rPr>
      <t xml:space="preserve">Hopper 1.5</t>
    </r>
    <r>
      <rPr>
        <sz val="10"/>
        <color rgb="FF0000FF"/>
        <rFont val="Noto Sans CJK SC"/>
        <family val="2"/>
      </rPr>
      <t xml:space="preserve">／其餘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2.36 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9.6 T</t>
    </r>
  </si>
  <si>
    <t xml:space="preserve">不動（缺口）</t>
  </si>
  <si>
    <t xml:space="preserve">已搜尋，無候選（缺口）</t>
  </si>
  <si>
    <t xml:space="preserve">查詢詞：「DeepSeek inference system overview 226.75 nodes …」「Hopper expert parallel per-layer latency InfiniBand」「RL rollout tokens frontier lab total」「GRPO rollout tokens per step」；已查：github raw 概述、arXiv、搜尋引擎｜DeepSeek 概述只給吞吐、無每層延遲；論文為研究規模，無前沿實驗室總 rollout token；R1 RL÷V3 預訓練 GPU 小時比 0.055 僅為間接對照</t>
  </si>
  <si>
    <t xml:space="preserve">E222</t>
  </si>
  <si>
    <r>
      <rPr>
        <sz val="10"/>
        <color rgb="FF0000FF"/>
        <rFont val="Arial"/>
        <family val="0"/>
        <charset val="1"/>
      </rPr>
      <t xml:space="preserve">J6 </t>
    </r>
    <r>
      <rPr>
        <sz val="10"/>
        <color rgb="FF0000FF"/>
        <rFont val="Noto Sans CJK SC"/>
        <family val="2"/>
      </rPr>
      <t xml:space="preserve">基準利用率／</t>
    </r>
    <r>
      <rPr>
        <sz val="10"/>
        <color rgb="FF0000FF"/>
        <rFont val="Arial"/>
        <family val="0"/>
        <charset val="1"/>
      </rPr>
      <t xml:space="preserve">J15 </t>
    </r>
    <r>
      <rPr>
        <sz val="10"/>
        <color rgb="FF0000FF"/>
        <rFont val="Noto Sans CJK SC"/>
        <family val="2"/>
      </rPr>
      <t xml:space="preserve">生產折減：蒐集證據（</t>
    </r>
    <r>
      <rPr>
        <sz val="10"/>
        <color rgb="FF0000FF"/>
        <rFont val="Arial"/>
        <family val="0"/>
        <charset val="1"/>
      </rPr>
      <t xml:space="preserve">S2 (a)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</si>
  <si>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Serving 17</t>
    </r>
    <r>
      <rPr>
        <sz val="10"/>
        <color rgb="FF0000FF"/>
        <rFont val="Noto Sans CJK SC"/>
        <family val="2"/>
      </rPr>
      <t xml:space="preserve">（基準利用率 </t>
    </r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Serving 18</t>
    </r>
    <r>
      <rPr>
        <sz val="10"/>
        <color rgb="FF0000FF"/>
        <rFont val="Noto Sans CJK SC"/>
        <family val="2"/>
      </rPr>
      <t xml:space="preserve">（實測→生產折減 </t>
    </r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</si>
  <si>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1.0</t>
    </r>
  </si>
  <si>
    <t xml:space="preserve">不提議數值、不改暫用值（G0-11）</t>
  </si>
  <si>
    <t xml:space="preserve">已讀，未採用（S2 (a)）</t>
  </si>
  <si>
    <t xml:space="preserve">見 E210（DeepSeek 概述）；InferenceX 無 H800／H200 同模型點；η 拆解依 Andy『有新數據再說』暫緩</t>
  </si>
  <si>
    <t xml:space="preserve">E223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</si>
  <si>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單位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需求、</t>
    </r>
    <r>
      <rPr>
        <sz val="10"/>
        <color rgb="FF0000FF"/>
        <rFont val="Arial"/>
        <family val="0"/>
        <charset val="1"/>
      </rPr>
      <t xml:space="preserve">harness </t>
    </r>
    <r>
      <rPr>
        <sz val="10"/>
        <color rgb="FF0000FF"/>
        <rFont val="Noto Sans CJK SC"/>
        <family val="2"/>
      </rPr>
      <t xml:space="preserve">殘差倍數、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 </t>
    </r>
    <r>
      <rPr>
        <sz val="10"/>
        <color rgb="FF0000FF"/>
        <rFont val="Noto Sans CJK SC"/>
        <family val="2"/>
      </rPr>
      <t xml:space="preserve">與規模倍數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啟用參數、</t>
    </r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：已知無來源之 </t>
    </r>
    <r>
      <rPr>
        <sz val="10"/>
        <color rgb="FF0000FF"/>
        <rFont val="Arial"/>
        <family val="0"/>
        <charset val="1"/>
      </rPr>
      <t xml:space="preserve">Assumed </t>
    </r>
    <r>
      <rPr>
        <sz val="10"/>
        <color rgb="FF0000FF"/>
        <rFont val="Noto Sans CJK SC"/>
        <family val="2"/>
      </rPr>
      <t xml:space="preserve">參數</t>
    </r>
  </si>
  <si>
    <t xml:space="preserve">（各列 Gov_Map 理由欄）</t>
  </si>
  <si>
    <r>
      <rPr>
        <sz val="10"/>
        <color rgb="FF0000FF"/>
        <rFont val="Arial"/>
        <family val="0"/>
        <charset val="1"/>
      </rPr>
      <t xml:space="preserve">Workload 13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Alloc_In C6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C8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Arch E7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 </t>
    </r>
    <r>
      <rPr>
        <sz val="10"/>
        <color rgb="FF0000FF"/>
        <rFont val="Noto Sans CJK SC"/>
        <family val="2"/>
      </rPr>
      <t xml:space="preserve">等</t>
    </r>
  </si>
  <si>
    <t xml:space="preserve">區間依據＝Gov_Map 理由欄（Claude 提議，Andy 2026-10-03 確認）；無外部來源</t>
  </si>
  <si>
    <t xml:space="preserve">完成檢查 6.2 逐列列出三項；無外部來源者列為『已搜尋：（無）／候選：（無）／區間依據：Andy 確認』，三項不齊處在報告標出</t>
  </si>
  <si>
    <t xml:space="preserve">E224</t>
  </si>
  <si>
    <r>
      <rPr>
        <sz val="10"/>
        <color rgb="FF0000FF"/>
        <rFont val="Arial"/>
        <family val="0"/>
        <charset val="1"/>
      </rPr>
      <t xml:space="preserve">SRC_HW_022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GB200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Blackwell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NVFP4 dense 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Blackwell Ultra </t>
    </r>
    <r>
      <rPr>
        <sz val="10"/>
        <color rgb="FF0000FF"/>
        <rFont val="Noto Sans CJK SC"/>
        <family val="2"/>
      </rPr>
      <t xml:space="preserve">技術部落格規格表）</t>
    </r>
  </si>
  <si>
    <r>
      <rPr>
        <sz val="10"/>
        <color rgb="FF0000FF"/>
        <rFont val="Arial"/>
        <family val="0"/>
        <charset val="1"/>
      </rPr>
      <t xml:space="preserve">Spec_Rack D23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D24</t>
    </r>
  </si>
  <si>
    <r>
      <rPr>
        <sz val="10"/>
        <color rgb="FF0000FF"/>
        <rFont val="Arial"/>
        <family val="0"/>
        <charset val="1"/>
      </rPr>
      <t xml:space="preserve">10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</si>
  <si>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10 PF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dense</t>
    </r>
    <r>
      <rPr>
        <sz val="10"/>
        <color rgb="FF0000FF"/>
        <rFont val="Noto Sans CJK SC"/>
        <family val="2"/>
      </rPr>
      <t xml:space="preserve">）</t>
    </r>
  </si>
  <si>
    <t xml:space="preserve">採納（S1 (a)；chat 端已查證）</t>
  </si>
  <si>
    <t xml:space="preserve">讀取者：CC（1b，2026-10-05）｜“NVFP4 dense | sparse performance … 10 | 20 PetaFLOPS 15 | 20 PetaFLOPS”（左欄 Blackwell＝10、右欄 Blackwell Ultra＝15）；值相同、已讀原文，符合 S1 (a)，但不在工作單 1 級清單；W2 −1（GM106）；chat 端已查證（PR #19 審查）</t>
  </si>
  <si>
    <t xml:space="preserve">E225</t>
  </si>
  <si>
    <r>
      <rPr>
        <sz val="10"/>
        <color rgb="FF0000FF"/>
        <rFont val="Arial"/>
        <family val="0"/>
        <charset val="1"/>
      </rPr>
      <t xml:space="preserve">SRC_HW_027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Rubin NVFP4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NVIDIA Rubin </t>
    </r>
    <r>
      <rPr>
        <sz val="10"/>
        <color rgb="FF0000FF"/>
        <rFont val="Noto Sans CJK SC"/>
        <family val="2"/>
      </rPr>
      <t xml:space="preserve">平台技術部落格 </t>
    </r>
    <r>
      <rPr>
        <sz val="10"/>
        <color rgb="FF0000FF"/>
        <rFont val="Arial"/>
        <family val="0"/>
        <charset val="1"/>
      </rPr>
      <t xml:space="preserve">Table 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3,600÷72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</si>
  <si>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https://developer.nvidia.com/blog/inside-the-nvidia-rubin-platform-six-new-chips-one-ai-supercomputer/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https://www.nvidia.com/en-us/data-center/dgx-vera-rubin-nvl72/</t>
    </r>
  </si>
  <si>
    <t xml:space="preserve">Spec_Rack F24</t>
  </si>
  <si>
    <r>
      <rPr>
        <sz val="10"/>
        <color rgb="FF0000FF"/>
        <rFont val="Arial"/>
        <family val="0"/>
        <charset val="1"/>
      </rPr>
      <t xml:space="preserve">50 PF/GPU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</si>
  <si>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50 PF</t>
    </r>
    <r>
      <rPr>
        <sz val="10"/>
        <color rgb="FF0000FF"/>
        <rFont val="Noto Sans CJK SC"/>
        <family val="2"/>
      </rPr>
      <t xml:space="preserve">（註腳 </t>
    </r>
    <r>
      <rPr>
        <sz val="10"/>
        <color rgb="FF0000FF"/>
        <rFont val="Arial"/>
        <family val="0"/>
        <charset val="1"/>
      </rPr>
      <t xml:space="preserve">Transformer Engine compute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DGX VR </t>
    </r>
    <r>
      <rPr>
        <sz val="10"/>
        <color rgb="FF0000FF"/>
        <rFont val="Noto Sans CJK SC"/>
        <family val="2"/>
      </rPr>
      <t xml:space="preserve">頁註 </t>
    </r>
    <r>
      <rPr>
        <sz val="10"/>
        <color rgb="FF0000FF"/>
        <rFont val="Arial"/>
        <family val="0"/>
        <charset val="1"/>
      </rPr>
      <t xml:space="preserve">Sparse specification</t>
    </r>
    <r>
      <rPr>
        <sz val="10"/>
        <color rgb="FF0000FF"/>
        <rFont val="Noto Sans CJK SC"/>
        <family val="2"/>
      </rPr>
      <t xml:space="preserve">）</t>
    </r>
  </si>
  <si>
    <t xml:space="preserve">讀取者：CC（1b、1c，2026-10-05）｜口徑與 SRC 的『含自適應壓縮』一致；值相同、已讀原文，符合 S1 (a)，但不在工作單 1 級清單；W2 −1（GM108）；chat 端已查證（PR #19 審查）</t>
  </si>
  <si>
    <t xml:space="preserve">E226</t>
  </si>
  <si>
    <r>
      <rPr>
        <sz val="10"/>
        <color rgb="FF0000FF"/>
        <rFont val="Arial"/>
        <family val="0"/>
        <charset val="1"/>
      </rPr>
      <t xml:space="preserve">SRC_HW_053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HGX H100 8 GPU </t>
    </r>
    <r>
      <rPr>
        <sz val="10"/>
        <color rgb="FF0000FF"/>
        <rFont val="Noto Sans CJK SC"/>
        <family val="2"/>
      </rPr>
      <t xml:space="preserve">板（</t>
    </r>
    <r>
      <rPr>
        <sz val="10"/>
        <color rgb="FF0000FF"/>
        <rFont val="Arial"/>
        <family val="0"/>
        <charset val="1"/>
      </rPr>
      <t xml:space="preserve">DGX H100/H200 </t>
    </r>
    <r>
      <rPr>
        <sz val="10"/>
        <color rgb="FF0000FF"/>
        <rFont val="Noto Sans CJK SC"/>
        <family val="2"/>
      </rPr>
      <t xml:space="preserve">使用手冊）</t>
    </r>
  </si>
  <si>
    <r>
      <rPr>
        <sz val="10"/>
        <color rgb="FF0000FF"/>
        <rFont val="Arial"/>
        <family val="0"/>
        <charset val="1"/>
      </rPr>
      <t xml:space="preserve">Spec_Rack C28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Hopper Scale-up </t>
    </r>
    <r>
      <rPr>
        <sz val="10"/>
        <color rgb="FF0000FF"/>
        <rFont val="Noto Sans CJK SC"/>
        <family val="2"/>
      </rPr>
      <t xml:space="preserve">域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數）</t>
    </r>
  </si>
  <si>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級）</t>
    </r>
  </si>
  <si>
    <r>
      <rPr>
        <sz val="10"/>
        <color rgb="FF0000FF"/>
        <rFont val="Arial"/>
        <family val="0"/>
        <charset val="1"/>
      </rPr>
      <t xml:space="preserve">8 x NVIDIA H100 GPUs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4 x 4th generation NVLinks 900 GB/s GPU-to-GPU</t>
    </r>
  </si>
  <si>
    <t xml:space="preserve">讀取者：CC（2026-10-05，WebFetch）｜“8 x NVIDIA H100 GPUs that provide 640 GB total GPU memory”；“4 x 4th generation NVLinks that provide 900 GB/s GPU-to-GPU bandwidth”（兩句分列，頁面未以單句寫『8 GPU 同一 NVLink 域』，域大小由 NVSwitch 拓撲推得 [Derived]）；W2 −1（GM125）；NVLink 域＝8 由拓撲推得（Derived 一步）；chat 端已查證（PR #19 審查）</t>
  </si>
  <si>
    <t xml:space="preserve">E227</t>
  </si>
  <si>
    <r>
      <rPr>
        <sz val="10"/>
        <color rgb="FF0000FF"/>
        <rFont val="Arial"/>
        <family val="0"/>
        <charset val="1"/>
      </rPr>
      <t xml:space="preserve">SRC_HW_011 </t>
    </r>
    <r>
      <rPr>
        <sz val="10"/>
        <color rgb="FF0000FF"/>
        <rFont val="Noto Sans CJK SC"/>
        <family val="2"/>
      </rPr>
      <t xml:space="preserve">升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級：</t>
    </r>
    <r>
      <rPr>
        <sz val="10"/>
        <color rgb="FF0000FF"/>
        <rFont val="Arial"/>
        <family val="0"/>
        <charset val="1"/>
      </rPr>
      <t xml:space="preserve">VR NVL72 </t>
    </r>
    <r>
      <rPr>
        <sz val="10"/>
        <color rgb="FF0000FF"/>
        <rFont val="Noto Sans CJK SC"/>
        <family val="2"/>
      </rPr>
      <t xml:space="preserve">參考設計 </t>
    </r>
    <r>
      <rPr>
        <sz val="10"/>
        <color rgb="FF0000FF"/>
        <rFont val="Arial"/>
        <family val="0"/>
        <charset val="1"/>
      </rPr>
      <t xml:space="preserve">MaxQ 188 kW/rack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Schneider Electric </t>
    </r>
    <r>
      <rPr>
        <sz val="10"/>
        <color rgb="FF0000FF"/>
        <rFont val="Noto Sans CJK SC"/>
        <family val="2"/>
      </rPr>
      <t xml:space="preserve">部落格，</t>
    </r>
    <r>
      <rPr>
        <sz val="10"/>
        <color rgb="FF0000FF"/>
        <rFont val="Arial"/>
        <family val="0"/>
        <charset val="1"/>
      </rPr>
      <t xml:space="preserve">2026-05-08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</si>
  <si>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Spec_Rack F8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機架功率低）</t>
    </r>
  </si>
  <si>
    <r>
      <rPr>
        <sz val="10"/>
        <color rgb="FF0000FF"/>
        <rFont val="Arial"/>
        <family val="0"/>
        <charset val="1"/>
      </rPr>
      <t xml:space="preserve">190 kW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</si>
  <si>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188 kW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MaxQ</t>
    </r>
    <r>
      <rPr>
        <sz val="10"/>
        <color rgb="FF0000FF"/>
        <rFont val="Noto Sans CJK SC"/>
        <family val="2"/>
      </rPr>
      <t xml:space="preserve">）</t>
    </r>
  </si>
  <si>
    <t xml:space="preserve">採納（S1 (a)；值相同；chat 端審查 PR #19）</t>
  </si>
  <si>
    <t xml:space="preserve">讀取者：CC（1d，curl HTTP 200 自讀）｜逐字：“supports operation at MaxQ 188 kw/rack and MaxP 227 kw/rack”｜SRC_HW_011 值由 190 改為 188（F1）後與原文相同；SRC_HW_012（230，MaxP）不動，與 Schneider MaxP 227 差 +1.3%｜立場：Interested-party（供電與冷卻設備商）</t>
  </si>
  <si>
    <t xml:space="preserve">—（等級；數值見 F1）</t>
  </si>
  <si>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單架價格：以查詢詞搜尋，無一手報價</t>
    </r>
  </si>
  <si>
    <t xml:space="preserve">搜尋引擎（無頁面可指定）</t>
  </si>
  <si>
    <r>
      <rPr>
        <sz val="10"/>
        <color rgb="FF0000FF"/>
        <rFont val="Arial"/>
        <family val="0"/>
        <charset val="1"/>
      </rPr>
      <t xml:space="preserve">Spec_Rack G11:G13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Rubin Ultra </t>
    </r>
    <r>
      <rPr>
        <sz val="10"/>
        <color rgb="FF0000FF"/>
        <rFont val="Noto Sans CJK SC"/>
        <family val="2"/>
      </rPr>
      <t xml:space="preserve">機架價格）</t>
    </r>
  </si>
  <si>
    <r>
      <rPr>
        <sz val="10"/>
        <color rgb="FF0000FF"/>
        <rFont val="Arial"/>
        <family val="0"/>
        <charset val="1"/>
      </rPr>
      <t xml:space="preserve">23.4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31.2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144 </t>
    </r>
    <r>
      <rPr>
        <sz val="10"/>
        <color rgb="FF0000FF"/>
        <rFont val="Noto Sans CJK SC"/>
        <family val="2"/>
      </rPr>
      <t xml:space="preserve">封裝）</t>
    </r>
  </si>
  <si>
    <r>
      <rPr>
        <sz val="10"/>
        <color rgb="FF0000FF"/>
        <rFont val="Arial"/>
        <family val="0"/>
        <charset val="1"/>
      </rPr>
      <t xml:space="preserve">11.7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72 </t>
    </r>
    <r>
      <rPr>
        <sz val="10"/>
        <color rgb="FF0000FF"/>
        <rFont val="Noto Sans CJK SC"/>
        <family val="2"/>
      </rPr>
      <t xml:space="preserve">封裝；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</si>
  <si>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t xml:space="preserve">已搜尋，無候選（以 VR 每 GPU 價外推）</t>
  </si>
  <si>
    <t xml:space="preserve">查詢詞：「Rubin Ultra rack price」「Rubin Ultra price per GPU」；結果：僅見推估，無公開報價，未入帳｜價格＝VR 每 GPU 價（SRC_HW_015 BOM 7.8÷72＝0.108 M）× 1.5／2.0／2.5 × 72，倍數本身為 Assumed；與封裝數線性，單架改定義不新增資訊｜讀取者：CC（1c，2026-10-05）</t>
  </si>
  <si>
    <t xml:space="preserve">E229</t>
  </si>
  <si>
    <r>
      <rPr>
        <sz val="10"/>
        <color rgb="FF0000FF"/>
        <rFont val="Arial"/>
        <family val="0"/>
        <charset val="1"/>
      </rPr>
      <t xml:space="preserve">Arch E7 Astra </t>
    </r>
    <r>
      <rPr>
        <sz val="10"/>
        <color rgb="FF0000FF"/>
        <rFont val="Noto Sans CJK SC"/>
        <family val="2"/>
      </rPr>
      <t xml:space="preserve">啟用參數（現 </t>
    </r>
    <r>
      <rPr>
        <sz val="10"/>
        <color rgb="FF0000FF"/>
        <rFont val="Arial"/>
        <family val="0"/>
        <charset val="1"/>
      </rPr>
      <t xml:space="preserve">180B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60–250B</t>
    </r>
    <r>
      <rPr>
        <sz val="10"/>
        <color rgb="FF0000FF"/>
        <rFont val="Noto Sans CJK SC"/>
        <family val="2"/>
      </rPr>
      <t xml:space="preserve">）：封閉前沿模型的啟用參數量</t>
    </r>
  </si>
  <si>
    <t xml:space="preserve">搜尋引擎（towardsdatascience、digitalapplied、mindstudio 等；mindstudio 被出口政策擋，未讀）</t>
  </si>
  <si>
    <t xml:space="preserve">Arch E7</t>
  </si>
  <si>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60–250 B</t>
    </r>
    <r>
      <rPr>
        <sz val="10"/>
        <color rgb="FF0000FF"/>
        <rFont val="Noto Sans CJK SC"/>
        <family val="2"/>
      </rPr>
      <t xml:space="preserve">）</t>
    </r>
  </si>
  <si>
    <t xml:space="preserve">無封閉模型揭露值；開權重對照：GLM-5.2 744 B 總／約 40 B 啟用（搜尋摘要，未讀）</t>
  </si>
  <si>
    <t xml:space="preserve">已讀，未採用：GLM-5.2 約 40B、DeepSeek V4-Pro 49B 屬 Sol 層級（Arch D7＝49），與 Astra 層級不同</t>
  </si>
  <si>
    <t xml:space="preserve">查詢詞：「frontier language model active parameters estimate mixture of experts closed models GPT-5 Claude estimated active parameters」｜結果：GPT-5、Claude 等封閉模型未揭露總參數與啟用參數，搜尋結果只給『數百 B 至逾 1 T』的泛稱；Claude 系列被稱為非 MoE｜開權重對照：DeepSeek V4-Pro 49 B 啟用（SRC_MOD_002，已為 Sol 代表）、GLM-5.2 約 40 B 啟用（僅搜尋摘要）——屬開權重、Sol 層級（Arch D7＝49 即 V4-Pro），與 Astra 層級（封閉前沿代理）不同，已讀未採用｜此列依 6.2 原定義即為齊備（候選＝本列 E229），不適用 J1｜區間依據＝Gov_Map『60–250B（原註）』</t>
  </si>
  <si>
    <t xml:space="preserve">E230</t>
  </si>
  <si>
    <r>
      <rPr>
        <sz val="10"/>
        <color rgb="FF0000FF"/>
        <rFont val="Arial"/>
        <family val="0"/>
        <charset val="1"/>
      </rPr>
      <t xml:space="preserve">Cap_In C28 </t>
    </r>
    <r>
      <rPr>
        <sz val="10"/>
        <color rgb="FF0000FF"/>
        <rFont val="Noto Sans CJK SC"/>
        <family val="2"/>
      </rPr>
      <t xml:space="preserve">對外服務占機隊（現 </t>
    </r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算力在研發與推論間的分配</t>
    </r>
  </si>
  <si>
    <r>
      <rPr>
        <sz val="10"/>
        <color rgb="FF0000FF"/>
        <rFont val="Arial"/>
        <family val="0"/>
        <charset val="1"/>
      </rPr>
      <t xml:space="preserve">https://epoch.ai/data-insights/openai-compute-spend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2025-10-10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</si>
  <si>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C28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D28:E28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</si>
  <si>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30–60%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</si>
  <si>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2024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R&amp;D $5B</t>
    </r>
    <r>
      <rPr>
        <sz val="10"/>
        <color rgb="FF0000FF"/>
        <rFont val="Noto Sans CJK SC"/>
        <family val="2"/>
      </rPr>
      <t xml:space="preserve">／推論 </t>
    </r>
    <r>
      <rPr>
        <sz val="10"/>
        <color rgb="FF0000FF"/>
        <rFont val="Arial"/>
        <family val="0"/>
        <charset val="1"/>
      </rPr>
      <t xml:space="preserve">$1.8B</t>
    </r>
    <r>
      <rPr>
        <sz val="10"/>
        <color rgb="FF0000FF"/>
        <rFont val="Noto Sans CJK SC"/>
        <family val="2"/>
      </rPr>
      <t xml:space="preserve">（推論占約 </t>
    </r>
    <r>
      <rPr>
        <sz val="10"/>
        <color rgb="FF0000FF"/>
        <rFont val="Arial"/>
        <family val="0"/>
        <charset val="1"/>
      </rPr>
      <t xml:space="preserve">26%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：約各半（搜尋摘要，未讀）</t>
    </r>
  </si>
  <si>
    <t xml:space="preserve">採用為可比對象（Analogy；支出比代 GW 比為 Derived）；區間不改</t>
  </si>
  <si>
    <t xml:space="preserve">查詢詞：「OpenAI compute split inference vs research training share of compute 2025 Epoch AI」｜讀取者：CC（WebFetch，2026-10-06）｜逐字：“around $5 billion in research and development compute … around $2 billion in inference compute”；R&amp;D 中最終訓練僅 $480M｜2024 推論占比約 26% 低於區間下限 30%，2025 約 50% 在區間內；只列出、不改（Gov_Map 已註『支出比代 GW 比為 Derived』）｜立場：Epoch AI（中立；由報導與推估）</t>
  </si>
  <si>
    <t xml:space="preserve">E231</t>
  </si>
  <si>
    <r>
      <rPr>
        <sz val="10"/>
        <color rgb="FF0000FF"/>
        <rFont val="Arial"/>
        <family val="0"/>
        <charset val="1"/>
      </rPr>
      <t xml:space="preserve">Cap_In C29 </t>
    </r>
    <r>
      <rPr>
        <sz val="10"/>
        <color rgb="FF0000FF"/>
        <rFont val="Noto Sans CJK SC"/>
        <family val="2"/>
      </rPr>
      <t xml:space="preserve">其中免費服務占服務（現 </t>
    </r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免費用戶占比</t>
    </r>
  </si>
  <si>
    <t xml:space="preserve">搜尋引擎（wisernotify、gradually.ai、sqmagazine 等彙整頁；未讀）</t>
  </si>
  <si>
    <r>
      <rPr>
        <sz val="10"/>
        <color rgb="FF0000FF"/>
        <rFont val="Arial"/>
        <family val="0"/>
        <charset val="1"/>
      </rPr>
      <t xml:space="preserve">Cap_In C29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D29:E29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</si>
  <si>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35–60%</t>
    </r>
    <r>
      <rPr>
        <sz val="10"/>
        <color rgb="FF0000FF"/>
        <rFont val="Noto Sans CJK SC"/>
        <family val="2"/>
      </rPr>
      <t xml:space="preserve">）</t>
    </r>
  </si>
  <si>
    <t xml:space="preserve">免費用戶約占週活躍用戶 95%（5.6% 付費轉換；用戶數口徑，聚合部落格摘要）</t>
  </si>
  <si>
    <t xml:space="preserve">已搜尋，判定無可比對象（口徑不同：用戶數占比不是服務算力或 token 占比）</t>
  </si>
  <si>
    <t xml:space="preserve">查詢詞：「ChatGPT free users share of weekly active users paying subscribers percent 2026」｜結果：約 5 千萬付費訂閱對 9 億週活躍（Q1 2026）＝付費約 5.6%、免費約 95%，皆為聚合部落格轉述，未讀 OpenAI 原文｜模型欄位是『免費服務占服務（算力／token）』，免費用戶多為輕度使用且上限較低，用戶占比不能直接當 token 占比；因此不作可比對象，也不改區間｜適用 J1／K1（Decisions C2；Andy 2026-10-06 追認）｜區間依據＝Gov_Map『K7：免費占服務 35–60%』</t>
  </si>
  <si>
    <t xml:space="preserve">利害關係方（彙整頁有廣告與聯盟行銷誘因）</t>
  </si>
  <si>
    <t xml:space="preserve">E232</t>
  </si>
  <si>
    <r>
      <rPr>
        <sz val="10"/>
        <color rgb="FF0000FF"/>
        <rFont val="Arial"/>
        <family val="0"/>
        <charset val="1"/>
      </rPr>
      <t xml:space="preserve">Train_In E25 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60T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）：已揭露的最大預訓練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</t>
    </r>
  </si>
  <si>
    <t xml:space="preserve">https://epoch.ai/data/frontier_ai_models.csv</t>
  </si>
  <si>
    <t xml:space="preserve">Train_In E25</t>
  </si>
  <si>
    <r>
      <rPr>
        <sz val="10"/>
        <color rgb="FF0000FF"/>
        <rFont val="Arial"/>
        <family val="0"/>
        <charset val="1"/>
      </rPr>
      <t xml:space="preserve">60 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30–100 T</t>
    </r>
    <r>
      <rPr>
        <sz val="10"/>
        <color rgb="FF0000FF"/>
        <rFont val="Noto Sans CJK SC"/>
        <family val="2"/>
      </rPr>
      <t xml:space="preserve">）</t>
    </r>
  </si>
  <si>
    <t xml:space="preserve">已揭露最大：Llama 4 Behemoth 30 T tokens（2025-04）；GPT-6 Astra、Grok 4 等未揭露</t>
  </si>
  <si>
    <t xml:space="preserve">採用為可比對象（Analogy）；區間不改</t>
  </si>
  <si>
    <t xml:space="preserve">查詢詞：「Epoch AI largest frontier pretraining run tokens trillion tokens 2026 dataset size」｜讀取者：CC（WebFetch，2026-10-06；Epoch 前沿模型資料表）｜Llama 4 Behemoth 30 T tokens（“more than double the Llama 3 pre-training mixture”）、Llama 3.1 約 15 T；GPT-6 Astra 資料集大小未揭露（約 1e27 FLOP）｜已揭露最大值 30 T 恰在區間下限；Astra 為閉源前沿代理，60 T 為 Assumed；只列出、不改｜立場：Epoch AI（中立）</t>
  </si>
  <si>
    <t xml:space="preserve">E233</t>
  </si>
  <si>
    <r>
      <rPr>
        <sz val="10"/>
        <color rgb="FF0000FF"/>
        <rFont val="Arial"/>
        <family val="0"/>
        <charset val="1"/>
      </rPr>
      <t xml:space="preserve">Alloc_In C6 </t>
    </r>
    <r>
      <rPr>
        <sz val="10"/>
        <color rgb="FF0000FF"/>
        <rFont val="Noto Sans CJK SC"/>
        <family val="2"/>
      </rPr>
      <t xml:space="preserve">家族計畫數 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個／年）：前沿實驗室每年旗艦家族數</t>
    </r>
  </si>
  <si>
    <t xml:space="preserve">搜尋摘要（theregister.com、scriptbyai.com 時間線；scriptbyai 被出口政策擋，未讀）</t>
  </si>
  <si>
    <t xml:space="preserve">Alloc_In C6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</si>
  <si>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</si>
  <si>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GPT-5.6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GPT-6 Astra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2026-09-03</t>
    </r>
    <r>
      <rPr>
        <sz val="10"/>
        <color rgb="FF0000FF"/>
        <rFont val="Noto Sans CJK SC"/>
        <family val="2"/>
      </rPr>
      <t xml:space="preserve">）</t>
    </r>
  </si>
  <si>
    <t xml:space="preserve">查詢詞：「OpenAI frontier model release cadence number of flagship models per year GPT-5 GPT-5.5 GPT-6 timeline」｜結果：2025-08 至 2026-09 間旗艦家族約 2 個（GPT-5、GPT-6），其間 5.1–5.6 為點版本（屬改版計畫 N_refresh）｜每年約 1–2 個旗艦家族，落在區間內｜讀取者：CC（搜尋摘要；頁面未讀）</t>
  </si>
  <si>
    <t xml:space="preserve">利害關係方（產業時間線彙整）</t>
  </si>
  <si>
    <t xml:space="preserve">E234</t>
  </si>
  <si>
    <r>
      <rPr>
        <sz val="10"/>
        <color rgb="FF0000FF"/>
        <rFont val="Arial"/>
        <family val="0"/>
        <charset val="1"/>
      </rPr>
      <t xml:space="preserve">Alloc_In C8 </t>
    </r>
    <r>
      <rPr>
        <sz val="10"/>
        <color rgb="FF0000FF"/>
        <rFont val="Noto Sans CJK SC"/>
        <family val="2"/>
      </rPr>
      <t xml:space="preserve">計畫規模倍數 </t>
    </r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）：計畫規模相對 </t>
    </r>
    <r>
      <rPr>
        <sz val="10"/>
        <color rgb="FF0000FF"/>
        <rFont val="Arial"/>
        <family val="0"/>
        <charset val="1"/>
      </rPr>
      <t xml:space="preserve">Block 3 </t>
    </r>
    <r>
      <rPr>
        <sz val="10"/>
        <color rgb="FF0000FF"/>
        <rFont val="Noto Sans CJK SC"/>
        <family val="2"/>
      </rPr>
      <t xml:space="preserve">的倍數</t>
    </r>
  </si>
  <si>
    <r>
      <rPr>
        <sz val="10"/>
        <color rgb="FF0000FF"/>
        <rFont val="Arial"/>
        <family val="0"/>
        <charset val="1"/>
      </rPr>
      <t xml:space="preserve">https://epoch.ai/gradient-updates/r-and-d-vs-training-compute</t>
    </r>
    <r>
      <rPr>
        <sz val="10"/>
        <color rgb="FF0000FF"/>
        <rFont val="Noto Sans CJK SC"/>
        <family val="2"/>
      </rPr>
      <t xml:space="preserve">（已讀，見 </t>
    </r>
    <r>
      <rPr>
        <sz val="10"/>
        <color rgb="FF0000FF"/>
        <rFont val="Arial"/>
        <family val="0"/>
        <charset val="1"/>
      </rPr>
      <t xml:space="preserve">E219</t>
    </r>
    <r>
      <rPr>
        <sz val="10"/>
        <color rgb="FF0000FF"/>
        <rFont val="Noto Sans CJK SC"/>
        <family val="2"/>
      </rPr>
      <t xml:space="preserve">）</t>
    </r>
  </si>
  <si>
    <t xml:space="preserve">Alloc_In C8</t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</si>
  <si>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0.5–7</t>
    </r>
    <r>
      <rPr>
        <sz val="10"/>
        <color rgb="FF0000FF"/>
        <rFont val="Noto Sans CJK SC"/>
        <family val="2"/>
      </rPr>
      <t xml:space="preserve">）</t>
    </r>
  </si>
  <si>
    <t xml:space="preserve">無直接對應量；Epoch：最終訓練占 R&amp;D 算力 9.6%／22.6%／12.3%（倍數 10.4／4.4／8.1）為另一個量</t>
  </si>
  <si>
    <t xml:space="preserve">已搜尋，判定無可比對象（k 為模型內部規模倍數，外部無對應揭露）</t>
  </si>
  <si>
    <t xml:space="preserve">查詢詞：「frontier lab compute for experiments and failed runs versus final training run ratio total R&amp;D compute multiple of final run」｜結果：Epoch 的 R&amp;D÷最終訓練倍數（SRC_DEM_001–003，Train_In 13）是『研發算力÷最終訓練算力』，而 k 是『單一計畫規模÷Block 3 基準計畫』，定義不同；搜尋另見『總算力約為最終訓練的 1.2–4 倍、中位 2.2 倍』（摘要，出處未讀、口徑為歷史模型）｜判定：無可比對象｜理由：k 的區間 0.5–7 取自 A3（不以 59% 校準 k，校準值只反推隱含 N×k），無外部對應量｜適用 J1／K1（Decisions C2；Andy 2026-10-06 追認）｜區間依據＝Gov_Map A3</t>
  </si>
  <si>
    <t xml:space="preserve">E235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</si>
  <si>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（現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；區間 </t>
    </r>
    <r>
      <rPr>
        <sz val="10"/>
        <color rgb="FF0000FF"/>
        <rFont val="Arial"/>
        <family val="0"/>
        <charset val="1"/>
      </rPr>
      <t xml:space="preserve">max(1,×0.5)–×2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）：對話資料集的每段對話平均輪數</t>
    </r>
  </si>
  <si>
    <r>
      <rPr>
        <sz val="10"/>
        <color rgb="FF0000FF"/>
        <rFont val="Arial"/>
        <family val="0"/>
        <charset val="1"/>
      </rPr>
      <t xml:space="preserve">https://arxiv.org/html/2309.11998v4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LMSYS-Chat-1M Table 1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https://arxiv.org/pdf/2405.01470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PDF </t>
    </r>
    <r>
      <rPr>
        <sz val="10"/>
        <color rgb="FF0000FF"/>
        <rFont val="Noto Sans CJK SC"/>
        <family val="2"/>
      </rPr>
      <t xml:space="preserve">超過讀取上限，未讀）</t>
    </r>
  </si>
  <si>
    <t xml:space="preserve">一手（已讀原文：LMSYS）；WildChat 只見摘要</t>
  </si>
  <si>
    <r>
      <rPr>
        <sz val="10"/>
        <color rgb="FF0000FF"/>
        <rFont val="Arial"/>
        <family val="0"/>
        <charset val="1"/>
      </rPr>
      <t xml:space="preserve">Workload C5</t>
    </r>
    <r>
      <rPr>
        <sz val="10"/>
        <color rgb="FF0000FF"/>
        <rFont val="Noto Sans CJK SC"/>
        <family val="2"/>
      </rPr>
      <t xml:space="preserve">（一般聊天）、</t>
    </r>
    <r>
      <rPr>
        <sz val="10"/>
        <color rgb="FF0000FF"/>
        <rFont val="Arial"/>
        <family val="0"/>
        <charset val="1"/>
      </rPr>
      <t xml:space="preserve">D5</t>
    </r>
    <r>
      <rPr>
        <sz val="10"/>
        <color rgb="FF0000FF"/>
        <rFont val="Noto Sans CJK SC"/>
        <family val="2"/>
      </rPr>
      <t xml:space="preserve">（推理聊天）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</si>
  <si>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1–2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</si>
  <si>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LMSYS-Chat-1M 2.0 </t>
    </r>
    <r>
      <rPr>
        <sz val="10"/>
        <color rgb="FF0000FF"/>
        <rFont val="Noto Sans CJK SC"/>
        <family val="2"/>
      </rPr>
      <t xml:space="preserve">輪／段；</t>
    </r>
    <r>
      <rPr>
        <sz val="10"/>
        <color rgb="FF0000FF"/>
        <rFont val="Arial"/>
        <family val="0"/>
        <charset val="1"/>
      </rPr>
      <t xml:space="preserve">WildChat 2.52 </t>
    </r>
    <r>
      <rPr>
        <sz val="10"/>
        <color rgb="FF0000FF"/>
        <rFont val="Noto Sans CJK SC"/>
        <family val="2"/>
      </rPr>
      <t xml:space="preserve">輪／段（搜尋摘要；</t>
    </r>
    <r>
      <rPr>
        <sz val="10"/>
        <color rgb="FF0000FF"/>
        <rFont val="Arial"/>
        <family val="0"/>
        <charset val="1"/>
      </rPr>
      <t xml:space="preserve">41% </t>
    </r>
    <r>
      <rPr>
        <sz val="10"/>
        <color rgb="FF0000FF"/>
        <rFont val="Noto Sans CJK SC"/>
        <family val="2"/>
      </rPr>
      <t xml:space="preserve">為多輪）；</t>
    </r>
    <r>
      <rPr>
        <sz val="10"/>
        <color rgb="FF0000FF"/>
        <rFont val="Arial"/>
        <family val="0"/>
        <charset val="1"/>
      </rPr>
      <t xml:space="preserve">Chatbot Arena 1.2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Anthropic HH 2.3</t>
    </r>
  </si>
  <si>
    <t xml:space="preserve">已讀，單位不同：資料集量的是整段對話的輪數；本模型的任務＝單次請求，前幾輪歷史已含在初始上下文 S（Workload 第 6 列）。</t>
  </si>
  <si>
    <t xml:space="preserve">查詢詞：「LMSYS-Chat-1M average number of turns per conversation 2.0」「WildChat dataset average number of turns per conversation」｜讀取者：CC（LMSYS 以 WebFetch 讀 Table 1，2026-10-06；WildChat 的 arXiv PDF 因超過 10 MB 讀取上限而未讀，2.52 為搜尋摘要，另見 ICLR 2024 版）｜單位：資料集的『turn』是整段對話的使用者輪數；本模型的任務＝單次請求（T＝每任務的輪數），前幾輪歷史已含在初始上下文 S（Workload 第 6 列）。整段對話的每任務指標約 ×2–2.5（LMSYS 2.0、WildChat 2.52），故不直接比對區間｜K2（Andy 2026-10-06，Decisions C4）：C5／D5 數值與區間都不動；推理聊天（D5）無專屬資料集，沿用同一組</t>
  </si>
  <si>
    <t xml:space="preserve">—（數值與區間皆不動）</t>
  </si>
  <si>
    <t xml:space="preserve">中立（學術資料集）</t>
  </si>
  <si>
    <t xml:space="preserve">E236</t>
  </si>
  <si>
    <r>
      <rPr>
        <sz val="10"/>
        <color rgb="FF0000FF"/>
        <rFont val="Arial"/>
        <family val="0"/>
        <charset val="1"/>
      </rPr>
      <t xml:space="preserve">Llama 3.1 405B 126 </t>
    </r>
    <r>
      <rPr>
        <sz val="10"/>
        <color rgb="FF0000FF"/>
        <rFont val="Noto Sans CJK SC"/>
        <family val="2"/>
      </rPr>
      <t xml:space="preserve">層；</t>
    </r>
    <r>
      <rPr>
        <sz val="10"/>
        <color rgb="FF0000FF"/>
        <rFont val="Arial"/>
        <family val="0"/>
        <charset val="1"/>
      </rPr>
      <t xml:space="preserve">DeepSeek-V3 61 </t>
    </r>
    <r>
      <rPr>
        <sz val="10"/>
        <color rgb="FF0000FF"/>
        <rFont val="Noto Sans CJK SC"/>
        <family val="2"/>
      </rPr>
      <t xml:space="preserve">層（開放權重，架構不同）</t>
    </r>
  </si>
  <si>
    <r>
      <rPr>
        <sz val="10"/>
        <color rgb="FF0000FF"/>
        <rFont val="Arial"/>
        <family val="0"/>
        <charset val="1"/>
      </rPr>
      <t xml:space="preserve">WebSearch </t>
    </r>
    <r>
      <rPr>
        <sz val="10"/>
        <color rgb="FF0000FF"/>
        <rFont val="Noto Sans CJK SC"/>
        <family val="2"/>
      </rPr>
      <t xml:space="preserve">摘要（</t>
    </r>
    <r>
      <rPr>
        <sz val="10"/>
        <color rgb="FF0000FF"/>
        <rFont val="Arial"/>
        <family val="0"/>
        <charset val="1"/>
      </rPr>
      <t xml:space="preserve">docs/reports/20261006_v5.19_</t>
    </r>
    <r>
      <rPr>
        <sz val="10"/>
        <color rgb="FF0000FF"/>
        <rFont val="Noto Sans CJK SC"/>
        <family val="2"/>
      </rPr>
      <t xml:space="preserve">查核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2.3 </t>
    </r>
    <r>
      <rPr>
        <sz val="10"/>
        <color rgb="FF0000FF"/>
        <rFont val="Noto Sans CJK SC"/>
        <family val="2"/>
      </rPr>
      <t xml:space="preserve">八列搜尋」）；原文網址未取得</t>
    </r>
  </si>
  <si>
    <t xml:space="preserve">摘要級，原文未讀</t>
  </si>
  <si>
    <r>
      <rPr>
        <sz val="10"/>
        <color rgb="FF0000FF"/>
        <rFont val="Arial"/>
        <family val="0"/>
        <charset val="1"/>
      </rPr>
      <t xml:space="preserve">Arch E8 </t>
    </r>
    <r>
      <rPr>
        <sz val="10"/>
        <color rgb="FF0000FF"/>
        <rFont val="Noto Sans CJK SC"/>
        <family val="2"/>
      </rPr>
      <t xml:space="preserve">層數（</t>
    </r>
    <r>
      <rPr>
        <sz val="10"/>
        <color rgb="FF0000FF"/>
        <rFont val="Arial"/>
        <family val="0"/>
        <charset val="1"/>
      </rPr>
      <t xml:space="preserve">GM205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</si>
  <si>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100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</si>
  <si>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層（稠密）／</t>
    </r>
    <r>
      <rPr>
        <sz val="10"/>
        <color rgb="FF0000FF"/>
        <rFont val="Arial"/>
        <family val="0"/>
        <charset val="1"/>
      </rPr>
      <t xml:space="preserve">61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MoE</t>
    </r>
    <r>
      <rPr>
        <sz val="10"/>
        <color rgb="FF0000FF"/>
        <rFont val="Noto Sans CJK SC"/>
        <family val="2"/>
      </rPr>
      <t xml:space="preserve">）</t>
    </r>
  </si>
  <si>
    <t xml:space="preserve">已讀摘要，作為區間依據；區間不改</t>
  </si>
  <si>
    <t xml:space="preserve">讀取者：CC（v5.19 查核）＋chat 端（2026-10-06 搜尋）；不得標為已讀。工作單 v5.20 X3 1.1（GM205）。不得寫入「405B 為 80 層」（誤植，80 層為 70B）。</t>
  </si>
  <si>
    <t xml:space="preserve">E237</t>
  </si>
  <si>
    <r>
      <rPr>
        <sz val="10"/>
        <color rgb="FF0000FF"/>
        <rFont val="Arial"/>
        <family val="0"/>
        <charset val="1"/>
      </rPr>
      <t xml:space="preserve">Kimi K3 2.8T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2026-07-16</t>
    </r>
    <r>
      <rPr>
        <sz val="10"/>
        <color rgb="FF0000FF"/>
        <rFont val="Noto Sans CJK SC"/>
        <family val="2"/>
      </rPr>
      <t xml:space="preserve">，開放權重）；</t>
    </r>
    <r>
      <rPr>
        <sz val="10"/>
        <color rgb="FF0000FF"/>
        <rFont val="Arial"/>
        <family val="0"/>
        <charset val="1"/>
      </rPr>
      <t xml:space="preserve">Llama 4 Behemoth 2T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288B </t>
    </r>
    <r>
      <rPr>
        <sz val="10"/>
        <color rgb="FF0000FF"/>
        <rFont val="Noto Sans CJK SC"/>
        <family val="2"/>
      </rPr>
      <t xml:space="preserve">啟用）；</t>
    </r>
    <r>
      <rPr>
        <sz val="10"/>
        <color rgb="FF0000FF"/>
        <rFont val="Arial"/>
        <family val="0"/>
        <charset val="1"/>
      </rPr>
      <t xml:space="preserve">xAI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2T</t>
    </r>
    <r>
      <rPr>
        <sz val="10"/>
        <color rgb="FF0000FF"/>
        <rFont val="Noto Sans CJK SC"/>
        <family val="2"/>
      </rPr>
      <t xml:space="preserve">（另有 </t>
    </r>
    <r>
      <rPr>
        <sz val="10"/>
        <color rgb="FF0000FF"/>
        <rFont val="Arial"/>
        <family val="0"/>
        <charset val="1"/>
      </rPr>
      <t xml:space="preserve">4–6T </t>
    </r>
    <r>
      <rPr>
        <sz val="10"/>
        <color rgb="FF0000FF"/>
        <rFont val="Noto Sans CJK SC"/>
        <family val="2"/>
      </rPr>
      <t xml:space="preserve">估計）；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旗艦未揭露</t>
    </r>
  </si>
  <si>
    <r>
      <rPr>
        <sz val="10"/>
        <color rgb="FF0000FF"/>
        <rFont val="Arial"/>
        <family val="0"/>
        <charset val="1"/>
      </rPr>
      <t xml:space="preserve">Arch E6 </t>
    </r>
    <r>
      <rPr>
        <sz val="10"/>
        <color rgb="FF0000FF"/>
        <rFont val="Noto Sans CJK SC"/>
        <family val="2"/>
      </rPr>
      <t xml:space="preserve">總參數（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</si>
  <si>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t xml:space="preserve">基準值（區間 2,000–10,000 B）</t>
  </si>
  <si>
    <t xml:space="preserve">約 2–2.8T（xAI 另有 4–6T 估計，Interested-party）</t>
  </si>
  <si>
    <t xml:space="preserve">已讀摘要，支持區間下端；上端 10T 無可比；區間不改</t>
  </si>
  <si>
    <t xml:space="preserve">讀取者：CC（v5.19 查核）＋chat 端（2026-10-06 搜尋）；不得標為已讀。工作單 v5.20 X3 1.1（GM203）。xAI 數字出自 xAI 宣傳，屬 Interested-party；4–6T 為估計。</t>
  </si>
  <si>
    <t xml:space="preserve">混合（xAI 為 Interested-party）</t>
  </si>
  <si>
    <t xml:space="preserve">E238</t>
  </si>
  <si>
    <t xml:space="preserve">公開快取條款保留時間（5 分鐘至 1 小時、延長至 24 小時）與推測的 HBM／DRAM／NVMe 分層一致；分層實作非官方揭露</t>
  </si>
  <si>
    <r>
      <rPr>
        <sz val="10"/>
        <color rgb="FF0000FF"/>
        <rFont val="Arial"/>
        <family val="0"/>
        <charset val="1"/>
      </rPr>
      <t xml:space="preserve">Cap_In C36 </t>
    </r>
    <r>
      <rPr>
        <sz val="10"/>
        <color rgb="FF0000FF"/>
        <rFont val="Noto Sans CJK SC"/>
        <family val="2"/>
      </rPr>
      <t xml:space="preserve">儲存層代碼（</t>
    </r>
    <r>
      <rPr>
        <sz val="10"/>
        <color rgb="FF0000FF"/>
        <rFont val="Arial"/>
        <family val="0"/>
        <charset val="1"/>
      </rPr>
      <t xml:space="preserve">GM459</t>
    </r>
    <r>
      <rPr>
        <sz val="10"/>
        <color rgb="FF0000FF"/>
        <rFont val="Noto Sans CJK SC"/>
        <family val="2"/>
      </rPr>
      <t xml:space="preserve">）</t>
    </r>
  </si>
  <si>
    <t xml:space="preserve">基準值（區間 D36–E36）</t>
  </si>
  <si>
    <t xml:space="preserve">保留時間 5 分鐘–24 小時；分層為推測</t>
  </si>
  <si>
    <t xml:space="preserve">已讀摘要，支持現值；不改</t>
  </si>
  <si>
    <t xml:space="preserve">讀取者：CC（v5.19 查核）＋chat 端（2026-10-06 搜尋）；不得標為已讀。工作單 v5.20 X3 1.1（GM459）。分層實作非官方揭露（報導推測）。</t>
  </si>
  <si>
    <t xml:space="preserve">E239</t>
  </si>
  <si>
    <r>
      <rPr>
        <sz val="10"/>
        <color rgb="FF0000FF"/>
        <rFont val="Arial"/>
        <family val="0"/>
        <charset val="1"/>
      </rPr>
      <t xml:space="preserve">SWE-bench Verified </t>
    </r>
    <r>
      <rPr>
        <sz val="10"/>
        <color rgb="FF0000FF"/>
        <rFont val="Noto Sans CJK SC"/>
        <family val="2"/>
      </rPr>
      <t xml:space="preserve">每條軌跡推理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平均 </t>
    </r>
    <r>
      <rPr>
        <sz val="10"/>
        <color rgb="FF0000FF"/>
        <rFont val="Arial"/>
        <family val="0"/>
        <charset val="1"/>
      </rPr>
      <t xml:space="preserve">19.5k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Qwen3-235B-A22B-Thinking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2606.24820</t>
    </r>
    <r>
      <rPr>
        <sz val="10"/>
        <color rgb="FF0000FF"/>
        <rFont val="Noto Sans CJK SC"/>
        <family val="2"/>
      </rPr>
      <t xml:space="preserve">）；以 </t>
    </r>
    <r>
      <rPr>
        <sz val="10"/>
        <color rgb="FF0000FF"/>
        <rFont val="Arial"/>
        <family val="0"/>
        <charset val="1"/>
      </rPr>
      <t xml:space="preserve">Workload G5 </t>
    </r>
    <r>
      <rPr>
        <sz val="10"/>
        <color rgb="FF0000FF"/>
        <rFont val="Noto Sans CJK SC"/>
        <family val="2"/>
      </rPr>
      <t xml:space="preserve">輪數 </t>
    </r>
    <r>
      <rPr>
        <sz val="10"/>
        <color rgb="FF0000FF"/>
        <rFont val="Arial"/>
        <family val="0"/>
        <charset val="1"/>
      </rPr>
      <t xml:space="preserve">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30 </t>
    </r>
    <r>
      <rPr>
        <sz val="10"/>
        <color rgb="FF0000FF"/>
        <rFont val="Noto Sans CJK SC"/>
        <family val="2"/>
      </rPr>
      <t xml:space="preserve">換算約 </t>
    </r>
    <r>
      <rPr>
        <sz val="10"/>
        <color rgb="FF0000FF"/>
        <rFont val="Arial"/>
        <family val="0"/>
        <charset val="1"/>
      </rPr>
      <t xml:space="preserve">650</t>
    </r>
    <r>
      <rPr>
        <sz val="10"/>
        <color rgb="FF0000FF"/>
        <rFont val="Noto Sans CJK SC"/>
        <family val="2"/>
      </rPr>
      <t xml:space="preserve">／輪（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端換算）</t>
    </r>
  </si>
  <si>
    <r>
      <rPr>
        <sz val="10"/>
        <color rgb="FF0000FF"/>
        <rFont val="Arial"/>
        <family val="0"/>
        <charset val="1"/>
      </rPr>
      <t xml:space="preserve">Workload G8 </t>
    </r>
    <r>
      <rPr>
        <sz val="10"/>
        <color rgb="FF0000FF"/>
        <rFont val="Noto Sans CJK SC"/>
        <family val="2"/>
      </rPr>
      <t xml:space="preserve">每輪思考 </t>
    </r>
    <r>
      <rPr>
        <sz val="10"/>
        <color rgb="FF0000FF"/>
        <rFont val="Arial"/>
        <family val="0"/>
        <charset val="1"/>
      </rPr>
      <t xml:space="preserve">token 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GM270</t>
    </r>
    <r>
      <rPr>
        <sz val="10"/>
        <color rgb="FF0000FF"/>
        <rFont val="Noto Sans CJK SC"/>
        <family val="2"/>
      </rPr>
      <t xml:space="preserve">）</t>
    </r>
  </si>
  <si>
    <t xml:space="preserve">基準值 600（區間 ×0.5–×2）</t>
  </si>
  <si>
    <t xml:space="preserve">約 650 token／輪（Derived：19.5k ÷ 30，chat 端換算）</t>
  </si>
  <si>
    <t xml:space="preserve">已讀摘要，支持基準 600；不改</t>
  </si>
  <si>
    <t xml:space="preserve">讀取者：CC（v5.19 查核）＋chat 端（2026-10-06 搜尋）；不得標為已讀。工作單 v5.20 X3 1.1（GM270）。原文來源 arXiv 2606.24820（摘要）；模型與 harness 與本模型不同（Analogy）。</t>
  </si>
  <si>
    <t xml:space="preserve">E240</t>
  </si>
  <si>
    <r>
      <rPr>
        <sz val="10"/>
        <color rgb="FF0000FF"/>
        <rFont val="Arial"/>
        <family val="0"/>
        <charset val="1"/>
      </rPr>
      <t xml:space="preserve">Claude Code subagent </t>
    </r>
    <r>
      <rPr>
        <sz val="10"/>
        <color rgb="FF0000FF"/>
        <rFont val="Noto Sans CJK SC"/>
        <family val="2"/>
      </rPr>
      <t xml:space="preserve">同時最多 </t>
    </r>
    <r>
      <rPr>
        <sz val="10"/>
        <color rgb="FF0000FF"/>
        <rFont val="Arial"/>
        <family val="0"/>
        <charset val="1"/>
      </rPr>
      <t xml:space="preserve">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workflow </t>
    </r>
    <r>
      <rPr>
        <sz val="10"/>
        <color rgb="FF0000FF"/>
        <rFont val="Noto Sans CJK SC"/>
        <family val="2"/>
      </rPr>
      <t xml:space="preserve">同時 </t>
    </r>
    <r>
      <rPr>
        <sz val="10"/>
        <color rgb="FF0000FF"/>
        <rFont val="Arial"/>
        <family val="0"/>
        <charset val="1"/>
      </rPr>
      <t xml:space="preserve">16</t>
    </r>
    <r>
      <rPr>
        <sz val="10"/>
        <color rgb="FF0000FF"/>
        <rFont val="Noto Sans CJK SC"/>
        <family val="2"/>
      </rPr>
      <t xml:space="preserve">（產品上限）；</t>
    </r>
    <r>
      <rPr>
        <sz val="10"/>
        <color rgb="FF0000FF"/>
        <rFont val="Arial"/>
        <family val="0"/>
        <charset val="1"/>
      </rPr>
      <t xml:space="preserve">Kimi 300 agent</t>
    </r>
    <r>
      <rPr>
        <sz val="10"/>
        <color rgb="FF0000FF"/>
        <rFont val="Noto Sans CJK SC"/>
        <family val="2"/>
      </rPr>
      <t xml:space="preserve">（宣傳數字）；典型使用平均並行數無統計</t>
    </r>
  </si>
  <si>
    <r>
      <rPr>
        <sz val="10"/>
        <color rgb="FF0000FF"/>
        <rFont val="Arial"/>
        <family val="0"/>
        <charset val="1"/>
      </rPr>
      <t xml:space="preserve">Workload G12 </t>
    </r>
    <r>
      <rPr>
        <sz val="10"/>
        <color rgb="FF0000FF"/>
        <rFont val="Noto Sans CJK SC"/>
        <family val="2"/>
      </rPr>
      <t xml:space="preserve">並行子代理數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GM290</t>
    </r>
    <r>
      <rPr>
        <sz val="10"/>
        <color rgb="FF0000FF"/>
        <rFont val="Noto Sans CJK SC"/>
        <family val="2"/>
      </rPr>
      <t xml:space="preserve">）</t>
    </r>
  </si>
  <si>
    <t xml:space="preserve">基準 0（區間 0 到 max(1, 2×基準)）</t>
  </si>
  <si>
    <t xml:space="preserve">上限 10–16（Claude Code）；300（Kimi 宣傳）</t>
  </si>
  <si>
    <t xml:space="preserve">上限有可比、典型值無；不改</t>
  </si>
  <si>
    <t xml:space="preserve">讀取者：CC（v5.19 查核）＋chat 端（2026-10-06 搜尋）；不得標為已讀。工作單 v5.20 X3 1.1（GM290）。理由加註：基準 0＝標準 harness 為單代理，屬定義。Kimi 300 為 Interested-party 宣傳數字。</t>
  </si>
  <si>
    <t xml:space="preserve">E241</t>
  </si>
  <si>
    <r>
      <rPr>
        <sz val="10"/>
        <color rgb="FF0000FF"/>
        <rFont val="Arial"/>
        <family val="0"/>
        <charset val="1"/>
      </rPr>
      <t xml:space="preserve">OpenAI GPT-5.x </t>
    </r>
    <r>
      <rPr>
        <sz val="10"/>
        <color rgb="FF0000FF"/>
        <rFont val="Noto Sans CJK SC"/>
        <family val="2"/>
      </rPr>
      <t xml:space="preserve">點版本：</t>
    </r>
    <r>
      <rPr>
        <sz val="10"/>
        <color rgb="FF0000FF"/>
        <rFont val="Arial"/>
        <family val="0"/>
        <charset val="1"/>
      </rPr>
      <t xml:space="preserve">5.1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2026-03-05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2026-04-23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5.6</t>
    </r>
    <r>
      <rPr>
        <sz val="10"/>
        <color rgb="FF0000FF"/>
        <rFont val="Noto Sans CJK SC"/>
        <family val="2"/>
      </rPr>
      <t xml:space="preserve">（約 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）；過去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個月約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個</t>
    </r>
  </si>
  <si>
    <r>
      <rPr>
        <sz val="10"/>
        <color rgb="FF0000FF"/>
        <rFont val="Arial"/>
        <family val="0"/>
        <charset val="1"/>
      </rPr>
      <t xml:space="preserve">Alloc_In C7 </t>
    </r>
    <r>
      <rPr>
        <sz val="10"/>
        <color rgb="FF0000FF"/>
        <rFont val="Noto Sans CJK SC"/>
        <family val="2"/>
      </rPr>
      <t xml:space="preserve">改版計畫數 </t>
    </r>
    <r>
      <rPr>
        <sz val="10"/>
        <color rgb="FF0000FF"/>
        <rFont val="Arial"/>
        <family val="0"/>
        <charset val="1"/>
      </rPr>
      <t xml:space="preserve">N_refresh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GM578</t>
    </r>
    <r>
      <rPr>
        <sz val="10"/>
        <color rgb="FF0000FF"/>
        <rFont val="Noto Sans CJK SC"/>
        <family val="2"/>
      </rPr>
      <t xml:space="preserve">）</t>
    </r>
  </si>
  <si>
    <t xml:space="preserve">基準 2；區間 0–4（個／年）</t>
  </si>
  <si>
    <t xml:space="preserve">約 5 個／12 個月（對外點版本）</t>
  </si>
  <si>
    <t xml:space="preserve">只作上界參考；區間上限 4 → 6（Andy 2026-10-06，X3 A3），基準 2 不變</t>
  </si>
  <si>
    <t xml:space="preserve">讀取者：CC（v5.19 查核）＋chat 端（2026-10-06 搜尋）；不得標為已讀。工作單 v5.20 X3 1.1／1.2（GM578）。「改版計畫」為相對家族計畫的研發運算當量，不等於對外版本號。</t>
  </si>
  <si>
    <r>
      <rPr>
        <sz val="10"/>
        <color rgb="FF000000"/>
        <rFont val="Arial"/>
        <family val="0"/>
        <charset val="1"/>
      </rPr>
      <t xml:space="preserve">AL_Nrefresh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Alloc G </t>
    </r>
    <r>
      <rPr>
        <sz val="10"/>
        <color rgb="FF000000"/>
        <rFont val="Noto Sans CJK SC"/>
        <family val="2"/>
      </rPr>
      <t xml:space="preserve">節 </t>
    </r>
    <r>
      <rPr>
        <sz val="10"/>
        <color rgb="FF000000"/>
        <rFont val="Arial"/>
        <family val="0"/>
        <charset val="1"/>
      </rPr>
      <t xml:space="preserve">N_refresh </t>
    </r>
    <r>
      <rPr>
        <sz val="10"/>
        <color rgb="FF000000"/>
        <rFont val="Noto Sans CJK SC"/>
        <family val="2"/>
      </rPr>
      <t xml:space="preserve">高端列；</t>
    </r>
    <r>
      <rPr>
        <sz val="10"/>
        <color rgb="FF000000"/>
        <rFont val="Arial"/>
        <family val="0"/>
        <charset val="1"/>
      </rPr>
      <t xml:space="preserve">L1_Ans3_Hi</t>
    </r>
    <r>
      <rPr>
        <sz val="10"/>
        <color rgb="FF000000"/>
        <rFont val="Noto Sans CJK SC"/>
        <family val="2"/>
      </rPr>
      <t xml:space="preserve">（預期不變）</t>
    </r>
  </si>
  <si>
    <t xml:space="preserve">E242</t>
  </si>
  <si>
    <t xml:space="preserve">已搜尋（查詢詞：agentic coding average output tokens per turn visible response tokens OpenRouter）；只得「agentic coding 輸出約占總 token 0.5%」單一工作階段樣本（5,300／996,500）</t>
  </si>
  <si>
    <r>
      <rPr>
        <sz val="10"/>
        <color rgb="FF0000FF"/>
        <rFont val="Arial"/>
        <family val="0"/>
        <charset val="1"/>
      </rPr>
      <t xml:space="preserve">Workload G9 </t>
    </r>
    <r>
      <rPr>
        <sz val="10"/>
        <color rgb="FF0000FF"/>
        <rFont val="Noto Sans CJK SC"/>
        <family val="2"/>
      </rPr>
      <t xml:space="preserve">每輪可見輸出 </t>
    </r>
    <r>
      <rPr>
        <sz val="10"/>
        <color rgb="FF0000FF"/>
        <rFont val="Arial"/>
        <family val="0"/>
        <charset val="1"/>
      </rPr>
      <t xml:space="preserve">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GM275</t>
    </r>
    <r>
      <rPr>
        <sz val="10"/>
        <color rgb="FF0000FF"/>
        <rFont val="Noto Sans CJK SC"/>
        <family val="2"/>
      </rPr>
      <t xml:space="preserve">）</t>
    </r>
  </si>
  <si>
    <t xml:space="preserve">基準值（區間 ×0.5–×2）</t>
  </si>
  <si>
    <t xml:space="preserve">輸出占總 token 約 0.5%（單一樣本）；無每輪分布</t>
  </si>
  <si>
    <t xml:space="preserve">無可比對象（已搜尋；Andy 2026-10-06 核准，C2）</t>
  </si>
  <si>
    <t xml:space="preserve">讀取者：CC（v5.19 查核）＋chat 端（2026-10-06 搜尋）；不得標為已讀。工作單 v5.20 X3 1.1（GM275）。查詢詞照 v5.19 查核檔。</t>
  </si>
  <si>
    <t xml:space="preserve">E243</t>
  </si>
  <si>
    <t xml:space="preserve">已搜尋（查詢詞：Vera Rubin NVL72 MLPerf Inference v6.1 prefill throughput）；MLPerf v6.1 VR200 只有整體吞吐，無 prefill 拆分</t>
  </si>
  <si>
    <r>
      <rPr>
        <sz val="10"/>
        <color rgb="FF0000FF"/>
        <rFont val="Arial"/>
        <family val="0"/>
        <charset val="1"/>
      </rPr>
      <t xml:space="preserve">Calib F69 η_p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GM354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</si>
  <si>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</t>
    </r>
  </si>
  <si>
    <t xml:space="preserve">整體吞吐（DeepSeek-R1）；無 prefill 專屬數據</t>
  </si>
  <si>
    <t xml:space="preserve">無可比對象（現有資料無法分離；Andy 2026-10-06 核准，C2）</t>
  </si>
  <si>
    <t xml:space="preserve">讀取者：CC（v5.19 查核）＋chat 端（2026-10-06 搜尋）；不得標為已讀。工作單 v5.20 X3 1.1（GM354）。「不可從現有資料分離」是主題的性質，非「不存在」。</t>
  </si>
  <si>
    <t xml:space="preserve">E244</t>
  </si>
  <si>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公布之 </t>
    </r>
    <r>
      <rPr>
        <sz val="10"/>
        <color rgb="FF0000FF"/>
        <rFont val="Arial"/>
        <family val="0"/>
        <charset val="1"/>
      </rPr>
      <t xml:space="preserve">MLPerf Inference v6.1 DeepSeek-R1 </t>
    </r>
    <r>
      <rPr>
        <sz val="10"/>
        <color rgb="FF0000FF"/>
        <rFont val="Noto Sans CJK SC"/>
        <family val="2"/>
      </rPr>
      <t xml:space="preserve">數據，第三方換算 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量測 </t>
    </r>
    <r>
      <rPr>
        <sz val="10"/>
        <color rgb="FF0000FF"/>
        <rFont val="Arial"/>
        <family val="0"/>
        <charset val="1"/>
      </rPr>
      <t xml:space="preserve">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；情境（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）未讀到</t>
    </r>
  </si>
  <si>
    <r>
      <rPr>
        <sz val="10"/>
        <color rgb="FF0000FF"/>
        <rFont val="Arial"/>
        <family val="0"/>
        <charset val="1"/>
      </rPr>
      <t xml:space="preserve">Calib F67 η_d </t>
    </r>
    <r>
      <rPr>
        <sz val="10"/>
        <color rgb="FF0000FF"/>
        <rFont val="Noto Sans CJK SC"/>
        <family val="2"/>
      </rPr>
      <t xml:space="preserve">倍數（</t>
    </r>
    <r>
      <rPr>
        <sz val="10"/>
        <color rgb="FF0000FF"/>
        <rFont val="Arial"/>
        <family val="0"/>
        <charset val="1"/>
      </rPr>
      <t xml:space="preserve">GM344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</si>
  <si>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</si>
  <si>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（第三方換算；</t>
    </r>
    <r>
      <rPr>
        <sz val="10"/>
        <color rgb="FF0000FF"/>
        <rFont val="Arial"/>
        <family val="0"/>
        <charset val="1"/>
      </rPr>
      <t xml:space="preserve">Nebius 36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72 GPU</t>
    </r>
    <r>
      <rPr>
        <sz val="10"/>
        <color rgb="FF0000FF"/>
        <rFont val="Noto Sans CJK SC"/>
        <family val="2"/>
      </rPr>
      <t xml:space="preserve">）</t>
    </r>
  </si>
  <si>
    <t xml:space="preserve">待查證；指向 F67 低端；與模型內 MLPerf v6.1 interactive（Calib 第 151 列 2.575×，模型 2.525×）衝突未解</t>
  </si>
  <si>
    <t xml:space="preserve">讀取者：CC（v5.19 查核）＋chat 端（2026-10-06 搜尋）；不得標為已讀。工作單 v5.20 X4 2（GM344／Calib F67）。F67 數值與區間不改；GM345（Rubin Ultra G67）不動。原文補查：Andy 手動下載 MLCommons v6.1 結果表後另開工作單。 36 與 72 GPU 兩個數字為 chat 端補入，不在 v5.19 查核檔內。</t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</si>
  <si>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各世代 </t>
    </r>
    <r>
      <rPr>
        <sz val="10"/>
        <color rgb="FF000000"/>
        <rFont val="Arial"/>
        <family val="0"/>
        <charset val="1"/>
      </rPr>
      <t xml:space="preserve">η_d </t>
    </r>
    <r>
      <rPr>
        <sz val="10"/>
        <color rgb="FF000000"/>
        <rFont val="Noto Sans CJK SC"/>
        <family val="2"/>
      </rPr>
      <t xml:space="preserve">相關列（數值不改）</t>
    </r>
  </si>
  <si>
    <t xml:space="preserve">混合（NVIDIA 宣稱為 Interested-party）</t>
  </si>
  <si>
    <r>
      <rPr>
        <sz val="10"/>
        <color rgb="FF0000FF"/>
        <rFont val="Arial"/>
        <family val="0"/>
        <charset val="1"/>
      </rPr>
      <t xml:space="preserve">MLPerf v6.1 </t>
    </r>
    <r>
      <rPr>
        <sz val="10"/>
        <color rgb="FF0000FF"/>
        <rFont val="Noto Sans CJK SC"/>
        <family val="2"/>
      </rPr>
      <t xml:space="preserve">一手結果：</t>
    </r>
    <r>
      <rPr>
        <sz val="10"/>
        <color rgb="FF0000FF"/>
        <rFont val="Arial"/>
        <family val="0"/>
        <charset val="1"/>
      </rPr>
      <t xml:space="preserve">VR200 ÷ 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Nebius Offline 1.62×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Nebius </t>
    </r>
    <r>
      <rPr>
        <sz val="10"/>
        <color rgb="FF0000FF"/>
        <rFont val="Noto Sans CJK SC"/>
        <family val="2"/>
      </rPr>
      <t xml:space="preserve">無 </t>
    </r>
    <r>
      <rPr>
        <sz val="10"/>
        <color rgb="FF0000FF"/>
        <rFont val="Arial"/>
        <family val="0"/>
        <charset val="1"/>
      </rPr>
      <t xml:space="preserve">interactive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NVIDIA Offline 1.74×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。延遲限制越嚴，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優勢越大</t>
    </r>
  </si>
  <si>
    <r>
      <rPr>
        <sz val="10"/>
        <color rgb="FF0000FF"/>
        <rFont val="Arial"/>
        <family val="0"/>
        <charset val="1"/>
      </rPr>
      <t xml:space="preserve">MLCommons inference_results_v6.1 </t>
    </r>
    <r>
      <rPr>
        <sz val="10"/>
        <color rgb="FF0000FF"/>
        <rFont val="Noto Sans CJK SC"/>
        <family val="2"/>
      </rPr>
      <t xml:space="preserve">根目錄 </t>
    </r>
    <r>
      <rPr>
        <sz val="10"/>
        <color rgb="FF0000FF"/>
        <rFont val="Arial"/>
        <family val="0"/>
        <charset val="1"/>
      </rPr>
      <t xml:space="preserve">summary.csv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 HEAD 4bb63cd28eb136be221bc801a9e38c66c8a7553f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SHA-256 87980a2dfba85139ca806b63634305bcbc4ad6803bf2d520351e022ba905065a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https://github.com/mlcommons/inference_results_v6.1/blob/4bb63cd28eb136be221bc801a9e38c66c8a7553f/summary.csv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2026-10-06 CC </t>
    </r>
    <r>
      <rPr>
        <sz val="10"/>
        <color rgb="FF0000FF"/>
        <rFont val="Noto Sans CJK SC"/>
        <family val="2"/>
      </rPr>
      <t xml:space="preserve">讀原文並逐列核對）</t>
    </r>
  </si>
  <si>
    <r>
      <rPr>
        <sz val="10"/>
        <color rgb="FF0000FF"/>
        <rFont val="Arial"/>
        <family val="0"/>
        <charset val="1"/>
      </rPr>
      <t xml:space="preserve">1.0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0.5–1.5</t>
    </r>
    <r>
      <rPr>
        <sz val="10"/>
        <color rgb="FF0000FF"/>
        <rFont val="Noto Sans CJK SC"/>
        <family val="2"/>
      </rPr>
      <t xml:space="preserve">）；模型 </t>
    </r>
    <r>
      <rPr>
        <sz val="10"/>
        <color rgb="FF0000FF"/>
        <rFont val="Arial"/>
        <family val="0"/>
        <charset val="1"/>
      </rPr>
      <t xml:space="preserve">interactive 2.525×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MLPerf v6.1 interactive 2.575×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Calib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151 </t>
    </r>
    <r>
      <rPr>
        <sz val="10"/>
        <color rgb="FF0000FF"/>
        <rFont val="Noto Sans CJK SC"/>
        <family val="2"/>
      </rPr>
      <t xml:space="preserve">列）；</t>
    </r>
    <r>
      <rPr>
        <sz val="10"/>
        <color rgb="FF0000FF"/>
        <rFont val="Arial"/>
        <family val="0"/>
        <charset val="1"/>
      </rPr>
      <t xml:space="preserve">E244</t>
    </r>
    <r>
      <rPr>
        <sz val="10"/>
        <color rgb="FF0000FF"/>
        <rFont val="Noto Sans CJK SC"/>
        <family val="2"/>
      </rPr>
      <t xml:space="preserve">：第三方換算 </t>
    </r>
    <r>
      <rPr>
        <sz val="10"/>
        <color rgb="FF0000FF"/>
        <rFont val="Arial"/>
        <family val="0"/>
        <charset val="1"/>
      </rPr>
      <t xml:space="preserve">1.6–2×</t>
    </r>
    <r>
      <rPr>
        <sz val="10"/>
        <color rgb="FF0000FF"/>
        <rFont val="Noto Sans CJK SC"/>
        <family val="2"/>
      </rPr>
      <t xml:space="preserve">（情境未讀到）</t>
    </r>
  </si>
  <si>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Nebius Offline 1.620×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1.961×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NVIDIA Offline 1.741×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1.970×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Interactive 2.575×</t>
    </r>
    <r>
      <rPr>
        <sz val="10"/>
        <color rgb="FF0000FF"/>
        <rFont val="Noto Sans CJK SC"/>
        <family val="2"/>
      </rPr>
      <t xml:space="preserve">（每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Result ÷ GPU </t>
    </r>
    <r>
      <rPr>
        <sz val="10"/>
        <color rgb="FF0000FF"/>
        <rFont val="Noto Sans CJK SC"/>
        <family val="2"/>
      </rPr>
      <t xml:space="preserve">數；</t>
    </r>
    <r>
      <rPr>
        <sz val="10"/>
        <color rgb="FF0000FF"/>
        <rFont val="Arial"/>
        <family val="0"/>
        <charset val="1"/>
      </rPr>
      <t xml:space="preserve">Nebius VR200 36 GPU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</si>
  <si>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E244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1.6–2×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Offline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Server </t>
    </r>
    <r>
      <rPr>
        <sz val="10"/>
        <color rgb="FF0000FF"/>
        <rFont val="Noto Sans CJK SC"/>
        <family val="2"/>
      </rPr>
      <t xml:space="preserve">情境，與模型 </t>
    </r>
    <r>
      <rPr>
        <sz val="10"/>
        <color rgb="FF0000FF"/>
        <rFont val="Arial"/>
        <family val="0"/>
        <charset val="1"/>
      </rPr>
      <t xml:space="preserve">interactive </t>
    </r>
    <r>
      <rPr>
        <sz val="10"/>
        <color rgb="FF0000FF"/>
        <rFont val="Noto Sans CJK SC"/>
        <family val="2"/>
      </rPr>
      <t xml:space="preserve">對照（模型 </t>
    </r>
    <r>
      <rPr>
        <sz val="10"/>
        <color rgb="FF0000FF"/>
        <rFont val="Arial"/>
        <family val="0"/>
        <charset val="1"/>
      </rPr>
      <t xml:space="preserve">2.525×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2.575×</t>
    </r>
    <r>
      <rPr>
        <sz val="10"/>
        <color rgb="FF0000FF"/>
        <rFont val="Noto Sans CJK SC"/>
        <family val="2"/>
      </rPr>
      <t xml:space="preserve">）不衝突；</t>
    </r>
    <r>
      <rPr>
        <sz val="10"/>
        <color rgb="FF0000FF"/>
        <rFont val="Arial"/>
        <family val="0"/>
        <charset val="1"/>
      </rPr>
      <t xml:space="preserve">F67 </t>
    </r>
    <r>
      <rPr>
        <sz val="10"/>
        <color rgb="FF0000FF"/>
        <rFont val="Noto Sans CJK SC"/>
        <family val="2"/>
      </rPr>
      <t xml:space="preserve">不改（</t>
    </r>
    <r>
      <rPr>
        <sz val="10"/>
        <color rgb="FF0000FF"/>
        <rFont val="Arial"/>
        <family val="0"/>
        <charset val="1"/>
      </rPr>
      <t xml:space="preserve">X6</t>
    </r>
    <r>
      <rPr>
        <sz val="10"/>
        <color rgb="FF0000FF"/>
        <rFont val="Noto Sans CJK SC"/>
        <family val="2"/>
      </rPr>
      <t xml:space="preserve">）</t>
    </r>
  </si>
  <si>
    <t xml:space="preserve">讀取者：CC｜讀取日 2026-10-06｜工作單 v5.21 X6（Andy 2026-10-06「沒意見」）｜summary.csv SHA-256 已核對（87980a2dfba85139ca806b63634305bcbc4ad6803bf2d520351e022ba905065a）｜數字與工作單第 1 節 10 列逐列相符｜Nebius 與 NVIDIA 互為第二來源（同硬體、同情境、不同提交者）｜VR 為 preview（預覽類）；inferred 欄含義未查得｜取代 E244（第三方換算、原文未讀）</t>
  </si>
  <si>
    <r>
      <rPr>
        <sz val="10"/>
        <color rgb="FF000000"/>
        <rFont val="Arial"/>
        <family val="0"/>
        <charset val="1"/>
      </rPr>
      <t xml:space="preserve">SRC_PERF_027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SRC_PERF_059</t>
    </r>
  </si>
  <si>
    <r>
      <rPr>
        <sz val="10"/>
        <color rgb="FF000000"/>
        <rFont val="Arial"/>
        <family val="0"/>
        <charset val="1"/>
      </rPr>
      <t xml:space="preserve">Calib F67</t>
    </r>
    <r>
      <rPr>
        <sz val="10"/>
        <color rgb="FF000000"/>
        <rFont val="Noto Sans CJK SC"/>
        <family val="2"/>
      </rPr>
      <t xml:space="preserve">（數值與區間不改）；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L1_ </t>
    </r>
    <r>
      <rPr>
        <sz val="10"/>
        <color rgb="FF000000"/>
        <rFont val="Noto Sans CJK SC"/>
        <family val="2"/>
      </rPr>
      <t xml:space="preserve">數值不變</t>
    </r>
  </si>
  <si>
    <t xml:space="preserve">E246</t>
  </si>
  <si>
    <t xml:space="preserve">產業 GPU 租金指數（摘要級，原文未讀）：H100 上市約 4.70、短缺高峰超過 8、2024 年初約 2.85、2026 年中隨需中位數約 2.99 $/GPU-hr（不同來源拼接）；H100 一年期長約 2025-10 1.70 → 2026-03 2.35（SemiAnalysis）；B200 標準化指數 2026-01-01 4.40 → 2026-08-02 5.66（Silicon Data）；B200 現貨指數 2026-03 初 2.31 → 2026-04 底 4.95（Ornn）；預測市場 2026-05-28 對 B200 年底高於 5.57 約 90%（Kalshi，成交量小）。</t>
  </si>
  <si>
    <t xml:space="preserve">轉述頁（摘要級，原文未讀）：gpusmith.com/articles/h100-rental-price-history-trends；introl.com/blog/gpu-cloud-price-collapse-h100-market-december-2025；spheron.network/blog/h100-price-per-hour-2026；xenospectrum.com/en/nvidia-gpu-rental-depreciation；tomtunguz.com/b200-gpu-pricing-spot-market-model-releases；simplefunctions.dev/answer/b200max</t>
  </si>
  <si>
    <r>
      <rPr>
        <sz val="10"/>
        <color rgb="FF0000FF"/>
        <rFont val="Arial"/>
        <family val="0"/>
        <charset val="1"/>
      </rPr>
      <t xml:space="preserve">Cap_In C63 </t>
    </r>
    <r>
      <rPr>
        <sz val="10"/>
        <color rgb="FF0000FF"/>
        <rFont val="Noto Sans CJK SC"/>
        <family val="2"/>
      </rPr>
      <t xml:space="preserve">壽命期價格係數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CTL_PriceLife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Gov_Map X7 </t>
    </r>
    <r>
      <rPr>
        <sz val="10"/>
        <color rgb="FF0000FF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</si>
  <si>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（基準＝不跌價；</t>
    </r>
    <r>
      <rPr>
        <sz val="10"/>
        <color rgb="FF0000FF"/>
        <rFont val="Arial"/>
        <family val="0"/>
        <charset val="1"/>
      </rPr>
      <t xml:space="preserve">Gov_Map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0.3–1.0</t>
    </r>
    <r>
      <rPr>
        <sz val="10"/>
        <color rgb="FF0000FF"/>
        <rFont val="Noto Sans CJK SC"/>
        <family val="2"/>
      </rPr>
      <t xml:space="preserve">）</t>
    </r>
  </si>
  <si>
    <t xml:space="preserve">壽命平均 L 類比區間 0.42–0.70（H100 第 3 年比值 r：高峰起點 0.3–0.37、上市起點 0.5–0.64）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</si>
  <si>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年比值 </t>
    </r>
    <r>
      <rPr>
        <sz val="10"/>
        <color rgb="FF0000FF"/>
        <rFont val="Arial"/>
        <family val="0"/>
        <charset val="1"/>
      </rPr>
      <t xml:space="preserve">r</t>
    </r>
    <r>
      <rPr>
        <sz val="10"/>
        <color rgb="FF0000FF"/>
        <rFont val="Noto Sans CJK SC"/>
        <family val="2"/>
      </rPr>
      <t xml:space="preserve">：高峰起點 </t>
    </r>
    <r>
      <rPr>
        <sz val="10"/>
        <color rgb="FF0000FF"/>
        <rFont val="Arial"/>
        <family val="0"/>
        <charset val="1"/>
      </rPr>
      <t xml:space="preserve">0.3–0.37</t>
    </r>
    <r>
      <rPr>
        <sz val="10"/>
        <color rgb="FF0000FF"/>
        <rFont val="Noto Sans CJK SC"/>
        <family val="2"/>
      </rPr>
      <t xml:space="preserve">、上市起點 </t>
    </r>
    <r>
      <rPr>
        <sz val="10"/>
        <color rgb="FF0000FF"/>
        <rFont val="Arial"/>
        <family val="0"/>
        <charset val="1"/>
      </rPr>
      <t xml:space="preserve">0.5–0.64</t>
    </r>
    <r>
      <rPr>
        <sz val="10"/>
        <color rgb="FF0000FF"/>
        <rFont val="Noto Sans CJK SC"/>
        <family val="2"/>
      </rPr>
      <t xml:space="preserve">；壽命平均 </t>
    </r>
    <r>
      <rPr>
        <sz val="10"/>
        <color rgb="FF0000FF"/>
        <rFont val="Arial"/>
        <family val="0"/>
        <charset val="1"/>
      </rPr>
      <t xml:space="preserve">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(1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5r)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的類比區間 </t>
    </r>
    <r>
      <rPr>
        <sz val="10"/>
        <color rgb="FF0000FF"/>
        <rFont val="Arial"/>
        <family val="0"/>
        <charset val="1"/>
      </rPr>
      <t xml:space="preserve">0.42–0.70</t>
    </r>
    <r>
      <rPr>
        <sz val="10"/>
        <color rgb="FF0000FF"/>
        <rFont val="Noto Sans CJK SC"/>
        <family val="2"/>
      </rPr>
      <t xml:space="preserve">（工作單 </t>
    </r>
    <r>
      <rPr>
        <sz val="10"/>
        <color rgb="FF0000FF"/>
        <rFont val="Arial"/>
        <family val="0"/>
        <charset val="1"/>
      </rPr>
      <t xml:space="preserve">v5.22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0.1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C2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B200 </t>
    </r>
    <r>
      <rPr>
        <sz val="10"/>
        <color rgb="FF0000FF"/>
        <rFont val="Noto Sans CJK SC"/>
        <family val="2"/>
      </rPr>
      <t xml:space="preserve">第一年不降反升（短缺驅動），未滿 </t>
    </r>
    <r>
      <rPr>
        <sz val="10"/>
        <color rgb="FF0000FF"/>
        <rFont val="Arial"/>
        <family val="0"/>
        <charset val="1"/>
      </rPr>
      <t xml:space="preserve">24 </t>
    </r>
    <r>
      <rPr>
        <sz val="10"/>
        <color rgb="FF0000FF"/>
        <rFont val="Noto Sans CJK SC"/>
        <family val="2"/>
      </rPr>
      <t xml:space="preserve">個月不判定；基準維持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X7</t>
    </r>
    <r>
      <rPr>
        <sz val="10"/>
        <color rgb="FF0000FF"/>
        <rFont val="Noto Sans CJK SC"/>
        <family val="2"/>
      </rPr>
      <t xml:space="preserve">）。</t>
    </r>
  </si>
  <si>
    <t xml:space="preserve">讀取者：chat 端（工作單 v5.22 第 2 節）；摘要級、原文未讀，不得標為已讀｜不新增任何 SRC 紀錄（X8 補充：Tokenomics 只放與算力相關的資料；租金走勢由 chat 端定期查核、寫入交接檔，不寫入模型）｜既有 SRC_PRC_001、SRC_PRC_002 不動｜Andy 2026-10-06「你的建議我接受，就這樣做吧」</t>
  </si>
  <si>
    <r>
      <rPr>
        <sz val="10"/>
        <color rgb="FF000000"/>
        <rFont val="Arial"/>
        <family val="0"/>
        <charset val="1"/>
      </rPr>
      <t xml:space="preserve">IF_RevGW_Luna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Sol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Astra_Life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IF_RevGWFleet_Life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L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m</t>
    </r>
    <r>
      <rPr>
        <sz val="10"/>
        <color rgb="FF000000"/>
        <rFont val="Noto Sans CJK SC"/>
        <family val="2"/>
      </rPr>
      <t xml:space="preserve">＝</t>
    </r>
    <r>
      <rPr>
        <sz val="10"/>
        <color rgb="FF000000"/>
        <rFont val="Arial"/>
        <family val="0"/>
        <charset val="1"/>
      </rPr>
      <t xml:space="preserve">1 </t>
    </r>
    <r>
      <rPr>
        <sz val="10"/>
        <color rgb="FF000000"/>
        <rFont val="Noto Sans CJK SC"/>
        <family val="2"/>
      </rPr>
      <t xml:space="preserve">時數值不變）</t>
    </r>
  </si>
  <si>
    <t xml:space="preserve">利害關係方（指數業者、算力販售者、研究機構）</t>
  </si>
  <si>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：每請求平均輸入 </t>
    </r>
    <r>
      <rPr>
        <sz val="10"/>
        <color rgb="FF0000FF"/>
        <rFont val="Arial"/>
        <family val="0"/>
        <charset val="1"/>
      </rPr>
      <t xml:space="preserve">&gt;6K</t>
    </r>
    <r>
      <rPr>
        <sz val="10"/>
        <color rgb="FF0000FF"/>
        <rFont val="Noto Sans CJK SC"/>
        <family val="2"/>
      </rPr>
      <t xml:space="preserve">、輸出約 </t>
    </r>
    <r>
      <rPr>
        <sz val="10"/>
        <color rgb="FF0000FF"/>
        <rFont val="Arial"/>
        <family val="0"/>
        <charset val="1"/>
      </rPr>
      <t xml:space="preserve">400</t>
    </r>
    <r>
      <rPr>
        <sz val="10"/>
        <color rgb="FF0000FF"/>
        <rFont val="Noto Sans CJK SC"/>
        <family val="2"/>
      </rPr>
      <t xml:space="preserve">（含推理）、程式類 </t>
    </r>
    <r>
      <rPr>
        <sz val="10"/>
        <color rgb="FF0000FF"/>
        <rFont val="Arial"/>
        <family val="0"/>
        <charset val="1"/>
      </rPr>
      <t xml:space="preserve">3–4 </t>
    </r>
    <r>
      <rPr>
        <sz val="10"/>
        <color rgb="FF0000FF"/>
        <rFont val="Noto Sans CJK SC"/>
        <family val="2"/>
      </rPr>
      <t xml:space="preserve">倍、推理模型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占比 </t>
    </r>
    <r>
      <rPr>
        <sz val="10"/>
        <color rgb="FF0000FF"/>
        <rFont val="Arial"/>
        <family val="0"/>
        <charset val="1"/>
      </rPr>
      <t xml:space="preserve">&gt;50%</t>
    </r>
  </si>
  <si>
    <r>
      <rPr>
        <sz val="10"/>
        <color rgb="FF0000FF"/>
        <rFont val="Arial"/>
        <family val="0"/>
        <charset val="1"/>
      </rPr>
      <t xml:space="preserve">arXiv 2601.10088v1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State of AI: An Empirical 100 Trillion Token Study with OpenRouter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OpenRouter Inc.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a16z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https://arxiv.org/html/2601.10088v1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2026-10-07 CC </t>
    </r>
    <r>
      <rPr>
        <sz val="10"/>
        <color rgb="FF0000FF"/>
        <rFont val="Noto Sans CJK SC"/>
        <family val="2"/>
      </rPr>
      <t xml:space="preserve">讀原文 </t>
    </r>
    <r>
      <rPr>
        <sz val="10"/>
        <color rgb="FF0000FF"/>
        <rFont val="Arial"/>
        <family val="0"/>
        <charset val="1"/>
      </rPr>
      <t xml:space="preserve">HTML </t>
    </r>
    <r>
      <rPr>
        <sz val="10"/>
        <color rgb="FF0000FF"/>
        <rFont val="Noto Sans CJK SC"/>
        <family val="2"/>
      </rPr>
      <t xml:space="preserve">並逐字核對）</t>
    </r>
  </si>
  <si>
    <r>
      <rPr>
        <sz val="10"/>
        <color rgb="FF0000FF"/>
        <rFont val="Arial"/>
        <family val="0"/>
        <charset val="1"/>
      </rPr>
      <t xml:space="preserve">Serving C23:E24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GM245–GM250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</si>
  <si>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ISL 8,192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16,384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32,768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OSL 1,024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2,048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4,096</t>
    </r>
    <r>
      <rPr>
        <sz val="10"/>
        <color rgb="FF0000FF"/>
        <rFont val="Noto Sans CJK SC"/>
        <family val="2"/>
      </rPr>
      <t xml:space="preserve">（輸出占比 </t>
    </r>
    <r>
      <rPr>
        <sz val="10"/>
        <color rgb="FF0000FF"/>
        <rFont val="Arial"/>
        <family val="0"/>
        <charset val="1"/>
      </rPr>
      <t xml:space="preserve">1/9≈11%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GM248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512–2,048</t>
    </r>
  </si>
  <si>
    <t xml:space="preserve">輸入 &gt;6K、輸出約 400（輸出占比約 6%）；程式類輸入為一般類 3–4 倍；推理模型 token 占比 &gt;50%（全部為平均值）</t>
  </si>
  <si>
    <t xml:space="preserve">部分採納：基準不改；GM248 區間下限 512→400（X12）</t>
  </si>
  <si>
    <t xml:space="preserve">讀取者：CC｜讀取日 2026-10-07｜4.3 節 Figure 14／15、4.4 節 Figure 17／18、4.1 節 Figure 10、2.3 節逐字核對，與工作單第 1.1 節相符｜資料期間 2024-11-03 至 2025-11-30（2.5 節）；全部為平均值｜原文另稱平均序列長 2025 年末 over 5,400（4.4 節、Figure 17），與輸入 6K＋輸出 400 不一致，原文未說明｜OpenRouter 個別模型頁（例：openrouter.ai/openai/gpt-6-astra/activity）的輸入／輸出／推理分項為動態載入，chat 端 2026-10-07 以 WebFetch 讀不到——屬讀取失敗，不代表資料不存在</t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</si>
  <si>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SRC_DEM_017</t>
    </r>
  </si>
  <si>
    <r>
      <rPr>
        <sz val="10"/>
        <color rgb="FF000000"/>
        <rFont val="Arial"/>
        <family val="0"/>
        <charset val="1"/>
      </rPr>
      <t xml:space="preserve">Gov_Map GM248 </t>
    </r>
    <r>
      <rPr>
        <sz val="10"/>
        <color rgb="FF000000"/>
        <rFont val="Noto Sans CJK SC"/>
        <family val="2"/>
      </rPr>
      <t xml:space="preserve">區間（基準輸出影響 </t>
    </r>
    <r>
      <rPr>
        <sz val="10"/>
        <color rgb="FF000000"/>
        <rFont val="Arial"/>
        <family val="0"/>
        <charset val="1"/>
      </rPr>
      <t xml:space="preserve">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</si>
  <si>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（硬體推估，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數為下限；信度 </t>
    </r>
    <r>
      <rPr>
        <sz val="10"/>
        <color rgb="FF0000FF"/>
        <rFont val="Arial"/>
        <family val="0"/>
        <charset val="1"/>
      </rPr>
      <t xml:space="preserve">Likely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</si>
  <si>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</si>
  <si>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J8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</si>
  <si>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L1_PretrainFLOP_Astra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6.84e25</t>
    </r>
    <r>
      <rPr>
        <sz val="10"/>
        <color rgb="FF0000FF"/>
        <rFont val="Noto Sans CJK SC"/>
        <family val="2"/>
      </rPr>
      <t xml:space="preserve">（外部對照 </t>
    </r>
    <r>
      <rPr>
        <sz val="10"/>
        <color rgb="FF0000FF"/>
        <rFont val="Arial"/>
        <family val="0"/>
        <charset val="1"/>
      </rPr>
      <t xml:space="preserve">SRC_MOD_033 Grok-3 4.6e26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</si>
  <si>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1.0001e27 FLOP</t>
    </r>
    <r>
      <rPr>
        <sz val="10"/>
        <color rgb="FF0000FF"/>
        <rFont val="Noto Sans CJK SC"/>
        <family val="2"/>
      </rPr>
      <t xml:space="preserve">（模型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外部約 </t>
    </r>
    <r>
      <rPr>
        <sz val="10"/>
        <color rgb="FF0000FF"/>
        <rFont val="Arial"/>
        <family val="0"/>
        <charset val="1"/>
      </rPr>
      <t xml:space="preserve">0.068</t>
    </r>
    <r>
      <rPr>
        <sz val="10"/>
        <color rgb="FF0000FF"/>
        <rFont val="Noto Sans CJK SC"/>
        <family val="2"/>
      </rPr>
      <t xml:space="preserve">）</t>
    </r>
  </si>
  <si>
    <t xml:space="preserve">採用為 L1 外部對照（X12）；J8 基準不改</t>
  </si>
  <si>
    <t xml:space="preserve">讀取者：CC｜讀取日 2026-10-07｜CSV 欄位 Training compute (FLOP)＝1.0001e+27、Hardware quantity＝100000、Training hardware＝NVIDIA GB200、Confidence＝Likely，與工作單第 1.2 節相符｜Confidence＝Likely。Epoch 定義（https://epoch.ai/data/ai-models-documentation/records，Confidence 欄）：「Similar to confident in terms of methodology, but the inputs to the methodology are not as reliable.」該欄適用於 Training compute、Parameters、Training dataset size；Epoch 未給各等級的數值倍數區間｜CSV Training compute notes 原文：「per OpenAI and affiliates (e.g. Nvidia), 6 Astra was trained on at least 100,000 GB200s in Abilene, Texas (so 100,000 in "Hardware quantity" is a lower bound/underestimate). This suggests around 1e27 FLOP (corresponding to ~100k GB200s over 90 days at 25% FP8 MFU). See more detailed estimate in this notebook, yielding a CI of ~[5e26, 2e27] FLOP.」｜notebook 區間未登錄為低／高（待 Project 判斷）</t>
  </si>
  <si>
    <r>
      <rPr>
        <sz val="10"/>
        <color rgb="FF000000"/>
        <rFont val="Arial"/>
        <family val="0"/>
        <charset val="1"/>
      </rPr>
      <t xml:space="preserve">L1_PretrainFLOP_Astra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</si>
  <si>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E249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</si>
  <si>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同表：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3.5e26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空白，原始出處未明）；與 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另一頁）不同</t>
    </r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</si>
  <si>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</si>
  <si>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SRC_MOD_033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</si>
  <si>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</si>
  <si>
    <r>
      <rPr>
        <sz val="10"/>
        <color rgb="FF0000FF"/>
        <rFont val="Arial"/>
        <family val="0"/>
        <charset val="1"/>
      </rPr>
      <t xml:space="preserve">Grok 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Training compute 3.5e+26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Parameters 3e12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Parameters notes </t>
    </r>
    <r>
      <rPr>
        <sz val="10"/>
        <color rgb="FF0000FF"/>
        <rFont val="Noto Sans CJK SC"/>
        <family val="2"/>
      </rPr>
      <t xml:space="preserve">空白）</t>
    </r>
  </si>
  <si>
    <t xml:space="preserve">已讀，未採用：參數無出處，只作 GM203 區間（2–10T）內的參考；033 不改，差異記錄待查</t>
  </si>
  <si>
    <t xml:space="preserve">讀取者：CC（讀 CSV）｜讀取日 2026-10-07｜CSV Grok 3 列：Training compute notes「Estimate based on a cluster of 80,000 H100s per the xai website and an estimated training time of approximately three months.」；Hardware quantity 80000；Confidence Likely｜與工作單第 1.3 節相符 ｜v5.27（E252）：2026-10-08 CC 再讀兩處 Epoch——https://epoch.ai/data-insights/models-over-1e25-flop 仍為 4.6e+26（「Grok-3 | 4.6e+26 | High-precision」；表列「…Grok 3 Beta — The Age of Reasoning Agents https://x.ai/blog/grok-3 4.6e+26 … Confident …」；頁面日期「Jan. 30, 2025 (updated Jun. 6, 2025)」；3.5e+26 未出現在該頁）；https://epoch.ai/data/frontier_ai_models.csv Grok 3 列為 3.5e+26。兩處不一致，依 X13 (b) 不改 SRC_MOD_033</t>
  </si>
  <si>
    <t xml:space="preserve">無（純紀錄）</t>
  </si>
  <si>
    <t xml:space="preserve">E250</t>
  </si>
  <si>
    <t xml:space="preserve">「GPT-6 Astra 約 10T 參數 MoE」（teamorouter.com 等；原文自稱未證實傳聞，無出處）</t>
  </si>
  <si>
    <r>
      <rPr>
        <sz val="10"/>
        <color rgb="FF0000FF"/>
        <rFont val="Arial"/>
        <family val="0"/>
        <charset val="1"/>
      </rPr>
      <t xml:space="preserve">teamorouter.com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2026-10-07 </t>
    </r>
    <r>
      <rPr>
        <sz val="10"/>
        <color rgb="FF0000FF"/>
        <rFont val="Noto Sans CJK SC"/>
        <family val="2"/>
      </rPr>
      <t xml:space="preserve">搜尋；摘要級）</t>
    </r>
  </si>
  <si>
    <r>
      <rPr>
        <sz val="10"/>
        <color rgb="FF0000FF"/>
        <rFont val="Arial"/>
        <family val="0"/>
        <charset val="1"/>
      </rPr>
      <t xml:space="preserve">Arch E6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</si>
  <si>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GM203 </t>
    </r>
    <r>
      <rPr>
        <sz val="10"/>
        <color rgb="FF0000FF"/>
        <rFont val="Noto Sans CJK SC"/>
        <family val="2"/>
      </rPr>
      <t xml:space="preserve">區間 </t>
    </r>
    <r>
      <rPr>
        <sz val="10"/>
        <color rgb="FF0000FF"/>
        <rFont val="Arial"/>
        <family val="0"/>
        <charset val="1"/>
      </rPr>
      <t xml:space="preserve">2,000–10,000 B</t>
    </r>
  </si>
  <si>
    <t xml:space="preserve">約 10T（傳聞）</t>
  </si>
  <si>
    <t xml:space="preserve">不採納（R6：找不到原始出處）；10T 已是 GM203 區間上限</t>
  </si>
  <si>
    <t xml:space="preserve">讀取者：chat 端（2026-10-07 搜尋）；摘要級，不得標為已讀原文｜原文自稱未證實傳聞、無出處</t>
  </si>
  <si>
    <t xml:space="preserve">未明（傳聞，無出處）</t>
  </si>
  <si>
    <t xml:space="preserve">E251</t>
  </si>
  <si>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訓練算力 </t>
    </r>
    <r>
      <rPr>
        <sz val="10"/>
        <color rgb="FF0000FF"/>
        <rFont val="Arial"/>
        <family val="0"/>
        <charset val="1"/>
      </rPr>
      <t xml:space="preserve">CI ~[5e26, 2e27]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Training compute notes </t>
    </r>
    <r>
      <rPr>
        <sz val="10"/>
        <color rgb="FF0000FF"/>
        <rFont val="Noto Sans CJK SC"/>
        <family val="2"/>
      </rPr>
      <t xml:space="preserve">原句）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</si>
  <si>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SRC_MOD_055</t>
    </r>
  </si>
  <si>
    <r>
      <rPr>
        <sz val="10"/>
        <color rgb="FF0000FF"/>
        <rFont val="Arial"/>
        <family val="0"/>
        <charset val="1"/>
      </rPr>
      <t xml:space="preserve">SRC_MOD_055 </t>
    </r>
    <r>
      <rPr>
        <sz val="10"/>
        <color rgb="FF0000FF"/>
        <rFont val="Noto Sans CJK SC"/>
        <family val="2"/>
      </rPr>
      <t xml:space="preserve">低／高空白；</t>
    </r>
    <r>
      <rPr>
        <sz val="10"/>
        <color rgb="FF0000FF"/>
        <rFont val="Arial"/>
        <family val="0"/>
        <charset val="1"/>
      </rPr>
      <t xml:space="preserve">L1 M36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N36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1.0001e27</t>
    </r>
    <r>
      <rPr>
        <sz val="10"/>
        <color rgb="FF0000FF"/>
        <rFont val="Noto Sans CJK SC"/>
        <family val="2"/>
      </rPr>
      <t xml:space="preserve">（判讀「差距 </t>
    </r>
    <r>
      <rPr>
        <sz val="10"/>
        <color rgb="FF0000FF"/>
        <rFont val="Arial"/>
        <family val="0"/>
        <charset val="1"/>
      </rPr>
      <t xml:space="preserve">&gt;20%</t>
    </r>
    <r>
      <rPr>
        <sz val="10"/>
        <color rgb="FF0000FF"/>
        <rFont val="Noto Sans CJK SC"/>
        <family val="2"/>
      </rPr>
      <t xml:space="preserve">」）</t>
    </r>
  </si>
  <si>
    <t xml:space="preserve">低 5e26、高 2e27（基準 1.0001e27 不變）</t>
  </si>
  <si>
    <t xml:space="preserve">採納為區間（X13 a）</t>
  </si>
  <si>
    <t xml:space="preserve">讀取者：CC｜讀取日 2026-10-08｜WebFetch 讀兩次：notes 末句逐字為「See more detailed estimate in this notebook, yielding a CI of ~[5e26, 2e27] FLOP.」，與工作單第 1.1 節相符（第一次逐字讀取未回出此句，指定查詢後第二次讀出；同 chat 端 2026-10-07 第二次讀取漏句的情形）｜另記：chat 端 2026-10-07 第二次逐字讀取曾漏掉此句，於 v5.25 審查時更正</t>
  </si>
  <si>
    <t xml:space="preserve">E252</t>
  </si>
  <si>
    <r>
      <rPr>
        <sz val="10"/>
        <color rgb="FF0000FF"/>
        <rFont val="Arial"/>
        <family val="0"/>
        <charset val="1"/>
      </rPr>
      <t xml:space="preserve">Grok-3 </t>
    </r>
    <r>
      <rPr>
        <sz val="10"/>
        <color rgb="FF0000FF"/>
        <rFont val="Noto Sans CJK SC"/>
        <family val="2"/>
      </rPr>
      <t xml:space="preserve">算力兩處 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數字查核：</t>
    </r>
    <r>
      <rPr>
        <sz val="10"/>
        <color rgb="FF0000FF"/>
        <rFont val="Arial"/>
        <family val="0"/>
        <charset val="1"/>
      </rPr>
      <t xml:space="preserve">models-over-1e25-flop </t>
    </r>
    <r>
      <rPr>
        <sz val="10"/>
        <color rgb="FF0000FF"/>
        <rFont val="Noto Sans CJK SC"/>
        <family val="2"/>
      </rPr>
      <t xml:space="preserve">頁 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frontier_ai_models.csv 3.5e26</t>
    </r>
  </si>
  <si>
    <r>
      <rPr>
        <sz val="10"/>
        <color rgb="FF0000FF"/>
        <rFont val="Arial"/>
        <family val="0"/>
        <charset val="1"/>
      </rPr>
      <t xml:space="preserve">Epoch AI https://epoch.ai/data-insights/models-over-1e25-flop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Model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Grok 3 </t>
    </r>
    <r>
      <rPr>
        <sz val="10"/>
        <color rgb="FF0000FF"/>
        <rFont val="Noto Sans CJK SC"/>
        <family val="2"/>
      </rPr>
      <t xml:space="preserve">列）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</si>
  <si>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Train_In C46:C48 </t>
    </r>
    <r>
      <rPr>
        <sz val="10"/>
        <color rgb="FF0000FF"/>
        <rFont val="Noto Sans CJK SC"/>
        <family val="2"/>
      </rPr>
      <t xml:space="preserve">錨點來源）</t>
    </r>
  </si>
  <si>
    <r>
      <rPr>
        <sz val="10"/>
        <color rgb="FF0000FF"/>
        <rFont val="Arial"/>
        <family val="0"/>
        <charset val="1"/>
      </rPr>
      <t xml:space="preserve">SRC_MOD_033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4.6e26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Active</t>
    </r>
    <r>
      <rPr>
        <sz val="10"/>
        <color rgb="FF0000FF"/>
        <rFont val="Noto Sans CJK SC"/>
        <family val="2"/>
      </rPr>
      <t xml:space="preserve">）</t>
    </r>
  </si>
  <si>
    <t xml:space="preserve">頁面 4.6e+26（未改）；CSV 3.5e+26</t>
  </si>
  <si>
    <t xml:space="preserve">該頁仍為 4.6e26：不新增、不取代（X13 b 後一路）；E249 備註附加兩處數字與讀取日；Train_In C46:C48 不改</t>
  </si>
  <si>
    <t xml:space="preserve">讀取者：CC｜讀取日 2026-10-08｜頁面讀兩次，皆只見 4.6e+26：「Grok-3 | 4.6e+26 | High-precision」；表列「…Grok 3 Beta — The Age of Reasoning Agents https://x.ai/blog/grok-3 4.6e+26 … Confident …」；頁面日期「Jan. 30, 2025 (updated Jun. 6, 2025)」；3.5e+26 未出現在該頁｜CSV Grok 3 列：Training compute (FLOP)＝3.5e+26；Training compute notes「Estimate based on a cluster of 80,000 H100s per the xai website and an estimated training time of approximately three months.」</t>
  </si>
  <si>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架構：總參數 </t>
    </r>
    <r>
      <rPr>
        <sz val="10"/>
        <color rgb="FF0000FF"/>
        <rFont val="Arial"/>
        <family val="0"/>
        <charset val="1"/>
      </rPr>
      <t xml:space="preserve">2.8T</t>
    </r>
    <r>
      <rPr>
        <sz val="10"/>
        <color rgb="FF0000FF"/>
        <rFont val="Noto Sans CJK SC"/>
        <family val="2"/>
      </rPr>
      <t xml:space="preserve">、啟用 </t>
    </r>
    <r>
      <rPr>
        <sz val="10"/>
        <color rgb="FF0000FF"/>
        <rFont val="Arial"/>
        <family val="0"/>
        <charset val="1"/>
      </rPr>
      <t xml:space="preserve">104B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hidden 7168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896 routed experts</t>
    </r>
    <r>
      <rPr>
        <sz val="10"/>
        <color rgb="FF0000FF"/>
        <rFont val="Noto Sans CJK SC"/>
        <family val="2"/>
      </rPr>
      <t xml:space="preserve">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（另 </t>
    </r>
    <r>
      <rPr>
        <sz val="10"/>
        <color rgb="FF0000FF"/>
        <rFont val="Arial"/>
        <family val="0"/>
        <charset val="1"/>
      </rPr>
      <t xml:space="preserve">shared 2</t>
    </r>
    <r>
      <rPr>
        <sz val="10"/>
        <color rgb="FF0000FF"/>
        <rFont val="Noto Sans CJK SC"/>
        <family val="2"/>
      </rPr>
      <t xml:space="preserve">；注意力 </t>
    </r>
    <r>
      <rPr>
        <sz val="10"/>
        <color rgb="FF0000FF"/>
        <rFont val="Arial"/>
        <family val="0"/>
        <charset val="1"/>
      </rPr>
      <t xml:space="preserve">69 KDA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24 Gated MLA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</si>
  <si>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Hugging Face moonshotai/Kimi-K3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config.json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https://huggingface.co/moonshotai/Kimi-K3/blob/main/config.json</t>
    </r>
    <r>
      <rPr>
        <sz val="10"/>
        <color rgb="FF0000FF"/>
        <rFont val="Noto Sans CJK SC"/>
        <family val="2"/>
      </rPr>
      <t xml:space="preserve">）與模型卡 </t>
    </r>
    <r>
      <rPr>
        <sz val="10"/>
        <color rgb="FF0000FF"/>
        <rFont val="Arial"/>
        <family val="0"/>
        <charset val="1"/>
      </rPr>
      <t xml:space="preserve">Model Summary </t>
    </r>
    <r>
      <rPr>
        <sz val="10"/>
        <color rgb="FF0000FF"/>
        <rFont val="Noto Sans CJK SC"/>
        <family val="2"/>
      </rPr>
      <t xml:space="preserve">表（</t>
    </r>
    <r>
      <rPr>
        <sz val="10"/>
        <color rgb="FF0000FF"/>
        <rFont val="Arial"/>
        <family val="0"/>
        <charset val="1"/>
      </rPr>
      <t xml:space="preserve">https://huggingface.co/moonshotai/Kimi-K3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2026-10-08 CC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WebFetch </t>
    </r>
    <r>
      <rPr>
        <sz val="10"/>
        <color rgb="FF0000FF"/>
        <rFont val="Noto Sans CJK SC"/>
        <family val="2"/>
      </rPr>
      <t xml:space="preserve">讀取，關鍵行讀兩次逐字核對</t>
    </r>
  </si>
  <si>
    <r>
      <rPr>
        <sz val="10"/>
        <color rgb="FF0000FF"/>
        <rFont val="Arial"/>
        <family val="0"/>
        <charset val="1"/>
      </rPr>
      <t xml:space="preserve">Arch E6–E8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GM203–GM205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GM209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GM210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</si>
  <si>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</t>
    </r>
    <r>
      <rPr>
        <sz val="10"/>
        <color rgb="FF0000FF"/>
        <rFont val="Noto Sans CJK SC"/>
        <family val="2"/>
      </rPr>
      <t xml:space="preserve">：總參數 </t>
    </r>
    <r>
      <rPr>
        <sz val="10"/>
        <color rgb="FF0000FF"/>
        <rFont val="Arial"/>
        <family val="0"/>
        <charset val="1"/>
      </rPr>
      <t xml:space="preserve">4,000 B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2,000–10,000</t>
    </r>
    <r>
      <rPr>
        <sz val="10"/>
        <color rgb="FF0000FF"/>
        <rFont val="Noto Sans CJK SC"/>
        <family val="2"/>
      </rPr>
      <t xml:space="preserve">）、啟用 </t>
    </r>
    <r>
      <rPr>
        <sz val="10"/>
        <color rgb="FF0000FF"/>
        <rFont val="Arial"/>
        <family val="0"/>
        <charset val="1"/>
      </rPr>
      <t xml:space="preserve">180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60–250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100 </t>
    </r>
    <r>
      <rPr>
        <sz val="10"/>
        <color rgb="FF0000FF"/>
        <rFont val="Noto Sans CJK SC"/>
        <family val="2"/>
      </rPr>
      <t xml:space="preserve">層（</t>
    </r>
    <r>
      <rPr>
        <sz val="10"/>
        <color rgb="FF0000FF"/>
        <rFont val="Arial"/>
        <family val="0"/>
        <charset val="1"/>
      </rPr>
      <t xml:space="preserve">80–160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routed 512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256–1,024</t>
    </r>
    <r>
      <rPr>
        <sz val="10"/>
        <color rgb="FF0000FF"/>
        <rFont val="Noto Sans CJK SC"/>
        <family val="2"/>
      </rPr>
      <t xml:space="preserve">）、每 </t>
    </r>
    <r>
      <rPr>
        <sz val="10"/>
        <color rgb="FF0000FF"/>
        <rFont val="Arial"/>
        <family val="0"/>
        <charset val="1"/>
      </rPr>
      <t xml:space="preserve">token 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8–32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</si>
  <si>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2,800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104 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93 </t>
    </r>
    <r>
      <rPr>
        <sz val="10"/>
        <color rgb="FF0000FF"/>
        <rFont val="Noto Sans CJK SC"/>
        <family val="2"/>
      </rPr>
      <t xml:space="preserve">層、</t>
    </r>
    <r>
      <rPr>
        <sz val="10"/>
        <color rgb="FF0000FF"/>
        <rFont val="Arial"/>
        <family val="0"/>
        <charset val="1"/>
      </rPr>
      <t xml:space="preserve">896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16</t>
    </r>
  </si>
  <si>
    <t xml:space="preserve">已讀，作為可比；Astra 基準不改（X13 e）</t>
  </si>
  <si>
    <t xml:space="preserve">讀取者：CC｜讀取日 2026-10-08｜config.json（text_config）逐字讀兩次："num_hidden_layers": 93、"hidden_size": 7168、"num_experts": 896、"num_experts_per_token": 16、"num_shared_experts": 2；config.json 無參數量與訓練 token 欄位，總參數與啟用參數取自同 repo 模型卡（「Total Parameters | 2.8T」「Activated Parameters | 104B」）｜工作單引用的二手轉述（2.78T、104.2B、93 層、896／16、KDA 與 MLA 3:1）與一手相符（精度不同）｜總參數 2.8T 落在 GM203 區間 2–10T 下段；啟用 104B 在 GM204 區間 60–250B 內；93 層在 GM205 區間 80–160 內；896 在 GM209 區間 256–1,024 內；16 等於 GM210 基準｜預訓練 token：config 與模型卡皆未載明；技術報告 PDF（github.com/MoonshotAI/Kimi-K3/blob/main/k3_tech_report.pdf）讀取失敗（容器下載 403、WebFetch 權限請求逾時），未能查</t>
  </si>
  <si>
    <r>
      <rPr>
        <sz val="10"/>
        <color rgb="FF000000"/>
        <rFont val="Arial"/>
        <family val="0"/>
        <charset val="1"/>
      </rPr>
      <t xml:space="preserve">SRC_MOD_057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SRC_MOD_058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SRC_MOD_059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SRC_MOD_060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SRC_MOD_062</t>
    </r>
  </si>
  <si>
    <t xml:space="preserve">無（純證據）</t>
  </si>
  <si>
    <t xml:space="preserve">E254</t>
  </si>
  <si>
    <t xml:space="preserve">硬體錨點：Epoch GPT-6 Astra ≥10 萬顆 GB200 × 約 90 天＝≥2.16 億 GB200 GPU 小時；模型 IF_TrainGPUh_Astra GB200 基準欄＝3.868e7（比值 ≥5.6）</t>
  </si>
  <si>
    <r>
      <rPr>
        <sz val="10"/>
        <color rgb="FF0000FF"/>
        <rFont val="Arial"/>
        <family val="0"/>
        <charset val="1"/>
      </rPr>
      <t xml:space="preserve">Epoch AI frontier_ai_models.csv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https://epoch.ai/data/frontier_ai_models.csv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列 </t>
    </r>
    <r>
      <rPr>
        <sz val="10"/>
        <color rgb="FF0000FF"/>
        <rFont val="Arial"/>
        <family val="0"/>
        <charset val="1"/>
      </rPr>
      <t xml:space="preserve">notes</t>
    </r>
    <r>
      <rPr>
        <sz val="10"/>
        <color rgb="FF0000FF"/>
        <rFont val="Noto Sans CJK SC"/>
        <family val="2"/>
      </rPr>
      <t xml:space="preserve">）；本活頁簿 </t>
    </r>
    <r>
      <rPr>
        <sz val="10"/>
        <color rgb="FF0000FF"/>
        <rFont val="Arial"/>
        <family val="0"/>
        <charset val="1"/>
      </rPr>
      <t xml:space="preserve">v5.26 </t>
    </r>
    <r>
      <rPr>
        <sz val="10"/>
        <color rgb="FF0000FF"/>
        <rFont val="Noto Sans CJK SC"/>
        <family val="2"/>
      </rPr>
      <t xml:space="preserve">快取值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</si>
  <si>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端已讀（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</si>
  <si>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C8 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GM580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C6 N_major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GM576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L1_Ans3</t>
    </r>
  </si>
  <si>
    <r>
      <rPr>
        <sz val="10"/>
        <color rgb="FF0000FF"/>
        <rFont val="Arial"/>
        <family val="0"/>
        <charset val="1"/>
      </rPr>
      <t xml:space="preserve">k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N_major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L1_Ans3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1.157 $B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Q1 0.636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</t>
    </r>
    <r>
      <rPr>
        <sz val="10"/>
        <color rgb="FF0000FF"/>
        <rFont val="Noto Sans CJK SC"/>
        <family val="2"/>
      </rPr>
      <t xml:space="preserve">、隱含 </t>
    </r>
    <r>
      <rPr>
        <sz val="10"/>
        <color rgb="FF0000FF"/>
        <rFont val="Arial"/>
        <family val="0"/>
        <charset val="1"/>
      </rPr>
      <t xml:space="preserve">N × k 1.52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57 </t>
    </r>
    <r>
      <rPr>
        <sz val="10"/>
        <color rgb="FF0000FF"/>
        <rFont val="Noto Sans CJK SC"/>
        <family val="2"/>
      </rPr>
      <t xml:space="preserve">列）</t>
    </r>
  </si>
  <si>
    <t xml:space="preserve">支出路線隱含 N × k＝21.8（研發 GW 1.061 ÷ 家族計畫 GW 年 0.0486）；支出路線服務 GW 0.743（Alloc 第 61 列）；OpenAI 2025 訓練支出 12 $B（SRC_DEM_006）</t>
  </si>
  <si>
    <t xml:space="preserve">已讀，基準不改（X13 c）；兩端規模同幅度偏小，比值口徑可用，絕對規模歸 OpenAI 模型校準</t>
  </si>
  <si>
    <t xml:space="preserve">讀取者：chat 端（2026-10-08）｜CC 2026-10-08 以 v5.26 活頁簿快取值核對：IF_TrainGPUh_Astra GB200 基準欄（Interface F72）＝38,678,967；2.16e8 ÷ 3.868e7＝5.58；Alloc C37:E37 合計（F37，AL_FamGWyr）＝0.04864；C55 支出比＝0.5882；C56 隱含研發 GW（token 路線）＝0.0741；C57 隱含 N × k＝1.524；C61 支出路線服務 GW＝0.7427；支出路線研發 GW＝0.5882 ÷ 0.4118 × 0.7427＝1.061；1.061 ÷ 0.04864＝21.8；L1_Ans3＝1.1573；IF_AllocQ1＝0.6361；IF_AllocServeGW＝0.0519——與工作單第 1.4 節相符</t>
  </si>
  <si>
    <r>
      <rPr>
        <sz val="10"/>
        <color rgb="FF000000"/>
        <rFont val="Arial"/>
        <family val="0"/>
        <charset val="1"/>
      </rPr>
      <t xml:space="preserve">SRC_MOD_055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SRC_DEM_006</t>
    </r>
  </si>
  <si>
    <r>
      <rPr>
        <sz val="10"/>
        <color rgb="FF000000"/>
        <rFont val="Arial"/>
        <family val="0"/>
        <charset val="1"/>
      </rPr>
      <t xml:space="preserve">L1_Ans3</t>
    </r>
    <r>
      <rPr>
        <sz val="10"/>
        <color rgb="FF000000"/>
        <rFont val="Noto Sans CJK SC"/>
        <family val="2"/>
      </rPr>
      <t xml:space="preserve">（外部欄與判讀；</t>
    </r>
    <r>
      <rPr>
        <sz val="10"/>
        <color rgb="FF000000"/>
        <rFont val="Arial"/>
        <family val="0"/>
        <charset val="1"/>
      </rPr>
      <t xml:space="preserve">D:F </t>
    </r>
    <r>
      <rPr>
        <sz val="10"/>
        <color rgb="FF000000"/>
        <rFont val="Noto Sans CJK SC"/>
        <family val="2"/>
      </rPr>
      <t xml:space="preserve">不變）</t>
    </r>
  </si>
  <si>
    <t xml:space="preserve">E255</t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</si>
  <si>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年公開技術報告未見新的預訓練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揭露（</t>
    </r>
    <r>
      <rPr>
        <sz val="10"/>
        <color rgb="FF0000FF"/>
        <rFont val="Arial"/>
        <family val="0"/>
        <charset val="1"/>
      </rPr>
      <t xml:space="preserve">Kimi K3 </t>
    </r>
    <r>
      <rPr>
        <sz val="10"/>
        <color rgb="FF0000FF"/>
        <rFont val="Noto Sans CJK SC"/>
        <family val="2"/>
      </rPr>
      <t xml:space="preserve">未載明；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十款開放權重模型只有 </t>
    </r>
    <r>
      <rPr>
        <sz val="10"/>
        <color rgb="FF0000FF"/>
        <rFont val="Arial"/>
        <family val="0"/>
        <charset val="1"/>
      </rPr>
      <t xml:space="preserve">Kimi K2.5 </t>
    </r>
    <r>
      <rPr>
        <sz val="10"/>
        <color rgb="FF0000FF"/>
        <rFont val="Noto Sans CJK SC"/>
        <family val="2"/>
      </rPr>
      <t xml:space="preserve">載明約 </t>
    </r>
    <r>
      <rPr>
        <sz val="10"/>
        <color rgb="FF0000FF"/>
        <rFont val="Arial"/>
        <family val="0"/>
        <charset val="1"/>
      </rPr>
      <t xml:space="preserve">15T </t>
    </r>
    <r>
      <rPr>
        <sz val="10"/>
        <color rgb="FF0000FF"/>
        <rFont val="Noto Sans CJK SC"/>
        <family val="2"/>
      </rPr>
      <t xml:space="preserve">視覺與文字混合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</si>
  <si>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2026-10-08 </t>
    </r>
    <r>
      <rPr>
        <sz val="10"/>
        <color rgb="FF0000FF"/>
        <rFont val="Noto Sans CJK SC"/>
        <family val="2"/>
      </rPr>
      <t xml:space="preserve">搜尋（</t>
    </r>
    <r>
      <rPr>
        <sz val="10"/>
        <color rgb="FF0000FF"/>
        <rFont val="Arial"/>
        <family val="0"/>
        <charset val="1"/>
      </rPr>
      <t xml:space="preserve">Raschka 2026-01–02 </t>
    </r>
    <r>
      <rPr>
        <sz val="10"/>
        <color rgb="FF0000FF"/>
        <rFont val="Noto Sans CJK SC"/>
        <family val="2"/>
      </rPr>
      <t xml:space="preserve">開放權重模型整理等；摘要級）</t>
    </r>
  </si>
  <si>
    <r>
      <rPr>
        <sz val="10"/>
        <color rgb="FF0000FF"/>
        <rFont val="Arial"/>
        <family val="0"/>
        <charset val="1"/>
      </rPr>
      <t xml:space="preserve">Train_In E25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GM531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</si>
  <si>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Astra </t>
    </r>
    <r>
      <rPr>
        <sz val="10"/>
        <color rgb="FF0000FF"/>
        <rFont val="Noto Sans CJK SC"/>
        <family val="2"/>
      </rPr>
      <t xml:space="preserve">預訓練 </t>
    </r>
    <r>
      <rPr>
        <sz val="10"/>
        <color rgb="FF0000FF"/>
        <rFont val="Arial"/>
        <family val="0"/>
        <charset val="1"/>
      </rPr>
      <t xml:space="preserve">token 60T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30–100T</t>
    </r>
    <r>
      <rPr>
        <sz val="10"/>
        <color rgb="FF0000FF"/>
        <rFont val="Noto Sans CJK SC"/>
        <family val="2"/>
      </rPr>
      <t xml:space="preserve">）</t>
    </r>
  </si>
  <si>
    <t xml:space="preserve">未揭露（Kimi K2.5 約 15T 混合 token）</t>
  </si>
  <si>
    <t xml:space="preserve">已搜尋；區間 30–100T 與基準 60T 不改</t>
  </si>
  <si>
    <t xml:space="preserve">讀取者：chat 端（2026-10-08）；摘要級，不得標為已讀原文｜CC 2026-10-08 補：Kimi K3 config.json 與模型卡皆未載明預訓練 token（見 E253）</t>
  </si>
  <si>
    <t xml:space="preserve">未明（摘要級）</t>
  </si>
  <si>
    <t xml:space="preserve">E256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</si>
  <si>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9.7T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2025-05 480T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2025-06 980T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2025-10 1.3Q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2026-05 3.2Q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Pichai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I/O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Cloud </t>
    </r>
    <r>
      <rPr>
        <sz val="10"/>
        <color rgb="FF0000FF"/>
        <rFont val="Noto Sans CJK SC"/>
        <family val="2"/>
      </rPr>
      <t xml:space="preserve">活動）</t>
    </r>
  </si>
  <si>
    <r>
      <rPr>
        <sz val="10"/>
        <color rgb="FF0000FF"/>
        <rFont val="Arial"/>
        <family val="0"/>
        <charset val="1"/>
      </rPr>
      <t xml:space="preserve">https://www.shacknews.com/article/149205/google-3-2-quadrillion-monthly-ai-tokens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https://the-decoder.com/google-boasts-1-3-quadrillion-tokens-each-month-but-the-figure-is-mostly-window-dressing/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</si>
  <si>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級（轉述；原文為 </t>
    </r>
    <r>
      <rPr>
        <sz val="10"/>
        <color rgb="FF0000FF"/>
        <rFont val="Arial"/>
        <family val="0"/>
        <charset val="1"/>
      </rPr>
      <t xml:space="preserve">keynote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</si>
  <si>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對照（前沿實驗室每日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量級）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</si>
  <si>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推估 </t>
    </r>
    <r>
      <rPr>
        <sz val="10"/>
        <color rgb="FF0000FF"/>
        <rFont val="Arial"/>
        <family val="0"/>
        <charset val="1"/>
      </rPr>
      <t xml:space="preserve">10–100T/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</si>
  <si>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Google 2025 </t>
    </r>
    <r>
      <rPr>
        <sz val="10"/>
        <color rgb="FF0000FF"/>
        <rFont val="Noto Sans CJK SC"/>
        <family val="2"/>
      </rPr>
      <t xml:space="preserve">平均約 </t>
    </r>
    <r>
      <rPr>
        <sz val="10"/>
        <color rgb="FF0000FF"/>
        <rFont val="Arial"/>
        <family val="0"/>
        <charset val="1"/>
      </rPr>
      <t xml:space="preserve">1Q/</t>
    </r>
    <r>
      <rPr>
        <sz val="10"/>
        <color rgb="FF0000FF"/>
        <rFont val="Noto Sans CJK SC"/>
        <family val="2"/>
      </rPr>
      <t xml:space="preserve">月＝</t>
    </r>
    <r>
      <rPr>
        <sz val="10"/>
        <color rgb="FF0000FF"/>
        <rFont val="Arial"/>
        <family val="0"/>
        <charset val="1"/>
      </rPr>
      <t xml:space="preserve">33T/</t>
    </r>
    <r>
      <rPr>
        <sz val="10"/>
        <color rgb="FF0000FF"/>
        <rFont val="Noto Sans CJK SC"/>
        <family val="2"/>
      </rPr>
      <t xml:space="preserve">日；</t>
    </r>
    <r>
      <rPr>
        <sz val="10"/>
        <color rgb="FF0000FF"/>
        <rFont val="Arial"/>
        <family val="0"/>
        <charset val="1"/>
      </rPr>
      <t xml:space="preserve">2026-05 </t>
    </r>
    <r>
      <rPr>
        <sz val="10"/>
        <color rgb="FF0000FF"/>
        <rFont val="Noto Sans CJK SC"/>
        <family val="2"/>
      </rPr>
      <t xml:space="preserve">達 </t>
    </r>
    <r>
      <rPr>
        <sz val="10"/>
        <color rgb="FF0000FF"/>
        <rFont val="Arial"/>
        <family val="0"/>
        <charset val="1"/>
      </rPr>
      <t xml:space="preserve">107T/</t>
    </r>
    <r>
      <rPr>
        <sz val="10"/>
        <color rgb="FF0000FF"/>
        <rFont val="Noto Sans CJK SC"/>
        <family val="2"/>
      </rPr>
      <t xml:space="preserve">日</t>
    </r>
  </si>
  <si>
    <t xml:space="preserve">並列（Alt）</t>
  </si>
  <si>
    <t xml:space="preserve">非 OpenAI 數字，不取代；作為前沿實驗室量級的中立對照：OpenAI 2025 需求 D 11.5T/日約為 Google 同期的 1/3，落在合理量級，不支持「D 低估 14 倍」｜讀取者：chat 端（docs/evidence/20261008/candidates.csv）；CC 依 CSV 登錄</t>
  </si>
  <si>
    <t xml:space="preserve">無（對照）</t>
  </si>
  <si>
    <t xml:space="preserve">E257</t>
  </si>
  <si>
    <r>
      <rPr>
        <sz val="10"/>
        <color rgb="FF0000FF"/>
        <rFont val="Arial"/>
        <family val="0"/>
        <charset val="1"/>
      </rPr>
      <t xml:space="preserve">Microsoft FY25 Q3</t>
    </r>
    <r>
      <rPr>
        <sz val="10"/>
        <color rgb="FF0000FF"/>
        <rFont val="Noto Sans CJK SC"/>
        <family val="2"/>
      </rPr>
      <t xml:space="preserve">：本季處理逾 </t>
    </r>
    <r>
      <rPr>
        <sz val="10"/>
        <color rgb="FF0000FF"/>
        <rFont val="Arial"/>
        <family val="0"/>
        <charset val="1"/>
      </rPr>
      <t xml:space="preserve">100T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YoY 5x</t>
    </r>
    <r>
      <rPr>
        <sz val="10"/>
        <color rgb="FF0000FF"/>
        <rFont val="Noto Sans CJK SC"/>
        <family val="2"/>
      </rPr>
      <t xml:space="preserve">），上月 </t>
    </r>
    <r>
      <rPr>
        <sz val="10"/>
        <color rgb="FF0000FF"/>
        <rFont val="Arial"/>
        <family val="0"/>
        <charset val="1"/>
      </rPr>
      <t xml:space="preserve">50T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FY26 Q3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300 </t>
    </r>
    <r>
      <rPr>
        <sz val="10"/>
        <color rgb="FF0000FF"/>
        <rFont val="Noto Sans CJK SC"/>
        <family val="2"/>
      </rPr>
      <t xml:space="preserve">家客戶年處理逾 </t>
    </r>
    <r>
      <rPr>
        <sz val="10"/>
        <color rgb="FF0000FF"/>
        <rFont val="Arial"/>
        <family val="0"/>
        <charset val="1"/>
      </rPr>
      <t xml:space="preserve">1T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AI ARR $37B</t>
    </r>
  </si>
  <si>
    <r>
      <rPr>
        <sz val="10"/>
        <color rgb="FF0000FF"/>
        <rFont val="Arial"/>
        <family val="0"/>
        <charset val="1"/>
      </rPr>
      <t xml:space="preserve">https://www.microsoft.com/en-us/investor/events/fy-2025/earnings-fy-2025-q3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https://www.microsoft.com/en-us/investor/events/fy-2026/earnings-fy-2026-q3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</si>
  <si>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級（一手已讀）</t>
    </r>
  </si>
  <si>
    <r>
      <rPr>
        <sz val="10"/>
        <color rgb="FF0000FF"/>
        <rFont val="Arial"/>
        <family val="0"/>
        <charset val="1"/>
      </rPr>
      <t xml:space="preserve">SRC_DEM_010 </t>
    </r>
    <r>
      <rPr>
        <sz val="10"/>
        <color rgb="FF0000FF"/>
        <rFont val="Noto Sans CJK SC"/>
        <family val="2"/>
      </rPr>
      <t xml:space="preserve">對照（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處理量）</t>
    </r>
  </si>
  <si>
    <r>
      <rPr>
        <sz val="10"/>
        <color rgb="FF0000FF"/>
        <rFont val="Arial"/>
        <family val="0"/>
        <charset val="1"/>
      </rPr>
      <t xml:space="preserve">6B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8.6T/</t>
    </r>
    <r>
      <rPr>
        <sz val="10"/>
        <color rgb="FF0000FF"/>
        <rFont val="Noto Sans CJK SC"/>
        <family val="2"/>
      </rPr>
      <t xml:space="preserve">日）</t>
    </r>
  </si>
  <si>
    <r>
      <rPr>
        <sz val="10"/>
        <color rgb="FF0000FF"/>
        <rFont val="Arial"/>
        <family val="0"/>
        <charset val="1"/>
      </rPr>
      <t xml:space="preserve">Azure AI 2025-03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1.7T/</t>
    </r>
    <r>
      <rPr>
        <sz val="10"/>
        <color rgb="FF0000FF"/>
        <rFont val="Noto Sans CJK SC"/>
        <family val="2"/>
      </rPr>
      <t xml:space="preserve">日</t>
    </r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</si>
  <si>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經銷的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流量只占 </t>
    </r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的一小部分（約 </t>
    </r>
    <r>
      <rPr>
        <sz val="10"/>
        <color rgb="FF0000FF"/>
        <rFont val="Arial"/>
        <family val="0"/>
        <charset val="1"/>
      </rPr>
      <t xml:space="preserve">1/5</t>
    </r>
    <r>
      <rPr>
        <sz val="10"/>
        <color rgb="FF0000FF"/>
        <rFont val="Noto Sans CJK SC"/>
        <family val="2"/>
      </rPr>
      <t xml:space="preserve">）；不改 </t>
    </r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</si>
  <si>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t xml:space="preserve">E258</t>
  </si>
  <si>
    <t xml:space="preserve">中國：2026-02 主流模型日均 180T token；國家數據局 2025-06 底日均逾 30T；Doubao 逾 50T/日</t>
  </si>
  <si>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  <r>
      <rPr>
        <sz val="10"/>
        <color rgb="FF0000FF"/>
        <rFont val="Noto Sans CJK SC"/>
        <family val="2"/>
      </rPr>
      <t xml:space="preserve">（轉述新浪財經、國新辦）</t>
    </r>
  </si>
  <si>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級／二手</t>
    </r>
  </si>
  <si>
    <r>
      <rPr>
        <sz val="10"/>
        <color rgb="FF0000FF"/>
        <rFont val="Arial"/>
        <family val="0"/>
        <charset val="1"/>
      </rPr>
      <t xml:space="preserve">SRC_DEM_013 </t>
    </r>
    <r>
      <rPr>
        <sz val="10"/>
        <color rgb="FF0000FF"/>
        <rFont val="Noto Sans CJK SC"/>
        <family val="2"/>
      </rPr>
      <t xml:space="preserve">對照</t>
    </r>
  </si>
  <si>
    <t xml:space="preserve">量級對照：單一領先實驗室 2025 底至 2026 初日均 10–50T；OpenAI 11.5T（2025 平均）在範圍內｜讀取者：chat 端（docs/evidence/20261008/candidates.csv）；CC 依 CSV 登錄</t>
  </si>
  <si>
    <t xml:space="preserve">未明（轉述）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</si>
  <si>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推論支出（</t>
    </r>
    <r>
      <rPr>
        <sz val="10"/>
        <color rgb="FF0000FF"/>
        <rFont val="Arial"/>
        <family val="0"/>
        <charset val="1"/>
      </rPr>
      <t xml:space="preserve">Azure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$3.767B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2025 Q1 $2.075B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Q2 $2.947B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Q3 $3.648B</t>
    </r>
    <r>
      <rPr>
        <sz val="10"/>
        <color rgb="FF0000FF"/>
        <rFont val="Noto Sans CJK SC"/>
        <family val="2"/>
      </rPr>
      <t xml:space="preserve">，至 </t>
    </r>
    <r>
      <rPr>
        <sz val="10"/>
        <color rgb="FF0000FF"/>
        <rFont val="Arial"/>
        <family val="0"/>
        <charset val="1"/>
      </rPr>
      <t xml:space="preserve">2025-09 </t>
    </r>
    <r>
      <rPr>
        <sz val="10"/>
        <color rgb="FF0000FF"/>
        <rFont val="Noto Sans CJK SC"/>
        <family val="2"/>
      </rPr>
      <t xml:space="preserve">累計 </t>
    </r>
    <r>
      <rPr>
        <sz val="10"/>
        <color rgb="FF0000FF"/>
        <rFont val="Arial"/>
        <family val="0"/>
        <charset val="1"/>
      </rPr>
      <t xml:space="preserve">$8.67B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營收分成 </t>
    </r>
    <r>
      <rPr>
        <sz val="10"/>
        <color rgb="FF0000FF"/>
        <rFont val="Arial"/>
        <family val="0"/>
        <charset val="1"/>
      </rPr>
      <t xml:space="preserve">20%</t>
    </r>
  </si>
  <si>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2025-11-12</t>
    </r>
    <r>
      <rPr>
        <sz val="10"/>
        <color rgb="FF0000FF"/>
        <rFont val="Noto Sans CJK SC"/>
        <family val="2"/>
      </rPr>
      <t xml:space="preserve">，文件為該刊所見，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報導雙方未評論）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</si>
  <si>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級（文件未公開）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</si>
  <si>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$8.4B</t>
    </r>
    <r>
      <rPr>
        <sz val="10"/>
        <color rgb="FF0000FF"/>
        <rFont val="Noto Sans CJK SC"/>
        <family val="2"/>
      </rPr>
      <t xml:space="preserve">）</t>
    </r>
  </si>
  <si>
    <t xml:space="preserve">8.4 $B</t>
  </si>
  <si>
    <r>
      <rPr>
        <sz val="10"/>
        <color rgb="FF0000FF"/>
        <rFont val="Arial"/>
        <family val="0"/>
        <charset val="1"/>
      </rPr>
      <t xml:space="preserve">Q1–Q3 </t>
    </r>
    <r>
      <rPr>
        <sz val="10"/>
        <color rgb="FF0000FF"/>
        <rFont val="Noto Sans CJK SC"/>
        <family val="2"/>
      </rPr>
      <t xml:space="preserve">已 </t>
    </r>
    <r>
      <rPr>
        <sz val="10"/>
        <color rgb="FF0000FF"/>
        <rFont val="Arial"/>
        <family val="0"/>
        <charset val="1"/>
      </rPr>
      <t xml:space="preserve">8.67</t>
    </r>
    <r>
      <rPr>
        <sz val="10"/>
        <color rgb="FF0000FF"/>
        <rFont val="Noto Sans CJK SC"/>
        <family val="2"/>
      </rPr>
      <t xml:space="preserve">；全年依 </t>
    </r>
    <r>
      <rPr>
        <sz val="10"/>
        <color rgb="FF0000FF"/>
        <rFont val="Arial"/>
        <family val="0"/>
        <charset val="1"/>
      </rPr>
      <t xml:space="preserve">Q3 run-rate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12.3–13</t>
    </r>
    <r>
      <rPr>
        <sz val="10"/>
        <color rgb="FF0000FF"/>
        <rFont val="Noto Sans CJK SC"/>
        <family val="2"/>
      </rPr>
      <t xml:space="preserve">（區間）</t>
    </r>
  </si>
  <si>
    <t xml:space="preserve">採納（X14 (k)；r2）：新增 SRC_DEM_018＝12.6（12.3–13.0），只用於支出路線服務 GW；SRC_DEM_004 維持 Active（json 一致集，口徑不同，兩筆並列）</t>
  </si>
  <si>
    <t xml:space="preserve">新值高於現值；採用後支出路線服務 GW 由 0.74 升至約 1.1。此支出為 Azure 計價（含 Microsoft 利潤與資本回收），不等於持有成本口徑；見 summary 的分解（L1_GapSpendBasis）。r2（chat 端審查 PR #31 第九節 1）：比例類公式（Alloc 支出比、免費支出占比、L1_ExtFreeShare／L1_Ans5_GM 外部欄、Cap_In C28 換算）仍用 SRC_DEM_004，同源分子分母｜Andy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</si>
  <si>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</si>
  <si>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L1_ExtServeGW </t>
    </r>
    <r>
      <rPr>
        <sz val="10"/>
        <color rgb="FF000000"/>
        <rFont val="Noto Sans CJK SC"/>
        <family val="2"/>
      </rPr>
      <t xml:space="preserve">外部欄；</t>
    </r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）；</t>
    </r>
    <r>
      <rPr>
        <sz val="10"/>
        <color rgb="FF000000"/>
        <rFont val="Arial"/>
        <family val="0"/>
        <charset val="1"/>
      </rPr>
      <t xml:space="preserve">L1_ScaleServe</t>
    </r>
  </si>
  <si>
    <t xml:space="preserve">E260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</si>
  <si>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處理量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逾 </t>
    </r>
    <r>
      <rPr>
        <sz val="10"/>
        <color rgb="FF0000FF"/>
        <rFont val="Arial"/>
        <family val="0"/>
        <charset val="1"/>
      </rPr>
      <t xml:space="preserve">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已登錄）對 </t>
    </r>
    <r>
      <rPr>
        <sz val="10"/>
        <color rgb="FF0000FF"/>
        <rFont val="Arial"/>
        <family val="0"/>
        <charset val="1"/>
      </rPr>
      <t xml:space="preserve">2025-10 6B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個月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倍；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 </t>
    </r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Alloc_In Assumed</t>
    </r>
    <r>
      <rPr>
        <sz val="10"/>
        <color rgb="FF0000FF"/>
        <rFont val="Noto Sans CJK SC"/>
        <family val="2"/>
      </rPr>
      <t xml:space="preserve">）隱含 </t>
    </r>
    <r>
      <rPr>
        <sz val="10"/>
        <color rgb="FF0000FF"/>
        <rFont val="Arial"/>
        <family val="0"/>
        <charset val="1"/>
      </rPr>
      <t xml:space="preserve">1–10 </t>
    </r>
    <r>
      <rPr>
        <sz val="10"/>
        <color rgb="FF0000FF"/>
        <rFont val="Noto Sans CJK SC"/>
        <family val="2"/>
      </rPr>
      <t xml:space="preserve">月成長約 </t>
    </r>
    <r>
      <rPr>
        <sz val="10"/>
        <color rgb="FF0000FF"/>
        <rFont val="Arial"/>
        <family val="0"/>
        <charset val="1"/>
      </rPr>
      <t xml:space="preserve">1.5 </t>
    </r>
    <r>
      <rPr>
        <sz val="10"/>
        <color rgb="FF0000FF"/>
        <rFont val="Noto Sans CJK SC"/>
        <family val="2"/>
      </rPr>
      <t xml:space="preserve">倍，與此成長率一致</t>
    </r>
  </si>
  <si>
    <r>
      <rPr>
        <sz val="10"/>
        <color rgb="FF0000FF"/>
        <rFont val="Arial"/>
        <family val="0"/>
        <charset val="1"/>
      </rPr>
      <t xml:space="preserve">SRC_DEM_010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SRC_DEM_011</t>
    </r>
    <r>
      <rPr>
        <sz val="10"/>
        <color rgb="FF0000FF"/>
        <rFont val="Noto Sans CJK SC"/>
        <family val="2"/>
      </rPr>
      <t xml:space="preserve">（既有）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</si>
  <si>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全年平均 </t>
    </r>
    <r>
      <rPr>
        <sz val="10"/>
        <color rgb="FF0000FF"/>
        <rFont val="Arial"/>
        <family val="0"/>
        <charset val="1"/>
      </rPr>
      <t xml:space="preserve">÷ 10 </t>
    </r>
    <r>
      <rPr>
        <sz val="10"/>
        <color rgb="FF0000FF"/>
        <rFont val="Noto Sans CJK SC"/>
        <family val="2"/>
      </rPr>
      <t xml:space="preserve">月時點值」</t>
    </r>
  </si>
  <si>
    <r>
      <rPr>
        <sz val="10"/>
        <color rgb="FF0000FF"/>
        <rFont val="Arial"/>
        <family val="0"/>
        <charset val="1"/>
      </rPr>
      <t xml:space="preserve">0.75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0.6–0.9</t>
    </r>
    <r>
      <rPr>
        <sz val="10"/>
        <color rgb="FF0000FF"/>
        <rFont val="Noto Sans CJK SC"/>
        <family val="2"/>
      </rPr>
      <t xml:space="preserve">）</t>
    </r>
  </si>
  <si>
    <t xml:space="preserve">不採納（維持）</t>
  </si>
  <si>
    <t xml:space="preserve">既有證據已支持現值，只記錄核對｜讀取者：chat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</si>
  <si>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</si>
  <si>
    <t xml:space="preserve">E261</t>
  </si>
  <si>
    <t xml:space="preserve">每則提示 token 數：OpenRouter 2025 年末每請求平均 6,000 輸入＋400 輸出（含推理）（SRC_DEM_014／015 已登錄）；Robonomics 作者假設 ChatGPT 每則 800–2,000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</si>
  <si>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SRC_DEM_015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https://robonomics.substack.com/p/token-tracker-and-implications</t>
    </r>
  </si>
  <si>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級（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一手已讀）；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級（作者假設）</t>
    </r>
  </si>
  <si>
    <r>
      <rPr>
        <sz val="10"/>
        <color rgb="FF0000FF"/>
        <rFont val="Arial"/>
        <family val="0"/>
        <charset val="1"/>
      </rPr>
      <t xml:space="preserve">Alloc_In</t>
    </r>
    <r>
      <rPr>
        <sz val="10"/>
        <color rgb="FF0000FF"/>
        <rFont val="Noto Sans CJK SC"/>
        <family val="2"/>
      </rPr>
      <t xml:space="preserve">「每則提示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數」（</t>
    </r>
    <r>
      <rPr>
        <sz val="10"/>
        <color rgb="FF0000FF"/>
        <rFont val="Arial"/>
        <family val="0"/>
        <charset val="1"/>
      </rPr>
      <t xml:space="preserve">GM586 </t>
    </r>
    <r>
      <rPr>
        <sz val="10"/>
        <color rgb="FF0000FF"/>
        <rFont val="Noto Sans CJK SC"/>
        <family val="2"/>
      </rPr>
      <t xml:space="preserve">高段 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</si>
  <si>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2,000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1,000–6,000</t>
    </r>
    <r>
      <rPr>
        <sz val="10"/>
        <color rgb="FF0000FF"/>
        <rFont val="Noto Sans CJK SC"/>
        <family val="2"/>
      </rPr>
      <t xml:space="preserve">）</t>
    </r>
  </si>
  <si>
    <t xml:space="preserve">建議基準改 4,000、區間 2,000–6,400（上限改為 OpenRouter 實測）</t>
  </si>
  <si>
    <t xml:space="preserve">採納（X14 (l)）：Alloc_In C15 4,000、D15 2,000、E15 6,400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</si>
  <si>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每則提示含多輪上下文重新 </t>
    </r>
    <r>
      <rPr>
        <sz val="10"/>
        <color rgb="FF0000FF"/>
        <rFont val="Arial"/>
        <family val="0"/>
        <charset val="1"/>
      </rPr>
      <t xml:space="preserve">prefill </t>
    </r>
    <r>
      <rPr>
        <sz val="10"/>
        <color rgb="FF0000FF"/>
        <rFont val="Noto Sans CJK SC"/>
        <family val="2"/>
      </rPr>
      <t xml:space="preserve">與推理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OpenRouter 6,400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代理流量（偏長）、</t>
    </r>
    <r>
      <rPr>
        <sz val="10"/>
        <color rgb="FF0000FF"/>
        <rFont val="Arial"/>
        <family val="0"/>
        <charset val="1"/>
      </rPr>
      <t xml:space="preserve">800–2,000 </t>
    </r>
    <r>
      <rPr>
        <sz val="10"/>
        <color rgb="FF0000FF"/>
        <rFont val="Noto Sans CJK SC"/>
        <family val="2"/>
      </rPr>
      <t xml:space="preserve">為無來源假設；取兩者幾何中點。影響：</t>
    </r>
    <r>
      <rPr>
        <sz val="10"/>
        <color rgb="FF0000FF"/>
        <rFont val="Arial"/>
        <family val="0"/>
        <charset val="1"/>
      </rPr>
      <t xml:space="preserve">ChatGPT token 5T/</t>
    </r>
    <r>
      <rPr>
        <sz val="10"/>
        <color rgb="FF0000FF"/>
        <rFont val="Noto Sans CJK SC"/>
        <family val="2"/>
      </rPr>
      <t xml:space="preserve">日 → </t>
    </r>
    <r>
      <rPr>
        <sz val="10"/>
        <color rgb="FF0000FF"/>
        <rFont val="Arial"/>
        <family val="0"/>
        <charset val="1"/>
      </rPr>
      <t xml:space="preserve">10T/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D 11.5 → 16.5T/</t>
    </r>
    <r>
      <rPr>
        <sz val="10"/>
        <color rgb="FF0000FF"/>
        <rFont val="Noto Sans CJK SC"/>
        <family val="2"/>
      </rPr>
      <t xml:space="preserve">日，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路線服務 </t>
    </r>
    <r>
      <rPr>
        <sz val="10"/>
        <color rgb="FF0000FF"/>
        <rFont val="Arial"/>
        <family val="0"/>
        <charset val="1"/>
      </rPr>
      <t xml:space="preserve">GW 0.052 → 0.075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2026-10-08</t>
    </r>
    <r>
      <rPr>
        <sz val="10"/>
        <color rgb="FF0000FF"/>
        <rFont val="Noto Sans CJK SC"/>
        <family val="2"/>
      </rPr>
      <t xml:space="preserve">「依建議」（</t>
    </r>
    <r>
      <rPr>
        <sz val="10"/>
        <color rgb="FF0000FF"/>
        <rFont val="Arial"/>
        <family val="0"/>
        <charset val="1"/>
      </rPr>
      <t xml:space="preserve">docs/evidence/20261008/summary.md </t>
    </r>
    <r>
      <rPr>
        <sz val="10"/>
        <color rgb="FF0000FF"/>
        <rFont val="Noto Sans CJK SC"/>
        <family val="2"/>
      </rPr>
      <t xml:space="preserve">待 </t>
    </r>
    <r>
      <rPr>
        <sz val="10"/>
        <color rgb="FF0000FF"/>
        <rFont val="Arial"/>
        <family val="0"/>
        <charset val="1"/>
      </rPr>
      <t xml:space="preserve">Andy </t>
    </r>
    <r>
      <rPr>
        <sz val="10"/>
        <color rgb="FF0000FF"/>
        <rFont val="Noto Sans CJK SC"/>
        <family val="2"/>
      </rPr>
      <t xml:space="preserve">判定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項）｜讀取者：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docs/evidence/20261008/candidates.csv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依 </t>
    </r>
    <r>
      <rPr>
        <sz val="10"/>
        <color rgb="FF0000FF"/>
        <rFont val="Arial"/>
        <family val="0"/>
        <charset val="1"/>
      </rPr>
      <t xml:space="preserve">CSV </t>
    </r>
    <r>
      <rPr>
        <sz val="10"/>
        <color rgb="FF0000FF"/>
        <rFont val="Noto Sans CJK SC"/>
        <family val="2"/>
      </rPr>
      <t xml:space="preserve">登錄</t>
    </r>
  </si>
  <si>
    <r>
      <rPr>
        <sz val="10"/>
        <color rgb="FF000000"/>
        <rFont val="Arial"/>
        <family val="0"/>
        <charset val="1"/>
      </rPr>
      <t xml:space="preserve">SRC_DEM_014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</si>
  <si>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IF_AllocQ1_R2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IF_AllocQ2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IF_AllocDemand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IF_AllocImpliedNk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L1_Ans1–3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L1_ExtServeGW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L1_ExtDaily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L1_ExtFreeShare</t>
    </r>
  </si>
  <si>
    <t xml:space="preserve">E262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</si>
  <si>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對帳落差分解（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端推導，非外部證據）：落差＝每則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支出口徑含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利潤與資本回收（</t>
    </r>
    <r>
      <rPr>
        <sz val="10"/>
        <color rgb="FF0000FF"/>
        <rFont val="Arial"/>
        <family val="0"/>
        <charset val="1"/>
      </rPr>
      <t xml:space="preserve">×1.5–3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Assumed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參考請求 </t>
    </r>
    <r>
      <rPr>
        <sz val="10"/>
        <color rgb="FF0000FF"/>
        <rFont val="Arial"/>
        <family val="0"/>
        <charset val="1"/>
      </rPr>
      <t xml:space="preserve">ISL 16K </t>
    </r>
    <r>
      <rPr>
        <sz val="10"/>
        <color rgb="FF0000FF"/>
        <rFont val="Noto Sans CJK SC"/>
        <family val="2"/>
      </rPr>
      <t xml:space="preserve">對實際混合（</t>
    </r>
    <r>
      <rPr>
        <sz val="10"/>
        <color rgb="FF0000FF"/>
        <rFont val="Arial"/>
        <family val="0"/>
        <charset val="1"/>
      </rPr>
      <t xml:space="preserve">×1.5–2.3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Sens_Perf ISL 4K </t>
    </r>
    <r>
      <rPr>
        <sz val="10"/>
        <color rgb="FF0000FF"/>
        <rFont val="Noto Sans CJK SC"/>
        <family val="2"/>
      </rPr>
      <t xml:space="preserve">欄）</t>
    </r>
    <r>
      <rPr>
        <sz val="10"/>
        <color rgb="FF0000FF"/>
        <rFont val="Arial"/>
        <family val="0"/>
        <charset val="1"/>
      </rPr>
      <t xml:space="preserve">× </t>
    </r>
    <r>
      <rPr>
        <sz val="10"/>
        <color rgb="FF0000FF"/>
        <rFont val="Noto Sans CJK SC"/>
        <family val="2"/>
      </rPr>
      <t xml:space="preserve">實際利用率低於 </t>
    </r>
    <r>
      <rPr>
        <sz val="10"/>
        <color rgb="FF0000FF"/>
        <rFont val="Arial"/>
        <family val="0"/>
        <charset val="1"/>
      </rPr>
      <t xml:space="preserve">60%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×1.5–2</t>
    </r>
    <r>
      <rPr>
        <sz val="10"/>
        <color rgb="FF0000FF"/>
        <rFont val="Noto Sans CJK SC"/>
        <family val="2"/>
      </rPr>
      <t xml:space="preserve">）；乘積 </t>
    </r>
    <r>
      <rPr>
        <sz val="10"/>
        <color rgb="FF0000FF"/>
        <rFont val="Arial"/>
        <family val="0"/>
        <charset val="1"/>
      </rPr>
      <t xml:space="preserve">5–28</t>
    </r>
    <r>
      <rPr>
        <sz val="10"/>
        <color rgb="FF0000FF"/>
        <rFont val="Noto Sans CJK SC"/>
        <family val="2"/>
      </rPr>
      <t xml:space="preserve">，涵蓋觀測 </t>
    </r>
    <r>
      <rPr>
        <sz val="10"/>
        <color rgb="FF0000FF"/>
        <rFont val="Arial"/>
        <family val="0"/>
        <charset val="1"/>
      </rPr>
      <t xml:space="preserve">14</t>
    </r>
  </si>
  <si>
    <t xml:space="preserve">docs/evidence/20261008/summary.md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</si>
  <si>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Assumed</t>
    </r>
  </si>
  <si>
    <r>
      <rPr>
        <sz val="10"/>
        <color rgb="FF0000FF"/>
        <rFont val="Arial"/>
        <family val="0"/>
        <charset val="1"/>
      </rPr>
      <t xml:space="preserve">L1_ExtServeGW</t>
    </r>
    <r>
      <rPr>
        <sz val="10"/>
        <color rgb="FF0000FF"/>
        <rFont val="Noto Sans CJK SC"/>
        <family val="2"/>
      </rPr>
      <t xml:space="preserve">；輸出契約第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條、第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條</t>
    </r>
  </si>
  <si>
    <t xml:space="preserve">比值 0.07</t>
  </si>
  <si>
    <t xml:space="preserve">採納（X14 (m)）：L1 新增 L1_GapPrompt／GapSpendBasis／GapISL／GapUtil／GapProduct；Alloc_In 新增兩個 Assumed 輸入</t>
  </si>
  <si>
    <t xml:space="preserve">結論：落差不是單一錯誤，而是四個口徑差的乘積；契約須寫明 IF_TokGW 為「參考請求、100%／60% 口徑」，下游以自身請求組合與利用率換算｜Andy 2026-10-08「依建議」（docs/evidence/20261008/summary.md 待 Andy 判定 3 項）｜讀取者：chat 端（docs/evidence/20261008/candidates.csv）；CC 依 CSV 登錄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</si>
  <si>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L1_GapSpendBasis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（新列；</t>
    </r>
    <r>
      <rPr>
        <sz val="10"/>
        <color rgb="FF000000"/>
        <rFont val="Arial"/>
        <family val="0"/>
        <charset val="1"/>
      </rPr>
      <t xml:space="preserve">IF_ </t>
    </r>
    <r>
      <rPr>
        <sz val="10"/>
        <color rgb="FF000000"/>
        <rFont val="Noto Sans CJK SC"/>
        <family val="2"/>
      </rPr>
      <t xml:space="preserve">不變）</t>
    </r>
  </si>
  <si>
    <t xml:space="preserve">E263</t>
  </si>
  <si>
    <r>
      <rPr>
        <sz val="10"/>
        <color rgb="FF0000FF"/>
        <rFont val="Arial"/>
        <family val="0"/>
        <charset val="1"/>
      </rPr>
      <t xml:space="preserve">Data Gravity </t>
    </r>
    <r>
      <rPr>
        <sz val="10"/>
        <color rgb="FF0000FF"/>
        <rFont val="Noto Sans CJK SC"/>
        <family val="2"/>
      </rPr>
      <t xml:space="preserve">原文：</t>
    </r>
    <r>
      <rPr>
        <sz val="10"/>
        <color rgb="FF0000FF"/>
        <rFont val="Arial"/>
        <family val="0"/>
        <charset val="1"/>
      </rPr>
      <t xml:space="preserve">GB300 NVL72 </t>
    </r>
    <r>
      <rPr>
        <sz val="10"/>
        <color rgb="FF0000FF"/>
        <rFont val="Noto Sans CJK SC"/>
        <family val="2"/>
      </rPr>
      <t xml:space="preserve">採購單略低於 </t>
    </r>
    <r>
      <rPr>
        <sz val="10"/>
        <color rgb="FF0000FF"/>
        <rFont val="Arial"/>
        <family val="0"/>
        <charset val="1"/>
      </rPr>
      <t xml:space="preserve">$5.0M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250 kW CDU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$32K</t>
    </r>
    <r>
      <rPr>
        <sz val="10"/>
        <color rgb="FF0000FF"/>
        <rFont val="Noto Sans CJK SC"/>
        <family val="2"/>
      </rPr>
      <t xml:space="preserve">）、部署合計約 </t>
    </r>
    <r>
      <rPr>
        <sz val="10"/>
        <color rgb="FF0000FF"/>
        <rFont val="Arial"/>
        <family val="0"/>
        <charset val="1"/>
      </rPr>
      <t xml:space="preserve">$5.7M</t>
    </r>
    <r>
      <rPr>
        <sz val="10"/>
        <color rgb="FF0000FF"/>
        <rFont val="Noto Sans CJK SC"/>
        <family val="2"/>
      </rPr>
      <t xml:space="preserve">（不含 </t>
    </r>
    <r>
      <rPr>
        <sz val="10"/>
        <color rgb="FF0000FF"/>
        <rFont val="Arial"/>
        <family val="0"/>
        <charset val="1"/>
      </rPr>
      <t xml:space="preserve">DC </t>
    </r>
    <r>
      <rPr>
        <sz val="10"/>
        <color rgb="FF0000FF"/>
        <rFont val="Noto Sans CJK SC"/>
        <family val="2"/>
      </rPr>
      <t xml:space="preserve">建造、叢集核心交換、儲存）</t>
    </r>
  </si>
  <si>
    <r>
      <rPr>
        <sz val="10"/>
        <color rgb="FF0000FF"/>
        <rFont val="Arial"/>
        <family val="0"/>
        <charset val="1"/>
      </rPr>
      <t xml:space="preserve">https://www.datagravity.dev/p/how-much-does-an-nvidia-nvl72-cost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wing.vc </t>
    </r>
    <r>
      <rPr>
        <sz val="10"/>
        <color rgb="FF0000FF"/>
        <rFont val="Noto Sans CJK SC"/>
        <family val="2"/>
      </rPr>
      <t xml:space="preserve">為同文轉載）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</si>
  <si>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</si>
  <si>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（基準）→ </t>
    </r>
    <r>
      <rPr>
        <sz val="10"/>
        <color rgb="FF0000FF"/>
        <rFont val="Arial"/>
        <family val="0"/>
        <charset val="1"/>
      </rPr>
      <t xml:space="preserve">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</si>
  <si>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5.0</t>
    </r>
    <r>
      <rPr>
        <sz val="10"/>
        <color rgb="FF0000FF"/>
        <rFont val="Noto Sans CJK SC"/>
        <family val="2"/>
      </rPr>
      <t xml:space="preserve">（基準）</t>
    </r>
  </si>
  <si>
    <t xml:space="preserve">略低於 5.0</t>
  </si>
  <si>
    <t xml:space="preserve">採用（X16）：SRC_HW_010 補「原文已讀」，改作高情境依據（E13＝5.0）</t>
  </si>
  <si>
    <t xml:space="preserve">未具名交易方｜A 段暫編 N01｜chat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</si>
  <si>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GB300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</si>
  <si>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Wolfe Research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reported prices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$3M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Rubin $5–6M</t>
    </r>
  </si>
  <si>
    <r>
      <rPr>
        <sz val="10"/>
        <color rgb="FF0000FF"/>
        <rFont val="Arial"/>
        <family val="0"/>
        <charset val="1"/>
      </rPr>
      <t xml:space="preserve">https://ca.finance.yahoo.com/news/wolfe-lifts-nvidia-target-25-145211458.html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Investing.com </t>
    </r>
    <r>
      <rPr>
        <sz val="10"/>
        <color rgb="FF0000FF"/>
        <rFont val="Noto Sans CJK SC"/>
        <family val="2"/>
      </rPr>
      <t xml:space="preserve">轉載，</t>
    </r>
    <r>
      <rPr>
        <sz val="10"/>
        <color rgb="FF0000FF"/>
        <rFont val="Arial"/>
        <family val="0"/>
        <charset val="1"/>
      </rPr>
      <t xml:space="preserve">2026-01-30</t>
    </r>
    <r>
      <rPr>
        <sz val="10"/>
        <color rgb="FF0000FF"/>
        <rFont val="Noto Sans CJK SC"/>
        <family val="2"/>
      </rPr>
      <t xml:space="preserve">）</t>
    </r>
  </si>
  <si>
    <t xml:space="preserve">Spec_Rack E12</t>
  </si>
  <si>
    <t xml:space="preserve">5.0</t>
  </si>
  <si>
    <t xml:space="preserve">4.3</t>
  </si>
  <si>
    <t xml:space="preserve">部分採用（X16）：GB300 4.3 作基準佐證，新登錄 SRC_HW_065（Alt）；Rubin 5–6 早於記憶體漲價，不採用</t>
  </si>
  <si>
    <t xml:space="preserve">自稱 reported，底層出處不明；gpuperhour 彙整頁引同一筆，不另算｜A 段暫編 N02｜chat 端建議（A 段查證報告 PR #34 J1–J6），Andy 2026-10-08 22:31「不反對，請繼續」；可撤回｜讀取者：CC（A 段，docs/reports/20261008_v5.31A_查證.md）</t>
  </si>
  <si>
    <t xml:space="preserve">E265</t>
  </si>
  <si>
    <r>
      <rPr>
        <sz val="10"/>
        <color rgb="FF0000FF"/>
        <rFont val="Arial"/>
        <family val="0"/>
        <charset val="1"/>
      </rPr>
      <t xml:space="preserve">Morgan Stanley NVL72 BOM </t>
    </r>
    <r>
      <rPr>
        <sz val="10"/>
        <color rgb="FF0000FF"/>
        <rFont val="Noto Sans CJK SC"/>
        <family val="2"/>
      </rPr>
      <t xml:space="preserve">表推算 </t>
    </r>
    <r>
      <rPr>
        <sz val="10"/>
        <color rgb="FF0000FF"/>
        <rFont val="Arial"/>
        <family val="0"/>
        <charset val="1"/>
      </rPr>
      <t xml:space="preserve">GB300 ≈ $4.0M</t>
    </r>
    <r>
      <rPr>
        <sz val="10"/>
        <color rgb="FF0000FF"/>
        <rFont val="Noto Sans CJK SC"/>
        <family val="2"/>
      </rPr>
      <t xml:space="preserve">（＝</t>
    </r>
    <r>
      <rPr>
        <sz val="10"/>
        <color rgb="FF0000FF"/>
        <rFont val="Arial"/>
        <family val="0"/>
        <charset val="1"/>
      </rPr>
      <t xml:space="preserve">VR200 BOM 7.8 ÷ 1.95</t>
    </r>
    <r>
      <rPr>
        <sz val="10"/>
        <color rgb="FF0000FF"/>
        <rFont val="Noto Sans CJK SC"/>
        <family val="2"/>
      </rPr>
      <t xml:space="preserve">；表載記憶體 </t>
    </r>
    <r>
      <rPr>
        <sz val="10"/>
        <color rgb="FF0000FF"/>
        <rFont val="Arial"/>
        <family val="0"/>
        <charset val="1"/>
      </rPr>
      <t xml:space="preserve">$373,939 → $2,001,600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total cost difference of 95%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</si>
  <si>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https://wccftech.com/nvidia-vera-rubin-rack-hit-with-memory-price-surge-pushing-hbm4-lpddr5x-bill-to-2m-of-7-8m-total/amp/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2026-05-21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</si>
  <si>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</si>
  <si>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E12</t>
    </r>
  </si>
  <si>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（低）</t>
    </r>
  </si>
  <si>
    <t xml:space="preserve">4.0</t>
  </si>
  <si>
    <t xml:space="preserve">採用（X16）：SRC_HW_052 等級 3→2，換算式寫入備註；E12 基準＝4.0 × 1.075</t>
  </si>
  <si>
    <t xml:space="preserve">表為圖片，GB300 總額未讀到文字｜A 段暫編 N03｜chat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</si>
  <si>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SRC_HW_052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SRC_HW_015</t>
    </r>
  </si>
  <si>
    <r>
      <rPr>
        <sz val="10"/>
        <color rgb="FF0000FF"/>
        <rFont val="Arial"/>
        <family val="0"/>
        <charset val="1"/>
      </rPr>
      <t xml:space="preserve">IREN </t>
    </r>
    <r>
      <rPr>
        <sz val="10"/>
        <color rgb="FF0000FF"/>
        <rFont val="Noto Sans CJK SC"/>
        <family val="2"/>
      </rPr>
      <t xml:space="preserve">向 </t>
    </r>
    <r>
      <rPr>
        <sz val="10"/>
        <color rgb="FF0000FF"/>
        <rFont val="Arial"/>
        <family val="0"/>
        <charset val="1"/>
      </rPr>
      <t xml:space="preserve">Dell </t>
    </r>
    <r>
      <rPr>
        <sz val="10"/>
        <color rgb="FF0000FF"/>
        <rFont val="Noto Sans CJK SC"/>
        <family val="2"/>
      </rPr>
      <t xml:space="preserve">採購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設備 </t>
    </r>
    <r>
      <rPr>
        <sz val="10"/>
        <color rgb="FF0000FF"/>
        <rFont val="Arial"/>
        <family val="0"/>
        <charset val="1"/>
      </rPr>
      <t xml:space="preserve">$5.8bn</t>
    </r>
    <r>
      <rPr>
        <sz val="10"/>
        <color rgb="FF0000FF"/>
        <rFont val="Noto Sans CJK SC"/>
        <family val="2"/>
      </rPr>
      <t xml:space="preserve">（含伺服器、</t>
    </r>
    <r>
      <rPr>
        <sz val="10"/>
        <color rgb="FF0000FF"/>
        <rFont val="Arial"/>
        <family val="0"/>
        <charset val="1"/>
      </rPr>
      <t xml:space="preserve">InfiniBand</t>
    </r>
    <r>
      <rPr>
        <sz val="10"/>
        <color rgb="FF0000FF"/>
        <rFont val="Noto Sans CJK SC"/>
        <family val="2"/>
      </rPr>
      <t xml:space="preserve">、線材、軟體授權、部署服務），對應 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→ </t>
    </r>
    <r>
      <rPr>
        <sz val="10"/>
        <color rgb="FF0000FF"/>
        <rFont val="Noto Sans CJK SC"/>
        <family val="2"/>
      </rPr>
      <t xml:space="preserve">每 </t>
    </r>
    <r>
      <rPr>
        <sz val="10"/>
        <color rgb="FF0000FF"/>
        <rFont val="Arial"/>
        <family val="0"/>
        <charset val="1"/>
      </rPr>
      <t xml:space="preserve">IT MW $29.0M</t>
    </r>
  </si>
  <si>
    <r>
      <rPr>
        <sz val="10"/>
        <color rgb="FF0000FF"/>
        <rFont val="Arial"/>
        <family val="0"/>
        <charset val="1"/>
      </rPr>
      <t xml:space="preserve">https://iren.gcs-web.com/news-releases/news-release-details/iren-secures-97bn-ai-cloud-contract-microsoft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2025-11-03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DCD </t>
    </r>
    <r>
      <rPr>
        <sz val="10"/>
        <color rgb="FF0000FF"/>
        <rFont val="Noto Sans CJK SC"/>
        <family val="2"/>
      </rPr>
      <t xml:space="preserve">轉載）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</si>
  <si>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</si>
  <si>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L1 </t>
    </r>
    <r>
      <rPr>
        <sz val="10"/>
        <color rgb="FF0000FF"/>
        <rFont val="Noto Sans CJK SC"/>
        <family val="2"/>
      </rPr>
      <t xml:space="preserve">新對照列（</t>
    </r>
    <r>
      <rPr>
        <sz val="10"/>
        <color rgb="FF0000FF"/>
        <rFont val="Arial"/>
        <family val="0"/>
        <charset val="1"/>
      </rPr>
      <t xml:space="preserve">IF_CapexIT</t>
    </r>
    <r>
      <rPr>
        <sz val="10"/>
        <color rgb="FF0000FF"/>
        <rFont val="Noto Sans CJK SC"/>
        <family val="2"/>
      </rPr>
      <t xml:space="preserve">）</t>
    </r>
  </si>
  <si>
    <t xml:space="preserve">29.0 $M/IT MW</t>
  </si>
  <si>
    <t xml:space="preserve">採用（X20）：新登錄 SRC_DC_014；L1_CapexITMW_GB300_vsIREN 外部對照，不直接進模型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</si>
  <si>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數未揭露；以 </t>
    </r>
    <r>
      <rPr>
        <sz val="10"/>
        <color rgb="FF0000FF"/>
        <rFont val="Arial"/>
        <family val="0"/>
        <charset val="1"/>
      </rPr>
      <t xml:space="preserve">136 kW</t>
    </r>
    <r>
      <rPr>
        <sz val="10"/>
        <color rgb="FF0000FF"/>
        <rFont val="Noto Sans CJK SC"/>
        <family val="2"/>
      </rPr>
      <t xml:space="preserve">／架推算每架（含網路）≈ </t>
    </r>
    <r>
      <rPr>
        <sz val="10"/>
        <color rgb="FF0000FF"/>
        <rFont val="Arial"/>
        <family val="0"/>
        <charset val="1"/>
      </rPr>
      <t xml:space="preserve">$4.3M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N04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</si>
  <si>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L1_CapexITMW_GB300_vsIREN</t>
    </r>
    <r>
      <rPr>
        <sz val="10"/>
        <color rgb="FF000000"/>
        <rFont val="Noto Sans CJK SC"/>
        <family val="2"/>
      </rPr>
      <t xml:space="preserve">（新列）</t>
    </r>
  </si>
  <si>
    <t xml:space="preserve">E267</t>
  </si>
  <si>
    <r>
      <rPr>
        <sz val="10"/>
        <color rgb="FF0000FF"/>
        <rFont val="Arial"/>
        <family val="0"/>
        <charset val="1"/>
      </rPr>
      <t xml:space="preserve">Bernstein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平均成本 </t>
    </r>
    <r>
      <rPr>
        <sz val="10"/>
        <color rgb="FF0000FF"/>
        <rFont val="Arial"/>
        <family val="0"/>
        <charset val="1"/>
      </rPr>
      <t xml:space="preserve">$9.1M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系統約 </t>
    </r>
    <r>
      <rPr>
        <sz val="10"/>
        <color rgb="FF0000FF"/>
        <rFont val="Arial"/>
        <family val="0"/>
        <charset val="1"/>
      </rPr>
      <t xml:space="preserve">4.0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HBM </t>
    </r>
    <r>
      <rPr>
        <sz val="10"/>
        <color rgb="FF0000FF"/>
        <rFont val="Noto Sans CJK SC"/>
        <family val="2"/>
      </rPr>
      <t xml:space="preserve">與儲存約 </t>
    </r>
    <r>
      <rPr>
        <sz val="10"/>
        <color rgb="FF0000FF"/>
        <rFont val="Arial"/>
        <family val="0"/>
        <charset val="1"/>
      </rPr>
      <t xml:space="preserve">3.2</t>
    </r>
    <r>
      <rPr>
        <sz val="10"/>
        <color rgb="FF0000FF"/>
        <rFont val="Noto Sans CJK SC"/>
        <family val="2"/>
      </rPr>
      <t xml:space="preserve">、網路約 </t>
    </r>
    <r>
      <rPr>
        <sz val="10"/>
        <color rgb="FF0000FF"/>
        <rFont val="Arial"/>
        <family val="0"/>
        <charset val="1"/>
      </rPr>
      <t xml:space="preserve">1.2</t>
    </r>
    <r>
      <rPr>
        <sz val="10"/>
        <color rgb="FF0000FF"/>
        <rFont val="Noto Sans CJK SC"/>
        <family val="2"/>
      </rPr>
      <t xml:space="preserve">、散熱約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、電力約 </t>
    </r>
    <r>
      <rPr>
        <sz val="10"/>
        <color rgb="FF0000FF"/>
        <rFont val="Arial"/>
        <family val="0"/>
        <charset val="1"/>
      </rPr>
      <t xml:space="preserve">0.15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1 GW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$47bn</t>
    </r>
  </si>
  <si>
    <r>
      <rPr>
        <sz val="10"/>
        <color rgb="FF0000FF"/>
        <rFont val="Arial"/>
        <family val="0"/>
        <charset val="1"/>
      </rPr>
      <t xml:space="preserve">https://wccftech.com/bernstein-warns-nvidias-vera-rubin-racks-will-hit-9-1-million-as-hbm4-prices-triple-to-53-per-gigabyte/amp/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https://news.cnyes.com/news/id/6498402</t>
    </r>
    <r>
      <rPr>
        <sz val="10"/>
        <color rgb="FF0000FF"/>
        <rFont val="Noto Sans CJK SC"/>
        <family val="2"/>
      </rPr>
      <t xml:space="preserve">（同一底層來源，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</si>
  <si>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（中立賣方研究）／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</si>
  <si>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Spec_Rack F13</t>
  </si>
  <si>
    <t xml:space="preserve">9.1</t>
  </si>
  <si>
    <r>
      <rPr>
        <sz val="10"/>
        <color rgb="FF0000FF"/>
        <rFont val="Arial"/>
        <family val="0"/>
        <charset val="1"/>
      </rPr>
      <t xml:space="preserve">9.1</t>
    </r>
    <r>
      <rPr>
        <sz val="10"/>
        <color rgb="FF0000FF"/>
        <rFont val="Noto Sans CJK SC"/>
        <family val="2"/>
      </rPr>
      <t xml:space="preserve">（含網路）</t>
    </r>
  </si>
  <si>
    <t xml:space="preserve">採用（X19）：SRC_HW_017 等級 3→2；口徑欄註明含網路；Spec_Rack F14 補註（數值不改，J4）</t>
  </si>
  <si>
    <t xml:space="preserve">高情境與模型另加的 Scale-out 網路約重複 2%｜A 段暫編 N05｜chat 端建議（A 段查證報告 PR #34 J1–J6），Andy 2026-10-08 22:31「不反對，請繼續」；可撤回｜讀取者：CC（A 段，docs/reports/20261008_v5.31A_查證.md）</t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</si>
  <si>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VR200 </t>
    </r>
    <r>
      <rPr>
        <sz val="10"/>
        <color rgb="FF000000"/>
        <rFont val="Noto Sans CJK SC"/>
        <family val="2"/>
      </rPr>
      <t xml:space="preserve">高成本欄；數值不變）</t>
    </r>
  </si>
  <si>
    <r>
      <rPr>
        <sz val="10"/>
        <color rgb="FF0000FF"/>
        <rFont val="Arial"/>
        <family val="0"/>
        <charset val="1"/>
      </rPr>
      <t xml:space="preserve">TrendForce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Vera Rubin </t>
    </r>
    <r>
      <rPr>
        <sz val="10"/>
        <color rgb="FF0000FF"/>
        <rFont val="Noto Sans CJK SC"/>
        <family val="2"/>
      </rPr>
      <t xml:space="preserve">系統 </t>
    </r>
    <r>
      <rPr>
        <sz val="10"/>
        <color rgb="FF0000FF"/>
        <rFont val="Arial"/>
        <family val="0"/>
        <charset val="1"/>
      </rPr>
      <t xml:space="preserve">ASP </t>
    </r>
    <r>
      <rPr>
        <sz val="10"/>
        <color rgb="FF0000FF"/>
        <rFont val="Noto Sans CJK SC"/>
        <family val="2"/>
      </rPr>
      <t xml:space="preserve">約為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</si>
  <si>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https://www.trendforce.com/presscenter/news/20260828-13204.html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2026-08-28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</si>
  <si>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（市調，中立）／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</si>
  <si>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F12 </t>
    </r>
    <r>
      <rPr>
        <sz val="10"/>
        <color rgb="FF0000FF"/>
        <rFont val="Noto Sans CJK SC"/>
        <family val="2"/>
      </rPr>
      <t xml:space="preserve">比值檢查</t>
    </r>
  </si>
  <si>
    <r>
      <rPr>
        <sz val="10"/>
        <color rgb="FF0000FF"/>
        <rFont val="Arial"/>
        <family val="0"/>
        <charset val="1"/>
      </rPr>
      <t xml:space="preserve">1.68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8.4 ÷ 5.0</t>
    </r>
    <r>
      <rPr>
        <sz val="10"/>
        <color rgb="FF0000FF"/>
        <rFont val="Noto Sans CJK SC"/>
        <family val="2"/>
      </rPr>
      <t xml:space="preserve">）</t>
    </r>
  </si>
  <si>
    <t xml:space="preserve">約 2（改後 8.4 ÷ 4.3＝1.95）</t>
  </si>
  <si>
    <t xml:space="preserve">部分採用（X16）：新登錄 SRC_HW_066（比值，不進數值）</t>
  </si>
  <si>
    <t xml:space="preserve">比值對照｜A 段暫編 N06｜chat 端建議（A 段查證報告 PR #34 J1–J6），Andy 2026-10-08 22:31「不反對，請繼續」；可撤回｜讀取者：CC（A 段，docs/reports/20261008_v5.31A_查證.md）</t>
  </si>
  <si>
    <t xml:space="preserve">E269</t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</si>
  <si>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GB300 NVL72 $6.0–6.5M</t>
    </r>
    <r>
      <rPr>
        <sz val="10"/>
        <color rgb="FF0000FF"/>
        <rFont val="Noto Sans CJK SC"/>
        <family val="2"/>
      </rPr>
      <t xml:space="preserve">（媒體報價）</t>
    </r>
  </si>
  <si>
    <r>
      <rPr>
        <sz val="10"/>
        <color rgb="FF0000FF"/>
        <rFont val="Arial"/>
        <family val="0"/>
        <charset val="1"/>
      </rPr>
      <t xml:space="preserve">Tom's Hardware</t>
    </r>
    <r>
      <rPr>
        <sz val="10"/>
        <color rgb="FF0000FF"/>
        <rFont val="Noto Sans CJK SC"/>
        <family val="2"/>
      </rPr>
      <t xml:space="preserve">（經 </t>
    </r>
    <r>
      <rPr>
        <sz val="10"/>
        <color rgb="FF0000FF"/>
        <rFont val="Arial"/>
        <family val="0"/>
        <charset val="1"/>
      </rPr>
      <t xml:space="preserve">Yahoo Finance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；本輪未讀原文）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</si>
  <si>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</si>
  <si>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Spec_Rack E13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</si>
  <si>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6.5</t>
    </r>
    <r>
      <rPr>
        <sz val="10"/>
        <color rgb="FF0000FF"/>
        <rFont val="Noto Sans CJK SC"/>
        <family val="2"/>
      </rPr>
      <t xml:space="preserve">（高）</t>
    </r>
  </si>
  <si>
    <t xml:space="preserve">6.0–6.5</t>
  </si>
  <si>
    <t xml:space="preserve">待查（X16）：J1 (a) 採用後不再是高情境，SRC_HW_007 改列 Alt</t>
  </si>
  <si>
    <t xml:space="preserve">底層出處不明｜A 段暫編 N07｜chat 端建議（A 段查證報告 PR #34 J1–J6），Andy 2026-10-08 22:31「不反對，請繼續」；可撤回｜讀取者：CC（A 段，docs/reports/20261008_v5.31A_查證.md）</t>
  </si>
  <si>
    <t xml:space="preserve">E270</t>
  </si>
  <si>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$40bn </t>
    </r>
    <r>
      <rPr>
        <sz val="10"/>
        <color rgb="FF0000FF"/>
        <rFont val="Noto Sans CJK SC"/>
        <family val="2"/>
      </rPr>
      <t xml:space="preserve">購買約 </t>
    </r>
    <r>
      <rPr>
        <sz val="10"/>
        <color rgb="FF0000FF"/>
        <rFont val="Arial"/>
        <family val="0"/>
        <charset val="1"/>
      </rPr>
      <t xml:space="preserve">40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→ $50K–100K</t>
    </r>
    <r>
      <rPr>
        <sz val="10"/>
        <color rgb="FF0000FF"/>
        <rFont val="Noto Sans CJK SC"/>
        <family val="2"/>
      </rPr>
      <t xml:space="preserve">／顆</t>
    </r>
  </si>
  <si>
    <r>
      <rPr>
        <sz val="10"/>
        <color rgb="FF0000FF"/>
        <rFont val="Arial"/>
        <family val="0"/>
        <charset val="1"/>
      </rPr>
      <t xml:space="preserve">https://www.datacenterdynamics.com/en/news/oracle-to-spend-40bn-on-nvidia-chips-for-openai-texas-data-center/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</si>
  <si>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$50K–100K</t>
    </r>
    <r>
      <rPr>
        <sz val="10"/>
        <color rgb="FF0000FF"/>
        <rFont val="Noto Sans CJK SC"/>
        <family val="2"/>
      </rPr>
      <t xml:space="preserve">／顆</t>
    </r>
  </si>
  <si>
    <t xml:space="preserve">不採用：「GB200」指 GPU 或 superchip 不明</t>
  </si>
  <si>
    <t xml:space="preserve">匿名消息｜A 段暫編 N08｜chat 端建議（A 段查證報告 PR #34 J1–J6），Andy 2026-10-08 22:31「不反對，請繼續」；可撤回｜讀取者：CC（A 段，docs/reports/20261008_v5.31A_查證.md）</t>
  </si>
  <si>
    <t xml:space="preserve">E271</t>
  </si>
  <si>
    <r>
      <rPr>
        <sz val="10"/>
        <color rgb="FF0000FF"/>
        <rFont val="Arial"/>
        <family val="0"/>
        <charset val="1"/>
      </rPr>
      <t xml:space="preserve">CoreWeave 1H26 </t>
    </r>
    <r>
      <rPr>
        <sz val="10"/>
        <color rgb="FF0000FF"/>
        <rFont val="Noto Sans CJK SC"/>
        <family val="2"/>
      </rPr>
      <t xml:space="preserve">每新增 </t>
    </r>
    <r>
      <rPr>
        <sz val="10"/>
        <color rgb="FF0000FF"/>
        <rFont val="Arial"/>
        <family val="0"/>
        <charset val="1"/>
      </rPr>
      <t xml:space="preserve">MW </t>
    </r>
    <r>
      <rPr>
        <sz val="10"/>
        <color rgb="FF0000FF"/>
        <rFont val="Noto Sans CJK SC"/>
        <family val="2"/>
      </rPr>
      <t xml:space="preserve">資本支出 </t>
    </r>
    <r>
      <rPr>
        <sz val="10"/>
        <color rgb="FF0000FF"/>
        <rFont val="Arial"/>
        <family val="0"/>
        <charset val="1"/>
      </rPr>
      <t xml:space="preserve">24.8 $M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16.139bn ÷ 650 MW</t>
    </r>
    <r>
      <rPr>
        <sz val="10"/>
        <color rgb="FF0000FF"/>
        <rFont val="Noto Sans CJK SC"/>
        <family val="2"/>
      </rPr>
      <t xml:space="preserve">）；技術設備毛額 </t>
    </r>
    <r>
      <rPr>
        <sz val="10"/>
        <color rgb="FF0000FF"/>
        <rFont val="Arial"/>
        <family val="0"/>
        <charset val="1"/>
      </rPr>
      <t xml:space="preserve">19.9</t>
    </r>
  </si>
  <si>
    <r>
      <rPr>
        <sz val="10"/>
        <color rgb="FF0000FF"/>
        <rFont val="Arial"/>
        <family val="0"/>
        <charset val="1"/>
      </rPr>
      <t xml:space="preserve">CRWV 10-Q 2026-06-30 </t>
    </r>
    <r>
      <rPr>
        <sz val="10"/>
        <color rgb="FF0000FF"/>
        <rFont val="Noto Sans CJK SC"/>
        <family val="2"/>
      </rPr>
      <t xml:space="preserve">附註 </t>
    </r>
    <r>
      <rPr>
        <sz val="10"/>
        <color rgb="FF0000FF"/>
        <rFont val="Arial"/>
        <family val="0"/>
        <charset val="1"/>
      </rPr>
      <t xml:space="preserve">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報告已讀，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段未重讀）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</si>
  <si>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</si>
  <si>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IF_CapexIT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</si>
  <si>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34.8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CRWV </t>
    </r>
    <r>
      <rPr>
        <sz val="10"/>
        <color rgb="FF0000FF"/>
        <rFont val="Noto Sans CJK SC"/>
        <family val="2"/>
      </rPr>
      <t xml:space="preserve">機隊組合）</t>
    </r>
  </si>
  <si>
    <r>
      <rPr>
        <sz val="10"/>
        <color rgb="FF0000FF"/>
        <rFont val="Arial"/>
        <family val="0"/>
        <charset val="1"/>
      </rPr>
      <t xml:space="preserve">24.8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19.9</t>
    </r>
  </si>
  <si>
    <t xml:space="preserve">部分採用：登錄為已看過；active power 的 IT／設施口徑未明，不作對照列</t>
  </si>
  <si>
    <r>
      <rPr>
        <sz val="10"/>
        <color rgb="FF0000FF"/>
        <rFont val="Arial"/>
        <family val="0"/>
        <charset val="1"/>
      </rPr>
      <t xml:space="preserve">19.9 </t>
    </r>
    <r>
      <rPr>
        <sz val="10"/>
        <color rgb="FF0000FF"/>
        <rFont val="Noto Sans CJK SC"/>
        <family val="2"/>
      </rPr>
      <t xml:space="preserve">若為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口徑等於每架 </t>
    </r>
    <r>
      <rPr>
        <sz val="10"/>
        <color rgb="FF0000FF"/>
        <rFont val="Arial"/>
        <family val="0"/>
        <charset val="1"/>
      </rPr>
      <t xml:space="preserve">GB300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$2.7M</t>
    </r>
    <r>
      <rPr>
        <sz val="10"/>
        <color rgb="FF0000FF"/>
        <rFont val="Noto Sans CJK SC"/>
        <family val="2"/>
      </rPr>
      <t xml:space="preserve">，低於所有價格證據 → 口徑問題可能性較大｜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</si>
  <si>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IF_CapexIT</t>
    </r>
    <r>
      <rPr>
        <sz val="10"/>
        <color rgb="FF000000"/>
        <rFont val="Noto Sans CJK SC"/>
        <family val="2"/>
      </rPr>
      <t xml:space="preserve">（對照）</t>
    </r>
  </si>
  <si>
    <r>
      <rPr>
        <sz val="10"/>
        <color rgb="FF0000FF"/>
        <rFont val="Arial"/>
        <family val="0"/>
        <charset val="1"/>
      </rPr>
      <t xml:space="preserve">HPE GB300 NVL72 </t>
    </r>
    <r>
      <rPr>
        <sz val="10"/>
        <color rgb="FF0000FF"/>
        <rFont val="Noto Sans CJK SC"/>
        <family val="2"/>
      </rPr>
      <t xml:space="preserve">標準保固：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年零件、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年人工、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年到場</t>
    </r>
  </si>
  <si>
    <r>
      <rPr>
        <sz val="10"/>
        <color rgb="FF0000FF"/>
        <rFont val="Arial"/>
        <family val="0"/>
        <charset val="1"/>
      </rPr>
      <t xml:space="preserve">https://www.hpe.com/us/en/collaterals/collateral.a50009244enw.html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QuickSpecs V3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2026-09-08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</si>
  <si>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（賣方條款）／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</si>
  <si>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36 </t>
    </r>
    <r>
      <rPr>
        <sz val="10"/>
        <color rgb="FF0000FF"/>
        <rFont val="Noto Sans CJK SC"/>
        <family val="2"/>
      </rPr>
      <t xml:space="preserve">列（新）</t>
    </r>
  </si>
  <si>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年起固定）</t>
    </r>
  </si>
  <si>
    <t xml:space="preserve">保固 3 年</t>
  </si>
  <si>
    <t xml:space="preserve">採用（X18）：新登錄 SRC_DC_015，Inputs E36 連結</t>
  </si>
  <si>
    <r>
      <rPr>
        <sz val="10"/>
        <color rgb="FF0000FF"/>
        <rFont val="Arial"/>
        <family val="0"/>
        <charset val="1"/>
      </rPr>
      <t xml:space="preserve">Dell XE9680 </t>
    </r>
    <r>
      <rPr>
        <sz val="10"/>
        <color rgb="FF0000FF"/>
        <rFont val="Noto Sans CJK SC"/>
        <family val="2"/>
      </rPr>
      <t xml:space="preserve">經銷頁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ProSupport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https://www.servermonkey.com/poweredge-xe9680-ss-1.html</t>
    </r>
    <r>
      <rPr>
        <sz val="10"/>
        <color rgb="FF0000FF"/>
        <rFont val="Noto Sans CJK SC"/>
        <family val="2"/>
      </rPr>
      <t xml:space="preserve">）併入本筆｜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</si>
  <si>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IF_MaintIT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IF_HoldAcct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IF_HoldEcon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IF_GPUhrEcon</t>
    </r>
    <r>
      <rPr>
        <sz val="10"/>
        <color rgb="FF000000"/>
        <rFont val="Noto Sans CJK SC"/>
        <family val="2"/>
      </rPr>
      <t xml:space="preserve">（全世代）；</t>
    </r>
    <r>
      <rPr>
        <sz val="10"/>
        <color rgb="FF000000"/>
        <rFont val="Arial"/>
        <family val="0"/>
        <charset val="1"/>
      </rPr>
      <t xml:space="preserve">IF_MaintITWarr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IF_MaintITPost</t>
    </r>
  </si>
  <si>
    <r>
      <rPr>
        <sz val="10"/>
        <color rgb="FF0000FF"/>
        <rFont val="Arial"/>
        <family val="0"/>
        <charset val="1"/>
      </rPr>
      <t xml:space="preserve">Supermicro GPU </t>
    </r>
    <r>
      <rPr>
        <sz val="10"/>
        <color rgb="FF0000FF"/>
        <rFont val="Noto Sans CJK SC"/>
        <family val="2"/>
      </rPr>
      <t xml:space="preserve">系統標準保固：人工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年、零件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年、預先換貨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</t>
    </r>
  </si>
  <si>
    <r>
      <rPr>
        <sz val="10"/>
        <color rgb="FF0000FF"/>
        <rFont val="Arial"/>
        <family val="0"/>
        <charset val="1"/>
      </rPr>
      <t xml:space="preserve">https://www.supermicro.com/en/support/warranty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</si>
  <si>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列（高情境）</t>
    </r>
  </si>
  <si>
    <t xml:space="preserve">3%</t>
  </si>
  <si>
    <t xml:space="preserve">人工 3／零件 1</t>
  </si>
  <si>
    <t xml:space="preserve">採用（X18）：新登錄 SRC_DC_016（SRC_DC_015 的第二來源）</t>
  </si>
  <si>
    <t xml:space="preserve">零件 1 年由保固期內高情境 1% 涵蓋｜A 段暫編 N11｜chat 端建議（A 段查證報告 PR #34 J1–J6），Andy 2026-10-08 22:31「不反對，請繼續」；可撤回｜讀取者：CC（A 段，docs/reports/20261008_v5.31A_查證.md）</t>
  </si>
  <si>
    <r>
      <rPr>
        <sz val="10"/>
        <color rgb="FF0000FF"/>
        <rFont val="Arial"/>
        <family val="0"/>
        <charset val="1"/>
      </rPr>
      <t xml:space="preserve">NVIDIA DGX B200 </t>
    </r>
    <r>
      <rPr>
        <sz val="10"/>
        <color rgb="FF0000FF"/>
        <rFont val="Noto Sans CJK SC"/>
        <family val="2"/>
      </rPr>
      <t xml:space="preserve">原廠支援續約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£18,599.99 ÷ </t>
    </r>
    <r>
      <rPr>
        <sz val="10"/>
        <color rgb="FF0000FF"/>
        <rFont val="Noto Sans CJK SC"/>
        <family val="2"/>
      </rPr>
      <t xml:space="preserve">系統（含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年支援）</t>
    </r>
    <r>
      <rPr>
        <sz val="10"/>
        <color rgb="FF0000FF"/>
        <rFont val="Arial"/>
        <family val="0"/>
        <charset val="1"/>
      </rPr>
      <t xml:space="preserve">£489,999 ≈ </t>
    </r>
    <r>
      <rPr>
        <sz val="10"/>
        <color rgb="FF0000FF"/>
        <rFont val="Noto Sans CJK SC"/>
        <family val="2"/>
      </rPr>
      <t xml:space="preserve">每年 </t>
    </r>
    <r>
      <rPr>
        <sz val="10"/>
        <color rgb="FF0000FF"/>
        <rFont val="Arial"/>
        <family val="0"/>
        <charset val="1"/>
      </rPr>
      <t xml:space="preserve">3.8%</t>
    </r>
  </si>
  <si>
    <r>
      <rPr>
        <sz val="10"/>
        <color rgb="FF0000FF"/>
        <rFont val="Arial"/>
        <family val="0"/>
        <charset val="1"/>
      </rPr>
      <t xml:space="preserve">https://www.scan.co.uk/products/dgx-b200-8x-180gb-full-with-business-std-support-3y</t>
    </r>
    <r>
      <rPr>
        <sz val="10"/>
        <color rgb="FF0000FF"/>
        <rFont val="Noto Sans CJK SC"/>
        <family val="2"/>
      </rPr>
      <t xml:space="preserve">；…</t>
    </r>
    <r>
      <rPr>
        <sz val="10"/>
        <color rgb="FF0000FF"/>
        <rFont val="Arial"/>
        <family val="0"/>
        <charset val="1"/>
      </rPr>
      <t xml:space="preserve">-renew-1-year</t>
    </r>
    <r>
      <rPr>
        <sz val="10"/>
        <color rgb="FF0000FF"/>
        <rFont val="Noto Sans CJK SC"/>
        <family val="2"/>
      </rPr>
      <t xml:space="preserve">（讀取日 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</si>
  <si>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</si>
  <si>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列（保固期滿後）</t>
    </r>
  </si>
  <si>
    <t xml:space="preserve">3.8%</t>
  </si>
  <si>
    <t xml:space="preserve">採用（X17）：新登錄 SRC_DC_017；保固期滿後基準 3%、上緣參考</t>
  </si>
  <si>
    <t xml:space="preserve">續約為支援、韌體、軟體授權；零售牌價｜A 段暫編 N12｜chat 端建議（A 段查證報告 PR #34 J1–J6），Andy 2026-10-08 22:31「不反對，請繼續」；可撤回｜讀取者：CC（A 段，docs/reports/20261008_v5.31A_查證.md）</t>
  </si>
  <si>
    <t xml:space="preserve">E275</t>
  </si>
  <si>
    <r>
      <rPr>
        <sz val="10"/>
        <color rgb="FF0000FF"/>
        <rFont val="Arial"/>
        <family val="0"/>
        <charset val="1"/>
      </rPr>
      <t xml:space="preserve">Introl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叢集 </t>
    </r>
    <r>
      <rPr>
        <sz val="10"/>
        <color rgb="FF0000FF"/>
        <rFont val="Arial"/>
        <family val="0"/>
        <charset val="1"/>
      </rPr>
      <t xml:space="preserve">TCO</t>
    </r>
    <r>
      <rPr>
        <sz val="10"/>
        <color rgb="FF0000FF"/>
        <rFont val="Noto Sans CJK SC"/>
        <family val="2"/>
      </rPr>
      <t xml:space="preserve">：維護每年 </t>
    </r>
    <r>
      <rPr>
        <sz val="10"/>
        <color rgb="FF0000FF"/>
        <rFont val="Arial"/>
        <family val="0"/>
        <charset val="1"/>
      </rPr>
      <t xml:space="preserve">5% </t>
    </r>
    <r>
      <rPr>
        <sz val="10"/>
        <color rgb="FF0000FF"/>
        <rFont val="Noto Sans CJK SC"/>
        <family val="2"/>
      </rPr>
      <t xml:space="preserve">硬體價值；文中另稱原廠支援合約「</t>
    </r>
    <r>
      <rPr>
        <sz val="10"/>
        <color rgb="FF0000FF"/>
        <rFont val="Arial"/>
        <family val="0"/>
        <charset val="1"/>
      </rPr>
      <t xml:space="preserve">typically cost 8-12%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</si>
  <si>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https://introl.com/blog/gpu-infrastructure-tco-model-5-year-enterprise-ai-deployment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</si>
  <si>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（基礎設施服務商）／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</si>
  <si>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38 </t>
    </r>
    <r>
      <rPr>
        <sz val="10"/>
        <color rgb="FF0000FF"/>
        <rFont val="Noto Sans CJK SC"/>
        <family val="2"/>
      </rPr>
      <t xml:space="preserve">列高情境</t>
    </r>
  </si>
  <si>
    <r>
      <rPr>
        <sz val="10"/>
        <color rgb="FF0000FF"/>
        <rFont val="Arial"/>
        <family val="0"/>
        <charset val="1"/>
      </rPr>
      <t xml:space="preserve">4%</t>
    </r>
    <r>
      <rPr>
        <sz val="10"/>
        <color rgb="FF0000FF"/>
        <rFont val="Noto Sans CJK SC"/>
        <family val="2"/>
      </rPr>
      <t xml:space="preserve">（高）</t>
    </r>
  </si>
  <si>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8–12%</t>
    </r>
  </si>
  <si>
    <t xml:space="preserve">部分採用（X17）：5% 作保固期滿後高情境；8–12% 不採用（企業小規模、與自身模型矛盾）</t>
  </si>
  <si>
    <t xml:space="preserve">兩數自相矛盾｜A 段暫編 N13｜chat 端建議（A 段查證報告 PR #34 J1–J6），Andy 2026-10-08 22:31「不反對，請繼續」；可撤回｜讀取者：CC（A 段，docs/reports/20261008_v5.31A_查證.md）</t>
  </si>
  <si>
    <t xml:space="preserve">E276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</si>
  <si>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營運成本反推維護 ≈ </t>
    </r>
    <r>
      <rPr>
        <sz val="10"/>
        <color rgb="FF0000FF"/>
        <rFont val="Arial"/>
        <family val="0"/>
        <charset val="1"/>
      </rPr>
      <t xml:space="preserve">0–0.25 $M/MW·</t>
    </r>
    <r>
      <rPr>
        <sz val="10"/>
        <color rgb="FF0000FF"/>
        <rFont val="Noto Sans CJK SC"/>
        <family val="2"/>
      </rPr>
      <t xml:space="preserve">年（約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資本 </t>
    </r>
    <r>
      <rPr>
        <sz val="10"/>
        <color rgb="FF0000FF"/>
        <rFont val="Arial"/>
        <family val="0"/>
        <charset val="1"/>
      </rPr>
      <t xml:space="preserve">0–0.8%</t>
    </r>
    <r>
      <rPr>
        <sz val="10"/>
        <color rgb="FF0000FF"/>
        <rFont val="Noto Sans CJK SC"/>
        <family val="2"/>
      </rPr>
      <t xml:space="preserve">；機隊多在保固期內）</t>
    </r>
  </si>
  <si>
    <r>
      <rPr>
        <sz val="10"/>
        <color rgb="FF0000FF"/>
        <rFont val="Arial"/>
        <family val="0"/>
        <charset val="1"/>
      </rPr>
      <t xml:space="preserve">CRWV 10-Q 2026-06-30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W5 </t>
    </r>
    <r>
      <rPr>
        <sz val="10"/>
        <color rgb="FF0000FF"/>
        <rFont val="Noto Sans CJK SC"/>
        <family val="2"/>
      </rPr>
      <t xml:space="preserve">報告 </t>
    </r>
    <r>
      <rPr>
        <sz val="10"/>
        <color rgb="FF0000FF"/>
        <rFont val="Arial"/>
        <family val="0"/>
        <charset val="1"/>
      </rPr>
      <t xml:space="preserve">coreweave/docs/reports/20261008_coreweave_v4.7_</t>
    </r>
    <r>
      <rPr>
        <sz val="10"/>
        <color rgb="FF0000FF"/>
        <rFont val="Noto Sans CJK SC"/>
        <family val="2"/>
      </rPr>
      <t xml:space="preserve">公司實況驗證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</si>
  <si>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Inputs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37 </t>
    </r>
    <r>
      <rPr>
        <sz val="10"/>
        <color rgb="FF0000FF"/>
        <rFont val="Noto Sans CJK SC"/>
        <family val="2"/>
      </rPr>
      <t xml:space="preserve">列（保固期內）</t>
    </r>
  </si>
  <si>
    <t xml:space="preserve">0–0.8%</t>
  </si>
  <si>
    <t xml:space="preserve">採用（X17）：保固期內低值依據；不單獨定值（含爬坡期用電偏低）</t>
  </si>
  <si>
    <t xml:space="preserve">營運成本 1.357 − 研發 0.374 − 電費 0.673 − 人員軟體 0.325 − 稅險 0.156 ≤ 0｜A 段暫編 N14｜chat 端建議（A 段查證報告 PR #34 J1–J6），Andy 2026-10-08 22:31「不反對，請繼續」；可撤回｜讀取者：CC（A 段，docs/reports/20261008_v5.31A_查證.md）</t>
  </si>
  <si>
    <t xml:space="preserve">E277</t>
  </si>
  <si>
    <t xml:space="preserve">超大型資料中心常駐人員 0.2–0.5 人／MW</t>
  </si>
  <si>
    <r>
      <rPr>
        <sz val="10"/>
        <color rgb="FF0000FF"/>
        <rFont val="Arial"/>
        <family val="0"/>
        <charset val="1"/>
      </rPr>
      <t xml:space="preserve">https://www.irecruit.co/insights/data-center-staffing-ratios-people-per-mw-2026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2026-04-24</t>
    </r>
    <r>
      <rPr>
        <sz val="10"/>
        <color rgb="FF0000FF"/>
        <rFont val="Noto Sans CJK SC"/>
        <family val="2"/>
      </rPr>
      <t xml:space="preserve">，引 </t>
    </r>
    <r>
      <rPr>
        <sz val="10"/>
        <color rgb="FF0000FF"/>
        <rFont val="Arial"/>
        <family val="0"/>
        <charset val="1"/>
      </rPr>
      <t xml:space="preserve">poweredbywho.com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</si>
  <si>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（人力仲介）／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</si>
  <si>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E32</t>
    </r>
    <r>
      <rPr>
        <sz val="10"/>
        <color rgb="FF0000FF"/>
        <rFont val="Noto Sans CJK SC"/>
        <family val="2"/>
      </rPr>
      <t xml:space="preserve">（人員）</t>
    </r>
  </si>
  <si>
    <r>
      <rPr>
        <sz val="10"/>
        <color rgb="FF0000FF"/>
        <rFont val="Arial"/>
        <family val="0"/>
        <charset val="1"/>
      </rPr>
      <t xml:space="preserve">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</si>
  <si>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r>
      <rPr>
        <sz val="10"/>
        <color rgb="FF0000FF"/>
        <rFont val="Arial"/>
        <family val="0"/>
        <charset val="1"/>
      </rPr>
      <t xml:space="preserve">200–500 FTE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</si>
  <si>
    <t xml:space="preserve">不採用：二手、出處不全；僅確認模型在上緣</t>
  </si>
  <si>
    <t xml:space="preserve">數值不改｜A 段暫編 N15｜chat 端建議（A 段查證報告 PR #34 J1–J6），Andy 2026-10-08 22:31「不反對，請繼續」；可撤回｜讀取者：CC（A 段，docs/reports/20261008_v5.31A_查證.md）</t>
  </si>
  <si>
    <t xml:space="preserve">IF_StaffSW</t>
  </si>
  <si>
    <t xml:space="preserve">E278</t>
  </si>
  <si>
    <r>
      <rPr>
        <sz val="10"/>
        <color rgb="FF0000FF"/>
        <rFont val="Arial"/>
        <family val="0"/>
        <charset val="1"/>
      </rPr>
      <t xml:space="preserve">NVIDIA AI Enterprise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／年（</t>
    </r>
    <r>
      <rPr>
        <sz val="10"/>
        <color rgb="FF0000FF"/>
        <rFont val="Arial"/>
        <family val="0"/>
        <charset val="1"/>
      </rPr>
      <t xml:space="preserve">CSP </t>
    </r>
    <r>
      <rPr>
        <sz val="10"/>
        <color rgb="FF0000FF"/>
        <rFont val="Noto Sans CJK SC"/>
        <family val="2"/>
      </rPr>
      <t xml:space="preserve">市集 </t>
    </r>
    <r>
      <rPr>
        <sz val="10"/>
        <color rgb="FF0000FF"/>
        <rFont val="Arial"/>
        <family val="0"/>
        <charset val="1"/>
      </rPr>
      <t xml:space="preserve">$1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時）</t>
    </r>
  </si>
  <si>
    <t xml:space="preserve">https://docs.nvidia.com/ai-enterprise/planning-resource/licensing-guide/latest/pricing.html</t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</si>
  <si>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（賣方牌價）／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</si>
  <si>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Inputs E33</t>
    </r>
    <r>
      <rPr>
        <sz val="10"/>
        <color rgb="FF0000FF"/>
        <rFont val="Noto Sans CJK SC"/>
        <family val="2"/>
      </rPr>
      <t xml:space="preserve">（軟體授權與連線）</t>
    </r>
  </si>
  <si>
    <r>
      <rPr>
        <sz val="10"/>
        <color rgb="FF0000FF"/>
        <rFont val="Arial"/>
        <family val="0"/>
        <charset val="1"/>
      </rPr>
      <t xml:space="preserve">$200M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（≈ </t>
    </r>
    <r>
      <rPr>
        <sz val="10"/>
        <color rgb="FF0000FF"/>
        <rFont val="Arial"/>
        <family val="0"/>
        <charset val="1"/>
      </rPr>
      <t xml:space="preserve">$410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年）</t>
    </r>
  </si>
  <si>
    <r>
      <rPr>
        <sz val="10"/>
        <color rgb="FF0000FF"/>
        <rFont val="Arial"/>
        <family val="0"/>
        <charset val="1"/>
      </rPr>
      <t xml:space="preserve">$4,500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GPU·</t>
    </r>
    <r>
      <rPr>
        <sz val="10"/>
        <color rgb="FF0000FF"/>
        <rFont val="Noto Sans CJK SC"/>
        <family val="2"/>
      </rPr>
      <t xml:space="preserve">年</t>
    </r>
  </si>
  <si>
    <t xml:space="preserve">待查：neocloud 裸機出租是否付此授權找不到</t>
  </si>
  <si>
    <r>
      <rPr>
        <sz val="10"/>
        <color rgb="FF0000FF"/>
        <rFont val="Arial"/>
        <family val="0"/>
        <charset val="1"/>
      </rPr>
      <t xml:space="preserve">IF_StaffSW </t>
    </r>
    <r>
      <rPr>
        <sz val="10"/>
        <color rgb="FF0000FF"/>
        <rFont val="Noto Sans CJK SC"/>
        <family val="2"/>
      </rPr>
      <t xml:space="preserve">範圍為站點營運、不含平台研發（</t>
    </r>
    <r>
      <rPr>
        <sz val="10"/>
        <color rgb="FF0000FF"/>
        <rFont val="Arial"/>
        <family val="0"/>
        <charset val="1"/>
      </rPr>
      <t xml:space="preserve">X19 J5 </t>
    </r>
    <r>
      <rPr>
        <sz val="10"/>
        <color rgb="FF0000FF"/>
        <rFont val="Noto Sans CJK SC"/>
        <family val="2"/>
      </rPr>
      <t xml:space="preserve">標籤）｜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#34 J1–J6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2026-10-08 22:31</t>
    </r>
    <r>
      <rPr>
        <sz val="10"/>
        <color rgb="FF0000FF"/>
        <rFont val="Noto Sans CJK SC"/>
        <family val="2"/>
      </rPr>
      <t xml:space="preserve">「不反對，請繼續」；可撤回｜讀取者：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docs/reports/20261008_v5.31A_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</si>
  <si>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：消費訂閱 </t>
    </r>
    <r>
      <rPr>
        <sz val="10"/>
        <color rgb="FF0000FF"/>
        <rFont val="Arial"/>
        <family val="0"/>
        <charset val="1"/>
      </rPr>
      <t xml:space="preserve">&gt;5,000 </t>
    </r>
    <r>
      <rPr>
        <sz val="10"/>
        <color rgb="FF0000FF"/>
        <rFont val="Noto Sans CJK SC"/>
        <family val="2"/>
      </rPr>
      <t xml:space="preserve">萬、付費商用用戶 </t>
    </r>
    <r>
      <rPr>
        <sz val="10"/>
        <color rgb="FF0000FF"/>
        <rFont val="Arial"/>
        <family val="0"/>
        <charset val="1"/>
      </rPr>
      <t xml:space="preserve">&gt;900 </t>
    </r>
    <r>
      <rPr>
        <sz val="10"/>
        <color rgb="FF0000FF"/>
        <rFont val="Noto Sans CJK SC"/>
        <family val="2"/>
      </rPr>
      <t xml:space="preserve">萬、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 </t>
    </r>
    <r>
      <rPr>
        <sz val="10"/>
        <color rgb="FF0000FF"/>
        <rFont val="Arial"/>
        <family val="0"/>
        <charset val="1"/>
      </rPr>
      <t xml:space="preserve">160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</si>
  <si>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https://openai.com/index/scaling-ai-for-everyone/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</si>
  <si>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</si>
  <si>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新列（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追蹤）</t>
    </r>
  </si>
  <si>
    <r>
      <rPr>
        <sz val="10"/>
        <color rgb="FF0000FF"/>
        <rFont val="Arial"/>
        <family val="0"/>
        <charset val="1"/>
      </rPr>
      <t xml:space="preserve">50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9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1.6 M</t>
    </r>
  </si>
  <si>
    <t xml:space="preserve">採用（X21）：新登錄 SRC_DEM_019–SRC_DEM_021；訂閱、商用時間序列的一手錨點</t>
  </si>
  <si>
    <t xml:space="preserve">一手已讀；融資期間有呈現成長的誘因｜A 段暫編 N01｜chat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</si>
  <si>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</si>
  <si>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L1_MImplied_Ext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v5.32 </t>
    </r>
    <r>
      <rPr>
        <sz val="10"/>
        <color rgb="FF000000"/>
        <rFont val="Noto Sans CJK SC"/>
        <family val="2"/>
      </rPr>
      <t xml:space="preserve">新列）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</si>
  <si>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&gt;50M </t>
    </r>
    <r>
      <rPr>
        <sz val="10"/>
        <color rgb="FF0000FF"/>
        <rFont val="Noto Sans CJK SC"/>
        <family val="2"/>
      </rPr>
      <t xml:space="preserve">訂閱、月營收 </t>
    </r>
    <r>
      <rPr>
        <sz val="10"/>
        <color rgb="FF0000FF"/>
        <rFont val="Arial"/>
        <family val="0"/>
        <charset val="1"/>
      </rPr>
      <t xml:space="preserve">$2B</t>
    </r>
    <r>
      <rPr>
        <sz val="10"/>
        <color rgb="FF0000FF"/>
        <rFont val="Noto Sans CJK SC"/>
        <family val="2"/>
      </rPr>
      <t xml:space="preserve">、「企業」占營收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API &gt;15B tok/min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2026-03-31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</si>
  <si>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融資公告 </t>
    </r>
    <r>
      <rPr>
        <sz val="10"/>
        <color rgb="FF0000FF"/>
        <rFont val="Arial"/>
        <family val="0"/>
        <charset val="1"/>
      </rPr>
      <t xml:space="preserve">https://openai.com/index/accelerating-the-next-phase-ai/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</si>
  <si>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同文</t>
    </r>
  </si>
  <si>
    <r>
      <rPr>
        <sz val="10"/>
        <color rgb="FF0000FF"/>
        <rFont val="Arial"/>
        <family val="0"/>
        <charset val="1"/>
      </rPr>
      <t xml:space="preserve">2B</t>
    </r>
    <r>
      <rPr>
        <sz val="10"/>
        <color rgb="FF0000FF"/>
        <rFont val="Noto Sans CJK SC"/>
        <family val="2"/>
      </rPr>
      <t xml:space="preserve">／月；</t>
    </r>
    <r>
      <rPr>
        <sz val="10"/>
        <color rgb="FF0000FF"/>
        <rFont val="Arial"/>
        <family val="0"/>
        <charset val="1"/>
      </rPr>
      <t xml:space="preserve">&gt;40%</t>
    </r>
  </si>
  <si>
    <t xml:space="preserve">採用（X21）：新登錄 SRC_DEM_022、SRC_DEM_023（「企業」口徑註明未定義）；&gt;50M 與 2026-02 同值不另登錄</t>
  </si>
  <si>
    <r>
      <rPr>
        <sz val="10"/>
        <color rgb="FF0000FF"/>
        <rFont val="Arial"/>
        <family val="0"/>
        <charset val="1"/>
      </rPr>
      <t xml:space="preserve">SRC_DEM_011 </t>
    </r>
    <r>
      <rPr>
        <sz val="10"/>
        <color rgb="FF0000FF"/>
        <rFont val="Noto Sans CJK SC"/>
        <family val="2"/>
      </rPr>
      <t xml:space="preserve">已登錄同一公告的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</si>
  <si>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SRC_DEM_011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</si>
  <si>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15.5M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2025-01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&gt;20M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</si>
  <si>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AIN.UA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https://en.ain.ua/2025/04/02/chatgpt-revenue-grew-30-percent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</si>
  <si>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</t>
    </r>
  </si>
  <si>
    <r>
      <rPr>
        <sz val="10"/>
        <color rgb="FF0000FF"/>
        <rFont val="Arial"/>
        <family val="0"/>
        <charset val="1"/>
      </rPr>
      <t xml:space="preserve">15.5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20</t>
    </r>
  </si>
  <si>
    <t xml:space="preserve">部分採用（X21）：新登錄 SRC_DEM_024、SRC_DEM_025（各時點一筆；同一則報導，不獨立）</t>
  </si>
  <si>
    <t xml:space="preserve">時間序列早段｜A 段暫編 N03｜chat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</si>
  <si>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SRC_DEM_024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SRC_DEM_025</t>
    </r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</si>
  <si>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消費訂閱 </t>
    </r>
    <r>
      <rPr>
        <sz val="10"/>
        <color rgb="FF0000FF"/>
        <rFont val="Arial"/>
        <family val="0"/>
        <charset val="1"/>
      </rPr>
      <t xml:space="preserve">35M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</si>
  <si>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轉述 </t>
    </r>
    <r>
      <rPr>
        <sz val="10"/>
        <color rgb="FF0000FF"/>
        <rFont val="Arial"/>
        <family val="0"/>
        <charset val="1"/>
      </rPr>
      <t xml:space="preserve">The Information https://tech.yahoo.com/ai/chatgpt/articles/openai-projected-least-220-million-012027742.html</t>
    </r>
  </si>
  <si>
    <r>
      <rPr>
        <sz val="10"/>
        <color rgb="FF0000FF"/>
        <rFont val="Arial"/>
        <family val="0"/>
        <charset val="1"/>
      </rPr>
      <t xml:space="preserve">SRC_Demand </t>
    </r>
    <r>
      <rPr>
        <sz val="10"/>
        <color rgb="FF0000FF"/>
        <rFont val="Noto Sans CJK SC"/>
        <family val="2"/>
      </rPr>
      <t xml:space="preserve">時間序列；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試算的每人口徑</t>
    </r>
  </si>
  <si>
    <t xml:space="preserve">35</t>
  </si>
  <si>
    <t xml:space="preserve">採用（X21）：新登錄 SRC_DEM_026；2025 年中錨點</t>
  </si>
  <si>
    <t xml:space="preserve">與 N03 為不同報導｜A 段暫編 N04｜chat 端判定（A 段查證報告 PR #38 J1–J6；J1 調整為 (a′)），Andy 2026-10-11 11:21「了解，接著照建議依序執行」；可撤回｜讀取者：CC（A 段，docs/reports/20261011_v5.32A_查證.md）</t>
  </si>
  <si>
    <t xml:space="preserve">E283</t>
  </si>
  <si>
    <r>
      <rPr>
        <sz val="10"/>
        <color rgb="FF0000FF"/>
        <rFont val="Arial"/>
        <family val="0"/>
        <charset val="1"/>
      </rPr>
      <t xml:space="preserve">ChatGPT Plus 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4,400 </t>
    </r>
    <r>
      <rPr>
        <sz val="10"/>
        <color rgb="FF0000FF"/>
        <rFont val="Noto Sans CJK SC"/>
        <family val="2"/>
      </rPr>
      <t xml:space="preserve">萬；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年目標 </t>
    </r>
    <r>
      <rPr>
        <sz val="10"/>
        <color rgb="FF0000FF"/>
        <rFont val="Arial"/>
        <family val="0"/>
        <charset val="1"/>
      </rPr>
      <t xml:space="preserve">Go 1.12 </t>
    </r>
    <r>
      <rPr>
        <sz val="10"/>
        <color rgb="FF0000FF"/>
        <rFont val="Noto Sans CJK SC"/>
        <family val="2"/>
      </rPr>
      <t xml:space="preserve">億／</t>
    </r>
    <r>
      <rPr>
        <sz val="10"/>
        <color rgb="FF0000FF"/>
        <rFont val="Arial"/>
        <family val="0"/>
        <charset val="1"/>
      </rPr>
      <t xml:space="preserve">Plus 900 </t>
    </r>
    <r>
      <rPr>
        <sz val="10"/>
        <color rgb="FF0000FF"/>
        <rFont val="Noto Sans CJK SC"/>
        <family val="2"/>
      </rPr>
      <t xml:space="preserve">萬（合計 </t>
    </r>
    <r>
      <rPr>
        <sz val="10"/>
        <color rgb="FF0000FF"/>
        <rFont val="Arial"/>
        <family val="0"/>
        <charset val="1"/>
      </rPr>
      <t xml:space="preserve">1.22 </t>
    </r>
    <r>
      <rPr>
        <sz val="10"/>
        <color rgb="FF0000FF"/>
        <rFont val="Noto Sans CJK SC"/>
        <family val="2"/>
      </rPr>
      <t xml:space="preserve">億，預測）</t>
    </r>
  </si>
  <si>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Xataka https://www.xataka.com/empresas-y-economia/openai-preve-caida-80-sus-ingresos-estrella-chatgpt-go-coste-su-huida-adelante</t>
    </r>
    <r>
      <rPr>
        <sz val="10"/>
        <color rgb="FF0000FF"/>
        <rFont val="Noto Sans CJK SC"/>
        <family val="2"/>
      </rPr>
      <t xml:space="preserve">；經 </t>
    </r>
    <r>
      <rPr>
        <sz val="10"/>
        <color rgb="FF0000FF"/>
        <rFont val="Arial"/>
        <family val="0"/>
        <charset val="1"/>
      </rPr>
      <t xml:space="preserve">Shopifreaks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2026-04-29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</si>
  <si>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44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122</t>
    </r>
    <r>
      <rPr>
        <sz val="10"/>
        <color rgb="FF0000FF"/>
        <rFont val="Noto Sans CJK SC"/>
        <family val="2"/>
      </rPr>
      <t xml:space="preserve">（預測）</t>
    </r>
  </si>
  <si>
    <t xml:space="preserve">待查：44M 時點不明、二手；預測值不入序列，只作方案組合變化（$20 → $8）的定性證據</t>
  </si>
  <si>
    <t xml:space="preserve">未登錄 SRC｜A 段暫編 N05｜chat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</si>
  <si>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付費商用用戶 </t>
    </r>
    <r>
      <rPr>
        <sz val="10"/>
        <color rgb="FF0000FF"/>
        <rFont val="Arial"/>
        <family val="0"/>
        <charset val="1"/>
      </rPr>
      <t xml:space="preserve">2M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3M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7M </t>
    </r>
    <r>
      <rPr>
        <sz val="10"/>
        <color rgb="FF0000FF"/>
        <rFont val="Noto Sans CJK SC"/>
        <family val="2"/>
      </rPr>
      <t xml:space="preserve">席次（</t>
    </r>
    <r>
      <rPr>
        <sz val="10"/>
        <color rgb="FF0000FF"/>
        <rFont val="Arial"/>
        <family val="0"/>
        <charset val="1"/>
      </rPr>
      <t xml:space="preserve">2025-11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&gt;9M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</si>
  <si>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CNBC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NBC Miami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TipRanks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1 million businesses</t>
    </r>
    <r>
      <rPr>
        <sz val="10"/>
        <color rgb="FF0000FF"/>
        <rFont val="Noto Sans CJK SC"/>
        <family val="2"/>
      </rPr>
      <t xml:space="preserve">」；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Scaling AI for everyone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</si>
  <si>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</si>
  <si>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t xml:space="preserve">2→9 M</t>
  </si>
  <si>
    <t xml:space="preserve">採用（X21）：新登錄 SRC_DEM_027–SRC_DEM_030（7M 為「席次」口徑另註）；2026-02 的 9M 即 SRC_DEM_020（N01）</t>
  </si>
  <si>
    <r>
      <rPr>
        <sz val="10"/>
        <color rgb="FF0000FF"/>
        <rFont val="Arial"/>
        <family val="0"/>
        <charset val="1"/>
      </rPr>
      <t xml:space="preserve">2025-11 </t>
    </r>
    <r>
      <rPr>
        <sz val="10"/>
        <color rgb="FF0000FF"/>
        <rFont val="Noto Sans CJK SC"/>
        <family val="2"/>
      </rPr>
      <t xml:space="preserve">改「席次」口徑｜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N06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</si>
  <si>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SRC_DEM_027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SRC_DEM_020</t>
    </r>
  </si>
  <si>
    <t xml:space="preserve">1–2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</si>
  <si>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平台 </t>
    </r>
    <r>
      <rPr>
        <sz val="10"/>
        <color rgb="FF0000FF"/>
        <rFont val="Arial"/>
        <family val="0"/>
        <charset val="1"/>
      </rPr>
      <t xml:space="preserve">400 </t>
    </r>
    <r>
      <rPr>
        <sz val="10"/>
        <color rgb="FF0000FF"/>
        <rFont val="Noto Sans CJK SC"/>
        <family val="2"/>
      </rPr>
      <t xml:space="preserve">萬開發者（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</si>
  <si>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DevDay 2025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https://alicialyttle.com/openai-devday-2025-what-just-changed-for-builders/</t>
    </r>
  </si>
  <si>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路線每開發者口徑</t>
    </r>
  </si>
  <si>
    <t xml:space="preserve">4 M</t>
  </si>
  <si>
    <t xml:space="preserve">部分採用（X21）：新登錄 SRC_DEM_031；只作上界分母（「開發者」≠ 付費 API 組織；付費組織數找不到）</t>
  </si>
  <si>
    <t xml:space="preserve">與 SRC_DEM_010 同一場合｜A 段暫編 N07｜chat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</si>
  <si>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SRC_DEM_010</t>
    </r>
    <r>
      <rPr>
        <sz val="10"/>
        <color rgb="FF000000"/>
        <rFont val="Noto Sans CJK SC"/>
        <family val="2"/>
      </rPr>
      <t xml:space="preserve">（同源）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</si>
  <si>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商用客戶 </t>
    </r>
    <r>
      <rPr>
        <sz val="10"/>
        <color rgb="FF0000FF"/>
        <rFont val="Arial"/>
        <family val="0"/>
        <charset val="1"/>
      </rPr>
      <t xml:space="preserve">&gt;30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</t>
    </r>
    <r>
      <rPr>
        <sz val="10"/>
        <color rgb="FF0000FF"/>
        <rFont val="Noto Sans CJK SC"/>
        <family val="2"/>
      </rPr>
      <t xml:space="preserve">）；年付 </t>
    </r>
    <r>
      <rPr>
        <sz val="10"/>
        <color rgb="FF0000FF"/>
        <rFont val="Arial"/>
        <family val="0"/>
        <charset val="1"/>
      </rPr>
      <t xml:space="preserve">&gt;$1M </t>
    </r>
    <r>
      <rPr>
        <sz val="10"/>
        <color rgb="FF0000FF"/>
        <rFont val="Noto Sans CJK SC"/>
        <family val="2"/>
      </rPr>
      <t xml:space="preserve">客戶 </t>
    </r>
    <r>
      <rPr>
        <sz val="10"/>
        <color rgb="FF0000FF"/>
        <rFont val="Arial"/>
        <family val="0"/>
        <charset val="1"/>
      </rPr>
      <t xml:space="preserve">&gt;500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</si>
  <si>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Anthropic Series F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GIC </t>
    </r>
    <r>
      <rPr>
        <sz val="10"/>
        <color rgb="FF0000FF"/>
        <rFont val="Noto Sans CJK SC"/>
        <family val="2"/>
      </rPr>
      <t xml:space="preserve">存檔）；</t>
    </r>
    <r>
      <rPr>
        <sz val="10"/>
        <color rgb="FF0000FF"/>
        <rFont val="Arial"/>
        <family val="0"/>
        <charset val="1"/>
      </rPr>
      <t xml:space="preserve">Anthropic Series G</t>
    </r>
  </si>
  <si>
    <r>
      <rPr>
        <sz val="10"/>
        <color rgb="FF0000FF"/>
        <rFont val="Arial"/>
        <family val="0"/>
        <charset val="1"/>
      </rPr>
      <t xml:space="preserve">SRC_Demand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Anthropic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Alloc_In A8 </t>
    </r>
    <r>
      <rPr>
        <sz val="10"/>
        <color rgb="FF0000FF"/>
        <rFont val="Noto Sans CJK SC"/>
        <family val="2"/>
      </rPr>
      <t xml:space="preserve">尚未啟用）</t>
    </r>
  </si>
  <si>
    <r>
      <rPr>
        <sz val="10"/>
        <color rgb="FF0000FF"/>
        <rFont val="Arial"/>
        <family val="0"/>
        <charset val="1"/>
      </rPr>
      <t xml:space="preserve">300k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500</t>
    </r>
  </si>
  <si>
    <t xml:space="preserve">採用（X21）：新登錄 SRC_DEM_032、SRC_DEM_033；Anthropic 消費訂閱數未揭露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</si>
  <si>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序列起點｜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</si>
  <si>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SRC_DEM_033</t>
    </r>
  </si>
  <si>
    <r>
      <rPr>
        <sz val="10"/>
        <color rgb="FF0000FF"/>
        <rFont val="Arial"/>
        <family val="0"/>
        <charset val="1"/>
      </rPr>
      <t xml:space="preserve">Anthropic 2025 </t>
    </r>
    <r>
      <rPr>
        <sz val="10"/>
        <color rgb="FF0000FF"/>
        <rFont val="Noto Sans CJK SC"/>
        <family val="2"/>
      </rPr>
      <t xml:space="preserve">營收：用量計費 </t>
    </r>
    <r>
      <rPr>
        <sz val="10"/>
        <color rgb="FF0000FF"/>
        <rFont val="Arial"/>
        <family val="0"/>
        <charset val="1"/>
      </rPr>
      <t xml:space="preserve">3.8</t>
    </r>
    <r>
      <rPr>
        <sz val="10"/>
        <color rgb="FF0000FF"/>
        <rFont val="Noto Sans CJK SC"/>
        <family val="2"/>
      </rPr>
      <t xml:space="preserve">、訂閱 </t>
    </r>
    <r>
      <rPr>
        <sz val="10"/>
        <color rgb="FF0000FF"/>
        <rFont val="Arial"/>
        <family val="0"/>
        <charset val="1"/>
      </rPr>
      <t xml:space="preserve">0.789</t>
    </r>
    <r>
      <rPr>
        <sz val="10"/>
        <color rgb="FF0000FF"/>
        <rFont val="Noto Sans CJK SC"/>
        <family val="2"/>
      </rPr>
      <t xml:space="preserve">、雲端市集 </t>
    </r>
    <r>
      <rPr>
        <sz val="10"/>
        <color rgb="FF0000FF"/>
        <rFont val="Arial"/>
        <family val="0"/>
        <charset val="1"/>
      </rPr>
      <t xml:space="preserve">2.16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47%</t>
    </r>
    <r>
      <rPr>
        <sz val="10"/>
        <color rgb="FF0000FF"/>
        <rFont val="Noto Sans CJK SC"/>
        <family val="2"/>
      </rPr>
      <t xml:space="preserve">）、付給平台分潤約 </t>
    </r>
    <r>
      <rPr>
        <sz val="10"/>
        <color rgb="FF0000FF"/>
        <rFont val="Arial"/>
        <family val="0"/>
        <charset val="1"/>
      </rPr>
      <t xml:space="preserve">0.351 $B</t>
    </r>
  </si>
  <si>
    <r>
      <rPr>
        <sz val="10"/>
        <color rgb="FF0000FF"/>
        <rFont val="Arial"/>
        <family val="0"/>
        <charset val="1"/>
      </rPr>
      <t xml:space="preserve">Reuters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Echo Wang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Krystal Hu</t>
    </r>
    <r>
      <rPr>
        <sz val="10"/>
        <color rgb="FF0000FF"/>
        <rFont val="Noto Sans CJK SC"/>
        <family val="2"/>
      </rPr>
      <t xml:space="preserve">）讀機密 </t>
    </r>
    <r>
      <rPr>
        <sz val="10"/>
        <color rgb="FF0000FF"/>
        <rFont val="Arial"/>
        <family val="0"/>
        <charset val="1"/>
      </rPr>
      <t xml:space="preserve">S-1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Global Banking &amp; Finance https://www.globalbankingandfinance.com/exclusive-anthropic-ipo-prospectus-lays-bare-deep-dependence/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Khaleej Times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</si>
  <si>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 </t>
    </r>
    <r>
      <rPr>
        <sz val="10"/>
        <color rgb="FF0000FF"/>
        <rFont val="Noto Sans CJK SC"/>
        <family val="2"/>
      </rPr>
      <t xml:space="preserve">通路分潤</t>
    </r>
  </si>
  <si>
    <t xml:space="preserve">分潤 ÷ 市集營收 16%；÷ 總營收 7.6%</t>
  </si>
  <si>
    <t xml:space="preserve">採用（X21）：新登錄 SRC_DEM_034–SRC_DEM_037；公開 S-1 出來後升級</t>
  </si>
  <si>
    <t xml:space="preserve">機密 S-1 經 Reuters；分潤為 Reuters 自行分析｜A 段暫編 N09｜chat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</si>
  <si>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SRC_DEM_034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SRC_DEM_037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</si>
  <si>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營收消費訂閱占比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）、約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2.7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預期）、</t>
    </r>
    <r>
      <rPr>
        <sz val="10"/>
        <color rgb="FF0000FF"/>
        <rFont val="Arial"/>
        <family val="0"/>
        <charset val="1"/>
      </rPr>
      <t xml:space="preserve">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12.7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預期）</t>
    </r>
  </si>
  <si>
    <r>
      <rPr>
        <sz val="10"/>
        <color rgb="FF0000FF"/>
        <rFont val="Arial"/>
        <family val="0"/>
        <charset val="1"/>
      </rPr>
      <t xml:space="preserve">CO/AI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Friar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FT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Global Trade Mag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NYT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simonwillison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CTech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</si>
  <si>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t xml:space="preserve">訂閱路線營收（m 追蹤）</t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</si>
  <si>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</si>
  <si>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t xml:space="preserve">訂閱 61–82%</t>
  </si>
  <si>
    <t xml:space="preserve">採用（X22）：新登錄 SRC_DEM_038–SRC_DEM_041；Cap_In H 節訂閱占比 低＝SRC_DEM_041 ÷ SRC_DEM_007、基準＝SRC_DEM_039、高 0.82（藍字）</t>
  </si>
  <si>
    <r>
      <rPr>
        <sz val="10"/>
        <color rgb="FF0000FF"/>
        <rFont val="Arial"/>
        <family val="0"/>
        <charset val="1"/>
      </rPr>
      <t xml:space="preserve">SRC_DEM_007 </t>
    </r>
    <r>
      <rPr>
        <sz val="10"/>
        <color rgb="FF0000FF"/>
        <rFont val="Noto Sans CJK SC"/>
        <family val="2"/>
      </rPr>
      <t xml:space="preserve">只有總額｜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</si>
  <si>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</si>
  <si>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  <r>
      <rPr>
        <sz val="10"/>
        <color rgb="FF0000FF"/>
        <rFont val="Noto Sans CJK SC"/>
        <family val="2"/>
      </rPr>
      <t xml:space="preserve">；消費約 </t>
    </r>
    <r>
      <rPr>
        <sz val="10"/>
        <color rgb="FF0000FF"/>
        <rFont val="Arial"/>
        <family val="0"/>
        <charset val="1"/>
      </rPr>
      <t xml:space="preserve">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</si>
  <si>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WSJ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CryptoBriefing https://cryptobriefing.com/openai-revenue-6-7-billion-q2-2026/</t>
    </r>
  </si>
  <si>
    <t xml:space="preserve">營收時間序列</t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</si>
  <si>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70%</t>
    </r>
  </si>
  <si>
    <t xml:space="preserve">部分採用（X21）：營收新登錄 SRC_DEM_042；70% 與「企業 &gt;40%」口徑重疊，占比不採用</t>
  </si>
  <si>
    <t xml:space="preserve">—｜A 段暫編 N11｜chat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</si>
  <si>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分潤：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2030</t>
    </r>
    <r>
      <rPr>
        <sz val="10"/>
        <color rgb="FF0000FF"/>
        <rFont val="Noto Sans CJK SC"/>
        <family val="2"/>
      </rPr>
      <t xml:space="preserve">、上限 </t>
    </r>
    <r>
      <rPr>
        <sz val="10"/>
        <color rgb="FF0000FF"/>
        <rFont val="Arial"/>
        <family val="0"/>
        <charset val="1"/>
      </rPr>
      <t xml:space="preserve">$38B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轉售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模型的 </t>
    </r>
    <r>
      <rPr>
        <sz val="10"/>
        <color rgb="FF0000FF"/>
        <rFont val="Arial"/>
        <family val="0"/>
        <charset val="1"/>
      </rPr>
      <t xml:space="preserve">20% </t>
    </r>
    <r>
      <rPr>
        <sz val="10"/>
        <color rgb="FF0000FF"/>
        <rFont val="Noto Sans CJK SC"/>
        <family val="2"/>
      </rPr>
      <t xml:space="preserve">回付已停止</t>
    </r>
  </si>
  <si>
    <r>
      <rPr>
        <sz val="10"/>
        <color rgb="FF0000FF"/>
        <rFont val="Arial"/>
        <family val="0"/>
        <charset val="1"/>
      </rPr>
      <t xml:space="preserve">The Decoder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Let's Data Science</t>
    </r>
    <r>
      <rPr>
        <sz val="10"/>
        <color rgb="FF0000FF"/>
        <rFont val="Noto Sans CJK SC"/>
        <family val="2"/>
      </rPr>
      <t xml:space="preserve">（引 </t>
    </r>
    <r>
      <rPr>
        <sz val="10"/>
        <color rgb="FF0000FF"/>
        <rFont val="Arial"/>
        <family val="0"/>
        <charset val="1"/>
      </rPr>
      <t xml:space="preserve">CryptoBriefing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</si>
  <si>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(4)</t>
    </r>
  </si>
  <si>
    <t xml:space="preserve">20%</t>
  </si>
  <si>
    <t xml:space="preserve">部分採用（X22）：20% 新登錄 SRC_DEM_043，SRC_DEM_018 備註補記；$38B 上限待查一手；營收維持毛額（J3）</t>
  </si>
  <si>
    <r>
      <rPr>
        <sz val="10"/>
        <color rgb="FF0000FF"/>
        <rFont val="Arial"/>
        <family val="0"/>
        <charset val="1"/>
      </rPr>
      <t xml:space="preserve">SRC_DEM_018 </t>
    </r>
    <r>
      <rPr>
        <sz val="10"/>
        <color rgb="FF0000FF"/>
        <rFont val="Noto Sans CJK SC"/>
        <family val="2"/>
      </rPr>
      <t xml:space="preserve">備註原已有「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分成 </t>
    </r>
    <r>
      <rPr>
        <sz val="10"/>
        <color rgb="FF0000FF"/>
        <rFont val="Arial"/>
        <family val="0"/>
        <charset val="1"/>
      </rPr>
      <t xml:space="preserve">20%</t>
    </r>
    <r>
      <rPr>
        <sz val="10"/>
        <color rgb="FF0000FF"/>
        <rFont val="Noto Sans CJK SC"/>
        <family val="2"/>
      </rPr>
      <t xml:space="preserve">」｜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</si>
  <si>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SRC_DEM_018</t>
    </r>
  </si>
  <si>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企業部署平均 </t>
    </r>
    <r>
      <rPr>
        <sz val="10"/>
        <color rgb="FF0000FF"/>
        <rFont val="Arial"/>
        <family val="0"/>
        <charset val="1"/>
      </rPr>
      <t xml:space="preserve">$13</t>
    </r>
    <r>
      <rPr>
        <sz val="10"/>
        <color rgb="FF0000FF"/>
        <rFont val="Noto Sans CJK SC"/>
        <family val="2"/>
      </rPr>
      <t xml:space="preserve">／開發者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活躍日（</t>
    </r>
    <r>
      <rPr>
        <sz val="10"/>
        <color rgb="FF0000FF"/>
        <rFont val="Arial"/>
        <family val="0"/>
        <charset val="1"/>
      </rPr>
      <t xml:space="preserve">p90 &lt;$30</t>
    </r>
    <r>
      <rPr>
        <sz val="10"/>
        <color rgb="FF0000FF"/>
        <rFont val="Noto Sans CJK SC"/>
        <family val="2"/>
      </rPr>
      <t xml:space="preserve">），月約 </t>
    </r>
    <r>
      <rPr>
        <sz val="10"/>
        <color rgb="FF0000FF"/>
        <rFont val="Arial"/>
        <family val="0"/>
        <charset val="1"/>
      </rPr>
      <t xml:space="preserve">$150–250</t>
    </r>
    <r>
      <rPr>
        <sz val="10"/>
        <color rgb="FF0000FF"/>
        <rFont val="Noto Sans CJK SC"/>
        <family val="2"/>
      </rPr>
      <t xml:space="preserve">（舊值 </t>
    </r>
    <r>
      <rPr>
        <sz val="10"/>
        <color rgb="FF0000FF"/>
        <rFont val="Arial"/>
        <family val="0"/>
        <charset val="1"/>
      </rPr>
      <t xml:space="preserve">$6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$12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</si>
  <si>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https://code.claude.com/docs/en/costs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2026-10-11 </t>
    </r>
    <r>
      <rPr>
        <sz val="10"/>
        <color rgb="FF0000FF"/>
        <rFont val="Noto Sans CJK SC"/>
        <family val="2"/>
      </rPr>
      <t xml:space="preserve">讀）</t>
    </r>
  </si>
  <si>
    <t xml:space="preserve">程式代理路線每用戶用量（Cap_In H6 對照列）</t>
  </si>
  <si>
    <r>
      <rPr>
        <sz val="10"/>
        <color rgb="FF0000FF"/>
        <rFont val="Arial"/>
        <family val="0"/>
        <charset val="1"/>
      </rPr>
      <t xml:space="preserve">13 $</t>
    </r>
    <r>
      <rPr>
        <sz val="10"/>
        <color rgb="FF0000FF"/>
        <rFont val="Noto Sans CJK SC"/>
        <family val="2"/>
      </rPr>
      <t xml:space="preserve">／日</t>
    </r>
  </si>
  <si>
    <t xml:space="preserve">採用（X21）：新登錄 SRC_DEM_044（高欄＝p90 上限 30）；Cap_In H6 程式代理訂閱 m 對照</t>
  </si>
  <si>
    <t xml:space="preserve">列價口徑；平均 vs p90 → 分布右偏｜A 段暫編 N13｜chat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</si>
  <si>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（對照列，不進合併）</t>
    </r>
  </si>
  <si>
    <r>
      <rPr>
        <sz val="10"/>
        <color rgb="FF0000FF"/>
        <rFont val="Arial"/>
        <family val="0"/>
        <charset val="1"/>
      </rPr>
      <t xml:space="preserve">ChatGPT Enterprise</t>
    </r>
    <r>
      <rPr>
        <sz val="10"/>
        <color rgb="FF0000FF"/>
        <rFont val="Noto Sans CJK SC"/>
        <family val="2"/>
      </rPr>
      <t xml:space="preserve">：員工訊息數 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中位數＝</t>
    </r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；每組織推理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一年 </t>
    </r>
    <r>
      <rPr>
        <sz val="10"/>
        <color rgb="FF0000FF"/>
        <rFont val="Arial"/>
        <family val="0"/>
        <charset val="1"/>
      </rPr>
      <t xml:space="preserve">×320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</si>
  <si>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  <r>
      <rPr>
        <sz val="10"/>
        <color rgb="FF0000FF"/>
        <rFont val="Arial"/>
        <family val="0"/>
        <charset val="1"/>
      </rPr>
      <t xml:space="preserve">https://openai.com/index/the-state-of-enterprise-ai-2025-report/</t>
    </r>
  </si>
  <si>
    <t xml:space="preserve">平均 vs 中位數（重度用戶占比）</t>
  </si>
  <si>
    <r>
      <rPr>
        <sz val="10"/>
        <color rgb="FF0000FF"/>
        <rFont val="Arial"/>
        <family val="0"/>
        <charset val="1"/>
      </rPr>
      <t xml:space="preserve">6 </t>
    </r>
    <r>
      <rPr>
        <sz val="10"/>
        <color rgb="FF0000FF"/>
        <rFont val="Noto Sans CJK SC"/>
        <family val="2"/>
      </rPr>
      <t xml:space="preserve">倍</t>
    </r>
  </si>
  <si>
    <t xml:space="preserve">採用（X21）：新登錄 SRC_DEM_045；分布形狀唯一一手（平均 ÷ 中位數 ≈1.8 為 Derived）</t>
  </si>
  <si>
    <t xml:space="preserve">—｜A 段暫編 N14｜chat 端判定（A 段查證報告 PR #38 J1–J6；J1 調整為 (a′)），Andy 2026-10-11 11:21「了解，接著照建議依序執行」；可撤回｜讀取者：CC（A 段，docs/reports/20261011_v5.32A_查證.md）</t>
  </si>
  <si>
    <r>
      <rPr>
        <sz val="10"/>
        <color rgb="FF0000FF"/>
        <rFont val="Arial"/>
        <family val="0"/>
        <charset val="1"/>
      </rPr>
      <t xml:space="preserve">Pegatron </t>
    </r>
    <r>
      <rPr>
        <sz val="10"/>
        <color rgb="FF0000FF"/>
        <rFont val="Noto Sans CJK SC"/>
        <family val="2"/>
      </rPr>
      <t xml:space="preserve">單一開發者：</t>
    </r>
    <r>
      <rPr>
        <sz val="10"/>
        <color rgb="FF0000FF"/>
        <rFont val="Arial"/>
        <family val="0"/>
        <charset val="1"/>
      </rPr>
      <t xml:space="preserve">548M tok</t>
    </r>
    <r>
      <rPr>
        <sz val="10"/>
        <color rgb="FF0000FF"/>
        <rFont val="Noto Sans CJK SC"/>
        <family val="2"/>
      </rPr>
      <t xml:space="preserve">／日、快取讀 </t>
    </r>
    <r>
      <rPr>
        <sz val="10"/>
        <color rgb="FF0000FF"/>
        <rFont val="Arial"/>
        <family val="0"/>
        <charset val="1"/>
      </rPr>
      <t xml:space="preserve">99.3%</t>
    </r>
    <r>
      <rPr>
        <sz val="10"/>
        <color rgb="FF0000FF"/>
        <rFont val="Noto Sans CJK SC"/>
        <family val="2"/>
      </rPr>
      <t xml:space="preserve">、輸入 </t>
    </r>
    <r>
      <rPr>
        <sz val="10"/>
        <color rgb="FF0000FF"/>
        <rFont val="Arial"/>
        <family val="0"/>
        <charset val="1"/>
      </rPr>
      <t xml:space="preserve">99.9%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9,987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</si>
  <si>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Peng </t>
    </r>
    <r>
      <rPr>
        <sz val="10"/>
        <color rgb="FF0000FF"/>
        <rFont val="Noto Sans CJK SC"/>
        <family val="2"/>
      </rPr>
      <t xml:space="preserve">等（</t>
    </r>
    <r>
      <rPr>
        <sz val="10"/>
        <color rgb="FF0000FF"/>
        <rFont val="Arial"/>
        <family val="0"/>
        <charset val="1"/>
      </rPr>
      <t xml:space="preserve">Pegatron PEGAVERSE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arXiv:2607.13080 https://arxiv.org/pdf/2607.13080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</si>
  <si>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</si>
  <si>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）高端；程式代理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組合</t>
    </r>
  </si>
  <si>
    <r>
      <rPr>
        <sz val="10"/>
        <color rgb="FF0000FF"/>
        <rFont val="Arial"/>
        <family val="0"/>
        <charset val="1"/>
      </rPr>
      <t xml:space="preserve">0.55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0.3–0.75</t>
    </r>
    <r>
      <rPr>
        <sz val="10"/>
        <color rgb="FF0000FF"/>
        <rFont val="Noto Sans CJK SC"/>
        <family val="2"/>
      </rPr>
      <t xml:space="preserve">）</t>
    </r>
  </si>
  <si>
    <t xml:space="preserve">0.993</t>
  </si>
  <si>
    <t xml:space="preserve">部分採用（X21）：新登錄 SRC_DEM_046、SRC_DEM_047（只登錄；Cap_In C13 不改）；Cap_In H6 單價結構對照低端</t>
  </si>
  <si>
    <r>
      <rPr>
        <sz val="10"/>
        <color rgb="FF0000FF"/>
        <rFont val="Arial"/>
        <family val="0"/>
        <charset val="1"/>
      </rPr>
      <t xml:space="preserve">SRC_DEM_014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015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全市場平均｜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</si>
  <si>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SRC_DEM_046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SRC_DEM_047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SRC_DEM_014</t>
    </r>
  </si>
  <si>
    <r>
      <rPr>
        <sz val="10"/>
        <color rgb="FF000000"/>
        <rFont val="Arial"/>
        <family val="0"/>
        <charset val="1"/>
      </rPr>
      <t xml:space="preserve">Cap_In H6</t>
    </r>
    <r>
      <rPr>
        <sz val="10"/>
        <color rgb="FF000000"/>
        <rFont val="Noto Sans CJK SC"/>
        <family val="2"/>
      </rPr>
      <t xml:space="preserve">（對照列）</t>
    </r>
  </si>
  <si>
    <r>
      <rPr>
        <sz val="10"/>
        <color rgb="FF0000FF"/>
        <rFont val="Arial"/>
        <family val="0"/>
        <charset val="1"/>
      </rPr>
      <t xml:space="preserve">Requesty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Claude Code </t>
    </r>
    <r>
      <rPr>
        <sz val="10"/>
        <color rgb="FF0000FF"/>
        <rFont val="Noto Sans CJK SC"/>
        <family val="2"/>
      </rPr>
      <t xml:space="preserve">快取命中 </t>
    </r>
    <r>
      <rPr>
        <sz val="10"/>
        <color rgb="FF0000FF"/>
        <rFont val="Arial"/>
        <family val="0"/>
        <charset val="1"/>
      </rPr>
      <t xml:space="preserve">91.9%</t>
    </r>
    <r>
      <rPr>
        <sz val="10"/>
        <color rgb="FF0000FF"/>
        <rFont val="Noto Sans CJK SC"/>
        <family val="2"/>
      </rPr>
      <t xml:space="preserve">（其他代理 </t>
    </r>
    <r>
      <rPr>
        <sz val="10"/>
        <color rgb="FF0000FF"/>
        <rFont val="Arial"/>
        <family val="0"/>
        <charset val="1"/>
      </rPr>
      <t xml:space="preserve">46–89%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</si>
  <si>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https://www.requesty.ai/data/coding-agent-cache-hit-rate-apr-2026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2026-05-16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</si>
  <si>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C13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χ</t>
    </r>
    <r>
      <rPr>
        <sz val="10"/>
        <color rgb="FF0000FF"/>
        <rFont val="Noto Sans CJK SC"/>
        <family val="2"/>
      </rPr>
      <t xml:space="preserve">）</t>
    </r>
  </si>
  <si>
    <t xml:space="preserve">0.92</t>
  </si>
  <si>
    <t xml:space="preserve">部分採用（X21）：新登錄 SRC_DEM_048（只登錄；Cap_In C13 不改）；Cap_In H6 單價結構對照基準</t>
  </si>
  <si>
    <t xml:space="preserve">樣本數未揭露；程式代理 χ 高於 Cap_In 高端 0.75｜A 段暫編 N16｜chat 端判定（A 段查證報告 PR #38 J1–J6；J1 調整為 (a′)），Andy 2026-10-11 11:21「了解，接著照建議依序執行」；可撤回｜讀取者：CC（A 段，docs/reports/20261011_v5.32A_查證.md）</t>
  </si>
  <si>
    <t xml:space="preserve">E295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</si>
  <si>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每週上限：影響 </t>
    </r>
    <r>
      <rPr>
        <sz val="10"/>
        <color rgb="FF0000FF"/>
        <rFont val="Arial"/>
        <family val="0"/>
        <charset val="1"/>
      </rPr>
      <t xml:space="preserve">&lt;5% </t>
    </r>
    <r>
      <rPr>
        <sz val="10"/>
        <color rgb="FF0000FF"/>
        <rFont val="Noto Sans CJK SC"/>
        <family val="2"/>
      </rPr>
      <t xml:space="preserve">訂閱者；「一位用戶在 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方案上用掉數萬美元的模型用量」</t>
    </r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</si>
  <si>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聲明，經 </t>
    </r>
    <r>
      <rPr>
        <sz val="10"/>
        <color rgb="FF0000FF"/>
        <rFont val="Arial"/>
        <family val="0"/>
        <charset val="1"/>
      </rPr>
      <t xml:space="preserve">https://simonwillison.net/2025/Jul/28/anthropic/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2025-07-28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</si>
  <si>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（公司聲明，經轉載）／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</si>
  <si>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 </t>
    </r>
    <r>
      <rPr>
        <sz val="10"/>
        <color rgb="FF0000FF"/>
        <rFont val="Noto Sans CJK SC"/>
        <family val="2"/>
      </rPr>
      <t xml:space="preserve">訂閱吃到飽（定性）</t>
    </r>
  </si>
  <si>
    <t xml:space="preserve">採用（定性）：重度用戶補貼的一手定性證據；不登錄 SRC（無數值）</t>
  </si>
  <si>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有放大濫用的誘因｜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N17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#38 J1–J6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J1 </t>
    </r>
    <r>
      <rPr>
        <sz val="10"/>
        <color rgb="FF0000FF"/>
        <rFont val="Noto Sans CJK SC"/>
        <family val="2"/>
      </rPr>
      <t xml:space="preserve">調整為 </t>
    </r>
    <r>
      <rPr>
        <sz val="10"/>
        <color rgb="FF0000FF"/>
        <rFont val="Arial"/>
        <family val="0"/>
        <charset val="1"/>
      </rPr>
      <t xml:space="preserve">(a′)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2026-10-11 11:21</t>
    </r>
    <r>
      <rPr>
        <sz val="10"/>
        <color rgb="FF0000FF"/>
        <rFont val="Noto Sans CJK SC"/>
        <family val="2"/>
      </rPr>
      <t xml:space="preserve">「了解，接著照建議依序執行」；可撤回｜讀取者：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docs/reports/20261011_v5.32A_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</si>
  <si>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E296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</si>
  <si>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方案上限用量值 </t>
    </r>
    <r>
      <rPr>
        <sz val="10"/>
        <color rgb="FF0000FF"/>
        <rFont val="Arial"/>
        <family val="0"/>
        <charset val="1"/>
      </rPr>
      <t xml:space="preserve">$8k–14k </t>
    </r>
    <r>
      <rPr>
        <sz val="10"/>
        <color rgb="FF0000FF"/>
        <rFont val="Noto Sans CJK SC"/>
        <family val="2"/>
      </rPr>
      <t xml:space="preserve">列價（</t>
    </r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倍月費）</t>
    </r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</si>
  <si>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X </t>
    </r>
    <r>
      <rPr>
        <sz val="10"/>
        <color rgb="FF0000FF"/>
        <rFont val="Noto Sans CJK SC"/>
        <family val="2"/>
      </rPr>
      <t xml:space="preserve">貼文），經 </t>
    </r>
    <r>
      <rPr>
        <sz val="10"/>
        <color rgb="FF0000FF"/>
        <rFont val="Arial"/>
        <family val="0"/>
        <charset val="1"/>
      </rPr>
      <t xml:space="preserve">https://pasqualepillitteri.it/en/news/4793/semianalysis-token-value-claude-chatgpt-plans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</si>
  <si>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</si>
  <si>
    <r>
      <rPr>
        <sz val="10"/>
        <color rgb="FF0000FF"/>
        <rFont val="Arial"/>
        <family val="0"/>
        <charset val="1"/>
      </rPr>
      <t xml:space="preserve">35–70 </t>
    </r>
    <r>
      <rPr>
        <sz val="10"/>
        <color rgb="FF0000FF"/>
        <rFont val="Noto Sans CJK SC"/>
        <family val="2"/>
      </rPr>
      <t xml:space="preserve">倍</t>
    </r>
  </si>
  <si>
    <t xml:space="preserve">不採用為數值（SemiAnalysis 不可單獨引用）；登錄為已看過，方向與 N17 一致</t>
  </si>
  <si>
    <t xml:space="preserve">上限用量，不是平均｜A 段暫編 N18｜chat 端判定（A 段查證報告 PR #38 J1–J6；J1 調整為 (a′)），Andy 2026-10-11 11:21「了解，接著照建議依序執行」；可撤回｜讀取者：CC（A 段，docs/reports/20261011_v5.32A_查證.md）</t>
  </si>
  <si>
    <t xml:space="preserve">E297</t>
  </si>
  <si>
    <r>
      <rPr>
        <sz val="10"/>
        <color rgb="FF0000FF"/>
        <rFont val="Arial"/>
        <family val="0"/>
        <charset val="1"/>
      </rPr>
      <t xml:space="preserve">OpenAI Plus </t>
    </r>
    <r>
      <rPr>
        <sz val="10"/>
        <color rgb="FF0000FF"/>
        <rFont val="Noto Sans CJK SC"/>
        <family val="2"/>
      </rPr>
      <t xml:space="preserve">恢復 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小時上限（</t>
    </r>
    <r>
      <rPr>
        <sz val="10"/>
        <color rgb="FF0000FF"/>
        <rFont val="Arial"/>
        <family val="0"/>
        <charset val="1"/>
      </rPr>
      <t xml:space="preserve">2026-08-25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ChatGPT Pro 500 </t>
    </r>
    <r>
      <rPr>
        <sz val="10"/>
        <color rgb="FF0000FF"/>
        <rFont val="Noto Sans CJK SC"/>
        <family val="2"/>
      </rPr>
      <t xml:space="preserve">額度＝</t>
    </r>
    <r>
      <rPr>
        <sz val="10"/>
        <color rgb="FF0000FF"/>
        <rFont val="Arial"/>
        <family val="0"/>
        <charset val="1"/>
      </rPr>
      <t xml:space="preserve">Plus 25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</si>
  <si>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9to5Mac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Sottiaux </t>
    </r>
    <r>
      <rPr>
        <sz val="10"/>
        <color rgb="FF0000FF"/>
        <rFont val="Noto Sans CJK SC"/>
        <family val="2"/>
      </rPr>
      <t xml:space="preserve">於 </t>
    </r>
    <r>
      <rPr>
        <sz val="10"/>
        <color rgb="FF0000FF"/>
        <rFont val="Arial"/>
        <family val="0"/>
        <charset val="1"/>
      </rPr>
      <t xml:space="preserve">X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2026-08-24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OpenAI DevDay 2026 https://openai.com/index/devday-2026-recap/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</si>
  <si>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1–2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</si>
  <si>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(1)</t>
    </r>
    <r>
      <rPr>
        <sz val="10"/>
        <color rgb="FF0000FF"/>
        <rFont val="Noto Sans CJK SC"/>
        <family val="2"/>
      </rPr>
      <t xml:space="preserve">（定性）</t>
    </r>
  </si>
  <si>
    <t xml:space="preserve">採用（定性）：方案之間每單位額度價格接近，補貼集中在用量接近上限者；不登錄 SRC</t>
  </si>
  <si>
    <t xml:space="preserve">—｜A 段暫編 N19｜chat 端判定（A 段查證報告 PR #38 J1–J6；J1 調整為 (a′)），Andy 2026-10-11 11:21「了解，接著照建議依序執行」；可撤回｜讀取者：CC（A 段，docs/reports/20261011_v5.32A_查證.md）</t>
  </si>
  <si>
    <t xml:space="preserve">E298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</si>
  <si>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資料分享換免費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：每組織每日 </t>
    </r>
    <r>
      <rPr>
        <sz val="10"/>
        <color rgb="FF0000FF"/>
        <rFont val="Arial"/>
        <family val="0"/>
        <charset val="1"/>
      </rPr>
      <t xml:space="preserve">0.25–10M</t>
    </r>
    <r>
      <rPr>
        <sz val="10"/>
        <color rgb="FF0000FF"/>
        <rFont val="Noto Sans CJK SC"/>
        <family val="2"/>
      </rPr>
      <t xml:space="preserve">（依等級）</t>
    </r>
  </si>
  <si>
    <t xml:space="preserve">OpenAI Help Center https://help.openai.com/en/articles/10306912-sharing-feedback-evaluation-and-fine-tuning-data-and-api-inputs-and-outputs-with-openai</t>
  </si>
  <si>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偏離來源 </t>
    </r>
    <r>
      <rPr>
        <sz val="10"/>
        <color rgb="FF0000FF"/>
        <rFont val="Arial"/>
        <family val="0"/>
        <charset val="1"/>
      </rPr>
      <t xml:space="preserve">(5) </t>
    </r>
    <r>
      <rPr>
        <sz val="10"/>
        <color rgb="FF0000FF"/>
        <rFont val="Noto Sans CJK SC"/>
        <family val="2"/>
      </rPr>
      <t xml:space="preserve">付費帳戶內免費額度</t>
    </r>
  </si>
  <si>
    <r>
      <rPr>
        <sz val="10"/>
        <color rgb="FF0000FF"/>
        <rFont val="Arial"/>
        <family val="0"/>
        <charset val="1"/>
      </rPr>
      <t xml:space="preserve">0.25–10 M</t>
    </r>
    <r>
      <rPr>
        <sz val="10"/>
        <color rgb="FF0000FF"/>
        <rFont val="Noto Sans CJK SC"/>
        <family val="2"/>
      </rPr>
      <t xml:space="preserve">／日</t>
    </r>
  </si>
  <si>
    <t xml:space="preserve">部分採用：機制存在；總量未揭露，不量化、不登錄 SRC</t>
  </si>
  <si>
    <t xml:space="preserve">參與組織數未揭露｜A 段暫編 N20｜chat 端判定（A 段查證報告 PR #38 J1–J6；J1 調整為 (a′)），Andy 2026-10-11 11:21「了解，接著照建議依序執行」；可撤回｜讀取者：CC（A 段，docs/reports/20261011_v5.32A_查證.md）</t>
  </si>
  <si>
    <t xml:space="preserve">E299</t>
  </si>
  <si>
    <r>
      <rPr>
        <sz val="10"/>
        <color rgb="FF0000FF"/>
        <rFont val="Arial"/>
        <family val="0"/>
        <charset val="1"/>
      </rPr>
      <t xml:space="preserve">MiniMax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Talkie </t>
    </r>
    <r>
      <rPr>
        <sz val="10"/>
        <color rgb="FF0000FF"/>
        <rFont val="Noto Sans CJK SC"/>
        <family val="2"/>
      </rPr>
      <t xml:space="preserve">付費 </t>
    </r>
    <r>
      <rPr>
        <sz val="10"/>
        <color rgb="FF0000FF"/>
        <rFont val="Arial"/>
        <family val="0"/>
        <charset val="1"/>
      </rPr>
      <t xml:space="preserve">139 </t>
    </r>
    <r>
      <rPr>
        <sz val="10"/>
        <color rgb="FF0000FF"/>
        <rFont val="Noto Sans CJK SC"/>
        <family val="2"/>
      </rPr>
      <t xml:space="preserve">萬、海螺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31 </t>
    </r>
    <r>
      <rPr>
        <sz val="10"/>
        <color rgb="FF0000FF"/>
        <rFont val="Noto Sans CJK SC"/>
        <family val="2"/>
      </rPr>
      <t xml:space="preserve">萬、企業客戶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2025-09-30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</si>
  <si>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招股書（經 </t>
    </r>
    <r>
      <rPr>
        <sz val="10"/>
        <color rgb="FF0000FF"/>
        <rFont val="Arial"/>
        <family val="0"/>
        <charset val="1"/>
      </rPr>
      <t xml:space="preserve">Deep News https://www.itiger.com/news/1162773889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</si>
  <si>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（經二手）／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</si>
  <si>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MiniMax </t>
    </r>
    <r>
      <rPr>
        <sz val="10"/>
        <color rgb="FF0000FF"/>
        <rFont val="Noto Sans CJK SC"/>
        <family val="2"/>
      </rPr>
      <t xml:space="preserve">模型（不在 </t>
    </r>
    <r>
      <rPr>
        <sz val="10"/>
        <color rgb="FF0000FF"/>
        <rFont val="Arial"/>
        <family val="0"/>
        <charset val="1"/>
      </rPr>
      <t xml:space="preserve">Tokenomics</t>
    </r>
    <r>
      <rPr>
        <sz val="10"/>
        <color rgb="FF0000FF"/>
        <rFont val="Noto Sans CJK SC"/>
        <family val="2"/>
      </rPr>
      <t xml:space="preserve">）</t>
    </r>
  </si>
  <si>
    <t xml:space="preserve">不採用：Tokenomics 只追 OpenAI；轉交 MiniMax 模型</t>
  </si>
  <si>
    <t xml:space="preserve">招股書原檔本輪未讀｜A 段暫編 N21｜chat 端判定（A 段查證報告 PR #38 J1–J6；J1 調整為 (a′)），Andy 2026-10-11 11:21「了解，接著照建議依序執行」；可撤回｜讀取者：CC（A 段，docs/reports/20261011_v5.32A_查證.md）</t>
  </si>
  <si>
    <t xml:space="preserve">E300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</si>
  <si>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付費訂閱 </t>
    </r>
    <r>
      <rPr>
        <sz val="10"/>
        <color rgb="FF0000FF"/>
        <rFont val="Arial"/>
        <family val="0"/>
        <charset val="1"/>
      </rPr>
      <t xml:space="preserve">3.5 </t>
    </r>
    <r>
      <rPr>
        <sz val="10"/>
        <color rgb="FF0000FF"/>
        <rFont val="Noto Sans CJK SC"/>
        <family val="2"/>
      </rPr>
      <t xml:space="preserve">億（全部 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服務，</t>
    </r>
    <r>
      <rPr>
        <sz val="10"/>
        <color rgb="FF0000FF"/>
        <rFont val="Arial"/>
        <family val="0"/>
        <charset val="1"/>
      </rPr>
      <t xml:space="preserve">2026 Q1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</si>
  <si>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Alphabet Q1 2026 </t>
    </r>
    <r>
      <rPr>
        <sz val="10"/>
        <color rgb="FF0000FF"/>
        <rFont val="Noto Sans CJK SC"/>
        <family val="2"/>
      </rPr>
      <t xml:space="preserve">法說，經 </t>
    </r>
    <r>
      <rPr>
        <sz val="10"/>
        <color rgb="FF0000FF"/>
        <rFont val="Arial"/>
        <family val="0"/>
        <charset val="1"/>
      </rPr>
      <t xml:space="preserve">9to5Google</t>
    </r>
  </si>
  <si>
    <t xml:space="preserve">350 M</t>
  </si>
  <si>
    <t xml:space="preserve">不採用：未拆 AI 方案</t>
  </si>
  <si>
    <t xml:space="preserve">口徑含 YouTube、Google One｜A 段暫編 N22｜chat 端判定（A 段查證報告 PR #38 J1–J6；J1 調整為 (a′)），Andy 2026-10-11 11:21「了解，接著照建議依序執行」；可撤回｜讀取者：CC（A 段，docs/reports/20261011_v5.32A_查證.md）</t>
  </si>
  <si>
    <t xml:space="preserve">E301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</si>
  <si>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每週用戶約 </t>
    </r>
    <r>
      <rPr>
        <sz val="10"/>
        <color rgb="FF0000FF"/>
        <rFont val="Arial"/>
        <family val="0"/>
        <charset val="1"/>
      </rPr>
      <t xml:space="preserve">800 </t>
    </r>
    <r>
      <rPr>
        <sz val="10"/>
        <color rgb="FF0000FF"/>
        <rFont val="Noto Sans CJK SC"/>
        <family val="2"/>
      </rPr>
      <t xml:space="preserve">萬（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</si>
  <si>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getpanto </t>
    </r>
    <r>
      <rPr>
        <sz val="10"/>
        <color rgb="FF0000FF"/>
        <rFont val="Noto Sans CJK SC"/>
        <family val="2"/>
      </rPr>
      <t xml:space="preserve">彙整 </t>
    </r>
    <r>
      <rPr>
        <sz val="10"/>
        <color rgb="FF0000FF"/>
        <rFont val="Arial"/>
        <family val="0"/>
        <charset val="1"/>
      </rPr>
      <t xml:space="preserve">https://www.getpanto.ai/blog/codex-ai-statistics</t>
    </r>
    <r>
      <rPr>
        <sz val="10"/>
        <color rgb="FF0000FF"/>
        <rFont val="Noto Sans CJK SC"/>
        <family val="2"/>
      </rPr>
      <t xml:space="preserve">（未附原始出處）</t>
    </r>
  </si>
  <si>
    <t xml:space="preserve">程式代理路線用戶數</t>
  </si>
  <si>
    <t xml:space="preserve">約 8 M</t>
  </si>
  <si>
    <t xml:space="preserve">待查：彙整站未附原始出處 ｜v5.33 已查證（E314，N13）：8M 有出處＝Altman X 2026-07-14，經 Fortune；登錄 SRC_DEM_060</t>
  </si>
  <si>
    <t xml:space="preserve">—｜A 段暫編 N23｜chat 端判定（A 段查證報告 PR #38 J1–J6；J1 調整為 (a′)），Andy 2026-10-11 11:21「了解，接著照建議依序執行」；可撤回｜讀取者：CC（A 段，docs/reports/20261011_v5.32A_查證.md）</t>
  </si>
  <si>
    <t xml:space="preserve">不明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</si>
  <si>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每日訊息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日平均：</t>
    </r>
    <r>
      <rPr>
        <sz val="10"/>
        <color rgb="FF0000FF"/>
        <rFont val="Arial"/>
        <family val="0"/>
        <charset val="1"/>
      </rPr>
      <t xml:space="preserve">2024-06 451M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2025-06 2,627M</t>
    </r>
    <r>
      <rPr>
        <sz val="10"/>
        <color rgb="FF0000FF"/>
        <rFont val="Noto Sans CJK SC"/>
        <family val="2"/>
      </rPr>
      <t xml:space="preserve">；工作占比 </t>
    </r>
    <r>
      <rPr>
        <sz val="10"/>
        <color rgb="FF0000FF"/>
        <rFont val="Arial"/>
        <family val="0"/>
        <charset val="1"/>
      </rPr>
      <t xml:space="preserve">47% → 27%</t>
    </r>
    <r>
      <rPr>
        <sz val="10"/>
        <color rgb="FF0000FF"/>
        <rFont val="Noto Sans CJK SC"/>
        <family val="2"/>
      </rPr>
      <t xml:space="preserve">；消費方案口徑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</si>
  <si>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（表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</si>
  <si>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的時間序列前後點</t>
    </r>
  </si>
  <si>
    <r>
      <rPr>
        <sz val="10"/>
        <color rgb="FF0000FF"/>
        <rFont val="Arial"/>
        <family val="0"/>
        <charset val="1"/>
      </rPr>
      <t xml:space="preserve">2.5 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</si>
  <si>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0.451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2.627 B</t>
    </r>
  </si>
  <si>
    <t xml:space="preserve">採用（X27）：新登錄 SRC_DEM_049、SRC_DEM_050（兩時點各一筆）；SRC_DEM_012 不改（2025 全年平均取 2.5 B，2.2–2.7）</t>
  </si>
  <si>
    <t xml:space="preserve">一手已讀；論文期間正值融資；只含消費方案｜A 段暫編 N01｜chat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</si>
  <si>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SRC_DEM_049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SRC_DEM_050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SRC_DEM_012</t>
    </r>
  </si>
  <si>
    <r>
      <rPr>
        <sz val="10"/>
        <color rgb="FF000000"/>
        <rFont val="Arial"/>
        <family val="0"/>
        <charset val="1"/>
      </rPr>
      <t xml:space="preserve">AL_DChat</t>
    </r>
    <r>
      <rPr>
        <sz val="10"/>
        <color rgb="FF000000"/>
        <rFont val="Noto Sans CJK SC"/>
        <family val="2"/>
      </rPr>
      <t xml:space="preserve">（若改全年平均；本版未改）</t>
    </r>
  </si>
  <si>
    <r>
      <rPr>
        <sz val="10"/>
        <color rgb="FF0000FF"/>
        <rFont val="Arial"/>
        <family val="0"/>
        <charset val="1"/>
      </rPr>
      <t xml:space="preserve">NBER </t>
    </r>
    <r>
      <rPr>
        <sz val="10"/>
        <color rgb="FF0000FF"/>
        <rFont val="Noto Sans CJK SC"/>
        <family val="2"/>
      </rPr>
      <t xml:space="preserve">多媒體類訊息 </t>
    </r>
    <r>
      <rPr>
        <sz val="10"/>
        <color rgb="FF0000FF"/>
        <rFont val="Arial"/>
        <family val="0"/>
        <charset val="1"/>
      </rPr>
      <t xml:space="preserve">2% → 7%</t>
    </r>
    <r>
      <rPr>
        <sz val="10"/>
        <color rgb="FF0000FF"/>
        <rFont val="Noto Sans CJK SC"/>
        <family val="2"/>
      </rPr>
      <t xml:space="preserve">；無每則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、無方案別占比、無分布</t>
    </r>
  </si>
  <si>
    <r>
      <rPr>
        <sz val="10"/>
        <color rgb="FF0000FF"/>
        <rFont val="Arial"/>
        <family val="0"/>
        <charset val="1"/>
      </rPr>
      <t xml:space="preserve">NBER WP 34255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How People Use ChatGPT</t>
    </r>
    <r>
      <rPr>
        <sz val="10"/>
        <color rgb="FF0000FF"/>
        <rFont val="Noto Sans CJK SC"/>
        <family val="2"/>
      </rPr>
      <t xml:space="preserve">》（</t>
    </r>
    <r>
      <rPr>
        <sz val="10"/>
        <color rgb="FF0000FF"/>
        <rFont val="Arial"/>
        <family val="0"/>
        <charset val="1"/>
      </rPr>
      <t xml:space="preserve">Chatterji </t>
    </r>
    <r>
      <rPr>
        <sz val="10"/>
        <color rgb="FF0000FF"/>
        <rFont val="Noto Sans CJK SC"/>
        <family val="2"/>
      </rPr>
      <t xml:space="preserve">等，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研究者合著）</t>
    </r>
    <r>
      <rPr>
        <sz val="10"/>
        <color rgb="FF0000FF"/>
        <rFont val="Arial"/>
        <family val="0"/>
        <charset val="1"/>
      </rPr>
      <t xml:space="preserve">https://www.nber.org/system/files/working_papers/w34255/w34255.pdf</t>
    </r>
    <r>
      <rPr>
        <sz val="10"/>
        <color rgb="FF0000FF"/>
        <rFont val="Noto Sans CJK SC"/>
        <family val="2"/>
      </rPr>
      <t xml:space="preserve">（第 </t>
    </r>
    <r>
      <rPr>
        <sz val="10"/>
        <color rgb="FF0000FF"/>
        <rFont val="Arial"/>
        <family val="0"/>
        <charset val="1"/>
      </rPr>
      <t xml:space="preserve">5.2 </t>
    </r>
    <r>
      <rPr>
        <sz val="10"/>
        <color rgb="FF0000FF"/>
        <rFont val="Noto Sans CJK SC"/>
        <family val="2"/>
      </rPr>
      <t xml:space="preserve">節、第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節）</t>
    </r>
  </si>
  <si>
    <t xml:space="preserve">非文字份額（1.4；Cap_In H7 對照列）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</si>
  <si>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（訊息）</t>
    </r>
  </si>
  <si>
    <t xml:space="preserve">採用（X31）：新登錄 SRC_DEM_051；非文字份額唯一一手代理；「不存在於該文」事項一併登錄（每則 token、方案別占比、分布）</t>
  </si>
  <si>
    <t xml:space="preserve">訊息口徑非營收口徑｜A 段暫編 N02｜chat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</si>
  <si>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非文字對照列（份額為 </t>
    </r>
    <r>
      <rPr>
        <sz val="10"/>
        <color rgb="FF000000"/>
        <rFont val="Arial"/>
        <family val="0"/>
        <charset val="1"/>
      </rPr>
      <t xml:space="preserve">Assumed </t>
    </r>
    <r>
      <rPr>
        <sz val="10"/>
        <color rgb="FF000000"/>
        <rFont val="Noto Sans CJK SC"/>
        <family val="2"/>
      </rPr>
      <t xml:space="preserve">藍字）</t>
    </r>
  </si>
  <si>
    <r>
      <rPr>
        <sz val="10"/>
        <color rgb="FF0000FF"/>
        <rFont val="Arial"/>
        <family val="0"/>
        <charset val="1"/>
      </rPr>
      <t xml:space="preserve">LMSYS-Chat-1M</t>
    </r>
    <r>
      <rPr>
        <sz val="10"/>
        <color rgb="FF0000FF"/>
        <rFont val="Noto Sans CJK SC"/>
        <family val="2"/>
      </rPr>
      <t xml:space="preserve">：每則提示 </t>
    </r>
    <r>
      <rPr>
        <sz val="10"/>
        <color rgb="FF0000FF"/>
        <rFont val="Arial"/>
        <family val="0"/>
        <charset val="1"/>
      </rPr>
      <t xml:space="preserve">69.5</t>
    </r>
    <r>
      <rPr>
        <sz val="10"/>
        <color rgb="FF0000FF"/>
        <rFont val="Noto Sans CJK SC"/>
        <family val="2"/>
      </rPr>
      <t xml:space="preserve">、回覆 </t>
    </r>
    <r>
      <rPr>
        <sz val="10"/>
        <color rgb="FF0000FF"/>
        <rFont val="Arial"/>
        <family val="0"/>
        <charset val="1"/>
      </rPr>
      <t xml:space="preserve">214.5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2.0 </t>
    </r>
    <r>
      <rPr>
        <sz val="10"/>
        <color rgb="FF0000FF"/>
        <rFont val="Noto Sans CJK SC"/>
        <family val="2"/>
      </rPr>
      <t xml:space="preserve">輪</t>
    </r>
  </si>
  <si>
    <r>
      <rPr>
        <sz val="10"/>
        <color rgb="FF0000FF"/>
        <rFont val="Arial"/>
        <family val="0"/>
        <charset val="1"/>
      </rPr>
      <t xml:space="preserve">arXiv 2309.11998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https://arxiv.org/pdf/2309.11998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</si>
  <si>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</si>
  <si>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Alloc_In 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(a)(e)</t>
    </r>
  </si>
  <si>
    <t xml:space="preserve">4,000</t>
  </si>
  <si>
    <r>
      <rPr>
        <sz val="10"/>
        <color rgb="FF0000FF"/>
        <rFont val="Arial"/>
        <family val="0"/>
        <charset val="1"/>
      </rPr>
      <t xml:space="preserve">284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</si>
  <si>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SRC_DEM_052（2023 Arena 用戶；只作下界）</t>
  </si>
  <si>
    <r>
      <rPr>
        <sz val="10"/>
        <color rgb="FF0000FF"/>
        <rFont val="Arial"/>
        <family val="0"/>
        <charset val="1"/>
      </rPr>
      <t xml:space="preserve">Decisions C4 </t>
    </r>
    <r>
      <rPr>
        <sz val="10"/>
        <color rgb="FF0000FF"/>
        <rFont val="Noto Sans CJK SC"/>
        <family val="2"/>
      </rPr>
      <t xml:space="preserve">已登錄資料集名稱，未登錄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數｜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</si>
  <si>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WildChat</t>
    </r>
    <r>
      <rPr>
        <sz val="10"/>
        <color rgb="FF0000FF"/>
        <rFont val="Noto Sans CJK SC"/>
        <family val="2"/>
      </rPr>
      <t xml:space="preserve">：每則 </t>
    </r>
    <r>
      <rPr>
        <sz val="10"/>
        <color rgb="FF0000FF"/>
        <rFont val="Arial"/>
        <family val="0"/>
        <charset val="1"/>
      </rPr>
      <t xml:space="preserve">295.6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441.3 tok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2.54 </t>
    </r>
    <r>
      <rPr>
        <sz val="10"/>
        <color rgb="FF0000FF"/>
        <rFont val="Noto Sans CJK SC"/>
        <family val="2"/>
      </rPr>
      <t xml:space="preserve">輪；</t>
    </r>
    <r>
      <rPr>
        <sz val="10"/>
        <color rgb="FF0000FF"/>
        <rFont val="Arial"/>
        <family val="0"/>
        <charset val="1"/>
      </rPr>
      <t xml:space="preserve">sd 1,609</t>
    </r>
  </si>
  <si>
    <r>
      <rPr>
        <sz val="10"/>
        <color rgb="FF0000FF"/>
        <rFont val="Arial"/>
        <family val="0"/>
        <charset val="1"/>
      </rPr>
      <t xml:space="preserve">arXiv 2405.01470 </t>
    </r>
    <r>
      <rPr>
        <sz val="10"/>
        <color rgb="FF0000FF"/>
        <rFont val="Noto Sans CJK SC"/>
        <family val="2"/>
      </rPr>
      <t xml:space="preserve">表 </t>
    </r>
    <r>
      <rPr>
        <sz val="10"/>
        <color rgb="FF0000FF"/>
        <rFont val="Arial"/>
        <family val="0"/>
        <charset val="1"/>
      </rPr>
      <t xml:space="preserve">1 https://arxiv.org/pdf/2405.01470</t>
    </r>
  </si>
  <si>
    <r>
      <rPr>
        <sz val="10"/>
        <color rgb="FF0000FF"/>
        <rFont val="Arial"/>
        <family val="0"/>
        <charset val="1"/>
      </rPr>
      <t xml:space="preserve">737</t>
    </r>
    <r>
      <rPr>
        <sz val="10"/>
        <color rgb="FF0000FF"/>
        <rFont val="Noto Sans CJK SC"/>
        <family val="2"/>
      </rPr>
      <t xml:space="preserve">／則（</t>
    </r>
    <r>
      <rPr>
        <sz val="10"/>
        <color rgb="FF0000FF"/>
        <rFont val="Arial"/>
        <family val="0"/>
        <charset val="1"/>
      </rPr>
      <t xml:space="preserve">a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e</t>
    </r>
    <r>
      <rPr>
        <sz val="10"/>
        <color rgb="FF0000FF"/>
        <rFont val="Noto Sans CJK SC"/>
        <family val="2"/>
      </rPr>
      <t xml:space="preserve">）</t>
    </r>
  </si>
  <si>
    <t xml:space="preserve">部分採用（X29）：新登錄 SRC_DEM_053（分布右偏證據）</t>
  </si>
  <si>
    <t xml:space="preserve">同上｜A 段暫編 N04｜chat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</si>
  <si>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：推理模型每日用戶占比，免費 </t>
    </r>
    <r>
      <rPr>
        <sz val="10"/>
        <color rgb="FF0000FF"/>
        <rFont val="Arial"/>
        <family val="0"/>
        <charset val="1"/>
      </rPr>
      <t xml:space="preserve">&lt;1% → 7%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Plus 7% → 24%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 </t>
    </r>
    <r>
      <rPr>
        <sz val="10"/>
        <color rgb="FF0000FF"/>
        <rFont val="Noto Sans CJK SC"/>
        <family val="2"/>
      </rPr>
      <t xml:space="preserve">後）</t>
    </r>
  </si>
  <si>
    <r>
      <rPr>
        <sz val="10"/>
        <color rgb="FF0000FF"/>
        <rFont val="Arial"/>
        <family val="0"/>
        <charset val="1"/>
      </rPr>
      <t xml:space="preserve">Altman X 2025-08-10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Simon Willison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</si>
  <si>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級（一手貼文經轉載）</t>
    </r>
  </si>
  <si>
    <t xml:space="preserve">付費／免費用量倍數；C15 組成 (d)</t>
  </si>
  <si>
    <r>
      <rPr>
        <sz val="10"/>
        <color rgb="FF0000FF"/>
        <rFont val="Arial"/>
        <family val="0"/>
        <charset val="1"/>
      </rPr>
      <t xml:space="preserve">7%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24%</t>
    </r>
  </si>
  <si>
    <t xml:space="preserve">採用（X30）：新登錄 SRC_DEM_054（值＝免費、高欄＝Plus）；付費 vs 免費用量差的唯一一手線索</t>
  </si>
  <si>
    <t xml:space="preserve">用戶占比，非訊息占比｜A 段暫編 N05｜chat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</si>
  <si>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方案上下文上限 Free 27K／Go·Plus 54K／Pro 128K；推理 256K／400K；Free／Go 不限文字訊息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</si>
  <si>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定價頁；</t>
    </r>
    <r>
      <rPr>
        <sz val="10"/>
        <color rgb="FF0000FF"/>
        <rFont val="Arial"/>
        <family val="0"/>
        <charset val="1"/>
      </rPr>
      <t xml:space="preserve">Help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GPT-6 in ChatGPT</t>
    </r>
    <r>
      <rPr>
        <sz val="10"/>
        <color rgb="FF0000FF"/>
        <rFont val="Noto Sans CJK SC"/>
        <family val="2"/>
      </rPr>
      <t xml:space="preserve">」（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讀）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</si>
  <si>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(b) </t>
    </r>
    <r>
      <rPr>
        <sz val="10"/>
        <color rgb="FF0000FF"/>
        <rFont val="Noto Sans CJK SC"/>
        <family val="2"/>
      </rPr>
      <t xml:space="preserve">上限；</t>
    </r>
    <r>
      <rPr>
        <sz val="10"/>
        <color rgb="FF0000FF"/>
        <rFont val="Arial"/>
        <family val="0"/>
        <charset val="1"/>
      </rPr>
      <t xml:space="preserve">P07 </t>
    </r>
    <r>
      <rPr>
        <sz val="10"/>
        <color rgb="FF0000FF"/>
        <rFont val="Noto Sans CJK SC"/>
        <family val="2"/>
      </rPr>
      <t xml:space="preserve">方案上限</t>
    </r>
  </si>
  <si>
    <t xml:space="preserve">27K–400K</t>
  </si>
  <si>
    <t xml:space="preserve">採用（X29）：新登錄 SRC_DEM_055（值＝Free 27K、高欄＝Pro 推理 400K）；歷史上下文的物理上限；限流不封頂倍數 k</t>
  </si>
  <si>
    <t xml:space="preserve">—｜A 段暫編 N06｜chat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</si>
  <si>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搜尋每週 </t>
    </r>
    <r>
      <rPr>
        <sz val="10"/>
        <color rgb="FF0000FF"/>
        <rFont val="Arial"/>
        <family val="0"/>
        <charset val="1"/>
      </rPr>
      <t xml:space="preserve">&gt;10 </t>
    </r>
    <r>
      <rPr>
        <sz val="10"/>
        <color rgb="FF0000FF"/>
        <rFont val="Noto Sans CJK SC"/>
        <family val="2"/>
      </rPr>
      <t xml:space="preserve">億次（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</si>
  <si>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The Decoder 2025-04-28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</si>
  <si>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(c)</t>
    </r>
  </si>
  <si>
    <r>
      <rPr>
        <sz val="10"/>
        <color rgb="FF0000FF"/>
        <rFont val="Arial"/>
        <family val="0"/>
        <charset val="1"/>
      </rPr>
      <t xml:space="preserve">1 B</t>
    </r>
    <r>
      <rPr>
        <sz val="10"/>
        <color rgb="FF0000FF"/>
        <rFont val="Noto Sans CJK SC"/>
        <family val="2"/>
      </rPr>
      <t xml:space="preserve">／週 ≈ </t>
    </r>
    <r>
      <rPr>
        <sz val="10"/>
        <color rgb="FF0000FF"/>
        <rFont val="Arial"/>
        <family val="0"/>
        <charset val="1"/>
      </rPr>
      <t xml:space="preserve">5.6% </t>
    </r>
    <r>
      <rPr>
        <sz val="10"/>
        <color rgb="FF0000FF"/>
        <rFont val="Noto Sans CJK SC"/>
        <family val="2"/>
      </rPr>
      <t xml:space="preserve">訊息</t>
    </r>
  </si>
  <si>
    <t xml:space="preserve">採用（X29）：新登錄 SRC_DEM_056；工具內容的唯一量化依據</t>
  </si>
  <si>
    <t xml:space="preserve">二手轉述，未取得一手；日期由公告推定｜A 段暫編 N07｜chat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</si>
  <si>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圖像生成 1.3 億用戶一週 7 億張（2025-04）</t>
  </si>
  <si>
    <r>
      <rPr>
        <sz val="10"/>
        <color rgb="FF0000FF"/>
        <rFont val="Arial"/>
        <family val="0"/>
        <charset val="1"/>
      </rPr>
      <t xml:space="preserve">Lightcap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 2025-08-04</t>
    </r>
  </si>
  <si>
    <t xml:space="preserve">非文字份額</t>
  </si>
  <si>
    <r>
      <rPr>
        <sz val="10"/>
        <color rgb="FF0000FF"/>
        <rFont val="Arial"/>
        <family val="0"/>
        <charset val="1"/>
      </rPr>
      <t xml:space="preserve">~4% </t>
    </r>
    <r>
      <rPr>
        <sz val="10"/>
        <color rgb="FF0000FF"/>
        <rFont val="Noto Sans CJK SC"/>
        <family val="2"/>
      </rPr>
      <t xml:space="preserve">訊息（尖峰）</t>
    </r>
  </si>
  <si>
    <t xml:space="preserve">部分採用（X31）：新登錄 SRC_DEM_057（尖峰週，非平均）</t>
  </si>
  <si>
    <t xml:space="preserve">—｜A 段暫編 N08｜chat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</si>
  <si>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Cap_In H7 </t>
    </r>
    <r>
      <rPr>
        <sz val="10"/>
        <color rgb="FF000000"/>
        <rFont val="Noto Sans CJK SC"/>
        <family val="2"/>
      </rPr>
      <t xml:space="preserve">非文字對照列</t>
    </r>
  </si>
  <si>
    <t xml:space="preserve">E310</t>
  </si>
  <si>
    <r>
      <rPr>
        <sz val="10"/>
        <color rgb="FF0000FF"/>
        <rFont val="Arial"/>
        <family val="0"/>
        <charset val="1"/>
      </rPr>
      <t xml:space="preserve">Sora app </t>
    </r>
    <r>
      <rPr>
        <sz val="10"/>
        <color rgb="FF0000FF"/>
        <rFont val="Noto Sans CJK SC"/>
        <family val="2"/>
      </rPr>
      <t xml:space="preserve">下載 </t>
    </r>
    <r>
      <rPr>
        <sz val="10"/>
        <color rgb="FF0000FF"/>
        <rFont val="Arial"/>
        <family val="0"/>
        <charset val="1"/>
      </rPr>
      <t xml:space="preserve">960 </t>
    </r>
    <r>
      <rPr>
        <sz val="10"/>
        <color rgb="FF0000FF"/>
        <rFont val="Noto Sans CJK SC"/>
        <family val="2"/>
      </rPr>
      <t xml:space="preserve">萬、消費者支出累計 </t>
    </r>
    <r>
      <rPr>
        <sz val="10"/>
        <color rgb="FF0000FF"/>
        <rFont val="Arial"/>
        <family val="0"/>
        <charset val="1"/>
      </rPr>
      <t xml:space="preserve">$1.4M</t>
    </r>
  </si>
  <si>
    <r>
      <rPr>
        <sz val="10"/>
        <color rgb="FF0000FF"/>
        <rFont val="Arial"/>
        <family val="0"/>
        <charset val="1"/>
      </rPr>
      <t xml:space="preserve">Appfigures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TechBriefly https://techbriefly.com/2026/01/30/sora-app-downloads-plunge-45-in-january-2026/</t>
    </r>
  </si>
  <si>
    <t xml:space="preserve">非文字份額（影片）</t>
  </si>
  <si>
    <t xml:space="preserve">$1.4M</t>
  </si>
  <si>
    <t xml:space="preserve">部分採用（X31）：影片營收歸屬 ≈ 0 的證據；不登錄 SRC（無模型用數值）</t>
  </si>
  <si>
    <r>
      <rPr>
        <sz val="10"/>
        <color rgb="FF0000FF"/>
        <rFont val="Arial"/>
        <family val="0"/>
        <charset val="1"/>
      </rPr>
      <t xml:space="preserve">Appfigures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N09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</si>
  <si>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第三方量測</t>
  </si>
  <si>
    <r>
      <rPr>
        <sz val="10"/>
        <color rgb="FF0000FF"/>
        <rFont val="Arial"/>
        <family val="0"/>
        <charset val="1"/>
      </rPr>
      <t xml:space="preserve">Altman 2024-02</t>
    </r>
    <r>
      <rPr>
        <sz val="10"/>
        <color rgb="FF0000FF"/>
        <rFont val="Noto Sans CJK SC"/>
        <family val="2"/>
      </rPr>
      <t xml:space="preserve">：每日約 </t>
    </r>
    <r>
      <rPr>
        <sz val="10"/>
        <color rgb="FF0000FF"/>
        <rFont val="Arial"/>
        <family val="0"/>
        <charset val="1"/>
      </rPr>
      <t xml:space="preserve">1,000 </t>
    </r>
    <r>
      <rPr>
        <sz val="10"/>
        <color rgb="FF0000FF"/>
        <rFont val="Noto Sans CJK SC"/>
        <family val="2"/>
      </rPr>
      <t xml:space="preserve">億字 → 每則可見輸出 ≈ </t>
    </r>
    <r>
      <rPr>
        <sz val="10"/>
        <color rgb="FF0000FF"/>
        <rFont val="Arial"/>
        <family val="0"/>
        <charset val="1"/>
      </rPr>
      <t xml:space="preserve">300 tok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</si>
  <si>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Interconnects</t>
    </r>
  </si>
  <si>
    <r>
      <rPr>
        <sz val="10"/>
        <color rgb="FF0000FF"/>
        <rFont val="Arial"/>
        <family val="0"/>
        <charset val="1"/>
      </rPr>
      <t xml:space="preserve">C15 </t>
    </r>
    <r>
      <rPr>
        <sz val="10"/>
        <color rgb="FF0000FF"/>
        <rFont val="Noto Sans CJK SC"/>
        <family val="2"/>
      </rPr>
      <t xml:space="preserve">組成 </t>
    </r>
    <r>
      <rPr>
        <sz val="10"/>
        <color rgb="FF0000FF"/>
        <rFont val="Arial"/>
        <family val="0"/>
        <charset val="1"/>
      </rPr>
      <t xml:space="preserve">(e)</t>
    </r>
  </si>
  <si>
    <t xml:space="preserve">~300</t>
  </si>
  <si>
    <t xml:space="preserve">部分採用（X29）：新登錄 SRC_DEM_058（2024 時點；上界含 API）</t>
  </si>
  <si>
    <t xml:space="preserve">二手轉述，未取得一手｜A 段暫編 N10｜chat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</si>
  <si>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調查：</t>
    </r>
    <r>
      <rPr>
        <sz val="10"/>
        <color rgb="FF0000FF"/>
        <rFont val="Arial"/>
        <family val="0"/>
        <charset val="1"/>
      </rPr>
      <t xml:space="preserve">35% </t>
    </r>
    <r>
      <rPr>
        <sz val="10"/>
        <color rgb="FF0000FF"/>
        <rFont val="Noto Sans CJK SC"/>
        <family val="2"/>
      </rPr>
      <t xml:space="preserve">美國人上週用 </t>
    </r>
    <r>
      <rPr>
        <sz val="10"/>
        <color rgb="FF0000FF"/>
        <rFont val="Arial"/>
        <family val="0"/>
        <charset val="1"/>
      </rPr>
      <t xml:space="preserve">ChatGPT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&lt;10% </t>
    </r>
    <r>
      <rPr>
        <sz val="10"/>
        <color rgb="FF0000FF"/>
        <rFont val="Noto Sans CJK SC"/>
        <family val="2"/>
      </rPr>
      <t xml:space="preserve">付費；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訂閱者 </t>
    </r>
    <r>
      <rPr>
        <sz val="10"/>
        <color rgb="FF0000FF"/>
        <rFont val="Arial"/>
        <family val="0"/>
        <charset val="1"/>
      </rPr>
      <t xml:space="preserve">4.6%</t>
    </r>
  </si>
  <si>
    <t xml:space="preserve">Epoch AI https://epochai.substack.com/p/polling-on-ai-usage</t>
  </si>
  <si>
    <t xml:space="preserve">人數口徑（美國）</t>
  </si>
  <si>
    <r>
      <rPr>
        <sz val="10"/>
        <color rgb="FF0000FF"/>
        <rFont val="Arial"/>
        <family val="0"/>
        <charset val="1"/>
      </rPr>
      <t xml:space="preserve">4.6%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35%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13%</t>
    </r>
  </si>
  <si>
    <t xml:space="preserve">採用（X30）：新登錄 SRC_DEM_059（中立調查；美國付費率高於全球 5.7%）</t>
  </si>
  <si>
    <t xml:space="preserve">無每用戶訊息數、無付費／免費用量差｜A 段暫編 N11｜chat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</si>
  <si>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E313</t>
  </si>
  <si>
    <r>
      <rPr>
        <sz val="10"/>
        <color rgb="FF0000FF"/>
        <rFont val="Arial"/>
        <family val="0"/>
        <charset val="1"/>
      </rPr>
      <t xml:space="preserve">OpenAI Enterprise</t>
    </r>
    <r>
      <rPr>
        <sz val="10"/>
        <color rgb="FF0000FF"/>
        <rFont val="Noto Sans CJK SC"/>
        <family val="2"/>
      </rPr>
      <t xml:space="preserve">：每週訊息一年 </t>
    </r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、每人 </t>
    </r>
    <r>
      <rPr>
        <sz val="10"/>
        <color rgb="FF0000FF"/>
        <rFont val="Arial"/>
        <family val="0"/>
        <charset val="1"/>
      </rPr>
      <t xml:space="preserve">+30%</t>
    </r>
    <r>
      <rPr>
        <sz val="10"/>
        <color rgb="FF0000FF"/>
        <rFont val="Noto Sans CJK SC"/>
        <family val="2"/>
      </rPr>
      <t xml:space="preserve">、前沿公司每席 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</si>
  <si>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The state of enterprise AI 2025</t>
    </r>
    <r>
      <rPr>
        <sz val="10"/>
        <color rgb="FF0000FF"/>
        <rFont val="Noto Sans CJK SC"/>
        <family val="2"/>
      </rPr>
      <t xml:space="preserve">」</t>
    </r>
  </si>
  <si>
    <t xml:space="preserve">席次用量；SRC_DEM_045 補充</t>
  </si>
  <si>
    <r>
      <rPr>
        <sz val="10"/>
        <color rgb="FF0000FF"/>
        <rFont val="Arial"/>
        <family val="0"/>
        <charset val="1"/>
      </rPr>
      <t xml:space="preserve">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p95 ÷ </t>
    </r>
    <r>
      <rPr>
        <sz val="10"/>
        <color rgb="FF0000FF"/>
        <rFont val="Noto Sans CJK SC"/>
        <family val="2"/>
      </rPr>
      <t xml:space="preserve">中位）</t>
    </r>
  </si>
  <si>
    <r>
      <rPr>
        <sz val="10"/>
        <color rgb="FF0000FF"/>
        <rFont val="Arial"/>
        <family val="0"/>
        <charset val="1"/>
      </rPr>
      <t xml:space="preserve">×8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2×</t>
    </r>
  </si>
  <si>
    <t xml:space="preserve">部分採用（X30）：補到 SRC_DEM_045 備註，不另開 SRC</t>
  </si>
  <si>
    <r>
      <rPr>
        <sz val="10"/>
        <color rgb="FF0000FF"/>
        <rFont val="Arial"/>
        <family val="0"/>
        <charset val="1"/>
      </rPr>
      <t xml:space="preserve">SRC_DEM_045 </t>
    </r>
    <r>
      <rPr>
        <sz val="10"/>
        <color rgb="FF0000FF"/>
        <rFont val="Noto Sans CJK SC"/>
        <family val="2"/>
      </rPr>
      <t xml:space="preserve">同文｜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</si>
  <si>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週用戶 </t>
    </r>
    <r>
      <rPr>
        <sz val="10"/>
        <color rgb="FF0000FF"/>
        <rFont val="Arial"/>
        <family val="0"/>
        <charset val="1"/>
      </rPr>
      <t xml:space="preserve">1M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02-05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2M → 4M → 5M → 8M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</si>
  <si>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Altman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Sottiaux X</t>
    </r>
    <r>
      <rPr>
        <sz val="10"/>
        <color rgb="FF0000FF"/>
        <rFont val="Noto Sans CJK SC"/>
        <family val="2"/>
      </rPr>
      <t xml:space="preserve">，經 </t>
    </r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，彙整於 </t>
    </r>
    <r>
      <rPr>
        <sz val="10"/>
        <color rgb="FF0000FF"/>
        <rFont val="Arial"/>
        <family val="0"/>
        <charset val="1"/>
      </rPr>
      <t xml:space="preserve">fourweekmba</t>
    </r>
  </si>
  <si>
    <t xml:space="preserve">程式代理用戶數</t>
  </si>
  <si>
    <r>
      <rPr>
        <sz val="10"/>
        <color rgb="FF0000FF"/>
        <rFont val="Arial"/>
        <family val="0"/>
        <charset val="1"/>
      </rPr>
      <t xml:space="preserve">1.6M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SRC_DEM_021</t>
    </r>
    <r>
      <rPr>
        <sz val="10"/>
        <color rgb="FF0000FF"/>
        <rFont val="Noto Sans CJK SC"/>
        <family val="2"/>
      </rPr>
      <t xml:space="preserve">）</t>
    </r>
  </si>
  <si>
    <t xml:space="preserve">8M</t>
  </si>
  <si>
    <t xml:space="preserve">採用（X27）：E301「待查」改「已查證」（Altman 2026-07-14）；新登錄 SRC_DEM_060（07-14 一筆）</t>
  </si>
  <si>
    <t xml:space="preserve">二手轉述，未取得一手（彙整站轉述 Fortune）｜A 段暫編 N13｜chat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</si>
  <si>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SRC_DEM_021</t>
    </r>
  </si>
  <si>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 GW </t>
    </r>
    <r>
      <rPr>
        <sz val="10"/>
        <color rgb="FF0000FF"/>
        <rFont val="Noto Sans CJK SC"/>
        <family val="2"/>
      </rPr>
      <t xml:space="preserve">專用推論＋</t>
    </r>
    <r>
      <rPr>
        <sz val="10"/>
        <color rgb="FF0000FF"/>
        <rFont val="Arial"/>
        <family val="0"/>
        <charset val="1"/>
      </rPr>
      <t xml:space="preserve">2 GW </t>
    </r>
    <r>
      <rPr>
        <sz val="10"/>
        <color rgb="FF0000FF"/>
        <rFont val="Noto Sans CJK SC"/>
        <family val="2"/>
      </rPr>
      <t xml:space="preserve">訓練（</t>
    </r>
    <r>
      <rPr>
        <sz val="10"/>
        <color rgb="FF0000FF"/>
        <rFont val="Arial"/>
        <family val="0"/>
        <charset val="1"/>
      </rPr>
      <t xml:space="preserve">Vera Rubin</t>
    </r>
    <r>
      <rPr>
        <sz val="10"/>
        <color rgb="FF0000FF"/>
        <rFont val="Noto Sans CJK SC"/>
        <family val="2"/>
      </rPr>
      <t xml:space="preserve">；前瞻）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</si>
  <si>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之後的算力序列</t>
    </r>
  </si>
  <si>
    <r>
      <rPr>
        <sz val="10"/>
        <color rgb="FF0000FF"/>
        <rFont val="Arial"/>
        <family val="0"/>
        <charset val="1"/>
      </rPr>
      <t xml:space="preserve">1.9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底）</t>
    </r>
  </si>
  <si>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＋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（前瞻）</t>
    </r>
  </si>
  <si>
    <t xml:space="preserve">部分採用（X27）：新登錄 SRC_DEM_061（前瞻承諾，不入 2025 平均；口徑未明）</t>
  </si>
  <si>
    <t xml:space="preserve">與 SRC_DEM_019 同文｜A 段暫編 N14｜chat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</si>
  <si>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SRC_DEM_019</t>
    </r>
    <r>
      <rPr>
        <sz val="10"/>
        <color rgb="FF000000"/>
        <rFont val="Noto Sans CJK SC"/>
        <family val="2"/>
      </rPr>
      <t xml:space="preserve">（同源）</t>
    </r>
  </si>
  <si>
    <t xml:space="preserve">E316</t>
  </si>
  <si>
    <r>
      <rPr>
        <sz val="10"/>
        <color rgb="FF0000FF"/>
        <rFont val="Arial"/>
        <family val="0"/>
        <charset val="1"/>
      </rPr>
      <t xml:space="preserve">Altman 2025-10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底「超過 </t>
    </r>
    <r>
      <rPr>
        <sz val="10"/>
        <color rgb="FF0000FF"/>
        <rFont val="Arial"/>
        <family val="0"/>
        <charset val="1"/>
      </rPr>
      <t xml:space="preserve">2 GW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</si>
  <si>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YouTube </t>
    </r>
    <r>
      <rPr>
        <sz val="10"/>
        <color rgb="FF0000FF"/>
        <rFont val="Noto Sans CJK SC"/>
        <family val="2"/>
      </rPr>
      <t xml:space="preserve">訪談，經 </t>
    </r>
    <r>
      <rPr>
        <sz val="10"/>
        <color rgb="FF0000FF"/>
        <rFont val="Arial"/>
        <family val="0"/>
        <charset val="1"/>
      </rPr>
      <t xml:space="preserve">Parekh https://michaelparekh.substack.com/p/ai-openais-ongoing-mega-ai-deals</t>
    </r>
    <r>
      <rPr>
        <sz val="10"/>
        <color rgb="FF0000FF"/>
        <rFont val="Noto Sans CJK SC"/>
        <family val="2"/>
      </rPr>
      <t xml:space="preserve">（作者轉述）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</si>
  <si>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級（轉述）</t>
    </r>
  </si>
  <si>
    <r>
      <rPr>
        <sz val="10"/>
        <color rgb="FF0000FF"/>
        <rFont val="Arial"/>
        <family val="0"/>
        <charset val="1"/>
      </rPr>
      <t xml:space="preserve">SRC_DEM_009 </t>
    </r>
    <r>
      <rPr>
        <sz val="10"/>
        <color rgb="FF0000FF"/>
        <rFont val="Noto Sans CJK SC"/>
        <family val="2"/>
      </rPr>
      <t xml:space="preserve">佐證</t>
    </r>
  </si>
  <si>
    <t xml:space="preserve">1.9</t>
  </si>
  <si>
    <t xml:space="preserve">&gt;2</t>
  </si>
  <si>
    <t xml:space="preserve">部分採用（X27）：備註到 SRC_DEM_009，不另開 SRC</t>
  </si>
  <si>
    <t xml:space="preserve">二手轉述，未取得一手｜A 段暫編 N15｜chat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</si>
  <si>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Axios 2026-10-08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OpenAI ARR 500 </t>
    </r>
    <r>
      <rPr>
        <sz val="10"/>
        <color rgb="FF0000FF"/>
        <rFont val="Noto Sans CJK SC"/>
        <family val="2"/>
      </rPr>
      <t xml:space="preserve">億 </t>
    </r>
    <r>
      <rPr>
        <sz val="10"/>
        <color rgb="FF0000FF"/>
        <rFont val="Arial"/>
        <family val="0"/>
        <charset val="1"/>
      </rPr>
      <t xml:space="preserve">vs </t>
    </r>
    <r>
      <rPr>
        <sz val="10"/>
        <color rgb="FF0000FF"/>
        <rFont val="Noto Sans CJK SC"/>
        <family val="2"/>
      </rPr>
      <t xml:space="preserve">先前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億；差異為毛額／淨額會計口徑（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只記自身份額）</t>
    </r>
  </si>
  <si>
    <t xml:space="preserve">Axios https://www.axios.com/2026/10/08/openai-50-billion-arr-anthropic-revenue-accounting</t>
  </si>
  <si>
    <r>
      <rPr>
        <sz val="10"/>
        <color rgb="FF0000FF"/>
        <rFont val="Arial"/>
        <family val="0"/>
        <charset val="1"/>
      </rPr>
      <t xml:space="preserve">J3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J14 </t>
    </r>
    <r>
      <rPr>
        <sz val="10"/>
        <color rgb="FF0000FF"/>
        <rFont val="Noto Sans CJK SC"/>
        <family val="2"/>
      </rPr>
      <t xml:space="preserve">營收口徑（</t>
    </r>
    <r>
      <rPr>
        <sz val="10"/>
        <color rgb="FF0000FF"/>
        <rFont val="Arial"/>
        <family val="0"/>
        <charset val="1"/>
      </rPr>
      <t xml:space="preserve">Cap_In H1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SRC_DEM_007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</si>
  <si>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13.07</t>
    </r>
    <r>
      <rPr>
        <sz val="10"/>
        <color rgb="FF0000FF"/>
        <rFont val="Noto Sans CJK SC"/>
        <family val="2"/>
      </rPr>
      <t xml:space="preserve">（口徑未標）</t>
    </r>
  </si>
  <si>
    <t xml:space="preserve">50 vs 70</t>
  </si>
  <si>
    <t xml:space="preserve">採用（X34）：新登錄 SRC_DEM_062；SRC_DEM_007 備註補 J14（13.07 為 OpenAI 自身營收口徑，待一手確認）；數值不改</t>
  </si>
  <si>
    <t xml:space="preserve">二手轉述，未取得一手（匿名消息來源）｜A 段暫編 N16｜chat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</si>
  <si>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00"/>
        <rFont val="Arial"/>
        <family val="0"/>
        <charset val="1"/>
      </rPr>
      <t xml:space="preserve">SRC_DEM_062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SRC_DEM_007</t>
    </r>
  </si>
  <si>
    <r>
      <rPr>
        <sz val="10"/>
        <color rgb="FF000000"/>
        <rFont val="Arial"/>
        <family val="0"/>
        <charset val="1"/>
      </rPr>
      <t xml:space="preserve">L1_MImplied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（若改口徑；本版未改）</t>
    </r>
  </si>
  <si>
    <t xml:space="preserve">雙方</t>
  </si>
  <si>
    <t xml:space="preserve">E318</t>
  </si>
  <si>
    <r>
      <rPr>
        <sz val="10"/>
        <color rgb="FF0000FF"/>
        <rFont val="Arial"/>
        <family val="0"/>
        <charset val="1"/>
      </rPr>
      <t xml:space="preserve">Axios 2026-09-29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ARR </t>
    </r>
    <r>
      <rPr>
        <sz val="10"/>
        <color rgb="FF0000FF"/>
        <rFont val="Noto Sans CJK SC"/>
        <family val="2"/>
      </rPr>
      <t xml:space="preserve">近 </t>
    </r>
    <r>
      <rPr>
        <sz val="10"/>
        <color rgb="FF0000FF"/>
        <rFont val="Arial"/>
        <family val="0"/>
        <charset val="1"/>
      </rPr>
      <t xml:space="preserve">700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B2B &gt;100%</t>
    </r>
    <r>
      <rPr>
        <sz val="10"/>
        <color rgb="FF0000FF"/>
        <rFont val="Noto Sans CJK SC"/>
        <family val="2"/>
      </rPr>
      <t xml:space="preserve">、企業倍增</t>
    </r>
  </si>
  <si>
    <t xml:space="preserve">Axios https://www.axios.com/2026/09/29/scoop-openais-annual-recurring-revenue-nears-70b</t>
  </si>
  <si>
    <t xml:space="preserve">營收序列</t>
  </si>
  <si>
    <t xml:space="preserve">~70 $B</t>
  </si>
  <si>
    <t xml:space="preserve">部分採用（X34）：登錄為 SRC_DEM_062 高欄（毛額口徑）；2026 時點，無拆分</t>
  </si>
  <si>
    <t xml:space="preserve">二手轉述，未取得一手（匿名消息來源）｜A 段暫編 N17｜chat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</si>
  <si>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E319</t>
  </si>
  <si>
    <r>
      <rPr>
        <sz val="10"/>
        <color rgb="FF0000FF"/>
        <rFont val="Arial"/>
        <family val="0"/>
        <charset val="1"/>
      </rPr>
      <t xml:space="preserve">Deep Research </t>
    </r>
    <r>
      <rPr>
        <sz val="10"/>
        <color rgb="FF0000FF"/>
        <rFont val="Noto Sans CJK SC"/>
        <family val="2"/>
      </rPr>
      <t xml:space="preserve">每次約 </t>
    </r>
    <r>
      <rPr>
        <sz val="10"/>
        <color rgb="FF0000FF"/>
        <rFont val="Arial"/>
        <family val="0"/>
        <charset val="1"/>
      </rPr>
      <t xml:space="preserve">1 M token</t>
    </r>
    <r>
      <rPr>
        <sz val="10"/>
        <color rgb="FF0000FF"/>
        <rFont val="Noto Sans CJK SC"/>
        <family val="2"/>
      </rPr>
      <t xml:space="preserve">（作者友人估計）</t>
    </r>
  </si>
  <si>
    <r>
      <rPr>
        <sz val="10"/>
        <color rgb="FF0000FF"/>
        <rFont val="Arial"/>
        <family val="0"/>
        <charset val="1"/>
      </rPr>
      <t xml:space="preserve">Interconnects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N10 </t>
    </r>
    <r>
      <rPr>
        <sz val="10"/>
        <color rgb="FF0000FF"/>
        <rFont val="Noto Sans CJK SC"/>
        <family val="2"/>
      </rPr>
      <t xml:space="preserve">同文）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</si>
  <si>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</si>
  <si>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t xml:space="preserve">~1 M</t>
  </si>
  <si>
    <t xml:space="preserve">不採用為數值（估計無出處）；只作方向</t>
  </si>
  <si>
    <t xml:space="preserve">—｜A 段暫編 N18｜chat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</si>
  <si>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E320</t>
  </si>
  <si>
    <r>
      <rPr>
        <sz val="10"/>
        <color rgb="FF0000FF"/>
        <rFont val="Arial"/>
        <family val="0"/>
        <charset val="1"/>
      </rPr>
      <t xml:space="preserve">Abilene 2026-05 </t>
    </r>
    <r>
      <rPr>
        <sz val="10"/>
        <color rgb="FF0000FF"/>
        <rFont val="Noto Sans CJK SC"/>
        <family val="2"/>
      </rPr>
      <t xml:space="preserve">運轉 </t>
    </r>
    <r>
      <rPr>
        <sz val="10"/>
        <color rgb="FF0000FF"/>
        <rFont val="Arial"/>
        <family val="0"/>
        <charset val="1"/>
      </rPr>
      <t xml:space="preserve">0.3–1 GW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估計，</t>
    </r>
    <r>
      <rPr>
        <sz val="10"/>
        <color rgb="FF0000FF"/>
        <rFont val="Arial"/>
        <family val="0"/>
        <charset val="1"/>
      </rPr>
      <t xml:space="preserve">FutureSearch </t>
    </r>
    <r>
      <rPr>
        <sz val="10"/>
        <color rgb="FF0000FF"/>
        <rFont val="Noto Sans CJK SC"/>
        <family val="2"/>
      </rPr>
      <t xml:space="preserve">彙整）</t>
    </r>
  </si>
  <si>
    <t xml:space="preserve">https://futuresearch.ai/app/p/a/openai-data-center-capacity-gw-2027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</si>
  <si>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算力</t>
    </r>
  </si>
  <si>
    <t xml:space="preserve">0.3–1</t>
  </si>
  <si>
    <t xml:space="preserve">不採用（2026；二手估計）</t>
  </si>
  <si>
    <t xml:space="preserve">—｜A 段暫編 N19｜chat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</si>
  <si>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ChatGPT WAU </t>
    </r>
    <r>
      <rPr>
        <sz val="10"/>
        <color rgb="FF0000FF"/>
        <rFont val="Noto Sans CJK SC"/>
        <family val="2"/>
      </rPr>
      <t xml:space="preserve">序列 </t>
    </r>
    <r>
      <rPr>
        <sz val="10"/>
        <color rgb="FF0000FF"/>
        <rFont val="Arial"/>
        <family val="0"/>
        <charset val="1"/>
      </rPr>
      <t xml:space="preserve">500M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700M → 800M → 900M → 1B → 1.2B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）六點</t>
    </r>
  </si>
  <si>
    <r>
      <rPr>
        <sz val="10"/>
        <color rgb="FF0000FF"/>
        <rFont val="Arial"/>
        <family val="0"/>
        <charset val="1"/>
      </rPr>
      <t xml:space="preserve">Turley X </t>
    </r>
    <r>
      <rPr>
        <sz val="10"/>
        <color rgb="FF0000FF"/>
        <rFont val="Noto Sans CJK SC"/>
        <family val="2"/>
      </rPr>
      <t xml:space="preserve">經 </t>
    </r>
    <r>
      <rPr>
        <sz val="10"/>
        <color rgb="FF0000FF"/>
        <rFont val="Arial"/>
        <family val="0"/>
        <charset val="1"/>
      </rPr>
      <t xml:space="preserve">TechCrunch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OpenAI 2026-02-27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Bloomberg 2026-07-31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DevDay 2026 recap</t>
    </r>
  </si>
  <si>
    <t xml:space="preserve">人數口徑分母</t>
  </si>
  <si>
    <t xml:space="preserve">500–1,200</t>
  </si>
  <si>
    <t xml:space="preserve">採用（X30）：新登錄 SRC_DEM_063–SRC_DEM_068（六時點各一筆）；付費率計算的分母</t>
  </si>
  <si>
    <r>
      <rPr>
        <sz val="10"/>
        <color rgb="FF0000FF"/>
        <rFont val="Arial"/>
        <family val="0"/>
        <charset val="1"/>
      </rPr>
      <t xml:space="preserve">v5.32 U18 </t>
    </r>
    <r>
      <rPr>
        <sz val="10"/>
        <color rgb="FF0000FF"/>
        <rFont val="Noto Sans CJK SC"/>
        <family val="2"/>
      </rPr>
      <t xml:space="preserve">已列、未登錄｜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N20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</si>
  <si>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SRC_DEM_063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SRC_DEM_068</t>
    </r>
  </si>
  <si>
    <t xml:space="preserve">E322</t>
  </si>
  <si>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：每用戶每日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分鐘、每月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天</t>
    </r>
  </si>
  <si>
    <r>
      <rPr>
        <sz val="10"/>
        <color rgb="FF0000FF"/>
        <rFont val="Arial"/>
        <family val="0"/>
        <charset val="1"/>
      </rPr>
      <t xml:space="preserve">TechCrunch 2025-08-04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Sensor Tower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</si>
  <si>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</t>
    </r>
  </si>
  <si>
    <t xml:space="preserve">用量強度</t>
  </si>
  <si>
    <t xml:space="preserve">16 min</t>
  </si>
  <si>
    <t xml:space="preserve">不採用為數值（app 端、非 token）；登錄已看過</t>
  </si>
  <si>
    <r>
      <rPr>
        <sz val="10"/>
        <color rgb="FF0000FF"/>
        <rFont val="Arial"/>
        <family val="0"/>
        <charset val="1"/>
      </rPr>
      <t xml:space="preserve">Sensor Tower </t>
    </r>
    <r>
      <rPr>
        <sz val="10"/>
        <color rgb="FF0000FF"/>
        <rFont val="Noto Sans CJK SC"/>
        <family val="2"/>
      </rPr>
      <t xml:space="preserve">賣數據｜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段暫編 </t>
    </r>
    <r>
      <rPr>
        <sz val="10"/>
        <color rgb="FF0000FF"/>
        <rFont val="Arial"/>
        <family val="0"/>
        <charset val="1"/>
      </rPr>
      <t xml:space="preserve">N21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端判定（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段查證報告 </t>
    </r>
    <r>
      <rPr>
        <sz val="10"/>
        <color rgb="FF0000FF"/>
        <rFont val="Arial"/>
        <family val="0"/>
        <charset val="1"/>
      </rPr>
      <t xml:space="preserve">PR #40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9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(a)–(h)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端審查 </t>
    </r>
    <r>
      <rPr>
        <sz val="10"/>
        <color rgb="FF0000FF"/>
        <rFont val="Arial"/>
        <family val="0"/>
        <charset val="1"/>
      </rPr>
      <t xml:space="preserve">2026-10-12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2026-10-13 06:46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2.2025 </t>
    </r>
    <r>
      <rPr>
        <sz val="10"/>
        <color rgb="FF0000FF"/>
        <rFont val="Noto Sans CJK SC"/>
        <family val="2"/>
      </rPr>
      <t xml:space="preserve">基準年世代組合：或改為 </t>
    </r>
    <r>
      <rPr>
        <sz val="10"/>
        <color rgb="FF0000FF"/>
        <rFont val="Arial"/>
        <family val="0"/>
        <charset val="1"/>
      </rPr>
      <t xml:space="preserve">Hopper 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40</t>
    </r>
    <r>
      <rPr>
        <sz val="10"/>
        <color rgb="FF0000FF"/>
        <rFont val="Noto Sans CJK SC"/>
        <family val="2"/>
      </rPr>
      <t xml:space="preserve">　其餘支持照你的建議」；可撤回｜讀取者：</t>
    </r>
    <r>
      <rPr>
        <sz val="10"/>
        <color rgb="FF0000FF"/>
        <rFont val="Arial"/>
        <family val="0"/>
        <charset val="1"/>
      </rPr>
      <t xml:space="preserve">CC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段，</t>
    </r>
    <r>
      <rPr>
        <sz val="10"/>
        <color rgb="FF0000FF"/>
        <rFont val="Arial"/>
        <family val="0"/>
        <charset val="1"/>
      </rPr>
      <t xml:space="preserve">docs/reports/20261012_v5.33A_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</si>
  <si>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t xml:space="preserve">E323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</si>
  <si>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每日訊息數：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未揭露（搜尋紀錄）</t>
    </r>
  </si>
  <si>
    <t xml:space="preserve">搜尋：WebSearch「OpenAI ChatGPT messages per day 2026」「billion messages 2026」「DevDay 2026 recap」；OpenAI DevDay 2026 recap、「Scaling AI for everyone」；dageno.ai；getpanto.ai</t>
  </si>
  <si>
    <r>
      <rPr>
        <sz val="10"/>
        <color rgb="FF0000FF"/>
        <rFont val="Arial"/>
        <family val="0"/>
        <charset val="1"/>
      </rPr>
      <t xml:space="preserve">SRC_DEM_012 </t>
    </r>
    <r>
      <rPr>
        <sz val="10"/>
        <color rgb="FF0000FF"/>
        <rFont val="Noto Sans CJK SC"/>
        <family val="2"/>
      </rPr>
      <t xml:space="preserve">更新</t>
    </r>
  </si>
  <si>
    <t xml:space="preserve">2.5 B</t>
  </si>
  <si>
    <t xml:space="preserve">未找到</t>
  </si>
  <si>
    <t xml:space="preserve">缺口登錄（「未找到」，含搜尋範圍，避免重搜）；代理：WAU 序列 × 每用戶訊息成長，方向 2026 高於 2025</t>
  </si>
  <si>
    <t xml:space="preserve">—｜A 段暫編 N22｜chat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</si>
  <si>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t xml:space="preserve">E324</t>
  </si>
  <si>
    <t xml:space="preserve">付費用戶占訊息比例、每則 token、系統提示長度、語音與 Deep Research 用量：未找到／未揭露</t>
  </si>
  <si>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 </t>
    </r>
    <r>
      <rPr>
        <sz val="10"/>
        <color rgb="FF0000FF"/>
        <rFont val="Arial"/>
        <family val="0"/>
        <charset val="1"/>
      </rPr>
      <t xml:space="preserve">P03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1.4 </t>
    </r>
    <r>
      <rPr>
        <sz val="10"/>
        <color rgb="FF0000FF"/>
        <rFont val="Noto Sans CJK SC"/>
        <family val="2"/>
      </rPr>
      <t xml:space="preserve">節、</t>
    </r>
    <r>
      <rPr>
        <sz val="10"/>
        <color rgb="FF0000FF"/>
        <rFont val="Arial"/>
        <family val="0"/>
        <charset val="1"/>
      </rPr>
      <t xml:space="preserve">V05</t>
    </r>
    <r>
      <rPr>
        <sz val="10"/>
        <color rgb="FF0000FF"/>
        <rFont val="Noto Sans CJK SC"/>
        <family val="2"/>
      </rPr>
      <t xml:space="preserve">（搜尋紀錄見報告）</t>
    </r>
  </si>
  <si>
    <r>
      <rPr>
        <sz val="10"/>
        <color rgb="FF0000FF"/>
        <rFont val="Arial"/>
        <family val="0"/>
        <charset val="1"/>
      </rPr>
      <t xml:space="preserve">Alloc_In C15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C16</t>
    </r>
  </si>
  <si>
    <t xml:space="preserve">缺口登錄（「未找到」）；C15 高端改 11,000（J9）、C16 不改（J10）</t>
  </si>
  <si>
    <t xml:space="preserve">—｜A 段暫編 N23｜chat 端判定（A 段查證報告 PR #40 第 9 節 (a)–(h)，chat 端審查 2026-10-12），Andy 2026-10-13 06:46「2.2025 基準年世代組合：或改為 Hopper 60／GB200 40　其餘支持照你的建議」；可撤回｜讀取者：CC（A 段，docs/reports/20261012_v5.33A_查證.md）</t>
  </si>
  <si>
    <r>
      <rPr>
        <sz val="10"/>
        <color rgb="FF0000FF"/>
        <rFont val="Arial"/>
        <family val="0"/>
        <charset val="1"/>
      </rPr>
      <t xml:space="preserve">OpenAI 2026 Q1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（確認）</t>
    </r>
  </si>
  <si>
    <t xml:space="preserve">The Information 2026-05-22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</si>
  <si>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 </t>
    </r>
    <r>
      <rPr>
        <sz val="10"/>
        <color rgb="FF0000FF"/>
        <rFont val="Noto Sans CJK SC"/>
        <family val="2"/>
      </rPr>
      <t xml:space="preserve">級（二手）</t>
    </r>
  </si>
  <si>
    <r>
      <rPr>
        <sz val="10"/>
        <color rgb="FF0000FF"/>
        <rFont val="Arial"/>
        <family val="0"/>
        <charset val="1"/>
      </rPr>
      <t xml:space="preserve">Cap_In H10 2026 Q1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</si>
  <si>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5.7 $B</t>
    </r>
    <r>
      <rPr>
        <sz val="10"/>
        <color rgb="FF0000FF"/>
        <rFont val="Noto Sans CJK SC"/>
        <family val="2"/>
      </rPr>
      <t xml:space="preserve">／季</t>
    </r>
  </si>
  <si>
    <t xml:space="preserve">採用（X38）：新登錄 SRC_DEM_069；Active；H10 Q1 年化 22.8</t>
  </si>
  <si>
    <t xml:space="preserve">二手轉述，未取得一手｜暫編 N01｜chat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</si>
  <si>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E326</t>
  </si>
  <si>
    <r>
      <rPr>
        <sz val="10"/>
        <color rgb="FF0000FF"/>
        <rFont val="Arial"/>
        <family val="0"/>
        <charset val="1"/>
      </rPr>
      <t xml:space="preserve">OpenAI 2026 Q2 </t>
    </r>
    <r>
      <rPr>
        <sz val="10"/>
        <color rgb="FF0000FF"/>
        <rFont val="Noto Sans CJK SC"/>
        <family val="2"/>
      </rPr>
      <t xml:space="preserve">營收 </t>
    </r>
    <r>
      <rPr>
        <sz val="10"/>
        <color rgb="FF0000FF"/>
        <rFont val="Arial"/>
        <family val="0"/>
        <charset val="1"/>
      </rPr>
      <t xml:space="preserve">6.7 $B</t>
    </r>
  </si>
  <si>
    <t xml:space="preserve">WSJ 2026-08-18</t>
  </si>
  <si>
    <r>
      <rPr>
        <sz val="10"/>
        <color rgb="FF0000FF"/>
        <rFont val="Arial"/>
        <family val="0"/>
        <charset val="1"/>
      </rPr>
      <t xml:space="preserve">Cap_In H10 2026 Q2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</si>
  <si>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6.7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SRC_DEM_042</t>
    </r>
    <r>
      <rPr>
        <sz val="10"/>
        <color rgb="FF0000FF"/>
        <rFont val="Noto Sans CJK SC"/>
        <family val="2"/>
      </rPr>
      <t xml:space="preserve">）</t>
    </r>
  </si>
  <si>
    <t xml:space="preserve">6.7</t>
  </si>
  <si>
    <t xml:space="preserve">不重登：已有 SRC_DEM_042；備註補 N01 序列（SRC_DEM_069）</t>
  </si>
  <si>
    <t xml:space="preserve">—｜暫編 N02｜chat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</si>
  <si>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2026 </t>
    </r>
    <r>
      <rPr>
        <sz val="10"/>
        <color rgb="FF0000FF"/>
        <rFont val="Noto Sans CJK SC"/>
        <family val="2"/>
      </rPr>
      <t xml:space="preserve">推論支出預測 </t>
    </r>
    <r>
      <rPr>
        <sz val="10"/>
        <color rgb="FF0000FF"/>
        <rFont val="Arial"/>
        <family val="0"/>
        <charset val="1"/>
      </rPr>
      <t xml:space="preserve">14.1 $B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</si>
  <si>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Sacra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</si>
  <si>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／二手／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</si>
  <si>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欄 </t>
    </r>
    <r>
      <rPr>
        <sz val="10"/>
        <color rgb="FF0000FF"/>
        <rFont val="Arial"/>
        <family val="0"/>
        <charset val="1"/>
      </rPr>
      <t xml:space="preserve">m_fleet </t>
    </r>
    <r>
      <rPr>
        <sz val="10"/>
        <color rgb="FF0000FF"/>
        <rFont val="Noto Sans CJK SC"/>
        <family val="2"/>
      </rPr>
      <t xml:space="preserve">的推論支出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</si>
  <si>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</si>
  <si>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14.1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12–18</t>
    </r>
    <r>
      <rPr>
        <sz val="10"/>
        <color rgb="FF0000FF"/>
        <rFont val="Noto Sans CJK SC"/>
        <family val="2"/>
      </rPr>
      <t xml:space="preserve">）</t>
    </r>
  </si>
  <si>
    <t xml:space="preserve">部分採用（X38）：新登錄 SRC_DEM_070，狀態 Alt（預測值）；只進 H10 2026 欄</t>
  </si>
  <si>
    <t xml:space="preserve">預測值；Azure 計價口徑視同 SRC_DEM_018｜暫編 N03｜chat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</si>
  <si>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FF"/>
        <rFont val="Arial"/>
        <family val="0"/>
        <charset val="1"/>
      </rPr>
      <t xml:space="preserve">OpenAI API </t>
    </r>
    <r>
      <rPr>
        <sz val="10"/>
        <color rgb="FF0000FF"/>
        <rFont val="Noto Sans CJK SC"/>
        <family val="2"/>
      </rPr>
      <t xml:space="preserve">占營收 </t>
    </r>
    <r>
      <rPr>
        <sz val="10"/>
        <color rgb="FF0000FF"/>
        <rFont val="Arial"/>
        <family val="0"/>
        <charset val="1"/>
      </rPr>
      <t xml:space="preserve">0.15–0.20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初）</t>
    </r>
  </si>
  <si>
    <t xml:space="preserve">Sacra</t>
  </si>
  <si>
    <t xml:space="preserve">二手／3 級</t>
  </si>
  <si>
    <r>
      <rPr>
        <sz val="10"/>
        <color rgb="FF0000FF"/>
        <rFont val="Arial"/>
        <family val="0"/>
        <charset val="1"/>
      </rPr>
      <t xml:space="preserve">Cap_In H8 API </t>
    </r>
    <r>
      <rPr>
        <sz val="10"/>
        <color rgb="FF0000FF"/>
        <rFont val="Noto Sans CJK SC"/>
        <family val="2"/>
      </rPr>
      <t xml:space="preserve">份額（餘額）與 </t>
    </r>
    <r>
      <rPr>
        <sz val="10"/>
        <color rgb="FF0000FF"/>
        <rFont val="Arial"/>
        <family val="0"/>
        <charset val="1"/>
      </rPr>
      <t xml:space="preserve">H10 </t>
    </r>
    <r>
      <rPr>
        <sz val="10"/>
        <color rgb="FF0000FF"/>
        <rFont val="Noto Sans CJK SC"/>
        <family val="2"/>
      </rPr>
      <t xml:space="preserve">各欄 </t>
    </r>
    <r>
      <rPr>
        <sz val="10"/>
        <color rgb="FF0000FF"/>
        <rFont val="Arial"/>
        <family val="0"/>
        <charset val="1"/>
      </rPr>
      <t xml:space="preserve">API </t>
    </r>
    <r>
      <rPr>
        <sz val="10"/>
        <color rgb="FF0000FF"/>
        <rFont val="Noto Sans CJK SC"/>
        <family val="2"/>
      </rPr>
      <t xml:space="preserve">份額</t>
    </r>
  </si>
  <si>
    <r>
      <rPr>
        <sz val="10"/>
        <color rgb="FF0000FF"/>
        <rFont val="Arial"/>
        <family val="0"/>
        <charset val="1"/>
      </rPr>
      <t xml:space="preserve">0.30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H1 </t>
    </r>
    <r>
      <rPr>
        <sz val="10"/>
        <color rgb="FF0000FF"/>
        <rFont val="Noto Sans CJK SC"/>
        <family val="2"/>
      </rPr>
      <t xml:space="preserve">二分法 </t>
    </r>
    <r>
      <rPr>
        <sz val="10"/>
        <color rgb="FF0000FF"/>
        <rFont val="Arial"/>
        <family val="0"/>
        <charset val="1"/>
      </rPr>
      <t xml:space="preserve">1 − 0.70</t>
    </r>
    <r>
      <rPr>
        <sz val="10"/>
        <color rgb="FF0000FF"/>
        <rFont val="Noto Sans CJK SC"/>
        <family val="2"/>
      </rPr>
      <t xml:space="preserve">）</t>
    </r>
  </si>
  <si>
    <t xml:space="preserve">0.15–0.20</t>
  </si>
  <si>
    <t xml:space="preserve">採用（X38）：新登錄 SRC_DEM_071（值 0.20、低 0.15）；J18 的 0.20 依據；份額為 Assumed 藍字，不連結</t>
  </si>
  <si>
    <t xml:space="preserve">二手轉述，未取得一手｜暫編 N04｜chat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</si>
  <si>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</si>
  <si>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E329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</si>
  <si>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企業營收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超過消費端（事件；</t>
    </r>
    <r>
      <rPr>
        <sz val="10"/>
        <color rgb="FF0000FF"/>
        <rFont val="Arial"/>
        <family val="0"/>
        <charset val="1"/>
      </rPr>
      <t xml:space="preserve">7–9 </t>
    </r>
    <r>
      <rPr>
        <sz val="10"/>
        <color rgb="FF0000FF"/>
        <rFont val="Noto Sans CJK SC"/>
        <family val="2"/>
      </rPr>
      <t xml:space="preserve">月翻倍）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</si>
  <si>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經媒體（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</si>
  <si>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H10 2026 </t>
    </r>
    <r>
      <rPr>
        <sz val="10"/>
        <color rgb="FF0000FF"/>
        <rFont val="Noto Sans CJK SC"/>
        <family val="2"/>
      </rPr>
      <t xml:space="preserve">份額序列</t>
    </r>
  </si>
  <si>
    <t xml:space="preserve">事件</t>
  </si>
  <si>
    <t xml:space="preserve">登錄 DB_Evidence，不登 SRC；H10 2026 Q2 消費 0.55、FY2026 0.45 的依據（r0.1）</t>
  </si>
  <si>
    <t xml:space="preserve">「企業」口徑未定義｜暫編 N05｜chat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</si>
  <si>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E330</t>
  </si>
  <si>
    <r>
      <rPr>
        <sz val="10"/>
        <color rgb="FF0000FF"/>
        <rFont val="Arial"/>
        <family val="0"/>
        <charset val="1"/>
      </rPr>
      <t xml:space="preserve">$200 </t>
    </r>
    <r>
      <rPr>
        <sz val="10"/>
        <color rgb="FF0000FF"/>
        <rFont val="Noto Sans CJK SC"/>
        <family val="2"/>
      </rPr>
      <t xml:space="preserve">方案週額度約 </t>
    </r>
    <r>
      <rPr>
        <sz val="10"/>
        <color rgb="FF0000FF"/>
        <rFont val="Arial"/>
        <family val="0"/>
        <charset val="1"/>
      </rPr>
      <t xml:space="preserve">$2,600 GPT-5.5 API </t>
    </r>
    <r>
      <rPr>
        <sz val="10"/>
        <color rgb="FF0000FF"/>
        <rFont val="Noto Sans CJK SC"/>
        <family val="2"/>
      </rPr>
      <t xml:space="preserve">等值 → </t>
    </r>
    <r>
      <rPr>
        <sz val="10"/>
        <color rgb="FF0000FF"/>
        <rFont val="Arial"/>
        <family val="0"/>
        <charset val="1"/>
      </rPr>
      <t xml:space="preserve">Pro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$14,000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70×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Claude Max 20x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$8,000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40×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$20 </t>
    </r>
    <r>
      <rPr>
        <sz val="10"/>
        <color rgb="FF0000FF"/>
        <rFont val="Noto Sans CJK SC"/>
        <family val="2"/>
      </rPr>
      <t xml:space="preserve">方案約 </t>
    </r>
    <r>
      <rPr>
        <sz val="10"/>
        <color rgb="FF0000FF"/>
        <rFont val="Arial"/>
        <family val="0"/>
        <charset val="1"/>
      </rPr>
      <t xml:space="preserve">$700</t>
    </r>
    <r>
      <rPr>
        <sz val="10"/>
        <color rgb="FF0000FF"/>
        <rFont val="Noto Sans CJK SC"/>
        <family val="2"/>
      </rPr>
      <t xml:space="preserve">／月（</t>
    </r>
    <r>
      <rPr>
        <sz val="10"/>
        <color rgb="FF0000FF"/>
        <rFont val="Arial"/>
        <family val="0"/>
        <charset val="1"/>
      </rPr>
      <t xml:space="preserve">35×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</si>
  <si>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SemiAnalysis 2026-06-10 X </t>
    </r>
    <r>
      <rPr>
        <sz val="10"/>
        <color rgb="FF0000FF"/>
        <rFont val="Noto Sans CJK SC"/>
        <family val="2"/>
      </rPr>
      <t xml:space="preserve">貼文的轉述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</si>
  <si>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／二手（</t>
    </r>
    <r>
      <rPr>
        <sz val="10"/>
        <color rgb="FF0000FF"/>
        <rFont val="Arial"/>
        <family val="0"/>
        <charset val="1"/>
      </rPr>
      <t xml:space="preserve">SemiAnalysis </t>
    </r>
    <r>
      <rPr>
        <sz val="10"/>
        <color rgb="FF0000FF"/>
        <rFont val="Noto Sans CJK SC"/>
        <family val="2"/>
      </rPr>
      <t xml:space="preserve">不可單獨引用）</t>
    </r>
  </si>
  <si>
    <r>
      <rPr>
        <sz val="10"/>
        <color rgb="FF0000FF"/>
        <rFont val="Arial"/>
        <family val="0"/>
        <charset val="1"/>
      </rPr>
      <t xml:space="preserve">Cap_In H8-5 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下限（方案上限讀法）</t>
    </r>
  </si>
  <si>
    <r>
      <rPr>
        <sz val="10"/>
        <color rgb="FF0000FF"/>
        <rFont val="Arial"/>
        <family val="0"/>
        <charset val="1"/>
      </rPr>
      <t xml:space="preserve">700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14,000 $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</si>
  <si>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DB_Evidence，只作上限（Plus 20÷700＝0.03、Pro 200÷14,000＝0.014）；不登 SRC</t>
  </si>
  <si>
    <t xml:space="preserve">方法＝以程式工作負載跑到週上限；SemiAnalysis 規則：須第二來源｜暫編 N06｜chat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</si>
  <si>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E331</t>
  </si>
  <si>
    <r>
      <rPr>
        <sz val="10"/>
        <color rgb="FF0000FF"/>
        <rFont val="Arial"/>
        <family val="0"/>
        <charset val="1"/>
      </rPr>
      <t xml:space="preserve">ChatGPT Plus 5 </t>
    </r>
    <r>
      <rPr>
        <sz val="10"/>
        <color rgb="FF0000FF"/>
        <rFont val="Noto Sans CJK SC"/>
        <family val="2"/>
      </rPr>
      <t xml:space="preserve">小時視窗訊息上限：</t>
    </r>
    <r>
      <rPr>
        <sz val="10"/>
        <color rgb="FF0000FF"/>
        <rFont val="Arial"/>
        <family val="0"/>
        <charset val="1"/>
      </rPr>
      <t xml:space="preserve">Astra 5–45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15–160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Luna 350–3,000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 credit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$0.04</t>
    </r>
    <r>
      <rPr>
        <sz val="10"/>
        <color rgb="FF0000FF"/>
        <rFont val="Noto Sans CJK SC"/>
        <family val="2"/>
      </rPr>
      <t xml:space="preserve">（第三方由牌價推得）</t>
    </r>
  </si>
  <si>
    <t xml:space="preserve">第三方彙整 2026-10-07</t>
  </si>
  <si>
    <t xml:space="preserve">二手彙整／3 級</t>
  </si>
  <si>
    <t xml:space="preserve">每用戶 token 上限（對照）</t>
  </si>
  <si>
    <r>
      <rPr>
        <sz val="10"/>
        <color rgb="FF0000FF"/>
        <rFont val="Arial"/>
        <family val="0"/>
        <charset val="1"/>
      </rPr>
      <t xml:space="preserve">5–3,000 </t>
    </r>
    <r>
      <rPr>
        <sz val="10"/>
        <color rgb="FF0000FF"/>
        <rFont val="Noto Sans CJK SC"/>
        <family val="2"/>
      </rPr>
      <t xml:space="preserve">則／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小時</t>
    </r>
  </si>
  <si>
    <t xml:space="preserve">登錄 DB_Evidence；待一手（OpenAI 幫助中心）確認後才登 SRC</t>
  </si>
  <si>
    <t xml:space="preserve">二手轉述，未取得一手｜暫編 N07｜chat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</si>
  <si>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第三方</t>
  </si>
  <si>
    <t xml:space="preserve">E332</t>
  </si>
  <si>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用戶序列補點：</t>
    </r>
    <r>
      <rPr>
        <sz val="10"/>
        <color rgb="FF0000FF"/>
        <rFont val="Arial"/>
        <family val="0"/>
        <charset val="1"/>
      </rPr>
      <t xml:space="preserve">2026-08-21 20 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08-31 25 M</t>
    </r>
    <r>
      <rPr>
        <sz val="10"/>
        <color rgb="FF0000FF"/>
        <rFont val="Noto Sans CJK SC"/>
        <family val="2"/>
      </rPr>
      <t xml:space="preserve">（口徑未定義）</t>
    </r>
  </si>
  <si>
    <r>
      <rPr>
        <sz val="10"/>
        <color rgb="FF0000FF"/>
        <rFont val="Arial"/>
        <family val="0"/>
        <charset val="1"/>
      </rPr>
      <t xml:space="preserve">Sottiaux X </t>
    </r>
    <r>
      <rPr>
        <sz val="10"/>
        <color rgb="FF0000FF"/>
        <rFont val="Noto Sans CJK SC"/>
        <family val="2"/>
      </rPr>
      <t xml:space="preserve">貼文（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</si>
  <si>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SRC_DEM_060 </t>
    </r>
    <r>
      <rPr>
        <sz val="10"/>
        <color rgb="FF0000FF"/>
        <rFont val="Noto Sans CJK SC"/>
        <family val="2"/>
      </rPr>
      <t xml:space="preserve">序列</t>
    </r>
  </si>
  <si>
    <r>
      <rPr>
        <sz val="10"/>
        <color rgb="FF0000FF"/>
        <rFont val="Arial"/>
        <family val="0"/>
        <charset val="1"/>
      </rPr>
      <t xml:space="preserve">8 M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07-14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</si>
  <si>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20 M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25 M</t>
    </r>
  </si>
  <si>
    <t xml:space="preserve">不新增：SRC_DEM_060 備註補；無 token 量</t>
  </si>
  <si>
    <t xml:space="preserve">口徑未定義｜暫編 N08｜chat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</si>
  <si>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E333</t>
  </si>
  <si>
    <t xml:space="preserve">企業議價折扣（顧問自述）：25 件談判中位數省 27%、區間 20–35%（對開價，非牌價；未驗證）；worked example 用 API 折扣 15%（假設值）</t>
  </si>
  <si>
    <r>
      <rPr>
        <sz val="10"/>
        <color rgb="FF0000FF"/>
        <rFont val="Arial"/>
        <family val="0"/>
        <charset val="1"/>
      </rPr>
      <t xml:space="preserve">redresscompliance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2024–2025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</si>
  <si>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級（顧問以議價服務為業）</t>
    </r>
  </si>
  <si>
    <r>
      <rPr>
        <sz val="10"/>
        <color rgb="FF0000FF"/>
        <rFont val="Arial"/>
        <family val="0"/>
        <charset val="1"/>
      </rPr>
      <t xml:space="preserve">Cap_In C12 B4_Disc </t>
    </r>
    <r>
      <rPr>
        <sz val="10"/>
        <color rgb="FF0000FF"/>
        <rFont val="Noto Sans CJK SC"/>
        <family val="2"/>
      </rPr>
      <t xml:space="preserve">區間（</t>
    </r>
    <r>
      <rPr>
        <sz val="10"/>
        <color rgb="FF0000FF"/>
        <rFont val="Arial"/>
        <family val="0"/>
        <charset val="1"/>
      </rPr>
      <t xml:space="preserve">J20</t>
    </r>
    <r>
      <rPr>
        <sz val="10"/>
        <color rgb="FF0000FF"/>
        <rFont val="Noto Sans CJK SC"/>
        <family val="2"/>
      </rPr>
      <t xml:space="preserve">）</t>
    </r>
  </si>
  <si>
    <t xml:space="preserve">0.1–0.3</t>
  </si>
  <si>
    <t xml:space="preserve">0.1–0.4</t>
  </si>
  <si>
    <t xml:space="preserve">登錄 DB_Evidence；J20 依據（高端 0.3 → 0.4）；不登 SRC</t>
  </si>
  <si>
    <t xml:space="preserve">對開價而非牌價；未驗證｜暫編 N09｜chat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</si>
  <si>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Cap_In E12</t>
    </r>
    <r>
      <rPr>
        <sz val="10"/>
        <color rgb="FF000000"/>
        <rFont val="Noto Sans CJK SC"/>
        <family val="2"/>
      </rPr>
      <t xml:space="preserve">（區間端點；</t>
    </r>
    <r>
      <rPr>
        <sz val="10"/>
        <color rgb="FF000000"/>
        <rFont val="Arial"/>
        <family val="0"/>
        <charset val="1"/>
      </rPr>
      <t xml:space="preserve">IF_Price* </t>
    </r>
    <r>
      <rPr>
        <sz val="10"/>
        <color rgb="FF000000"/>
        <rFont val="Noto Sans CJK SC"/>
        <family val="2"/>
      </rPr>
      <t xml:space="preserve">不變）</t>
    </r>
  </si>
  <si>
    <t xml:space="preserve">E334</t>
  </si>
  <si>
    <r>
      <rPr>
        <sz val="10"/>
        <color rgb="FF0000FF"/>
        <rFont val="Arial"/>
        <family val="0"/>
        <charset val="1"/>
      </rPr>
      <t xml:space="preserve">OpenAI 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 </t>
    </r>
    <r>
      <rPr>
        <sz val="10"/>
        <color rgb="FF0000FF"/>
        <rFont val="Arial"/>
        <family val="0"/>
        <charset val="1"/>
      </rPr>
      <t xml:space="preserve">API token </t>
    </r>
    <r>
      <rPr>
        <sz val="10"/>
        <color rgb="FF0000FF"/>
        <rFont val="Noto Sans CJK SC"/>
        <family val="2"/>
      </rPr>
      <t xml:space="preserve">的比例：未找到</t>
    </r>
  </si>
  <si>
    <t xml:space="preserve">搜尋範圍：OpenAI 定價頁、Flex／Priority 文件、DevDay 2026 報導、顧問議價文章</t>
  </si>
  <si>
    <t xml:space="preserve">折讓因子（Cap_In H8-4）</t>
  </si>
  <si>
    <t xml:space="preserve">缺口登錄（「未找到」，含搜尋範圍，避免重搜）；方向性代理：折讓因子 (1 − d)/(1 − 0.2) 在 d＝0.2–0.4 時 1.0–0.75</t>
  </si>
  <si>
    <t xml:space="preserve">—｜暫編 N10｜chat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</si>
  <si>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E335</t>
  </si>
  <si>
    <t xml:space="preserve">典型（中位數）付費用戶每月 token 用量、Codex 每用戶 token：未找到</t>
  </si>
  <si>
    <t xml:space="preserve">搜尋範圍：SemiAnalysis 2026-06-10 轉述、OpenAI Codex 定價頁、Claude Code 文件轉述、Codex 統計彙整</t>
  </si>
  <si>
    <t xml:space="preserve">訂閱 m 上限（用量分布）</t>
  </si>
  <si>
    <t xml:space="preserve">缺口登錄；方向性代理：訂閱 m 下限＝月費 ÷ 方案上限（N06）；上限需用量分布（SRC_DEM_045 p95/中位數＝6 為唯一分布證據，企業端）</t>
  </si>
  <si>
    <t xml:space="preserve">—｜暫編 N11｜chat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</si>
  <si>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t xml:space="preserve">E336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</si>
  <si>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2026-10-14 </t>
    </r>
    <r>
      <rPr>
        <sz val="10"/>
        <color rgb="FF0000FF"/>
        <rFont val="Noto Sans CJK SC"/>
        <family val="2"/>
      </rPr>
      <t xml:space="preserve">計算：</t>
    </r>
    <r>
      <rPr>
        <sz val="10"/>
        <color rgb="FF0000FF"/>
        <rFont val="Arial"/>
        <family val="0"/>
        <charset val="1"/>
      </rPr>
      <t xml:space="preserve">m </t>
    </r>
    <r>
      <rPr>
        <sz val="10"/>
        <color rgb="FF0000FF"/>
        <rFont val="Noto Sans CJK SC"/>
        <family val="2"/>
      </rPr>
      <t xml:space="preserve">分拆（</t>
    </r>
    <r>
      <rPr>
        <sz val="10"/>
        <color rgb="FF0000FF"/>
        <rFont val="Arial"/>
        <family val="0"/>
        <charset val="1"/>
      </rPr>
      <t xml:space="preserve">2025 m_API 0.56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訂閱 </t>
    </r>
    <r>
      <rPr>
        <sz val="10"/>
        <color rgb="FF0000FF"/>
        <rFont val="Arial"/>
        <family val="0"/>
        <charset val="1"/>
      </rPr>
      <t xml:space="preserve">3.65 </t>
    </r>
    <r>
      <rPr>
        <sz val="10"/>
        <color rgb="FF0000FF"/>
        <rFont val="Noto Sans CJK SC"/>
        <family val="2"/>
      </rPr>
      <t xml:space="preserve">二分法；</t>
    </r>
    <r>
      <rPr>
        <sz val="10"/>
        <color rgb="FF0000FF"/>
        <rFont val="Arial"/>
        <family val="0"/>
        <charset val="1"/>
      </rPr>
      <t xml:space="preserve">2026 Q2 m_API 0.35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</t>
    </r>
    <r>
      <rPr>
        <sz val="10"/>
        <color rgb="FF0000FF"/>
        <rFont val="Noto Sans CJK SC"/>
        <family val="2"/>
      </rPr>
      <t xml:space="preserve">整體 </t>
    </r>
    <r>
      <rPr>
        <sz val="10"/>
        <color rgb="FF0000FF"/>
        <rFont val="Arial"/>
        <family val="0"/>
        <charset val="1"/>
      </rPr>
      <t xml:space="preserve">1.34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m_fleet 0.78</t>
    </r>
    <r>
      <rPr>
        <sz val="10"/>
        <color rgb="FF0000FF"/>
        <rFont val="Noto Sans CJK SC"/>
        <family val="2"/>
      </rPr>
      <t xml:space="preserve">）、閉合解 </t>
    </r>
    <r>
      <rPr>
        <sz val="10"/>
        <color rgb="FF0000FF"/>
        <rFont val="Arial"/>
        <family val="0"/>
        <charset val="1"/>
      </rPr>
      <t xml:space="preserve">τ* 13,950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14,650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LP </t>
    </r>
    <r>
      <rPr>
        <sz val="10"/>
        <color rgb="FF0000FF"/>
        <rFont val="Noto Sans CJK SC"/>
        <family val="2"/>
      </rPr>
      <t xml:space="preserve">配置 </t>
    </r>
    <r>
      <rPr>
        <sz val="10"/>
        <color rgb="FF0000FF"/>
        <rFont val="Arial"/>
        <family val="0"/>
        <charset val="1"/>
      </rPr>
      <t xml:space="preserve">±1–5%</t>
    </r>
    <r>
      <rPr>
        <sz val="10"/>
        <color rgb="FF0000FF"/>
        <rFont val="Noto Sans CJK SC"/>
        <family val="2"/>
      </rPr>
      <t xml:space="preserve">、龍捲風（實收單價 </t>
    </r>
    <r>
      <rPr>
        <sz val="10"/>
        <color rgb="FF0000FF"/>
        <rFont val="Arial"/>
        <family val="0"/>
        <charset val="1"/>
      </rPr>
      <t xml:space="preserve">P̄×m 55%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 20%</t>
    </r>
    <r>
      <rPr>
        <sz val="10"/>
        <color rgb="FF0000FF"/>
        <rFont val="Noto Sans CJK SC"/>
        <family val="2"/>
      </rPr>
      <t xml:space="preserve">）</t>
    </r>
  </si>
  <si>
    <t xml:space="preserve">工作單 v5.34 r0.1 0.3–0.4 節（Python 手算，輸入為 v5.33 快取值）</t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</si>
  <si>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端）</t>
    </r>
  </si>
  <si>
    <r>
      <rPr>
        <sz val="10"/>
        <color rgb="FF0000FF"/>
        <rFont val="Arial"/>
        <family val="0"/>
        <charset val="1"/>
      </rPr>
      <t xml:space="preserve">Cap_In H8–H10 </t>
    </r>
    <r>
      <rPr>
        <sz val="10"/>
        <color rgb="FF0000FF"/>
        <rFont val="Noto Sans CJK SC"/>
        <family val="2"/>
      </rPr>
      <t xml:space="preserve">驗收錨點</t>
    </r>
  </si>
  <si>
    <t xml:space="preserve">見工作單 0.3 節</t>
  </si>
  <si>
    <t xml:space="preserve">登錄 DB_Evidence；H8／H9／H10 錨點來源；LP 配置不納入本單（第二階效應）</t>
  </si>
  <si>
    <t xml:space="preserve">—｜暫編 N12｜chat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</si>
  <si>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L1_MAPI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L1_MSub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L1_MSeat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L1_MixFactorAPI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L1_TokPerPromptClose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v5.34 </t>
    </r>
    <r>
      <rPr>
        <sz val="10"/>
        <color rgb="FF000000"/>
        <rFont val="Noto Sans CJK SC"/>
        <family val="2"/>
      </rPr>
      <t xml:space="preserve">新列）</t>
    </r>
  </si>
  <si>
    <t xml:space="preserve">E337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</si>
  <si>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營收份額序列（消費／企業）：</t>
    </r>
    <r>
      <rPr>
        <sz val="10"/>
        <color rgb="FF0000FF"/>
        <rFont val="Arial"/>
        <family val="0"/>
        <charset val="1"/>
      </rPr>
      <t xml:space="preserve">2024-10 </t>
    </r>
    <r>
      <rPr>
        <sz val="10"/>
        <color rgb="FF0000FF"/>
        <rFont val="Noto Sans CJK SC"/>
        <family val="2"/>
      </rPr>
      <t xml:space="preserve">消費 </t>
    </r>
    <r>
      <rPr>
        <sz val="10"/>
        <color rgb="FF0000FF"/>
        <rFont val="Arial"/>
        <family val="0"/>
        <charset val="1"/>
      </rPr>
      <t xml:space="preserve">75%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2025 70%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SRC_DEM_039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2026-03 </t>
    </r>
    <r>
      <rPr>
        <sz val="10"/>
        <color rgb="FF0000FF"/>
        <rFont val="Noto Sans CJK SC"/>
        <family val="2"/>
      </rPr>
      <t xml:space="preserve">企業 </t>
    </r>
    <r>
      <rPr>
        <sz val="10"/>
        <color rgb="FF0000FF"/>
        <rFont val="Arial"/>
        <family val="0"/>
        <charset val="1"/>
      </rPr>
      <t xml:space="preserve">&gt;40%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SRC_DEM_023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2026-07 </t>
    </r>
    <r>
      <rPr>
        <sz val="10"/>
        <color rgb="FF0000FF"/>
        <rFont val="Noto Sans CJK SC"/>
        <family val="2"/>
      </rPr>
      <t xml:space="preserve">企業超過消費（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</si>
  <si>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SRC_DEM_038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039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023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N05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</si>
  <si>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（「企業」口徑未定義）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</si>
  <si>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營收三分份額（每欄各自輸入，</t>
    </r>
    <r>
      <rPr>
        <sz val="10"/>
        <color rgb="FF0000FF"/>
        <rFont val="Arial"/>
        <family val="0"/>
        <charset val="1"/>
      </rPr>
      <t xml:space="preserve">r0.1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</si>
  <si>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0.70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）</t>
    </r>
  </si>
  <si>
    <t xml:space="preserve">0.70 → 0.60 → 0.55 → 0.45</t>
  </si>
  <si>
    <t xml:space="preserve">登錄 DB_Evidence；H10 份額的依據（r0.1，Andy 15:49）</t>
  </si>
  <si>
    <t xml:space="preserve">「企業」口徑 OpenAI 未定義，本表視為席次＋API｜暫編 N13｜chat 端建議（「1 GW DC 收入：L 與 m」對話串 2026-10-14），Andy 2026-10-14 15:35「我能說甚麼呢，你已經包括我的想法了。關於第6點，這個m當然是實驗室(OAI)視角」（文字，未改字）；Andy 2026-10-14 15:39「Gemini還沒設定好。請先自己做。」「同意，請進行。」（文字，未改字）；可撤回｜讀取者：chat 端（工作單 v5.34 r0.1 0.5 節外部搜尋）</t>
  </si>
  <si>
    <r>
      <rPr>
        <sz val="10"/>
        <color rgb="FF000000"/>
        <rFont val="Arial"/>
        <family val="0"/>
        <charset val="1"/>
      </rPr>
      <t xml:space="preserve">SRC_DEM_038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SRC_DEM_039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SRC_DEM_023</t>
    </r>
  </si>
  <si>
    <t xml:space="preserve">E338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</si>
  <si>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中階牌價序列（輸入／輸出 </t>
    </r>
    <r>
      <rPr>
        <sz val="10"/>
        <color rgb="FF0000FF"/>
        <rFont val="Arial"/>
        <family val="0"/>
        <charset val="1"/>
      </rPr>
      <t xml:space="preserve">$/M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GPT-4 30/60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 Turbo 10/30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2023-11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 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2024-05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4o-0806 2.5/10 → 4.1 2/8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2025-04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GPT-5 1.25/10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5.2 1.75/14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2025-12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5.4 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2026-03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GPT-6 Sol 2/10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6.1 Sol 2/10</t>
    </r>
    <r>
      <rPr>
        <sz val="10"/>
        <color rgb="FF0000FF"/>
        <rFont val="Noto Sans CJK SC"/>
        <family val="2"/>
      </rPr>
      <t xml:space="preserve">、快取 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2026-09-29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</si>
  <si>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端依既有知識整理（未逐筆重讀原文）</t>
    </r>
  </si>
  <si>
    <t xml:space="preserve">等級 3（G0-7）；待一手確認</t>
  </si>
  <si>
    <r>
      <rPr>
        <sz val="10"/>
        <color rgb="FF0000FF"/>
        <rFont val="Arial"/>
        <family val="0"/>
        <charset val="1"/>
      </rPr>
      <t xml:space="preserve">Cap_In I-1 </t>
    </r>
    <r>
      <rPr>
        <sz val="10"/>
        <color rgb="FF0000FF"/>
        <rFont val="Noto Sans CJK SC"/>
        <family val="2"/>
      </rPr>
      <t xml:space="preserve">牌價年變化率 </t>
    </r>
    <r>
      <rPr>
        <sz val="10"/>
        <color rgb="FF0000FF"/>
        <rFont val="Arial"/>
        <family val="0"/>
        <charset val="1"/>
      </rPr>
      <t xml:space="preserve">g </t>
    </r>
    <r>
      <rPr>
        <sz val="10"/>
        <color rgb="FF0000FF"/>
        <rFont val="Noto Sans CJK SC"/>
        <family val="2"/>
      </rPr>
      <t xml:space="preserve">的依據（迴歸輸入）</t>
    </r>
  </si>
  <si>
    <t xml:space="preserve">序列（見主張）</t>
  </si>
  <si>
    <t xml:space="preserve">登錄 DB_Evidence；SRC_Price 不新增（等級 3）；2026 各點可對 SRC_PRC_006–008 與 BenchLM 2026-10-13 頁面互證</t>
  </si>
  <si>
    <t xml:space="preserve">歷史牌價未逐筆重讀原文｜暫編 N14｜chat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更正（世代價格 A 段 P-a1，E366）：5.6 Terra 上市價為 2.5/15（2026-07-09），2/12 是 2026-07-30 降價 20% 後的價；2025 年以前的「中階」序列實為旗艦（GPT-4／4 Turbo／4o 當時為旗艦；層級名稱在 GPT-5.6 與 GPT-6 之間換位）。原主張、來源與標記欄不改</t>
  </si>
  <si>
    <r>
      <rPr>
        <sz val="10"/>
        <color rgb="FF000000"/>
        <rFont val="Arial"/>
        <family val="0"/>
        <charset val="1"/>
      </rPr>
      <t xml:space="preserve">SRC_PRC_006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SRC_PRC_008</t>
    </r>
  </si>
  <si>
    <r>
      <rPr>
        <sz val="10"/>
        <color rgb="FF000000"/>
        <rFont val="Arial"/>
        <family val="0"/>
        <charset val="1"/>
      </rPr>
      <t xml:space="preserve">L1_LPrice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L1_LDemote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L1_LTotal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v5.35 </t>
    </r>
    <r>
      <rPr>
        <sz val="10"/>
        <color rgb="FF000000"/>
        <rFont val="Noto Sans CJK SC"/>
        <family val="2"/>
      </rPr>
      <t xml:space="preserve">新列）</t>
    </r>
  </si>
  <si>
    <t xml:space="preserve">E339</t>
  </si>
  <si>
    <r>
      <rPr>
        <sz val="10"/>
        <color rgb="FF0000FF"/>
        <rFont val="Arial"/>
        <family val="0"/>
        <charset val="1"/>
      </rPr>
      <t xml:space="preserve">Claude Sonnet </t>
    </r>
    <r>
      <rPr>
        <sz val="10"/>
        <color rgb="FF0000FF"/>
        <rFont val="Noto Sans CJK SC"/>
        <family val="2"/>
      </rPr>
      <t xml:space="preserve">牌價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自 </t>
    </r>
    <r>
      <rPr>
        <sz val="10"/>
        <color rgb="FF0000FF"/>
        <rFont val="Arial"/>
        <family val="0"/>
        <charset val="1"/>
      </rPr>
      <t xml:space="preserve">2024-03 </t>
    </r>
    <r>
      <rPr>
        <sz val="10"/>
        <color rgb="FF0000FF"/>
        <rFont val="Noto Sans CJK SC"/>
        <family val="2"/>
      </rPr>
      <t xml:space="preserve">至 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 </t>
    </r>
    <r>
      <rPr>
        <sz val="10"/>
        <color rgb="FF0000FF"/>
        <rFont val="Noto Sans CJK SC"/>
        <family val="2"/>
      </rPr>
      <t xml:space="preserve">標準價）持平；</t>
    </r>
    <r>
      <rPr>
        <sz val="10"/>
        <color rgb="FF0000FF"/>
        <rFont val="Arial"/>
        <family val="0"/>
        <charset val="1"/>
      </rPr>
      <t xml:space="preserve">Sonnet 5 </t>
    </r>
    <r>
      <rPr>
        <sz val="10"/>
        <color rgb="FF0000FF"/>
        <rFont val="Noto Sans CJK SC"/>
        <family val="2"/>
      </rPr>
      <t xml:space="preserve">換 </t>
    </r>
    <r>
      <rPr>
        <sz val="10"/>
        <color rgb="FF0000FF"/>
        <rFont val="Arial"/>
        <family val="0"/>
        <charset val="1"/>
      </rPr>
      <t xml:space="preserve">tokenizer</t>
    </r>
    <r>
      <rPr>
        <sz val="10"/>
        <color rgb="FF0000FF"/>
        <rFont val="Noto Sans CJK SC"/>
        <family val="2"/>
      </rPr>
      <t xml:space="preserve">，每單位文字實價未定</t>
    </r>
  </si>
  <si>
    <r>
      <rPr>
        <sz val="10"/>
        <color rgb="FF0000FF"/>
        <rFont val="Arial"/>
        <family val="0"/>
        <charset val="1"/>
      </rPr>
      <t xml:space="preserve">Finout 2026-07-01 </t>
    </r>
    <r>
      <rPr>
        <sz val="10"/>
        <color rgb="FF0000FF"/>
        <rFont val="Noto Sans CJK SC"/>
        <family val="2"/>
      </rPr>
      <t xml:space="preserve">轉述</t>
    </r>
  </si>
  <si>
    <t xml:space="preserve">等級 3；二手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</si>
  <si>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持平）</t>
    </r>
  </si>
  <si>
    <t xml:space="preserve">持平</t>
  </si>
  <si>
    <t xml:space="preserve">登錄 DB_Evidence；SRC_Price 不新增；g 高端（+0.05）取近一年持平略升的依據之一</t>
  </si>
  <si>
    <r>
      <rPr>
        <sz val="10"/>
        <color rgb="FF0000FF"/>
        <rFont val="Arial"/>
        <family val="0"/>
        <charset val="1"/>
      </rPr>
      <t xml:space="preserve">tokenizer </t>
    </r>
    <r>
      <rPr>
        <sz val="10"/>
        <color rgb="FF0000FF"/>
        <rFont val="Noto Sans CJK SC"/>
        <family val="2"/>
      </rPr>
      <t xml:space="preserve">變更使每單位文字實價未定｜暫編 </t>
    </r>
    <r>
      <rPr>
        <sz val="10"/>
        <color rgb="FF0000FF"/>
        <rFont val="Arial"/>
        <family val="0"/>
        <charset val="1"/>
      </rPr>
      <t xml:space="preserve">N15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端建議（「</t>
    </r>
    <r>
      <rPr>
        <sz val="10"/>
        <color rgb="FF0000FF"/>
        <rFont val="Arial"/>
        <family val="0"/>
        <charset val="1"/>
      </rPr>
      <t xml:space="preserve">1 GW DC </t>
    </r>
    <r>
      <rPr>
        <sz val="10"/>
        <color rgb="FF0000FF"/>
        <rFont val="Noto Sans CJK SC"/>
        <family val="2"/>
      </rPr>
      <t xml:space="preserve">收入：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m</t>
    </r>
    <r>
      <rPr>
        <sz val="10"/>
        <color rgb="FF0000FF"/>
        <rFont val="Noto Sans CJK SC"/>
        <family val="2"/>
      </rPr>
      <t xml:space="preserve">」對話串 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Andy 2026-10-14 19:38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3. Assume 0.65</t>
    </r>
    <r>
      <rPr>
        <sz val="10"/>
        <color rgb="FF0000FF"/>
        <rFont val="Noto Sans CJK SC"/>
        <family val="2"/>
      </rPr>
      <t xml:space="preserve">，其餘照建議」（文字，未改字；對象＝</t>
    </r>
    <r>
      <rPr>
        <sz val="10"/>
        <color rgb="FF0000FF"/>
        <rFont val="Arial"/>
        <family val="0"/>
        <charset val="1"/>
      </rPr>
      <t xml:space="preserve">v5.34 </t>
    </r>
    <r>
      <rPr>
        <sz val="10"/>
        <color rgb="FF0000FF"/>
        <rFont val="Noto Sans CJK SC"/>
        <family val="2"/>
      </rPr>
      <t xml:space="preserve">報告「待 </t>
    </r>
    <r>
      <rPr>
        <sz val="10"/>
        <color rgb="FF0000FF"/>
        <rFont val="Arial"/>
        <family val="0"/>
        <charset val="1"/>
      </rPr>
      <t xml:space="preserve">Project </t>
    </r>
    <r>
      <rPr>
        <sz val="10"/>
        <color rgb="FF0000FF"/>
        <rFont val="Noto Sans CJK SC"/>
        <family val="2"/>
      </rPr>
      <t xml:space="preserve">判斷」第 </t>
    </r>
    <r>
      <rPr>
        <sz val="10"/>
        <color rgb="FF0000FF"/>
        <rFont val="Arial"/>
        <family val="0"/>
        <charset val="1"/>
      </rPr>
      <t xml:space="preserve">1–3 </t>
    </r>
    <r>
      <rPr>
        <sz val="10"/>
        <color rgb="FF0000FF"/>
        <rFont val="Noto Sans CJK SC"/>
        <family val="2"/>
      </rPr>
      <t xml:space="preserve">項的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端建議）；</t>
    </r>
    <r>
      <rPr>
        <sz val="10"/>
        <color rgb="FF0000FF"/>
        <rFont val="Arial"/>
        <family val="0"/>
        <charset val="1"/>
      </rPr>
      <t xml:space="preserve">Andy 2026-10-14 15:49</t>
    </r>
    <r>
      <rPr>
        <sz val="10"/>
        <color rgb="FF0000FF"/>
        <rFont val="Noto Sans CJK SC"/>
        <family val="2"/>
      </rPr>
      <t xml:space="preserve">「兩件事我都同意。」（文字，未改字；對象＝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15:4x </t>
    </r>
    <r>
      <rPr>
        <sz val="10"/>
        <color rgb="FF0000FF"/>
        <rFont val="Noto Sans CJK SC"/>
        <family val="2"/>
      </rPr>
      <t xml:space="preserve">提出的 </t>
    </r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拆分）；可撤回｜讀取者：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v5.35 r0 B3</t>
    </r>
    <r>
      <rPr>
        <sz val="10"/>
        <color rgb="FF0000FF"/>
        <rFont val="Noto Sans CJK SC"/>
        <family val="2"/>
      </rPr>
      <t xml:space="preserve">）｜</t>
    </r>
    <r>
      <rPr>
        <sz val="10"/>
        <color rgb="FF0000FF"/>
        <rFont val="Arial"/>
        <family val="0"/>
        <charset val="1"/>
      </rPr>
      <t xml:space="preserve">v7.0 </t>
    </r>
    <r>
      <rPr>
        <sz val="10"/>
        <color rgb="FF0000FF"/>
        <rFont val="Noto Sans CJK SC"/>
        <family val="2"/>
      </rPr>
      <t xml:space="preserve">更正（</t>
    </r>
    <r>
      <rPr>
        <sz val="10"/>
        <color rgb="FF0000FF"/>
        <rFont val="Arial"/>
        <family val="0"/>
        <charset val="1"/>
      </rPr>
      <t xml:space="preserve">P-a2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E367</t>
    </r>
    <r>
      <rPr>
        <sz val="10"/>
        <color rgb="FF0000FF"/>
        <rFont val="Noto Sans CJK SC"/>
        <family val="2"/>
      </rPr>
      <t xml:space="preserve">）：「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持平」不成立：</t>
    </r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）上市即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宣布 </t>
    </r>
    <r>
      <rPr>
        <sz val="10"/>
        <color rgb="FF0000FF"/>
        <rFont val="Arial"/>
        <family val="0"/>
        <charset val="1"/>
      </rPr>
      <t xml:space="preserve">2/10 </t>
    </r>
    <r>
      <rPr>
        <sz val="10"/>
        <color rgb="FF0000FF"/>
        <rFont val="Noto Sans CJK SC"/>
        <family val="2"/>
      </rPr>
      <t xml:space="preserve">永久（原訂 </t>
    </r>
    <r>
      <rPr>
        <sz val="10"/>
        <color rgb="FF0000FF"/>
        <rFont val="Arial"/>
        <family val="0"/>
        <charset val="1"/>
      </rPr>
      <t xml:space="preserve">9/1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3/15 </t>
    </r>
    <r>
      <rPr>
        <sz val="10"/>
        <color rgb="FF0000FF"/>
        <rFont val="Noto Sans CJK SC"/>
        <family val="2"/>
      </rPr>
      <t xml:space="preserve">取消）；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）亦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。原主張、來源與標記欄不改</t>
    </r>
  </si>
  <si>
    <t xml:space="preserve">E340</t>
  </si>
  <si>
    <r>
      <rPr>
        <sz val="10"/>
        <color rgb="FF0000FF"/>
        <rFont val="Arial"/>
        <family val="0"/>
        <charset val="1"/>
      </rPr>
      <t xml:space="preserve">Gemini Pro </t>
    </r>
    <r>
      <rPr>
        <sz val="10"/>
        <color rgb="FF0000FF"/>
        <rFont val="Noto Sans CJK SC"/>
        <family val="2"/>
      </rPr>
      <t xml:space="preserve">牌價：</t>
    </r>
    <r>
      <rPr>
        <sz val="10"/>
        <color rgb="FF0000FF"/>
        <rFont val="Arial"/>
        <family val="0"/>
        <charset val="1"/>
      </rPr>
      <t xml:space="preserve">1.5 Pro 3.5/10.5 → 1.25/5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 </t>
    </r>
    <r>
      <rPr>
        <sz val="10"/>
        <color rgb="FF0000FF"/>
        <rFont val="Arial"/>
        <family val="0"/>
        <charset val="1"/>
      </rPr>
      <t xml:space="preserve">2.5 Pro 1.25/10 → 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</si>
  <si>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BenchLM 2026-10-13</t>
  </si>
  <si>
    <t xml:space="preserve">等級 3；二手彙整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</si>
  <si>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的對照（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  <r>
      <rPr>
        <sz val="10"/>
        <color rgb="FF0000FF"/>
        <rFont val="Noto Sans CJK SC"/>
        <family val="2"/>
      </rPr>
      <t xml:space="preserve">）</t>
    </r>
  </si>
  <si>
    <t xml:space="preserve">登錄 DB_Evidence；SRC_Price 不新增</t>
  </si>
  <si>
    <t xml:space="preserve">二手彙整｜暫編 N16｜chat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</si>
  <si>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E341</t>
  </si>
  <si>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端迴歸結果（對數線性；參考請求權重／</t>
    </r>
    <r>
      <rPr>
        <sz val="10"/>
        <color rgb="FF0000FF"/>
        <rFont val="Arial"/>
        <family val="0"/>
        <charset val="1"/>
      </rPr>
      <t xml:space="preserve">3:1 </t>
    </r>
    <r>
      <rPr>
        <sz val="10"/>
        <color rgb="FF0000FF"/>
        <rFont val="Noto Sans CJK SC"/>
        <family val="2"/>
      </rPr>
      <t xml:space="preserve">權重並列）：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中階 </t>
    </r>
    <r>
      <rPr>
        <sz val="10"/>
        <color rgb="FF0000FF"/>
        <rFont val="Arial"/>
        <family val="0"/>
        <charset val="1"/>
      </rPr>
      <t xml:space="preserve">2023–2026.8 </t>
    </r>
    <r>
      <rPr>
        <sz val="10"/>
        <color rgb="FF0000FF"/>
        <rFont val="Noto Sans CJK SC"/>
        <family val="2"/>
      </rPr>
      <t xml:space="preserve">年變化 −</t>
    </r>
    <r>
      <rPr>
        <sz val="10"/>
        <color rgb="FF0000FF"/>
        <rFont val="Arial"/>
        <family val="0"/>
        <charset val="1"/>
      </rPr>
      <t xml:space="preserve">49%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38%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2024.3–2026.8 −24%</t>
    </r>
    <r>
      <rPr>
        <sz val="10"/>
        <color rgb="FF0000FF"/>
        <rFont val="Noto Sans CJK SC"/>
        <family val="2"/>
      </rPr>
      <t xml:space="preserve">／−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2025–2026.8 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Sonnet </t>
    </r>
    <r>
      <rPr>
        <sz val="10"/>
        <color rgb="FF0000FF"/>
        <rFont val="Noto Sans CJK SC"/>
        <family val="2"/>
      </rPr>
      <t xml:space="preserve">持平；</t>
    </r>
    <r>
      <rPr>
        <sz val="10"/>
        <color rgb="FF0000FF"/>
        <rFont val="Arial"/>
        <family val="0"/>
        <charset val="1"/>
      </rPr>
      <t xml:space="preserve">Gemini Pro −18%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+11%</t>
    </r>
  </si>
  <si>
    <t xml:space="preserve">工作單 v5.35 r0 B2 I-1 依據欄（chat 端 2026-10-14 計算）</t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</si>
  <si>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基準 −</t>
    </r>
    <r>
      <rPr>
        <sz val="10"/>
        <color rgb="FF0000FF"/>
        <rFont val="Arial"/>
        <family val="0"/>
        <charset val="1"/>
      </rPr>
      <t xml:space="preserve">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</si>
  <si>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−0.10</t>
    </r>
    <r>
      <rPr>
        <sz val="10"/>
        <color rgb="FF0000FF"/>
        <rFont val="Noto Sans CJK SC"/>
        <family val="2"/>
      </rPr>
      <t xml:space="preserve">（−</t>
    </r>
    <r>
      <rPr>
        <sz val="10"/>
        <color rgb="FF0000FF"/>
        <rFont val="Arial"/>
        <family val="0"/>
        <charset val="1"/>
      </rPr>
      <t xml:space="preserve">0.25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+0.05</t>
    </r>
    <r>
      <rPr>
        <sz val="10"/>
        <color rgb="FF0000FF"/>
        <rFont val="Noto Sans CJK SC"/>
        <family val="2"/>
      </rPr>
      <t xml:space="preserve">）</t>
    </r>
  </si>
  <si>
    <t xml:space="preserve">登錄 DB_Evidence；g 基準取近兩年中值附近、高端取近一年持平略升、低端取 2027 後供給釋放與中國廠商競價情境</t>
  </si>
  <si>
    <t xml:space="preserve">兩種混合權重並列｜暫編 N17｜chat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B3）｜v7.0 註記（P-a4，E369）：原數值無法復現（取點日期與腳本未留存）。對數線性、取點＝上市日、混合價 8:1／3:1：以 E338 原序列重算，2023–2026.8 −47.6%／−42.7%、2024.3–2026.8 −16.1%／−8.6%、2025–2026.8 +32.0%／+38.2%；以確認序列重算，−45.8%／−40.8%、−11.0%／−3.0%、+53.0%／+60.2%（A 段報告第 3 節）。Cap_In I-1 g 是否調整屬 Project 判斷，本版不改</t>
  </si>
  <si>
    <t xml:space="preserve">E342</t>
  </si>
  <si>
    <r>
      <rPr>
        <sz val="10"/>
        <color rgb="FF0000FF"/>
        <rFont val="Arial"/>
        <family val="0"/>
        <charset val="1"/>
      </rPr>
      <t xml:space="preserve">L </t>
    </r>
    <r>
      <rPr>
        <sz val="10"/>
        <color rgb="FF0000FF"/>
        <rFont val="Noto Sans CJK SC"/>
        <family val="2"/>
      </rPr>
      <t xml:space="preserve">換算式與錨點（</t>
    </r>
    <r>
      <rPr>
        <sz val="10"/>
        <color rgb="FF0000FF"/>
        <rFont val="Arial"/>
        <family val="0"/>
        <charset val="1"/>
      </rPr>
      <t xml:space="preserve">B2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L_price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((1+g)^T−1)/(T·LN(1+g))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L_total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[((1+g)^T1−1)+ρ((1+g)^T−(1+g)^T1)]/(T·LN(1+g))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L_demote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L_total ÷ L_price</t>
    </r>
    <r>
      <rPr>
        <sz val="10"/>
        <color rgb="FF0000FF"/>
        <rFont val="Noto Sans CJK SC"/>
        <family val="2"/>
      </rPr>
      <t xml:space="preserve">；基準 </t>
    </r>
    <r>
      <rPr>
        <sz val="10"/>
        <color rgb="FF0000FF"/>
        <rFont val="Arial"/>
        <family val="0"/>
        <charset val="1"/>
      </rPr>
      <t xml:space="preserve">0.7412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0.6426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0.867</t>
    </r>
    <r>
      <rPr>
        <sz val="10"/>
        <color rgb="FF0000FF"/>
        <rFont val="Noto Sans CJK SC"/>
        <family val="2"/>
      </rPr>
      <t xml:space="preserve">；降級 </t>
    </r>
    <r>
      <rPr>
        <sz val="10"/>
        <color rgb="FF0000FF"/>
        <rFont val="Arial"/>
        <family val="0"/>
        <charset val="1"/>
      </rPr>
      <t xml:space="preserve">ρ </t>
    </r>
    <r>
      <rPr>
        <sz val="10"/>
        <color rgb="FF0000FF"/>
        <rFont val="Noto Sans CJK SC"/>
        <family val="2"/>
      </rPr>
      <t xml:space="preserve">低端＝</t>
    </r>
    <r>
      <rPr>
        <sz val="10"/>
        <color rgb="FF0000FF"/>
        <rFont val="Arial"/>
        <family val="0"/>
        <charset val="1"/>
      </rPr>
      <t xml:space="preserve">GPT-6 Luna ÷ Sol </t>
    </r>
    <r>
      <rPr>
        <sz val="10"/>
        <color rgb="FF0000FF"/>
        <rFont val="Noto Sans CJK SC"/>
        <family val="2"/>
      </rPr>
      <t xml:space="preserve">參考請求單價 </t>
    </r>
    <r>
      <rPr>
        <sz val="10"/>
        <color rgb="FF0000FF"/>
        <rFont val="Arial"/>
        <family val="0"/>
        <charset val="1"/>
      </rPr>
      <t xml:space="preserve">0.05</t>
    </r>
  </si>
  <si>
    <t xml:space="preserve">工作單 v5.35 r0 B2（chat 端 2026-10-14 計算）</t>
  </si>
  <si>
    <r>
      <rPr>
        <sz val="10"/>
        <color rgb="FF0000FF"/>
        <rFont val="Arial"/>
        <family val="0"/>
        <charset val="1"/>
      </rPr>
      <t xml:space="preserve">Cap_In I </t>
    </r>
    <r>
      <rPr>
        <sz val="10"/>
        <color rgb="FF0000FF"/>
        <rFont val="Noto Sans CJK SC"/>
        <family val="2"/>
      </rPr>
      <t xml:space="preserve">節公式列與 </t>
    </r>
    <r>
      <rPr>
        <sz val="10"/>
        <color rgb="FF0000FF"/>
        <rFont val="Arial"/>
        <family val="0"/>
        <charset val="1"/>
      </rPr>
      <t xml:space="preserve">L1_LPrice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LDemote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LTotal</t>
    </r>
  </si>
  <si>
    <t xml:space="preserve">見主張</t>
  </si>
  <si>
    <t xml:space="preserve">登錄 DB_Evidence；Cap_In I 節驗收錨點來源</t>
  </si>
  <si>
    <t xml:space="preserve">—｜暫編 N18｜chat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</si>
  <si>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廣告年化 </t>
    </r>
    <r>
      <rPr>
        <sz val="10"/>
        <color rgb="FF0000FF"/>
        <rFont val="Arial"/>
        <family val="0"/>
        <charset val="1"/>
      </rPr>
      <t xml:space="preserve">$1B</t>
    </r>
    <r>
      <rPr>
        <sz val="10"/>
        <color rgb="FF0000FF"/>
        <rFont val="Noto Sans CJK SC"/>
        <family val="2"/>
      </rPr>
      <t xml:space="preserve">（上線約 </t>
    </r>
    <r>
      <rPr>
        <sz val="10"/>
        <color rgb="FF0000FF"/>
        <rFont val="Arial"/>
        <family val="0"/>
        <charset val="1"/>
      </rPr>
      <t xml:space="preserve">200 </t>
    </r>
    <r>
      <rPr>
        <sz val="10"/>
        <color rgb="FF0000FF"/>
        <rFont val="Noto Sans CJK SC"/>
        <family val="2"/>
      </rPr>
      <t xml:space="preserve">天後）</t>
    </r>
  </si>
  <si>
    <r>
      <rPr>
        <sz val="10"/>
        <color rgb="FF0000FF"/>
        <rFont val="Arial"/>
        <family val="0"/>
        <charset val="1"/>
      </rPr>
      <t xml:space="preserve">CNBC 2026-08-31</t>
    </r>
    <r>
      <rPr>
        <sz val="10"/>
        <color rgb="FF0000FF"/>
        <rFont val="Noto Sans CJK SC"/>
        <family val="2"/>
      </rPr>
      <t xml:space="preserve">（二手）</t>
    </r>
  </si>
  <si>
    <r>
      <rPr>
        <sz val="10"/>
        <color rgb="FF0000FF"/>
        <rFont val="Arial"/>
        <family val="0"/>
        <charset val="1"/>
      </rPr>
      <t xml:space="preserve">Cap_In H10 </t>
    </r>
    <r>
      <rPr>
        <sz val="10"/>
        <color rgb="FF0000FF"/>
        <rFont val="Noto Sans CJK SC"/>
        <family val="2"/>
      </rPr>
      <t xml:space="preserve">廣告營收年化 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三欄（</t>
    </r>
    <r>
      <rPr>
        <sz val="10"/>
        <color rgb="FF0000FF"/>
        <rFont val="Arial"/>
        <family val="0"/>
        <charset val="1"/>
      </rPr>
      <t xml:space="preserve">Q1 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0.5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FY2026 1.0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</si>
  <si>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0.5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H8 </t>
    </r>
    <r>
      <rPr>
        <sz val="10"/>
        <color rgb="FF0000FF"/>
        <rFont val="Noto Sans CJK SC"/>
        <family val="2"/>
      </rPr>
      <t xml:space="preserve">單值，</t>
    </r>
    <r>
      <rPr>
        <sz val="10"/>
        <color rgb="FF0000FF"/>
        <rFont val="Arial"/>
        <family val="0"/>
        <charset val="1"/>
      </rPr>
      <t xml:space="preserve">v5.34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</si>
  <si>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1.0 $B</t>
    </r>
    <r>
      <rPr>
        <sz val="10"/>
        <color rgb="FF0000FF"/>
        <rFont val="Noto Sans CJK SC"/>
        <family val="2"/>
      </rPr>
      <t xml:space="preserve">（年化，</t>
    </r>
    <r>
      <rPr>
        <sz val="10"/>
        <color rgb="FF0000FF"/>
        <rFont val="Arial"/>
        <family val="0"/>
        <charset val="1"/>
      </rPr>
      <t xml:space="preserve">2026-08</t>
    </r>
    <r>
      <rPr>
        <sz val="10"/>
        <color rgb="FF0000FF"/>
        <rFont val="Noto Sans CJK SC"/>
        <family val="2"/>
      </rPr>
      <t xml:space="preserve">）</t>
    </r>
  </si>
  <si>
    <t xml:space="preserve">採用（X43）：新登錄 SRC_DEM_072；Active；J23 (2) 廣告每欄各自輸入的依據</t>
  </si>
  <si>
    <t xml:space="preserve">二手轉述，未取得一手｜暫編 N19｜chat 端建議（「1 GW DC 收入：L 與 m」對話串 2026-10-14），Andy 2026-10-14 19:38「3. Assume 0.65，其餘照建議」（文字，未改字；對象＝v5.34 報告「待 Project 判斷」第 1–3 項的 chat 端建議）；Andy 2026-10-14 15:49「兩件事我都同意。」（文字，未改字；對象＝chat 端 15:4x 提出的 L 拆分）；可撤回｜讀取者：chat 端（工作單 v5.35 r0 B3）</t>
  </si>
  <si>
    <t xml:space="preserve">E344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</si>
  <si>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Anthropic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2026-10-12 </t>
    </r>
    <r>
      <rPr>
        <sz val="10"/>
        <color rgb="FF0000FF"/>
        <rFont val="Noto Sans CJK SC"/>
        <family val="2"/>
      </rPr>
      <t xml:space="preserve">後無新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／訊息數揭露（已搜尋，未找到）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</si>
  <si>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2.1 </t>
    </r>
    <r>
      <rPr>
        <sz val="10"/>
        <color rgb="FF0000FF"/>
        <rFont val="Noto Sans CJK SC"/>
        <family val="2"/>
      </rPr>
      <t xml:space="preserve">節</t>
    </r>
  </si>
  <si>
    <t xml:space="preserve">缺口紀錄</t>
  </si>
  <si>
    <r>
      <rPr>
        <sz val="10"/>
        <color rgb="FF0000FF"/>
        <rFont val="Arial"/>
        <family val="0"/>
        <charset val="1"/>
      </rPr>
      <t xml:space="preserve">v5.32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節新揭露規則</t>
    </r>
  </si>
  <si>
    <t xml:space="preserve">登錄（缺口紀錄）</t>
  </si>
  <si>
    <t xml:space="preserve">已搜尋，未找到 ≠ 不存在｜暫編 N01｜Andy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</si>
  <si>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E345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</si>
  <si>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每月處理 </t>
    </r>
    <r>
      <rPr>
        <sz val="10"/>
        <color rgb="FF0000FF"/>
        <rFont val="Arial"/>
        <family val="0"/>
        <charset val="1"/>
      </rPr>
      <t xml:space="preserve">3.2e15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2026-05</t>
    </r>
    <r>
      <rPr>
        <sz val="10"/>
        <color rgb="FF0000FF"/>
        <rFont val="Noto Sans CJK SC"/>
        <family val="2"/>
      </rPr>
      <t xml:space="preserve">），一年前 </t>
    </r>
    <r>
      <rPr>
        <sz val="10"/>
        <color rgb="FF0000FF"/>
        <rFont val="Arial"/>
        <family val="0"/>
        <charset val="1"/>
      </rPr>
      <t xml:space="preserve">4.8e14</t>
    </r>
  </si>
  <si>
    <t xml:space="preserve">https://blog.google/innovation-and-ai/sundar-pichai-io-2026/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</si>
  <si>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Google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</si>
  <si>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12 </t>
    </r>
    <r>
      <rPr>
        <sz val="10"/>
        <color rgb="FF0000FF"/>
        <rFont val="Noto Sans CJK SC"/>
        <family val="2"/>
      </rPr>
      <t xml:space="preserve">列對照（補強 </t>
    </r>
    <r>
      <rPr>
        <sz val="10"/>
        <color rgb="FF0000FF"/>
        <rFont val="Arial"/>
        <family val="0"/>
        <charset val="1"/>
      </rPr>
      <t xml:space="preserve">D180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</si>
  <si>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3.2e15</t>
    </r>
    <r>
      <rPr>
        <sz val="10"/>
        <color rgb="FF0000FF"/>
        <rFont val="Noto Sans CJK SC"/>
        <family val="2"/>
      </rPr>
      <t xml:space="preserve">／月</t>
    </r>
  </si>
  <si>
    <t xml:space="preserve">登錄 DB_Evidence；補強既有紀錄</t>
  </si>
  <si>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N02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</si>
  <si>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E346</t>
  </si>
  <si>
    <r>
      <rPr>
        <sz val="10"/>
        <color rgb="FF0000FF"/>
        <rFont val="Arial"/>
        <family val="0"/>
        <charset val="1"/>
      </rPr>
      <t xml:space="preserve">Oracle AI </t>
    </r>
    <r>
      <rPr>
        <sz val="10"/>
        <color rgb="FF0000FF"/>
        <rFont val="Noto Sans CJK SC"/>
        <family val="2"/>
      </rPr>
      <t xml:space="preserve">雲端（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出租）毛利率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2025-06</t>
    </r>
    <r>
      <rPr>
        <sz val="10"/>
        <color rgb="FF0000FF"/>
        <rFont val="Noto Sans CJK SC"/>
        <family val="2"/>
      </rPr>
      <t xml:space="preserve">～</t>
    </r>
    <r>
      <rPr>
        <sz val="10"/>
        <color rgb="FF0000FF"/>
        <rFont val="Arial"/>
        <family val="0"/>
        <charset val="1"/>
      </rPr>
      <t xml:space="preserve">08 </t>
    </r>
    <r>
      <rPr>
        <sz val="10"/>
        <color rgb="FF0000FF"/>
        <rFont val="Noto Sans CJK SC"/>
        <family val="2"/>
      </rPr>
      <t xml:space="preserve">季）</t>
    </r>
  </si>
  <si>
    <r>
      <rPr>
        <sz val="10"/>
        <color rgb="FF0000FF"/>
        <rFont val="Arial"/>
        <family val="0"/>
        <charset val="1"/>
      </rPr>
      <t xml:space="preserve">Sherbrooke Record 2025-10-07</t>
    </r>
    <r>
      <rPr>
        <sz val="10"/>
        <color rgb="FF0000FF"/>
        <rFont val="Noto Sans CJK SC"/>
        <family val="2"/>
      </rPr>
      <t xml:space="preserve">（二手轉述 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</si>
  <si>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（二手）；等級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</si>
  <si>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</t>
    </r>
  </si>
  <si>
    <t xml:space="preserve">2.0</t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</si>
  <si>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（上限讀法 </t>
    </r>
    <r>
      <rPr>
        <sz val="10"/>
        <color rgb="FF0000FF"/>
        <rFont val="Arial"/>
        <family val="0"/>
        <charset val="1"/>
      </rPr>
      <t xml:space="preserve">1.16</t>
    </r>
    <r>
      <rPr>
        <sz val="10"/>
        <color rgb="FF0000FF"/>
        <rFont val="Noto Sans CJK SC"/>
        <family val="2"/>
      </rPr>
      <t xml:space="preserve">）</t>
    </r>
  </si>
  <si>
    <t xml:space="preserve">登錄，等級 3；與 Oracle 毛利率一筆（補充檔 Sherwood）互證</t>
  </si>
  <si>
    <t xml:space="preserve">二手轉述｜暫編 N03｜Andy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</si>
  <si>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Alloc_In </t>
    </r>
    <r>
      <rPr>
        <sz val="10"/>
        <color rgb="FF000000"/>
        <rFont val="Noto Sans CJK SC"/>
        <family val="2"/>
      </rPr>
      <t xml:space="preserve">計價倍數；</t>
    </r>
    <r>
      <rPr>
        <sz val="10"/>
        <color rgb="FF000000"/>
        <rFont val="Arial"/>
        <family val="0"/>
        <charset val="1"/>
      </rPr>
      <t xml:space="preserve">L1_GapSpendBasis</t>
    </r>
  </si>
  <si>
    <t xml:space="preserve">E347</t>
  </si>
  <si>
    <r>
      <rPr>
        <sz val="10"/>
        <color rgb="FF0000FF"/>
        <rFont val="Arial"/>
        <family val="0"/>
        <charset val="1"/>
      </rPr>
      <t xml:space="preserve">CoreWeave 2026 Q2 </t>
    </r>
    <r>
      <rPr>
        <sz val="10"/>
        <color rgb="FF0000FF"/>
        <rFont val="Noto Sans CJK SC"/>
        <family val="2"/>
      </rPr>
      <t xml:space="preserve">調整後營業利益率 </t>
    </r>
    <r>
      <rPr>
        <sz val="10"/>
        <color rgb="FF0000FF"/>
        <rFont val="Arial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EBITDA </t>
    </r>
    <r>
      <rPr>
        <sz val="10"/>
        <color rgb="FF0000FF"/>
        <rFont val="Noto Sans CJK SC"/>
        <family val="2"/>
      </rPr>
      <t xml:space="preserve">率 </t>
    </r>
    <r>
      <rPr>
        <sz val="10"/>
        <color rgb="FF0000FF"/>
        <rFont val="Arial"/>
        <family val="0"/>
        <charset val="1"/>
      </rPr>
      <t xml:space="preserve">59%</t>
    </r>
    <r>
      <rPr>
        <sz val="10"/>
        <color rgb="FF0000FF"/>
        <rFont val="Noto Sans CJK SC"/>
        <family val="2"/>
      </rPr>
      <t xml:space="preserve">、活躍 </t>
    </r>
    <r>
      <rPr>
        <sz val="10"/>
        <color rgb="FF0000FF"/>
        <rFont val="Arial"/>
        <family val="0"/>
        <charset val="1"/>
      </rPr>
      <t xml:space="preserve">1.5 GW</t>
    </r>
  </si>
  <si>
    <r>
      <rPr>
        <sz val="10"/>
        <color rgb="FF0000FF"/>
        <rFont val="Arial"/>
        <family val="0"/>
        <charset val="1"/>
      </rPr>
      <t xml:space="preserve">MarketBeat 2026-08-11</t>
    </r>
    <r>
      <rPr>
        <sz val="10"/>
        <color rgb="FF0000FF"/>
        <rFont val="Noto Sans CJK SC"/>
        <family val="2"/>
      </rPr>
      <t xml:space="preserve">（二手摘要）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</si>
  <si>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</si>
  <si>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）對照</t>
    </r>
  </si>
  <si>
    <t xml:space="preserve">登錄，等級 3</t>
  </si>
  <si>
    <t xml:space="preserve">二手摘要｜暫編 N04｜Andy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</si>
  <si>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E348</t>
  </si>
  <si>
    <r>
      <rPr>
        <sz val="10"/>
        <color rgb="FF0000FF"/>
        <rFont val="Arial"/>
        <family val="0"/>
        <charset val="1"/>
      </rPr>
      <t xml:space="preserve">OpenAI–Oracle 3,000 </t>
    </r>
    <r>
      <rPr>
        <sz val="10"/>
        <color rgb="FF0000FF"/>
        <rFont val="Noto Sans CJK SC"/>
        <family val="2"/>
      </rPr>
      <t xml:space="preserve">億美元／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2027 </t>
    </r>
    <r>
      <rPr>
        <sz val="10"/>
        <color rgb="FF0000FF"/>
        <rFont val="Noto Sans CJK SC"/>
        <family val="2"/>
      </rPr>
      <t xml:space="preserve">起／約 </t>
    </r>
    <r>
      <rPr>
        <sz val="10"/>
        <color rgb="FF0000FF"/>
        <rFont val="Arial"/>
        <family val="0"/>
        <charset val="1"/>
      </rPr>
      <t xml:space="preserve">4.5–5 GW</t>
    </r>
    <r>
      <rPr>
        <sz val="10"/>
        <color rgb="FF0000FF"/>
        <rFont val="Noto Sans CJK SC"/>
        <family val="2"/>
      </rPr>
      <t xml:space="preserve">（≈每 </t>
    </r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12–13.3B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</si>
  <si>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The Register 2025-09-11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WSJ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</si>
  <si>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（匿名）</t>
    </r>
  </si>
  <si>
    <r>
      <rPr>
        <sz val="10"/>
        <color rgb="FF0000FF"/>
        <rFont val="Arial"/>
        <family val="0"/>
        <charset val="1"/>
      </rPr>
      <t xml:space="preserve">12–13.3 $B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GW</t>
    </r>
    <r>
      <rPr>
        <sz val="10"/>
        <color rgb="FF0000FF"/>
        <rFont val="Noto Sans CJK SC"/>
        <family val="2"/>
      </rPr>
      <t xml:space="preserve">／年</t>
    </r>
  </si>
  <si>
    <t xml:space="preserve">登錄；GW 口徑未明</t>
  </si>
  <si>
    <r>
      <rPr>
        <sz val="10"/>
        <color rgb="FF0000FF"/>
        <rFont val="Arial"/>
        <family val="0"/>
        <charset val="1"/>
      </rPr>
      <t xml:space="preserve">GW </t>
    </r>
    <r>
      <rPr>
        <sz val="10"/>
        <color rgb="FF0000FF"/>
        <rFont val="Noto Sans CJK SC"/>
        <family val="2"/>
      </rPr>
      <t xml:space="preserve">口徑（</t>
    </r>
    <r>
      <rPr>
        <sz val="10"/>
        <color rgb="FF0000FF"/>
        <rFont val="Arial"/>
        <family val="0"/>
        <charset val="1"/>
      </rPr>
      <t xml:space="preserve">IT</t>
    </r>
    <r>
      <rPr>
        <sz val="10"/>
        <color rgb="FF0000FF"/>
        <rFont val="Noto Sans CJK SC"/>
        <family val="2"/>
      </rPr>
      <t xml:space="preserve">／設施）未明｜暫編 </t>
    </r>
    <r>
      <rPr>
        <sz val="10"/>
        <color rgb="FF0000FF"/>
        <rFont val="Arial"/>
        <family val="0"/>
        <charset val="1"/>
      </rPr>
      <t xml:space="preserve">N05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</si>
  <si>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E349</t>
  </si>
  <si>
    <r>
      <rPr>
        <sz val="10"/>
        <color rgb="FF0000FF"/>
        <rFont val="Arial"/>
        <family val="0"/>
        <charset val="1"/>
      </rPr>
      <t xml:space="preserve">H100 </t>
    </r>
    <r>
      <rPr>
        <sz val="10"/>
        <color rgb="FF0000FF"/>
        <rFont val="Noto Sans CJK SC"/>
        <family val="2"/>
      </rPr>
      <t xml:space="preserve">租價指數 </t>
    </r>
    <r>
      <rPr>
        <sz val="10"/>
        <color rgb="FF0000FF"/>
        <rFont val="Arial"/>
        <family val="0"/>
        <charset val="1"/>
      </rPr>
      <t xml:space="preserve">2025</t>
    </r>
    <r>
      <rPr>
        <sz val="10"/>
        <color rgb="FF0000FF"/>
        <rFont val="Noto Sans CJK SC"/>
        <family val="2"/>
      </rPr>
      <t xml:space="preserve">：超大雲 </t>
    </r>
    <r>
      <rPr>
        <sz val="10"/>
        <color rgb="FF0000FF"/>
        <rFont val="Arial"/>
        <family val="0"/>
        <charset val="1"/>
      </rPr>
      <t xml:space="preserve">6.2–9.0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neocloud 3.0–3.5</t>
    </r>
    <r>
      <rPr>
        <sz val="10"/>
        <color rgb="FF0000FF"/>
        <rFont val="Noto Sans CJK SC"/>
        <family val="2"/>
      </rPr>
      <t xml:space="preserve">、市集 </t>
    </r>
    <r>
      <rPr>
        <sz val="10"/>
        <color rgb="FF0000FF"/>
        <rFont val="Arial"/>
        <family val="0"/>
        <charset val="1"/>
      </rPr>
      <t xml:space="preserve">1.9–2.5 $/GPU-hr</t>
    </r>
  </si>
  <si>
    <r>
      <rPr>
        <sz val="10"/>
        <color rgb="FF0000FF"/>
        <rFont val="Arial"/>
        <family val="0"/>
        <charset val="1"/>
      </rPr>
      <t xml:space="preserve">Silicon Data </t>
    </r>
    <r>
      <rPr>
        <sz val="10"/>
        <color rgb="FF0000FF"/>
        <rFont val="Noto Sans CJK SC"/>
        <family val="2"/>
      </rPr>
      <t xml:space="preserve">部落格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</si>
  <si>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（賣指數）；等級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</si>
  <si>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計價倍數（</t>
    </r>
    <r>
      <rPr>
        <sz val="10"/>
        <color rgb="FF0000FF"/>
        <rFont val="Arial"/>
        <family val="0"/>
        <charset val="1"/>
      </rPr>
      <t xml:space="preserve">C23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L1_GPUhr_Hopper</t>
    </r>
  </si>
  <si>
    <t xml:space="preserve">賣指數者｜暫編 N06｜Andy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</si>
  <si>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E350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</si>
  <si>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前三季 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推論支出 </t>
    </r>
    <r>
      <rPr>
        <sz val="10"/>
        <color rgb="FF0000FF"/>
        <rFont val="Arial"/>
        <family val="0"/>
        <charset val="1"/>
      </rPr>
      <t xml:space="preserve">8.7B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稱數字不準；抵用金可能未反映；不含其他供應商</t>
    </r>
  </si>
  <si>
    <t xml:space="preserve">The Register 2025-11-12</t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</si>
  <si>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</si>
  <si>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（全年推估）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</si>
  <si>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（對照列）</t>
    </r>
  </si>
  <si>
    <t xml:space="preserve">補註（既有紀錄附加爭議）：SRC_DEM_018 v5.36 起為對照列，不進機隊路線</t>
  </si>
  <si>
    <t xml:space="preserve">文件未公開；Microsoft 向 FT 表示不太正確｜暫編 N07｜Andy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</si>
  <si>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</t>
    </r>
  </si>
  <si>
    <t xml:space="preserve">E351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</si>
  <si>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計算毛利（</t>
    </r>
    <r>
      <rPr>
        <sz val="10"/>
        <color rgb="FF0000FF"/>
        <rFont val="Arial"/>
        <family val="0"/>
        <charset val="1"/>
      </rPr>
      <t xml:space="preserve">paying</t>
    </r>
    <r>
      <rPr>
        <sz val="10"/>
        <color rgb="FF0000FF"/>
        <rFont val="Noto Sans CJK SC"/>
        <family val="2"/>
      </rPr>
      <t xml:space="preserve">）：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年底 </t>
    </r>
    <r>
      <rPr>
        <sz val="10"/>
        <color rgb="FF0000FF"/>
        <rFont val="Arial"/>
        <family val="0"/>
        <charset val="1"/>
      </rPr>
      <t xml:space="preserve">52%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2025-10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70%</t>
    </r>
  </si>
  <si>
    <r>
      <rPr>
        <sz val="10"/>
        <color rgb="FF0000FF"/>
        <rFont val="Arial"/>
        <family val="0"/>
        <charset val="1"/>
      </rPr>
      <t xml:space="preserve">Fortune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Bloomberg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SaaStr 2025-12-24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</si>
  <si>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（洩漏的內部指標）；等級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</si>
  <si>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005 </t>
    </r>
    <r>
      <rPr>
        <sz val="10"/>
        <color rgb="FF0000FF"/>
        <rFont val="Noto Sans CJK SC"/>
        <family val="2"/>
      </rPr>
      <t xml:space="preserve">交叉檢查</t>
    </r>
  </si>
  <si>
    <t xml:space="preserve">70%</t>
  </si>
  <si>
    <t xml:space="preserve">登錄，等級 3；與補充檔算力毛利 70%（E364）為同一主張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</si>
  <si>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方；未證實｜暫編 </t>
    </r>
    <r>
      <rPr>
        <sz val="10"/>
        <color rgb="FF0000FF"/>
        <rFont val="Arial"/>
        <family val="0"/>
        <charset val="1"/>
      </rPr>
      <t xml:space="preserve">N08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</si>
  <si>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E352</t>
  </si>
  <si>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：日均 </t>
    </r>
    <r>
      <rPr>
        <sz val="10"/>
        <color rgb="FF0000FF"/>
        <rFont val="Arial"/>
        <family val="0"/>
        <charset val="1"/>
      </rPr>
      <t xml:space="preserve">226.75</t>
    </r>
    <r>
      <rPr>
        <sz val="10"/>
        <color rgb="FF0000FF"/>
        <rFont val="Noto Sans CJK SC"/>
        <family val="2"/>
      </rPr>
      <t xml:space="preserve">／尖峰 </t>
    </r>
    <r>
      <rPr>
        <sz val="10"/>
        <color rgb="FF0000FF"/>
        <rFont val="Arial"/>
        <family val="0"/>
        <charset val="1"/>
      </rPr>
      <t xml:space="preserve">278 </t>
    </r>
    <r>
      <rPr>
        <sz val="10"/>
        <color rgb="FF0000FF"/>
        <rFont val="Noto Sans CJK SC"/>
        <family val="2"/>
      </rPr>
      <t xml:space="preserve">節點（</t>
    </r>
    <r>
      <rPr>
        <sz val="10"/>
        <color rgb="FF0000FF"/>
        <rFont val="Arial"/>
        <family val="0"/>
        <charset val="1"/>
      </rPr>
      <t xml:space="preserve">0.816</t>
    </r>
    <r>
      <rPr>
        <sz val="10"/>
        <color rgb="FF0000FF"/>
        <rFont val="Noto Sans CJK SC"/>
        <family val="2"/>
      </rPr>
      <t xml:space="preserve">）；快取命中 </t>
    </r>
    <r>
      <rPr>
        <sz val="10"/>
        <color rgb="FF0000FF"/>
        <rFont val="Arial"/>
        <family val="0"/>
        <charset val="1"/>
      </rPr>
      <t xml:space="preserve">56.3%</t>
    </r>
    <r>
      <rPr>
        <sz val="10"/>
        <color rgb="FF0000FF"/>
        <rFont val="Noto Sans CJK SC"/>
        <family val="2"/>
      </rPr>
      <t xml:space="preserve">；輸入 </t>
    </r>
    <r>
      <rPr>
        <sz val="10"/>
        <color rgb="FF0000FF"/>
        <rFont val="Arial"/>
        <family val="0"/>
        <charset val="1"/>
      </rPr>
      <t xml:space="preserve">608B</t>
    </r>
    <r>
      <rPr>
        <sz val="10"/>
        <color rgb="FF0000FF"/>
        <rFont val="Noto Sans CJK SC"/>
        <family val="2"/>
      </rPr>
      <t xml:space="preserve">：輸出 </t>
    </r>
    <r>
      <rPr>
        <sz val="10"/>
        <color rgb="FF0000FF"/>
        <rFont val="Arial"/>
        <family val="0"/>
        <charset val="1"/>
      </rPr>
      <t xml:space="preserve">168B</t>
    </r>
    <r>
      <rPr>
        <sz val="10"/>
        <color rgb="FF0000FF"/>
        <rFont val="Noto Sans CJK SC"/>
        <family val="2"/>
      </rPr>
      <t xml:space="preserve">／日</t>
    </r>
  </si>
  <si>
    <r>
      <rPr>
        <sz val="10"/>
        <color rgb="FF0000FF"/>
        <rFont val="Arial"/>
        <family val="0"/>
        <charset val="1"/>
      </rPr>
      <t xml:space="preserve">DeepSeek open-infra-index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2025-02-27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</si>
  <si>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（一手）；對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Analogy</t>
    </r>
  </si>
  <si>
    <r>
      <rPr>
        <sz val="10"/>
        <color rgb="FF0000FF"/>
        <rFont val="Arial"/>
        <family val="0"/>
        <charset val="1"/>
      </rPr>
      <t xml:space="preserve">Alloc_In C24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Cap_In B4_CacheHit</t>
    </r>
  </si>
  <si>
    <t xml:space="preserve">登錄</t>
  </si>
  <si>
    <t xml:space="preserve">對 OpenAI 為類比｜暫編 N09｜Andy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</si>
  <si>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E353</t>
  </si>
  <si>
    <t xml:space="preserve">無伺服器平台一年追蹤：輸入 35.8 T：輸出 2.5 T（14.3：1）；99% 重用在 15 分鐘內</t>
  </si>
  <si>
    <t xml:space="preserve">arXiv 2608.13573</t>
  </si>
  <si>
    <r>
      <rPr>
        <sz val="10"/>
        <color rgb="FF0000FF"/>
        <rFont val="Arial"/>
        <family val="0"/>
        <charset val="1"/>
      </rPr>
      <t xml:space="preserve">Sens_Perf ISL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OSL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κ</t>
    </r>
  </si>
  <si>
    <r>
      <rPr>
        <sz val="10"/>
        <color rgb="FF0000FF"/>
        <rFont val="Arial"/>
        <family val="0"/>
        <charset val="1"/>
      </rPr>
      <t xml:space="preserve">14.3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1</t>
    </r>
  </si>
  <si>
    <t xml:space="preserve">類比｜暫編 N10｜Andy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</si>
  <si>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E354</t>
  </si>
  <si>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代理型流量快取 </t>
    </r>
    <r>
      <rPr>
        <sz val="10"/>
        <color rgb="FF0000FF"/>
        <rFont val="Arial"/>
        <family val="0"/>
        <charset val="1"/>
      </rPr>
      <t xml:space="preserve">87–90%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2026-01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60%</t>
    </r>
  </si>
  <si>
    <r>
      <rPr>
        <sz val="10"/>
        <color rgb="FF0000FF"/>
        <rFont val="Arial"/>
        <family val="0"/>
        <charset val="1"/>
      </rPr>
      <t xml:space="preserve">OpenRouter Inferred 03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2026-10-08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</si>
  <si>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</si>
  <si>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Cap_In B4_CacheHit </t>
    </r>
    <r>
      <rPr>
        <sz val="10"/>
        <color rgb="FF0000FF"/>
        <rFont val="Noto Sans CJK SC"/>
        <family val="2"/>
      </rPr>
      <t xml:space="preserve">對照</t>
    </r>
  </si>
  <si>
    <t xml:space="preserve">87–90%</t>
  </si>
  <si>
    <t xml:space="preserve">登錄，等級 3（只登 DB_Evidence）</t>
  </si>
  <si>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現象，非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基準｜暫編 </t>
    </r>
    <r>
      <rPr>
        <sz val="10"/>
        <color rgb="FF0000FF"/>
        <rFont val="Arial"/>
        <family val="0"/>
        <charset val="1"/>
      </rPr>
      <t xml:space="preserve">N11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</si>
  <si>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E355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</si>
  <si>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內部 </t>
    </r>
    <r>
      <rPr>
        <sz val="10"/>
        <color rgb="FF0000FF"/>
        <rFont val="Arial"/>
        <family val="0"/>
        <charset val="1"/>
      </rPr>
      <t xml:space="preserve">Codex </t>
    </r>
    <r>
      <rPr>
        <sz val="10"/>
        <color rgb="FF0000FF"/>
        <rFont val="Noto Sans CJK SC"/>
        <family val="2"/>
      </rPr>
      <t xml:space="preserve">占輸出 </t>
    </r>
    <r>
      <rPr>
        <sz val="10"/>
        <color rgb="FF0000FF"/>
        <rFont val="Arial"/>
        <family val="0"/>
        <charset val="1"/>
      </rPr>
      <t xml:space="preserve">token 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2025-08 </t>
    </r>
    <r>
      <rPr>
        <sz val="10"/>
        <color rgb="FF0000FF"/>
        <rFont val="Noto Sans CJK SC"/>
        <family val="2"/>
      </rPr>
      <t xml:space="preserve">前 </t>
    </r>
    <r>
      <rPr>
        <sz val="10"/>
        <color rgb="FF0000FF"/>
        <rFont val="Arial"/>
        <family val="0"/>
        <charset val="1"/>
      </rPr>
      <t xml:space="preserve">&lt;10%</t>
    </r>
  </si>
  <si>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How agents are transforming work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</si>
  <si>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流量結構判讀</t>
    </r>
  </si>
  <si>
    <r>
      <rPr>
        <sz val="10"/>
        <color rgb="FF0000FF"/>
        <rFont val="Arial"/>
        <family val="0"/>
        <charset val="1"/>
      </rPr>
      <t xml:space="preserve">99.8%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</si>
  <si>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自述｜暫編 </t>
    </r>
    <r>
      <rPr>
        <sz val="10"/>
        <color rgb="FF0000FF"/>
        <rFont val="Arial"/>
        <family val="0"/>
        <charset val="1"/>
      </rPr>
      <t xml:space="preserve">N12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</si>
  <si>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t xml:space="preserve">E356</t>
  </si>
  <si>
    <t xml:space="preserve">請求形狀修正 κ（基準 1.0；0.65–1.2）：Sens_Perf 第 93、94 列校準，實際流量 GW 加權 1.035；ISL 4K 重現值 0.4336＝1 ÷ 2.3065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</si>
  <si>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3.2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 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</si>
  <si>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Alloc_In κ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L1_GapISL</t>
    </r>
  </si>
  <si>
    <t xml:space="preserve">L1_GapISL 2.3065</t>
  </si>
  <si>
    <r>
      <rPr>
        <sz val="10"/>
        <color rgb="FF0000FF"/>
        <rFont val="Arial"/>
        <family val="0"/>
        <charset val="1"/>
      </rPr>
      <t xml:space="preserve">κ 1.0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L1_GapISL 1.0</t>
    </r>
    <r>
      <rPr>
        <sz val="10"/>
        <color rgb="FF0000FF"/>
        <rFont val="Noto Sans CJK SC"/>
        <family val="2"/>
      </rPr>
      <t xml:space="preserve">）</t>
    </r>
  </si>
  <si>
    <t xml:space="preserve">採用（X47）：L1_GapISL 改為 1 ÷ κ；ISL 4K 讀法保留於 Cap_In J 節對照列</t>
  </si>
  <si>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為總 </t>
    </r>
    <r>
      <rPr>
        <sz val="10"/>
        <color rgb="FF0000FF"/>
        <rFont val="Arial"/>
        <family val="0"/>
        <charset val="1"/>
      </rPr>
      <t xml:space="preserve">token</t>
    </r>
    <r>
      <rPr>
        <sz val="10"/>
        <color rgb="FF0000FF"/>
        <rFont val="Noto Sans CJK SC"/>
        <family val="2"/>
      </rPr>
      <t xml:space="preserve">（含快取輸入）；計費等值 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需另算｜暫編 </t>
    </r>
    <r>
      <rPr>
        <sz val="10"/>
        <color rgb="FF0000FF"/>
        <rFont val="Arial"/>
        <family val="0"/>
        <charset val="1"/>
      </rPr>
      <t xml:space="preserve">N13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07:37</t>
    </r>
    <r>
      <rPr>
        <sz val="10"/>
        <color rgb="FF0000FF"/>
        <rFont val="Noto Sans CJK SC"/>
        <family val="2"/>
      </rPr>
      <t xml:space="preserve">「</t>
    </r>
    <r>
      <rPr>
        <sz val="10"/>
        <color rgb="FF0000FF"/>
        <rFont val="Arial"/>
        <family val="0"/>
        <charset val="1"/>
      </rPr>
      <t xml:space="preserve">'</t>
    </r>
    <r>
      <rPr>
        <sz val="10"/>
        <color rgb="FF0000FF"/>
        <rFont val="Noto Sans CJK SC"/>
        <family val="2"/>
      </rPr>
      <t xml:space="preserve">下一版建議：</t>
    </r>
    <r>
      <rPr>
        <sz val="10"/>
        <color rgb="FF0000FF"/>
        <rFont val="Arial"/>
        <family val="0"/>
        <charset val="1"/>
      </rPr>
      <t xml:space="preserve">v5.36 </t>
    </r>
    <r>
      <rPr>
        <sz val="10"/>
        <color rgb="FF0000FF"/>
        <rFont val="Noto Sans CJK SC"/>
        <family val="2"/>
      </rPr>
      <t xml:space="preserve">處理「</t>
    </r>
    <r>
      <rPr>
        <sz val="10"/>
        <color rgb="FF0000FF"/>
        <rFont val="Arial"/>
        <family val="0"/>
        <charset val="1"/>
      </rPr>
      <t xml:space="preserve">token </t>
    </r>
    <r>
      <rPr>
        <sz val="10"/>
        <color rgb="FF0000FF"/>
        <rFont val="Noto Sans CJK SC"/>
        <family val="2"/>
      </rPr>
      <t xml:space="preserve">分母閉合」</t>
    </r>
    <r>
      <rPr>
        <sz val="10"/>
        <color rgb="FF0000FF"/>
        <rFont val="Arial"/>
        <family val="0"/>
        <charset val="1"/>
      </rPr>
      <t xml:space="preserve">':</t>
    </r>
    <r>
      <rPr>
        <sz val="10"/>
        <color rgb="FF0000FF"/>
        <rFont val="Noto Sans CJK SC"/>
        <family val="2"/>
      </rPr>
      <t xml:space="preserve">同意」；</t>
    </r>
    <r>
      <rPr>
        <sz val="10"/>
        <color rgb="FF0000FF"/>
        <rFont val="Arial"/>
        <family val="0"/>
        <charset val="1"/>
      </rPr>
      <t xml:space="preserve">Andy 2026-10-15 14:19</t>
    </r>
    <r>
      <rPr>
        <sz val="10"/>
        <color rgb="FF0000FF"/>
        <rFont val="Noto Sans CJK SC"/>
        <family val="2"/>
      </rPr>
      <t xml:space="preserve">「早上我跟</t>
    </r>
    <r>
      <rPr>
        <sz val="10"/>
        <color rgb="FF0000FF"/>
        <rFont val="Arial"/>
        <family val="0"/>
        <charset val="1"/>
      </rPr>
      <t xml:space="preserve">Copilot</t>
    </r>
    <r>
      <rPr>
        <sz val="10"/>
        <color rgb="FF0000FF"/>
        <rFont val="Noto Sans CJK SC"/>
        <family val="2"/>
      </rPr>
      <t xml:space="preserve">討論過，我們更傾向</t>
    </r>
    <r>
      <rPr>
        <sz val="10"/>
        <color rgb="FF0000FF"/>
        <rFont val="Arial"/>
        <family val="0"/>
        <charset val="1"/>
      </rPr>
      <t xml:space="preserve">84</t>
    </r>
    <r>
      <rPr>
        <sz val="10"/>
        <color rgb="FF0000FF"/>
        <rFont val="Noto Sans CJK SC"/>
        <family val="2"/>
      </rPr>
      <t xml:space="preserve">億。但如你所說，請先在追一下一手來源，再來決定」；</t>
    </r>
    <r>
      <rPr>
        <sz val="10"/>
        <color rgb="FF0000FF"/>
        <rFont val="Arial"/>
        <family val="0"/>
        <charset val="1"/>
      </rPr>
      <t xml:space="preserve">Andy 2026-10-15 14:25</t>
    </r>
    <r>
      <rPr>
        <sz val="10"/>
        <color rgb="FF0000FF"/>
        <rFont val="Noto Sans CJK SC"/>
        <family val="2"/>
      </rPr>
      <t xml:space="preserve">「我找到的基本與你一致。同意你的建議。」（文字，未改字）；可撤回｜讀取者：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v5.36 r0 B7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</si>
  <si>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Alloc_In κ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L1_GapISL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</t>
    </r>
    <r>
      <rPr>
        <sz val="10"/>
        <color rgb="FF000000"/>
        <rFont val="Noto Sans CJK SC"/>
        <family val="2"/>
      </rPr>
      <t xml:space="preserve">第 </t>
    </r>
    <r>
      <rPr>
        <sz val="10"/>
        <color rgb="FF000000"/>
        <rFont val="Arial"/>
        <family val="0"/>
        <charset val="1"/>
      </rPr>
      <t xml:space="preserve">109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218 </t>
    </r>
    <r>
      <rPr>
        <sz val="10"/>
        <color rgb="FF000000"/>
        <rFont val="Noto Sans CJK SC"/>
        <family val="2"/>
      </rPr>
      <t xml:space="preserve">列</t>
    </r>
  </si>
  <si>
    <t xml:space="preserve">E357</t>
  </si>
  <si>
    <t xml:space="preserve">價格時間錯配 ρ：中階 1.165（0.83–1.36）；中階＋低階 1.22（0.82–1.47）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</si>
  <si>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；牌價取自 </t>
    </r>
    <r>
      <rPr>
        <sz val="10"/>
        <color rgb="FF0000FF"/>
        <rFont val="Arial"/>
        <family val="0"/>
        <charset val="1"/>
      </rPr>
      <t xml:space="preserve">benchlm 2026-10-14</t>
    </r>
    <r>
      <rPr>
        <sz val="10"/>
        <color rgb="FF0000FF"/>
        <rFont val="Noto Sans CJK SC"/>
        <family val="2"/>
      </rPr>
      <t xml:space="preserve">）</t>
    </r>
  </si>
  <si>
    <t xml:space="preserve">新顯示列 L1_PriceRho</t>
  </si>
  <si>
    <r>
      <rPr>
        <sz val="10"/>
        <color rgb="FF0000FF"/>
        <rFont val="Arial"/>
        <family val="0"/>
        <charset val="1"/>
      </rPr>
      <t xml:space="preserve">1.165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0.83–1.36</t>
    </r>
    <r>
      <rPr>
        <sz val="10"/>
        <color rgb="FF0000FF"/>
        <rFont val="Noto Sans CJK SC"/>
        <family val="2"/>
      </rPr>
      <t xml:space="preserve">）</t>
    </r>
  </si>
  <si>
    <t xml:space="preserve">採用（X47）：只採情境 1（全用中階）；顯示用，不進 m</t>
  </si>
  <si>
    <t xml:space="preserve">牌價等級 3；快取價為假設；層級對映無法由價格決定｜暫編 N14｜Andy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</si>
  <si>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L1_PriceRho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J </t>
    </r>
    <r>
      <rPr>
        <sz val="10"/>
        <color rgb="FF000000"/>
        <rFont val="Noto Sans CJK SC"/>
        <family val="2"/>
      </rPr>
      <t xml:space="preserve">節</t>
    </r>
  </si>
  <si>
    <t xml:space="preserve">E358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</si>
  <si>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牌價序列（</t>
    </r>
    <r>
      <rPr>
        <sz val="10"/>
        <color rgb="FF0000FF"/>
        <rFont val="Arial"/>
        <family val="0"/>
        <charset val="1"/>
      </rPr>
      <t xml:space="preserve">4o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mini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nano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o3-pro</t>
    </r>
    <r>
      <rPr>
        <sz val="10"/>
        <color rgb="FF0000FF"/>
        <rFont val="Noto Sans CJK SC"/>
        <family val="2"/>
      </rPr>
      <t xml:space="preserve">）補全</t>
    </r>
  </si>
  <si>
    <r>
      <rPr>
        <sz val="10"/>
        <color rgb="FF0000FF"/>
        <rFont val="Arial"/>
        <family val="0"/>
        <charset val="1"/>
      </rPr>
      <t xml:space="preserve">https://benchlm.ai/openai/api-pricing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2026-10-14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</si>
  <si>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（二手彙整，等級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</si>
  <si>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t xml:space="preserve">補強 E338／E340；Cap_In J 節 ρ 輸入</t>
  </si>
  <si>
    <t xml:space="preserve">登錄；快取價為假設，註明</t>
  </si>
  <si>
    <t xml:space="preserve">二手彙整｜暫編 N15｜Andy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</si>
  <si>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E359</t>
  </si>
  <si>
    <r>
      <rPr>
        <sz val="10"/>
        <color rgb="FF0000FF"/>
        <rFont val="Arial"/>
        <family val="0"/>
        <charset val="1"/>
      </rPr>
      <t xml:space="preserve">A5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Batch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Flex </t>
    </r>
    <r>
      <rPr>
        <sz val="10"/>
        <color rgb="FF0000FF"/>
        <rFont val="Noto Sans CJK SC"/>
        <family val="2"/>
      </rPr>
      <t xml:space="preserve">占比與企業折扣——三輪搜尋仍未找到</t>
    </r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</si>
  <si>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2.5 </t>
    </r>
    <r>
      <rPr>
        <sz val="10"/>
        <color rgb="FF0000FF"/>
        <rFont val="Noto Sans CJK SC"/>
        <family val="2"/>
      </rPr>
      <t xml:space="preserve">節</t>
    </r>
  </si>
  <si>
    <t xml:space="preserve">B4_Disc</t>
  </si>
  <si>
    <t xml:space="preserve">0.2</t>
  </si>
  <si>
    <t xml:space="preserve">登錄（缺口紀錄，只登 DB_Evidence）</t>
  </si>
  <si>
    <t xml:space="preserve">已搜尋，未找到 ≠ 不存在｜暫編 N16｜Andy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</si>
  <si>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E360</t>
  </si>
  <si>
    <t xml:space="preserve">缺口恆等式：缺口＝L1_ScaleServe ÷（計價倍數 × IF_Util ÷（實際利用率 × κ））；v5.35 為 2.152＝7.378 ÷（2.0 × 1.714）；GapPrompt 重複計入（有效 1.30）</t>
  </si>
  <si>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3.1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</si>
  <si>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L1_ScaleServe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L1_GapProduct</t>
    </r>
  </si>
  <si>
    <t xml:space="preserve">2.152</t>
  </si>
  <si>
    <t xml:space="preserve">見 Cap_In J 節</t>
  </si>
  <si>
    <t xml:space="preserve">採用（X47）：Cap_In J 節恆等式與驗算差（Checks M5）</t>
  </si>
  <si>
    <t xml:space="preserve">僅登 DB_Evidence 與 Derived 紀錄｜暫編 N17｜Andy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</si>
  <si>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L1_GapPrompt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L1_GapUtil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L1_GapProduct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L1_ScaleServe2000</t>
    </r>
  </si>
  <si>
    <t xml:space="preserve">E361</t>
  </si>
  <si>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推論 </t>
    </r>
    <r>
      <rPr>
        <sz val="10"/>
        <color rgb="FF0000FF"/>
        <rFont val="Arial"/>
        <family val="0"/>
        <charset val="1"/>
      </rPr>
      <t xml:space="preserve">2025 Q1 20.75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Q2 29.47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 36.48 </t>
    </r>
    <r>
      <rPr>
        <sz val="10"/>
        <color rgb="FF0000FF"/>
        <rFont val="Noto Sans CJK SC"/>
        <family val="2"/>
      </rPr>
      <t xml:space="preserve">億美元，前三季 </t>
    </r>
    <r>
      <rPr>
        <sz val="10"/>
        <color rgb="FF0000FF"/>
        <rFont val="Arial"/>
        <family val="0"/>
        <charset val="1"/>
      </rPr>
      <t xml:space="preserve">86.7 </t>
    </r>
    <r>
      <rPr>
        <sz val="10"/>
        <color rgb="FF0000FF"/>
        <rFont val="Noto Sans CJK SC"/>
        <family val="2"/>
      </rPr>
      <t xml:space="preserve">億；</t>
    </r>
    <r>
      <rPr>
        <sz val="10"/>
        <color rgb="FF0000FF"/>
        <rFont val="Arial"/>
        <family val="0"/>
        <charset val="1"/>
      </rPr>
      <t xml:space="preserve">2024 </t>
    </r>
    <r>
      <rPr>
        <sz val="10"/>
        <color rgb="FF0000FF"/>
        <rFont val="Noto Sans CJK SC"/>
        <family val="2"/>
      </rPr>
      <t xml:space="preserve">全年 </t>
    </r>
    <r>
      <rPr>
        <sz val="10"/>
        <color rgb="FF0000FF"/>
        <rFont val="Arial"/>
        <family val="0"/>
        <charset val="1"/>
      </rPr>
      <t xml:space="preserve">37.7 </t>
    </r>
    <r>
      <rPr>
        <sz val="10"/>
        <color rgb="FF0000FF"/>
        <rFont val="Noto Sans CJK SC"/>
        <family val="2"/>
      </rPr>
      <t xml:space="preserve">億；全年外推 </t>
    </r>
    <r>
      <rPr>
        <sz val="10"/>
        <color rgb="FF0000FF"/>
        <rFont val="Arial"/>
        <family val="0"/>
        <charset val="1"/>
      </rPr>
      <t xml:space="preserve">126 </t>
    </r>
    <r>
      <rPr>
        <sz val="10"/>
        <color rgb="FF0000FF"/>
        <rFont val="Noto Sans CJK SC"/>
        <family val="2"/>
      </rPr>
      <t xml:space="preserve">億（</t>
    </r>
    <r>
      <rPr>
        <sz val="10"/>
        <color rgb="FF0000FF"/>
        <rFont val="Arial"/>
        <family val="0"/>
        <charset val="1"/>
      </rPr>
      <t xml:space="preserve">SRC_DEM_018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</si>
  <si>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Where's Your Ed At</t>
    </r>
    <r>
      <rPr>
        <sz val="10"/>
        <color rgb="FF0000FF"/>
        <rFont val="Noto Sans CJK SC"/>
        <family val="2"/>
      </rPr>
      <t xml:space="preserve">《</t>
    </r>
    <r>
      <rPr>
        <sz val="10"/>
        <color rgb="FF0000FF"/>
        <rFont val="Arial"/>
        <family val="0"/>
        <charset val="1"/>
      </rPr>
      <t xml:space="preserve">OpenAI documents</t>
    </r>
    <r>
      <rPr>
        <sz val="10"/>
        <color rgb="FF0000FF"/>
        <rFont val="Noto Sans CJK SC"/>
        <family val="2"/>
      </rPr>
      <t xml:space="preserve">》</t>
    </r>
    <r>
      <rPr>
        <sz val="10"/>
        <color rgb="FF0000FF"/>
        <rFont val="Arial"/>
        <family val="0"/>
        <charset val="1"/>
      </rPr>
      <t xml:space="preserve">https://www.wheresyoured.at/oai_docs/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內部財務文件；</t>
    </r>
    <r>
      <rPr>
        <sz val="10"/>
        <color rgb="FF0000FF"/>
        <rFont val="Arial"/>
        <family val="0"/>
        <charset val="1"/>
      </rPr>
      <t xml:space="preserve">FT </t>
    </r>
    <r>
      <rPr>
        <sz val="10"/>
        <color rgb="FF0000FF"/>
        <rFont val="Noto Sans CJK SC"/>
        <family val="2"/>
      </rPr>
      <t xml:space="preserve">看過）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</si>
  <si>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Zitron </t>
    </r>
    <r>
      <rPr>
        <sz val="10"/>
        <color rgb="FF0000FF"/>
        <rFont val="Noto Sans CJK SC"/>
        <family val="2"/>
      </rPr>
      <t xml:space="preserve">長期主張 </t>
    </r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泡沫；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稱不太正確；可能含抵用金；不含 </t>
    </r>
    <r>
      <rPr>
        <sz val="10"/>
        <color rgb="FF0000FF"/>
        <rFont val="Arial"/>
        <family val="0"/>
        <charset val="1"/>
      </rPr>
      <t xml:space="preserve">CoreWeave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Google </t>
    </r>
    <r>
      <rPr>
        <sz val="10"/>
        <color rgb="FF0000FF"/>
        <rFont val="Noto Sans CJK SC"/>
        <family val="2"/>
      </rPr>
      <t xml:space="preserve">等其他供應商）</t>
    </r>
  </si>
  <si>
    <r>
      <rPr>
        <sz val="10"/>
        <color rgb="FF0000FF"/>
        <rFont val="Arial"/>
        <family val="0"/>
        <charset val="1"/>
      </rPr>
      <t xml:space="preserve">12.6</t>
    </r>
    <r>
      <rPr>
        <sz val="10"/>
        <color rgb="FF0000FF"/>
        <rFont val="Noto Sans CJK SC"/>
        <family val="2"/>
      </rPr>
      <t xml:space="preserve">（支出路線）</t>
    </r>
  </si>
  <si>
    <t xml:space="preserve">採用（X45）：Microsoft 端 126 億改為對照列；其中約一半未進 OpenAI 營業成本，最可能是研究用推論列在研發</t>
  </si>
  <si>
    <t xml:space="preserve">文件本身未公開；二手轉述｜暫編 S1｜Andy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</si>
  <si>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Alloc F </t>
    </r>
    <r>
      <rPr>
        <sz val="10"/>
        <color rgb="FF000000"/>
        <rFont val="Noto Sans CJK SC"/>
        <family val="2"/>
      </rPr>
      <t xml:space="preserve">節對照列；</t>
    </r>
    <r>
      <rPr>
        <sz val="10"/>
        <color rgb="FF000000"/>
        <rFont val="Arial"/>
        <family val="0"/>
        <charset val="1"/>
      </rPr>
      <t xml:space="preserve">L1_Ans1–Ans3</t>
    </r>
    <r>
      <rPr>
        <sz val="10"/>
        <color rgb="FF000000"/>
        <rFont val="Noto Sans CJK SC"/>
        <family val="2"/>
      </rPr>
      <t xml:space="preserve">（待 </t>
    </r>
    <r>
      <rPr>
        <sz val="10"/>
        <color rgb="FF000000"/>
        <rFont val="Arial"/>
        <family val="0"/>
        <charset val="1"/>
      </rPr>
      <t xml:space="preserve">Project </t>
    </r>
    <r>
      <rPr>
        <sz val="10"/>
        <color rgb="FF000000"/>
        <rFont val="Noto Sans CJK SC"/>
        <family val="2"/>
      </rPr>
      <t xml:space="preserve">判斷）</t>
    </r>
  </si>
  <si>
    <t xml:space="preserve">E362</t>
  </si>
  <si>
    <t xml:space="preserve">推論成本 2025 年「約四倍」成長、調整後毛利率 33%（2024 年 40%）；2026 推論約 141 億</t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</si>
  <si>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給投資人的文件，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報導（</t>
    </r>
    <r>
      <rPr>
        <sz val="10"/>
        <color rgb="FF0000FF"/>
        <rFont val="Arial"/>
        <family val="0"/>
        <charset val="1"/>
      </rPr>
      <t xml:space="preserve">2026-02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2026-06 </t>
    </r>
    <r>
      <rPr>
        <sz val="10"/>
        <color rgb="FF0000FF"/>
        <rFont val="Noto Sans CJK SC"/>
        <family val="2"/>
      </rPr>
      <t xml:space="preserve">再被引用）；</t>
    </r>
    <r>
      <rPr>
        <sz val="10"/>
        <color rgb="FF0000FF"/>
        <rFont val="Arial"/>
        <family val="0"/>
        <charset val="1"/>
      </rPr>
      <t xml:space="preserve">Reuters </t>
    </r>
    <r>
      <rPr>
        <sz val="10"/>
        <color rgb="FF0000FF"/>
        <rFont val="Noto Sans CJK SC"/>
        <family val="2"/>
      </rPr>
      <t xml:space="preserve">無法證實；</t>
    </r>
    <r>
      <rPr>
        <sz val="10"/>
        <color rgb="FF0000FF"/>
        <rFont val="Arial"/>
        <family val="0"/>
        <charset val="1"/>
      </rPr>
      <t xml:space="preserve">Control Plane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</si>
  <si>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，募資與 </t>
    </r>
    <r>
      <rPr>
        <sz val="10"/>
        <color rgb="FF0000FF"/>
        <rFont val="Arial"/>
        <family val="0"/>
        <charset val="1"/>
      </rPr>
      <t xml:space="preserve">IPO </t>
    </r>
    <r>
      <rPr>
        <sz val="10"/>
        <color rgb="FF0000FF"/>
        <rFont val="Noto Sans CJK SC"/>
        <family val="2"/>
      </rPr>
      <t xml:space="preserve">前有呈現較佳毛利的誘因）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</si>
  <si>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高端</t>
    </r>
  </si>
  <si>
    <t xml:space="preserve">8.4</t>
  </si>
  <si>
    <r>
      <rPr>
        <sz val="10"/>
        <color rgb="FF0000FF"/>
        <rFont val="Arial"/>
        <family val="0"/>
        <charset val="1"/>
      </rPr>
      <t xml:space="preserve">Hi 8.8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13.07 × 0.67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8.76</t>
    </r>
    <r>
      <rPr>
        <sz val="10"/>
        <color rgb="FF0000FF"/>
        <rFont val="Noto Sans CJK SC"/>
        <family val="2"/>
      </rPr>
      <t xml:space="preserve">）</t>
    </r>
  </si>
  <si>
    <t xml:space="preserve">採用（X45）：SRC_DEM_004 Hi 8.8</t>
  </si>
  <si>
    <t xml:space="preserve">二手｜暫編 S2｜Andy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</si>
  <si>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AL_ServeGWSpend</t>
  </si>
  <si>
    <r>
      <rPr>
        <sz val="10"/>
        <color rgb="FF0000FF"/>
        <rFont val="Arial"/>
        <family val="0"/>
        <charset val="1"/>
      </rPr>
      <t xml:space="preserve">OpenAI 2025 </t>
    </r>
    <r>
      <rPr>
        <sz val="10"/>
        <color rgb="FF0000FF"/>
        <rFont val="Noto Sans CJK SC"/>
        <family val="2"/>
      </rPr>
      <t xml:space="preserve">經會計師查核財報：營業成本 </t>
    </r>
    <r>
      <rPr>
        <sz val="10"/>
        <color rgb="FF0000FF"/>
        <rFont val="Arial"/>
        <family val="0"/>
        <charset val="1"/>
      </rPr>
      <t xml:space="preserve">75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60.47 </t>
    </r>
    <r>
      <rPr>
        <sz val="10"/>
        <color rgb="FF0000FF"/>
        <rFont val="Noto Sans CJK SC"/>
        <family val="2"/>
      </rPr>
      <t xml:space="preserve">億）；研發 </t>
    </r>
    <r>
      <rPr>
        <sz val="10"/>
        <color rgb="FF0000FF"/>
        <rFont val="Arial"/>
        <family val="0"/>
        <charset val="1"/>
      </rPr>
      <t xml:space="preserve">191.8 </t>
    </r>
    <r>
      <rPr>
        <sz val="10"/>
        <color rgb="FF0000FF"/>
        <rFont val="Noto Sans CJK SC"/>
        <family val="2"/>
      </rPr>
      <t xml:space="preserve">億（其中付 </t>
    </r>
    <r>
      <rPr>
        <sz val="10"/>
        <color rgb="FF0000FF"/>
        <rFont val="Arial"/>
        <family val="0"/>
        <charset val="1"/>
      </rPr>
      <t xml:space="preserve">Microsoft 105.9 </t>
    </r>
    <r>
      <rPr>
        <sz val="10"/>
        <color rgb="FF0000FF"/>
        <rFont val="Noto Sans CJK SC"/>
        <family val="2"/>
      </rPr>
      <t xml:space="preserve">億）；付 </t>
    </r>
    <r>
      <rPr>
        <sz val="10"/>
        <color rgb="FF0000FF"/>
        <rFont val="Arial"/>
        <family val="0"/>
        <charset val="1"/>
      </rPr>
      <t xml:space="preserve">Microsoft </t>
    </r>
    <r>
      <rPr>
        <sz val="10"/>
        <color rgb="FF0000FF"/>
        <rFont val="Noto Sans CJK SC"/>
        <family val="2"/>
      </rPr>
      <t xml:space="preserve">合計 </t>
    </r>
    <r>
      <rPr>
        <sz val="10"/>
        <color rgb="FF0000FF"/>
        <rFont val="Arial"/>
        <family val="0"/>
        <charset val="1"/>
      </rPr>
      <t xml:space="preserve">172 </t>
    </r>
    <r>
      <rPr>
        <sz val="10"/>
        <color rgb="FF0000FF"/>
        <rFont val="Noto Sans CJK SC"/>
        <family val="2"/>
      </rPr>
      <t xml:space="preserve">億</t>
    </r>
  </si>
  <si>
    <r>
      <rPr>
        <sz val="10"/>
        <color rgb="FF0000FF"/>
        <rFont val="Arial"/>
        <family val="0"/>
        <charset val="1"/>
      </rPr>
      <t xml:space="preserve">TechFlow 32082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Quartz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Yahoo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FT 2026-06-16 </t>
    </r>
    <r>
      <rPr>
        <sz val="10"/>
        <color rgb="FF0000FF"/>
        <rFont val="Noto Sans CJK SC"/>
        <family val="2"/>
      </rPr>
      <t xml:space="preserve">獨立核實）</t>
    </r>
  </si>
  <si>
    <t xml:space="preserve">查核報表（外流，FT 獨立核實）；OpenAI 未評論</t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</si>
  <si>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低端</t>
    </r>
  </si>
  <si>
    <t xml:space="preserve">Lo 7.5</t>
  </si>
  <si>
    <t xml:space="preserve">採用（X45）：SRC_DEM_073；SRC_DEM_004 Lo 7.5；推論支出主值 84 億（區間 75–88 億）</t>
  </si>
  <si>
    <t xml:space="preserve">外流報表；營業成本含所有供應商，非 Microsoft 部分僅 14.5 億｜暫編 S3｜Andy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</si>
  <si>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r>
      <rPr>
        <sz val="10"/>
        <color rgb="FF000000"/>
        <rFont val="Arial"/>
        <family val="0"/>
        <charset val="1"/>
      </rPr>
      <t xml:space="preserve">SRC_DEM_073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SRC_DEM_004</t>
    </r>
  </si>
  <si>
    <r>
      <rPr>
        <sz val="10"/>
        <color rgb="FF000000"/>
        <rFont val="Arial"/>
        <family val="0"/>
        <charset val="1"/>
      </rPr>
      <t xml:space="preserve">AL_ServeGWSpend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Cap_In H10 2025 </t>
    </r>
    <r>
      <rPr>
        <sz val="10"/>
        <color rgb="FF000000"/>
        <rFont val="Noto Sans CJK SC"/>
        <family val="2"/>
      </rPr>
      <t xml:space="preserve">欄</t>
    </r>
  </si>
  <si>
    <t xml:space="preserve">E364</t>
  </si>
  <si>
    <t xml:space="preserve">付費用戶「算力毛利」70%（2025-10），2024 年底 52%；付費推論約 39 億＋免費 39 億＝約 78 億，落在 75–88 億之間</t>
  </si>
  <si>
    <r>
      <rPr>
        <sz val="10"/>
        <color rgb="FF0000FF"/>
        <rFont val="Arial"/>
        <family val="0"/>
        <charset val="1"/>
      </rPr>
      <t xml:space="preserve">Fortune 2025-12-21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The Information</t>
    </r>
    <r>
      <rPr>
        <sz val="10"/>
        <color rgb="FF0000FF"/>
        <rFont val="Noto Sans CJK SC"/>
        <family val="2"/>
      </rPr>
      <t xml:space="preserve">（知情人士）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</si>
  <si>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方；未證實）；等級 </t>
    </r>
    <r>
      <rPr>
        <sz val="10"/>
        <color rgb="FF0000FF"/>
        <rFont val="Arial"/>
        <family val="0"/>
        <charset val="1"/>
      </rPr>
      <t xml:space="preserve">3</t>
    </r>
  </si>
  <si>
    <r>
      <rPr>
        <sz val="10"/>
        <color rgb="FF0000FF"/>
        <rFont val="Arial"/>
        <family val="0"/>
        <charset val="1"/>
      </rPr>
      <t xml:space="preserve">SRC_DEM_004 </t>
    </r>
    <r>
      <rPr>
        <sz val="10"/>
        <color rgb="FF0000FF"/>
        <rFont val="Noto Sans CJK SC"/>
        <family val="2"/>
      </rPr>
      <t xml:space="preserve">交叉檢查</t>
    </r>
  </si>
  <si>
    <t xml:space="preserve">登錄，等級 3；交叉檢查用，不入 SRC</t>
  </si>
  <si>
    <t xml:space="preserve">二手｜暫編 S4｜Andy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</si>
  <si>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E365</t>
  </si>
  <si>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出租 </t>
    </r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伺服器：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6–8 </t>
    </r>
    <r>
      <rPr>
        <sz val="10"/>
        <color rgb="FF0000FF"/>
        <rFont val="Noto Sans CJK SC"/>
        <family val="2"/>
      </rPr>
      <t xml:space="preserve">月毛利率略低於 </t>
    </r>
    <r>
      <rPr>
        <sz val="10"/>
        <color rgb="FF0000FF"/>
        <rFont val="Arial"/>
        <family val="0"/>
        <charset val="1"/>
      </rPr>
      <t xml:space="preserve">14%</t>
    </r>
    <r>
      <rPr>
        <sz val="10"/>
        <color rgb="FF0000FF"/>
        <rFont val="Noto Sans CJK SC"/>
        <family val="2"/>
      </rPr>
      <t xml:space="preserve">、毛利 </t>
    </r>
    <r>
      <rPr>
        <sz val="10"/>
        <color rgb="FF0000FF"/>
        <rFont val="Arial"/>
        <family val="0"/>
        <charset val="1"/>
      </rPr>
      <t xml:space="preserve">1.25 </t>
    </r>
    <r>
      <rPr>
        <sz val="10"/>
        <color rgb="FF0000FF"/>
        <rFont val="Noto Sans CJK SC"/>
        <family val="2"/>
      </rPr>
      <t xml:space="preserve">億美元（</t>
    </r>
    <r>
      <rPr>
        <sz val="10"/>
        <color rgb="FF0000FF"/>
        <rFont val="Arial"/>
        <family val="0"/>
        <charset val="1"/>
      </rPr>
      <t xml:space="preserve">The Information </t>
    </r>
    <r>
      <rPr>
        <sz val="10"/>
        <color rgb="FF0000FF"/>
        <rFont val="Noto Sans CJK SC"/>
        <family val="2"/>
      </rPr>
      <t xml:space="preserve">引 </t>
    </r>
    <r>
      <rPr>
        <sz val="10"/>
        <color rgb="FF0000FF"/>
        <rFont val="Arial"/>
        <family val="0"/>
        <charset val="1"/>
      </rPr>
      <t xml:space="preserve">Oracle </t>
    </r>
    <r>
      <rPr>
        <sz val="10"/>
        <color rgb="FF0000FF"/>
        <rFont val="Noto Sans CJK SC"/>
        <family val="2"/>
      </rPr>
      <t xml:space="preserve">內部文件）；毛利率成本含折舊與營運、不含資本成本，故價格 </t>
    </r>
    <r>
      <rPr>
        <sz val="10"/>
        <color rgb="FF0000FF"/>
        <rFont val="Arial"/>
        <family val="0"/>
        <charset val="1"/>
      </rPr>
      <t xml:space="preserve">÷ </t>
    </r>
    <r>
      <rPr>
        <sz val="10"/>
        <color rgb="FF0000FF"/>
        <rFont val="Noto Sans CJK SC"/>
        <family val="2"/>
      </rPr>
      <t xml:space="preserve">成本上限約 </t>
    </r>
    <r>
      <rPr>
        <sz val="10"/>
        <color rgb="FF0000FF"/>
        <rFont val="Arial"/>
        <family val="0"/>
        <charset val="1"/>
      </rPr>
      <t xml:space="preserve">1 ÷ (1 − 0.14)</t>
    </r>
    <r>
      <rPr>
        <sz val="10"/>
        <color rgb="FF0000FF"/>
        <rFont val="Noto Sans CJK SC"/>
        <family val="2"/>
      </rPr>
      <t xml:space="preserve">＝</t>
    </r>
    <r>
      <rPr>
        <sz val="10"/>
        <color rgb="FF0000FF"/>
        <rFont val="Arial"/>
        <family val="0"/>
        <charset val="1"/>
      </rPr>
      <t xml:space="preserve">1.16</t>
    </r>
  </si>
  <si>
    <r>
      <rPr>
        <sz val="10"/>
        <color rgb="FF0000FF"/>
        <rFont val="Arial"/>
        <family val="0"/>
        <charset val="1"/>
      </rPr>
      <t xml:space="preserve">Sherwood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https://sherwood.news/markets/oracle-tumbles-after-report-that-its-lost-nearly-usd100-million-from-renting</t>
    </r>
    <r>
      <rPr>
        <sz val="10"/>
        <color rgb="FF0000FF"/>
        <rFont val="Noto Sans CJK SC"/>
        <family val="2"/>
      </rPr>
      <t xml:space="preserve">）；原文（付費）未讀到，兩則二手轉述一致</t>
    </r>
  </si>
  <si>
    <r>
      <rPr>
        <sz val="10"/>
        <color rgb="FF0000FF"/>
        <rFont val="Arial"/>
        <family val="0"/>
        <charset val="1"/>
      </rPr>
      <t xml:space="preserve">1.3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1.0–1.6</t>
    </r>
    <r>
      <rPr>
        <sz val="10"/>
        <color rgb="FF0000FF"/>
        <rFont val="Noto Sans CJK SC"/>
        <family val="2"/>
      </rPr>
      <t xml:space="preserve">）</t>
    </r>
  </si>
  <si>
    <t xml:space="preserve">採用（X46）：計價倍數基準 2.0 → 1.3，區間 1.0–1.6；Microsoft 對 OpenAI 的計價未找到，高端保留 1.6</t>
  </si>
  <si>
    <t xml:space="preserve">早期 Blackwell 情況，部分是時差造成｜暫編 ORCL｜Andy 2026-10-15 07:37「'下一版建議：v5.36 處理「token 分母閉合」':同意」；Andy 2026-10-15 14:19「早上我跟Copilot討論過，我們更傾向84億。但如你所說，請先在追一下一手來源，再來決定」；Andy 2026-10-15 14:25「我找到的基本與你一致。同意你的建議。」（文字，未改字）；可撤回｜讀取者：chat 端（工作單 v5.36 r0 B7）</t>
  </si>
  <si>
    <t xml:space="preserve">E366</t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</si>
  <si>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歷史牌價 </t>
    </r>
    <r>
      <rPr>
        <sz val="10"/>
        <color rgb="FF0000FF"/>
        <rFont val="Arial"/>
        <family val="0"/>
        <charset val="1"/>
      </rPr>
      <t xml:space="preserve">11 </t>
    </r>
    <r>
      <rPr>
        <sz val="10"/>
        <color rgb="FF0000FF"/>
        <rFont val="Noto Sans CJK SC"/>
        <family val="2"/>
      </rPr>
      <t xml:space="preserve">點中 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點與官方公告頁一致；</t>
    </r>
    <r>
      <rPr>
        <sz val="10"/>
        <color rgb="FF0000FF"/>
        <rFont val="Arial"/>
        <family val="0"/>
        <charset val="1"/>
      </rPr>
      <t xml:space="preserve">5.6 Terra </t>
    </r>
    <r>
      <rPr>
        <sz val="10"/>
        <color rgb="FF0000FF"/>
        <rFont val="Noto Sans CJK SC"/>
        <family val="2"/>
      </rPr>
      <t xml:space="preserve">上市價 </t>
    </r>
    <r>
      <rPr>
        <sz val="10"/>
        <color rgb="FF0000FF"/>
        <rFont val="Arial"/>
        <family val="0"/>
        <charset val="1"/>
      </rPr>
      <t xml:space="preserve">2.5/15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2026-07-09</t>
    </r>
    <r>
      <rPr>
        <sz val="10"/>
        <color rgb="FF0000FF"/>
        <rFont val="Noto Sans CJK SC"/>
        <family val="2"/>
      </rPr>
      <t xml:space="preserve">），</t>
    </r>
    <r>
      <rPr>
        <sz val="10"/>
        <color rgb="FF0000FF"/>
        <rFont val="Arial"/>
        <family val="0"/>
        <charset val="1"/>
      </rPr>
      <t xml:space="preserve">2/12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2026-07-30 </t>
    </r>
    <r>
      <rPr>
        <sz val="10"/>
        <color rgb="FF0000FF"/>
        <rFont val="Noto Sans CJK SC"/>
        <family val="2"/>
      </rPr>
      <t xml:space="preserve">降價後</t>
    </r>
  </si>
  <si>
    <r>
      <rPr>
        <sz val="10"/>
        <color rgb="FF0000FF"/>
        <rFont val="Arial"/>
        <family val="0"/>
        <charset val="1"/>
      </rPr>
      <t xml:space="preserve">openai.com </t>
    </r>
    <r>
      <rPr>
        <sz val="10"/>
        <color rgb="FF0000FF"/>
        <rFont val="Noto Sans CJK SC"/>
        <family val="2"/>
      </rPr>
      <t xml:space="preserve">各公告頁、</t>
    </r>
    <r>
      <rPr>
        <sz val="10"/>
        <color rgb="FF0000FF"/>
        <rFont val="Arial"/>
        <family val="0"/>
        <charset val="1"/>
      </rPr>
      <t xml:space="preserve">developers.openai.com changelog</t>
    </r>
  </si>
  <si>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（賣方）</t>
    </r>
  </si>
  <si>
    <r>
      <rPr>
        <sz val="10"/>
        <color rgb="FF0000FF"/>
        <rFont val="Arial"/>
        <family val="0"/>
        <charset val="1"/>
      </rPr>
      <t xml:space="preserve">E338 </t>
    </r>
    <r>
      <rPr>
        <sz val="10"/>
        <color rgb="FF0000FF"/>
        <rFont val="Noto Sans CJK SC"/>
        <family val="2"/>
      </rPr>
      <t xml:space="preserve">的更正／補註</t>
    </r>
  </si>
  <si>
    <r>
      <rPr>
        <sz val="10"/>
        <color rgb="FF0000FF"/>
        <rFont val="Arial"/>
        <family val="0"/>
        <charset val="1"/>
      </rPr>
      <t xml:space="preserve">E338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5.6 Terra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2026-07</t>
    </r>
    <r>
      <rPr>
        <sz val="10"/>
        <color rgb="FF0000FF"/>
        <rFont val="Noto Sans CJK SC"/>
        <family val="2"/>
      </rPr>
      <t xml:space="preserve">）</t>
    </r>
  </si>
  <si>
    <t xml:space="preserve">上市 2.5/15（2026-07-09）；2/12 為降價後</t>
  </si>
  <si>
    <t xml:space="preserve">採納為 E338 的更正登錄</t>
  </si>
  <si>
    <t xml:space="preserve">層級名稱在 GPT-5.6 與 GPT-6 之間換位；GPT-4／4 Turbo／4o 當時為旗艦｜暫編 P-a1｜Andy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</si>
  <si>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Cap_In I-1 g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L1_GenPxThr_*</t>
    </r>
    <r>
      <rPr>
        <sz val="10"/>
        <color rgb="FF000000"/>
        <rFont val="Noto Sans CJK SC"/>
        <family val="2"/>
      </rPr>
      <t xml:space="preserve">（對照，不入基準）</t>
    </r>
  </si>
  <si>
    <t xml:space="preserve">E367</t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</si>
  <si>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2026-06-30</t>
    </r>
    <r>
      <rPr>
        <sz val="10"/>
        <color rgb="FF0000FF"/>
        <rFont val="Noto Sans CJK SC"/>
        <family val="2"/>
      </rPr>
      <t xml:space="preserve">）上市 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，</t>
    </r>
    <r>
      <rPr>
        <sz val="10"/>
        <color rgb="FF0000FF"/>
        <rFont val="Arial"/>
        <family val="0"/>
        <charset val="1"/>
      </rPr>
      <t xml:space="preserve">2026-08-10 </t>
    </r>
    <r>
      <rPr>
        <sz val="10"/>
        <color rgb="FF0000FF"/>
        <rFont val="Noto Sans CJK SC"/>
        <family val="2"/>
      </rPr>
      <t xml:space="preserve">轉永久；</t>
    </r>
    <r>
      <rPr>
        <sz val="10"/>
        <color rgb="FF0000FF"/>
        <rFont val="Arial"/>
        <family val="0"/>
        <charset val="1"/>
      </rPr>
      <t xml:space="preserve">Sonnet 5.5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2026-09-28</t>
    </r>
    <r>
      <rPr>
        <sz val="10"/>
        <color rgb="FF0000FF"/>
        <rFont val="Noto Sans CJK SC"/>
        <family val="2"/>
      </rPr>
      <t xml:space="preserve">）</t>
    </r>
    <r>
      <rPr>
        <sz val="10"/>
        <color rgb="FF0000FF"/>
        <rFont val="Arial"/>
        <family val="0"/>
        <charset val="1"/>
      </rPr>
      <t xml:space="preserve">2/10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「持平」不成立</t>
    </r>
  </si>
  <si>
    <r>
      <rPr>
        <sz val="10"/>
        <color rgb="FF0000FF"/>
        <rFont val="Arial"/>
        <family val="0"/>
        <charset val="1"/>
      </rPr>
      <t xml:space="preserve">anthropic.com/news/claude-sonnet-5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-5-5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platform.claude.com </t>
    </r>
    <r>
      <rPr>
        <sz val="10"/>
        <color rgb="FF0000FF"/>
        <rFont val="Noto Sans CJK SC"/>
        <family val="2"/>
      </rPr>
      <t xml:space="preserve">定價頁</t>
    </r>
  </si>
  <si>
    <r>
      <rPr>
        <sz val="10"/>
        <color rgb="FF0000FF"/>
        <rFont val="Arial"/>
        <family val="0"/>
        <charset val="1"/>
      </rPr>
      <t xml:space="preserve">E339 </t>
    </r>
    <r>
      <rPr>
        <sz val="10"/>
        <color rgb="FF0000FF"/>
        <rFont val="Noto Sans CJK SC"/>
        <family val="2"/>
      </rPr>
      <t xml:space="preserve">更正；</t>
    </r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對照</t>
    </r>
  </si>
  <si>
    <r>
      <rPr>
        <sz val="10"/>
        <color rgb="FF0000FF"/>
        <rFont val="Arial"/>
        <family val="0"/>
        <charset val="1"/>
      </rPr>
      <t xml:space="preserve">E339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Sonnet 3/15 </t>
    </r>
    <r>
      <rPr>
        <sz val="10"/>
        <color rgb="FF0000FF"/>
        <rFont val="Noto Sans CJK SC"/>
        <family val="2"/>
      </rPr>
      <t xml:space="preserve">持平</t>
    </r>
  </si>
  <si>
    <r>
      <rPr>
        <sz val="10"/>
        <color rgb="FF0000FF"/>
        <rFont val="Arial"/>
        <family val="0"/>
        <charset val="1"/>
      </rPr>
      <t xml:space="preserve">Sonnet 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5.5 </t>
    </r>
    <r>
      <rPr>
        <sz val="10"/>
        <color rgb="FF0000FF"/>
        <rFont val="Noto Sans CJK SC"/>
        <family val="2"/>
      </rPr>
      <t xml:space="preserve">上市即 </t>
    </r>
    <r>
      <rPr>
        <sz val="10"/>
        <color rgb="FF0000FF"/>
        <rFont val="Arial"/>
        <family val="0"/>
        <charset val="1"/>
      </rPr>
      <t xml:space="preserve">2/10</t>
    </r>
  </si>
  <si>
    <t xml:space="preserve">採納為 E339 的更正登錄</t>
  </si>
  <si>
    <t xml:space="preserve">｜暫編 P-a2｜Andy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</si>
  <si>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E368</t>
  </si>
  <si>
    <r>
      <rPr>
        <sz val="10"/>
        <color rgb="FF0000FF"/>
        <rFont val="Arial"/>
        <family val="0"/>
        <charset val="1"/>
      </rPr>
      <t xml:space="preserve">Gemini 3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2025-11-18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3.1 Pro 2/12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2026-02-19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1.5 Pro </t>
    </r>
    <r>
      <rPr>
        <sz val="10"/>
        <color rgb="FF0000FF"/>
        <rFont val="Noto Sans CJK SC"/>
        <family val="2"/>
      </rPr>
      <t xml:space="preserve">降價幅度官方確認</t>
    </r>
  </si>
  <si>
    <r>
      <rPr>
        <sz val="10"/>
        <color rgb="FF0000FF"/>
        <rFont val="Arial"/>
        <family val="0"/>
        <charset val="1"/>
      </rPr>
      <t xml:space="preserve">blog.google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ai.google.dev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developers.googleblog.com</t>
    </r>
  </si>
  <si>
    <r>
      <rPr>
        <sz val="10"/>
        <color rgb="FF0000FF"/>
        <rFont val="Arial"/>
        <family val="0"/>
        <charset val="1"/>
      </rPr>
      <t xml:space="preserve">E340 </t>
    </r>
    <r>
      <rPr>
        <sz val="10"/>
        <color rgb="FF0000FF"/>
        <rFont val="Noto Sans CJK SC"/>
        <family val="2"/>
      </rPr>
      <t xml:space="preserve">補註</t>
    </r>
  </si>
  <si>
    <r>
      <rPr>
        <sz val="10"/>
        <color rgb="FF0000FF"/>
        <rFont val="Arial"/>
        <family val="0"/>
        <charset val="1"/>
      </rPr>
      <t xml:space="preserve">2.5 Pro 1.25/10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3.1 Pro 2/12</t>
    </r>
  </si>
  <si>
    <t xml:space="preserve">｜暫編 P-a3｜Andy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</si>
  <si>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（</t>
    </r>
    <r>
      <rPr>
        <sz val="10"/>
        <color rgb="FF000000"/>
        <rFont val="Arial"/>
        <family val="0"/>
        <charset val="1"/>
      </rPr>
      <t xml:space="preserve">1.5 Pro </t>
    </r>
    <r>
      <rPr>
        <sz val="10"/>
        <color rgb="FF000000"/>
        <rFont val="Noto Sans CJK SC"/>
        <family val="2"/>
      </rPr>
      <t xml:space="preserve">絕對值 </t>
    </r>
    <r>
      <rPr>
        <sz val="10"/>
        <color rgb="FF000000"/>
        <rFont val="Arial"/>
        <family val="0"/>
        <charset val="1"/>
      </rPr>
      <t xml:space="preserve">3.5/10.5</t>
    </r>
    <r>
      <rPr>
        <sz val="10"/>
        <color rgb="FF000000"/>
        <rFont val="Noto Sans CJK SC"/>
        <family val="2"/>
      </rPr>
      <t xml:space="preserve">：官方頁缺）</t>
    </r>
  </si>
  <si>
    <t xml:space="preserve">E369</t>
  </si>
  <si>
    <r>
      <rPr>
        <sz val="10"/>
        <color rgb="FF0000FF"/>
        <rFont val="Arial"/>
        <family val="0"/>
        <charset val="1"/>
      </rPr>
      <t xml:space="preserve">E341 </t>
    </r>
    <r>
      <rPr>
        <sz val="10"/>
        <color rgb="FF0000FF"/>
        <rFont val="Noto Sans CJK SC"/>
        <family val="2"/>
      </rPr>
      <t xml:space="preserve">無法復現；以確認序列重算見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</si>
  <si>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</si>
  <si>
    <r>
      <rPr>
        <sz val="10"/>
        <color rgb="FF0000FF"/>
        <rFont val="Arial"/>
        <family val="0"/>
        <charset val="1"/>
      </rPr>
      <t xml:space="preserve">Cap_In I-1 g </t>
    </r>
    <r>
      <rPr>
        <sz val="10"/>
        <color rgb="FF0000FF"/>
        <rFont val="Noto Sans CJK SC"/>
        <family val="2"/>
      </rPr>
      <t xml:space="preserve">依據</t>
    </r>
  </si>
  <si>
    <r>
      <rPr>
        <sz val="10"/>
        <color rgb="FF0000FF"/>
        <rFont val="Arial"/>
        <family val="0"/>
        <charset val="1"/>
      </rPr>
      <t xml:space="preserve">E341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起 </t>
    </r>
    <r>
      <rPr>
        <sz val="10"/>
        <color rgb="FF0000FF"/>
        <rFont val="Arial"/>
        <family val="0"/>
        <charset val="1"/>
      </rPr>
      <t xml:space="preserve">+8%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+12%</t>
    </r>
  </si>
  <si>
    <t xml:space="preserve">重算 +32%～+60%（5 點，斜率對取點敏感）</t>
  </si>
  <si>
    <t xml:space="preserve">待 Project 決定是否以重算取代 E341；本版只註記，不改 g</t>
  </si>
  <si>
    <t xml:space="preserve">｜暫編 P-a4｜Andy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</si>
  <si>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E370</t>
  </si>
  <si>
    <t xml:space="preserve">層級牌價 44 點（OpenAI／Anthropic／Google 旗艦與中階）；GPT-5.6→GPT-6 層級名換位</t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</si>
  <si>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附檔 </t>
    </r>
    <r>
      <rPr>
        <sz val="10"/>
        <color rgb="FF0000FF"/>
        <rFont val="Arial"/>
        <family val="0"/>
        <charset val="1"/>
      </rPr>
      <t xml:space="preserve">xlsx</t>
    </r>
    <r>
      <rPr>
        <sz val="10"/>
        <color rgb="FF0000FF"/>
        <rFont val="Noto Sans CJK SC"/>
        <family val="2"/>
      </rPr>
      <t xml:space="preserve">「價格點</t>
    </r>
    <r>
      <rPr>
        <sz val="10"/>
        <color rgb="FF0000FF"/>
        <rFont val="Arial"/>
        <family val="0"/>
        <charset val="1"/>
      </rPr>
      <t xml:space="preserve">_b</t>
    </r>
    <r>
      <rPr>
        <sz val="10"/>
        <color rgb="FF0000FF"/>
        <rFont val="Noto Sans CJK SC"/>
        <family val="2"/>
      </rPr>
      <t xml:space="preserve">」</t>
    </r>
  </si>
  <si>
    <r>
      <rPr>
        <sz val="10"/>
        <color rgb="FF0000FF"/>
        <rFont val="Arial"/>
        <family val="0"/>
        <charset val="1"/>
      </rPr>
      <t xml:space="preserve">SRC_Price </t>
    </r>
    <r>
      <rPr>
        <sz val="10"/>
        <color rgb="FF0000FF"/>
        <rFont val="Noto Sans CJK SC"/>
        <family val="2"/>
      </rPr>
      <t xml:space="preserve">時間序列（</t>
    </r>
    <r>
      <rPr>
        <sz val="10"/>
        <color rgb="FF0000FF"/>
        <rFont val="Arial"/>
        <family val="0"/>
        <charset val="1"/>
      </rPr>
      <t xml:space="preserve">K9 </t>
    </r>
    <r>
      <rPr>
        <sz val="10"/>
        <color rgb="FF0000FF"/>
        <rFont val="Noto Sans CJK SC"/>
        <family val="2"/>
      </rPr>
      <t xml:space="preserve">年降幅需要）</t>
    </r>
  </si>
  <si>
    <r>
      <rPr>
        <sz val="10"/>
        <color rgb="FF0000FF"/>
        <rFont val="Arial"/>
        <family val="0"/>
        <charset val="1"/>
      </rPr>
      <t xml:space="preserve">44 </t>
    </r>
    <r>
      <rPr>
        <sz val="10"/>
        <color rgb="FF0000FF"/>
        <rFont val="Noto Sans CJK SC"/>
        <family val="2"/>
      </rPr>
      <t xml:space="preserve">點</t>
    </r>
  </si>
  <si>
    <t xml:space="preserve">登錄 DB_Evidence；SRC_Price 不新增 Active 列（本段不設價格基準，Q3＝算力租賃價為口徑、層級牌價作對照）</t>
  </si>
  <si>
    <t xml:space="preserve">｜暫編 P-b1｜Andy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</si>
  <si>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E371</t>
  </si>
  <si>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同等能力序列（</t>
    </r>
    <r>
      <rPr>
        <sz val="10"/>
        <color rgb="FF0000FF"/>
        <rFont val="Arial"/>
        <family val="0"/>
        <charset val="1"/>
      </rPr>
      <t xml:space="preserve">2023-03→2025-02</t>
    </r>
    <r>
      <rPr>
        <sz val="10"/>
        <color rgb="FF0000FF"/>
        <rFont val="Noto Sans CJK SC"/>
        <family val="2"/>
      </rPr>
      <t xml:space="preserve">：</t>
    </r>
    <r>
      <rPr>
        <sz val="10"/>
        <color rgb="FF0000FF"/>
        <rFont val="Arial"/>
        <family val="0"/>
        <charset val="1"/>
      </rPr>
      <t xml:space="preserve">37.50→0.18 $/M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Epoch 2026 </t>
    </r>
    <r>
      <rPr>
        <sz val="10"/>
        <color rgb="FF0000FF"/>
        <rFont val="Noto Sans CJK SC"/>
        <family val="2"/>
      </rPr>
      <t xml:space="preserve">速率 </t>
    </r>
    <r>
      <rPr>
        <sz val="10"/>
        <color rgb="FF0000FF"/>
        <rFont val="Arial"/>
        <family val="0"/>
        <charset val="1"/>
      </rPr>
      <t xml:space="preserve">13 </t>
    </r>
    <r>
      <rPr>
        <sz val="10"/>
        <color rgb="FF0000FF"/>
        <rFont val="Noto Sans CJK SC"/>
        <family val="2"/>
      </rPr>
      <t xml:space="preserve">倍／年；演算法效率約 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倍／年</t>
    </r>
  </si>
  <si>
    <r>
      <rPr>
        <sz val="10"/>
        <color rgb="FF0000FF"/>
        <rFont val="Arial"/>
        <family val="0"/>
        <charset val="1"/>
      </rPr>
      <t xml:space="preserve">epoch.ai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arXiv 2511.23455v2</t>
    </r>
  </si>
  <si>
    <r>
      <rPr>
        <sz val="10"/>
        <color rgb="FF0000FF"/>
        <rFont val="Arial"/>
        <family val="0"/>
        <charset val="1"/>
      </rPr>
      <t xml:space="preserve">g_gen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Q2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Q3</t>
    </r>
  </si>
  <si>
    <r>
      <rPr>
        <sz val="10"/>
        <color rgb="FF0000FF"/>
        <rFont val="Arial"/>
        <family val="0"/>
        <charset val="1"/>
      </rPr>
      <t xml:space="preserve">−79%</t>
    </r>
    <r>
      <rPr>
        <sz val="10"/>
        <color rgb="FF0000FF"/>
        <rFont val="Noto Sans CJK SC"/>
        <family val="2"/>
      </rPr>
      <t xml:space="preserve">～−</t>
    </r>
    <r>
      <rPr>
        <sz val="10"/>
        <color rgb="FF0000FF"/>
        <rFont val="Arial"/>
        <family val="0"/>
        <charset val="1"/>
      </rPr>
      <t xml:space="preserve">97%</t>
    </r>
    <r>
      <rPr>
        <sz val="10"/>
        <color rgb="FF0000FF"/>
        <rFont val="Noto Sans CJK SC"/>
        <family val="2"/>
      </rPr>
      <t xml:space="preserve">／年（含演算法效率與競價）</t>
    </r>
  </si>
  <si>
    <t xml:space="preserve">登錄為對照，不入基準（g_gen 不設）</t>
  </si>
  <si>
    <t xml:space="preserve">｜暫編 P-c1｜Andy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</si>
  <si>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（研究機構整理）</t>
    </r>
  </si>
  <si>
    <t xml:space="preserve">E372</t>
  </si>
  <si>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租賃：</t>
    </r>
    <r>
      <rPr>
        <sz val="10"/>
        <color rgb="FF0000FF"/>
        <rFont val="Arial"/>
        <family val="0"/>
        <charset val="1"/>
      </rPr>
      <t xml:space="preserve">H100 Lambda 2.40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2023-05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2.59→2.99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2024-10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3.99</t>
    </r>
    <r>
      <rPr>
        <sz val="10"/>
        <color rgb="FF0000FF"/>
        <rFont val="Noto Sans CJK SC"/>
        <family val="2"/>
      </rPr>
      <t xml:space="preserve">（現價）；</t>
    </r>
    <r>
      <rPr>
        <sz val="10"/>
        <color rgb="FF0000FF"/>
        <rFont val="Arial"/>
        <family val="0"/>
        <charset val="1"/>
      </rPr>
      <t xml:space="preserve">B200 Lambda 4.99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2025-08</t>
    </r>
    <r>
      <rPr>
        <sz val="10"/>
        <color rgb="FF0000FF"/>
        <rFont val="Noto Sans CJK SC"/>
        <family val="2"/>
      </rPr>
      <t xml:space="preserve">）→</t>
    </r>
    <r>
      <rPr>
        <sz val="10"/>
        <color rgb="FF0000FF"/>
        <rFont val="Arial"/>
        <family val="0"/>
        <charset val="1"/>
      </rPr>
      <t xml:space="preserve">6.69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H100 6.16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B200 8.60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10.50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AWS P5 2025-06-01 </t>
    </r>
    <r>
      <rPr>
        <sz val="10"/>
        <color rgb="FF0000FF"/>
        <rFont val="Noto Sans CJK SC"/>
        <family val="2"/>
      </rPr>
      <t xml:space="preserve">降 </t>
    </r>
    <r>
      <rPr>
        <sz val="10"/>
        <color rgb="FF0000FF"/>
        <rFont val="Arial"/>
        <family val="0"/>
        <charset val="1"/>
      </rPr>
      <t xml:space="preserve">44%</t>
    </r>
  </si>
  <si>
    <t xml:space="preserve">各業者定價頁、部落格</t>
  </si>
  <si>
    <r>
      <rPr>
        <sz val="10"/>
        <color rgb="FF0000FF"/>
        <rFont val="Arial"/>
        <family val="0"/>
        <charset val="1"/>
      </rPr>
      <t xml:space="preserve">SRC_Price</t>
    </r>
    <r>
      <rPr>
        <sz val="10"/>
        <color rgb="FF0000FF"/>
        <rFont val="Noto Sans CJK SC"/>
        <family val="2"/>
      </rPr>
      <t xml:space="preserve">（隨需／預留分層）</t>
    </r>
  </si>
  <si>
    <r>
      <rPr>
        <sz val="10"/>
        <color rgb="FF0000FF"/>
        <rFont val="Arial"/>
        <family val="0"/>
        <charset val="1"/>
      </rPr>
      <t xml:space="preserve">35 </t>
    </r>
    <r>
      <rPr>
        <sz val="10"/>
        <color rgb="FF0000FF"/>
        <rFont val="Noto Sans CJK SC"/>
        <family val="2"/>
      </rPr>
      <t xml:space="preserve">筆有數值</t>
    </r>
  </si>
  <si>
    <t xml:space="preserve">登錄；GB200 與 SRC_PRC_001 同源，勿重複計為獨立來源</t>
  </si>
  <si>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只有 </t>
    </r>
    <r>
      <rPr>
        <sz val="10"/>
        <color rgb="FF0000FF"/>
        <rFont val="Arial"/>
        <family val="0"/>
        <charset val="1"/>
      </rPr>
      <t xml:space="preserve">CoreWeave </t>
    </r>
    <r>
      <rPr>
        <sz val="10"/>
        <color rgb="FF0000FF"/>
        <rFont val="Noto Sans CJK SC"/>
        <family val="2"/>
      </rPr>
      <t xml:space="preserve">現價 </t>
    </r>
    <r>
      <rPr>
        <sz val="10"/>
        <color rgb="FF0000FF"/>
        <rFont val="Arial"/>
        <family val="0"/>
        <charset val="1"/>
      </rPr>
      <t xml:space="preserve">1 </t>
    </r>
    <r>
      <rPr>
        <sz val="10"/>
        <color rgb="FF0000FF"/>
        <rFont val="Noto Sans CJK SC"/>
        <family val="2"/>
      </rPr>
      <t xml:space="preserve">點；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 </t>
    </r>
    <r>
      <rPr>
        <sz val="10"/>
        <color rgb="FF0000FF"/>
        <rFont val="Noto Sans CJK SC"/>
        <family val="2"/>
      </rPr>
      <t xml:space="preserve">無公開價｜暫編 </t>
    </r>
    <r>
      <rPr>
        <sz val="10"/>
        <color rgb="FF0000FF"/>
        <rFont val="Arial"/>
        <family val="0"/>
        <charset val="1"/>
      </rPr>
      <t xml:space="preserve">P-c2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Andy 2026-10-15 15:22</t>
    </r>
    <r>
      <rPr>
        <sz val="10"/>
        <color rgb="FF0000FF"/>
        <rFont val="Noto Sans CJK SC"/>
        <family val="2"/>
      </rPr>
      <t xml:space="preserve">「照預設」（採世代價格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段報告第 </t>
    </r>
    <r>
      <rPr>
        <sz val="10"/>
        <color rgb="FF0000FF"/>
        <rFont val="Arial"/>
        <family val="0"/>
        <charset val="1"/>
      </rPr>
      <t xml:space="preserve">8 </t>
    </r>
    <r>
      <rPr>
        <sz val="10"/>
        <color rgb="FF0000FF"/>
        <rFont val="Noto Sans CJK SC"/>
        <family val="2"/>
      </rPr>
      <t xml:space="preserve">節的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端建議預設）；可撤回｜讀取者：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docs/workorders/20261015_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B.md r0 B-4</t>
    </r>
    <r>
      <rPr>
        <sz val="10"/>
        <color rgb="FF0000FF"/>
        <rFont val="Noto Sans CJK SC"/>
        <family val="2"/>
      </rPr>
      <t xml:space="preserve">；來源 </t>
    </r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世代價格</t>
    </r>
    <r>
      <rPr>
        <sz val="10"/>
        <color rgb="FF0000FF"/>
        <rFont val="Arial"/>
        <family val="0"/>
        <charset val="1"/>
      </rPr>
      <t xml:space="preserve">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7 </t>
    </r>
    <r>
      <rPr>
        <sz val="10"/>
        <color rgb="FF0000FF"/>
        <rFont val="Noto Sans CJK SC"/>
        <family val="2"/>
      </rPr>
      <t xml:space="preserve">節）</t>
    </r>
  </si>
  <si>
    <t xml:space="preserve">E373</t>
  </si>
  <si>
    <r>
      <rPr>
        <sz val="10"/>
        <color rgb="FF0000FF"/>
        <rFont val="Arial"/>
        <family val="0"/>
        <charset val="1"/>
      </rPr>
      <t xml:space="preserve">IREN—Microsoft GB300 </t>
    </r>
    <r>
      <rPr>
        <sz val="10"/>
        <color rgb="FF0000FF"/>
        <rFont val="Noto Sans CJK SC"/>
        <family val="2"/>
      </rPr>
      <t xml:space="preserve">長約 </t>
    </r>
    <r>
      <rPr>
        <sz val="10"/>
        <color rgb="FF0000FF"/>
        <rFont val="Arial"/>
        <family val="0"/>
        <charset val="1"/>
      </rPr>
      <t xml:space="preserve">$9.7B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 </t>
    </r>
    <r>
      <rPr>
        <sz val="10"/>
        <color rgb="FF0000FF"/>
        <rFont val="Noto Sans CJK SC"/>
        <family val="2"/>
      </rPr>
      <t xml:space="preserve">年／</t>
    </r>
    <r>
      <rPr>
        <sz val="10"/>
        <color rgb="FF0000FF"/>
        <rFont val="Arial"/>
        <family val="0"/>
        <charset val="1"/>
      </rPr>
      <t xml:space="preserve">200 MW </t>
    </r>
    <r>
      <rPr>
        <sz val="10"/>
        <color rgb="FF0000FF"/>
        <rFont val="Noto Sans CJK SC"/>
        <family val="2"/>
      </rPr>
      <t xml:space="preserve">關鍵 </t>
    </r>
    <r>
      <rPr>
        <sz val="10"/>
        <color rgb="FF0000FF"/>
        <rFont val="Arial"/>
        <family val="0"/>
        <charset val="1"/>
      </rPr>
      <t xml:space="preserve">IT </t>
    </r>
    <r>
      <rPr>
        <sz val="10"/>
        <color rgb="FF0000FF"/>
        <rFont val="Noto Sans CJK SC"/>
        <family val="2"/>
      </rPr>
      <t xml:space="preserve">負載＝</t>
    </r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年（與契約對帳提醒一致）</t>
    </r>
  </si>
  <si>
    <r>
      <rPr>
        <sz val="10"/>
        <color rgb="FF0000FF"/>
        <rFont val="Arial"/>
        <family val="0"/>
        <charset val="1"/>
      </rPr>
      <t xml:space="preserve">iren.com 2025-11-03 </t>
    </r>
    <r>
      <rPr>
        <sz val="10"/>
        <color rgb="FF0000FF"/>
        <rFont val="Noto Sans CJK SC"/>
        <family val="2"/>
      </rPr>
      <t xml:space="preserve">公告</t>
    </r>
  </si>
  <si>
    <t xml:space="preserve">契約第 4 節對帳</t>
  </si>
  <si>
    <r>
      <rPr>
        <sz val="10"/>
        <color rgb="FF0000FF"/>
        <rFont val="Arial"/>
        <family val="0"/>
        <charset val="1"/>
      </rPr>
      <t xml:space="preserve">9.70 $M/MW-IT/</t>
    </r>
    <r>
      <rPr>
        <sz val="10"/>
        <color rgb="FF0000FF"/>
        <rFont val="Noto Sans CJK SC"/>
        <family val="2"/>
      </rPr>
      <t xml:space="preserve">年</t>
    </r>
  </si>
  <si>
    <t xml:space="preserve">登錄（只記單價）</t>
  </si>
  <si>
    <t xml:space="preserve">｜暫編 P-c3｜Andy 2026-10-15 15:22「照預設」（採世代價格 A 段報告第 8 節的 chat 端建議預設）；可撤回｜讀取者：chat 端（docs/workorders/20261015_世代價格B.md r0 B-4；來源 docs/reports/20261015_世代價格A_查證.md 第 7 節）</t>
  </si>
  <si>
    <t xml:space="preserve">E374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</si>
  <si>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年度各層級時間加權單價（參考請求混合，表列未折扣）：</t>
    </r>
    <r>
      <rPr>
        <sz val="10"/>
        <color rgb="FF0000FF"/>
        <rFont val="Arial"/>
        <family val="0"/>
        <charset val="1"/>
      </rPr>
      <t xml:space="preserve">Luna 0.1035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0.0669–0.3026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Sol 2.184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1.672–2.338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Astra 7.174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2.089–16.33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（現值 </t>
    </r>
    <r>
      <rPr>
        <sz val="10"/>
        <color rgb="FF0000FF"/>
        <rFont val="Arial"/>
        <family val="0"/>
        <charset val="1"/>
      </rPr>
      <t xml:space="preserve">1.9607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0.857 </t>
    </r>
    <r>
      <rPr>
        <sz val="10"/>
        <color rgb="FF0000FF"/>
        <rFont val="Noto Sans CJK SC"/>
        <family val="2"/>
      </rPr>
      <t xml:space="preserve">倍）</t>
    </r>
  </si>
  <si>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官方模型頁（</t>
    </r>
    <r>
      <rPr>
        <sz val="10"/>
        <color rgb="FF0000FF"/>
        <rFont val="Arial"/>
        <family val="0"/>
        <charset val="1"/>
      </rPr>
      <t xml:space="preserve">developers.openai.com</t>
    </r>
    <r>
      <rPr>
        <sz val="10"/>
        <color rgb="FF0000FF"/>
        <rFont val="Noto Sans CJK SC"/>
        <family val="2"/>
      </rPr>
      <t xml:space="preserve">）、世代價格 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段已讀官方公告頁、</t>
    </r>
    <r>
      <rPr>
        <sz val="10"/>
        <color rgb="FF0000FF"/>
        <rFont val="Arial"/>
        <family val="0"/>
        <charset val="1"/>
      </rPr>
      <t xml:space="preserve">v5.36A </t>
    </r>
    <r>
      <rPr>
        <sz val="10"/>
        <color rgb="FF0000FF"/>
        <rFont val="Noto Sans CJK SC"/>
        <family val="2"/>
      </rPr>
      <t xml:space="preserve">二手彙整（</t>
    </r>
    <r>
      <rPr>
        <sz val="10"/>
        <color rgb="FF0000FF"/>
        <rFont val="Arial"/>
        <family val="0"/>
        <charset val="1"/>
      </rPr>
      <t xml:space="preserve">benchlm</t>
    </r>
    <r>
      <rPr>
        <sz val="10"/>
        <color rgb="FF0000FF"/>
        <rFont val="Noto Sans CJK SC"/>
        <family val="2"/>
      </rPr>
      <t xml:space="preserve">，等級 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</si>
  <si>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（牌價本身 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</si>
  <si>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Arial"/>
        <family val="0"/>
        <charset val="1"/>
      </rPr>
      <t xml:space="preserve">Cap_In M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年度層級單價</t>
    </r>
  </si>
  <si>
    <r>
      <rPr>
        <sz val="10"/>
        <color rgb="FF0000FF"/>
        <rFont val="Arial"/>
        <family val="0"/>
        <charset val="1"/>
      </rPr>
      <t xml:space="preserve">C90 </t>
    </r>
    <r>
      <rPr>
        <sz val="10"/>
        <color rgb="FF0000FF"/>
        <rFont val="Noto Sans CJK SC"/>
        <family val="2"/>
      </rPr>
      <t xml:space="preserve">口徑 </t>
    </r>
    <r>
      <rPr>
        <sz val="10"/>
        <color rgb="FF0000FF"/>
        <rFont val="Arial"/>
        <family val="0"/>
        <charset val="1"/>
      </rPr>
      <t xml:space="preserve">1.9607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2026 </t>
    </r>
    <r>
      <rPr>
        <sz val="10"/>
        <color rgb="FF0000FF"/>
        <rFont val="Noto Sans CJK SC"/>
        <family val="2"/>
      </rPr>
      <t xml:space="preserve">快照）</t>
    </r>
  </si>
  <si>
    <r>
      <rPr>
        <sz val="10"/>
        <color rgb="FF0000FF"/>
        <rFont val="Arial"/>
        <family val="0"/>
        <charset val="1"/>
      </rPr>
      <t xml:space="preserve">1.680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0.874–2.899</t>
    </r>
    <r>
      <rPr>
        <sz val="10"/>
        <color rgb="FF0000FF"/>
        <rFont val="Noto Sans CJK SC"/>
        <family val="2"/>
      </rPr>
      <t xml:space="preserve">）</t>
    </r>
  </si>
  <si>
    <t xml:space="preserve">採納為 L1 輸入；按在售天數加權而非用量；Astra 取推理旗艦序列、Luna 取 nano 線（待 Project 判斷）</t>
  </si>
  <si>
    <r>
      <rPr>
        <sz val="10"/>
        <color rgb="FF0000FF"/>
        <rFont val="Arial"/>
        <family val="0"/>
        <charset val="1"/>
      </rPr>
      <t xml:space="preserve">GPT-4.1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的快取價官方頁讀取受阻，由同家族折扣推得，影響小於 </t>
    </r>
    <r>
      <rPr>
        <sz val="10"/>
        <color rgb="FF0000FF"/>
        <rFont val="Arial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｜暫編 </t>
    </r>
    <r>
      <rPr>
        <sz val="10"/>
        <color rgb="FF0000FF"/>
        <rFont val="Arial"/>
        <family val="0"/>
        <charset val="1"/>
      </rPr>
      <t xml:space="preserve">Q1</t>
    </r>
    <r>
      <rPr>
        <sz val="10"/>
        <color rgb="FF0000FF"/>
        <rFont val="Noto Sans CJK SC"/>
        <family val="2"/>
      </rPr>
      <t xml:space="preserve">｜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端預設（</t>
    </r>
    <r>
      <rPr>
        <sz val="10"/>
        <color rgb="FF0000FF"/>
        <rFont val="Arial"/>
        <family val="0"/>
        <charset val="1"/>
      </rPr>
      <t xml:space="preserve">L1–L5 </t>
    </r>
    <r>
      <rPr>
        <sz val="10"/>
        <color rgb="FF0000FF"/>
        <rFont val="Noto Sans CJK SC"/>
        <family val="2"/>
      </rPr>
      <t xml:space="preserve">見工作單 </t>
    </r>
    <r>
      <rPr>
        <sz val="10"/>
        <color rgb="FF0000FF"/>
        <rFont val="Arial"/>
        <family val="0"/>
        <charset val="1"/>
      </rPr>
      <t xml:space="preserve">4r1</t>
    </r>
    <r>
      <rPr>
        <sz val="10"/>
        <color rgb="FF0000FF"/>
        <rFont val="Noto Sans CJK SC"/>
        <family val="2"/>
      </rPr>
      <t xml:space="preserve">），可撤回｜讀取者：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端（工作單 </t>
    </r>
    <r>
      <rPr>
        <sz val="10"/>
        <color rgb="FF0000FF"/>
        <rFont val="Arial"/>
        <family val="0"/>
        <charset val="1"/>
      </rPr>
      <t xml:space="preserve">docs/workorders/20261016_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2.md r1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4r1 </t>
    </r>
    <r>
      <rPr>
        <sz val="10"/>
        <color rgb="FF0000FF"/>
        <rFont val="Noto Sans CJK SC"/>
        <family val="2"/>
      </rPr>
      <t xml:space="preserve">節；來源 </t>
    </r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2Q_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</si>
  <si>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00"/>
        <rFont val="Arial"/>
        <family val="0"/>
        <charset val="1"/>
      </rPr>
      <t xml:space="preserve">Cap_In M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Alloc J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K </t>
    </r>
    <r>
      <rPr>
        <sz val="10"/>
        <color rgb="FF000000"/>
        <rFont val="Noto Sans CJK SC"/>
        <family val="2"/>
      </rPr>
      <t xml:space="preserve">節；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L1_LReqFleet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IF_AllocQ1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Q2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RDGW</t>
    </r>
  </si>
  <si>
    <r>
      <rPr>
        <sz val="10"/>
        <color rgb="FF000000"/>
        <rFont val="Arial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（部分快取價為 </t>
    </r>
    <r>
      <rPr>
        <sz val="10"/>
        <color rgb="FF000000"/>
        <rFont val="Arial"/>
        <family val="0"/>
        <charset val="1"/>
      </rPr>
      <t xml:space="preserve">Derived</t>
    </r>
    <r>
      <rPr>
        <sz val="10"/>
        <color rgb="FF000000"/>
        <rFont val="Noto Sans CJK SC"/>
        <family val="2"/>
      </rPr>
      <t xml:space="preserve">）</t>
    </r>
  </si>
  <si>
    <t xml:space="preserve">E375</t>
  </si>
  <si>
    <t xml:space="preserve">各世代服務期間的代表模型規模（相對 2026 Arch）：2025 年度倍數 0.65（0.35–1.1）；Hopper 0.8、GB200 0.55、GB300 1、VR200 1.4。啟用參數沒有隨世代穩定變大；閉源模型啟用參數從未揭露</t>
  </si>
  <si>
    <r>
      <rPr>
        <sz val="10"/>
        <color rgb="FF0000FF"/>
        <rFont val="Arial"/>
        <family val="0"/>
        <charset val="1"/>
      </rPr>
      <t xml:space="preserve">SemiAnalysis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GPT-4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Epoch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arXiv 2604.24827</t>
    </r>
    <r>
      <rPr>
        <sz val="10"/>
        <color rgb="FF0000FF"/>
        <rFont val="Noto Sans CJK SC"/>
        <family val="2"/>
      </rPr>
      <t xml:space="preserve">、開放權重模型卡</t>
    </r>
  </si>
  <si>
    <r>
      <rPr>
        <sz val="10"/>
        <color rgb="FF0000FF"/>
        <rFont val="Arial"/>
        <family val="0"/>
        <charset val="1"/>
      </rPr>
      <t xml:space="preserve">Analogy</t>
    </r>
    <r>
      <rPr>
        <sz val="10"/>
        <color rgb="FF0000FF"/>
        <rFont val="Noto Sans CJK SC"/>
        <family val="2"/>
      </rPr>
      <t xml:space="preserve">（單一樣本、閉源間接估計）</t>
    </r>
  </si>
  <si>
    <r>
      <rPr>
        <sz val="10"/>
        <color rgb="FF0000FF"/>
        <rFont val="Arial"/>
        <family val="0"/>
        <charset val="1"/>
      </rPr>
      <t xml:space="preserve">ARCH_ScaleGen</t>
    </r>
    <r>
      <rPr>
        <sz val="10"/>
        <color rgb="FF0000FF"/>
        <rFont val="Noto Sans CJK SC"/>
        <family val="2"/>
      </rPr>
      <t xml:space="preserve">；情境 </t>
    </r>
    <r>
      <rPr>
        <sz val="10"/>
        <color rgb="FF0000FF"/>
        <rFont val="Arial"/>
        <family val="0"/>
        <charset val="1"/>
      </rPr>
      <t xml:space="preserve">d2_model_2025</t>
    </r>
  </si>
  <si>
    <t xml:space="preserve">基準 1（固定模型）</t>
  </si>
  <si>
    <t xml:space="preserve">情境 0.65（0.35–1.1）</t>
  </si>
  <si>
    <t xml:space="preserve">不進基準（Analogy 不作點估計）；以情境 d2_model_2025 呈現（R1）</t>
  </si>
  <si>
    <t xml:space="preserve">｜暫編 Q2｜chat 端預設（L1–L5 見工作單 4r1），可撤回｜讀取者：chat 端（工作單 docs/workorders/20261016_稽核修正2.md r1 第 4r1 節；來源 docs/reports/20261016_稽核修正2Q_查證.md）</t>
  </si>
  <si>
    <t xml:space="preserve">E376</t>
  </si>
  <si>
    <r>
      <rPr>
        <sz val="10"/>
        <color rgb="FF0000FF"/>
        <rFont val="Arial"/>
        <family val="0"/>
        <charset val="1"/>
      </rPr>
      <t xml:space="preserve">2025 </t>
    </r>
    <r>
      <rPr>
        <sz val="10"/>
        <color rgb="FF0000FF"/>
        <rFont val="Noto Sans CJK SC"/>
        <family val="2"/>
      </rPr>
      <t xml:space="preserve">年 </t>
    </r>
    <r>
      <rPr>
        <sz val="10"/>
        <color rgb="FF0000FF"/>
        <rFont val="Arial"/>
        <family val="0"/>
        <charset val="1"/>
      </rPr>
      <t xml:space="preserve">OpenAI </t>
    </r>
    <r>
      <rPr>
        <sz val="10"/>
        <color rgb="FF0000FF"/>
        <rFont val="Noto Sans CJK SC"/>
        <family val="2"/>
      </rPr>
      <t xml:space="preserve">研發算力的世代組合：</t>
    </r>
    <r>
      <rPr>
        <sz val="10"/>
        <color rgb="FF0000FF"/>
        <rFont val="Arial"/>
        <family val="0"/>
        <charset val="1"/>
      </rPr>
      <t xml:space="preserve">Hopper 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GB200 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VR200 0</t>
    </r>
    <r>
      <rPr>
        <sz val="10"/>
        <color rgb="FF0000FF"/>
        <rFont val="Noto Sans CJK SC"/>
        <family val="2"/>
      </rPr>
      <t xml:space="preserve">（區間 </t>
    </r>
    <r>
      <rPr>
        <sz val="10"/>
        <color rgb="FF0000FF"/>
        <rFont val="Arial"/>
        <family val="0"/>
        <charset val="1"/>
      </rPr>
      <t xml:space="preserve">0.40–0.75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0.25–0.55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0–0.05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  <r>
      <rPr>
        <sz val="10"/>
        <color rgb="FF0000FF"/>
        <rFont val="Noto Sans CJK SC"/>
        <family val="2"/>
      </rPr>
      <t xml:space="preserve">）；研發與服務的硬體分配已搜尋，未找到</t>
    </r>
  </si>
  <si>
    <r>
      <rPr>
        <sz val="10"/>
        <color rgb="FF0000FF"/>
        <rFont val="Arial"/>
        <family val="0"/>
        <charset val="1"/>
      </rPr>
      <t xml:space="preserve">NVIDIA </t>
    </r>
    <r>
      <rPr>
        <sz val="10"/>
        <color rgb="FF0000FF"/>
        <rFont val="Noto Sans CJK SC"/>
        <family val="2"/>
      </rPr>
      <t xml:space="preserve">部落格（</t>
    </r>
    <r>
      <rPr>
        <sz val="10"/>
        <color rgb="FF0000FF"/>
        <rFont val="Arial"/>
        <family val="0"/>
        <charset val="1"/>
      </rPr>
      <t xml:space="preserve">GPT-5.2 </t>
    </r>
    <r>
      <rPr>
        <sz val="10"/>
        <color rgb="FF0000FF"/>
        <rFont val="Noto Sans CJK SC"/>
        <family val="2"/>
      </rPr>
      <t xml:space="preserve">在 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NVL72 </t>
    </r>
    <r>
      <rPr>
        <sz val="10"/>
        <color rgb="FF0000FF"/>
        <rFont val="Noto Sans CJK SC"/>
        <family val="2"/>
      </rPr>
      <t xml:space="preserve">上訓練）、科技新報、</t>
    </r>
    <r>
      <rPr>
        <sz val="10"/>
        <color rgb="FF0000FF"/>
        <rFont val="Arial"/>
        <family val="0"/>
        <charset val="1"/>
      </rPr>
      <t xml:space="preserve">Epoch Abilene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OpenAI CFO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</si>
  <si>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（低信心推導）</t>
    </r>
  </si>
  <si>
    <r>
      <rPr>
        <sz val="10"/>
        <color rgb="FF0000FF"/>
        <rFont val="Arial"/>
        <family val="0"/>
        <charset val="1"/>
      </rPr>
      <t xml:space="preserve">Alloc_In </t>
    </r>
    <r>
      <rPr>
        <sz val="10"/>
        <color rgb="FF0000FF"/>
        <rFont val="Noto Sans CJK SC"/>
        <family val="2"/>
      </rPr>
      <t xml:space="preserve">研發世代組合</t>
    </r>
  </si>
  <si>
    <r>
      <rPr>
        <sz val="10"/>
        <color rgb="FF0000FF"/>
        <rFont val="Arial"/>
        <family val="0"/>
        <charset val="1"/>
      </rPr>
      <t xml:space="preserve">Train_In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16 </t>
    </r>
    <r>
      <rPr>
        <sz val="10"/>
        <color rgb="FF0000FF"/>
        <rFont val="Noto Sans CJK SC"/>
        <family val="2"/>
      </rPr>
      <t xml:space="preserve">列＝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（訓練世代）</t>
    </r>
  </si>
  <si>
    <r>
      <rPr>
        <sz val="10"/>
        <color rgb="FF0000FF"/>
        <rFont val="Arial"/>
        <family val="0"/>
        <charset val="1"/>
      </rPr>
      <t xml:space="preserve">0.60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0.38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0.02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0</t>
    </r>
  </si>
  <si>
    <t xml:space="preserve">採納為 AL_RDMix*（Alloc J 節）；Train_In 第 16 列不動</t>
  </si>
  <si>
    <t xml:space="preserve">｜暫編 Q3｜chat 端預設（L1–L5 見工作單 4r1），可撤回｜讀取者：chat 端（工作單 docs/workorders/20261016_稽核修正2.md r1 第 4r1 節；來源 docs/reports/20261016_稽核修正2Q_查證.md）</t>
  </si>
  <si>
    <t xml:space="preserve">E377</t>
  </si>
  <si>
    <r>
      <rPr>
        <sz val="10"/>
        <color rgb="FF0000FF"/>
        <rFont val="Arial"/>
        <family val="0"/>
        <charset val="1"/>
      </rPr>
      <t xml:space="preserve">Epoch 1.0e27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GPT-6 Astra </t>
    </r>
    <r>
      <rPr>
        <sz val="10"/>
        <color rgb="FF0000FF"/>
        <rFont val="Noto Sans CJK SC"/>
        <family val="2"/>
      </rPr>
      <t xml:space="preserve">單一訓練期間的叢集總算力（≥</t>
    </r>
    <r>
      <rPr>
        <sz val="10"/>
        <color rgb="FF0000FF"/>
        <rFont val="Arial"/>
        <family val="0"/>
        <charset val="1"/>
      </rPr>
      <t xml:space="preserve">10 </t>
    </r>
    <r>
      <rPr>
        <sz val="10"/>
        <color rgb="FF0000FF"/>
        <rFont val="Noto Sans CJK SC"/>
        <family val="2"/>
      </rPr>
      <t xml:space="preserve">萬顆 </t>
    </r>
    <r>
      <rPr>
        <sz val="10"/>
        <color rgb="FF0000FF"/>
        <rFont val="Arial"/>
        <family val="0"/>
        <charset val="1"/>
      </rPr>
      <t xml:space="preserve">GB200 ×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90 </t>
    </r>
    <r>
      <rPr>
        <sz val="10"/>
        <color rgb="FF0000FF"/>
        <rFont val="Noto Sans CJK SC"/>
        <family val="2"/>
      </rPr>
      <t xml:space="preserve">天 </t>
    </r>
    <r>
      <rPr>
        <sz val="10"/>
        <color rgb="FF0000FF"/>
        <rFont val="Arial"/>
        <family val="0"/>
        <charset val="1"/>
      </rPr>
      <t xml:space="preserve">× FP8 MFU 25%</t>
    </r>
    <r>
      <rPr>
        <sz val="10"/>
        <color rgb="FF0000FF"/>
        <rFont val="Noto Sans CJK SC"/>
        <family val="2"/>
      </rPr>
      <t xml:space="preserve">），不分預訓練與後訓練；全算為預訓練時，啟用 </t>
    </r>
    <r>
      <rPr>
        <sz val="10"/>
        <color rgb="FF0000FF"/>
        <rFont val="Arial"/>
        <family val="0"/>
        <charset val="1"/>
      </rPr>
      <t xml:space="preserve">180B </t>
    </r>
    <r>
      <rPr>
        <sz val="10"/>
        <color rgb="FF0000FF"/>
        <rFont val="Noto Sans CJK SC"/>
        <family val="2"/>
      </rPr>
      <t xml:space="preserve">隱含約 </t>
    </r>
    <r>
      <rPr>
        <sz val="10"/>
        <color rgb="FF0000FF"/>
        <rFont val="Arial"/>
        <family val="0"/>
        <charset val="1"/>
      </rPr>
      <t xml:space="preserve">926T token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463–1,852T</t>
    </r>
    <r>
      <rPr>
        <sz val="10"/>
        <color rgb="FF0000FF"/>
        <rFont val="Noto Sans CJK SC"/>
        <family val="2"/>
      </rPr>
      <t xml:space="preserve">）、</t>
    </r>
    <r>
      <rPr>
        <sz val="10"/>
        <color rgb="FF0000FF"/>
        <rFont val="Arial"/>
        <family val="0"/>
        <charset val="1"/>
      </rPr>
      <t xml:space="preserve">400B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417T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800B </t>
    </r>
    <r>
      <rPr>
        <sz val="10"/>
        <color rgb="FF0000FF"/>
        <rFont val="Noto Sans CJK SC"/>
        <family val="2"/>
      </rPr>
      <t xml:space="preserve">約 </t>
    </r>
    <r>
      <rPr>
        <sz val="10"/>
        <color rgb="FF0000FF"/>
        <rFont val="Arial"/>
        <family val="0"/>
        <charset val="1"/>
      </rPr>
      <t xml:space="preserve">208T</t>
    </r>
  </si>
  <si>
    <r>
      <rPr>
        <sz val="10"/>
        <color rgb="FF0000FF"/>
        <rFont val="Arial"/>
        <family val="0"/>
        <charset val="1"/>
      </rPr>
      <t xml:space="preserve">Epoch AI GPT-6 </t>
    </r>
    <r>
      <rPr>
        <sz val="10"/>
        <color rgb="FF0000FF"/>
        <rFont val="Noto Sans CJK SC"/>
        <family val="2"/>
      </rPr>
      <t xml:space="preserve">硬體推估；</t>
    </r>
    <r>
      <rPr>
        <sz val="10"/>
        <color rgb="FF0000FF"/>
        <rFont val="Arial"/>
        <family val="0"/>
        <charset val="1"/>
      </rPr>
      <t xml:space="preserve">legrandcontinent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PC Gamer </t>
    </r>
    <r>
      <rPr>
        <sz val="10"/>
        <color rgb="FF0000FF"/>
        <rFont val="Noto Sans CJK SC"/>
        <family val="2"/>
      </rPr>
      <t xml:space="preserve">轉述</t>
    </r>
  </si>
  <si>
    <r>
      <rPr>
        <sz val="10"/>
        <color rgb="FF0000FF"/>
        <rFont val="Arial"/>
        <family val="0"/>
        <charset val="1"/>
      </rPr>
      <t xml:space="preserve">Derived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Epoch </t>
    </r>
    <r>
      <rPr>
        <sz val="10"/>
        <color rgb="FF0000FF"/>
        <rFont val="Noto Sans CJK SC"/>
        <family val="2"/>
      </rPr>
      <t xml:space="preserve">硬體推估）</t>
    </r>
  </si>
  <si>
    <r>
      <rPr>
        <sz val="10"/>
        <color rgb="FF0000FF"/>
        <rFont val="Arial"/>
        <family val="0"/>
        <charset val="1"/>
      </rPr>
      <t xml:space="preserve">L1_PretrainFLOP_Astra_Ext </t>
    </r>
    <r>
      <rPr>
        <sz val="10"/>
        <color rgb="FF0000FF"/>
        <rFont val="Noto Sans CJK SC"/>
        <family val="2"/>
      </rPr>
      <t xml:space="preserve">標示；</t>
    </r>
    <r>
      <rPr>
        <sz val="10"/>
        <color rgb="FF0000FF"/>
        <rFont val="Arial"/>
        <family val="0"/>
        <charset val="1"/>
      </rPr>
      <t xml:space="preserve">L1_AstraExtTok_*B</t>
    </r>
  </si>
  <si>
    <t xml:space="preserve">標 Astra 預訓練算力的外部錨點</t>
  </si>
  <si>
    <t xml:space="preserve">標為上限；隱含 token 三列</t>
  </si>
  <si>
    <t xml:space="preserve">採納為標示與顯示；基準 token 60T、參數 180B 不變；差距分配不在本段決定</t>
  </si>
  <si>
    <t xml:space="preserve">｜暫編 Q4｜chat 端預設（L1–L5 見工作單 4r1），可撤回｜讀取者：chat 端（工作單 docs/workorders/20261016_稽核修正2.md r1 第 4r1 節；來源 docs/reports/20261016_稽核修正2Q_查證.md）</t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</si>
  <si>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（硬體推估）</t>
    </r>
  </si>
  <si>
    <r>
      <rPr>
        <sz val="10"/>
        <color rgb="FF0000FF"/>
        <rFont val="Arial"/>
        <family val="0"/>
        <charset val="1"/>
      </rPr>
      <t xml:space="preserve">D5 </t>
    </r>
    <r>
      <rPr>
        <sz val="10"/>
        <color rgb="FF0000FF"/>
        <rFont val="Noto Sans CJK SC"/>
        <family val="2"/>
      </rPr>
      <t xml:space="preserve">獨立驗證材料：</t>
    </r>
    <r>
      <rPr>
        <sz val="10"/>
        <color rgb="FF0000FF"/>
        <rFont val="Arial"/>
        <family val="0"/>
        <charset val="1"/>
      </rPr>
      <t xml:space="preserve">MLPerf 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H200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556</t>
    </r>
    <r>
      <rPr>
        <sz val="10"/>
        <color rgb="FF0000FF"/>
        <rFont val="Noto Sans CJK SC"/>
        <family val="2"/>
      </rPr>
      <t xml:space="preserve">）與 </t>
    </r>
    <r>
      <rPr>
        <sz val="10"/>
        <color rgb="FF0000FF"/>
        <rFont val="Arial"/>
        <family val="0"/>
        <charset val="1"/>
      </rPr>
      <t xml:space="preserve">GB200 NVL72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server 2,327</t>
    </r>
    <r>
      <rPr>
        <sz val="10"/>
        <color rgb="FF0000FF"/>
        <rFont val="Noto Sans CJK SC"/>
        <family val="2"/>
      </rPr>
      <t xml:space="preserve">）每 </t>
    </r>
    <r>
      <rPr>
        <sz val="10"/>
        <color rgb="FF0000FF"/>
        <rFont val="Arial"/>
        <family val="0"/>
        <charset val="1"/>
      </rPr>
      <t xml:space="preserve">GPU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LMSYS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SGLang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H100 decode 2,785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decode 13,386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NVFP4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Olmo 3 RL ÷ </t>
    </r>
    <r>
      <rPr>
        <sz val="10"/>
        <color rgb="FF0000FF"/>
        <rFont val="Noto Sans CJK SC"/>
        <family val="2"/>
      </rPr>
      <t xml:space="preserve">預訓練約 </t>
    </r>
    <r>
      <rPr>
        <sz val="10"/>
        <color rgb="FF0000FF"/>
        <rFont val="Arial"/>
        <family val="0"/>
        <charset val="1"/>
      </rPr>
      <t xml:space="preserve">0.11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DeepSeek-V3.2 </t>
    </r>
    <r>
      <rPr>
        <sz val="10"/>
        <color rgb="FF0000FF"/>
        <rFont val="Noto Sans CJK SC"/>
        <family val="2"/>
      </rPr>
      <t xml:space="preserve">後訓練 ≥ </t>
    </r>
    <r>
      <rPr>
        <sz val="10"/>
        <color rgb="FF0000FF"/>
        <rFont val="Arial"/>
        <family val="0"/>
        <charset val="1"/>
      </rPr>
      <t xml:space="preserve">10%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SWE Atlas </t>
    </r>
    <r>
      <rPr>
        <sz val="10"/>
        <color rgb="FF0000FF"/>
        <rFont val="Noto Sans CJK SC"/>
        <family val="2"/>
      </rPr>
      <t xml:space="preserve">原生 </t>
    </r>
    <r>
      <rPr>
        <sz val="10"/>
        <color rgb="FF0000FF"/>
        <rFont val="Arial"/>
        <family val="0"/>
        <charset val="1"/>
      </rPr>
      <t xml:space="preserve">scaffold </t>
    </r>
    <r>
      <rPr>
        <sz val="10"/>
        <color rgb="FF0000FF"/>
        <rFont val="Noto Sans CJK SC"/>
        <family val="2"/>
      </rPr>
      <t xml:space="preserve">工具呼叫多 </t>
    </r>
    <r>
      <rPr>
        <sz val="10"/>
        <color rgb="FF0000FF"/>
        <rFont val="Arial"/>
        <family val="0"/>
        <charset val="1"/>
      </rPr>
      <t xml:space="preserve">1.5–2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</si>
  <si>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FF"/>
        <rFont val="Arial"/>
        <family val="0"/>
        <charset val="1"/>
      </rPr>
      <t xml:space="preserve">docs/reports/20261015_</t>
    </r>
    <r>
      <rPr>
        <sz val="10"/>
        <color rgb="FF0000FF"/>
        <rFont val="Noto Sans CJK SC"/>
        <family val="2"/>
      </rPr>
      <t xml:space="preserve">稽核修正</t>
    </r>
    <r>
      <rPr>
        <sz val="10"/>
        <color rgb="FF0000FF"/>
        <rFont val="Arial"/>
        <family val="0"/>
        <charset val="1"/>
      </rPr>
      <t xml:space="preserve">3A_</t>
    </r>
    <r>
      <rPr>
        <sz val="10"/>
        <color rgb="FF0000FF"/>
        <rFont val="Noto Sans CJK SC"/>
        <family val="2"/>
      </rPr>
      <t xml:space="preserve">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 </t>
    </r>
    <r>
      <rPr>
        <sz val="10"/>
        <color rgb="FF0000FF"/>
        <rFont val="Noto Sans CJK SC"/>
        <family val="2"/>
      </rPr>
      <t xml:space="preserve">節（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查證，</t>
    </r>
    <r>
      <rPr>
        <sz val="10"/>
        <color rgb="FF0000FF"/>
        <rFont val="Arial"/>
        <family val="0"/>
        <charset val="1"/>
      </rPr>
      <t xml:space="preserve">2026-10-15</t>
    </r>
    <r>
      <rPr>
        <sz val="10"/>
        <color rgb="FF0000FF"/>
        <rFont val="Noto Sans CJK SC"/>
        <family val="2"/>
      </rPr>
      <t xml:space="preserve">；各項原始出處見該報告）</t>
    </r>
  </si>
  <si>
    <t xml:space="preserve">二手轉引（3A 查證）</t>
  </si>
  <si>
    <r>
      <rPr>
        <sz val="10"/>
        <color rgb="FF0000FF"/>
        <rFont val="Arial"/>
        <family val="0"/>
        <charset val="1"/>
      </rPr>
      <t xml:space="preserve">Checks V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G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</t>
    </r>
  </si>
  <si>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節只有 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個 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驗證點（</t>
    </r>
    <r>
      <rPr>
        <sz val="10"/>
        <color rgb="FF0000FF"/>
        <rFont val="Arial"/>
        <family val="0"/>
        <charset val="1"/>
      </rPr>
      <t xml:space="preserve">GB300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GB200 v6.0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VR200</t>
    </r>
    <r>
      <rPr>
        <sz val="10"/>
        <color rgb="FF0000FF"/>
        <rFont val="Noto Sans CJK SC"/>
        <family val="2"/>
      </rPr>
      <t xml:space="preserve">）；無 </t>
    </r>
    <r>
      <rPr>
        <sz val="10"/>
        <color rgb="FF0000FF"/>
        <rFont val="Arial"/>
        <family val="0"/>
        <charset val="1"/>
      </rPr>
      <t xml:space="preserve">Hopper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Checks </t>
    </r>
    <r>
      <rPr>
        <sz val="10"/>
        <color rgb="FF0000FF"/>
        <rFont val="Noto Sans CJK SC"/>
        <family val="2"/>
      </rPr>
      <t xml:space="preserve">無獨立吞吐驗證點</t>
    </r>
  </si>
  <si>
    <t xml:space="preserve">新增 Hopper／GB200 的 v5.1 server 上限、兩個 LMSYS 獨立驗證點、RL 與 harness 對照</t>
  </si>
  <si>
    <t xml:space="preserve">採納為驗證材料（不用於校準）；MLPerf 為上限檢查（模型 ÷ MLPerf ≤ 1），LMSYS 帶 0.5–2.0，RL 帶 0.1–0.3，harness 輪數 ≥ 1 只判方向</t>
  </si>
  <si>
    <t xml:space="preserve">讀取者：chat 端（3A 查證）；CC 轉入｜chat 端預設（N1–N5 見工作單 6r1），可撤回｜LMSYS 兩點無明確 SLO、NVIDIA 關係；MLPerf 提交者多為廠商，一律 Interested-party；v6.0 的 Hopper 提交已搜尋未找到</t>
  </si>
  <si>
    <r>
      <rPr>
        <sz val="10"/>
        <color rgb="FF000000"/>
        <rFont val="Arial"/>
        <family val="0"/>
        <charset val="1"/>
      </rPr>
      <t xml:space="preserve">SRC_PERF_060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SRC_HAR_016</t>
    </r>
  </si>
  <si>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節（驗證計數）；</t>
    </r>
    <r>
      <rPr>
        <sz val="10"/>
        <color rgb="FF000000"/>
        <rFont val="Arial"/>
        <family val="0"/>
        <charset val="1"/>
      </rPr>
      <t xml:space="preserve">L1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IF_</t>
    </r>
    <r>
      <rPr>
        <sz val="10"/>
        <color rgb="FF000000"/>
        <rFont val="Noto Sans CJK SC"/>
        <family val="2"/>
      </rPr>
      <t xml:space="preserve">／</t>
    </r>
    <r>
      <rPr>
        <sz val="10"/>
        <color rgb="FF000000"/>
        <rFont val="Arial"/>
        <family val="0"/>
        <charset val="1"/>
      </rPr>
      <t xml:space="preserve">IFW_ </t>
    </r>
    <r>
      <rPr>
        <sz val="10"/>
        <color rgb="FF000000"/>
        <rFont val="Noto Sans CJK SC"/>
        <family val="2"/>
      </rPr>
      <t xml:space="preserve">數值不變</t>
    </r>
  </si>
  <si>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（轉引）</t>
    </r>
  </si>
  <si>
    <r>
      <rPr>
        <sz val="10"/>
        <color rgb="FF0000FF"/>
        <rFont val="Noto Sans CJK SC"/>
        <family val="2"/>
      </rPr>
      <t xml:space="preserve">服務條件查證（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段）：</t>
    </r>
    <r>
      <rPr>
        <sz val="10"/>
        <color rgb="FF0000FF"/>
        <rFont val="Arial"/>
        <family val="0"/>
        <charset val="1"/>
      </rPr>
      <t xml:space="preserve">Q1 OpenAI </t>
    </r>
    <r>
      <rPr>
        <sz val="10"/>
        <color rgb="FF0000FF"/>
        <rFont val="Noto Sans CJK SC"/>
        <family val="2"/>
      </rPr>
      <t xml:space="preserve">標準端點每用戶輸出速度（</t>
    </r>
    <r>
      <rPr>
        <sz val="10"/>
        <color rgb="FF0000FF"/>
        <rFont val="Arial"/>
        <family val="0"/>
        <charset val="1"/>
      </rPr>
      <t xml:space="preserve">AA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OpenRouter </t>
    </r>
    <r>
      <rPr>
        <sz val="10"/>
        <color rgb="FF0000FF"/>
        <rFont val="Noto Sans CJK SC"/>
        <family val="2"/>
      </rPr>
      <t xml:space="preserve">各層級）；</t>
    </r>
    <r>
      <rPr>
        <sz val="10"/>
        <color rgb="FF0000FF"/>
        <rFont val="Arial"/>
        <family val="0"/>
        <charset val="1"/>
      </rPr>
      <t xml:space="preserve">Q3 </t>
    </r>
    <r>
      <rPr>
        <sz val="10"/>
        <color rgb="FF0000FF"/>
        <rFont val="Noto Sans CJK SC"/>
        <family val="2"/>
      </rPr>
      <t xml:space="preserve">大批次 </t>
    </r>
    <r>
      <rPr>
        <sz val="10"/>
        <color rgb="FF0000FF"/>
        <rFont val="Arial"/>
        <family val="0"/>
        <charset val="1"/>
      </rPr>
      <t xml:space="preserve">decode </t>
    </r>
    <r>
      <rPr>
        <sz val="10"/>
        <color rgb="FF0000FF"/>
        <rFont val="Noto Sans CJK SC"/>
        <family val="2"/>
      </rPr>
      <t xml:space="preserve">獨立點（</t>
    </r>
    <r>
      <rPr>
        <sz val="10"/>
        <color rgb="FF0000FF"/>
        <rFont val="Arial"/>
        <family val="0"/>
        <charset val="1"/>
      </rPr>
      <t xml:space="preserve">DeepSeek profile 2,324</t>
    </r>
    <r>
      <rPr>
        <sz val="10"/>
        <color rgb="FF0000FF"/>
        <rFont val="Noto Sans CJK SC"/>
        <family val="2"/>
      </rPr>
      <t xml:space="preserve">、線上服務 </t>
    </r>
    <r>
      <rPr>
        <sz val="10"/>
        <color rgb="FF0000FF"/>
        <rFont val="Arial"/>
        <family val="0"/>
        <charset val="1"/>
      </rPr>
      <t xml:space="preserve">1,850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vLLM GB200 10.1K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Q4 MLPerf v6.0 server GB200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GB300 72 GPU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4,668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5,562</t>
    </r>
    <r>
      <rPr>
        <sz val="10"/>
        <color rgb="FF0000FF"/>
        <rFont val="Noto Sans CJK SC"/>
        <family val="2"/>
      </rPr>
      <t xml:space="preserve">）與第二來源</t>
    </r>
  </si>
  <si>
    <r>
      <rPr>
        <sz val="10"/>
        <color rgb="FF0000FF"/>
        <rFont val="Arial"/>
        <family val="0"/>
        <charset val="1"/>
      </rPr>
      <t xml:space="preserve">docs/reports/20261016_</t>
    </r>
    <r>
      <rPr>
        <sz val="10"/>
        <color rgb="FF0000FF"/>
        <rFont val="Noto Sans CJK SC"/>
        <family val="2"/>
      </rPr>
      <t xml:space="preserve">服務條件查證</t>
    </r>
    <r>
      <rPr>
        <sz val="10"/>
        <color rgb="FF0000FF"/>
        <rFont val="Arial"/>
        <family val="0"/>
        <charset val="1"/>
      </rPr>
      <t xml:space="preserve">.md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1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4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docs/evidence/20261016_</t>
    </r>
    <r>
      <rPr>
        <sz val="10"/>
        <color rgb="FF0000FF"/>
        <rFont val="Noto Sans CJK SC"/>
        <family val="2"/>
      </rPr>
      <t xml:space="preserve">服務條件</t>
    </r>
    <r>
      <rPr>
        <sz val="10"/>
        <color rgb="FF0000FF"/>
        <rFont val="Arial"/>
        <family val="0"/>
        <charset val="1"/>
      </rPr>
      <t xml:space="preserve">/</t>
    </r>
    <r>
      <rPr>
        <sz val="10"/>
        <color rgb="FF0000FF"/>
        <rFont val="Noto Sans CJK SC"/>
        <family val="2"/>
      </rPr>
      <t xml:space="preserve">證據表</t>
    </r>
    <r>
      <rPr>
        <sz val="10"/>
        <color rgb="FF0000FF"/>
        <rFont val="Arial"/>
        <family val="0"/>
        <charset val="1"/>
      </rPr>
      <t xml:space="preserve">.xlsx</t>
    </r>
    <r>
      <rPr>
        <sz val="10"/>
        <color rgb="FF0000FF"/>
        <rFont val="Noto Sans CJK SC"/>
        <family val="2"/>
      </rPr>
      <t xml:space="preserve">（證據表、</t>
    </r>
    <r>
      <rPr>
        <sz val="10"/>
        <color rgb="FF0000FF"/>
        <rFont val="Arial"/>
        <family val="0"/>
        <charset val="1"/>
      </rPr>
      <t xml:space="preserve">MLPerf_v6.0 </t>
    </r>
    <r>
      <rPr>
        <sz val="10"/>
        <color rgb="FF0000FF"/>
        <rFont val="Noto Sans CJK SC"/>
        <family val="2"/>
      </rPr>
      <t xml:space="preserve">原始資料頁）</t>
    </r>
  </si>
  <si>
    <r>
      <rPr>
        <sz val="10"/>
        <color rgb="FF0000FF"/>
        <rFont val="Arial"/>
        <family val="0"/>
        <charset val="1"/>
      </rPr>
      <t xml:space="preserve">Verified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AA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OpenRouter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Interested-party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DeepSeek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vLLM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MLPerf </t>
    </r>
    <r>
      <rPr>
        <sz val="10"/>
        <color rgb="FF0000FF"/>
        <rFont val="Noto Sans CJK SC"/>
        <family val="2"/>
      </rPr>
      <t xml:space="preserve">提交者）</t>
    </r>
  </si>
  <si>
    <r>
      <rPr>
        <sz val="10"/>
        <color rgb="FF0000FF"/>
        <rFont val="Arial"/>
        <family val="0"/>
        <charset val="1"/>
      </rPr>
      <t xml:space="preserve">Serving </t>
    </r>
    <r>
      <rPr>
        <sz val="10"/>
        <color rgb="FF0000FF"/>
        <rFont val="Noto Sans CJK SC"/>
        <family val="2"/>
      </rPr>
      <t xml:space="preserve">第 </t>
    </r>
    <r>
      <rPr>
        <sz val="10"/>
        <color rgb="FF0000FF"/>
        <rFont val="Arial"/>
        <family val="0"/>
        <charset val="1"/>
      </rPr>
      <t xml:space="preserve">21 </t>
    </r>
    <r>
      <rPr>
        <sz val="10"/>
        <color rgb="FF0000FF"/>
        <rFont val="Noto Sans CJK SC"/>
        <family val="2"/>
      </rPr>
      <t xml:space="preserve">列；</t>
    </r>
    <r>
      <rPr>
        <sz val="10"/>
        <color rgb="FF0000FF"/>
        <rFont val="Arial"/>
        <family val="0"/>
        <charset val="1"/>
      </rPr>
      <t xml:space="preserve">Calib J </t>
    </r>
    <r>
      <rPr>
        <sz val="10"/>
        <color rgb="FF0000FF"/>
        <rFont val="Noto Sans CJK SC"/>
        <family val="2"/>
      </rPr>
      <t xml:space="preserve">節；</t>
    </r>
    <r>
      <rPr>
        <sz val="10"/>
        <color rgb="FF0000FF"/>
        <rFont val="Arial"/>
        <family val="0"/>
        <charset val="1"/>
      </rPr>
      <t xml:space="preserve">Calib H </t>
    </r>
    <r>
      <rPr>
        <sz val="10"/>
        <color rgb="FF0000FF"/>
        <rFont val="Noto Sans CJK SC"/>
        <family val="2"/>
      </rPr>
      <t xml:space="preserve">節 </t>
    </r>
    <r>
      <rPr>
        <sz val="10"/>
        <color rgb="FF0000FF"/>
        <rFont val="Arial"/>
        <family val="0"/>
        <charset val="1"/>
      </rPr>
      <t xml:space="preserve">F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H </t>
    </r>
    <r>
      <rPr>
        <sz val="10"/>
        <color rgb="FF0000FF"/>
        <rFont val="Noto Sans CJK SC"/>
        <family val="2"/>
      </rPr>
      <t xml:space="preserve">欄；</t>
    </r>
    <r>
      <rPr>
        <sz val="10"/>
        <color rgb="FF0000FF"/>
        <rFont val="Arial"/>
        <family val="0"/>
        <charset val="1"/>
      </rPr>
      <t xml:space="preserve">Checks V2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V15</t>
    </r>
  </si>
  <si>
    <r>
      <rPr>
        <sz val="10"/>
        <color rgb="FF0000FF"/>
        <rFont val="Arial"/>
        <family val="0"/>
        <charset val="1"/>
      </rPr>
      <t xml:space="preserve">SLO 120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65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55</t>
    </r>
    <r>
      <rPr>
        <sz val="10"/>
        <color rgb="FF0000FF"/>
        <rFont val="Noto Sans CJK SC"/>
        <family val="2"/>
      </rPr>
      <t xml:space="preserve">（</t>
    </r>
    <r>
      <rPr>
        <sz val="10"/>
        <color rgb="FF0000FF"/>
        <rFont val="Arial"/>
        <family val="0"/>
        <charset val="1"/>
      </rPr>
      <t xml:space="preserve">GPT-5.6 </t>
    </r>
    <r>
      <rPr>
        <sz val="10"/>
        <color rgb="FF0000FF"/>
        <rFont val="Noto Sans CJK SC"/>
        <family val="2"/>
      </rPr>
      <t xml:space="preserve">時代）；</t>
    </r>
    <r>
      <rPr>
        <sz val="10"/>
        <color rgb="FF0000FF"/>
        <rFont val="Arial"/>
        <family val="0"/>
        <charset val="1"/>
      </rPr>
      <t xml:space="preserve">V2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v5.1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2,327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</t>
    </r>
    <r>
      <rPr>
        <sz val="10"/>
        <color rgb="FF0000FF"/>
        <rFont val="Noto Sans CJK SC"/>
        <family val="2"/>
      </rPr>
      <t xml:space="preserve">對照 </t>
    </r>
    <r>
      <rPr>
        <sz val="10"/>
        <color rgb="FF0000FF"/>
        <rFont val="Arial"/>
        <family val="0"/>
        <charset val="1"/>
      </rPr>
      <t xml:space="preserve">Nebius 8 GPU </t>
    </r>
    <r>
      <rPr>
        <sz val="10"/>
        <color rgb="FF0000FF"/>
        <rFont val="Noto Sans CJK SC"/>
        <family val="2"/>
      </rPr>
      <t xml:space="preserve">單機 </t>
    </r>
    <r>
      <rPr>
        <sz val="10"/>
        <color rgb="FF0000FF"/>
        <rFont val="Arial"/>
        <family val="0"/>
        <charset val="1"/>
      </rPr>
      <t xml:space="preserve">8,064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 </t>
    </r>
    <r>
      <rPr>
        <sz val="10"/>
        <color rgb="FF0000FF"/>
        <rFont val="Noto Sans CJK SC"/>
        <family val="2"/>
      </rPr>
      <t xml:space="preserve">以 </t>
    </r>
    <r>
      <rPr>
        <sz val="10"/>
        <color rgb="FF0000FF"/>
        <rFont val="Arial"/>
        <family val="0"/>
        <charset val="1"/>
      </rPr>
      <t xml:space="preserve">Sol </t>
    </r>
    <r>
      <rPr>
        <sz val="10"/>
        <color rgb="FF0000FF"/>
        <rFont val="Noto Sans CJK SC"/>
        <family val="2"/>
      </rPr>
      <t xml:space="preserve">服務條件比 </t>
    </r>
    <r>
      <rPr>
        <sz val="10"/>
        <color rgb="FF0000FF"/>
        <rFont val="Arial"/>
        <family val="0"/>
        <charset val="1"/>
      </rPr>
      <t xml:space="preserve">LMSYS</t>
    </r>
  </si>
  <si>
    <r>
      <rPr>
        <sz val="10"/>
        <color rgb="FF0000FF"/>
        <rFont val="Arial"/>
        <family val="0"/>
        <charset val="1"/>
      </rPr>
      <t xml:space="preserve">SLO </t>
    </r>
    <r>
      <rPr>
        <sz val="10"/>
        <color rgb="FF0000FF"/>
        <rFont val="Noto Sans CJK SC"/>
        <family val="2"/>
      </rPr>
      <t xml:space="preserve">取兩家中位數的幾何平均（</t>
    </r>
    <r>
      <rPr>
        <sz val="10"/>
        <color rgb="FF0000FF"/>
        <rFont val="Arial"/>
        <family val="0"/>
        <charset val="1"/>
      </rPr>
      <t xml:space="preserve">Luna 84.3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Sol 43.3</t>
    </r>
    <r>
      <rPr>
        <sz val="10"/>
        <color rgb="FF0000FF"/>
        <rFont val="Noto Sans CJK SC"/>
        <family val="2"/>
      </rPr>
      <t xml:space="preserve">、</t>
    </r>
    <r>
      <rPr>
        <sz val="10"/>
        <color rgb="FF0000FF"/>
        <rFont val="Arial"/>
        <family val="0"/>
        <charset val="1"/>
      </rPr>
      <t xml:space="preserve">Astra 40.8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V2 4,668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V3 5,562</t>
    </r>
    <r>
      <rPr>
        <sz val="10"/>
        <color rgb="FF0000FF"/>
        <rFont val="Noto Sans CJK SC"/>
        <family val="2"/>
      </rPr>
      <t xml:space="preserve">；</t>
    </r>
    <r>
      <rPr>
        <sz val="10"/>
        <color rgb="FF0000FF"/>
        <rFont val="Arial"/>
        <family val="0"/>
        <charset val="1"/>
      </rPr>
      <t xml:space="preserve">V7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V8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V15 </t>
    </r>
    <r>
      <rPr>
        <sz val="10"/>
        <color rgb="FF0000FF"/>
        <rFont val="Noto Sans CJK SC"/>
        <family val="2"/>
      </rPr>
      <t xml:space="preserve">條件對齊後比較</t>
    </r>
  </si>
  <si>
    <r>
      <rPr>
        <sz val="10"/>
        <color rgb="FF0000FF"/>
        <rFont val="Noto Sans CJK SC"/>
        <family val="2"/>
      </rPr>
      <t xml:space="preserve">採納（</t>
    </r>
    <r>
      <rPr>
        <sz val="10"/>
        <color rgb="FF0000FF"/>
        <rFont val="Arial"/>
        <family val="0"/>
        <charset val="1"/>
      </rPr>
      <t xml:space="preserve">E1–E4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Hopper </t>
    </r>
    <r>
      <rPr>
        <sz val="10"/>
        <color rgb="FF0000FF"/>
        <rFont val="Noto Sans CJK SC"/>
        <family val="2"/>
      </rPr>
      <t xml:space="preserve">與 </t>
    </r>
    <r>
      <rPr>
        <sz val="10"/>
        <color rgb="FF0000FF"/>
        <rFont val="Arial"/>
        <family val="0"/>
        <charset val="1"/>
      </rPr>
      <t xml:space="preserve">GB200 </t>
    </r>
    <r>
      <rPr>
        <sz val="10"/>
        <color rgb="FF0000FF"/>
        <rFont val="Noto Sans CJK SC"/>
        <family val="2"/>
      </rPr>
      <t xml:space="preserve">的 </t>
    </r>
    <r>
      <rPr>
        <sz val="10"/>
        <color rgb="FF0000FF"/>
        <rFont val="Arial"/>
        <family val="0"/>
        <charset val="1"/>
      </rPr>
      <t xml:space="preserve">η_d </t>
    </r>
    <r>
      <rPr>
        <sz val="10"/>
        <color rgb="FF0000FF"/>
        <rFont val="Noto Sans CJK SC"/>
        <family val="2"/>
      </rPr>
      <t xml:space="preserve">倍數未寫入（停損規則，見 </t>
    </r>
    <r>
      <rPr>
        <sz val="10"/>
        <color rgb="FF0000FF"/>
        <rFont val="Arial"/>
        <family val="0"/>
        <charset val="1"/>
      </rPr>
      <t xml:space="preserve">Decisions ETA-E1H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ETA-E1G</t>
    </r>
    <r>
      <rPr>
        <sz val="10"/>
        <color rgb="FF0000FF"/>
        <rFont val="Noto Sans CJK SC"/>
        <family val="2"/>
      </rPr>
      <t xml:space="preserve">）</t>
    </r>
  </si>
  <si>
    <r>
      <rPr>
        <sz val="10"/>
        <color rgb="FF0000FF"/>
        <rFont val="Noto Sans CJK SC"/>
        <family val="2"/>
      </rPr>
      <t xml:space="preserve">讀取者：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端（</t>
    </r>
    <r>
      <rPr>
        <sz val="10"/>
        <color rgb="FF0000FF"/>
        <rFont val="Arial"/>
        <family val="0"/>
        <charset val="1"/>
      </rPr>
      <t xml:space="preserve">A </t>
    </r>
    <r>
      <rPr>
        <sz val="10"/>
        <color rgb="FF0000FF"/>
        <rFont val="Noto Sans CJK SC"/>
        <family val="2"/>
      </rPr>
      <t xml:space="preserve">段查證）；</t>
    </r>
    <r>
      <rPr>
        <sz val="10"/>
        <color rgb="FF0000FF"/>
        <rFont val="Arial"/>
        <family val="0"/>
        <charset val="1"/>
      </rPr>
      <t xml:space="preserve">CC </t>
    </r>
    <r>
      <rPr>
        <sz val="10"/>
        <color rgb="FF0000FF"/>
        <rFont val="Noto Sans CJK SC"/>
        <family val="2"/>
      </rPr>
      <t xml:space="preserve">轉入｜</t>
    </r>
    <r>
      <rPr>
        <sz val="10"/>
        <color rgb="FF0000FF"/>
        <rFont val="Arial"/>
        <family val="0"/>
        <charset val="1"/>
      </rPr>
      <t xml:space="preserve">Andy 2026-10-16 18:18</t>
    </r>
    <r>
      <rPr>
        <sz val="10"/>
        <color rgb="FF0000FF"/>
        <rFont val="Noto Sans CJK SC"/>
        <family val="2"/>
      </rPr>
      <t xml:space="preserve">「都依建議」（</t>
    </r>
    <r>
      <rPr>
        <sz val="10"/>
        <color rgb="FF0000FF"/>
        <rFont val="Arial"/>
        <family val="0"/>
        <charset val="1"/>
      </rPr>
      <t xml:space="preserve">E1–E4</t>
    </r>
    <r>
      <rPr>
        <sz val="10"/>
        <color rgb="FF0000FF"/>
        <rFont val="Noto Sans CJK SC"/>
        <family val="2"/>
      </rPr>
      <t xml:space="preserve">）；</t>
    </r>
    <r>
      <rPr>
        <sz val="10"/>
        <color rgb="FF0000FF"/>
        <rFont val="Arial"/>
        <family val="0"/>
        <charset val="1"/>
      </rPr>
      <t xml:space="preserve">E4 </t>
    </r>
    <r>
      <rPr>
        <sz val="10"/>
        <color rgb="FF0000FF"/>
        <rFont val="Noto Sans CJK SC"/>
        <family val="2"/>
      </rPr>
      <t xml:space="preserve">為 </t>
    </r>
    <r>
      <rPr>
        <sz val="10"/>
        <color rgb="FF0000FF"/>
        <rFont val="Arial"/>
        <family val="0"/>
        <charset val="1"/>
      </rPr>
      <t xml:space="preserve">18:22 </t>
    </r>
    <r>
      <rPr>
        <sz val="10"/>
        <color rgb="FF0000FF"/>
        <rFont val="Noto Sans CJK SC"/>
        <family val="2"/>
      </rPr>
      <t xml:space="preserve">決定 </t>
    </r>
    <r>
      <rPr>
        <sz val="10"/>
        <color rgb="FF0000FF"/>
        <rFont val="Arial"/>
        <family val="0"/>
        <charset val="1"/>
      </rPr>
      <t xml:space="preserve">(b)</t>
    </r>
    <r>
      <rPr>
        <sz val="10"/>
        <color rgb="FF0000FF"/>
        <rFont val="Noto Sans CJK SC"/>
        <family val="2"/>
      </rPr>
      <t xml:space="preserve">；細節預設由 </t>
    </r>
    <r>
      <rPr>
        <sz val="10"/>
        <color rgb="FF0000FF"/>
        <rFont val="Arial"/>
        <family val="0"/>
        <charset val="1"/>
      </rPr>
      <t xml:space="preserve">chat </t>
    </r>
    <r>
      <rPr>
        <sz val="10"/>
        <color rgb="FF0000FF"/>
        <rFont val="Noto Sans CJK SC"/>
        <family val="2"/>
      </rPr>
      <t xml:space="preserve">端補充，可撤回｜</t>
    </r>
    <r>
      <rPr>
        <sz val="10"/>
        <color rgb="FF0000FF"/>
        <rFont val="Arial"/>
        <family val="0"/>
        <charset val="1"/>
      </rPr>
      <t xml:space="preserve">OpenAI</t>
    </r>
    <r>
      <rPr>
        <sz val="10"/>
        <color rgb="FF0000FF"/>
        <rFont val="Noto Sans CJK SC"/>
        <family val="2"/>
      </rPr>
      <t xml:space="preserve">／</t>
    </r>
    <r>
      <rPr>
        <sz val="10"/>
        <color rgb="FF0000FF"/>
        <rFont val="Arial"/>
        <family val="0"/>
        <charset val="1"/>
      </rPr>
      <t xml:space="preserve">Azure </t>
    </r>
    <r>
      <rPr>
        <sz val="10"/>
        <color rgb="FF0000FF"/>
        <rFont val="Noto Sans CJK SC"/>
        <family val="2"/>
      </rPr>
      <t xml:space="preserve">的每 </t>
    </r>
    <r>
      <rPr>
        <sz val="10"/>
        <color rgb="FF0000FF"/>
        <rFont val="Arial"/>
        <family val="0"/>
        <charset val="1"/>
      </rPr>
      <t xml:space="preserve">GPU </t>
    </r>
    <r>
      <rPr>
        <sz val="10"/>
        <color rgb="FF0000FF"/>
        <rFont val="Noto Sans CJK SC"/>
        <family val="2"/>
      </rPr>
      <t xml:space="preserve">批次已搜尋未找到；</t>
    </r>
    <r>
      <rPr>
        <sz val="10"/>
        <color rgb="FF0000FF"/>
        <rFont val="Arial"/>
        <family val="0"/>
        <charset val="1"/>
      </rPr>
      <t xml:space="preserve">ChatGPT </t>
    </r>
    <r>
      <rPr>
        <sz val="10"/>
        <color rgb="FF0000FF"/>
        <rFont val="Noto Sans CJK SC"/>
        <family val="2"/>
      </rPr>
      <t xml:space="preserve">網頁版獨立量測已搜尋未找到；兩家量測商系統性相差 </t>
    </r>
    <r>
      <rPr>
        <sz val="10"/>
        <color rgb="FF0000FF"/>
        <rFont val="Arial"/>
        <family val="0"/>
        <charset val="1"/>
      </rPr>
      <t xml:space="preserve">1.5–2 </t>
    </r>
    <r>
      <rPr>
        <sz val="10"/>
        <color rgb="FF0000FF"/>
        <rFont val="Noto Sans CJK SC"/>
        <family val="2"/>
      </rPr>
      <t xml:space="preserve">倍</t>
    </r>
  </si>
  <si>
    <r>
      <rPr>
        <sz val="10"/>
        <color rgb="FF000000"/>
        <rFont val="Arial"/>
        <family val="0"/>
        <charset val="1"/>
      </rPr>
      <t xml:space="preserve">SRC_PERF_066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SRC_PERF_068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SRC_PERF_069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SRC_PERF_070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SRC_PERF_071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SRC_PERF_072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SRC_PERF_073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SRC_PERF_074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SRC_PERF_075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SRC_PERF_076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SRC_PERF_077</t>
    </r>
    <r>
      <rPr>
        <sz val="10"/>
        <color rgb="FF000000"/>
        <rFont val="Noto Sans CJK SC"/>
        <family val="2"/>
      </rPr>
      <t xml:space="preserve">；</t>
    </r>
    <r>
      <rPr>
        <sz val="10"/>
        <color rgb="FF000000"/>
        <rFont val="Arial"/>
        <family val="0"/>
        <charset val="1"/>
      </rPr>
      <t xml:space="preserve">SRC_PERF_078</t>
    </r>
  </si>
  <si>
    <r>
      <rPr>
        <sz val="10"/>
        <color rgb="FF000000"/>
        <rFont val="Arial"/>
        <family val="0"/>
        <charset val="1"/>
      </rPr>
      <t xml:space="preserve">IF_TokGW_* </t>
    </r>
    <r>
      <rPr>
        <sz val="10"/>
        <color rgb="FF000000"/>
        <rFont val="Noto Sans CJK SC"/>
        <family val="2"/>
      </rPr>
      <t xml:space="preserve">全部及其下游（</t>
    </r>
    <r>
      <rPr>
        <sz val="10"/>
        <color rgb="FF000000"/>
        <rFont val="Arial"/>
        <family val="0"/>
        <charset val="1"/>
      </rPr>
      <t xml:space="preserve">Alloc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L1_MFleet</t>
    </r>
    <r>
      <rPr>
        <sz val="10"/>
        <color rgb="FF000000"/>
        <rFont val="Noto Sans CJK SC"/>
        <family val="2"/>
      </rPr>
      <t xml:space="preserve">、</t>
    </r>
    <r>
      <rPr>
        <sz val="10"/>
        <color rgb="FF000000"/>
        <rFont val="Arial"/>
        <family val="0"/>
        <charset val="1"/>
      </rPr>
      <t xml:space="preserve">L1_ScaleServe</t>
    </r>
    <r>
      <rPr>
        <sz val="10"/>
        <color rgb="FF000000"/>
        <rFont val="Noto Sans CJK SC"/>
        <family val="2"/>
      </rPr>
      <t xml:space="preserve">、成本與營收名稱）；</t>
    </r>
    <r>
      <rPr>
        <sz val="10"/>
        <color rgb="FF000000"/>
        <rFont val="Arial"/>
        <family val="0"/>
        <charset val="1"/>
      </rPr>
      <t xml:space="preserve">Checks V </t>
    </r>
    <r>
      <rPr>
        <sz val="10"/>
        <color rgb="FF000000"/>
        <rFont val="Noto Sans CJK SC"/>
        <family val="2"/>
      </rPr>
      <t xml:space="preserve">節（</t>
    </r>
    <r>
      <rPr>
        <sz val="10"/>
        <color rgb="FF000000"/>
        <rFont val="Arial"/>
        <family val="0"/>
        <charset val="1"/>
      </rPr>
      <t xml:space="preserve">CHK_Verify*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</si>
  <si>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混合（見各 </t>
    </r>
    <r>
      <rPr>
        <sz val="10"/>
        <color rgb="FF000000"/>
        <rFont val="Arial"/>
        <family val="0"/>
        <charset val="1"/>
      </rPr>
      <t xml:space="preserve">SRC </t>
    </r>
    <r>
      <rPr>
        <sz val="10"/>
        <color rgb="FF000000"/>
        <rFont val="Noto Sans CJK SC"/>
        <family val="2"/>
      </rPr>
      <t xml:space="preserve">紀錄）</t>
    </r>
  </si>
</sst>
</file>

<file path=xl/styles.xml><?xml version="1.0" encoding="utf-8"?>
<styleSheet xmlns="http://schemas.openxmlformats.org/spreadsheetml/2006/main">
  <numFmts count="23">
    <numFmt numFmtId="164" formatCode="General"/>
    <numFmt numFmtId="165" formatCode="#,##0"/>
    <numFmt numFmtId="166" formatCode="0.0%"/>
    <numFmt numFmtId="167" formatCode="0.00"/>
    <numFmt numFmtId="168" formatCode="0"/>
    <numFmt numFmtId="169" formatCode="0.00%"/>
    <numFmt numFmtId="170" formatCode="#,##0.0"/>
    <numFmt numFmtId="171" formatCode="#,##0.000"/>
    <numFmt numFmtId="172" formatCode="#,##0.00"/>
    <numFmt numFmtId="173" formatCode="0.0000"/>
    <numFmt numFmtId="174" formatCode="0%"/>
    <numFmt numFmtId="175" formatCode="0.0"/>
    <numFmt numFmtId="176" formatCode="\$#,##0.0000"/>
    <numFmt numFmtId="177" formatCode="0.00000"/>
    <numFmt numFmtId="178" formatCode="0.000"/>
    <numFmt numFmtId="179" formatCode="#,##0.0000"/>
    <numFmt numFmtId="180" formatCode="0.0E+00"/>
    <numFmt numFmtId="181" formatCode="0.00E+00"/>
    <numFmt numFmtId="182" formatCode="0.000%"/>
    <numFmt numFmtId="183" formatCode="0.000000"/>
    <numFmt numFmtId="184" formatCode="#,##0.00000"/>
    <numFmt numFmtId="185" formatCode="General"/>
    <numFmt numFmtId="186" formatCode="0.000;\-0.000;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808080"/>
      <name val="WenQuanYi Zen Hei"/>
      <family val="2"/>
      <charset val="1"/>
    </font>
    <font>
      <b val="true"/>
      <sz val="10"/>
      <color rgb="FFFFFFFF"/>
      <name val="WenQuanYi Zen Hei"/>
      <family val="2"/>
      <charset val="1"/>
    </font>
    <font>
      <b val="true"/>
      <sz val="10"/>
      <name val="Noto Sans CJK SC"/>
      <family val="2"/>
      <charset val="1"/>
    </font>
    <font>
      <b val="true"/>
      <sz val="10"/>
      <color rgb="FF000000"/>
      <name val="WenQuanYi Zen Hei"/>
      <family val="2"/>
      <charset val="1"/>
    </font>
    <font>
      <sz val="10"/>
      <color rgb="FF80808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WenQuanYi Zen Hei"/>
      <family val="2"/>
      <charset val="1"/>
    </font>
    <font>
      <sz val="10"/>
      <color rgb="FF808080"/>
      <name val="WenQuanYi Zen Hei"/>
      <family val="2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sz val="10"/>
      <color rgb="FF008000"/>
      <name val="Arial"/>
      <family val="0"/>
      <charset val="1"/>
    </font>
    <font>
      <sz val="10"/>
      <color rgb="FF808080"/>
      <name val="Noto Sans CJK SC"/>
      <family val="2"/>
    </font>
    <font>
      <sz val="10"/>
      <color rgb="FF808080"/>
      <name val="Noto Sans CJK SC"/>
      <family val="2"/>
      <charset val="1"/>
    </font>
    <font>
      <b val="true"/>
      <sz val="10"/>
      <color rgb="FF008000"/>
      <name val="Arial"/>
      <family val="0"/>
      <charset val="1"/>
    </font>
    <font>
      <sz val="10"/>
      <color rgb="FF0000FF"/>
      <name val="Noto Sans CJK SC"/>
      <family val="2"/>
    </font>
    <font>
      <sz val="10"/>
      <color rgb="FF000000"/>
      <name val="Noto Sans CJK SC"/>
      <family val="2"/>
      <charset val="1"/>
    </font>
    <font>
      <sz val="10"/>
      <color rgb="FF008000"/>
      <name val="Noto Sans CJK SC"/>
      <family val="2"/>
    </font>
    <font>
      <sz val="11"/>
      <color theme="1"/>
      <name val="Noto Sans CJK SC"/>
      <family val="2"/>
      <charset val="1"/>
    </font>
    <font>
      <b val="true"/>
      <sz val="10"/>
      <name val="WenQuanYi Zen Hei"/>
      <family val="2"/>
      <charset val="1"/>
    </font>
    <font>
      <sz val="10"/>
      <color rgb="FF008000"/>
      <name val="WenQuanYi Zen Hei"/>
      <family val="2"/>
      <charset val="1"/>
    </font>
    <font>
      <sz val="10"/>
      <color rgb="FF008000"/>
      <name val="Noto Sans CJK SC"/>
      <family val="2"/>
      <charset val="1"/>
    </font>
    <font>
      <sz val="9"/>
      <color rgb="FF595959"/>
      <name val="WenQuanYi Zen Hei"/>
      <family val="2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WenQuanYi Zen Hei"/>
      <family val="2"/>
      <charset val="1"/>
    </font>
    <font>
      <sz val="10"/>
      <color rgb="FF0000FF"/>
      <name val="Noto Sans CJK SC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5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1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5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3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5" fontId="2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8" fontId="22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2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0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4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20"/>
  </cols>
  <sheetData>
    <row r="1" customFormat="false" ht="19.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4" t="s">
        <v>4</v>
      </c>
      <c r="B5" s="6" t="s">
        <v>5</v>
      </c>
    </row>
    <row r="6" customFormat="false" ht="15" hidden="false" customHeight="true" outlineLevel="0" collapsed="false">
      <c r="A6" s="4" t="s">
        <v>6</v>
      </c>
      <c r="B6" s="6" t="s">
        <v>7</v>
      </c>
    </row>
    <row r="7" customFormat="false" ht="29.25" hidden="false" customHeight="true" outlineLevel="0" collapsed="false">
      <c r="A7" s="4" t="s">
        <v>8</v>
      </c>
      <c r="B7" s="6" t="s">
        <v>9</v>
      </c>
    </row>
    <row r="8" customFormat="false" ht="15" hidden="false" customHeight="true" outlineLevel="0" collapsed="false">
      <c r="A8" s="7" t="s">
        <v>10</v>
      </c>
      <c r="B8" s="6" t="s">
        <v>11</v>
      </c>
    </row>
    <row r="9" customFormat="false" ht="15" hidden="false" customHeight="true" outlineLevel="0" collapsed="false">
      <c r="A9" s="4" t="s">
        <v>12</v>
      </c>
      <c r="B9" s="6" t="s">
        <v>13</v>
      </c>
    </row>
    <row r="10" customFormat="false" ht="15" hidden="false" customHeight="true" outlineLevel="0" collapsed="false">
      <c r="A10" s="7" t="s">
        <v>14</v>
      </c>
      <c r="B10" s="5" t="s">
        <v>15</v>
      </c>
    </row>
    <row r="11" customFormat="false" ht="15" hidden="false" customHeight="true" outlineLevel="0" collapsed="false">
      <c r="A11" s="7" t="s">
        <v>16</v>
      </c>
      <c r="B11" s="5" t="s">
        <v>17</v>
      </c>
    </row>
    <row r="12" customFormat="false" ht="15" hidden="false" customHeight="true" outlineLevel="0" collapsed="false">
      <c r="A12" s="7" t="s">
        <v>18</v>
      </c>
      <c r="B12" s="6" t="s">
        <v>19</v>
      </c>
    </row>
    <row r="13" customFormat="false" ht="29.25" hidden="false" customHeight="true" outlineLevel="0" collapsed="false">
      <c r="A13" s="7" t="s">
        <v>20</v>
      </c>
      <c r="B13" s="5" t="s">
        <v>21</v>
      </c>
    </row>
    <row r="14" customFormat="false" ht="43.5" hidden="false" customHeight="true" outlineLevel="0" collapsed="false">
      <c r="A14" s="8" t="s">
        <v>22</v>
      </c>
      <c r="B14" s="5" t="s">
        <v>23</v>
      </c>
    </row>
    <row r="15" customFormat="false" ht="43.5" hidden="false" customHeight="true" outlineLevel="0" collapsed="false">
      <c r="A15" s="8" t="s">
        <v>24</v>
      </c>
      <c r="B15" s="5" t="s">
        <v>25</v>
      </c>
    </row>
    <row r="16" customFormat="false" ht="43.5" hidden="false" customHeight="true" outlineLevel="0" collapsed="false">
      <c r="A16" s="8" t="s">
        <v>26</v>
      </c>
      <c r="B16" s="6" t="s">
        <v>27</v>
      </c>
    </row>
    <row r="17" customFormat="false" ht="15" hidden="false" customHeight="true" outlineLevel="0" collapsed="false">
      <c r="A17" s="9" t="s">
        <v>28</v>
      </c>
      <c r="B17" s="5" t="s">
        <v>29</v>
      </c>
    </row>
    <row r="18" customFormat="false" ht="29.25" hidden="false" customHeight="true" outlineLevel="0" collapsed="false">
      <c r="A18" s="9" t="s">
        <v>30</v>
      </c>
      <c r="B18" s="6" t="s">
        <v>31</v>
      </c>
    </row>
    <row r="19" customFormat="false" ht="72" hidden="false" customHeight="true" outlineLevel="0" collapsed="false">
      <c r="A19" s="9" t="s">
        <v>32</v>
      </c>
      <c r="B19" s="5" t="s">
        <v>33</v>
      </c>
    </row>
    <row r="20" customFormat="false" ht="29.25" hidden="false" customHeight="true" outlineLevel="0" collapsed="false">
      <c r="A20" s="9" t="s">
        <v>34</v>
      </c>
      <c r="B20" s="6" t="s">
        <v>35</v>
      </c>
    </row>
    <row r="21" customFormat="false" ht="72" hidden="false" customHeight="true" outlineLevel="0" collapsed="false">
      <c r="A21" s="9" t="s">
        <v>36</v>
      </c>
      <c r="B21" s="5" t="s">
        <v>37</v>
      </c>
    </row>
    <row r="22" customFormat="false" ht="29.25" hidden="false" customHeight="true" outlineLevel="0" collapsed="false">
      <c r="A22" s="9" t="s">
        <v>38</v>
      </c>
      <c r="B22" s="6" t="s">
        <v>39</v>
      </c>
    </row>
    <row r="23" customFormat="false" ht="100.5" hidden="false" customHeight="true" outlineLevel="0" collapsed="false">
      <c r="A23" s="8" t="s">
        <v>40</v>
      </c>
      <c r="B23" s="5" t="s">
        <v>41</v>
      </c>
    </row>
    <row r="24" customFormat="false" ht="29.25" hidden="false" customHeight="true" outlineLevel="0" collapsed="false">
      <c r="A24" s="8" t="s">
        <v>42</v>
      </c>
      <c r="B24" s="6" t="s">
        <v>43</v>
      </c>
    </row>
    <row r="25" customFormat="false" ht="114.75" hidden="false" customHeight="true" outlineLevel="0" collapsed="false">
      <c r="A25" s="8" t="s">
        <v>44</v>
      </c>
      <c r="B25" s="6" t="s">
        <v>45</v>
      </c>
    </row>
    <row r="26" customFormat="false" ht="29.25" hidden="false" customHeight="true" outlineLevel="0" collapsed="false">
      <c r="A26" s="8" t="s">
        <v>46</v>
      </c>
      <c r="B26" s="6" t="s">
        <v>47</v>
      </c>
    </row>
    <row r="27" customFormat="false" ht="114.75" hidden="false" customHeight="true" outlineLevel="0" collapsed="false">
      <c r="A27" s="9" t="s">
        <v>48</v>
      </c>
      <c r="B27" s="6" t="s">
        <v>49</v>
      </c>
    </row>
    <row r="28" customFormat="false" ht="77.25" hidden="false" customHeight="true" outlineLevel="0" collapsed="false">
      <c r="A28" s="9" t="s">
        <v>50</v>
      </c>
      <c r="B28" s="6" t="s">
        <v>51</v>
      </c>
    </row>
    <row r="29" customFormat="false" ht="39" hidden="false" customHeight="true" outlineLevel="0" collapsed="false">
      <c r="A29" s="9" t="s">
        <v>52</v>
      </c>
      <c r="B29" s="6" t="s">
        <v>53</v>
      </c>
    </row>
    <row r="30" customFormat="false" ht="26.25" hidden="false" customHeight="true" outlineLevel="0" collapsed="false">
      <c r="A30" s="8" t="s">
        <v>54</v>
      </c>
      <c r="B30" s="6" t="s">
        <v>55</v>
      </c>
    </row>
    <row r="31" customFormat="false" ht="72" hidden="false" customHeight="true" outlineLevel="0" collapsed="false">
      <c r="A31" s="8" t="s">
        <v>56</v>
      </c>
      <c r="B31" s="5" t="s">
        <v>57</v>
      </c>
    </row>
    <row r="32" customFormat="false" ht="100.5" hidden="false" customHeight="true" outlineLevel="0" collapsed="false">
      <c r="A32" s="9" t="s">
        <v>58</v>
      </c>
      <c r="B32" s="6" t="s">
        <v>59</v>
      </c>
    </row>
    <row r="33" customFormat="false" ht="86.25" hidden="false" customHeight="true" outlineLevel="0" collapsed="false">
      <c r="A33" s="8" t="s">
        <v>60</v>
      </c>
      <c r="B33" s="5" t="s">
        <v>61</v>
      </c>
    </row>
    <row r="34" customFormat="false" ht="100.5" hidden="false" customHeight="true" outlineLevel="0" collapsed="false">
      <c r="A34" s="9" t="s">
        <v>62</v>
      </c>
      <c r="B34" s="6" t="s">
        <v>63</v>
      </c>
    </row>
    <row r="35" customFormat="false" ht="86.25" hidden="false" customHeight="true" outlineLevel="0" collapsed="false">
      <c r="A35" s="9" t="s">
        <v>64</v>
      </c>
      <c r="B35" s="6" t="s">
        <v>65</v>
      </c>
    </row>
    <row r="36" customFormat="false" ht="100.5" hidden="false" customHeight="true" outlineLevel="0" collapsed="false">
      <c r="A36" s="9" t="s">
        <v>66</v>
      </c>
      <c r="B36" s="6" t="s">
        <v>67</v>
      </c>
    </row>
    <row r="37" customFormat="false" ht="100.5" hidden="false" customHeight="true" outlineLevel="0" collapsed="false">
      <c r="A37" s="9" t="s">
        <v>68</v>
      </c>
      <c r="B37" s="6" t="s">
        <v>69</v>
      </c>
    </row>
    <row r="38" customFormat="false" ht="100.5" hidden="false" customHeight="true" outlineLevel="0" collapsed="false">
      <c r="A38" s="8" t="s">
        <v>70</v>
      </c>
      <c r="B38" s="5" t="s">
        <v>71</v>
      </c>
    </row>
    <row r="39" customFormat="false" ht="100.5" hidden="false" customHeight="true" outlineLevel="0" collapsed="false">
      <c r="A39" s="9" t="s">
        <v>72</v>
      </c>
      <c r="B39" s="5" t="s">
        <v>73</v>
      </c>
    </row>
    <row r="40" customFormat="false" ht="100.5" hidden="false" customHeight="true" outlineLevel="0" collapsed="false">
      <c r="A40" s="9" t="s">
        <v>74</v>
      </c>
      <c r="B40" s="5" t="s">
        <v>75</v>
      </c>
    </row>
    <row r="41" customFormat="false" ht="100.5" hidden="false" customHeight="true" outlineLevel="0" collapsed="false">
      <c r="A41" s="9" t="s">
        <v>76</v>
      </c>
      <c r="B41" s="5" t="s">
        <v>77</v>
      </c>
    </row>
    <row r="42" customFormat="false" ht="100.5" hidden="false" customHeight="true" outlineLevel="0" collapsed="false">
      <c r="A42" s="9" t="s">
        <v>78</v>
      </c>
      <c r="B42" s="5" t="s">
        <v>79</v>
      </c>
    </row>
    <row r="43" customFormat="false" ht="100.5" hidden="false" customHeight="true" outlineLevel="0" collapsed="false">
      <c r="A43" s="8" t="s">
        <v>80</v>
      </c>
      <c r="B43" s="5" t="s">
        <v>81</v>
      </c>
    </row>
    <row r="44" customFormat="false" ht="100.5" hidden="false" customHeight="true" outlineLevel="0" collapsed="false">
      <c r="A44" s="8" t="s">
        <v>82</v>
      </c>
      <c r="B44" s="6" t="s">
        <v>83</v>
      </c>
    </row>
    <row r="45" customFormat="false" ht="29.25" hidden="false" customHeight="true" outlineLevel="0" collapsed="false">
      <c r="A45" s="8" t="s">
        <v>84</v>
      </c>
      <c r="B45" s="5" t="s">
        <v>85</v>
      </c>
    </row>
    <row r="46" customFormat="false" ht="29.25" hidden="false" customHeight="true" outlineLevel="0" collapsed="false">
      <c r="A46" s="8" t="s">
        <v>86</v>
      </c>
      <c r="B46" s="5" t="s">
        <v>87</v>
      </c>
    </row>
    <row r="47" customFormat="false" ht="29.25" hidden="false" customHeight="true" outlineLevel="0" collapsed="false">
      <c r="A47" s="9" t="s">
        <v>88</v>
      </c>
      <c r="B47" s="5" t="s">
        <v>89</v>
      </c>
    </row>
    <row r="48" customFormat="false" ht="29.85" hidden="false" customHeight="false" outlineLevel="0" collapsed="false">
      <c r="A48" s="10" t="s">
        <v>90</v>
      </c>
      <c r="B48" s="6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4"/>
    <col collapsed="false" customWidth="true" hidden="false" outlineLevel="0" max="3" min="3" style="1" width="2"/>
    <col collapsed="false" customWidth="true" hidden="false" outlineLevel="0" max="6" min="4" style="1" width="11"/>
    <col collapsed="false" customWidth="true" hidden="false" outlineLevel="0" max="7" min="7" style="1" width="1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92</v>
      </c>
    </row>
    <row r="2" customFormat="false" ht="15" hidden="false" customHeight="true" outlineLevel="0" collapsed="false">
      <c r="A2" s="11" t="s">
        <v>93</v>
      </c>
    </row>
    <row r="3" customFormat="false" ht="15" hidden="false" customHeight="true" outlineLevel="0" collapsed="false">
      <c r="A3" s="12" t="s">
        <v>94</v>
      </c>
      <c r="B3" s="12" t="s">
        <v>95</v>
      </c>
      <c r="C3" s="12"/>
      <c r="D3" s="12" t="s">
        <v>96</v>
      </c>
      <c r="E3" s="12" t="s">
        <v>97</v>
      </c>
      <c r="F3" s="12" t="s">
        <v>98</v>
      </c>
      <c r="G3" s="12" t="s">
        <v>99</v>
      </c>
      <c r="H3" s="12" t="s">
        <v>100</v>
      </c>
      <c r="I3" s="13" t="s">
        <v>2</v>
      </c>
    </row>
    <row r="4" customFormat="false" ht="15" hidden="false" customHeight="true" outlineLevel="0" collapsed="false">
      <c r="A4" s="14" t="s">
        <v>101</v>
      </c>
      <c r="B4" s="15"/>
      <c r="C4" s="15"/>
      <c r="D4" s="15"/>
      <c r="E4" s="15"/>
      <c r="F4" s="15"/>
      <c r="G4" s="15"/>
      <c r="H4" s="15"/>
    </row>
    <row r="5" customFormat="false" ht="15" hidden="false" customHeight="true" outlineLevel="0" collapsed="false">
      <c r="A5" s="16" t="s">
        <v>102</v>
      </c>
      <c r="B5" s="17" t="s">
        <v>103</v>
      </c>
      <c r="D5" s="18" t="n">
        <f aca="false">E5</f>
        <v>1</v>
      </c>
      <c r="E5" s="19" t="n">
        <v>1</v>
      </c>
      <c r="F5" s="18" t="n">
        <f aca="false">E5</f>
        <v>1</v>
      </c>
      <c r="G5" s="17" t="s">
        <v>104</v>
      </c>
      <c r="H5" s="20" t="s">
        <v>105</v>
      </c>
      <c r="I5" s="21" t="s">
        <v>106</v>
      </c>
    </row>
    <row r="6" customFormat="false" ht="15" hidden="false" customHeight="true" outlineLevel="0" collapsed="false">
      <c r="A6" s="22" t="s">
        <v>107</v>
      </c>
      <c r="B6" s="23" t="s">
        <v>108</v>
      </c>
      <c r="D6" s="18" t="n">
        <f aca="false">E6</f>
        <v>2</v>
      </c>
      <c r="E6" s="19" t="n">
        <v>2</v>
      </c>
      <c r="F6" s="18" t="n">
        <f aca="false">E6</f>
        <v>2</v>
      </c>
      <c r="G6" s="17" t="s">
        <v>104</v>
      </c>
      <c r="H6" s="20" t="s">
        <v>109</v>
      </c>
      <c r="I6" s="21" t="s">
        <v>110</v>
      </c>
    </row>
    <row r="7" customFormat="false" ht="15" hidden="false" customHeight="true" outlineLevel="0" collapsed="false">
      <c r="A7" s="14" t="s">
        <v>111</v>
      </c>
      <c r="B7" s="15"/>
      <c r="C7" s="15"/>
      <c r="D7" s="15"/>
      <c r="E7" s="15"/>
      <c r="F7" s="15"/>
      <c r="G7" s="15"/>
      <c r="H7" s="15"/>
    </row>
    <row r="8" customFormat="false" ht="15" hidden="false" customHeight="true" outlineLevel="0" collapsed="false">
      <c r="A8" s="22" t="s">
        <v>112</v>
      </c>
      <c r="B8" s="17" t="s">
        <v>113</v>
      </c>
      <c r="D8" s="24" t="n">
        <f aca="false">E8</f>
        <v>0.08</v>
      </c>
      <c r="E8" s="25" t="n">
        <v>0.08</v>
      </c>
      <c r="F8" s="24" t="n">
        <f aca="false">E8</f>
        <v>0.08</v>
      </c>
      <c r="G8" s="17" t="s">
        <v>114</v>
      </c>
      <c r="H8" s="20" t="s">
        <v>115</v>
      </c>
      <c r="I8" s="21" t="s">
        <v>116</v>
      </c>
    </row>
    <row r="9" customFormat="false" ht="15" hidden="false" customHeight="true" outlineLevel="0" collapsed="false">
      <c r="A9" s="16" t="s">
        <v>117</v>
      </c>
      <c r="B9" s="17" t="s">
        <v>118</v>
      </c>
      <c r="D9" s="26" t="n">
        <v>1.1</v>
      </c>
      <c r="E9" s="26" t="n">
        <v>1.2</v>
      </c>
      <c r="F9" s="26" t="n">
        <v>1.3</v>
      </c>
      <c r="G9" s="17" t="s">
        <v>119</v>
      </c>
      <c r="H9" s="20" t="s">
        <v>120</v>
      </c>
    </row>
    <row r="10" customFormat="false" ht="15" hidden="false" customHeight="true" outlineLevel="0" collapsed="false">
      <c r="A10" s="22" t="s">
        <v>121</v>
      </c>
      <c r="B10" s="17" t="s">
        <v>113</v>
      </c>
      <c r="D10" s="25" t="n">
        <v>0.7</v>
      </c>
      <c r="E10" s="25" t="n">
        <v>0.8</v>
      </c>
      <c r="F10" s="25" t="n">
        <v>0.9</v>
      </c>
      <c r="G10" s="17" t="s">
        <v>114</v>
      </c>
      <c r="H10" s="6" t="s">
        <v>122</v>
      </c>
    </row>
    <row r="11" customFormat="false" ht="15" hidden="false" customHeight="true" outlineLevel="0" collapsed="false">
      <c r="A11" s="22" t="s">
        <v>123</v>
      </c>
      <c r="B11" s="17" t="s">
        <v>124</v>
      </c>
      <c r="D11" s="26" t="n">
        <v>0.06</v>
      </c>
      <c r="E11" s="26" t="n">
        <v>0.08</v>
      </c>
      <c r="F11" s="26" t="n">
        <v>0.1</v>
      </c>
      <c r="G11" s="17" t="s">
        <v>125</v>
      </c>
      <c r="H11" s="6" t="s">
        <v>126</v>
      </c>
    </row>
    <row r="12" customFormat="false" ht="15" hidden="false" customHeight="true" outlineLevel="0" collapsed="false">
      <c r="A12" s="27" t="s">
        <v>127</v>
      </c>
      <c r="B12" s="15"/>
      <c r="C12" s="15"/>
      <c r="D12" s="15"/>
      <c r="E12" s="15"/>
      <c r="F12" s="15"/>
      <c r="G12" s="15"/>
      <c r="H12" s="15"/>
    </row>
    <row r="13" customFormat="false" ht="26.25" hidden="false" customHeight="true" outlineLevel="0" collapsed="false">
      <c r="A13" s="16" t="s">
        <v>128</v>
      </c>
      <c r="B13" s="17" t="s">
        <v>113</v>
      </c>
      <c r="D13" s="25" t="n">
        <v>0.05</v>
      </c>
      <c r="E13" s="25" t="n">
        <v>0.1</v>
      </c>
      <c r="F13" s="28" t="n">
        <f aca="false">SRC_DC_002</f>
        <v>0.15</v>
      </c>
      <c r="G13" s="17" t="s">
        <v>119</v>
      </c>
      <c r="H13" s="6" t="s">
        <v>129</v>
      </c>
    </row>
    <row r="14" customFormat="false" ht="15" hidden="false" customHeight="true" outlineLevel="0" collapsed="false">
      <c r="A14" s="22" t="s">
        <v>130</v>
      </c>
      <c r="B14" s="17" t="s">
        <v>131</v>
      </c>
      <c r="D14" s="19" t="n">
        <v>300</v>
      </c>
      <c r="E14" s="19" t="n">
        <v>500</v>
      </c>
      <c r="F14" s="19" t="n">
        <v>800</v>
      </c>
      <c r="G14" s="17" t="s">
        <v>114</v>
      </c>
      <c r="H14" s="6" t="s">
        <v>132</v>
      </c>
    </row>
    <row r="15" customFormat="false" ht="15" hidden="false" customHeight="true" outlineLevel="0" collapsed="false">
      <c r="A15" s="14" t="s">
        <v>133</v>
      </c>
      <c r="B15" s="15"/>
      <c r="C15" s="15"/>
      <c r="D15" s="15"/>
      <c r="E15" s="15"/>
      <c r="F15" s="15"/>
      <c r="G15" s="15"/>
      <c r="H15" s="15"/>
    </row>
    <row r="16" customFormat="false" ht="15" hidden="false" customHeight="true" outlineLevel="0" collapsed="false">
      <c r="A16" s="22" t="s">
        <v>134</v>
      </c>
      <c r="B16" s="17" t="s">
        <v>135</v>
      </c>
      <c r="D16" s="26" t="n">
        <v>0.02</v>
      </c>
      <c r="E16" s="26" t="n">
        <v>0.02</v>
      </c>
      <c r="F16" s="26" t="n">
        <v>0.02</v>
      </c>
      <c r="G16" s="17" t="s">
        <v>114</v>
      </c>
      <c r="H16" s="6" t="s">
        <v>136</v>
      </c>
    </row>
    <row r="17" customFormat="false" ht="15" hidden="false" customHeight="true" outlineLevel="0" collapsed="false">
      <c r="A17" s="22" t="s">
        <v>137</v>
      </c>
      <c r="B17" s="17" t="s">
        <v>135</v>
      </c>
      <c r="D17" s="26" t="n">
        <v>3</v>
      </c>
      <c r="E17" s="26" t="n">
        <v>3.6</v>
      </c>
      <c r="F17" s="26" t="n">
        <v>4.5</v>
      </c>
      <c r="G17" s="17" t="s">
        <v>114</v>
      </c>
      <c r="H17" s="20" t="s">
        <v>138</v>
      </c>
    </row>
    <row r="18" customFormat="false" ht="15" hidden="false" customHeight="true" outlineLevel="0" collapsed="false">
      <c r="A18" s="22" t="s">
        <v>139</v>
      </c>
      <c r="B18" s="17" t="s">
        <v>135</v>
      </c>
      <c r="D18" s="26" t="n">
        <v>3.8</v>
      </c>
      <c r="E18" s="26" t="n">
        <v>4.5</v>
      </c>
      <c r="F18" s="26" t="n">
        <v>5.5</v>
      </c>
      <c r="G18" s="17" t="s">
        <v>114</v>
      </c>
      <c r="H18" s="20" t="s">
        <v>140</v>
      </c>
    </row>
    <row r="19" customFormat="false" ht="15" hidden="false" customHeight="true" outlineLevel="0" collapsed="false">
      <c r="A19" s="22" t="s">
        <v>141</v>
      </c>
      <c r="B19" s="17" t="s">
        <v>135</v>
      </c>
      <c r="D19" s="26" t="n">
        <v>2</v>
      </c>
      <c r="E19" s="26" t="n">
        <v>2.5</v>
      </c>
      <c r="F19" s="26" t="n">
        <v>3.2</v>
      </c>
      <c r="G19" s="17" t="s">
        <v>114</v>
      </c>
      <c r="H19" s="20" t="s">
        <v>142</v>
      </c>
    </row>
    <row r="20" customFormat="false" ht="15" hidden="false" customHeight="true" outlineLevel="0" collapsed="false">
      <c r="A20" s="22" t="s">
        <v>143</v>
      </c>
      <c r="B20" s="17" t="s">
        <v>135</v>
      </c>
      <c r="D20" s="26" t="n">
        <v>0.3</v>
      </c>
      <c r="E20" s="26" t="n">
        <v>0.4</v>
      </c>
      <c r="F20" s="26" t="n">
        <v>0.5</v>
      </c>
      <c r="G20" s="17" t="s">
        <v>114</v>
      </c>
      <c r="H20" s="20" t="s">
        <v>140</v>
      </c>
    </row>
    <row r="21" customFormat="false" ht="15" hidden="false" customHeight="true" outlineLevel="0" collapsed="false">
      <c r="A21" s="22" t="s">
        <v>144</v>
      </c>
      <c r="B21" s="17" t="s">
        <v>145</v>
      </c>
      <c r="D21" s="25" t="n">
        <v>0.12</v>
      </c>
      <c r="E21" s="25" t="n">
        <v>0.15</v>
      </c>
      <c r="F21" s="25" t="n">
        <v>0.18</v>
      </c>
      <c r="G21" s="17" t="s">
        <v>114</v>
      </c>
      <c r="H21" s="6" t="s">
        <v>146</v>
      </c>
    </row>
    <row r="22" customFormat="false" ht="15" hidden="false" customHeight="true" outlineLevel="0" collapsed="false">
      <c r="A22" s="14" t="s">
        <v>147</v>
      </c>
      <c r="B22" s="15"/>
      <c r="C22" s="15"/>
      <c r="D22" s="15"/>
      <c r="E22" s="15"/>
      <c r="F22" s="15"/>
      <c r="G22" s="15"/>
      <c r="H22" s="15"/>
    </row>
    <row r="23" customFormat="false" ht="29.25" hidden="false" customHeight="true" outlineLevel="0" collapsed="false">
      <c r="A23" s="16" t="s">
        <v>148</v>
      </c>
      <c r="B23" s="23" t="s">
        <v>149</v>
      </c>
      <c r="D23" s="29" t="n">
        <f aca="false">SRC_DC_007</f>
        <v>6</v>
      </c>
      <c r="E23" s="29" t="n">
        <f aca="false">SRC_DC_007</f>
        <v>6</v>
      </c>
      <c r="F23" s="29" t="n">
        <f aca="false">SRC_DC_008</f>
        <v>4</v>
      </c>
      <c r="G23" s="17" t="s">
        <v>150</v>
      </c>
      <c r="H23" s="6" t="s">
        <v>151</v>
      </c>
    </row>
    <row r="24" customFormat="false" ht="15" hidden="false" customHeight="true" outlineLevel="0" collapsed="false">
      <c r="A24" s="22" t="s">
        <v>152</v>
      </c>
      <c r="B24" s="23" t="s">
        <v>149</v>
      </c>
      <c r="D24" s="18" t="n">
        <f aca="false">E24</f>
        <v>30</v>
      </c>
      <c r="E24" s="19" t="n">
        <v>30</v>
      </c>
      <c r="F24" s="18" t="n">
        <f aca="false">E24</f>
        <v>30</v>
      </c>
      <c r="G24" s="17" t="s">
        <v>119</v>
      </c>
      <c r="H24" s="6" t="s">
        <v>153</v>
      </c>
    </row>
    <row r="25" customFormat="false" ht="15" hidden="false" customHeight="true" outlineLevel="0" collapsed="false">
      <c r="A25" s="22" t="s">
        <v>154</v>
      </c>
      <c r="B25" s="23" t="s">
        <v>149</v>
      </c>
      <c r="D25" s="18" t="n">
        <f aca="false">E25</f>
        <v>20</v>
      </c>
      <c r="E25" s="19" t="n">
        <v>20</v>
      </c>
      <c r="F25" s="18" t="n">
        <f aca="false">E25</f>
        <v>20</v>
      </c>
      <c r="G25" s="17" t="s">
        <v>119</v>
      </c>
      <c r="H25" s="6" t="s">
        <v>153</v>
      </c>
    </row>
    <row r="26" customFormat="false" ht="15" hidden="false" customHeight="true" outlineLevel="0" collapsed="false">
      <c r="A26" s="22" t="s">
        <v>155</v>
      </c>
      <c r="B26" s="23" t="s">
        <v>149</v>
      </c>
      <c r="D26" s="18" t="n">
        <f aca="false">E26</f>
        <v>15</v>
      </c>
      <c r="E26" s="19" t="n">
        <v>15</v>
      </c>
      <c r="F26" s="18" t="n">
        <f aca="false">E26</f>
        <v>15</v>
      </c>
      <c r="G26" s="17" t="s">
        <v>119</v>
      </c>
      <c r="H26" s="6" t="s">
        <v>153</v>
      </c>
    </row>
    <row r="27" customFormat="false" ht="15" hidden="false" customHeight="true" outlineLevel="0" collapsed="false">
      <c r="A27" s="22" t="s">
        <v>156</v>
      </c>
      <c r="B27" s="23" t="s">
        <v>149</v>
      </c>
      <c r="D27" s="18" t="n">
        <f aca="false">E27</f>
        <v>10</v>
      </c>
      <c r="E27" s="19" t="n">
        <v>10</v>
      </c>
      <c r="F27" s="18" t="n">
        <f aca="false">E27</f>
        <v>10</v>
      </c>
      <c r="G27" s="17" t="s">
        <v>119</v>
      </c>
      <c r="H27" s="6" t="s">
        <v>153</v>
      </c>
    </row>
    <row r="28" customFormat="false" ht="15" hidden="false" customHeight="true" outlineLevel="0" collapsed="false">
      <c r="A28" s="16" t="s">
        <v>157</v>
      </c>
      <c r="B28" s="17" t="s">
        <v>113</v>
      </c>
      <c r="D28" s="25" t="n">
        <v>0.08</v>
      </c>
      <c r="E28" s="25" t="n">
        <v>0.1</v>
      </c>
      <c r="F28" s="25" t="n">
        <v>0.13</v>
      </c>
      <c r="G28" s="17" t="s">
        <v>114</v>
      </c>
      <c r="H28" s="20" t="s">
        <v>158</v>
      </c>
    </row>
    <row r="29" customFormat="false" ht="15" hidden="false" customHeight="true" outlineLevel="0" collapsed="false">
      <c r="A29" s="14" t="s">
        <v>159</v>
      </c>
      <c r="B29" s="15"/>
      <c r="C29" s="15"/>
      <c r="D29" s="15"/>
      <c r="E29" s="15"/>
      <c r="F29" s="15"/>
      <c r="G29" s="15"/>
      <c r="H29" s="15"/>
    </row>
    <row r="30" customFormat="false" ht="15" hidden="false" customHeight="true" outlineLevel="0" collapsed="false">
      <c r="A30" s="16" t="s">
        <v>160</v>
      </c>
      <c r="B30" s="17" t="s">
        <v>161</v>
      </c>
      <c r="D30" s="24" t="n">
        <f aca="false">IF(D28=0,(D37*MIN(D36,D23)+D38*(D23-MIN(D36,D23)))/D23,(D37*(1-(1+D28)^(-MIN(D36,D23)))+D38*((1+D28)^(-MIN(D36,D23))-(1+D28)^(-D23)))/(1-(1+D28)^(-D23)))</f>
        <v>0.0102443497224425</v>
      </c>
      <c r="E30" s="24" t="n">
        <f aca="false">IF(E28=0,(E37*MIN(E36,E23)+E38*(E23-MIN(E36,E23)))/E23,(E37*(1-(1+E28)^(-MIN(E36,E23)))+E38*((1+E28)^(-MIN(E36,E23))-(1+E28)^(-E23)))/(1-(1+E28)^(-E23)))</f>
        <v>0.0157250107250107</v>
      </c>
      <c r="F30" s="24" t="n">
        <f aca="false">IF(F28=0,(F37*MIN(F36,F23)+F38*(F23-MIN(F36,F23)))/F23,(F37*(1-(1+F28)^(-MIN(F36,F23)))+F38*((1+F28)^(-MIN(F36,F23))-(1+F28)^(-F23)))/(1-(1+F28)^(-F23)))</f>
        <v>0.0182477678962645</v>
      </c>
      <c r="G30" s="17" t="s">
        <v>162</v>
      </c>
      <c r="H30" s="6" t="s">
        <v>163</v>
      </c>
    </row>
    <row r="31" customFormat="false" ht="15" hidden="false" customHeight="true" outlineLevel="0" collapsed="false">
      <c r="A31" s="22" t="s">
        <v>164</v>
      </c>
      <c r="B31" s="17" t="s">
        <v>165</v>
      </c>
      <c r="D31" s="25" t="n">
        <v>0.015</v>
      </c>
      <c r="E31" s="25" t="n">
        <v>0.02</v>
      </c>
      <c r="F31" s="25" t="n">
        <v>0.025</v>
      </c>
      <c r="G31" s="17" t="s">
        <v>119</v>
      </c>
      <c r="H31" s="6" t="s">
        <v>166</v>
      </c>
    </row>
    <row r="32" customFormat="false" ht="15" hidden="false" customHeight="true" outlineLevel="0" collapsed="false">
      <c r="A32" s="22" t="s">
        <v>167</v>
      </c>
      <c r="B32" s="17" t="s">
        <v>168</v>
      </c>
      <c r="D32" s="19" t="n">
        <v>50</v>
      </c>
      <c r="E32" s="19" t="n">
        <v>75</v>
      </c>
      <c r="F32" s="19" t="n">
        <v>100</v>
      </c>
      <c r="G32" s="17" t="s">
        <v>114</v>
      </c>
      <c r="H32" s="6" t="s">
        <v>169</v>
      </c>
    </row>
    <row r="33" customFormat="false" ht="15" hidden="false" customHeight="true" outlineLevel="0" collapsed="false">
      <c r="A33" s="22" t="s">
        <v>170</v>
      </c>
      <c r="B33" s="17" t="s">
        <v>168</v>
      </c>
      <c r="D33" s="19" t="n">
        <v>150</v>
      </c>
      <c r="E33" s="19" t="n">
        <v>200</v>
      </c>
      <c r="F33" s="19" t="n">
        <v>250</v>
      </c>
      <c r="G33" s="17" t="s">
        <v>114</v>
      </c>
      <c r="H33" s="6" t="s">
        <v>171</v>
      </c>
    </row>
    <row r="34" customFormat="false" ht="15" hidden="false" customHeight="true" outlineLevel="0" collapsed="false">
      <c r="A34" s="22" t="s">
        <v>172</v>
      </c>
      <c r="B34" s="17" t="s">
        <v>173</v>
      </c>
      <c r="D34" s="26" t="n">
        <v>0.04</v>
      </c>
      <c r="E34" s="26" t="n">
        <v>0.05</v>
      </c>
      <c r="F34" s="26" t="n">
        <v>0.06</v>
      </c>
      <c r="G34" s="17" t="s">
        <v>114</v>
      </c>
      <c r="H34" s="6" t="s">
        <v>174</v>
      </c>
    </row>
    <row r="35" customFormat="false" ht="15" hidden="false" customHeight="true" outlineLevel="0" collapsed="false">
      <c r="A35" s="22" t="s">
        <v>175</v>
      </c>
      <c r="B35" s="17" t="s">
        <v>176</v>
      </c>
      <c r="D35" s="25" t="n">
        <v>0.003</v>
      </c>
      <c r="E35" s="25" t="n">
        <v>0.005</v>
      </c>
      <c r="F35" s="25" t="n">
        <v>0.008</v>
      </c>
      <c r="G35" s="17" t="s">
        <v>119</v>
      </c>
      <c r="H35" s="6" t="s">
        <v>177</v>
      </c>
    </row>
    <row r="36" customFormat="false" ht="15" hidden="false" customHeight="true" outlineLevel="0" collapsed="false">
      <c r="A36" s="30" t="s">
        <v>178</v>
      </c>
      <c r="B36" s="31" t="s">
        <v>149</v>
      </c>
      <c r="D36" s="32" t="n">
        <f aca="false">E36</f>
        <v>3</v>
      </c>
      <c r="E36" s="33" t="n">
        <f aca="false">SRC_DC_015</f>
        <v>3</v>
      </c>
      <c r="F36" s="32" t="n">
        <f aca="false">E36</f>
        <v>3</v>
      </c>
      <c r="G36" s="34" t="s">
        <v>150</v>
      </c>
      <c r="H36" s="30" t="s">
        <v>179</v>
      </c>
    </row>
    <row r="37" customFormat="false" ht="15" hidden="false" customHeight="true" outlineLevel="0" collapsed="false">
      <c r="A37" s="30" t="s">
        <v>180</v>
      </c>
      <c r="B37" s="34" t="s">
        <v>161</v>
      </c>
      <c r="D37" s="35" t="n">
        <v>0.0025</v>
      </c>
      <c r="E37" s="35" t="n">
        <v>0.005</v>
      </c>
      <c r="F37" s="35" t="n">
        <v>0.01</v>
      </c>
      <c r="G37" s="34" t="s">
        <v>119</v>
      </c>
      <c r="H37" s="30" t="s">
        <v>181</v>
      </c>
    </row>
    <row r="38" customFormat="false" ht="15" hidden="false" customHeight="true" outlineLevel="0" collapsed="false">
      <c r="A38" s="30" t="s">
        <v>182</v>
      </c>
      <c r="B38" s="34" t="s">
        <v>161</v>
      </c>
      <c r="D38" s="35" t="n">
        <v>0.02</v>
      </c>
      <c r="E38" s="35" t="n">
        <v>0.03</v>
      </c>
      <c r="F38" s="35" t="n">
        <v>0.05</v>
      </c>
      <c r="G38" s="34" t="s">
        <v>119</v>
      </c>
      <c r="H38" s="30" t="s">
        <v>183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3" style="1" width="26"/>
    <col collapsed="false" customWidth="true" hidden="false" outlineLevel="0" max="8" min="8" style="1" width="70"/>
    <col collapsed="false" customWidth="true" hidden="false" outlineLevel="0" max="9" min="9" style="1" width="46"/>
  </cols>
  <sheetData>
    <row r="1" customFormat="false" ht="19.5" hidden="false" customHeight="true" outlineLevel="0" collapsed="false">
      <c r="A1" s="2" t="s">
        <v>184</v>
      </c>
    </row>
    <row r="2" customFormat="false" ht="15" hidden="false" customHeight="true" outlineLevel="0" collapsed="false">
      <c r="A2" s="11" t="s">
        <v>185</v>
      </c>
    </row>
    <row r="3" customFormat="false" ht="15" hidden="false" customHeight="true" outlineLevel="0" collapsed="false">
      <c r="I3" s="13" t="s">
        <v>2</v>
      </c>
    </row>
    <row r="4" customFormat="false" ht="15" hidden="false" customHeight="true" outlineLevel="0" collapsed="false">
      <c r="A4" s="36" t="s">
        <v>186</v>
      </c>
      <c r="C4" s="27" t="s">
        <v>187</v>
      </c>
      <c r="D4" s="27" t="s">
        <v>188</v>
      </c>
      <c r="E4" s="27" t="s">
        <v>189</v>
      </c>
      <c r="F4" s="27" t="s">
        <v>190</v>
      </c>
      <c r="G4" s="27" t="s">
        <v>191</v>
      </c>
      <c r="H4" s="9" t="s">
        <v>192</v>
      </c>
    </row>
    <row r="5" customFormat="false" ht="15" hidden="false" customHeight="true" outlineLevel="0" collapsed="false">
      <c r="A5" s="22" t="s">
        <v>193</v>
      </c>
      <c r="C5" s="6" t="s">
        <v>194</v>
      </c>
      <c r="D5" s="6" t="s">
        <v>195</v>
      </c>
      <c r="E5" s="6" t="s">
        <v>196</v>
      </c>
      <c r="F5" s="6" t="s">
        <v>197</v>
      </c>
      <c r="G5" s="6" t="s">
        <v>198</v>
      </c>
    </row>
    <row r="6" customFormat="false" ht="15" hidden="false" customHeight="true" outlineLevel="0" collapsed="false">
      <c r="A6" s="16" t="s">
        <v>199</v>
      </c>
      <c r="C6" s="19" t="n">
        <v>32</v>
      </c>
      <c r="D6" s="29" t="n">
        <f aca="false">SRC_HW_047</f>
        <v>72</v>
      </c>
      <c r="E6" s="29" t="n">
        <f aca="false">SRC_HW_047</f>
        <v>72</v>
      </c>
      <c r="F6" s="29" t="n">
        <f aca="false">SRC_HW_047</f>
        <v>72</v>
      </c>
      <c r="G6" s="29" t="n">
        <f aca="false">SRC_HW_061</f>
        <v>72</v>
      </c>
    </row>
    <row r="7" customFormat="false" ht="15" hidden="false" customHeight="true" outlineLevel="0" collapsed="false">
      <c r="A7" s="22" t="s">
        <v>200</v>
      </c>
      <c r="C7" s="20" t="s">
        <v>201</v>
      </c>
      <c r="D7" s="20" t="s">
        <v>202</v>
      </c>
      <c r="E7" s="20" t="s">
        <v>202</v>
      </c>
      <c r="F7" s="20" t="s">
        <v>203</v>
      </c>
      <c r="G7" s="20" t="s">
        <v>202</v>
      </c>
    </row>
    <row r="8" customFormat="false" ht="15" hidden="false" customHeight="true" outlineLevel="0" collapsed="false">
      <c r="A8" s="22" t="s">
        <v>204</v>
      </c>
      <c r="C8" s="19" t="n">
        <v>38</v>
      </c>
      <c r="D8" s="29" t="n">
        <f aca="false">SRC_HW_004_Lo</f>
        <v>120</v>
      </c>
      <c r="E8" s="29" t="n">
        <f aca="false">SRC_HW_005_Lo</f>
        <v>132</v>
      </c>
      <c r="F8" s="29" t="n">
        <f aca="false">SRC_HW_011</f>
        <v>188</v>
      </c>
      <c r="G8" s="19" t="n">
        <v>300</v>
      </c>
    </row>
    <row r="9" customFormat="false" ht="15" hidden="false" customHeight="true" outlineLevel="0" collapsed="false">
      <c r="A9" s="22" t="s">
        <v>205</v>
      </c>
      <c r="C9" s="19" t="n">
        <v>41</v>
      </c>
      <c r="D9" s="29" t="n">
        <f aca="false">SRC_HW_004_Hi</f>
        <v>132</v>
      </c>
      <c r="E9" s="19" t="n">
        <v>136</v>
      </c>
      <c r="F9" s="29" t="n">
        <f aca="false">SRC_HW_014</f>
        <v>227</v>
      </c>
      <c r="G9" s="19" t="n">
        <v>340</v>
      </c>
    </row>
    <row r="10" customFormat="false" ht="15" hidden="false" customHeight="true" outlineLevel="0" collapsed="false">
      <c r="A10" s="22" t="s">
        <v>206</v>
      </c>
      <c r="C10" s="19" t="n">
        <v>44</v>
      </c>
      <c r="D10" s="19" t="n">
        <v>140</v>
      </c>
      <c r="E10" s="29" t="n">
        <f aca="false">SRC_HW_005_Hi</f>
        <v>140</v>
      </c>
      <c r="F10" s="29" t="n">
        <f aca="false">SRC_HW_012</f>
        <v>230</v>
      </c>
      <c r="G10" s="19" t="n">
        <v>454</v>
      </c>
    </row>
    <row r="11" customFormat="false" ht="15" hidden="false" customHeight="true" outlineLevel="0" collapsed="false">
      <c r="A11" s="22" t="s">
        <v>207</v>
      </c>
      <c r="C11" s="37" t="n">
        <v>0.9</v>
      </c>
      <c r="D11" s="38" t="n">
        <f aca="false">SRC_HW_006_Lo</f>
        <v>2.8</v>
      </c>
      <c r="E11" s="38" t="n">
        <f aca="false">SRC_HW_052</f>
        <v>4</v>
      </c>
      <c r="F11" s="37" t="n">
        <v>7.8</v>
      </c>
      <c r="G11" s="39" t="n">
        <f aca="false">F12*1.5</f>
        <v>12.6</v>
      </c>
    </row>
    <row r="12" customFormat="false" ht="15" hidden="false" customHeight="true" outlineLevel="0" collapsed="false">
      <c r="A12" s="22" t="s">
        <v>208</v>
      </c>
      <c r="C12" s="37" t="n">
        <v>1.1</v>
      </c>
      <c r="D12" s="37" t="n">
        <v>3.1</v>
      </c>
      <c r="E12" s="37" t="n">
        <v>4.3</v>
      </c>
      <c r="F12" s="37" t="n">
        <v>8.4</v>
      </c>
      <c r="G12" s="39" t="n">
        <f aca="false">F12*2</f>
        <v>16.8</v>
      </c>
    </row>
    <row r="13" customFormat="false" ht="15" hidden="false" customHeight="true" outlineLevel="0" collapsed="false">
      <c r="A13" s="22" t="s">
        <v>209</v>
      </c>
      <c r="C13" s="37" t="n">
        <v>1.3</v>
      </c>
      <c r="D13" s="38" t="n">
        <f aca="false">SRC_HW_006_Hi</f>
        <v>3.4</v>
      </c>
      <c r="E13" s="38" t="n">
        <f aca="false">SRC_HW_010</f>
        <v>5</v>
      </c>
      <c r="F13" s="37" t="n">
        <v>9.1</v>
      </c>
      <c r="G13" s="39" t="n">
        <f aca="false">F12*2.5</f>
        <v>21</v>
      </c>
    </row>
    <row r="14" customFormat="false" ht="54" hidden="false" customHeight="true" outlineLevel="0" collapsed="false">
      <c r="A14" s="22" t="s">
        <v>210</v>
      </c>
      <c r="C14" s="40" t="s">
        <v>211</v>
      </c>
      <c r="D14" s="41" t="s">
        <v>212</v>
      </c>
      <c r="E14" s="41" t="s">
        <v>140</v>
      </c>
      <c r="F14" s="41" t="s">
        <v>213</v>
      </c>
      <c r="G14" s="40" t="s">
        <v>214</v>
      </c>
    </row>
    <row r="15" customFormat="false" ht="54" hidden="false" customHeight="true" outlineLevel="0" collapsed="false">
      <c r="A15" s="22" t="s">
        <v>215</v>
      </c>
      <c r="C15" s="40" t="s">
        <v>216</v>
      </c>
      <c r="D15" s="41" t="s">
        <v>217</v>
      </c>
      <c r="E15" s="40" t="s">
        <v>218</v>
      </c>
      <c r="F15" s="40" t="s">
        <v>219</v>
      </c>
      <c r="G15" s="41" t="s">
        <v>220</v>
      </c>
    </row>
    <row r="16" customFormat="false" ht="54" hidden="false" customHeight="true" outlineLevel="0" collapsed="false">
      <c r="A16" s="22" t="s">
        <v>221</v>
      </c>
      <c r="C16" s="42" t="s">
        <v>222</v>
      </c>
      <c r="D16" s="40" t="s">
        <v>223</v>
      </c>
      <c r="E16" s="40" t="s">
        <v>224</v>
      </c>
      <c r="F16" s="40" t="s">
        <v>225</v>
      </c>
      <c r="G16" s="41" t="s">
        <v>226</v>
      </c>
    </row>
    <row r="17" customFormat="false" ht="54" hidden="false" customHeight="true" outlineLevel="0" collapsed="false">
      <c r="A17" s="22" t="s">
        <v>99</v>
      </c>
      <c r="C17" s="40" t="s">
        <v>119</v>
      </c>
      <c r="D17" s="40" t="s">
        <v>227</v>
      </c>
      <c r="E17" s="40" t="s">
        <v>228</v>
      </c>
      <c r="F17" s="40" t="s">
        <v>227</v>
      </c>
      <c r="G17" s="40" t="s">
        <v>229</v>
      </c>
    </row>
    <row r="19" customFormat="false" ht="15" hidden="false" customHeight="true" outlineLevel="0" collapsed="false">
      <c r="A19" s="11" t="s">
        <v>230</v>
      </c>
    </row>
    <row r="21" customFormat="false" ht="15" hidden="false" customHeight="true" outlineLevel="0" collapsed="false">
      <c r="A21" s="43" t="s">
        <v>231</v>
      </c>
      <c r="B21" s="15"/>
      <c r="C21" s="15"/>
      <c r="D21" s="15"/>
      <c r="E21" s="15"/>
      <c r="F21" s="15"/>
      <c r="G21" s="15"/>
      <c r="H21" s="15"/>
    </row>
    <row r="22" customFormat="false" ht="15" hidden="false" customHeight="true" outlineLevel="0" collapsed="false">
      <c r="A22" s="44" t="s">
        <v>232</v>
      </c>
      <c r="C22" s="30" t="s">
        <v>233</v>
      </c>
      <c r="D22" s="30" t="s">
        <v>234</v>
      </c>
      <c r="E22" s="30" t="s">
        <v>234</v>
      </c>
      <c r="F22" s="30" t="s">
        <v>234</v>
      </c>
      <c r="G22" s="30" t="s">
        <v>234</v>
      </c>
      <c r="H22" s="45" t="s">
        <v>235</v>
      </c>
    </row>
    <row r="23" customFormat="false" ht="15" hidden="false" customHeight="true" outlineLevel="0" collapsed="false">
      <c r="A23" s="44" t="s">
        <v>236</v>
      </c>
      <c r="C23" s="46" t="n">
        <f aca="false">SRC_HW_040</f>
        <v>1.979</v>
      </c>
      <c r="D23" s="46" t="n">
        <f aca="false">SRC_HW_022</f>
        <v>10</v>
      </c>
      <c r="E23" s="46" t="n">
        <f aca="false">SRC_HW_025</f>
        <v>15</v>
      </c>
      <c r="F23" s="46" t="n">
        <f aca="false">SRC_HW_028</f>
        <v>35</v>
      </c>
      <c r="G23" s="47" t="n">
        <v>70</v>
      </c>
      <c r="H23" s="45" t="s">
        <v>237</v>
      </c>
    </row>
    <row r="24" customFormat="false" ht="15" hidden="false" customHeight="true" outlineLevel="0" collapsed="false">
      <c r="A24" s="44" t="s">
        <v>238</v>
      </c>
      <c r="C24" s="48" t="n">
        <f aca="false">C23</f>
        <v>1.979</v>
      </c>
      <c r="D24" s="46" t="n">
        <f aca="false">SRC_HW_022</f>
        <v>10</v>
      </c>
      <c r="E24" s="46" t="n">
        <f aca="false">SRC_HW_025</f>
        <v>15</v>
      </c>
      <c r="F24" s="46" t="n">
        <f aca="false">SRC_HW_027</f>
        <v>50</v>
      </c>
      <c r="G24" s="47" t="n">
        <v>100</v>
      </c>
      <c r="H24" s="45" t="s">
        <v>239</v>
      </c>
    </row>
    <row r="25" customFormat="false" ht="15" hidden="false" customHeight="true" outlineLevel="0" collapsed="false">
      <c r="A25" s="30" t="s">
        <v>240</v>
      </c>
      <c r="C25" s="49" t="n">
        <f aca="false">SRC_HW_020</f>
        <v>80</v>
      </c>
      <c r="D25" s="50" t="n">
        <v>186</v>
      </c>
      <c r="E25" s="49" t="n">
        <f aca="false">SRC_HW_026</f>
        <v>288</v>
      </c>
      <c r="F25" s="49" t="n">
        <f aca="false">SRC_HW_029</f>
        <v>288</v>
      </c>
      <c r="G25" s="50" t="n">
        <v>1024</v>
      </c>
      <c r="H25" s="45" t="s">
        <v>241</v>
      </c>
    </row>
    <row r="26" customFormat="false" ht="15" hidden="false" customHeight="true" outlineLevel="0" collapsed="false">
      <c r="A26" s="30" t="s">
        <v>242</v>
      </c>
      <c r="C26" s="51" t="n">
        <f aca="false">SRC_HW_021</f>
        <v>3.35</v>
      </c>
      <c r="D26" s="51" t="n">
        <f aca="false">SRC_HW_023</f>
        <v>8</v>
      </c>
      <c r="E26" s="51" t="n">
        <f aca="false">SRC_HW_059</f>
        <v>8</v>
      </c>
      <c r="F26" s="51" t="n">
        <f aca="false">SRC_HW_030</f>
        <v>22</v>
      </c>
      <c r="G26" s="52" t="n">
        <v>32</v>
      </c>
      <c r="H26" s="45" t="s">
        <v>243</v>
      </c>
    </row>
    <row r="27" customFormat="false" ht="15" hidden="false" customHeight="true" outlineLevel="0" collapsed="false">
      <c r="A27" s="30" t="s">
        <v>244</v>
      </c>
      <c r="C27" s="51" t="n">
        <f aca="false">SRC_HW_060/8/1000</f>
        <v>0.05</v>
      </c>
      <c r="D27" s="51" t="n">
        <f aca="false">SRC_HW_048</f>
        <v>0.9</v>
      </c>
      <c r="E27" s="51" t="n">
        <f aca="false">SRC_HW_048</f>
        <v>0.9</v>
      </c>
      <c r="F27" s="51" t="n">
        <f aca="false">SRC_HW_049</f>
        <v>1.8</v>
      </c>
      <c r="G27" s="52" t="n">
        <v>1.8</v>
      </c>
      <c r="H27" s="45" t="s">
        <v>245</v>
      </c>
    </row>
    <row r="28" customFormat="false" ht="15" hidden="false" customHeight="true" outlineLevel="0" collapsed="false">
      <c r="A28" s="30" t="s">
        <v>246</v>
      </c>
      <c r="C28" s="49" t="n">
        <f aca="false">SRC_HW_053</f>
        <v>8</v>
      </c>
      <c r="D28" s="49" t="n">
        <f aca="false">SRC_HW_047</f>
        <v>72</v>
      </c>
      <c r="E28" s="49" t="n">
        <f aca="false">SRC_HW_047</f>
        <v>72</v>
      </c>
      <c r="F28" s="49" t="n">
        <f aca="false">SRC_HW_047</f>
        <v>72</v>
      </c>
      <c r="G28" s="49" t="n">
        <f aca="false">SRC_HW_062</f>
        <v>576</v>
      </c>
      <c r="H28" s="21"/>
    </row>
    <row r="29" customFormat="false" ht="15" hidden="false" customHeight="true" outlineLevel="0" collapsed="false">
      <c r="A29" s="30" t="s">
        <v>247</v>
      </c>
      <c r="C29" s="50" t="n">
        <v>64</v>
      </c>
      <c r="D29" s="50" t="n">
        <v>32</v>
      </c>
      <c r="E29" s="49" t="n">
        <f aca="false">SRC_PERF_008</f>
        <v>32</v>
      </c>
      <c r="F29" s="50" t="n">
        <v>32</v>
      </c>
      <c r="G29" s="50" t="n">
        <v>64</v>
      </c>
      <c r="H29" s="45" t="s">
        <v>248</v>
      </c>
    </row>
    <row r="30" customFormat="false" ht="15" hidden="false" customHeight="true" outlineLevel="0" collapsed="false">
      <c r="A30" s="44" t="s">
        <v>249</v>
      </c>
      <c r="C30" s="53" t="n">
        <f aca="false">SRC_HW_055</f>
        <v>1</v>
      </c>
      <c r="D30" s="53" t="n">
        <f aca="false">SRC_HW_050</f>
        <v>0.5625</v>
      </c>
      <c r="E30" s="53" t="n">
        <f aca="false">SRC_HW_050</f>
        <v>0.5625</v>
      </c>
      <c r="F30" s="53" t="n">
        <f aca="false">SRC_HW_050</f>
        <v>0.5625</v>
      </c>
      <c r="G30" s="53" t="n">
        <f aca="false">SRC_HW_050</f>
        <v>0.5625</v>
      </c>
      <c r="H30" s="45" t="s">
        <v>250</v>
      </c>
    </row>
    <row r="31" customFormat="false" ht="15" hidden="false" customHeight="true" outlineLevel="0" collapsed="false">
      <c r="A31" s="44" t="s">
        <v>251</v>
      </c>
      <c r="C31" s="54" t="n">
        <v>1</v>
      </c>
      <c r="D31" s="54" t="n">
        <v>1</v>
      </c>
      <c r="E31" s="54" t="n">
        <v>1</v>
      </c>
      <c r="F31" s="54" t="n">
        <v>1</v>
      </c>
      <c r="G31" s="54" t="n">
        <v>1</v>
      </c>
      <c r="H31" s="21" t="s">
        <v>252</v>
      </c>
    </row>
    <row r="32" customFormat="false" ht="15" hidden="false" customHeight="true" outlineLevel="0" collapsed="false">
      <c r="A32" s="44" t="s">
        <v>253</v>
      </c>
      <c r="C32" s="50" t="n">
        <v>8</v>
      </c>
      <c r="D32" s="50" t="n">
        <v>4</v>
      </c>
      <c r="E32" s="49" t="n">
        <f aca="false">SRC_PERF_007</f>
        <v>4</v>
      </c>
      <c r="F32" s="50" t="n">
        <v>4</v>
      </c>
      <c r="G32" s="50" t="n">
        <v>8</v>
      </c>
      <c r="H32" s="45" t="s">
        <v>254</v>
      </c>
    </row>
    <row r="33" customFormat="false" ht="15" hidden="false" customHeight="true" outlineLevel="0" collapsed="false">
      <c r="A33" s="30" t="s">
        <v>255</v>
      </c>
      <c r="C33" s="49" t="n">
        <f aca="false">SRC_HW_056</f>
        <v>700</v>
      </c>
      <c r="D33" s="49" t="n">
        <f aca="false">SRC_HW_057</f>
        <v>1200</v>
      </c>
      <c r="E33" s="49" t="n">
        <f aca="false">SRC_HW_058</f>
        <v>1400</v>
      </c>
      <c r="F33" s="49" t="n">
        <f aca="false">SRC_HW_046*1000</f>
        <v>1800</v>
      </c>
      <c r="G33" s="50" t="n">
        <v>3600</v>
      </c>
      <c r="H33" s="45" t="s">
        <v>256</v>
      </c>
    </row>
    <row r="34" customFormat="false" ht="15" hidden="false" customHeight="true" outlineLevel="0" collapsed="false">
      <c r="A34" s="30" t="s">
        <v>257</v>
      </c>
      <c r="C34" s="50" t="n">
        <v>31</v>
      </c>
      <c r="D34" s="50" t="n">
        <v>25</v>
      </c>
      <c r="E34" s="50" t="n">
        <v>25</v>
      </c>
      <c r="F34" s="49" t="n">
        <f aca="false">SRC_HW_034*8</f>
        <v>20</v>
      </c>
      <c r="G34" s="50" t="n">
        <v>18</v>
      </c>
      <c r="H34" s="45" t="s">
        <v>258</v>
      </c>
    </row>
    <row r="35" customFormat="false" ht="15" hidden="false" customHeight="true" outlineLevel="0" collapsed="false">
      <c r="A35" s="9" t="s">
        <v>259</v>
      </c>
      <c r="C35" s="55" t="n">
        <f aca="false">IF(Serving!$C$16=2,C24,C23)</f>
        <v>1.979</v>
      </c>
      <c r="D35" s="55" t="n">
        <f aca="false">IF(Serving!$C$16=2,D24,D23)</f>
        <v>10</v>
      </c>
      <c r="E35" s="55" t="n">
        <f aca="false">IF(Serving!$C$16=2,E24,E23)</f>
        <v>15</v>
      </c>
      <c r="F35" s="55" t="n">
        <f aca="false">IF(Serving!$C$16=2,F24,F23)</f>
        <v>35</v>
      </c>
      <c r="G35" s="55" t="n">
        <f aca="false">IF(Serving!$C$16=2,G24,G23)</f>
        <v>70</v>
      </c>
    </row>
    <row r="36" customFormat="false" ht="15" hidden="false" customHeight="true" outlineLevel="0" collapsed="false">
      <c r="A36" s="30" t="s">
        <v>260</v>
      </c>
      <c r="C36" s="56" t="n">
        <f aca="false">C35*1000/C26</f>
        <v>590.746268656716</v>
      </c>
      <c r="D36" s="56" t="n">
        <f aca="false">D35*1000/D26</f>
        <v>1250</v>
      </c>
      <c r="E36" s="56" t="n">
        <f aca="false">E35*1000/E26</f>
        <v>1875</v>
      </c>
      <c r="F36" s="56" t="n">
        <f aca="false">F35*1000/F26</f>
        <v>1590.90909090909</v>
      </c>
      <c r="G36" s="56" t="n">
        <f aca="false">G35*1000/G26</f>
        <v>2187.5</v>
      </c>
    </row>
    <row r="38" customFormat="false" ht="15" hidden="false" customHeight="true" outlineLevel="0" collapsed="false">
      <c r="A38" s="43" t="s">
        <v>261</v>
      </c>
      <c r="B38" s="15"/>
      <c r="C38" s="15"/>
      <c r="D38" s="15"/>
      <c r="E38" s="15"/>
      <c r="F38" s="15"/>
      <c r="G38" s="15"/>
      <c r="H38" s="15"/>
    </row>
    <row r="39" customFormat="false" ht="15" hidden="false" customHeight="true" outlineLevel="0" collapsed="false">
      <c r="A39" s="30" t="s">
        <v>262</v>
      </c>
      <c r="C39" s="46" t="n">
        <f aca="false">SRC_HW_019</f>
        <v>0.989</v>
      </c>
      <c r="D39" s="46" t="n">
        <f aca="false">SRC_HW_042</f>
        <v>2.5</v>
      </c>
      <c r="E39" s="46" t="n">
        <f aca="false">SRC_HW_042</f>
        <v>2.5</v>
      </c>
      <c r="F39" s="46" t="n">
        <f aca="false">SRC_HW_039/SRC_HW_047</f>
        <v>4</v>
      </c>
      <c r="G39" s="47" t="n">
        <v>8</v>
      </c>
      <c r="H39" s="45" t="s">
        <v>263</v>
      </c>
    </row>
    <row r="40" customFormat="false" ht="15" hidden="false" customHeight="true" outlineLevel="0" collapsed="false">
      <c r="A40" s="30" t="s">
        <v>264</v>
      </c>
      <c r="C40" s="46" t="n">
        <f aca="false">SRC_HW_040</f>
        <v>1.979</v>
      </c>
      <c r="D40" s="46" t="n">
        <f aca="false">SRC_HW_043</f>
        <v>5</v>
      </c>
      <c r="E40" s="46" t="n">
        <f aca="false">SRC_HW_043</f>
        <v>5</v>
      </c>
      <c r="F40" s="46" t="n">
        <f aca="false">SRC_HW_038/SRC_HW_047</f>
        <v>17.5</v>
      </c>
      <c r="G40" s="47" t="n">
        <v>35</v>
      </c>
      <c r="H40" s="45" t="s">
        <v>265</v>
      </c>
    </row>
    <row r="41" customFormat="false" ht="15" hidden="false" customHeight="true" outlineLevel="0" collapsed="false">
      <c r="A41" s="30" t="s">
        <v>266</v>
      </c>
      <c r="C41" s="48" t="n">
        <f aca="false">C40</f>
        <v>1.979</v>
      </c>
      <c r="D41" s="47" t="n">
        <v>10</v>
      </c>
      <c r="E41" s="47" t="n">
        <v>15</v>
      </c>
      <c r="F41" s="46" t="n">
        <f aca="false">SRC_HW_037/SRC_HW_047</f>
        <v>35</v>
      </c>
      <c r="G41" s="47" t="n">
        <v>70</v>
      </c>
      <c r="H41" s="45" t="s">
        <v>267</v>
      </c>
      <c r="I41" s="21" t="s">
        <v>268</v>
      </c>
    </row>
    <row r="43" customFormat="false" ht="15" hidden="false" customHeight="true" outlineLevel="0" collapsed="false">
      <c r="A43" s="57" t="s">
        <v>269</v>
      </c>
      <c r="B43" s="15"/>
      <c r="C43" s="15"/>
      <c r="D43" s="15"/>
      <c r="E43" s="15"/>
      <c r="F43" s="15"/>
      <c r="G43" s="15"/>
      <c r="H43" s="15"/>
    </row>
    <row r="44" customFormat="false" ht="15" hidden="false" customHeight="true" outlineLevel="0" collapsed="false">
      <c r="A44" s="44" t="s">
        <v>270</v>
      </c>
      <c r="C44" s="54" t="n">
        <v>1</v>
      </c>
      <c r="D44" s="54" t="n">
        <v>1</v>
      </c>
      <c r="E44" s="54" t="n">
        <v>1</v>
      </c>
      <c r="F44" s="54" t="n">
        <v>1</v>
      </c>
      <c r="G44" s="54" t="n">
        <v>1</v>
      </c>
      <c r="H44" s="45" t="s">
        <v>271</v>
      </c>
    </row>
    <row r="45" customFormat="false" ht="15" hidden="false" customHeight="true" outlineLevel="0" collapsed="false">
      <c r="A45" s="44" t="s">
        <v>272</v>
      </c>
      <c r="C45" s="54" t="n">
        <v>0.5</v>
      </c>
      <c r="D45" s="54" t="n">
        <v>0.3</v>
      </c>
      <c r="E45" s="54" t="n">
        <v>1</v>
      </c>
      <c r="F45" s="54" t="n">
        <v>1</v>
      </c>
      <c r="G45" s="54" t="n">
        <v>1</v>
      </c>
      <c r="H45" s="45" t="s">
        <v>273</v>
      </c>
    </row>
    <row r="46" customFormat="false" ht="15" hidden="false" customHeight="true" outlineLevel="0" collapsed="false">
      <c r="A46" s="44" t="s">
        <v>274</v>
      </c>
      <c r="C46" s="54" t="n">
        <v>1.3</v>
      </c>
      <c r="D46" s="54" t="n">
        <v>1</v>
      </c>
      <c r="E46" s="54" t="n">
        <v>1</v>
      </c>
      <c r="F46" s="54" t="n">
        <v>2.5</v>
      </c>
      <c r="G46" s="54" t="n">
        <v>1</v>
      </c>
      <c r="H46" s="45" t="s">
        <v>275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80"/>
  </cols>
  <sheetData>
    <row r="1" customFormat="false" ht="20.1" hidden="false" customHeight="false" outlineLevel="0" collapsed="false">
      <c r="A1" s="58" t="s">
        <v>276</v>
      </c>
    </row>
    <row r="2" customFormat="false" ht="15" hidden="false" customHeight="false" outlineLevel="0" collapsed="false">
      <c r="A2" s="59" t="s">
        <v>277</v>
      </c>
    </row>
    <row r="4" customFormat="false" ht="15" hidden="false" customHeight="false" outlineLevel="0" collapsed="false">
      <c r="A4" s="60" t="s">
        <v>94</v>
      </c>
      <c r="B4" s="60" t="s">
        <v>95</v>
      </c>
      <c r="C4" s="10" t="s">
        <v>278</v>
      </c>
      <c r="D4" s="10" t="s">
        <v>279</v>
      </c>
      <c r="E4" s="10" t="s">
        <v>280</v>
      </c>
      <c r="F4" s="60" t="s">
        <v>99</v>
      </c>
      <c r="G4" s="60" t="s">
        <v>100</v>
      </c>
    </row>
    <row r="5" customFormat="false" ht="15" hidden="false" customHeight="false" outlineLevel="0" collapsed="false">
      <c r="A5" s="61" t="s">
        <v>281</v>
      </c>
      <c r="B5" s="61"/>
      <c r="C5" s="62" t="s">
        <v>282</v>
      </c>
      <c r="D5" s="62" t="s">
        <v>283</v>
      </c>
      <c r="E5" s="61" t="s">
        <v>284</v>
      </c>
      <c r="F5" s="59" t="s">
        <v>104</v>
      </c>
      <c r="G5" s="59" t="s">
        <v>285</v>
      </c>
    </row>
    <row r="6" customFormat="false" ht="15" hidden="false" customHeight="false" outlineLevel="0" collapsed="false">
      <c r="A6" s="61" t="s">
        <v>286</v>
      </c>
      <c r="B6" s="62" t="s">
        <v>287</v>
      </c>
      <c r="C6" s="63" t="n">
        <f aca="false">SRC_MOD_005</f>
        <v>284</v>
      </c>
      <c r="D6" s="63" t="n">
        <f aca="false">SRC_MOD_001</f>
        <v>1600</v>
      </c>
      <c r="E6" s="64" t="n">
        <v>4000</v>
      </c>
      <c r="F6" s="59" t="s">
        <v>288</v>
      </c>
      <c r="G6" s="59" t="s">
        <v>289</v>
      </c>
    </row>
    <row r="7" customFormat="false" ht="15" hidden="false" customHeight="false" outlineLevel="0" collapsed="false">
      <c r="A7" s="61" t="s">
        <v>290</v>
      </c>
      <c r="B7" s="62" t="s">
        <v>287</v>
      </c>
      <c r="C7" s="63" t="n">
        <f aca="false">SRC_MOD_006</f>
        <v>13</v>
      </c>
      <c r="D7" s="63" t="n">
        <f aca="false">SRC_MOD_002</f>
        <v>49</v>
      </c>
      <c r="E7" s="64" t="n">
        <v>180</v>
      </c>
      <c r="F7" s="59" t="s">
        <v>288</v>
      </c>
      <c r="G7" s="59" t="s">
        <v>291</v>
      </c>
    </row>
    <row r="8" customFormat="false" ht="15" hidden="false" customHeight="false" outlineLevel="0" collapsed="false">
      <c r="A8" s="61" t="s">
        <v>292</v>
      </c>
      <c r="B8" s="61" t="s">
        <v>293</v>
      </c>
      <c r="C8" s="63" t="n">
        <f aca="false">SRC_MOD_007</f>
        <v>43</v>
      </c>
      <c r="D8" s="63" t="n">
        <f aca="false">SRC_MOD_003</f>
        <v>61</v>
      </c>
      <c r="E8" s="64" t="n">
        <v>100</v>
      </c>
      <c r="F8" s="59" t="s">
        <v>288</v>
      </c>
      <c r="G8" s="59" t="s">
        <v>294</v>
      </c>
    </row>
    <row r="9" customFormat="false" ht="15" hidden="false" customHeight="false" outlineLevel="0" collapsed="false">
      <c r="A9" s="62" t="s">
        <v>295</v>
      </c>
      <c r="B9" s="61"/>
      <c r="C9" s="63" t="n">
        <f aca="false">SRC_MOD_052</f>
        <v>4096</v>
      </c>
      <c r="D9" s="63" t="n">
        <f aca="false">SRC_MOD_004</f>
        <v>7168</v>
      </c>
      <c r="E9" s="64" t="n">
        <v>12288</v>
      </c>
      <c r="F9" s="59" t="s">
        <v>288</v>
      </c>
      <c r="G9" s="59" t="s">
        <v>296</v>
      </c>
    </row>
    <row r="10" customFormat="false" ht="15" hidden="false" customHeight="false" outlineLevel="0" collapsed="false">
      <c r="A10" s="62" t="s">
        <v>297</v>
      </c>
      <c r="B10" s="61"/>
      <c r="C10" s="63" t="n">
        <f aca="false">SRC_MOD_053</f>
        <v>64</v>
      </c>
      <c r="D10" s="63" t="n">
        <f aca="false">SRC_MOD_008</f>
        <v>128</v>
      </c>
      <c r="E10" s="64" t="n">
        <v>96</v>
      </c>
      <c r="F10" s="59" t="s">
        <v>288</v>
      </c>
      <c r="G10" s="59" t="s">
        <v>298</v>
      </c>
    </row>
    <row r="11" customFormat="false" ht="15" hidden="false" customHeight="false" outlineLevel="0" collapsed="false">
      <c r="A11" s="62" t="s">
        <v>299</v>
      </c>
      <c r="B11" s="61"/>
      <c r="C11" s="63" t="n">
        <f aca="false">SRC_MOD_009</f>
        <v>512</v>
      </c>
      <c r="D11" s="63" t="n">
        <f aca="false">SRC_MOD_009</f>
        <v>512</v>
      </c>
      <c r="E11" s="64" t="n">
        <v>128</v>
      </c>
      <c r="F11" s="59" t="s">
        <v>288</v>
      </c>
      <c r="G11" s="59" t="s">
        <v>300</v>
      </c>
    </row>
    <row r="12" customFormat="false" ht="15" hidden="false" customHeight="false" outlineLevel="0" collapsed="false">
      <c r="A12" s="62" t="s">
        <v>301</v>
      </c>
      <c r="B12" s="61"/>
      <c r="C12" s="63" t="n">
        <f aca="false">SRC_MOD_010</f>
        <v>256</v>
      </c>
      <c r="D12" s="63" t="n">
        <f aca="false">SRC_MOD_011</f>
        <v>384</v>
      </c>
      <c r="E12" s="64" t="n">
        <v>512</v>
      </c>
      <c r="F12" s="59" t="s">
        <v>288</v>
      </c>
      <c r="G12" s="59"/>
    </row>
    <row r="13" customFormat="false" ht="15" hidden="false" customHeight="false" outlineLevel="0" collapsed="false">
      <c r="A13" s="61" t="s">
        <v>302</v>
      </c>
      <c r="B13" s="61"/>
      <c r="C13" s="63" t="n">
        <f aca="false">SRC_MOD_012</f>
        <v>6</v>
      </c>
      <c r="D13" s="63" t="n">
        <f aca="false">SRC_MOD_012</f>
        <v>6</v>
      </c>
      <c r="E13" s="64" t="n">
        <v>16</v>
      </c>
      <c r="F13" s="59" t="s">
        <v>288</v>
      </c>
      <c r="G13" s="59"/>
    </row>
    <row r="14" customFormat="false" ht="15" hidden="false" customHeight="false" outlineLevel="0" collapsed="false">
      <c r="A14" s="62" t="s">
        <v>303</v>
      </c>
      <c r="B14" s="61"/>
      <c r="C14" s="63" t="n">
        <f aca="false">SRC_MOD_013</f>
        <v>1</v>
      </c>
      <c r="D14" s="63" t="n">
        <f aca="false">SRC_MOD_013</f>
        <v>1</v>
      </c>
      <c r="E14" s="64" t="n">
        <v>1</v>
      </c>
      <c r="F14" s="59" t="s">
        <v>150</v>
      </c>
      <c r="G14" s="59"/>
    </row>
    <row r="15" customFormat="false" ht="15" hidden="false" customHeight="false" outlineLevel="0" collapsed="false">
      <c r="A15" s="62" t="s">
        <v>304</v>
      </c>
      <c r="B15" s="61"/>
      <c r="C15" s="63" t="n">
        <f aca="false">SRC_MOD_014</f>
        <v>129280</v>
      </c>
      <c r="D15" s="63" t="n">
        <f aca="false">SRC_MOD_014</f>
        <v>129280</v>
      </c>
      <c r="E15" s="64" t="n">
        <v>200000</v>
      </c>
      <c r="F15" s="59" t="s">
        <v>288</v>
      </c>
      <c r="G15" s="59"/>
    </row>
    <row r="16" customFormat="false" ht="15" hidden="false" customHeight="false" outlineLevel="0" collapsed="false">
      <c r="A16" s="61" t="s">
        <v>305</v>
      </c>
      <c r="B16" s="62" t="s">
        <v>113</v>
      </c>
      <c r="C16" s="65" t="n">
        <f aca="false">SRC_MOD_015</f>
        <v>0.512</v>
      </c>
      <c r="D16" s="65" t="n">
        <f aca="false">SRC_MOD_054</f>
        <v>0.492</v>
      </c>
      <c r="E16" s="66" t="n">
        <v>1</v>
      </c>
      <c r="F16" s="59" t="s">
        <v>288</v>
      </c>
      <c r="G16" s="59" t="s">
        <v>306</v>
      </c>
    </row>
    <row r="17" customFormat="false" ht="15" hidden="false" customHeight="false" outlineLevel="0" collapsed="false">
      <c r="A17" s="61" t="s">
        <v>307</v>
      </c>
      <c r="B17" s="62" t="s">
        <v>308</v>
      </c>
      <c r="C17" s="63" t="n">
        <f aca="false">SRC_MOD_018*SRC_MOD_019+SRC_MOD_017</f>
        <v>4224</v>
      </c>
      <c r="D17" s="63" t="n">
        <f aca="false">SRC_MOD_018*SRC_MOD_019+SRC_MOD_017</f>
        <v>4224</v>
      </c>
      <c r="E17" s="64" t="n">
        <v>0</v>
      </c>
      <c r="F17" s="59" t="s">
        <v>162</v>
      </c>
      <c r="G17" s="59" t="s">
        <v>309</v>
      </c>
    </row>
    <row r="18" customFormat="false" ht="15" hidden="false" customHeight="false" outlineLevel="0" collapsed="false">
      <c r="A18" s="61" t="s">
        <v>310</v>
      </c>
      <c r="B18" s="62" t="s">
        <v>118</v>
      </c>
      <c r="C18" s="63" t="n">
        <f aca="false">SRC_MOD_016</f>
        <v>128</v>
      </c>
      <c r="D18" s="63" t="n">
        <f aca="false">SRC_MOD_016</f>
        <v>128</v>
      </c>
      <c r="E18" s="64" t="n">
        <v>1</v>
      </c>
      <c r="F18" s="59" t="s">
        <v>150</v>
      </c>
      <c r="G18" s="59" t="s">
        <v>311</v>
      </c>
    </row>
    <row r="19" customFormat="false" ht="15" hidden="false" customHeight="false" outlineLevel="0" collapsed="false">
      <c r="A19" s="61" t="s">
        <v>312</v>
      </c>
      <c r="B19" s="62" t="s">
        <v>308</v>
      </c>
      <c r="C19" s="63" t="n">
        <f aca="false">SRC_MOD_017</f>
        <v>128</v>
      </c>
      <c r="D19" s="63" t="n">
        <f aca="false">SRC_MOD_017</f>
        <v>128</v>
      </c>
      <c r="E19" s="64" t="n">
        <v>0</v>
      </c>
      <c r="F19" s="59" t="s">
        <v>150</v>
      </c>
      <c r="G19" s="59"/>
    </row>
    <row r="20" customFormat="false" ht="15" hidden="false" customHeight="false" outlineLevel="0" collapsed="false">
      <c r="A20" s="62" t="s">
        <v>313</v>
      </c>
      <c r="B20" s="61" t="s">
        <v>108</v>
      </c>
      <c r="E20" s="67" t="n">
        <v>2</v>
      </c>
      <c r="F20" s="59" t="s">
        <v>104</v>
      </c>
      <c r="G20" s="59" t="s">
        <v>314</v>
      </c>
    </row>
    <row r="21" customFormat="false" ht="15" hidden="false" customHeight="false" outlineLevel="0" collapsed="false">
      <c r="A21" s="62" t="s">
        <v>315</v>
      </c>
      <c r="B21" s="62" t="s">
        <v>287</v>
      </c>
      <c r="C21" s="68" t="n">
        <f aca="false">C34*C8</f>
        <v>2795</v>
      </c>
      <c r="D21" s="68" t="n">
        <f aca="false">D34*D8</f>
        <v>3965</v>
      </c>
      <c r="E21" s="68" t="n">
        <f aca="false">E36*E35*E8*$C$38</f>
        <v>14976</v>
      </c>
      <c r="F21" s="59" t="s">
        <v>316</v>
      </c>
      <c r="G21" s="59" t="s">
        <v>317</v>
      </c>
    </row>
    <row r="22" customFormat="false" ht="15" hidden="false" customHeight="false" outlineLevel="0" collapsed="false">
      <c r="A22" s="62" t="s">
        <v>318</v>
      </c>
      <c r="B22" s="62" t="s">
        <v>287</v>
      </c>
      <c r="C22" s="68" t="n">
        <f aca="false">C34*C8</f>
        <v>2795</v>
      </c>
      <c r="D22" s="68" t="n">
        <f aca="false">D34*D8</f>
        <v>3965</v>
      </c>
      <c r="E22" s="68" t="n">
        <f aca="false">E35*E8*$C$38</f>
        <v>57600</v>
      </c>
      <c r="F22" s="59" t="s">
        <v>316</v>
      </c>
      <c r="G22" s="59" t="s">
        <v>319</v>
      </c>
    </row>
    <row r="23" customFormat="false" ht="15" hidden="false" customHeight="false" outlineLevel="0" collapsed="false">
      <c r="A23" s="62" t="s">
        <v>320</v>
      </c>
      <c r="B23" s="62" t="s">
        <v>287</v>
      </c>
      <c r="C23" s="68" t="n">
        <f aca="false">C34*C8</f>
        <v>2795</v>
      </c>
      <c r="D23" s="68" t="n">
        <f aca="false">D34*D8</f>
        <v>3965</v>
      </c>
      <c r="E23" s="68" t="n">
        <f aca="false">E37*E11*2*E8*$C$38</f>
        <v>204800</v>
      </c>
      <c r="F23" s="59" t="s">
        <v>316</v>
      </c>
      <c r="G23" s="59" t="s">
        <v>321</v>
      </c>
    </row>
    <row r="24" customFormat="false" ht="15" hidden="false" customHeight="false" outlineLevel="0" collapsed="false">
      <c r="A24" s="69" t="s">
        <v>322</v>
      </c>
      <c r="B24" s="70"/>
      <c r="C24" s="70"/>
      <c r="D24" s="70"/>
      <c r="E24" s="70"/>
      <c r="F24" s="70"/>
      <c r="G24" s="70"/>
    </row>
    <row r="25" customFormat="false" ht="15" hidden="false" customHeight="false" outlineLevel="0" collapsed="false">
      <c r="A25" s="62" t="s">
        <v>323</v>
      </c>
      <c r="B25" s="62" t="s">
        <v>287</v>
      </c>
      <c r="C25" s="71" t="n">
        <f aca="false">CHOOSE(IF(C20="",1,C20),C21,C22,C23)</f>
        <v>2795</v>
      </c>
      <c r="D25" s="71" t="n">
        <f aca="false">CHOOSE(IF(D20="",1,D20),D21,D22,D23)</f>
        <v>3965</v>
      </c>
      <c r="E25" s="71" t="n">
        <f aca="false">CHOOSE(IF(E20="",1,E20),E21,E22,E23)</f>
        <v>57600</v>
      </c>
    </row>
    <row r="26" customFormat="false" ht="15" hidden="false" customHeight="false" outlineLevel="0" collapsed="false">
      <c r="A26" s="62" t="s">
        <v>324</v>
      </c>
      <c r="B26" s="62" t="s">
        <v>287</v>
      </c>
      <c r="C26" s="72" t="n">
        <f aca="false">C15*C9*2/1000000000</f>
        <v>1.05906176</v>
      </c>
      <c r="D26" s="72" t="n">
        <f aca="false">D15*D9*2/1000000000</f>
        <v>1.85335808</v>
      </c>
      <c r="E26" s="72" t="n">
        <f aca="false">E15*E9*2/1000000000</f>
        <v>4.9152</v>
      </c>
    </row>
    <row r="27" customFormat="false" ht="15" hidden="false" customHeight="false" outlineLevel="0" collapsed="false">
      <c r="A27" s="61" t="s">
        <v>325</v>
      </c>
      <c r="B27" s="62" t="s">
        <v>287</v>
      </c>
      <c r="C27" s="73" t="n">
        <f aca="false">(C6-C7)/(C8*(C12-C13))</f>
        <v>0.0252093023255814</v>
      </c>
      <c r="D27" s="73" t="n">
        <f aca="false">(D6-D7)/(D8*(D12-D13))</f>
        <v>0.0672651574290919</v>
      </c>
      <c r="E27" s="73" t="n">
        <f aca="false">(E6-E7)/(E8*(E12-E13))</f>
        <v>0.0770161290322581</v>
      </c>
      <c r="G27" s="74" t="s">
        <v>326</v>
      </c>
    </row>
    <row r="28" customFormat="false" ht="15" hidden="false" customHeight="false" outlineLevel="0" collapsed="false">
      <c r="A28" s="61" t="s">
        <v>327</v>
      </c>
      <c r="B28" s="62" t="s">
        <v>287</v>
      </c>
      <c r="C28" s="75" t="n">
        <f aca="false">C7-C8*(C13+C14)*C27</f>
        <v>5.412</v>
      </c>
      <c r="D28" s="75" t="n">
        <f aca="false">D7-D8*(D13+D14)*D27</f>
        <v>20.2777777777778</v>
      </c>
      <c r="E28" s="75" t="n">
        <f aca="false">E7-E8*(E13+E14)*E27</f>
        <v>49.0725806451613</v>
      </c>
    </row>
    <row r="29" customFormat="false" ht="15" hidden="false" customHeight="false" outlineLevel="0" collapsed="false">
      <c r="A29" s="61" t="s">
        <v>328</v>
      </c>
      <c r="B29" s="62" t="s">
        <v>287</v>
      </c>
      <c r="C29" s="75" t="n">
        <f aca="false">C6-C28</f>
        <v>278.588</v>
      </c>
      <c r="D29" s="75" t="n">
        <f aca="false">D6-D28</f>
        <v>1579.72222222222</v>
      </c>
      <c r="E29" s="75" t="n">
        <f aca="false">E6-E28</f>
        <v>3950.92741935484</v>
      </c>
    </row>
    <row r="30" customFormat="false" ht="15" hidden="false" customHeight="false" outlineLevel="0" collapsed="false">
      <c r="A30" s="61" t="s">
        <v>329</v>
      </c>
      <c r="B30" s="62" t="s">
        <v>330</v>
      </c>
      <c r="C30" s="68" t="n">
        <f aca="false">4*C10*C11*C8</f>
        <v>5636096</v>
      </c>
      <c r="D30" s="68" t="n">
        <f aca="false">4*D10*D11*D8</f>
        <v>15990784</v>
      </c>
      <c r="E30" s="68" t="n">
        <f aca="false">4*E10*E11*E8</f>
        <v>4915200</v>
      </c>
    </row>
    <row r="31" customFormat="false" ht="15" hidden="false" customHeight="false" outlineLevel="0" collapsed="false">
      <c r="A31" s="62" t="s">
        <v>331</v>
      </c>
      <c r="B31" s="62" t="s">
        <v>332</v>
      </c>
      <c r="C31" s="72" t="n">
        <f aca="false">C25*CST_CtxKV/1000000000</f>
        <v>0.35776</v>
      </c>
      <c r="D31" s="72" t="n">
        <f aca="false">D25*CST_CtxKV/1000000000</f>
        <v>0.50752</v>
      </c>
      <c r="E31" s="72" t="n">
        <f aca="false">E25*CST_CtxKV/1000000000</f>
        <v>7.3728</v>
      </c>
    </row>
    <row r="32" customFormat="false" ht="15" hidden="false" customHeight="false" outlineLevel="0" collapsed="false">
      <c r="A32" s="61" t="s">
        <v>333</v>
      </c>
      <c r="B32" s="62" t="s">
        <v>308</v>
      </c>
      <c r="C32" s="64" t="n">
        <v>128000</v>
      </c>
      <c r="F32" s="74" t="s">
        <v>334</v>
      </c>
      <c r="G32" s="74" t="s">
        <v>335</v>
      </c>
    </row>
    <row r="33" customFormat="false" ht="15" hidden="false" customHeight="false" outlineLevel="0" collapsed="false">
      <c r="A33" s="76" t="s">
        <v>336</v>
      </c>
      <c r="B33" s="70"/>
      <c r="C33" s="70"/>
      <c r="D33" s="70"/>
      <c r="E33" s="70"/>
      <c r="F33" s="70"/>
      <c r="G33" s="70"/>
    </row>
    <row r="34" customFormat="false" ht="15" hidden="false" customHeight="false" outlineLevel="0" collapsed="false">
      <c r="A34" s="61" t="s">
        <v>337</v>
      </c>
      <c r="B34" s="62" t="s">
        <v>287</v>
      </c>
      <c r="C34" s="64" t="n">
        <v>65</v>
      </c>
      <c r="D34" s="64" t="n">
        <v>65</v>
      </c>
      <c r="F34" s="59" t="s">
        <v>114</v>
      </c>
      <c r="G34" s="59" t="s">
        <v>338</v>
      </c>
    </row>
    <row r="35" customFormat="false" ht="15" hidden="false" customHeight="false" outlineLevel="0" collapsed="false">
      <c r="A35" s="62" t="s">
        <v>339</v>
      </c>
      <c r="B35" s="61" t="s">
        <v>340</v>
      </c>
      <c r="E35" s="64" t="n">
        <v>576</v>
      </c>
      <c r="F35" s="59" t="s">
        <v>119</v>
      </c>
      <c r="G35" s="74" t="s">
        <v>341</v>
      </c>
    </row>
    <row r="36" customFormat="false" ht="15" hidden="false" customHeight="false" outlineLevel="0" collapsed="false">
      <c r="A36" s="62" t="s">
        <v>342</v>
      </c>
      <c r="B36" s="62" t="s">
        <v>113</v>
      </c>
      <c r="E36" s="66" t="n">
        <v>0.26</v>
      </c>
      <c r="F36" s="59" t="s">
        <v>114</v>
      </c>
      <c r="G36" s="74" t="s">
        <v>343</v>
      </c>
    </row>
    <row r="37" customFormat="false" ht="15" hidden="false" customHeight="false" outlineLevel="0" collapsed="false">
      <c r="A37" s="62" t="s">
        <v>344</v>
      </c>
      <c r="B37" s="61" t="s">
        <v>345</v>
      </c>
      <c r="E37" s="64" t="n">
        <v>8</v>
      </c>
      <c r="F37" s="59" t="s">
        <v>114</v>
      </c>
      <c r="G37" s="59" t="s">
        <v>346</v>
      </c>
    </row>
    <row r="38" customFormat="false" ht="15" hidden="false" customHeight="false" outlineLevel="0" collapsed="false">
      <c r="A38" s="62" t="s">
        <v>347</v>
      </c>
      <c r="B38" s="62" t="s">
        <v>287</v>
      </c>
      <c r="C38" s="63" t="n">
        <f aca="false">SRC_HW_055</f>
        <v>1</v>
      </c>
      <c r="F38" s="74" t="s">
        <v>348</v>
      </c>
      <c r="G38" s="59" t="s">
        <v>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5" min="3" style="0" width="16"/>
    <col collapsed="false" customWidth="true" hidden="false" outlineLevel="0" max="6" min="6" style="0" width="90"/>
    <col collapsed="false" customWidth="true" hidden="false" outlineLevel="0" max="7" min="7" style="0" width="46"/>
  </cols>
  <sheetData>
    <row r="1" customFormat="false" ht="20.1" hidden="false" customHeight="false" outlineLevel="0" collapsed="false">
      <c r="A1" s="58" t="s">
        <v>350</v>
      </c>
    </row>
    <row r="2" customFormat="false" ht="15" hidden="false" customHeight="false" outlineLevel="0" collapsed="false">
      <c r="A2" s="74" t="s">
        <v>351</v>
      </c>
    </row>
    <row r="3" customFormat="false" ht="15" hidden="false" customHeight="false" outlineLevel="0" collapsed="false">
      <c r="G3" s="60" t="s">
        <v>2</v>
      </c>
    </row>
    <row r="4" customFormat="false" ht="15" hidden="false" customHeight="false" outlineLevel="0" collapsed="false">
      <c r="A4" s="60" t="s">
        <v>352</v>
      </c>
      <c r="B4" s="60" t="s">
        <v>95</v>
      </c>
      <c r="C4" s="60" t="s">
        <v>353</v>
      </c>
      <c r="D4" s="60" t="s">
        <v>99</v>
      </c>
      <c r="E4" s="60"/>
      <c r="F4" s="60" t="s">
        <v>354</v>
      </c>
    </row>
    <row r="5" customFormat="false" ht="15" hidden="false" customHeight="false" outlineLevel="0" collapsed="false">
      <c r="A5" s="61" t="s">
        <v>355</v>
      </c>
      <c r="B5" s="61"/>
      <c r="C5" s="61" t="s">
        <v>356</v>
      </c>
      <c r="D5" s="59" t="s">
        <v>104</v>
      </c>
      <c r="F5" s="59" t="s">
        <v>357</v>
      </c>
    </row>
    <row r="6" customFormat="false" ht="15" hidden="false" customHeight="false" outlineLevel="0" collapsed="false">
      <c r="A6" s="62" t="s">
        <v>358</v>
      </c>
      <c r="B6" s="62" t="s">
        <v>308</v>
      </c>
      <c r="C6" s="67" t="n">
        <v>3</v>
      </c>
      <c r="D6" s="59" t="s">
        <v>119</v>
      </c>
      <c r="F6" s="59" t="s">
        <v>359</v>
      </c>
    </row>
    <row r="7" customFormat="false" ht="15" hidden="false" customHeight="false" outlineLevel="0" collapsed="false">
      <c r="A7" s="61" t="s">
        <v>360</v>
      </c>
      <c r="B7" s="62" t="s">
        <v>113</v>
      </c>
      <c r="C7" s="65" t="n">
        <f aca="false">SRC_PERF_005</f>
        <v>0.7</v>
      </c>
      <c r="D7" s="59" t="s">
        <v>361</v>
      </c>
      <c r="F7" s="59" t="s">
        <v>362</v>
      </c>
    </row>
    <row r="8" customFormat="false" ht="15" hidden="false" customHeight="false" outlineLevel="0" collapsed="false">
      <c r="A8" s="61" t="s">
        <v>363</v>
      </c>
      <c r="B8" s="62" t="s">
        <v>308</v>
      </c>
      <c r="C8" s="77" t="n">
        <f aca="false">(1-C7^(C6+1))/(1-C7)</f>
        <v>2.533</v>
      </c>
      <c r="D8" s="59" t="s">
        <v>162</v>
      </c>
      <c r="F8" s="59" t="s">
        <v>364</v>
      </c>
    </row>
    <row r="9" customFormat="false" ht="15" hidden="false" customHeight="false" outlineLevel="0" collapsed="false">
      <c r="A9" s="62" t="s">
        <v>365</v>
      </c>
      <c r="B9" s="62" t="s">
        <v>113</v>
      </c>
      <c r="C9" s="66" t="n">
        <v>0.1</v>
      </c>
      <c r="D9" s="59" t="s">
        <v>114</v>
      </c>
      <c r="F9" s="74" t="s">
        <v>366</v>
      </c>
    </row>
    <row r="10" customFormat="false" ht="15" hidden="false" customHeight="false" outlineLevel="0" collapsed="false">
      <c r="A10" s="61" t="s">
        <v>367</v>
      </c>
      <c r="B10" s="62" t="s">
        <v>113</v>
      </c>
      <c r="C10" s="66" t="n">
        <v>0.2</v>
      </c>
      <c r="D10" s="59" t="s">
        <v>114</v>
      </c>
      <c r="F10" s="74" t="s">
        <v>368</v>
      </c>
    </row>
    <row r="11" customFormat="false" ht="15" hidden="false" customHeight="false" outlineLevel="0" collapsed="false">
      <c r="A11" s="61" t="s">
        <v>369</v>
      </c>
      <c r="B11" s="62" t="s">
        <v>113</v>
      </c>
      <c r="C11" s="66" t="n">
        <v>0.4</v>
      </c>
      <c r="D11" s="59" t="s">
        <v>114</v>
      </c>
      <c r="F11" s="74" t="s">
        <v>370</v>
      </c>
    </row>
    <row r="12" customFormat="false" ht="15" hidden="false" customHeight="false" outlineLevel="0" collapsed="false">
      <c r="A12" s="62" t="s">
        <v>371</v>
      </c>
      <c r="B12" s="62" t="s">
        <v>287</v>
      </c>
      <c r="C12" s="78" t="n">
        <v>3</v>
      </c>
      <c r="D12" s="59" t="s">
        <v>119</v>
      </c>
      <c r="F12" s="59" t="s">
        <v>372</v>
      </c>
    </row>
    <row r="13" customFormat="false" ht="15" hidden="false" customHeight="false" outlineLevel="0" collapsed="false">
      <c r="A13" s="62" t="s">
        <v>373</v>
      </c>
      <c r="B13" s="62" t="s">
        <v>113</v>
      </c>
      <c r="C13" s="66" t="n">
        <v>0.7</v>
      </c>
      <c r="D13" s="59" t="s">
        <v>119</v>
      </c>
      <c r="F13" s="74" t="s">
        <v>374</v>
      </c>
    </row>
    <row r="14" customFormat="false" ht="15" hidden="false" customHeight="false" outlineLevel="0" collapsed="false">
      <c r="A14" s="62" t="s">
        <v>375</v>
      </c>
      <c r="B14" s="62" t="s">
        <v>113</v>
      </c>
      <c r="C14" s="66" t="n">
        <v>0.7</v>
      </c>
      <c r="D14" s="59" t="s">
        <v>119</v>
      </c>
      <c r="F14" s="74" t="s">
        <v>374</v>
      </c>
    </row>
    <row r="15" customFormat="false" ht="15" hidden="false" customHeight="false" outlineLevel="0" collapsed="false">
      <c r="A15" s="61" t="s">
        <v>376</v>
      </c>
      <c r="B15" s="62" t="s">
        <v>377</v>
      </c>
      <c r="C15" s="79" t="n">
        <v>0.1</v>
      </c>
      <c r="D15" s="59" t="s">
        <v>114</v>
      </c>
      <c r="F15" s="74" t="s">
        <v>378</v>
      </c>
    </row>
    <row r="16" customFormat="false" ht="15" hidden="false" customHeight="false" outlineLevel="0" collapsed="false">
      <c r="A16" s="61" t="s">
        <v>379</v>
      </c>
      <c r="B16" s="61" t="s">
        <v>108</v>
      </c>
      <c r="C16" s="67" t="n">
        <v>1</v>
      </c>
      <c r="D16" s="59" t="s">
        <v>104</v>
      </c>
      <c r="F16" s="59" t="s">
        <v>380</v>
      </c>
    </row>
    <row r="17" customFormat="false" ht="15" hidden="false" customHeight="false" outlineLevel="0" collapsed="false">
      <c r="A17" s="61" t="s">
        <v>381</v>
      </c>
      <c r="B17" s="62" t="s">
        <v>113</v>
      </c>
      <c r="C17" s="80" t="n">
        <v>0.6</v>
      </c>
      <c r="D17" s="59" t="s">
        <v>114</v>
      </c>
      <c r="F17" s="59" t="s">
        <v>382</v>
      </c>
    </row>
    <row r="18" customFormat="false" ht="15" hidden="false" customHeight="false" outlineLevel="0" collapsed="false">
      <c r="A18" s="61" t="s">
        <v>383</v>
      </c>
      <c r="B18" s="62" t="s">
        <v>118</v>
      </c>
      <c r="C18" s="81" t="n">
        <v>1</v>
      </c>
      <c r="D18" s="59" t="s">
        <v>114</v>
      </c>
      <c r="F18" s="74" t="s">
        <v>384</v>
      </c>
    </row>
    <row r="19" customFormat="false" ht="15" hidden="false" customHeight="false" outlineLevel="0" collapsed="false">
      <c r="A19" s="69" t="s">
        <v>385</v>
      </c>
      <c r="B19" s="70"/>
      <c r="C19" s="70"/>
      <c r="D19" s="70"/>
      <c r="E19" s="70"/>
      <c r="F19" s="70"/>
    </row>
    <row r="20" customFormat="false" ht="15" hidden="false" customHeight="false" outlineLevel="0" collapsed="false">
      <c r="A20" s="60" t="s">
        <v>386</v>
      </c>
      <c r="B20" s="60" t="s">
        <v>95</v>
      </c>
      <c r="C20" s="82" t="str">
        <f aca="false">Arch!C4</f>
        <v>Luna（低層）</v>
      </c>
      <c r="D20" s="82" t="str">
        <f aca="false">Arch!D4</f>
        <v>Sol（中層）</v>
      </c>
      <c r="E20" s="82" t="str">
        <f aca="false">Arch!E4</f>
        <v>Astra（頂層）</v>
      </c>
      <c r="F20" s="60" t="s">
        <v>354</v>
      </c>
      <c r="G20" s="74" t="s">
        <v>387</v>
      </c>
    </row>
    <row r="21" customFormat="false" ht="15" hidden="false" customHeight="false" outlineLevel="0" collapsed="false">
      <c r="A21" s="62" t="s">
        <v>388</v>
      </c>
      <c r="B21" s="62" t="s">
        <v>389</v>
      </c>
      <c r="C21" s="63" t="n">
        <f aca="false">SQRT(SRC_PERF_066*SRC_PERF_067)</f>
        <v>84.3000593119602</v>
      </c>
      <c r="D21" s="63" t="n">
        <f aca="false">SQRT(SRC_PERF_068*SRC_PERF_069)</f>
        <v>43.31166124729</v>
      </c>
      <c r="E21" s="63" t="n">
        <f aca="false">SQRT(SRC_PERF_070*SRC_PERF_071)</f>
        <v>40.8313604965595</v>
      </c>
      <c r="F21" s="59" t="s">
        <v>390</v>
      </c>
    </row>
    <row r="22" customFormat="false" ht="15" hidden="false" customHeight="false" outlineLevel="0" collapsed="false">
      <c r="A22" s="62" t="s">
        <v>391</v>
      </c>
      <c r="B22" s="62" t="s">
        <v>392</v>
      </c>
      <c r="C22" s="78" t="n">
        <v>2</v>
      </c>
      <c r="D22" s="78" t="n">
        <v>3</v>
      </c>
      <c r="E22" s="78" t="n">
        <v>5</v>
      </c>
      <c r="F22" s="59" t="s">
        <v>114</v>
      </c>
    </row>
    <row r="23" customFormat="false" ht="15" hidden="false" customHeight="false" outlineLevel="0" collapsed="false">
      <c r="A23" s="61" t="s">
        <v>393</v>
      </c>
      <c r="B23" s="62" t="s">
        <v>308</v>
      </c>
      <c r="C23" s="64" t="n">
        <v>8192</v>
      </c>
      <c r="D23" s="64" t="n">
        <v>16384</v>
      </c>
      <c r="E23" s="64" t="n">
        <v>32768</v>
      </c>
      <c r="F23" s="59" t="s">
        <v>394</v>
      </c>
    </row>
    <row r="24" customFormat="false" ht="15" hidden="false" customHeight="false" outlineLevel="0" collapsed="false">
      <c r="A24" s="61" t="s">
        <v>395</v>
      </c>
      <c r="B24" s="62" t="s">
        <v>308</v>
      </c>
      <c r="C24" s="64" t="n">
        <v>1024</v>
      </c>
      <c r="D24" s="64" t="n">
        <v>2048</v>
      </c>
      <c r="E24" s="64" t="n">
        <v>4096</v>
      </c>
      <c r="F24" s="59" t="s">
        <v>114</v>
      </c>
    </row>
    <row r="25" customFormat="false" ht="15" hidden="false" customHeight="false" outlineLevel="0" collapsed="false">
      <c r="A25" s="62" t="s">
        <v>396</v>
      </c>
      <c r="B25" s="62" t="s">
        <v>308</v>
      </c>
      <c r="C25" s="68" t="n">
        <f aca="false">C23+C24/2</f>
        <v>8704</v>
      </c>
      <c r="D25" s="68" t="n">
        <f aca="false">D23+D24/2</f>
        <v>17408</v>
      </c>
      <c r="E25" s="68" t="n">
        <f aca="false">E23+E24/2</f>
        <v>34816</v>
      </c>
      <c r="F25" s="59" t="s">
        <v>162</v>
      </c>
    </row>
    <row r="26" customFormat="false" ht="15" hidden="false" customHeight="false" outlineLevel="0" collapsed="false">
      <c r="A26" s="62" t="s">
        <v>397</v>
      </c>
      <c r="B26" s="62" t="s">
        <v>308</v>
      </c>
      <c r="C26" s="68" t="n">
        <f aca="false">C23/2</f>
        <v>4096</v>
      </c>
      <c r="D26" s="68" t="n">
        <f aca="false">D23/2</f>
        <v>8192</v>
      </c>
      <c r="E26" s="68" t="n">
        <f aca="false">E23/2</f>
        <v>16384</v>
      </c>
      <c r="F26" s="59" t="s">
        <v>162</v>
      </c>
    </row>
    <row r="28" customFormat="false" ht="15" hidden="false" customHeight="false" outlineLevel="0" collapsed="false">
      <c r="A28" s="61" t="s">
        <v>398</v>
      </c>
      <c r="B28" s="62" t="s">
        <v>118</v>
      </c>
      <c r="C28" s="81" t="n">
        <v>0.85</v>
      </c>
      <c r="D28" s="59" t="s">
        <v>114</v>
      </c>
      <c r="F28" s="59" t="s">
        <v>399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70"/>
  </cols>
  <sheetData>
    <row r="1" customFormat="false" ht="20.1" hidden="false" customHeight="false" outlineLevel="0" collapsed="false">
      <c r="A1" s="58" t="s">
        <v>400</v>
      </c>
    </row>
    <row r="2" customFormat="false" ht="15" hidden="false" customHeight="false" outlineLevel="0" collapsed="false">
      <c r="A2" s="74" t="s">
        <v>401</v>
      </c>
    </row>
    <row r="4" customFormat="false" ht="30" hidden="false" customHeight="true" outlineLevel="0" collapsed="false">
      <c r="A4" s="60" t="s">
        <v>94</v>
      </c>
      <c r="B4" s="60" t="s">
        <v>95</v>
      </c>
      <c r="C4" s="83" t="s">
        <v>402</v>
      </c>
      <c r="D4" s="83" t="s">
        <v>403</v>
      </c>
      <c r="E4" s="83" t="s">
        <v>404</v>
      </c>
      <c r="F4" s="83" t="s">
        <v>405</v>
      </c>
      <c r="G4" s="84" t="s">
        <v>406</v>
      </c>
      <c r="H4" s="60" t="s">
        <v>354</v>
      </c>
    </row>
    <row r="5" customFormat="false" ht="15" hidden="false" customHeight="false" outlineLevel="0" collapsed="false">
      <c r="A5" s="61" t="s">
        <v>407</v>
      </c>
      <c r="B5" s="61" t="s">
        <v>408</v>
      </c>
      <c r="C5" s="64" t="n">
        <v>1</v>
      </c>
      <c r="D5" s="64" t="n">
        <v>1</v>
      </c>
      <c r="E5" s="64" t="n">
        <v>4</v>
      </c>
      <c r="F5" s="64" t="n">
        <v>4</v>
      </c>
      <c r="G5" s="64" t="n">
        <v>30</v>
      </c>
      <c r="H5" s="59" t="s">
        <v>409</v>
      </c>
    </row>
    <row r="6" customFormat="false" ht="15" hidden="false" customHeight="false" outlineLevel="0" collapsed="false">
      <c r="A6" s="61" t="s">
        <v>410</v>
      </c>
      <c r="B6" s="62" t="s">
        <v>308</v>
      </c>
      <c r="C6" s="64" t="n">
        <v>2000</v>
      </c>
      <c r="D6" s="64" t="n">
        <v>2000</v>
      </c>
      <c r="E6" s="64" t="n">
        <v>3000</v>
      </c>
      <c r="F6" s="64" t="n">
        <v>3000</v>
      </c>
      <c r="G6" s="64" t="n">
        <v>12000</v>
      </c>
      <c r="H6" s="59" t="s">
        <v>114</v>
      </c>
    </row>
    <row r="7" customFormat="false" ht="15" hidden="false" customHeight="false" outlineLevel="0" collapsed="false">
      <c r="A7" s="61" t="s">
        <v>411</v>
      </c>
      <c r="B7" s="62" t="s">
        <v>308</v>
      </c>
      <c r="C7" s="64" t="n">
        <v>500</v>
      </c>
      <c r="D7" s="64" t="n">
        <v>500</v>
      </c>
      <c r="E7" s="64" t="n">
        <v>1200</v>
      </c>
      <c r="F7" s="64" t="n">
        <v>1200</v>
      </c>
      <c r="G7" s="64" t="n">
        <v>2000</v>
      </c>
      <c r="H7" s="59" t="s">
        <v>114</v>
      </c>
    </row>
    <row r="8" customFormat="false" ht="15" hidden="false" customHeight="false" outlineLevel="0" collapsed="false">
      <c r="A8" s="61" t="s">
        <v>412</v>
      </c>
      <c r="B8" s="62" t="s">
        <v>308</v>
      </c>
      <c r="C8" s="64" t="n">
        <v>0</v>
      </c>
      <c r="D8" s="64" t="n">
        <v>3000</v>
      </c>
      <c r="E8" s="64" t="n">
        <v>400</v>
      </c>
      <c r="F8" s="64" t="n">
        <v>400</v>
      </c>
      <c r="G8" s="64" t="n">
        <v>600</v>
      </c>
      <c r="H8" s="59" t="s">
        <v>413</v>
      </c>
    </row>
    <row r="9" customFormat="false" ht="15" hidden="false" customHeight="false" outlineLevel="0" collapsed="false">
      <c r="A9" s="61" t="s">
        <v>414</v>
      </c>
      <c r="B9" s="62" t="s">
        <v>308</v>
      </c>
      <c r="C9" s="64" t="n">
        <v>500</v>
      </c>
      <c r="D9" s="64" t="n">
        <v>700</v>
      </c>
      <c r="E9" s="64" t="n">
        <v>200</v>
      </c>
      <c r="F9" s="64" t="n">
        <v>200</v>
      </c>
      <c r="G9" s="64" t="n">
        <v>400</v>
      </c>
      <c r="H9" s="59" t="s">
        <v>114</v>
      </c>
    </row>
    <row r="10" customFormat="false" ht="15" hidden="false" customHeight="false" outlineLevel="0" collapsed="false">
      <c r="A10" s="61" t="s">
        <v>415</v>
      </c>
      <c r="B10" s="62" t="s">
        <v>113</v>
      </c>
      <c r="C10" s="66" t="n">
        <v>0</v>
      </c>
      <c r="D10" s="66" t="n">
        <v>0</v>
      </c>
      <c r="E10" s="66" t="n">
        <v>0</v>
      </c>
      <c r="F10" s="66" t="n">
        <v>0</v>
      </c>
      <c r="G10" s="66" t="n">
        <v>0</v>
      </c>
      <c r="H10" s="59" t="s">
        <v>416</v>
      </c>
    </row>
    <row r="11" customFormat="false" ht="15" hidden="false" customHeight="false" outlineLevel="0" collapsed="false">
      <c r="A11" s="61" t="s">
        <v>417</v>
      </c>
      <c r="B11" s="62" t="s">
        <v>113</v>
      </c>
      <c r="C11" s="66" t="n">
        <v>0.5</v>
      </c>
      <c r="D11" s="66" t="n">
        <v>0.5</v>
      </c>
      <c r="E11" s="66" t="n">
        <v>0.9</v>
      </c>
      <c r="F11" s="66" t="n">
        <v>0.9</v>
      </c>
      <c r="G11" s="66" t="n">
        <v>0.9</v>
      </c>
      <c r="H11" s="59" t="s">
        <v>418</v>
      </c>
    </row>
    <row r="12" customFormat="false" ht="15" hidden="false" customHeight="false" outlineLevel="0" collapsed="false">
      <c r="A12" s="61" t="s">
        <v>419</v>
      </c>
      <c r="B12" s="61" t="s">
        <v>345</v>
      </c>
      <c r="C12" s="67" t="n">
        <v>0</v>
      </c>
      <c r="D12" s="67" t="n">
        <v>0</v>
      </c>
      <c r="E12" s="67" t="n">
        <v>0</v>
      </c>
      <c r="F12" s="67" t="n">
        <v>3</v>
      </c>
      <c r="G12" s="67" t="n">
        <v>0</v>
      </c>
      <c r="H12" s="59" t="s">
        <v>420</v>
      </c>
    </row>
    <row r="13" customFormat="false" ht="15" hidden="false" customHeight="false" outlineLevel="0" collapsed="false">
      <c r="A13" s="62" t="s">
        <v>421</v>
      </c>
      <c r="B13" s="62" t="s">
        <v>118</v>
      </c>
      <c r="C13" s="79" t="n">
        <v>1</v>
      </c>
      <c r="D13" s="79" t="n">
        <v>1</v>
      </c>
      <c r="E13" s="79" t="n">
        <v>1</v>
      </c>
      <c r="F13" s="79" t="n">
        <v>1</v>
      </c>
      <c r="G13" s="79" t="n">
        <v>1</v>
      </c>
      <c r="H13" s="59" t="s">
        <v>422</v>
      </c>
    </row>
    <row r="14" customFormat="false" ht="15" hidden="false" customHeight="false" outlineLevel="0" collapsed="false">
      <c r="A14" s="61" t="s">
        <v>423</v>
      </c>
      <c r="B14" s="62" t="s">
        <v>118</v>
      </c>
      <c r="C14" s="79" t="n">
        <v>1</v>
      </c>
      <c r="D14" s="79" t="n">
        <v>1</v>
      </c>
      <c r="E14" s="79" t="n">
        <v>1</v>
      </c>
      <c r="F14" s="79" t="n">
        <v>1</v>
      </c>
      <c r="G14" s="79" t="n">
        <v>1</v>
      </c>
      <c r="H14" s="74" t="s">
        <v>424</v>
      </c>
    </row>
    <row r="16" customFormat="false" ht="15" hidden="false" customHeight="false" outlineLevel="0" collapsed="false">
      <c r="A16" s="69" t="s">
        <v>425</v>
      </c>
      <c r="B16" s="70"/>
      <c r="C16" s="70"/>
      <c r="D16" s="70"/>
      <c r="E16" s="70"/>
      <c r="F16" s="70"/>
      <c r="G16" s="70"/>
      <c r="H16" s="70"/>
    </row>
    <row r="17" customFormat="false" ht="15" hidden="false" customHeight="false" outlineLevel="0" collapsed="false">
      <c r="A17" s="62" t="s">
        <v>426</v>
      </c>
      <c r="B17" s="62" t="s">
        <v>118</v>
      </c>
      <c r="C17" s="77" t="n">
        <f aca="false">B5_W</f>
        <v>0</v>
      </c>
      <c r="D17" s="77" t="n">
        <f aca="false">B5_W</f>
        <v>0</v>
      </c>
      <c r="E17" s="77" t="n">
        <f aca="false">B5_W</f>
        <v>0</v>
      </c>
      <c r="F17" s="77" t="n">
        <f aca="false">B5_W</f>
        <v>0</v>
      </c>
      <c r="G17" s="77" t="n">
        <f aca="false">B5_W</f>
        <v>0</v>
      </c>
    </row>
    <row r="18" customFormat="false" ht="15" hidden="false" customHeight="false" outlineLevel="0" collapsed="false">
      <c r="A18" s="61" t="s">
        <v>427</v>
      </c>
      <c r="B18" s="61" t="s">
        <v>408</v>
      </c>
      <c r="C18" s="75" t="n">
        <f aca="false">C5*(1+B5_W*(INDEX(B5_SelT,1,1)-1))</f>
        <v>1</v>
      </c>
      <c r="D18" s="75" t="n">
        <f aca="false">D5*(1+B5_W*(INDEX(B5_SelT,1,2)-1))</f>
        <v>1</v>
      </c>
      <c r="E18" s="75" t="n">
        <f aca="false">E5*(1+B5_W*(INDEX(B5_SelT,1,3)-1))</f>
        <v>4</v>
      </c>
      <c r="F18" s="75" t="n">
        <f aca="false">F5*(1+B5_W*(INDEX(B5_SelT,1,4)-1))</f>
        <v>4</v>
      </c>
      <c r="G18" s="75" t="n">
        <f aca="false">G5*(1+B5_W*(INDEX(B5_SelT,1,5)-1))</f>
        <v>30</v>
      </c>
    </row>
    <row r="19" customFormat="false" ht="15" hidden="false" customHeight="false" outlineLevel="0" collapsed="false">
      <c r="A19" s="61" t="s">
        <v>428</v>
      </c>
      <c r="B19" s="62" t="s">
        <v>308</v>
      </c>
      <c r="C19" s="68" t="n">
        <f aca="false">C8*(1+B5_W*(INDEX(B5_SelH,1,1)-1))</f>
        <v>0</v>
      </c>
      <c r="D19" s="68" t="n">
        <f aca="false">D8*(1+B5_W*(INDEX(B5_SelH,1,2)-1))</f>
        <v>3000</v>
      </c>
      <c r="E19" s="68" t="n">
        <f aca="false">E8*(1+B5_W*(INDEX(B5_SelH,1,3)-1))</f>
        <v>400</v>
      </c>
      <c r="F19" s="68" t="n">
        <f aca="false">F8*(1+B5_W*(INDEX(B5_SelH,1,4)-1))</f>
        <v>400</v>
      </c>
      <c r="G19" s="68" t="n">
        <f aca="false">G8*(1+B5_W*(INDEX(B5_SelH,1,5)-1))</f>
        <v>600</v>
      </c>
    </row>
    <row r="20" customFormat="false" ht="15" hidden="false" customHeight="false" outlineLevel="0" collapsed="false">
      <c r="A20" s="61" t="s">
        <v>429</v>
      </c>
      <c r="B20" s="62" t="s">
        <v>113</v>
      </c>
      <c r="C20" s="85" t="n">
        <f aca="false">C10+B5_W*(INDEX(B5_Selrho,1,1)-C10)</f>
        <v>0</v>
      </c>
      <c r="D20" s="85" t="n">
        <f aca="false">D10+B5_W*(INDEX(B5_Selrho,1,2)-D10)</f>
        <v>0</v>
      </c>
      <c r="E20" s="85" t="n">
        <f aca="false">E10+B5_W*(INDEX(B5_Selrho,1,3)-E10)</f>
        <v>0</v>
      </c>
      <c r="F20" s="85" t="n">
        <f aca="false">F10+B5_W*(INDEX(B5_Selrho,1,4)-F10)</f>
        <v>0</v>
      </c>
      <c r="G20" s="85" t="n">
        <f aca="false">G10+B5_W*(INDEX(B5_Selrho,1,5)-G10)</f>
        <v>0</v>
      </c>
    </row>
    <row r="21" customFormat="false" ht="15" hidden="false" customHeight="false" outlineLevel="0" collapsed="false">
      <c r="A21" s="61" t="s">
        <v>430</v>
      </c>
      <c r="B21" s="62" t="s">
        <v>113</v>
      </c>
      <c r="C21" s="85" t="n">
        <f aca="false">MIN(1,MAX(0,C11+B5_W*INDEX(B5_SelDChi,1,1)))</f>
        <v>0.5</v>
      </c>
      <c r="D21" s="85" t="n">
        <f aca="false">MIN(1,MAX(0,D11+B5_W*INDEX(B5_SelDChi,1,2)))</f>
        <v>0.5</v>
      </c>
      <c r="E21" s="85" t="n">
        <f aca="false">MIN(1,MAX(0,E11+B5_W*INDEX(B5_SelDChi,1,3)))</f>
        <v>0.9</v>
      </c>
      <c r="F21" s="85" t="n">
        <f aca="false">MIN(1,MAX(0,F11+B5_W*INDEX(B5_SelDChi,1,4)))</f>
        <v>0.9</v>
      </c>
      <c r="G21" s="85" t="n">
        <f aca="false">MIN(1,MAX(0,G11+B5_W*INDEX(B5_SelDChi,1,5)))</f>
        <v>0.9</v>
      </c>
    </row>
    <row r="22" customFormat="false" ht="15" hidden="false" customHeight="false" outlineLevel="0" collapsed="false">
      <c r="A22" s="61" t="s">
        <v>431</v>
      </c>
      <c r="B22" s="61" t="s">
        <v>345</v>
      </c>
      <c r="C22" s="86" t="n">
        <f aca="false">C12+B5_W*INDEX(B5_SelDM,1,1)</f>
        <v>0</v>
      </c>
      <c r="D22" s="86" t="n">
        <f aca="false">D12+B5_W*INDEX(B5_SelDM,1,2)</f>
        <v>0</v>
      </c>
      <c r="E22" s="86" t="n">
        <f aca="false">E12+B5_W*INDEX(B5_SelDM,1,3)</f>
        <v>0</v>
      </c>
      <c r="F22" s="86" t="n">
        <f aca="false">F12+B5_W*INDEX(B5_SelDM,1,4)</f>
        <v>3</v>
      </c>
      <c r="G22" s="86" t="n">
        <f aca="false">G12+B5_W*INDEX(B5_SelDM,1,5)</f>
        <v>0</v>
      </c>
    </row>
    <row r="23" customFormat="false" ht="15" hidden="false" customHeight="false" outlineLevel="0" collapsed="false">
      <c r="A23" s="61" t="s">
        <v>432</v>
      </c>
      <c r="B23" s="62" t="s">
        <v>118</v>
      </c>
      <c r="C23" s="77" t="n">
        <f aca="false">C14+B5_W*(INDEX(B5_SelC,1,1)-C14)</f>
        <v>1</v>
      </c>
      <c r="D23" s="77" t="n">
        <f aca="false">D14+B5_W*(INDEX(B5_SelC,1,2)-D14)</f>
        <v>1</v>
      </c>
      <c r="E23" s="77" t="n">
        <f aca="false">E14+B5_W*(INDEX(B5_SelC,1,3)-E14)</f>
        <v>1</v>
      </c>
      <c r="F23" s="77" t="n">
        <f aca="false">F14+B5_W*(INDEX(B5_SelC,1,4)-F14)</f>
        <v>1</v>
      </c>
      <c r="G23" s="77" t="n">
        <f aca="false">G14+B5_W*(INDEX(B5_SelC,1,5)-G14)</f>
        <v>1</v>
      </c>
    </row>
    <row r="25" customFormat="false" ht="15" hidden="false" customHeight="false" outlineLevel="0" collapsed="false">
      <c r="A25" s="69" t="s">
        <v>433</v>
      </c>
      <c r="B25" s="70"/>
      <c r="C25" s="70"/>
      <c r="D25" s="70"/>
      <c r="E25" s="70"/>
      <c r="F25" s="70"/>
      <c r="G25" s="70"/>
      <c r="H25" s="70"/>
    </row>
    <row r="26" customFormat="false" ht="15" hidden="false" customHeight="false" outlineLevel="0" collapsed="false">
      <c r="A26" s="61" t="s">
        <v>434</v>
      </c>
      <c r="B26" s="62" t="s">
        <v>308</v>
      </c>
      <c r="C26" s="68" t="n">
        <f aca="false">C7+C9+C20*C19</f>
        <v>1000</v>
      </c>
      <c r="D26" s="68" t="n">
        <f aca="false">D7+D9+D20*D19</f>
        <v>1200</v>
      </c>
      <c r="E26" s="68" t="n">
        <f aca="false">E7+E9+E20*E19</f>
        <v>1400</v>
      </c>
      <c r="F26" s="68" t="n">
        <f aca="false">F7+F9+F20*F19</f>
        <v>1400</v>
      </c>
      <c r="G26" s="68" t="n">
        <f aca="false">G7+G9+G20*G19</f>
        <v>2400</v>
      </c>
    </row>
    <row r="27" customFormat="false" ht="15" hidden="false" customHeight="false" outlineLevel="0" collapsed="false">
      <c r="A27" s="61" t="s">
        <v>435</v>
      </c>
      <c r="B27" s="62" t="s">
        <v>308</v>
      </c>
      <c r="C27" s="68" t="n">
        <f aca="false">C18*(C6+C7)+C23*C26*C18*(C18-1)/2</f>
        <v>2500</v>
      </c>
      <c r="D27" s="68" t="n">
        <f aca="false">D18*(D6+D7)+D23*D26*D18*(D18-1)/2</f>
        <v>2500</v>
      </c>
      <c r="E27" s="68" t="n">
        <f aca="false">E18*(E6+E7)+E23*E26*E18*(E18-1)/2</f>
        <v>25200</v>
      </c>
      <c r="F27" s="68" t="n">
        <f aca="false">F18*(F6+F7)+F23*F26*F18*(F18-1)/2</f>
        <v>25200</v>
      </c>
      <c r="G27" s="68" t="n">
        <f aca="false">G18*(G6+G7)+G23*G26*G18*(G18-1)/2</f>
        <v>1464000</v>
      </c>
    </row>
    <row r="28" customFormat="false" ht="15" hidden="false" customHeight="false" outlineLevel="0" collapsed="false">
      <c r="A28" s="61" t="s">
        <v>436</v>
      </c>
      <c r="B28" s="62" t="s">
        <v>308</v>
      </c>
      <c r="C28" s="68" t="n">
        <f aca="false">C21*(C18*C6+C23*C26*C18*(C18-1)/2)</f>
        <v>1000</v>
      </c>
      <c r="D28" s="68" t="n">
        <f aca="false">D21*(D18*D6+D23*D26*D18*(D18-1)/2)</f>
        <v>1000</v>
      </c>
      <c r="E28" s="68" t="n">
        <f aca="false">E21*(E18*E6+E23*E26*E18*(E18-1)/2)</f>
        <v>18360</v>
      </c>
      <c r="F28" s="68" t="n">
        <f aca="false">F21*(F18*F6+F23*F26*F18*(F18-1)/2)</f>
        <v>18360</v>
      </c>
      <c r="G28" s="68" t="n">
        <f aca="false">G21*(G18*G6+G23*G26*G18*(G18-1)/2)</f>
        <v>1263600</v>
      </c>
    </row>
    <row r="29" customFormat="false" ht="15" hidden="false" customHeight="false" outlineLevel="0" collapsed="false">
      <c r="A29" s="61" t="s">
        <v>437</v>
      </c>
      <c r="B29" s="62" t="s">
        <v>308</v>
      </c>
      <c r="C29" s="68" t="n">
        <f aca="false">C27-C28</f>
        <v>1500</v>
      </c>
      <c r="D29" s="68" t="n">
        <f aca="false">D27-D28</f>
        <v>1500</v>
      </c>
      <c r="E29" s="68" t="n">
        <f aca="false">E27-E28</f>
        <v>6840</v>
      </c>
      <c r="F29" s="68" t="n">
        <f aca="false">F27-F28</f>
        <v>6840</v>
      </c>
      <c r="G29" s="68" t="n">
        <f aca="false">G27-G28</f>
        <v>200400</v>
      </c>
    </row>
    <row r="30" customFormat="false" ht="15" hidden="false" customHeight="false" outlineLevel="0" collapsed="false">
      <c r="A30" s="61" t="s">
        <v>438</v>
      </c>
      <c r="B30" s="62" t="s">
        <v>308</v>
      </c>
      <c r="C30" s="68" t="n">
        <f aca="false">C18*(C19+C9)</f>
        <v>500</v>
      </c>
      <c r="D30" s="68" t="n">
        <f aca="false">D18*(D19+D9)</f>
        <v>3700</v>
      </c>
      <c r="E30" s="68" t="n">
        <f aca="false">E18*(E19+E9)</f>
        <v>2400</v>
      </c>
      <c r="F30" s="68" t="n">
        <f aca="false">F18*(F19+F9)</f>
        <v>2400</v>
      </c>
      <c r="G30" s="68" t="n">
        <f aca="false">G18*(G19+G9)</f>
        <v>30000</v>
      </c>
    </row>
    <row r="31" customFormat="false" ht="15" hidden="false" customHeight="false" outlineLevel="0" collapsed="false">
      <c r="A31" s="61" t="s">
        <v>439</v>
      </c>
      <c r="B31" s="62" t="s">
        <v>118</v>
      </c>
      <c r="C31" s="77" t="n">
        <f aca="false">(1+C22)*C13</f>
        <v>1</v>
      </c>
      <c r="D31" s="77" t="n">
        <f aca="false">(1+D22)*D13</f>
        <v>1</v>
      </c>
      <c r="E31" s="77" t="n">
        <f aca="false">(1+E22)*E13</f>
        <v>1</v>
      </c>
      <c r="F31" s="77" t="n">
        <f aca="false">(1+F22)*F13</f>
        <v>4</v>
      </c>
      <c r="G31" s="77" t="n">
        <f aca="false">(1+G22)*G13</f>
        <v>1</v>
      </c>
    </row>
    <row r="32" customFormat="false" ht="15" hidden="false" customHeight="false" outlineLevel="0" collapsed="false">
      <c r="A32" s="61" t="s">
        <v>440</v>
      </c>
      <c r="B32" s="62" t="s">
        <v>308</v>
      </c>
      <c r="C32" s="68" t="n">
        <f aca="false">C29*C31</f>
        <v>1500</v>
      </c>
      <c r="D32" s="68" t="n">
        <f aca="false">D29*D31</f>
        <v>1500</v>
      </c>
      <c r="E32" s="68" t="n">
        <f aca="false">E29*E31</f>
        <v>6840</v>
      </c>
      <c r="F32" s="68" t="n">
        <f aca="false">F29*F31</f>
        <v>27360</v>
      </c>
      <c r="G32" s="68" t="n">
        <f aca="false">G29*G31</f>
        <v>200400</v>
      </c>
    </row>
    <row r="33" customFormat="false" ht="15" hidden="false" customHeight="false" outlineLevel="0" collapsed="false">
      <c r="A33" s="61" t="s">
        <v>441</v>
      </c>
      <c r="B33" s="62" t="s">
        <v>308</v>
      </c>
      <c r="C33" s="68" t="n">
        <f aca="false">C28*C31</f>
        <v>1000</v>
      </c>
      <c r="D33" s="68" t="n">
        <f aca="false">D28*D31</f>
        <v>1000</v>
      </c>
      <c r="E33" s="68" t="n">
        <f aca="false">E28*E31</f>
        <v>18360</v>
      </c>
      <c r="F33" s="68" t="n">
        <f aca="false">F28*F31</f>
        <v>73440</v>
      </c>
      <c r="G33" s="68" t="n">
        <f aca="false">G28*G31</f>
        <v>1263600</v>
      </c>
    </row>
    <row r="34" customFormat="false" ht="15" hidden="false" customHeight="false" outlineLevel="0" collapsed="false">
      <c r="A34" s="61" t="s">
        <v>442</v>
      </c>
      <c r="B34" s="62" t="s">
        <v>308</v>
      </c>
      <c r="C34" s="68" t="n">
        <f aca="false">C30*C31</f>
        <v>500</v>
      </c>
      <c r="D34" s="68" t="n">
        <f aca="false">D30*D31</f>
        <v>3700</v>
      </c>
      <c r="E34" s="68" t="n">
        <f aca="false">E30*E31</f>
        <v>2400</v>
      </c>
      <c r="F34" s="68" t="n">
        <f aca="false">F30*F31</f>
        <v>9600</v>
      </c>
      <c r="G34" s="68" t="n">
        <f aca="false">G30*G31</f>
        <v>30000</v>
      </c>
    </row>
    <row r="35" customFormat="false" ht="15" hidden="false" customHeight="false" outlineLevel="0" collapsed="false">
      <c r="A35" s="61" t="s">
        <v>443</v>
      </c>
      <c r="B35" s="62" t="s">
        <v>308</v>
      </c>
      <c r="C35" s="71" t="n">
        <f aca="false">C32+C33+C34</f>
        <v>3000</v>
      </c>
      <c r="D35" s="71" t="n">
        <f aca="false">D32+D33+D34</f>
        <v>6200</v>
      </c>
      <c r="E35" s="71" t="n">
        <f aca="false">E32+E33+E34</f>
        <v>27600</v>
      </c>
      <c r="F35" s="71" t="n">
        <f aca="false">F32+F33+F34</f>
        <v>110400</v>
      </c>
      <c r="G35" s="71" t="n">
        <f aca="false">G32+G33+G34</f>
        <v>1494000</v>
      </c>
    </row>
    <row r="36" customFormat="false" ht="26.85" hidden="false" customHeight="false" outlineLevel="0" collapsed="false">
      <c r="A36" s="62" t="s">
        <v>396</v>
      </c>
      <c r="B36" s="62" t="s">
        <v>308</v>
      </c>
      <c r="C36" s="68" t="n">
        <f aca="false">C6+C7+(C18-1)/2*C23*C26+(C19+C9)/2</f>
        <v>2750</v>
      </c>
      <c r="D36" s="68" t="n">
        <f aca="false">D6+D7+(D18-1)/2*D23*D26+(D19+D9)/2</f>
        <v>4350</v>
      </c>
      <c r="E36" s="68" t="n">
        <f aca="false">E6+E7+(E18-1)/2*E23*E26+(E19+E9)/2</f>
        <v>6600</v>
      </c>
      <c r="F36" s="68" t="n">
        <f aca="false">F6+F7+(F18-1)/2*F23*F26+(F19+F9)/2</f>
        <v>6600</v>
      </c>
      <c r="G36" s="68" t="n">
        <f aca="false">G6+G7+(G18-1)/2*G23*G26+(G19+G9)/2</f>
        <v>49300</v>
      </c>
      <c r="H36" s="87" t="s">
        <v>444</v>
      </c>
    </row>
    <row r="37" customFormat="false" ht="15" hidden="false" customHeight="false" outlineLevel="0" collapsed="false">
      <c r="A37" s="61" t="s">
        <v>445</v>
      </c>
      <c r="B37" s="62" t="s">
        <v>113</v>
      </c>
      <c r="C37" s="85" t="n">
        <f aca="false">IF(C19+C9&gt;0,C19/(C19+C9),0)</f>
        <v>0</v>
      </c>
      <c r="D37" s="85" t="n">
        <f aca="false">IF(D19+D9&gt;0,D19/(D19+D9),0)</f>
        <v>0.810810810810811</v>
      </c>
      <c r="E37" s="85" t="n">
        <f aca="false">IF(E19+E9&gt;0,E19/(E19+E9),0)</f>
        <v>0.666666666666667</v>
      </c>
      <c r="F37" s="85" t="n">
        <f aca="false">IF(F19+F9&gt;0,F19/(F19+F9),0)</f>
        <v>0.666666666666667</v>
      </c>
      <c r="G37" s="85" t="n">
        <f aca="false">IF(G19+G9&gt;0,G19/(G19+G9),0)</f>
        <v>0.6</v>
      </c>
    </row>
    <row r="38" customFormat="false" ht="15" hidden="false" customHeight="false" outlineLevel="0" collapsed="false">
      <c r="A38" s="61" t="s">
        <v>446</v>
      </c>
      <c r="B38" s="62" t="s">
        <v>118</v>
      </c>
      <c r="C38" s="88" t="n">
        <f aca="false">C35/$C$35</f>
        <v>1</v>
      </c>
      <c r="D38" s="88" t="n">
        <f aca="false">D35/$C$35</f>
        <v>2.06666666666667</v>
      </c>
      <c r="E38" s="88" t="n">
        <f aca="false">E35/$C$35</f>
        <v>9.2</v>
      </c>
      <c r="F38" s="88" t="n">
        <f aca="false">F35/$C$35</f>
        <v>36.8</v>
      </c>
      <c r="G38" s="88" t="n">
        <f aca="false">G35/$C$35</f>
        <v>498</v>
      </c>
    </row>
    <row r="39" customFormat="false" ht="15" hidden="false" customHeight="false" outlineLevel="0" collapsed="false">
      <c r="A39" s="61" t="s">
        <v>447</v>
      </c>
      <c r="B39" s="62" t="s">
        <v>118</v>
      </c>
      <c r="C39" s="86" t="n">
        <f aca="false">C35/$D$35</f>
        <v>0.483870967741936</v>
      </c>
      <c r="D39" s="86" t="n">
        <f aca="false">D35/$D$35</f>
        <v>1</v>
      </c>
      <c r="E39" s="86" t="n">
        <f aca="false">E35/$D$35</f>
        <v>4.45161290322581</v>
      </c>
      <c r="F39" s="86" t="n">
        <f aca="false">F35/$D$35</f>
        <v>17.8064516129032</v>
      </c>
      <c r="G39" s="86" t="n">
        <f aca="false">G35/$D$35</f>
        <v>240.967741935484</v>
      </c>
    </row>
    <row r="40" customFormat="false" ht="39.55" hidden="false" customHeight="false" outlineLevel="0" collapsed="false">
      <c r="A40" s="61" t="s">
        <v>448</v>
      </c>
      <c r="B40" s="62" t="s">
        <v>118</v>
      </c>
      <c r="C40" s="67" t="n">
        <v>1</v>
      </c>
      <c r="E40" s="89" t="n">
        <f aca="false">SRC_HAR_001</f>
        <v>4</v>
      </c>
      <c r="F40" s="89" t="n">
        <f aca="false">SRC_HAR_002</f>
        <v>15</v>
      </c>
      <c r="H40" s="87" t="s">
        <v>449</v>
      </c>
    </row>
    <row r="42" customFormat="false" ht="15" hidden="false" customHeight="false" outlineLevel="0" collapsed="false">
      <c r="A42" s="69" t="s">
        <v>450</v>
      </c>
      <c r="B42" s="70"/>
      <c r="C42" s="70"/>
      <c r="D42" s="70"/>
      <c r="E42" s="70"/>
      <c r="F42" s="70"/>
      <c r="G42" s="70"/>
      <c r="H42" s="70"/>
    </row>
    <row r="43" customFormat="false" ht="15" hidden="false" customHeight="false" outlineLevel="0" collapsed="false">
      <c r="A43" s="62" t="s">
        <v>451</v>
      </c>
      <c r="B43" s="62" t="s">
        <v>452</v>
      </c>
      <c r="C43" s="90" t="n">
        <f aca="false">IF(ISNUMBER(Unit_Cost!M21),(C32*Unit_Cost!M19+C33*Unit_Cost!M20+C34*Unit_Cost!M21)/1000000,"SLO 不可達")</f>
        <v>8.55292855378029E-005</v>
      </c>
      <c r="D43" s="90" t="n">
        <f aca="false">IF(ISNUMBER(Unit_Cost!M21),(D32*Unit_Cost!M19+D33*Unit_Cost!M20+D34*Unit_Cost!M21)/1000000,"SLO 不可達")</f>
        <v>0.000555051078601063</v>
      </c>
      <c r="E43" s="90" t="n">
        <f aca="false">IF(ISNUMBER(Unit_Cost!M21),(E32*Unit_Cost!M19+E33*Unit_Cost!M20+E34*Unit_Cost!M21)/1000000,"SLO 不可達")</f>
        <v>0.000408474823337889</v>
      </c>
      <c r="F43" s="90" t="n">
        <f aca="false">IF(ISNUMBER(Unit_Cost!M21),(F32*Unit_Cost!M19+F33*Unit_Cost!M20+F34*Unit_Cost!M21)/1000000,"SLO 不可達")</f>
        <v>0.00163389929335155</v>
      </c>
      <c r="G43" s="90" t="n">
        <f aca="false">IF(ISNUMBER(Unit_Cost!M21),(G32*Unit_Cost!M19+G33*Unit_Cost!M20+G34*Unit_Cost!M21)/1000000,"SLO 不可達")</f>
        <v>0.0060971584400554</v>
      </c>
    </row>
    <row r="44" customFormat="false" ht="15" hidden="false" customHeight="false" outlineLevel="0" collapsed="false">
      <c r="A44" s="62" t="s">
        <v>453</v>
      </c>
      <c r="B44" s="62" t="s">
        <v>452</v>
      </c>
      <c r="C44" s="91" t="n">
        <f aca="false">IF(ISNUMBER(Unit_Cost!M34),(C32*Unit_Cost!M32+C33*Unit_Cost!M33+C34*Unit_Cost!M34)/1000000,"SLO 不可達")</f>
        <v>0.000279131610221588</v>
      </c>
      <c r="D44" s="91" t="n">
        <f aca="false">IF(ISNUMBER(Unit_Cost!M34),(D32*Unit_Cost!M32+D33*Unit_Cost!M33+D34*Unit_Cost!M34)/1000000,"SLO 不可達")</f>
        <v>0.00179613150844054</v>
      </c>
      <c r="E44" s="91" t="n">
        <f aca="false">IF(ISNUMBER(Unit_Cost!M34),(E32*Unit_Cost!M32+E33*Unit_Cost!M33+E34*Unit_Cost!M34)/1000000,"SLO 不可達")</f>
        <v>0.00133093943081188</v>
      </c>
      <c r="F44" s="91" t="n">
        <f aca="false">IF(ISNUMBER(Unit_Cost!M34),(F32*Unit_Cost!M32+F33*Unit_Cost!M33+F34*Unit_Cost!M34)/1000000,"SLO 不可達")</f>
        <v>0.00532375772324752</v>
      </c>
      <c r="G44" s="91" t="n">
        <f aca="false">IF(ISNUMBER(Unit_Cost!M34),(G32*Unit_Cost!M32+G33*Unit_Cost!M33+G34*Unit_Cost!M34)/1000000,"SLO 不可達")</f>
        <v>0.0199457107439555</v>
      </c>
    </row>
    <row r="45" customFormat="false" ht="15" hidden="false" customHeight="false" outlineLevel="0" collapsed="false">
      <c r="A45" s="62" t="s">
        <v>454</v>
      </c>
      <c r="B45" s="62" t="s">
        <v>452</v>
      </c>
      <c r="C45" s="90" t="n">
        <f aca="false">IF(ISNUMBER(Unit_Cost!M47),(C32*Unit_Cost!M45+C33*Unit_Cost!M46+C34*Unit_Cost!M47)/1000000,"SLO 不可達")</f>
        <v>0.00129032390102254</v>
      </c>
      <c r="D45" s="90" t="n">
        <f aca="false">IF(ISNUMBER(Unit_Cost!M47),(D32*Unit_Cost!M45+D33*Unit_Cost!M46+D34*Unit_Cost!M47)/1000000,"SLO 不可達")</f>
        <v>0.00864823481001729</v>
      </c>
      <c r="E45" s="90" t="n">
        <f aca="false">IF(ISNUMBER(Unit_Cost!M47),(E32*Unit_Cost!M45+E33*Unit_Cost!M46+E34*Unit_Cost!M47)/1000000,"SLO 不可達")</f>
        <v>0.00617740248640073</v>
      </c>
      <c r="F45" s="90" t="n">
        <f aca="false">IF(ISNUMBER(Unit_Cost!M47),(F32*Unit_Cost!M45+F33*Unit_Cost!M46+F34*Unit_Cost!M47)/1000000,"SLO 不可達")</f>
        <v>0.0247096099456029</v>
      </c>
      <c r="G45" s="90" t="n">
        <f aca="false">IF(ISNUMBER(Unit_Cost!M47),(G32*Unit_Cost!M45+G33*Unit_Cost!M46+G34*Unit_Cost!M47)/1000000,"SLO 不可達")</f>
        <v>0.0892127714677538</v>
      </c>
    </row>
    <row r="46" customFormat="false" ht="15" hidden="false" customHeight="false" outlineLevel="0" collapsed="false">
      <c r="A46" s="62" t="s">
        <v>455</v>
      </c>
      <c r="B46" s="62" t="s">
        <v>452</v>
      </c>
      <c r="C46" s="90" t="n">
        <f aca="false">IF(ISNUMBER(Unit_Cost!J21),(C32*Unit_Cost!J19+C33*Unit_Cost!J20+C34*Unit_Cost!J21)/1000000,"SLO 不可達")</f>
        <v>0.00010992180386781</v>
      </c>
      <c r="D46" s="90" t="n">
        <f aca="false">IF(ISNUMBER(Unit_Cost!J21),(D32*Unit_Cost!J19+D33*Unit_Cost!J20+D34*Unit_Cost!J21)/1000000,"SLO 不可達")</f>
        <v>0.000716784417360343</v>
      </c>
      <c r="E46" s="90" t="n">
        <f aca="false">IF(ISNUMBER(Unit_Cost!J21),(E32*Unit_Cost!J19+E33*Unit_Cost!J20+E34*Unit_Cost!J21)/1000000,"SLO 不可達")</f>
        <v>0.000524456444939631</v>
      </c>
      <c r="F46" s="90" t="n">
        <f aca="false">IF(ISNUMBER(Unit_Cost!J21),(F32*Unit_Cost!J19+F33*Unit_Cost!J20+F34*Unit_Cost!J21)/1000000,"SLO 不可達")</f>
        <v>0.00209782577975852</v>
      </c>
      <c r="G46" s="90" t="n">
        <f aca="false">IF(ISNUMBER(Unit_Cost!J21),(G32*Unit_Cost!J19+G33*Unit_Cost!J20+G34*Unit_Cost!J21)/1000000,"SLO 不可達")</f>
        <v>0.00774394515642925</v>
      </c>
    </row>
    <row r="47" customFormat="false" ht="15" hidden="false" customHeight="false" outlineLevel="0" collapsed="false">
      <c r="A47" s="62" t="s">
        <v>456</v>
      </c>
      <c r="B47" s="62" t="s">
        <v>452</v>
      </c>
      <c r="C47" s="91" t="n">
        <f aca="false">IF(ISNUMBER(Unit_Cost!J34),(C32*Unit_Cost!J32+C33*Unit_Cost!J33+C34*Unit_Cost!J34)/1000000,"SLO 不可達")</f>
        <v>0.000374114376441238</v>
      </c>
      <c r="D47" s="91" t="n">
        <f aca="false">IF(ISNUMBER(Unit_Cost!J34),(D32*Unit_Cost!J32+D33*Unit_Cost!J33+D34*Unit_Cost!J34)/1000000,"SLO 不可達")</f>
        <v>0.00243347340878333</v>
      </c>
      <c r="E47" s="91" t="n">
        <f aca="false">IF(ISNUMBER(Unit_Cost!J34),(E32*Unit_Cost!J32+E33*Unit_Cost!J33+E34*Unit_Cost!J34)/1000000,"SLO 不可達")</f>
        <v>0.00178383393770541</v>
      </c>
      <c r="F47" s="91" t="n">
        <f aca="false">IF(ISNUMBER(Unit_Cost!J34),(F32*Unit_Cost!J32+F33*Unit_Cost!J33+F34*Unit_Cost!J34)/1000000,"SLO 不可達")</f>
        <v>0.00713533575082165</v>
      </c>
      <c r="G47" s="91" t="n">
        <f aca="false">IF(ISNUMBER(Unit_Cost!J34),(G32*Unit_Cost!J32+G33*Unit_Cost!J33+G34*Unit_Cost!J34)/1000000,"SLO 不可達")</f>
        <v>0.0263519831021523</v>
      </c>
    </row>
    <row r="48" customFormat="false" ht="15" hidden="false" customHeight="false" outlineLevel="0" collapsed="false">
      <c r="A48" s="62" t="s">
        <v>457</v>
      </c>
      <c r="B48" s="62" t="s">
        <v>452</v>
      </c>
      <c r="C48" s="90" t="n">
        <f aca="false">IF(ISNUMBER(Unit_Cost!J47),(C32*Unit_Cost!J45+C33*Unit_Cost!J46+C34*Unit_Cost!J47)/1000000,"SLO 不可達")</f>
        <v>0.00204577590230973</v>
      </c>
      <c r="D48" s="90" t="n">
        <f aca="false">IF(ISNUMBER(Unit_Cost!J47),(D32*Unit_Cost!J45+D33*Unit_Cost!J46+D34*Unit_Cost!J47)/1000000,"SLO 不可達")</f>
        <v>0.0140241242832555</v>
      </c>
      <c r="E48" s="90" t="n">
        <f aca="false">IF(ISNUMBER(Unit_Cost!J47),(E32*Unit_Cost!J45+E33*Unit_Cost!J46+E34*Unit_Cost!J47)/1000000,"SLO 不可達")</f>
        <v>0.00978731675723474</v>
      </c>
      <c r="F48" s="90" t="n">
        <f aca="false">IF(ISNUMBER(Unit_Cost!J47),(F32*Unit_Cost!J45+F33*Unit_Cost!J46+F34*Unit_Cost!J47)/1000000,"SLO 不可達")</f>
        <v>0.039149267028939</v>
      </c>
      <c r="G48" s="90" t="n">
        <f aca="false">IF(ISNUMBER(Unit_Cost!J47),(G32*Unit_Cost!J45+G33*Unit_Cost!J46+G34*Unit_Cost!J47)/1000000,"SLO 不可達")</f>
        <v>0.136333592835176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8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9" min="3" style="0" width="16"/>
    <col collapsed="false" customWidth="true" hidden="false" outlineLevel="0" max="10" min="10" style="0" width="60"/>
    <col collapsed="false" customWidth="true" hidden="false" outlineLevel="0" max="11" min="11" style="0" width="46"/>
  </cols>
  <sheetData>
    <row r="1" customFormat="false" ht="20.1" hidden="false" customHeight="false" outlineLevel="0" collapsed="false">
      <c r="A1" s="58" t="s">
        <v>458</v>
      </c>
    </row>
    <row r="2" customFormat="false" ht="15" hidden="false" customHeight="false" outlineLevel="0" collapsed="false">
      <c r="A2" s="74" t="s">
        <v>459</v>
      </c>
    </row>
    <row r="3" customFormat="false" ht="15" hidden="false" customHeight="false" outlineLevel="0" collapsed="false">
      <c r="K3" s="60" t="s">
        <v>2</v>
      </c>
    </row>
    <row r="4" customFormat="false" ht="15" hidden="false" customHeight="false" outlineLevel="0" collapsed="false">
      <c r="A4" s="76" t="s">
        <v>460</v>
      </c>
      <c r="B4" s="70"/>
      <c r="C4" s="70"/>
      <c r="D4" s="70"/>
      <c r="E4" s="70"/>
      <c r="F4" s="70"/>
      <c r="G4" s="70"/>
      <c r="H4" s="70"/>
      <c r="I4" s="70"/>
      <c r="J4" s="70"/>
    </row>
    <row r="5" customFormat="false" ht="15" hidden="false" customHeight="false" outlineLevel="0" collapsed="false">
      <c r="A5" s="62" t="s">
        <v>461</v>
      </c>
      <c r="B5" s="62" t="s">
        <v>113</v>
      </c>
      <c r="C5" s="66" t="n">
        <v>0.3</v>
      </c>
      <c r="J5" s="59" t="s">
        <v>462</v>
      </c>
    </row>
    <row r="7" customFormat="false" ht="15" hidden="false" customHeight="false" outlineLevel="0" collapsed="false">
      <c r="A7" s="76" t="s">
        <v>463</v>
      </c>
      <c r="B7" s="70"/>
      <c r="C7" s="70"/>
      <c r="D7" s="70"/>
      <c r="E7" s="70"/>
      <c r="F7" s="70"/>
      <c r="G7" s="70"/>
      <c r="H7" s="70"/>
      <c r="I7" s="70"/>
      <c r="J7" s="70"/>
    </row>
    <row r="8" customFormat="false" ht="15" hidden="false" customHeight="false" outlineLevel="0" collapsed="false">
      <c r="A8" s="60" t="s">
        <v>386</v>
      </c>
      <c r="B8" s="60" t="s">
        <v>95</v>
      </c>
    </row>
    <row r="9" customFormat="false" ht="15" hidden="false" customHeight="false" outlineLevel="0" collapsed="false">
      <c r="A9" s="61" t="s">
        <v>2</v>
      </c>
      <c r="B9" s="61"/>
      <c r="C9" s="60" t="s">
        <v>464</v>
      </c>
      <c r="D9" s="60" t="s">
        <v>465</v>
      </c>
      <c r="E9" s="60" t="s">
        <v>466</v>
      </c>
      <c r="F9" s="60" t="s">
        <v>467</v>
      </c>
      <c r="G9" s="60" t="s">
        <v>467</v>
      </c>
      <c r="H9" s="60" t="s">
        <v>468</v>
      </c>
      <c r="I9" s="60" t="s">
        <v>468</v>
      </c>
    </row>
    <row r="10" customFormat="false" ht="15" hidden="false" customHeight="false" outlineLevel="0" collapsed="false">
      <c r="A10" s="61" t="s">
        <v>469</v>
      </c>
      <c r="B10" s="61"/>
      <c r="C10" s="67" t="n">
        <v>3</v>
      </c>
      <c r="D10" s="67" t="n">
        <v>3</v>
      </c>
      <c r="E10" s="67" t="n">
        <v>3</v>
      </c>
      <c r="F10" s="67" t="n">
        <v>3</v>
      </c>
      <c r="G10" s="67" t="n">
        <v>2</v>
      </c>
      <c r="H10" s="67" t="n">
        <v>2</v>
      </c>
      <c r="I10" s="67" t="n">
        <v>3</v>
      </c>
      <c r="K10" s="74" t="s">
        <v>470</v>
      </c>
    </row>
    <row r="11" customFormat="false" ht="15" hidden="false" customHeight="false" outlineLevel="0" collapsed="false">
      <c r="A11" s="61" t="s">
        <v>186</v>
      </c>
      <c r="B11" s="61"/>
      <c r="C11" s="92" t="str">
        <f aca="false">INDEX(Spec_Rack!$C$4:$G$4,C10)</f>
        <v>GB300 NVL72</v>
      </c>
      <c r="D11" s="92" t="str">
        <f aca="false">INDEX(Spec_Rack!$C$4:$G$4,D10)</f>
        <v>GB300 NVL72</v>
      </c>
      <c r="E11" s="92" t="str">
        <f aca="false">INDEX(Spec_Rack!$C$4:$G$4,E10)</f>
        <v>GB300 NVL72</v>
      </c>
      <c r="F11" s="92" t="str">
        <f aca="false">INDEX(Spec_Rack!$C$4:$G$4,F10)</f>
        <v>GB300 NVL72</v>
      </c>
      <c r="G11" s="92" t="str">
        <f aca="false">INDEX(Spec_Rack!$C$4:$G$4,G10)</f>
        <v>GB200 NVL72</v>
      </c>
      <c r="H11" s="92" t="str">
        <f aca="false">INDEX(Spec_Rack!$C$4:$G$4,H10)</f>
        <v>GB200 NVL72</v>
      </c>
      <c r="I11" s="92" t="str">
        <f aca="false">INDEX(Spec_Rack!$C$4:$G$4,I10)</f>
        <v>GB300 NVL72</v>
      </c>
      <c r="K11" s="74" t="s">
        <v>471</v>
      </c>
    </row>
    <row r="12" customFormat="false" ht="30" hidden="false" customHeight="true" outlineLevel="0" collapsed="false">
      <c r="A12" s="61" t="s">
        <v>472</v>
      </c>
      <c r="B12" s="61"/>
      <c r="C12" s="87" t="s">
        <v>473</v>
      </c>
      <c r="D12" s="87" t="s">
        <v>473</v>
      </c>
      <c r="E12" s="87" t="s">
        <v>474</v>
      </c>
      <c r="F12" s="87" t="s">
        <v>475</v>
      </c>
      <c r="G12" s="87" t="s">
        <v>475</v>
      </c>
      <c r="H12" s="87" t="s">
        <v>476</v>
      </c>
      <c r="I12" s="87" t="s">
        <v>476</v>
      </c>
    </row>
    <row r="13" customFormat="false" ht="15" hidden="false" customHeight="false" outlineLevel="0" collapsed="false">
      <c r="A13" s="62" t="s">
        <v>477</v>
      </c>
      <c r="B13" s="61"/>
      <c r="C13" s="89" t="n">
        <f aca="false">SRC_PERF_009_MTP</f>
        <v>1</v>
      </c>
      <c r="D13" s="89" t="n">
        <f aca="false">SRC_PERF_010_MTP</f>
        <v>1</v>
      </c>
      <c r="E13" s="89" t="n">
        <f aca="false">SRC_PERF_004_MTP</f>
        <v>1</v>
      </c>
      <c r="F13" s="89" t="n">
        <f aca="false">SRC_PERF_001_MTP</f>
        <v>0</v>
      </c>
      <c r="G13" s="89" t="n">
        <f aca="false">SRC_PERF_002_MTP</f>
        <v>0</v>
      </c>
      <c r="H13" s="89" t="n">
        <f aca="false">SRC_PERF_014_MTP</f>
        <v>1</v>
      </c>
      <c r="I13" s="89" t="n">
        <f aca="false">SRC_PERF_015_MTP</f>
        <v>1</v>
      </c>
      <c r="K13" s="74" t="s">
        <v>478</v>
      </c>
    </row>
    <row r="14" customFormat="false" ht="15" hidden="false" customHeight="false" outlineLevel="0" collapsed="false">
      <c r="A14" s="61" t="s">
        <v>479</v>
      </c>
      <c r="B14" s="62" t="s">
        <v>389</v>
      </c>
      <c r="C14" s="63" t="n">
        <f aca="false">SRC_PERF_009_Spd</f>
        <v>72</v>
      </c>
      <c r="D14" s="63" t="n">
        <f aca="false">SRC_PERF_010_Spd</f>
        <v>130</v>
      </c>
      <c r="E14" s="63" t="n">
        <f aca="false">SRC_PERF_004_Spd</f>
        <v>50</v>
      </c>
      <c r="F14" s="63" t="n">
        <f aca="false">SRC_PERF_001_Spd</f>
        <v>27</v>
      </c>
      <c r="G14" s="63" t="n">
        <f aca="false">SRC_PERF_002_Spd</f>
        <v>27</v>
      </c>
      <c r="H14" s="63" t="n">
        <f aca="false">SRC_PERF_014_Spd</f>
        <v>110</v>
      </c>
      <c r="I14" s="63" t="n">
        <f aca="false">SRC_PERF_015_Spd</f>
        <v>110</v>
      </c>
      <c r="K14" s="74" t="s">
        <v>480</v>
      </c>
    </row>
    <row r="15" customFormat="false" ht="15" hidden="false" customHeight="false" outlineLevel="0" collapsed="false">
      <c r="A15" s="62" t="s">
        <v>481</v>
      </c>
      <c r="B15" s="62" t="s">
        <v>308</v>
      </c>
      <c r="C15" s="63" t="n">
        <f aca="false">SRC_PERF_009_ISL</f>
        <v>8192</v>
      </c>
      <c r="D15" s="63" t="n">
        <f aca="false">SRC_PERF_010_ISL</f>
        <v>8192</v>
      </c>
      <c r="E15" s="63" t="n">
        <f aca="false">SRC_PERF_004_ISL</f>
        <v>8192</v>
      </c>
      <c r="F15" s="63" t="n">
        <f aca="false">SRC_PERF_001_ISL</f>
        <v>8192</v>
      </c>
      <c r="G15" s="63" t="n">
        <f aca="false">SRC_PERF_002_ISL</f>
        <v>8192</v>
      </c>
      <c r="H15" s="63" t="n">
        <f aca="false">SRC_PERF_014_ISL</f>
        <v>8192</v>
      </c>
      <c r="I15" s="63" t="n">
        <f aca="false">SRC_PERF_015_ISL</f>
        <v>8192</v>
      </c>
      <c r="K15" s="74" t="s">
        <v>482</v>
      </c>
    </row>
    <row r="16" customFormat="false" ht="15" hidden="false" customHeight="false" outlineLevel="0" collapsed="false">
      <c r="A16" s="62" t="s">
        <v>483</v>
      </c>
      <c r="B16" s="62" t="s">
        <v>308</v>
      </c>
      <c r="C16" s="63" t="n">
        <f aca="false">SRC_PERF_009_OSL</f>
        <v>1024</v>
      </c>
      <c r="D16" s="63" t="n">
        <f aca="false">SRC_PERF_010_OSL</f>
        <v>1024</v>
      </c>
      <c r="E16" s="63" t="n">
        <f aca="false">SRC_PERF_004_OSL</f>
        <v>1024</v>
      </c>
      <c r="F16" s="63" t="n">
        <f aca="false">SRC_PERF_001_OSL</f>
        <v>1024</v>
      </c>
      <c r="G16" s="63" t="n">
        <f aca="false">SRC_PERF_002_OSL</f>
        <v>1024</v>
      </c>
      <c r="H16" s="63" t="n">
        <f aca="false">SRC_PERF_014_OSL</f>
        <v>1024</v>
      </c>
      <c r="I16" s="63" t="n">
        <f aca="false">SRC_PERF_015_OSL</f>
        <v>1024</v>
      </c>
      <c r="K16" s="74" t="s">
        <v>484</v>
      </c>
    </row>
    <row r="17" customFormat="false" ht="15" hidden="false" customHeight="false" outlineLevel="0" collapsed="false">
      <c r="A17" s="61" t="s">
        <v>485</v>
      </c>
      <c r="B17" s="62" t="s">
        <v>389</v>
      </c>
      <c r="C17" s="63" t="n">
        <f aca="false">SRC_PERF_009</f>
        <v>9342.1</v>
      </c>
      <c r="D17" s="63" t="n">
        <f aca="false">SRC_PERF_010</f>
        <v>3405.2</v>
      </c>
      <c r="E17" s="63" t="n">
        <f aca="false">SRC_PERF_004</f>
        <v>11200</v>
      </c>
      <c r="F17" s="63" t="n">
        <f aca="false">SRC_PERF_001</f>
        <v>6182</v>
      </c>
      <c r="G17" s="63" t="n">
        <f aca="false">SRC_PERF_002</f>
        <v>2189</v>
      </c>
      <c r="H17" s="63" t="n">
        <f aca="false">SRC_PERF_014</f>
        <v>3795.5</v>
      </c>
      <c r="I17" s="63" t="n">
        <f aca="false">SRC_PERF_015</f>
        <v>6522.4</v>
      </c>
      <c r="K17" s="74" t="s">
        <v>486</v>
      </c>
    </row>
    <row r="18" customFormat="false" ht="15" hidden="false" customHeight="false" outlineLevel="0" collapsed="false">
      <c r="A18" s="61" t="s">
        <v>487</v>
      </c>
      <c r="B18" s="61"/>
      <c r="C18" s="59" t="s">
        <v>488</v>
      </c>
      <c r="D18" s="59" t="s">
        <v>488</v>
      </c>
      <c r="E18" s="59" t="s">
        <v>489</v>
      </c>
      <c r="F18" s="59" t="s">
        <v>490</v>
      </c>
      <c r="G18" s="59" t="s">
        <v>490</v>
      </c>
      <c r="H18" s="59" t="s">
        <v>491</v>
      </c>
      <c r="I18" s="59" t="s">
        <v>491</v>
      </c>
    </row>
    <row r="19" customFormat="false" ht="26.85" hidden="false" customHeight="false" outlineLevel="0" collapsed="false">
      <c r="A19" s="61" t="s">
        <v>492</v>
      </c>
      <c r="B19" s="61"/>
      <c r="C19" s="87" t="s">
        <v>493</v>
      </c>
      <c r="D19" s="87" t="s">
        <v>493</v>
      </c>
      <c r="E19" s="87" t="s">
        <v>493</v>
      </c>
      <c r="F19" s="87" t="s">
        <v>493</v>
      </c>
      <c r="G19" s="87" t="s">
        <v>493</v>
      </c>
      <c r="H19" s="87" t="s">
        <v>493</v>
      </c>
      <c r="I19" s="87" t="s">
        <v>493</v>
      </c>
      <c r="J19" s="93" t="s">
        <v>494</v>
      </c>
    </row>
    <row r="20" customFormat="false" ht="30" hidden="false" customHeight="true" outlineLevel="0" collapsed="false">
      <c r="A20" s="61" t="s">
        <v>495</v>
      </c>
      <c r="B20" s="61"/>
      <c r="C20" s="5" t="str">
        <f aca="false">C11&amp;"｜"&amp;C9&amp;"｜"&amp;TEXT(C14,"0")&amp;" tok/s"</f>
        <v>GB300 NVL72｜擬合點 1｜72 tok/s</v>
      </c>
      <c r="D20" s="5" t="str">
        <f aca="false">D11&amp;"｜"&amp;D9&amp;"｜"&amp;TEXT(D14,"0")&amp;" tok/s"</f>
        <v>GB300 NVL72｜擬合點 2｜130 tok/s</v>
      </c>
      <c r="E20" s="5" t="str">
        <f aca="false">E11&amp;"｜"&amp;E9&amp;"｜"&amp;TEXT(E14,"0")&amp;" tok/s"</f>
        <v>GB300 NVL72｜驗證｜50 tok/s</v>
      </c>
      <c r="F20" s="5" t="str">
        <f aca="false">F11&amp;"｜"&amp;F9&amp;"｜"&amp;TEXT(F14,"0")&amp;" tok/s"</f>
        <v>GB300 NVL72｜驗證（舊軟體）｜27 tok/s</v>
      </c>
      <c r="G20" s="5" t="str">
        <f aca="false">G11&amp;"｜"&amp;G9&amp;"｜"&amp;TEXT(G14,"0")&amp;" tok/s"</f>
        <v>GB200 NVL72｜驗證（舊軟體）｜27 tok/s</v>
      </c>
      <c r="H20" s="5" t="str">
        <f aca="false">H11&amp;"｜"&amp;H9&amp;"｜"&amp;TEXT(H14,"0")&amp;" tok/s"</f>
        <v>GB200 NVL72｜驗證（口徑待查）｜110 tok/s</v>
      </c>
      <c r="I20" s="5" t="str">
        <f aca="false">I11&amp;"｜"&amp;I9&amp;"｜"&amp;TEXT(I14,"0")&amp;" tok/s"</f>
        <v>GB300 NVL72｜驗證（口徑待查）｜110 tok/s</v>
      </c>
      <c r="K20" s="74" t="s">
        <v>496</v>
      </c>
    </row>
    <row r="21" customFormat="false" ht="26.85" hidden="false" customHeight="false" outlineLevel="0" collapsed="false">
      <c r="A21" s="61" t="s">
        <v>497</v>
      </c>
      <c r="B21" s="61"/>
      <c r="C21" s="93" t="s">
        <v>498</v>
      </c>
      <c r="D21" s="93" t="s">
        <v>498</v>
      </c>
      <c r="E21" s="93" t="s">
        <v>498</v>
      </c>
      <c r="F21" s="93" t="s">
        <v>498</v>
      </c>
      <c r="G21" s="93" t="s">
        <v>498</v>
      </c>
      <c r="H21" s="93" t="s">
        <v>498</v>
      </c>
      <c r="I21" s="93" t="s">
        <v>498</v>
      </c>
    </row>
    <row r="22" customFormat="false" ht="15" hidden="false" customHeight="false" outlineLevel="0" collapsed="false">
      <c r="A22" s="76" t="s">
        <v>499</v>
      </c>
      <c r="B22" s="70"/>
      <c r="C22" s="70"/>
      <c r="D22" s="70"/>
      <c r="E22" s="70"/>
      <c r="F22" s="70"/>
      <c r="G22" s="70"/>
      <c r="H22" s="70"/>
      <c r="I22" s="70"/>
      <c r="J22" s="70"/>
    </row>
    <row r="23" customFormat="false" ht="15" hidden="false" customHeight="false" outlineLevel="0" collapsed="false">
      <c r="A23" s="61" t="s">
        <v>500</v>
      </c>
      <c r="B23" s="62" t="s">
        <v>501</v>
      </c>
      <c r="C23" s="94" t="n">
        <f aca="false">INDEX(Spec_Rack!$C$35:$G$35,C10)</f>
        <v>15</v>
      </c>
      <c r="D23" s="94" t="n">
        <f aca="false">INDEX(Spec_Rack!$C$35:$G$35,D10)</f>
        <v>15</v>
      </c>
      <c r="E23" s="94" t="n">
        <f aca="false">INDEX(Spec_Rack!$C$35:$G$35,E10)</f>
        <v>15</v>
      </c>
      <c r="F23" s="94" t="n">
        <f aca="false">INDEX(Spec_Rack!$C$35:$G$35,F10)</f>
        <v>15</v>
      </c>
      <c r="G23" s="94" t="n">
        <f aca="false">INDEX(Spec_Rack!$C$35:$G$35,G10)</f>
        <v>10</v>
      </c>
      <c r="H23" s="94" t="n">
        <f aca="false">INDEX(Spec_Rack!$C$35:$G$35,H10)</f>
        <v>10</v>
      </c>
      <c r="I23" s="94" t="n">
        <f aca="false">INDEX(Spec_Rack!$C$35:$G$35,I10)</f>
        <v>15</v>
      </c>
      <c r="K23" s="74" t="s">
        <v>502</v>
      </c>
    </row>
    <row r="24" customFormat="false" ht="15" hidden="false" customHeight="false" outlineLevel="0" collapsed="false">
      <c r="A24" s="62" t="s">
        <v>503</v>
      </c>
      <c r="B24" s="62" t="s">
        <v>332</v>
      </c>
      <c r="C24" s="63" t="n">
        <f aca="false">INDEX(Spec_Rack!$C$25:$G$25,C10)</f>
        <v>288</v>
      </c>
      <c r="D24" s="63" t="n">
        <f aca="false">INDEX(Spec_Rack!$C$25:$G$25,D10)</f>
        <v>288</v>
      </c>
      <c r="E24" s="63" t="n">
        <f aca="false">INDEX(Spec_Rack!$C$25:$G$25,E10)</f>
        <v>288</v>
      </c>
      <c r="F24" s="63" t="n">
        <f aca="false">INDEX(Spec_Rack!$C$25:$G$25,F10)</f>
        <v>288</v>
      </c>
      <c r="G24" s="63" t="n">
        <f aca="false">INDEX(Spec_Rack!$C$25:$G$25,G10)</f>
        <v>186</v>
      </c>
      <c r="H24" s="63" t="n">
        <f aca="false">INDEX(Spec_Rack!$C$25:$G$25,H10)</f>
        <v>186</v>
      </c>
      <c r="I24" s="63" t="n">
        <f aca="false">INDEX(Spec_Rack!$C$25:$G$25,I10)</f>
        <v>288</v>
      </c>
      <c r="K24" s="74" t="s">
        <v>504</v>
      </c>
    </row>
    <row r="25" customFormat="false" ht="15" hidden="false" customHeight="false" outlineLevel="0" collapsed="false">
      <c r="A25" s="62" t="s">
        <v>505</v>
      </c>
      <c r="B25" s="62" t="s">
        <v>506</v>
      </c>
      <c r="C25" s="95" t="n">
        <f aca="false">INDEX(Spec_Rack!$C$26:$G$26,C10)</f>
        <v>8</v>
      </c>
      <c r="D25" s="95" t="n">
        <f aca="false">INDEX(Spec_Rack!$C$26:$G$26,D10)</f>
        <v>8</v>
      </c>
      <c r="E25" s="95" t="n">
        <f aca="false">INDEX(Spec_Rack!$C$26:$G$26,E10)</f>
        <v>8</v>
      </c>
      <c r="F25" s="95" t="n">
        <f aca="false">INDEX(Spec_Rack!$C$26:$G$26,F10)</f>
        <v>8</v>
      </c>
      <c r="G25" s="95" t="n">
        <f aca="false">INDEX(Spec_Rack!$C$26:$G$26,G10)</f>
        <v>8</v>
      </c>
      <c r="H25" s="95" t="n">
        <f aca="false">INDEX(Spec_Rack!$C$26:$G$26,H10)</f>
        <v>8</v>
      </c>
      <c r="I25" s="95" t="n">
        <f aca="false">INDEX(Spec_Rack!$C$26:$G$26,I10)</f>
        <v>8</v>
      </c>
      <c r="K25" s="74" t="s">
        <v>507</v>
      </c>
    </row>
    <row r="26" customFormat="false" ht="15" hidden="false" customHeight="false" outlineLevel="0" collapsed="false">
      <c r="A26" s="62" t="s">
        <v>508</v>
      </c>
      <c r="B26" s="62" t="s">
        <v>506</v>
      </c>
      <c r="C26" s="95" t="n">
        <f aca="false">INDEX(Spec_Rack!$C$27:$G$27,C10)</f>
        <v>0.9</v>
      </c>
      <c r="D26" s="95" t="n">
        <f aca="false">INDEX(Spec_Rack!$C$27:$G$27,D10)</f>
        <v>0.9</v>
      </c>
      <c r="E26" s="95" t="n">
        <f aca="false">INDEX(Spec_Rack!$C$27:$G$27,E10)</f>
        <v>0.9</v>
      </c>
      <c r="F26" s="95" t="n">
        <f aca="false">INDEX(Spec_Rack!$C$27:$G$27,F10)</f>
        <v>0.9</v>
      </c>
      <c r="G26" s="95" t="n">
        <f aca="false">INDEX(Spec_Rack!$C$27:$G$27,G10)</f>
        <v>0.9</v>
      </c>
      <c r="H26" s="95" t="n">
        <f aca="false">INDEX(Spec_Rack!$C$27:$G$27,H10)</f>
        <v>0.9</v>
      </c>
      <c r="I26" s="95" t="n">
        <f aca="false">INDEX(Spec_Rack!$C$27:$G$27,I10)</f>
        <v>0.9</v>
      </c>
      <c r="K26" s="74" t="s">
        <v>509</v>
      </c>
    </row>
    <row r="27" customFormat="false" ht="15" hidden="false" customHeight="false" outlineLevel="0" collapsed="false">
      <c r="A27" s="62" t="s">
        <v>510</v>
      </c>
      <c r="B27" s="61"/>
      <c r="C27" s="63" t="n">
        <f aca="false">INDEX(Spec_Rack!$C$29:$G$29,C10)</f>
        <v>32</v>
      </c>
      <c r="D27" s="63" t="n">
        <f aca="false">INDEX(Spec_Rack!$C$29:$G$29,D10)</f>
        <v>32</v>
      </c>
      <c r="E27" s="63" t="n">
        <f aca="false">INDEX(Spec_Rack!$C$29:$G$29,E10)</f>
        <v>32</v>
      </c>
      <c r="F27" s="63" t="n">
        <f aca="false">INDEX(Spec_Rack!$C$29:$G$29,F10)</f>
        <v>32</v>
      </c>
      <c r="G27" s="63" t="n">
        <f aca="false">INDEX(Spec_Rack!$C$29:$G$29,G10)</f>
        <v>32</v>
      </c>
      <c r="H27" s="63" t="n">
        <f aca="false">INDEX(Spec_Rack!$C$29:$G$29,H10)</f>
        <v>32</v>
      </c>
      <c r="I27" s="63" t="n">
        <f aca="false">INDEX(Spec_Rack!$C$29:$G$29,I10)</f>
        <v>32</v>
      </c>
      <c r="K27" s="74" t="s">
        <v>511</v>
      </c>
    </row>
    <row r="28" customFormat="false" ht="15" hidden="false" customHeight="false" outlineLevel="0" collapsed="false">
      <c r="A28" s="61" t="s">
        <v>512</v>
      </c>
      <c r="B28" s="62" t="s">
        <v>287</v>
      </c>
      <c r="C28" s="96" t="n">
        <f aca="false">INDEX(Spec_Rack!$C$30:$G$30,C10)</f>
        <v>0.5625</v>
      </c>
      <c r="D28" s="96" t="n">
        <f aca="false">INDEX(Spec_Rack!$C$30:$G$30,D10)</f>
        <v>0.5625</v>
      </c>
      <c r="E28" s="96" t="n">
        <f aca="false">INDEX(Spec_Rack!$C$30:$G$30,E10)</f>
        <v>0.5625</v>
      </c>
      <c r="F28" s="96" t="n">
        <f aca="false">INDEX(Spec_Rack!$C$30:$G$30,F10)</f>
        <v>0.5625</v>
      </c>
      <c r="G28" s="96" t="n">
        <f aca="false">INDEX(Spec_Rack!$C$30:$G$30,G10)</f>
        <v>0.5625</v>
      </c>
      <c r="H28" s="96" t="n">
        <f aca="false">INDEX(Spec_Rack!$C$30:$G$30,H10)</f>
        <v>0.5625</v>
      </c>
      <c r="I28" s="96" t="n">
        <f aca="false">INDEX(Spec_Rack!$C$30:$G$30,I10)</f>
        <v>0.5625</v>
      </c>
      <c r="K28" s="74" t="s">
        <v>513</v>
      </c>
    </row>
    <row r="29" customFormat="false" ht="15" hidden="false" customHeight="false" outlineLevel="0" collapsed="false">
      <c r="A29" s="61" t="s">
        <v>514</v>
      </c>
      <c r="B29" s="62" t="s">
        <v>287</v>
      </c>
      <c r="C29" s="97" t="n">
        <f aca="false">INDEX(Spec_Rack!$C$31:$G$31,C10)</f>
        <v>1</v>
      </c>
      <c r="D29" s="97" t="n">
        <f aca="false">INDEX(Spec_Rack!$C$31:$G$31,D10)</f>
        <v>1</v>
      </c>
      <c r="E29" s="97" t="n">
        <f aca="false">INDEX(Spec_Rack!$C$31:$G$31,E10)</f>
        <v>1</v>
      </c>
      <c r="F29" s="97" t="n">
        <f aca="false">INDEX(Spec_Rack!$C$31:$G$31,F10)</f>
        <v>1</v>
      </c>
      <c r="G29" s="97" t="n">
        <f aca="false">INDEX(Spec_Rack!$C$31:$G$31,G10)</f>
        <v>1</v>
      </c>
      <c r="H29" s="97" t="n">
        <f aca="false">INDEX(Spec_Rack!$C$31:$G$31,H10)</f>
        <v>1</v>
      </c>
      <c r="I29" s="97" t="n">
        <f aca="false">INDEX(Spec_Rack!$C$31:$G$31,I10)</f>
        <v>1</v>
      </c>
      <c r="K29" s="74" t="s">
        <v>515</v>
      </c>
    </row>
    <row r="30" customFormat="false" ht="15" hidden="false" customHeight="false" outlineLevel="0" collapsed="false">
      <c r="A30" s="61" t="s">
        <v>290</v>
      </c>
      <c r="B30" s="62" t="s">
        <v>287</v>
      </c>
      <c r="C30" s="63" t="n">
        <f aca="false">Arch!$D$7</f>
        <v>49</v>
      </c>
      <c r="D30" s="63" t="n">
        <f aca="false">Arch!$D$7</f>
        <v>49</v>
      </c>
      <c r="E30" s="63" t="n">
        <f aca="false">Arch!$D$7</f>
        <v>49</v>
      </c>
      <c r="F30" s="63" t="n">
        <f aca="false">Arch!$D$7</f>
        <v>49</v>
      </c>
      <c r="G30" s="63" t="n">
        <f aca="false">Arch!$D$7</f>
        <v>49</v>
      </c>
      <c r="H30" s="63" t="n">
        <f aca="false">Arch!$D$7</f>
        <v>49</v>
      </c>
      <c r="I30" s="63" t="n">
        <f aca="false">Arch!$D$7</f>
        <v>49</v>
      </c>
      <c r="K30" s="74" t="s">
        <v>516</v>
      </c>
    </row>
    <row r="31" customFormat="false" ht="15" hidden="false" customHeight="false" outlineLevel="0" collapsed="false">
      <c r="A31" s="61" t="s">
        <v>292</v>
      </c>
      <c r="B31" s="61"/>
      <c r="C31" s="63" t="n">
        <f aca="false">Arch!$D$8</f>
        <v>61</v>
      </c>
      <c r="D31" s="63" t="n">
        <f aca="false">Arch!$D$8</f>
        <v>61</v>
      </c>
      <c r="E31" s="63" t="n">
        <f aca="false">Arch!$D$8</f>
        <v>61</v>
      </c>
      <c r="F31" s="63" t="n">
        <f aca="false">Arch!$D$8</f>
        <v>61</v>
      </c>
      <c r="G31" s="63" t="n">
        <f aca="false">Arch!$D$8</f>
        <v>61</v>
      </c>
      <c r="H31" s="63" t="n">
        <f aca="false">Arch!$D$8</f>
        <v>61</v>
      </c>
      <c r="I31" s="63" t="n">
        <f aca="false">Arch!$D$8</f>
        <v>61</v>
      </c>
      <c r="K31" s="74" t="s">
        <v>517</v>
      </c>
    </row>
    <row r="32" customFormat="false" ht="15" hidden="false" customHeight="false" outlineLevel="0" collapsed="false">
      <c r="A32" s="62" t="s">
        <v>295</v>
      </c>
      <c r="B32" s="61"/>
      <c r="C32" s="63" t="n">
        <f aca="false">Arch!$D$9</f>
        <v>7168</v>
      </c>
      <c r="D32" s="63" t="n">
        <f aca="false">Arch!$D$9</f>
        <v>7168</v>
      </c>
      <c r="E32" s="63" t="n">
        <f aca="false">Arch!$D$9</f>
        <v>7168</v>
      </c>
      <c r="F32" s="63" t="n">
        <f aca="false">Arch!$D$9</f>
        <v>7168</v>
      </c>
      <c r="G32" s="63" t="n">
        <f aca="false">Arch!$D$9</f>
        <v>7168</v>
      </c>
      <c r="H32" s="63" t="n">
        <f aca="false">Arch!$D$9</f>
        <v>7168</v>
      </c>
      <c r="I32" s="63" t="n">
        <f aca="false">Arch!$D$9</f>
        <v>7168</v>
      </c>
      <c r="K32" s="74" t="s">
        <v>518</v>
      </c>
    </row>
    <row r="33" customFormat="false" ht="15" hidden="false" customHeight="false" outlineLevel="0" collapsed="false">
      <c r="A33" s="61" t="s">
        <v>519</v>
      </c>
      <c r="B33" s="61"/>
      <c r="C33" s="63" t="n">
        <f aca="false">Arch!$D$13</f>
        <v>6</v>
      </c>
      <c r="D33" s="63" t="n">
        <f aca="false">Arch!$D$13</f>
        <v>6</v>
      </c>
      <c r="E33" s="63" t="n">
        <f aca="false">Arch!$D$13</f>
        <v>6</v>
      </c>
      <c r="F33" s="63" t="n">
        <f aca="false">Arch!$D$13</f>
        <v>6</v>
      </c>
      <c r="G33" s="63" t="n">
        <f aca="false">Arch!$D$13</f>
        <v>6</v>
      </c>
      <c r="H33" s="63" t="n">
        <f aca="false">Arch!$D$13</f>
        <v>6</v>
      </c>
      <c r="I33" s="63" t="n">
        <f aca="false">Arch!$D$13</f>
        <v>6</v>
      </c>
      <c r="K33" s="74" t="s">
        <v>520</v>
      </c>
    </row>
    <row r="34" customFormat="false" ht="15" hidden="false" customHeight="false" outlineLevel="0" collapsed="false">
      <c r="A34" s="61" t="s">
        <v>521</v>
      </c>
      <c r="B34" s="62" t="s">
        <v>287</v>
      </c>
      <c r="C34" s="98" t="n">
        <f aca="false">Arch!$D$28</f>
        <v>20.2777777777778</v>
      </c>
      <c r="D34" s="98" t="n">
        <f aca="false">Arch!$D$28</f>
        <v>20.2777777777778</v>
      </c>
      <c r="E34" s="98" t="n">
        <f aca="false">Arch!$D$28</f>
        <v>20.2777777777778</v>
      </c>
      <c r="F34" s="98" t="n">
        <f aca="false">Arch!$D$28</f>
        <v>20.2777777777778</v>
      </c>
      <c r="G34" s="98" t="n">
        <f aca="false">Arch!$D$28</f>
        <v>20.2777777777778</v>
      </c>
      <c r="H34" s="98" t="n">
        <f aca="false">Arch!$D$28</f>
        <v>20.2777777777778</v>
      </c>
      <c r="I34" s="98" t="n">
        <f aca="false">Arch!$D$28</f>
        <v>20.2777777777778</v>
      </c>
      <c r="K34" s="74" t="s">
        <v>522</v>
      </c>
    </row>
    <row r="35" customFormat="false" ht="15" hidden="false" customHeight="false" outlineLevel="0" collapsed="false">
      <c r="A35" s="61" t="s">
        <v>328</v>
      </c>
      <c r="B35" s="62" t="s">
        <v>287</v>
      </c>
      <c r="C35" s="63" t="n">
        <f aca="false">Arch!$D$29</f>
        <v>1579.72222222222</v>
      </c>
      <c r="D35" s="63" t="n">
        <f aca="false">Arch!$D$29</f>
        <v>1579.72222222222</v>
      </c>
      <c r="E35" s="63" t="n">
        <f aca="false">Arch!$D$29</f>
        <v>1579.72222222222</v>
      </c>
      <c r="F35" s="63" t="n">
        <f aca="false">Arch!$D$29</f>
        <v>1579.72222222222</v>
      </c>
      <c r="G35" s="63" t="n">
        <f aca="false">Arch!$D$29</f>
        <v>1579.72222222222</v>
      </c>
      <c r="H35" s="63" t="n">
        <f aca="false">Arch!$D$29</f>
        <v>1579.72222222222</v>
      </c>
      <c r="I35" s="63" t="n">
        <f aca="false">Arch!$D$29</f>
        <v>1579.72222222222</v>
      </c>
      <c r="K35" s="74" t="s">
        <v>523</v>
      </c>
    </row>
    <row r="36" customFormat="false" ht="15" hidden="false" customHeight="false" outlineLevel="0" collapsed="false">
      <c r="A36" s="62" t="s">
        <v>524</v>
      </c>
      <c r="B36" s="62" t="s">
        <v>287</v>
      </c>
      <c r="C36" s="63" t="n">
        <f aca="false">Arch!$D$25</f>
        <v>3965</v>
      </c>
      <c r="D36" s="63" t="n">
        <f aca="false">Arch!$D$25</f>
        <v>3965</v>
      </c>
      <c r="E36" s="63" t="n">
        <f aca="false">Arch!$D$25</f>
        <v>3965</v>
      </c>
      <c r="F36" s="63" t="n">
        <f aca="false">Arch!$D$25</f>
        <v>3965</v>
      </c>
      <c r="G36" s="63" t="n">
        <f aca="false">Arch!$D$25</f>
        <v>3965</v>
      </c>
      <c r="H36" s="63" t="n">
        <f aca="false">Arch!$D$25</f>
        <v>3965</v>
      </c>
      <c r="I36" s="63" t="n">
        <f aca="false">Arch!$D$25</f>
        <v>3965</v>
      </c>
      <c r="K36" s="74" t="s">
        <v>525</v>
      </c>
    </row>
    <row r="37" customFormat="false" ht="15" hidden="false" customHeight="false" outlineLevel="0" collapsed="false">
      <c r="A37" s="61" t="s">
        <v>526</v>
      </c>
      <c r="B37" s="61"/>
      <c r="C37" s="63" t="n">
        <f aca="false">Arch!$D$30</f>
        <v>15990784</v>
      </c>
      <c r="D37" s="63" t="n">
        <f aca="false">Arch!$D$30</f>
        <v>15990784</v>
      </c>
      <c r="E37" s="63" t="n">
        <f aca="false">Arch!$D$30</f>
        <v>15990784</v>
      </c>
      <c r="F37" s="63" t="n">
        <f aca="false">Arch!$D$30</f>
        <v>15990784</v>
      </c>
      <c r="G37" s="63" t="n">
        <f aca="false">Arch!$D$30</f>
        <v>15990784</v>
      </c>
      <c r="H37" s="63" t="n">
        <f aca="false">Arch!$D$30</f>
        <v>15990784</v>
      </c>
      <c r="I37" s="63" t="n">
        <f aca="false">Arch!$D$30</f>
        <v>15990784</v>
      </c>
      <c r="K37" s="74" t="s">
        <v>527</v>
      </c>
    </row>
    <row r="38" customFormat="false" ht="15" hidden="false" customHeight="false" outlineLevel="0" collapsed="false">
      <c r="A38" s="61" t="s">
        <v>305</v>
      </c>
      <c r="B38" s="62" t="s">
        <v>113</v>
      </c>
      <c r="C38" s="65" t="n">
        <f aca="false">Arch!$D$16</f>
        <v>0.492</v>
      </c>
      <c r="D38" s="65" t="n">
        <f aca="false">Arch!$D$16</f>
        <v>0.492</v>
      </c>
      <c r="E38" s="65" t="n">
        <f aca="false">Arch!$D$16</f>
        <v>0.492</v>
      </c>
      <c r="F38" s="65" t="n">
        <f aca="false">Arch!$D$16</f>
        <v>0.492</v>
      </c>
      <c r="G38" s="65" t="n">
        <f aca="false">Arch!$D$16</f>
        <v>0.492</v>
      </c>
      <c r="H38" s="65" t="n">
        <f aca="false">Arch!$D$16</f>
        <v>0.492</v>
      </c>
      <c r="I38" s="65" t="n">
        <f aca="false">Arch!$D$16</f>
        <v>0.492</v>
      </c>
      <c r="K38" s="74" t="s">
        <v>528</v>
      </c>
    </row>
    <row r="39" customFormat="false" ht="15" hidden="false" customHeight="false" outlineLevel="0" collapsed="false">
      <c r="A39" s="61" t="s">
        <v>529</v>
      </c>
      <c r="B39" s="61"/>
      <c r="C39" s="63" t="n">
        <f aca="false">Arch!$D$17</f>
        <v>4224</v>
      </c>
      <c r="D39" s="63" t="n">
        <f aca="false">Arch!$D$17</f>
        <v>4224</v>
      </c>
      <c r="E39" s="63" t="n">
        <f aca="false">Arch!$D$17</f>
        <v>4224</v>
      </c>
      <c r="F39" s="63" t="n">
        <f aca="false">Arch!$D$17</f>
        <v>4224</v>
      </c>
      <c r="G39" s="63" t="n">
        <f aca="false">Arch!$D$17</f>
        <v>4224</v>
      </c>
      <c r="H39" s="63" t="n">
        <f aca="false">Arch!$D$17</f>
        <v>4224</v>
      </c>
      <c r="I39" s="63" t="n">
        <f aca="false">Arch!$D$17</f>
        <v>4224</v>
      </c>
      <c r="K39" s="74" t="s">
        <v>530</v>
      </c>
    </row>
    <row r="40" customFormat="false" ht="15" hidden="false" customHeight="false" outlineLevel="0" collapsed="false">
      <c r="A40" s="61" t="s">
        <v>531</v>
      </c>
      <c r="B40" s="61"/>
      <c r="C40" s="63" t="n">
        <f aca="false">Arch!$D$18</f>
        <v>128</v>
      </c>
      <c r="D40" s="63" t="n">
        <f aca="false">Arch!$D$18</f>
        <v>128</v>
      </c>
      <c r="E40" s="63" t="n">
        <f aca="false">Arch!$D$18</f>
        <v>128</v>
      </c>
      <c r="F40" s="63" t="n">
        <f aca="false">Arch!$D$18</f>
        <v>128</v>
      </c>
      <c r="G40" s="63" t="n">
        <f aca="false">Arch!$D$18</f>
        <v>128</v>
      </c>
      <c r="H40" s="63" t="n">
        <f aca="false">Arch!$D$18</f>
        <v>128</v>
      </c>
      <c r="I40" s="63" t="n">
        <f aca="false">Arch!$D$18</f>
        <v>128</v>
      </c>
      <c r="K40" s="74" t="s">
        <v>532</v>
      </c>
    </row>
    <row r="41" customFormat="false" ht="15" hidden="false" customHeight="false" outlineLevel="0" collapsed="false">
      <c r="A41" s="61" t="s">
        <v>533</v>
      </c>
      <c r="B41" s="61"/>
      <c r="C41" s="63" t="n">
        <f aca="false">Arch!$D$19</f>
        <v>128</v>
      </c>
      <c r="D41" s="63" t="n">
        <f aca="false">Arch!$D$19</f>
        <v>128</v>
      </c>
      <c r="E41" s="63" t="n">
        <f aca="false">Arch!$D$19</f>
        <v>128</v>
      </c>
      <c r="F41" s="63" t="n">
        <f aca="false">Arch!$D$19</f>
        <v>128</v>
      </c>
      <c r="G41" s="63" t="n">
        <f aca="false">Arch!$D$19</f>
        <v>128</v>
      </c>
      <c r="H41" s="63" t="n">
        <f aca="false">Arch!$D$19</f>
        <v>128</v>
      </c>
      <c r="I41" s="63" t="n">
        <f aca="false">Arch!$D$19</f>
        <v>128</v>
      </c>
      <c r="K41" s="74" t="s">
        <v>534</v>
      </c>
    </row>
    <row r="42" customFormat="false" ht="15" hidden="false" customHeight="false" outlineLevel="0" collapsed="false">
      <c r="A42" s="62" t="s">
        <v>396</v>
      </c>
      <c r="B42" s="62" t="s">
        <v>308</v>
      </c>
      <c r="C42" s="68" t="n">
        <f aca="false">C15+C16/2</f>
        <v>8704</v>
      </c>
      <c r="D42" s="68" t="n">
        <f aca="false">D15+D16/2</f>
        <v>8704</v>
      </c>
      <c r="E42" s="68" t="n">
        <f aca="false">E15+E16/2</f>
        <v>8704</v>
      </c>
      <c r="F42" s="68" t="n">
        <f aca="false">F15+F16/2</f>
        <v>8704</v>
      </c>
      <c r="G42" s="68" t="n">
        <f aca="false">G15+G16/2</f>
        <v>8704</v>
      </c>
      <c r="H42" s="68" t="n">
        <f aca="false">H15+H16/2</f>
        <v>8704</v>
      </c>
      <c r="I42" s="68" t="n">
        <f aca="false">I15+I16/2</f>
        <v>8704</v>
      </c>
      <c r="K42" s="74" t="s">
        <v>535</v>
      </c>
    </row>
    <row r="43" customFormat="false" ht="15" hidden="false" customHeight="false" outlineLevel="0" collapsed="false">
      <c r="A43" s="62" t="s">
        <v>536</v>
      </c>
      <c r="B43" s="62" t="s">
        <v>308</v>
      </c>
      <c r="C43" s="68" t="n">
        <f aca="false">C38*IF(C39=0,C42,MIN(C42,C39))+(1-C38)*(C42/C40+C41)</f>
        <v>2177.776</v>
      </c>
      <c r="D43" s="68" t="n">
        <f aca="false">D38*IF(D39=0,D42,MIN(D42,D39))+(1-D38)*(D42/D40+D41)</f>
        <v>2177.776</v>
      </c>
      <c r="E43" s="68" t="n">
        <f aca="false">E38*IF(E39=0,E42,MIN(E42,E39))+(1-E38)*(E42/E40+E41)</f>
        <v>2177.776</v>
      </c>
      <c r="F43" s="68" t="n">
        <f aca="false">F38*IF(F39=0,F42,MIN(F42,F39))+(1-F38)*(F42/F40+F41)</f>
        <v>2177.776</v>
      </c>
      <c r="G43" s="68" t="n">
        <f aca="false">G38*IF(G39=0,G42,MIN(G42,G39))+(1-G38)*(G42/G40+G41)</f>
        <v>2177.776</v>
      </c>
      <c r="H43" s="68" t="n">
        <f aca="false">H38*IF(H39=0,H42,MIN(H42,H39))+(1-H38)*(H42/H40+H41)</f>
        <v>2177.776</v>
      </c>
      <c r="I43" s="68" t="n">
        <f aca="false">I38*IF(I39=0,I42,MIN(I42,I39))+(1-I38)*(I42/I40+I41)</f>
        <v>2177.776</v>
      </c>
      <c r="K43" s="74" t="s">
        <v>537</v>
      </c>
    </row>
    <row r="44" customFormat="false" ht="15" hidden="false" customHeight="false" outlineLevel="0" collapsed="false">
      <c r="A44" s="62" t="s">
        <v>538</v>
      </c>
      <c r="B44" s="62" t="s">
        <v>539</v>
      </c>
      <c r="C44" s="75" t="n">
        <f aca="false">(2*C30*1000000000+C37*C43)/1000000000</f>
        <v>132.824345616384</v>
      </c>
      <c r="D44" s="75" t="n">
        <f aca="false">(2*D30*1000000000+D37*D43)/1000000000</f>
        <v>132.824345616384</v>
      </c>
      <c r="E44" s="75" t="n">
        <f aca="false">(2*E30*1000000000+E37*E43)/1000000000</f>
        <v>132.824345616384</v>
      </c>
      <c r="F44" s="75" t="n">
        <f aca="false">(2*F30*1000000000+F37*F43)/1000000000</f>
        <v>132.824345616384</v>
      </c>
      <c r="G44" s="75" t="n">
        <f aca="false">(2*G30*1000000000+G37*G43)/1000000000</f>
        <v>132.824345616384</v>
      </c>
      <c r="H44" s="75" t="n">
        <f aca="false">(2*H30*1000000000+H37*H43)/1000000000</f>
        <v>132.824345616384</v>
      </c>
      <c r="I44" s="75" t="n">
        <f aca="false">(2*I30*1000000000+I37*I43)/1000000000</f>
        <v>132.824345616384</v>
      </c>
      <c r="K44" s="74" t="s">
        <v>540</v>
      </c>
    </row>
    <row r="45" customFormat="false" ht="15" hidden="false" customHeight="false" outlineLevel="0" collapsed="false">
      <c r="A45" s="62" t="s">
        <v>397</v>
      </c>
      <c r="B45" s="62" t="s">
        <v>308</v>
      </c>
      <c r="C45" s="68" t="n">
        <f aca="false">C15/2</f>
        <v>4096</v>
      </c>
      <c r="D45" s="68" t="n">
        <f aca="false">D15/2</f>
        <v>4096</v>
      </c>
      <c r="E45" s="68" t="n">
        <f aca="false">E15/2</f>
        <v>4096</v>
      </c>
      <c r="F45" s="68" t="n">
        <f aca="false">F15/2</f>
        <v>4096</v>
      </c>
      <c r="G45" s="68" t="n">
        <f aca="false">G15/2</f>
        <v>4096</v>
      </c>
      <c r="H45" s="68" t="n">
        <f aca="false">H15/2</f>
        <v>4096</v>
      </c>
      <c r="I45" s="68" t="n">
        <f aca="false">I15/2</f>
        <v>4096</v>
      </c>
      <c r="K45" s="74" t="s">
        <v>541</v>
      </c>
    </row>
    <row r="46" customFormat="false" ht="15" hidden="false" customHeight="false" outlineLevel="0" collapsed="false">
      <c r="A46" s="62" t="s">
        <v>542</v>
      </c>
      <c r="B46" s="62" t="s">
        <v>308</v>
      </c>
      <c r="C46" s="68" t="n">
        <f aca="false">C38*IF(C39=0,C45,MIN(C45,C39))+(1-C38)*(C45/C40+C41)</f>
        <v>2096.512</v>
      </c>
      <c r="D46" s="68" t="n">
        <f aca="false">D38*IF(D39=0,D45,MIN(D45,D39))+(1-D38)*(D45/D40+D41)</f>
        <v>2096.512</v>
      </c>
      <c r="E46" s="68" t="n">
        <f aca="false">E38*IF(E39=0,E45,MIN(E45,E39))+(1-E38)*(E45/E40+E41)</f>
        <v>2096.512</v>
      </c>
      <c r="F46" s="68" t="n">
        <f aca="false">F38*IF(F39=0,F45,MIN(F45,F39))+(1-F38)*(F45/F40+F41)</f>
        <v>2096.512</v>
      </c>
      <c r="G46" s="68" t="n">
        <f aca="false">G38*IF(G39=0,G45,MIN(G45,G39))+(1-G38)*(G45/G40+G41)</f>
        <v>2096.512</v>
      </c>
      <c r="H46" s="68" t="n">
        <f aca="false">H38*IF(H39=0,H45,MIN(H45,H39))+(1-H38)*(H45/H40+H41)</f>
        <v>2096.512</v>
      </c>
      <c r="I46" s="68" t="n">
        <f aca="false">I38*IF(I39=0,I45,MIN(I45,I39))+(1-I38)*(I45/I40+I41)</f>
        <v>2096.512</v>
      </c>
      <c r="K46" s="74" t="s">
        <v>543</v>
      </c>
    </row>
    <row r="47" customFormat="false" ht="15" hidden="false" customHeight="false" outlineLevel="0" collapsed="false">
      <c r="A47" s="62" t="s">
        <v>544</v>
      </c>
      <c r="B47" s="62" t="s">
        <v>539</v>
      </c>
      <c r="C47" s="75" t="n">
        <f aca="false">(2*C30*1000000000+C37*C46)/1000000000</f>
        <v>131.524870545408</v>
      </c>
      <c r="D47" s="75" t="n">
        <f aca="false">(2*D30*1000000000+D37*D46)/1000000000</f>
        <v>131.524870545408</v>
      </c>
      <c r="E47" s="75" t="n">
        <f aca="false">(2*E30*1000000000+E37*E46)/1000000000</f>
        <v>131.524870545408</v>
      </c>
      <c r="F47" s="75" t="n">
        <f aca="false">(2*F30*1000000000+F37*F46)/1000000000</f>
        <v>131.524870545408</v>
      </c>
      <c r="G47" s="75" t="n">
        <f aca="false">(2*G30*1000000000+G37*G46)/1000000000</f>
        <v>131.524870545408</v>
      </c>
      <c r="H47" s="75" t="n">
        <f aca="false">(2*H30*1000000000+H37*H46)/1000000000</f>
        <v>131.524870545408</v>
      </c>
      <c r="I47" s="75" t="n">
        <f aca="false">(2*I30*1000000000+I37*I46)/1000000000</f>
        <v>131.524870545408</v>
      </c>
      <c r="K47" s="74" t="s">
        <v>545</v>
      </c>
    </row>
    <row r="48" customFormat="false" ht="15" hidden="false" customHeight="false" outlineLevel="0" collapsed="false">
      <c r="A48" s="61" t="s">
        <v>546</v>
      </c>
      <c r="B48" s="62" t="s">
        <v>332</v>
      </c>
      <c r="C48" s="63" t="n">
        <f aca="false">C24*(1-Serving!$C$9)</f>
        <v>259.2</v>
      </c>
      <c r="D48" s="63" t="n">
        <f aca="false">D24*(1-Serving!$C$9)</f>
        <v>259.2</v>
      </c>
      <c r="E48" s="63" t="n">
        <f aca="false">E24*(1-Serving!$C$9)</f>
        <v>259.2</v>
      </c>
      <c r="F48" s="63" t="n">
        <f aca="false">F24*(1-Serving!$C$9)</f>
        <v>259.2</v>
      </c>
      <c r="G48" s="63" t="n">
        <f aca="false">G24*(1-Serving!$C$9)</f>
        <v>167.4</v>
      </c>
      <c r="H48" s="63" t="n">
        <f aca="false">H24*(1-Serving!$C$9)</f>
        <v>167.4</v>
      </c>
      <c r="I48" s="63" t="n">
        <f aca="false">I24*(1-Serving!$C$9)</f>
        <v>259.2</v>
      </c>
      <c r="K48" s="74" t="s">
        <v>547</v>
      </c>
    </row>
    <row r="49" customFormat="false" ht="15" hidden="false" customHeight="false" outlineLevel="0" collapsed="false">
      <c r="A49" s="61" t="s">
        <v>548</v>
      </c>
      <c r="B49" s="61"/>
      <c r="C49" s="89" t="n">
        <f aca="false">MAX(1,CEILING(C34*C29/(Serving!$C$10*C48),1))</f>
        <v>1</v>
      </c>
      <c r="D49" s="89" t="n">
        <f aca="false">MAX(1,CEILING(D34*D29/(Serving!$C$10*D48),1))</f>
        <v>1</v>
      </c>
      <c r="E49" s="89" t="n">
        <f aca="false">MAX(1,CEILING(E34*E29/(Serving!$C$10*E48),1))</f>
        <v>1</v>
      </c>
      <c r="F49" s="89" t="n">
        <f aca="false">MAX(1,CEILING(F34*F29/(Serving!$C$10*F48),1))</f>
        <v>1</v>
      </c>
      <c r="G49" s="89" t="n">
        <f aca="false">MAX(1,CEILING(G34*G29/(Serving!$C$10*G48),1))</f>
        <v>1</v>
      </c>
      <c r="H49" s="89" t="n">
        <f aca="false">MAX(1,CEILING(H34*H29/(Serving!$C$10*H48),1))</f>
        <v>1</v>
      </c>
      <c r="I49" s="89" t="n">
        <f aca="false">MAX(1,CEILING(I34*I29/(Serving!$C$10*I48),1))</f>
        <v>1</v>
      </c>
      <c r="K49" s="74" t="s">
        <v>549</v>
      </c>
    </row>
    <row r="50" customFormat="false" ht="15" hidden="false" customHeight="false" outlineLevel="0" collapsed="false">
      <c r="A50" s="62" t="s">
        <v>550</v>
      </c>
      <c r="B50" s="61"/>
      <c r="C50" s="63" t="n">
        <f aca="false">MAX(C27,CEILING(C35*C28/(Serving!$C$11*C48),1))</f>
        <v>32</v>
      </c>
      <c r="D50" s="63" t="n">
        <f aca="false">MAX(D27,CEILING(D35*D28/(Serving!$C$11*D48),1))</f>
        <v>32</v>
      </c>
      <c r="E50" s="63" t="n">
        <f aca="false">MAX(E27,CEILING(E35*E28/(Serving!$C$11*E48),1))</f>
        <v>32</v>
      </c>
      <c r="F50" s="63" t="n">
        <f aca="false">MAX(F27,CEILING(F35*F28/(Serving!$C$11*F48),1))</f>
        <v>32</v>
      </c>
      <c r="G50" s="63" t="n">
        <f aca="false">MAX(G27,CEILING(G35*G28/(Serving!$C$11*G48),1))</f>
        <v>32</v>
      </c>
      <c r="H50" s="63" t="n">
        <f aca="false">MAX(H27,CEILING(H35*H28/(Serving!$C$11*H48),1))</f>
        <v>32</v>
      </c>
      <c r="I50" s="63" t="n">
        <f aca="false">MAX(I27,CEILING(I35*I28/(Serving!$C$11*I48),1))</f>
        <v>32</v>
      </c>
      <c r="K50" s="74" t="s">
        <v>551</v>
      </c>
    </row>
    <row r="51" customFormat="false" ht="15" hidden="false" customHeight="false" outlineLevel="0" collapsed="false">
      <c r="A51" s="61" t="s">
        <v>552</v>
      </c>
      <c r="B51" s="62" t="s">
        <v>332</v>
      </c>
      <c r="C51" s="75" t="n">
        <f aca="false">C34*C29/C49+C35*C28/C50</f>
        <v>48.0463324652778</v>
      </c>
      <c r="D51" s="75" t="n">
        <f aca="false">D34*D29/D49+D35*D28/D50</f>
        <v>48.0463324652778</v>
      </c>
      <c r="E51" s="75" t="n">
        <f aca="false">E34*E29/E49+E35*E28/E50</f>
        <v>48.0463324652778</v>
      </c>
      <c r="F51" s="75" t="n">
        <f aca="false">F34*F29/F49+F35*F28/F50</f>
        <v>48.0463324652778</v>
      </c>
      <c r="G51" s="75" t="n">
        <f aca="false">G34*G29/G49+G35*G28/G50</f>
        <v>48.0463324652778</v>
      </c>
      <c r="H51" s="75" t="n">
        <f aca="false">H34*H29/H49+H35*H28/H50</f>
        <v>48.0463324652778</v>
      </c>
      <c r="I51" s="75" t="n">
        <f aca="false">I34*I29/I49+I35*I28/I50</f>
        <v>48.0463324652778</v>
      </c>
      <c r="K51" s="74" t="s">
        <v>553</v>
      </c>
    </row>
    <row r="52" customFormat="false" ht="15" hidden="false" customHeight="false" outlineLevel="0" collapsed="false">
      <c r="A52" s="61" t="s">
        <v>554</v>
      </c>
      <c r="B52" s="61"/>
      <c r="C52" s="89" t="n">
        <f aca="false">Serving!$C$6*C13</f>
        <v>3</v>
      </c>
      <c r="D52" s="89" t="n">
        <f aca="false">Serving!$C$6*D13</f>
        <v>3</v>
      </c>
      <c r="E52" s="89" t="n">
        <f aca="false">Serving!$C$6*E13</f>
        <v>3</v>
      </c>
      <c r="F52" s="89" t="n">
        <f aca="false">Serving!$C$6*F13</f>
        <v>0</v>
      </c>
      <c r="G52" s="89" t="n">
        <f aca="false">Serving!$C$6*G13</f>
        <v>0</v>
      </c>
      <c r="H52" s="89" t="n">
        <f aca="false">Serving!$C$6*H13</f>
        <v>3</v>
      </c>
      <c r="I52" s="89" t="n">
        <f aca="false">Serving!$C$6*I13</f>
        <v>3</v>
      </c>
      <c r="K52" s="74" t="s">
        <v>555</v>
      </c>
    </row>
    <row r="53" customFormat="false" ht="15" hidden="false" customHeight="false" outlineLevel="0" collapsed="false">
      <c r="A53" s="61" t="s">
        <v>556</v>
      </c>
      <c r="B53" s="61"/>
      <c r="C53" s="97" t="n">
        <f aca="false">IF(C13=1,Serving!$C$8,1)</f>
        <v>2.533</v>
      </c>
      <c r="D53" s="97" t="n">
        <f aca="false">IF(D13=1,Serving!$C$8,1)</f>
        <v>2.533</v>
      </c>
      <c r="E53" s="97" t="n">
        <f aca="false">IF(E13=1,Serving!$C$8,1)</f>
        <v>2.533</v>
      </c>
      <c r="F53" s="97" t="n">
        <f aca="false">IF(F13=1,Serving!$C$8,1)</f>
        <v>1</v>
      </c>
      <c r="G53" s="97" t="n">
        <f aca="false">IF(G13=1,Serving!$C$8,1)</f>
        <v>1</v>
      </c>
      <c r="H53" s="97" t="n">
        <f aca="false">IF(H13=1,Serving!$C$8,1)</f>
        <v>2.533</v>
      </c>
      <c r="I53" s="97" t="n">
        <f aca="false">IF(I13=1,Serving!$C$8,1)</f>
        <v>2.533</v>
      </c>
      <c r="K53" s="74" t="s">
        <v>557</v>
      </c>
    </row>
    <row r="54" customFormat="false" ht="15" hidden="false" customHeight="false" outlineLevel="0" collapsed="false">
      <c r="A54" s="62" t="s">
        <v>558</v>
      </c>
      <c r="B54" s="62" t="s">
        <v>389</v>
      </c>
      <c r="C54" s="68" t="n">
        <f aca="false">$C$5*C23*1000000000000000/(C47*1000000000)</f>
        <v>34214.061426857</v>
      </c>
      <c r="D54" s="68" t="n">
        <f aca="false">$C$5*D23*1000000000000000/(D47*1000000000)</f>
        <v>34214.061426857</v>
      </c>
      <c r="E54" s="68" t="n">
        <f aca="false">$C$5*E23*1000000000000000/(E47*1000000000)</f>
        <v>34214.061426857</v>
      </c>
      <c r="F54" s="68" t="n">
        <f aca="false">$C$5*F23*1000000000000000/(F47*1000000000)</f>
        <v>34214.061426857</v>
      </c>
      <c r="G54" s="68" t="n">
        <f aca="false">$C$5*G23*1000000000000000/(G47*1000000000)</f>
        <v>22809.3742845713</v>
      </c>
      <c r="H54" s="68" t="n">
        <f aca="false">$C$5*H23*1000000000000000/(H47*1000000000)</f>
        <v>22809.3742845713</v>
      </c>
      <c r="I54" s="68" t="n">
        <f aca="false">$C$5*I23*1000000000000000/(I47*1000000000)</f>
        <v>34214.061426857</v>
      </c>
      <c r="K54" s="74" t="s">
        <v>559</v>
      </c>
    </row>
    <row r="55" customFormat="false" ht="15" hidden="false" customHeight="false" outlineLevel="0" collapsed="false">
      <c r="A55" s="61" t="s">
        <v>560</v>
      </c>
      <c r="B55" s="62" t="s">
        <v>561</v>
      </c>
      <c r="C55" s="99" t="n">
        <f aca="false">(C52+1)*C44/C23/1000</f>
        <v>0.0354198254977024</v>
      </c>
      <c r="D55" s="99" t="n">
        <f aca="false">(D52+1)*D44/D23/1000</f>
        <v>0.0354198254977024</v>
      </c>
      <c r="E55" s="99" t="n">
        <f aca="false">(E52+1)*E44/E23/1000</f>
        <v>0.0354198254977024</v>
      </c>
      <c r="F55" s="99" t="n">
        <f aca="false">(F52+1)*F44/F23/1000</f>
        <v>0.0088549563744256</v>
      </c>
      <c r="G55" s="99" t="n">
        <f aca="false">(G52+1)*G44/G23/1000</f>
        <v>0.0132824345616384</v>
      </c>
      <c r="H55" s="99" t="n">
        <f aca="false">(H52+1)*H44/H23/1000</f>
        <v>0.0531297382465536</v>
      </c>
      <c r="I55" s="99" t="n">
        <f aca="false">(I52+1)*I44/I23/1000</f>
        <v>0.0354198254977024</v>
      </c>
      <c r="K55" s="74" t="s">
        <v>562</v>
      </c>
    </row>
    <row r="56" customFormat="false" ht="15" hidden="false" customHeight="false" outlineLevel="0" collapsed="false">
      <c r="A56" s="61" t="s">
        <v>563</v>
      </c>
      <c r="B56" s="62" t="s">
        <v>389</v>
      </c>
      <c r="C56" s="68" t="n">
        <f aca="false">C16/((C15+C16)/C17-C15/C54)</f>
        <v>1370.69137627503</v>
      </c>
      <c r="D56" s="68" t="n">
        <f aca="false">D16/((D15+D16)/D17-D15/D54)</f>
        <v>415.076479131515</v>
      </c>
      <c r="E56" s="68" t="n">
        <f aca="false">E16/((E15+E16)/E17-E15/E54)</f>
        <v>1755.15750600715</v>
      </c>
      <c r="F56" s="68" t="n">
        <f aca="false">F16/((F15+F16)/F17-F15/F54)</f>
        <v>818.3188584363</v>
      </c>
      <c r="G56" s="68" t="n">
        <f aca="false">G16/((G15+G16)/G17-G15/G54)</f>
        <v>265.905578608434</v>
      </c>
      <c r="H56" s="68" t="n">
        <f aca="false">H16/((H15+H16)/H17-H15/H54)</f>
        <v>494.927953841062</v>
      </c>
      <c r="I56" s="68" t="n">
        <f aca="false">I16/((I15+I16)/I17-I15/I54)</f>
        <v>872.571276968989</v>
      </c>
      <c r="J56" s="74" t="s">
        <v>564</v>
      </c>
      <c r="K56" s="74" t="s">
        <v>565</v>
      </c>
    </row>
    <row r="57" customFormat="false" ht="15" hidden="false" customHeight="false" outlineLevel="0" collapsed="false">
      <c r="A57" s="61" t="s">
        <v>566</v>
      </c>
      <c r="B57" s="61" t="s">
        <v>567</v>
      </c>
      <c r="C57" s="75" t="n">
        <f aca="false">C56/C14</f>
        <v>19.037380226042</v>
      </c>
      <c r="D57" s="75" t="n">
        <f aca="false">D56/D14</f>
        <v>3.19289599331934</v>
      </c>
      <c r="E57" s="75" t="n">
        <f aca="false">E56/E14</f>
        <v>35.1031501201429</v>
      </c>
      <c r="F57" s="75" t="n">
        <f aca="false">F56/F14</f>
        <v>30.3081058680111</v>
      </c>
      <c r="G57" s="75" t="n">
        <f aca="false">G56/G14</f>
        <v>9.84835476327535</v>
      </c>
      <c r="H57" s="75" t="n">
        <f aca="false">H56/H14</f>
        <v>4.49934503491875</v>
      </c>
      <c r="I57" s="75" t="n">
        <f aca="false">I56/I14</f>
        <v>7.93246615426354</v>
      </c>
      <c r="K57" s="74" t="s">
        <v>568</v>
      </c>
    </row>
    <row r="59" customFormat="false" ht="15" hidden="false" customHeight="false" outlineLevel="0" collapsed="false">
      <c r="A59" s="76" t="s">
        <v>569</v>
      </c>
      <c r="B59" s="70"/>
      <c r="C59" s="70"/>
      <c r="D59" s="70"/>
      <c r="E59" s="70"/>
      <c r="F59" s="70"/>
      <c r="G59" s="70"/>
      <c r="H59" s="70"/>
      <c r="I59" s="70"/>
      <c r="J59" s="70"/>
    </row>
    <row r="60" customFormat="false" ht="15" hidden="false" customHeight="false" outlineLevel="0" collapsed="false">
      <c r="A60" s="62" t="s">
        <v>570</v>
      </c>
      <c r="B60" s="62" t="s">
        <v>113</v>
      </c>
      <c r="C60" s="100" t="n">
        <f aca="false">(C57-D57)*C55/(1000*(C53/C14-D53/D14))</f>
        <v>0.0357550334998836</v>
      </c>
      <c r="J60" s="59" t="s">
        <v>571</v>
      </c>
    </row>
    <row r="61" customFormat="false" ht="15" hidden="false" customHeight="false" outlineLevel="0" collapsed="false">
      <c r="A61" s="61" t="s">
        <v>572</v>
      </c>
      <c r="B61" s="62" t="s">
        <v>561</v>
      </c>
      <c r="C61" s="72" t="n">
        <f aca="false">1000*C53/C14-C57*C55/C60</f>
        <v>16.3216531987164</v>
      </c>
    </row>
    <row r="62" customFormat="false" ht="15" hidden="false" customHeight="false" outlineLevel="0" collapsed="false">
      <c r="A62" s="61" t="s">
        <v>573</v>
      </c>
      <c r="B62" s="62" t="s">
        <v>574</v>
      </c>
      <c r="C62" s="71" t="n">
        <f aca="false">(C61-C51/C25)*1000/(C31+C52)</f>
        <v>161.185338133698</v>
      </c>
      <c r="J62" s="74" t="s">
        <v>575</v>
      </c>
    </row>
    <row r="63" customFormat="false" ht="15" hidden="false" customHeight="false" outlineLevel="0" collapsed="false">
      <c r="A63" s="61" t="s">
        <v>576</v>
      </c>
      <c r="C63" s="92" t="str">
        <f aca="false">IF(C55/C60&gt;=MAX(C36*C42/(C25*Serving!$C$13)/1000000000,(C52+1)*C31*C33*C32*Serving!$C$12/(C26*Serving!$C$14)/1000000000),"成立","不成立")</f>
        <v>成立</v>
      </c>
      <c r="K63" s="74" t="s">
        <v>577</v>
      </c>
    </row>
    <row r="65" customFormat="false" ht="15" hidden="false" customHeight="false" outlineLevel="0" collapsed="false">
      <c r="A65" s="76" t="s">
        <v>578</v>
      </c>
      <c r="B65" s="70"/>
      <c r="C65" s="70"/>
      <c r="D65" s="70"/>
      <c r="E65" s="70"/>
      <c r="F65" s="70"/>
      <c r="G65" s="70"/>
      <c r="H65" s="70"/>
      <c r="I65" s="70"/>
      <c r="J65" s="70"/>
    </row>
    <row r="66" customFormat="false" ht="15" hidden="false" customHeight="false" outlineLevel="0" collapsed="false">
      <c r="A66" s="60" t="s">
        <v>186</v>
      </c>
      <c r="C66" s="82" t="str">
        <f aca="false">Spec_Rack!C4</f>
        <v>Hopper H100</v>
      </c>
      <c r="D66" s="82" t="str">
        <f aca="false">Spec_Rack!D4</f>
        <v>GB200 NVL72</v>
      </c>
      <c r="E66" s="82" t="str">
        <f aca="false">Spec_Rack!E4</f>
        <v>GB300 NVL72</v>
      </c>
      <c r="F66" s="82" t="str">
        <f aca="false">Spec_Rack!F4</f>
        <v>VR200 NVL72</v>
      </c>
      <c r="G66" s="82" t="str">
        <f aca="false">Spec_Rack!G4</f>
        <v>Rubin Ultra（MGX NVL 單架，72 GPU）</v>
      </c>
      <c r="K66" s="74" t="s">
        <v>579</v>
      </c>
    </row>
    <row r="67" customFormat="false" ht="52.2" hidden="false" customHeight="false" outlineLevel="0" collapsed="false">
      <c r="A67" s="62" t="s">
        <v>580</v>
      </c>
      <c r="B67" s="62" t="s">
        <v>118</v>
      </c>
      <c r="C67" s="79" t="n">
        <v>1.2</v>
      </c>
      <c r="D67" s="79" t="n">
        <v>1</v>
      </c>
      <c r="E67" s="79" t="n">
        <v>1</v>
      </c>
      <c r="F67" s="79" t="n">
        <v>1</v>
      </c>
      <c r="G67" s="79" t="n">
        <v>1</v>
      </c>
      <c r="J67" s="87" t="s">
        <v>581</v>
      </c>
    </row>
    <row r="68" customFormat="false" ht="52.2" hidden="false" customHeight="false" outlineLevel="0" collapsed="false">
      <c r="A68" s="61" t="s">
        <v>582</v>
      </c>
      <c r="B68" s="62" t="s">
        <v>118</v>
      </c>
      <c r="C68" s="79" t="n">
        <v>1.5</v>
      </c>
      <c r="D68" s="79" t="n">
        <v>1</v>
      </c>
      <c r="E68" s="79" t="n">
        <v>1</v>
      </c>
      <c r="F68" s="79" t="n">
        <v>1</v>
      </c>
      <c r="G68" s="79" t="n">
        <v>1</v>
      </c>
      <c r="J68" s="87" t="s">
        <v>583</v>
      </c>
    </row>
    <row r="69" customFormat="false" ht="26.85" hidden="false" customHeight="false" outlineLevel="0" collapsed="false">
      <c r="A69" s="62" t="s">
        <v>584</v>
      </c>
      <c r="B69" s="62" t="s">
        <v>118</v>
      </c>
      <c r="C69" s="97" t="n">
        <f aca="false">SRC_HW_019/SRC_HW_040</f>
        <v>0.499747347145023</v>
      </c>
      <c r="D69" s="79" t="n">
        <v>1</v>
      </c>
      <c r="E69" s="79" t="n">
        <v>1</v>
      </c>
      <c r="F69" s="79" t="n">
        <v>1</v>
      </c>
      <c r="G69" s="79" t="n">
        <v>1</v>
      </c>
      <c r="J69" s="87" t="s">
        <v>585</v>
      </c>
    </row>
    <row r="70" customFormat="false" ht="15" hidden="false" customHeight="false" outlineLevel="0" collapsed="false">
      <c r="A70" s="62" t="s">
        <v>586</v>
      </c>
      <c r="B70" s="62" t="s">
        <v>113</v>
      </c>
      <c r="C70" s="100" t="n">
        <f aca="false">$C$60*C67</f>
        <v>0.0429060401998604</v>
      </c>
      <c r="D70" s="100" t="n">
        <f aca="false">$C$60*D67</f>
        <v>0.0357550334998836</v>
      </c>
      <c r="E70" s="100" t="n">
        <f aca="false">$C$60*E67</f>
        <v>0.0357550334998836</v>
      </c>
      <c r="F70" s="100" t="n">
        <f aca="false">$C$60*F67</f>
        <v>0.0357550334998836</v>
      </c>
      <c r="G70" s="100" t="n">
        <f aca="false">$C$60*G67</f>
        <v>0.0357550334998836</v>
      </c>
    </row>
    <row r="71" customFormat="false" ht="15" hidden="false" customHeight="false" outlineLevel="0" collapsed="false">
      <c r="A71" s="61" t="s">
        <v>587</v>
      </c>
      <c r="B71" s="62" t="s">
        <v>574</v>
      </c>
      <c r="C71" s="71" t="n">
        <f aca="false">$C$62*C68</f>
        <v>241.778007200547</v>
      </c>
      <c r="D71" s="71" t="n">
        <f aca="false">$C$62*D68</f>
        <v>161.185338133698</v>
      </c>
      <c r="E71" s="71" t="n">
        <f aca="false">$C$62*E68</f>
        <v>161.185338133698</v>
      </c>
      <c r="F71" s="71" t="n">
        <f aca="false">$C$62*F68</f>
        <v>161.185338133698</v>
      </c>
      <c r="G71" s="71" t="n">
        <f aca="false">$C$62*G68</f>
        <v>161.185338133698</v>
      </c>
    </row>
    <row r="72" customFormat="false" ht="15" hidden="false" customHeight="false" outlineLevel="0" collapsed="false">
      <c r="A72" s="62" t="s">
        <v>588</v>
      </c>
      <c r="B72" s="62" t="s">
        <v>113</v>
      </c>
      <c r="C72" s="101" t="n">
        <f aca="false">$C$5*C69</f>
        <v>0.149924204143507</v>
      </c>
      <c r="D72" s="101" t="n">
        <f aca="false">$C$5*D69</f>
        <v>0.3</v>
      </c>
      <c r="E72" s="101" t="n">
        <f aca="false">$C$5*E69</f>
        <v>0.3</v>
      </c>
      <c r="F72" s="101" t="n">
        <f aca="false">$C$5*F69</f>
        <v>0.3</v>
      </c>
      <c r="G72" s="101" t="n">
        <f aca="false">$C$5*G69</f>
        <v>0.3</v>
      </c>
    </row>
    <row r="74" customFormat="false" ht="15" hidden="false" customHeight="false" outlineLevel="0" collapsed="false">
      <c r="A74" s="76" t="s">
        <v>589</v>
      </c>
      <c r="B74" s="70"/>
      <c r="C74" s="70"/>
      <c r="D74" s="70"/>
      <c r="E74" s="70"/>
      <c r="F74" s="70"/>
      <c r="G74" s="70"/>
      <c r="H74" s="70"/>
      <c r="I74" s="70"/>
      <c r="J74" s="70"/>
    </row>
    <row r="75" customFormat="false" ht="15" hidden="false" customHeight="false" outlineLevel="0" collapsed="false">
      <c r="A75" s="62" t="s">
        <v>590</v>
      </c>
      <c r="B75" s="62" t="s">
        <v>113</v>
      </c>
      <c r="C75" s="102" t="n">
        <f aca="false">INDEX($C$70:$G$70,C10)</f>
        <v>0.0357550334998836</v>
      </c>
      <c r="D75" s="102" t="n">
        <f aca="false">INDEX($C$70:$G$70,D10)</f>
        <v>0.0357550334998836</v>
      </c>
      <c r="E75" s="102" t="n">
        <f aca="false">INDEX($C$70:$G$70,E10)</f>
        <v>0.0357550334998836</v>
      </c>
      <c r="F75" s="102" t="n">
        <f aca="false">INDEX($C$70:$G$70,F10)</f>
        <v>0.0357550334998836</v>
      </c>
      <c r="G75" s="102" t="n">
        <f aca="false">INDEX($C$70:$G$70,G10)</f>
        <v>0.0357550334998836</v>
      </c>
      <c r="H75" s="102" t="n">
        <f aca="false">INDEX($C$70:$G$70,H10)</f>
        <v>0.0357550334998836</v>
      </c>
      <c r="I75" s="102" t="n">
        <f aca="false">INDEX($C$70:$G$70,I10)</f>
        <v>0.0357550334998836</v>
      </c>
      <c r="K75" s="74" t="s">
        <v>591</v>
      </c>
    </row>
    <row r="76" customFormat="false" ht="15" hidden="false" customHeight="false" outlineLevel="0" collapsed="false">
      <c r="A76" s="61" t="s">
        <v>592</v>
      </c>
      <c r="B76" s="62" t="s">
        <v>574</v>
      </c>
      <c r="C76" s="68" t="n">
        <f aca="false">INDEX($C$71:$G$71,C10)</f>
        <v>161.185338133698</v>
      </c>
      <c r="D76" s="68" t="n">
        <f aca="false">INDEX($C$71:$G$71,D10)</f>
        <v>161.185338133698</v>
      </c>
      <c r="E76" s="68" t="n">
        <f aca="false">INDEX($C$71:$G$71,E10)</f>
        <v>161.185338133698</v>
      </c>
      <c r="F76" s="68" t="n">
        <f aca="false">INDEX($C$71:$G$71,F10)</f>
        <v>161.185338133698</v>
      </c>
      <c r="G76" s="68" t="n">
        <f aca="false">INDEX($C$71:$G$71,G10)</f>
        <v>161.185338133698</v>
      </c>
      <c r="H76" s="68" t="n">
        <f aca="false">INDEX($C$71:$G$71,H10)</f>
        <v>161.185338133698</v>
      </c>
      <c r="I76" s="68" t="n">
        <f aca="false">INDEX($C$71:$G$71,I10)</f>
        <v>161.185338133698</v>
      </c>
      <c r="K76" s="74" t="s">
        <v>593</v>
      </c>
    </row>
    <row r="77" customFormat="false" ht="15" hidden="false" customHeight="false" outlineLevel="0" collapsed="false">
      <c r="A77" s="62" t="s">
        <v>594</v>
      </c>
      <c r="B77" s="62" t="s">
        <v>113</v>
      </c>
      <c r="C77" s="103" t="n">
        <f aca="false">INDEX($C$72:$G$72,C10)</f>
        <v>0.3</v>
      </c>
      <c r="D77" s="103" t="n">
        <f aca="false">INDEX($C$72:$G$72,D10)</f>
        <v>0.3</v>
      </c>
      <c r="E77" s="103" t="n">
        <f aca="false">INDEX($C$72:$G$72,E10)</f>
        <v>0.3</v>
      </c>
      <c r="F77" s="103" t="n">
        <f aca="false">INDEX($C$72:$G$72,F10)</f>
        <v>0.3</v>
      </c>
      <c r="G77" s="103" t="n">
        <f aca="false">INDEX($C$72:$G$72,G10)</f>
        <v>0.3</v>
      </c>
      <c r="H77" s="103" t="n">
        <f aca="false">INDEX($C$72:$G$72,H10)</f>
        <v>0.3</v>
      </c>
      <c r="I77" s="103" t="n">
        <f aca="false">INDEX($C$72:$G$72,I10)</f>
        <v>0.3</v>
      </c>
      <c r="K77" s="74" t="s">
        <v>595</v>
      </c>
    </row>
    <row r="78" customFormat="false" ht="15" hidden="false" customHeight="false" outlineLevel="0" collapsed="false">
      <c r="A78" s="62" t="s">
        <v>596</v>
      </c>
      <c r="B78" s="62" t="s">
        <v>389</v>
      </c>
      <c r="C78" s="68" t="n">
        <f aca="false">C77*C23*1000000000000000/(C47*1000000000)</f>
        <v>34214.061426857</v>
      </c>
      <c r="D78" s="68" t="n">
        <f aca="false">D77*D23*1000000000000000/(D47*1000000000)</f>
        <v>34214.061426857</v>
      </c>
      <c r="E78" s="68" t="n">
        <f aca="false">E77*E23*1000000000000000/(E47*1000000000)</f>
        <v>34214.061426857</v>
      </c>
      <c r="F78" s="68" t="n">
        <f aca="false">F77*F23*1000000000000000/(F47*1000000000)</f>
        <v>34214.061426857</v>
      </c>
      <c r="G78" s="68" t="n">
        <f aca="false">G77*G23*1000000000000000/(G47*1000000000)</f>
        <v>22809.3742845713</v>
      </c>
      <c r="H78" s="68" t="n">
        <f aca="false">H77*H23*1000000000000000/(H47*1000000000)</f>
        <v>22809.3742845713</v>
      </c>
      <c r="I78" s="68" t="n">
        <f aca="false">I77*I23*1000000000000000/(I47*1000000000)</f>
        <v>34214.061426857</v>
      </c>
      <c r="K78" s="74" t="s">
        <v>597</v>
      </c>
    </row>
    <row r="79" customFormat="false" ht="15" hidden="false" customHeight="false" outlineLevel="0" collapsed="false">
      <c r="A79" s="61" t="s">
        <v>598</v>
      </c>
      <c r="B79" s="62" t="s">
        <v>561</v>
      </c>
      <c r="C79" s="72" t="n">
        <f aca="false">C51/C25+(C31+C52)*C76/1000</f>
        <v>16.3216531987164</v>
      </c>
      <c r="D79" s="72" t="n">
        <f aca="false">D51/D25+(D31+D52)*D76/1000</f>
        <v>16.3216531987164</v>
      </c>
      <c r="E79" s="72" t="n">
        <f aca="false">E51/E25+(E31+E52)*E76/1000</f>
        <v>16.3216531987164</v>
      </c>
      <c r="F79" s="72" t="n">
        <f aca="false">F51/F25+(F31+F52)*F76/1000</f>
        <v>15.8380971843153</v>
      </c>
      <c r="G79" s="72" t="n">
        <f aca="false">G51/G25+(G31+G52)*G76/1000</f>
        <v>15.8380971843153</v>
      </c>
      <c r="H79" s="72" t="n">
        <f aca="false">H51/H25+(H31+H52)*H76/1000</f>
        <v>16.3216531987164</v>
      </c>
      <c r="I79" s="72" t="n">
        <f aca="false">I51/I25+(I31+I52)*I76/1000</f>
        <v>16.3216531987164</v>
      </c>
      <c r="K79" s="74" t="s">
        <v>599</v>
      </c>
    </row>
    <row r="80" customFormat="false" ht="15" hidden="false" customHeight="false" outlineLevel="0" collapsed="false">
      <c r="A80" s="61" t="s">
        <v>600</v>
      </c>
      <c r="B80" s="62" t="s">
        <v>561</v>
      </c>
      <c r="C80" s="96" t="n">
        <f aca="false">MAX(C55/C75,C36*C42/(C25*Serving!$C$13)/1000000000,(C52+1)*C31*C33*C32*Serving!$C$12*(C50-1)/C50/(C26*Serving!$C$14)/1000000000)</f>
        <v>0.990624872378254</v>
      </c>
      <c r="D80" s="96" t="n">
        <f aca="false">MAX(D55/D75,D36*D42/(D25*Serving!$C$13)/1000000000,(D52+1)*D31*D33*D32*Serving!$C$12*(D50-1)/D50/(D26*Serving!$C$14)/1000000000)</f>
        <v>0.990624872378254</v>
      </c>
      <c r="E80" s="96" t="n">
        <f aca="false">MAX(E55/E75,E36*E42/(E25*Serving!$C$13)/1000000000,(E52+1)*E31*E33*E32*Serving!$C$12*(E50-1)/E50/(E26*Serving!$C$14)/1000000000)</f>
        <v>0.990624872378254</v>
      </c>
      <c r="F80" s="96" t="n">
        <f aca="false">MAX(F55/F75,F36*F42/(F25*Serving!$C$13)/1000000000,(F52+1)*F31*F33*F32*Serving!$C$12*(F50-1)/F50/(F26*Serving!$C$14)/1000000000)</f>
        <v>0.247656218094563</v>
      </c>
      <c r="G80" s="96" t="n">
        <f aca="false">MAX(G55/G75,G36*G42/(G25*Serving!$C$13)/1000000000,(G52+1)*G31*G33*G32*Serving!$C$12*(G50-1)/G50/(G26*Serving!$C$14)/1000000000)</f>
        <v>0.371484327141845</v>
      </c>
      <c r="H80" s="96" t="n">
        <f aca="false">MAX(H55/H75,H36*H42/(H25*Serving!$C$13)/1000000000,(H52+1)*H31*H33*H32*Serving!$C$12*(H50-1)/H50/(H26*Serving!$C$14)/1000000000)</f>
        <v>1.48593730856738</v>
      </c>
      <c r="I80" s="96" t="n">
        <f aca="false">MAX(I55/I75,I36*I42/(I25*Serving!$C$13)/1000000000,(I52+1)*I31*I33*I32*Serving!$C$12*(I50-1)/I50/(I26*Serving!$C$14)/1000000000)</f>
        <v>0.990624872378254</v>
      </c>
      <c r="K80" s="74" t="s">
        <v>601</v>
      </c>
    </row>
    <row r="81" customFormat="false" ht="15" hidden="false" customHeight="false" outlineLevel="0" collapsed="false">
      <c r="A81" s="62" t="s">
        <v>602</v>
      </c>
      <c r="B81" s="61" t="s">
        <v>603</v>
      </c>
      <c r="C81" s="75" t="n">
        <f aca="false">(1000*C53/C14-C79)/C80</f>
        <v>19.037380226042</v>
      </c>
      <c r="D81" s="75" t="n">
        <f aca="false">(1000*D53/D14-D79)/D80</f>
        <v>3.19289599331934</v>
      </c>
      <c r="E81" s="75" t="n">
        <f aca="false">(1000*E53/E14-E79)/E80</f>
        <v>34.6633198486582</v>
      </c>
      <c r="F81" s="75" t="n">
        <f aca="false">(1000*F53/F14-F79)/F80</f>
        <v>85.5982539660171</v>
      </c>
      <c r="G81" s="75" t="n">
        <f aca="false">(1000*G53/G14-G79)/G80</f>
        <v>57.0655026440114</v>
      </c>
      <c r="H81" s="75" t="n">
        <f aca="false">(1000*H53/H14-H79)/H80</f>
        <v>4.51272034822341</v>
      </c>
      <c r="I81" s="75" t="n">
        <f aca="false">(1000*I53/I14-I79)/I80</f>
        <v>6.76908052233512</v>
      </c>
      <c r="K81" s="74" t="s">
        <v>604</v>
      </c>
    </row>
    <row r="82" customFormat="false" ht="15" hidden="false" customHeight="false" outlineLevel="0" collapsed="false">
      <c r="A82" s="61" t="s">
        <v>605</v>
      </c>
      <c r="B82" s="61" t="s">
        <v>603</v>
      </c>
      <c r="C82" s="68" t="n">
        <f aca="false">(C48-C51)*1000000000/(C36*C42)</f>
        <v>6118.38152813225</v>
      </c>
      <c r="D82" s="68" t="n">
        <f aca="false">(D48-D51)*1000000000/(D36*D42)</f>
        <v>6118.38152813225</v>
      </c>
      <c r="E82" s="68" t="n">
        <f aca="false">(E48-E51)*1000000000/(E36*E42)</f>
        <v>6118.38152813225</v>
      </c>
      <c r="F82" s="68" t="n">
        <f aca="false">(F48-F51)*1000000000/(F36*F42)</f>
        <v>6118.38152813225</v>
      </c>
      <c r="G82" s="68" t="n">
        <f aca="false">(G48-G51)*1000000000/(G36*G42)</f>
        <v>3458.38783330249</v>
      </c>
      <c r="H82" s="68" t="n">
        <f aca="false">(H48-H51)*1000000000/(H36*H42)</f>
        <v>3458.38783330249</v>
      </c>
      <c r="I82" s="68" t="n">
        <f aca="false">(I48-I51)*1000000000/(I36*I42)</f>
        <v>6118.38152813225</v>
      </c>
      <c r="K82" s="74" t="s">
        <v>606</v>
      </c>
    </row>
    <row r="83" customFormat="false" ht="15" hidden="false" customHeight="false" outlineLevel="0" collapsed="false">
      <c r="A83" s="62" t="s">
        <v>607</v>
      </c>
      <c r="B83" s="61" t="s">
        <v>603</v>
      </c>
      <c r="C83" s="75" t="n">
        <f aca="false">MAX(0,MIN(C81,C82))</f>
        <v>19.037380226042</v>
      </c>
      <c r="D83" s="75" t="n">
        <f aca="false">MAX(0,MIN(D81,D82))</f>
        <v>3.19289599331934</v>
      </c>
      <c r="E83" s="75" t="n">
        <f aca="false">MAX(0,MIN(E81,E82))</f>
        <v>34.6633198486582</v>
      </c>
      <c r="F83" s="75" t="n">
        <f aca="false">MAX(0,MIN(F81,F82))</f>
        <v>85.5982539660171</v>
      </c>
      <c r="G83" s="75" t="n">
        <f aca="false">MAX(0,MIN(G81,G82))</f>
        <v>57.0655026440114</v>
      </c>
      <c r="H83" s="75" t="n">
        <f aca="false">MAX(0,MIN(H81,H82))</f>
        <v>4.51272034822341</v>
      </c>
      <c r="I83" s="75" t="n">
        <f aca="false">MAX(0,MIN(I81,I82))</f>
        <v>6.76908052233512</v>
      </c>
      <c r="K83" s="74" t="s">
        <v>608</v>
      </c>
    </row>
    <row r="84" customFormat="false" ht="15" hidden="false" customHeight="false" outlineLevel="0" collapsed="false">
      <c r="A84" s="62" t="s">
        <v>609</v>
      </c>
      <c r="B84" s="62" t="s">
        <v>389</v>
      </c>
      <c r="C84" s="68" t="n">
        <f aca="false">IF(C83&gt;0,C83*C53/((C79+C83*C80)/1000),0)</f>
        <v>1370.69137627503</v>
      </c>
      <c r="D84" s="68" t="n">
        <f aca="false">IF(D83&gt;0,D83*D53/((D79+D83*D80)/1000),0)</f>
        <v>415.076479131514</v>
      </c>
      <c r="E84" s="68" t="n">
        <f aca="false">IF(E83&gt;0,E83*E53/((E79+E83*E80)/1000),0)</f>
        <v>1733.16599243291</v>
      </c>
      <c r="F84" s="68" t="n">
        <f aca="false">IF(F83&gt;0,F83*F53/((F79+F83*F80)/1000),0)</f>
        <v>2311.15285708246</v>
      </c>
      <c r="G84" s="68" t="n">
        <f aca="false">IF(G83&gt;0,G83*G53/((G79+G83*G80)/1000),0)</f>
        <v>1540.76857138831</v>
      </c>
      <c r="H84" s="68" t="n">
        <f aca="false">IF(H83&gt;0,H83*H53/((H79+H83*H80)/1000),0)</f>
        <v>496.399238304576</v>
      </c>
      <c r="I84" s="68" t="n">
        <f aca="false">IF(I83&gt;0,I83*I53/((I79+I83*I80)/1000),0)</f>
        <v>744.598857456863</v>
      </c>
      <c r="K84" s="74" t="s">
        <v>610</v>
      </c>
    </row>
    <row r="85" customFormat="false" ht="15" hidden="false" customHeight="false" outlineLevel="0" collapsed="false">
      <c r="A85" s="61" t="s">
        <v>611</v>
      </c>
      <c r="B85" s="62" t="s">
        <v>389</v>
      </c>
      <c r="C85" s="68" t="n">
        <f aca="false">IF(C84&gt;0,(C15+C16)/(C15/C78+C16/C84),0)</f>
        <v>9342.1</v>
      </c>
      <c r="D85" s="68" t="n">
        <f aca="false">IF(D84&gt;0,(D15+D16)/(D15/D78+D16/D84),0)</f>
        <v>3405.2</v>
      </c>
      <c r="E85" s="68" t="n">
        <f aca="false">IF(E84&gt;0,(E15+E16)/(E15/E78+E16/E84),0)</f>
        <v>11100.1374307429</v>
      </c>
      <c r="F85" s="68" t="n">
        <f aca="false">IF(F84&gt;0,(F15+F16)/(F15/F78+F16/F84),0)</f>
        <v>13503.2444760612</v>
      </c>
      <c r="G85" s="68" t="n">
        <f aca="false">IF(G84&gt;0,(G15+G16)/(G15/G78+G16/G84),0)</f>
        <v>9002.16298404078</v>
      </c>
      <c r="H85" s="68" t="n">
        <f aca="false">IF(H84&gt;0,(H15+H16)/(H15/H78+H16/H84),0)</f>
        <v>3805.10986409177</v>
      </c>
      <c r="I85" s="68" t="n">
        <f aca="false">IF(I84&gt;0,(I15+I16)/(I15/I78+I16/I84),0)</f>
        <v>5707.66479613766</v>
      </c>
      <c r="K85" s="74" t="s">
        <v>612</v>
      </c>
    </row>
    <row r="86" customFormat="false" ht="15" hidden="false" customHeight="false" outlineLevel="0" collapsed="false">
      <c r="A86" s="61" t="s">
        <v>613</v>
      </c>
      <c r="B86" s="62" t="s">
        <v>118</v>
      </c>
      <c r="C86" s="104" t="n">
        <f aca="false">C85/C17</f>
        <v>1</v>
      </c>
      <c r="D86" s="104" t="n">
        <f aca="false">D85/D17</f>
        <v>0.999999999999999</v>
      </c>
      <c r="E86" s="104" t="n">
        <f aca="false">E85/E17</f>
        <v>0.99108369917347</v>
      </c>
      <c r="F86" s="104" t="n">
        <f aca="false">F85/F17</f>
        <v>2.18428412747673</v>
      </c>
      <c r="G86" s="104" t="n">
        <f aca="false">G85/G17</f>
        <v>4.1124545381639</v>
      </c>
      <c r="H86" s="104" t="n">
        <f aca="false">H85/H17</f>
        <v>1.00253190991747</v>
      </c>
      <c r="I86" s="104" t="n">
        <f aca="false">I85/I17</f>
        <v>0.875086593299653</v>
      </c>
      <c r="K86" s="74" t="s">
        <v>614</v>
      </c>
    </row>
    <row r="87" customFormat="false" ht="42" hidden="false" customHeight="true" outlineLevel="0" collapsed="false">
      <c r="A87" s="61" t="s">
        <v>615</v>
      </c>
      <c r="C87" s="93" t="s">
        <v>616</v>
      </c>
      <c r="D87" s="93" t="s">
        <v>616</v>
      </c>
      <c r="E87" s="93" t="s">
        <v>617</v>
      </c>
      <c r="F87" s="93" t="s">
        <v>618</v>
      </c>
      <c r="G87" s="93" t="s">
        <v>619</v>
      </c>
      <c r="H87" s="93" t="s">
        <v>620</v>
      </c>
      <c r="I87" s="93" t="s">
        <v>140</v>
      </c>
    </row>
    <row r="89" customFormat="false" ht="15" hidden="false" customHeight="false" outlineLevel="0" collapsed="false">
      <c r="A89" s="76" t="s">
        <v>621</v>
      </c>
      <c r="B89" s="70"/>
      <c r="C89" s="70"/>
      <c r="D89" s="70"/>
      <c r="E89" s="70"/>
      <c r="F89" s="70"/>
      <c r="G89" s="70"/>
      <c r="H89" s="70"/>
      <c r="I89" s="70"/>
      <c r="J89" s="70"/>
    </row>
    <row r="90" customFormat="false" ht="15" hidden="false" customHeight="false" outlineLevel="0" collapsed="false">
      <c r="A90" s="10" t="s">
        <v>622</v>
      </c>
      <c r="C90" s="66" t="n">
        <v>0.15</v>
      </c>
      <c r="D90" s="66" t="n">
        <v>0.3</v>
      </c>
      <c r="E90" s="66" t="n">
        <v>0.45</v>
      </c>
    </row>
    <row r="91" customFormat="false" ht="15" hidden="false" customHeight="false" outlineLevel="0" collapsed="false">
      <c r="A91" s="61" t="s">
        <v>623</v>
      </c>
      <c r="C91" s="68" t="n">
        <f aca="false">C90*$C$23*1000000000000000/($C$47*1000000000)</f>
        <v>17107.0307134285</v>
      </c>
      <c r="D91" s="68" t="n">
        <f aca="false">D90*$C$23*1000000000000000/($C$47*1000000000)</f>
        <v>34214.061426857</v>
      </c>
      <c r="E91" s="68" t="n">
        <f aca="false">E90*$C$23*1000000000000000/($C$47*1000000000)</f>
        <v>51321.0921402855</v>
      </c>
      <c r="K91" s="74" t="s">
        <v>624</v>
      </c>
    </row>
    <row r="92" customFormat="false" ht="15" hidden="false" customHeight="false" outlineLevel="0" collapsed="false">
      <c r="A92" s="61" t="s">
        <v>625</v>
      </c>
      <c r="C92" s="68" t="n">
        <f aca="false">C90*$D$23*1000000000000000/($D$47*1000000000)</f>
        <v>17107.0307134285</v>
      </c>
      <c r="D92" s="68" t="n">
        <f aca="false">D90*$D$23*1000000000000000/($D$47*1000000000)</f>
        <v>34214.061426857</v>
      </c>
      <c r="E92" s="68" t="n">
        <f aca="false">E90*$D$23*1000000000000000/($D$47*1000000000)</f>
        <v>51321.0921402855</v>
      </c>
      <c r="K92" s="74" t="s">
        <v>626</v>
      </c>
    </row>
    <row r="93" customFormat="false" ht="15" hidden="false" customHeight="false" outlineLevel="0" collapsed="false">
      <c r="A93" s="61" t="s">
        <v>627</v>
      </c>
      <c r="C93" s="75" t="n">
        <f aca="false">$C$16/(($C$15+$C$16)/$C$17-$C$15/C91)/$C$14</f>
        <v>28.0166567428954</v>
      </c>
      <c r="D93" s="75" t="n">
        <f aca="false">$C$16/(($C$15+$C$16)/$C$17-$C$15/D91)/$C$14</f>
        <v>19.037380226042</v>
      </c>
      <c r="E93" s="75" t="n">
        <f aca="false">$C$16/(($C$15+$C$16)/$C$17-$C$15/E91)/$C$14</f>
        <v>17.199873128154</v>
      </c>
      <c r="K93" s="74" t="s">
        <v>628</v>
      </c>
    </row>
    <row r="94" customFormat="false" ht="15" hidden="false" customHeight="false" outlineLevel="0" collapsed="false">
      <c r="A94" s="61" t="s">
        <v>629</v>
      </c>
      <c r="C94" s="75" t="n">
        <f aca="false">$D$16/(($D$15+$D$16)/$D$17-$D$15/C92)/$D$14</f>
        <v>3.53608745806425</v>
      </c>
      <c r="D94" s="75" t="n">
        <f aca="false">$D$16/(($D$15+$D$16)/$D$17-$D$15/D92)/$D$14</f>
        <v>3.19289599331934</v>
      </c>
      <c r="E94" s="75" t="n">
        <f aca="false">$D$16/(($D$15+$D$16)/$D$17-$D$15/E92)/$D$14</f>
        <v>3.09283853347512</v>
      </c>
      <c r="K94" s="74" t="s">
        <v>630</v>
      </c>
    </row>
    <row r="95" customFormat="false" ht="15" hidden="false" customHeight="false" outlineLevel="0" collapsed="false">
      <c r="A95" s="62" t="s">
        <v>631</v>
      </c>
      <c r="C95" s="102" t="n">
        <f aca="false">(C93-C94)*$C$55/(1000*($C$53/$C$14-$D$53/$D$14))</f>
        <v>0.0552434249054094</v>
      </c>
      <c r="D95" s="102" t="n">
        <f aca="false">(D93-D94)*$C$55/(1000*($C$53/$C$14-$D$53/$D$14))</f>
        <v>0.0357550334998836</v>
      </c>
      <c r="E95" s="102" t="n">
        <f aca="false">(E93-E94)*$C$55/(1000*($C$53/$C$14-$D$53/$D$14))</f>
        <v>0.0318342640320887</v>
      </c>
      <c r="K95" s="74" t="s">
        <v>632</v>
      </c>
    </row>
    <row r="96" customFormat="false" ht="15" hidden="false" customHeight="false" outlineLevel="0" collapsed="false">
      <c r="A96" s="61" t="s">
        <v>633</v>
      </c>
      <c r="C96" s="68" t="n">
        <f aca="false">((1000*$C$53/$C$14-C93*$C$55/C95)-$C$51/$C$25)*1000/($C$31+$C$52)</f>
        <v>175.181704944217</v>
      </c>
      <c r="D96" s="68" t="n">
        <f aca="false">((1000*$C$53/$C$14-D93*$C$55/D95)-$C$51/$C$25)*1000/($C$31+$C$52)</f>
        <v>161.185338133698</v>
      </c>
      <c r="E96" s="68" t="n">
        <f aca="false">((1000*$C$53/$C$14-E93*$C$55/E95)-$C$51/$C$25)*1000/($C$31+$C$52)</f>
        <v>156.838003946316</v>
      </c>
      <c r="K96" s="74" t="s">
        <v>634</v>
      </c>
    </row>
    <row r="98" customFormat="false" ht="15" hidden="false" customHeight="false" outlineLevel="0" collapsed="false">
      <c r="A98" s="76" t="s">
        <v>635</v>
      </c>
      <c r="B98" s="70"/>
      <c r="C98" s="70"/>
      <c r="D98" s="70"/>
      <c r="E98" s="70"/>
      <c r="F98" s="70"/>
      <c r="G98" s="70"/>
      <c r="H98" s="70"/>
      <c r="I98" s="70"/>
      <c r="J98" s="70"/>
    </row>
    <row r="99" customFormat="false" ht="15" hidden="false" customHeight="false" outlineLevel="0" collapsed="false">
      <c r="A99" s="10" t="s">
        <v>636</v>
      </c>
    </row>
    <row r="100" customFormat="false" ht="26.85" hidden="false" customHeight="false" outlineLevel="0" collapsed="false">
      <c r="A100" s="61" t="s">
        <v>286</v>
      </c>
      <c r="B100" s="62" t="s">
        <v>287</v>
      </c>
      <c r="C100" s="63" t="n">
        <f aca="false">SRC_MOD_020</f>
        <v>671</v>
      </c>
      <c r="J100" s="87" t="s">
        <v>637</v>
      </c>
    </row>
    <row r="101" customFormat="false" ht="15" hidden="false" customHeight="false" outlineLevel="0" collapsed="false">
      <c r="A101" s="61" t="s">
        <v>290</v>
      </c>
      <c r="B101" s="62" t="s">
        <v>287</v>
      </c>
      <c r="C101" s="63" t="n">
        <f aca="false">SRC_MOD_021</f>
        <v>37</v>
      </c>
    </row>
    <row r="102" customFormat="false" ht="15" hidden="false" customHeight="false" outlineLevel="0" collapsed="false">
      <c r="A102" s="61" t="s">
        <v>292</v>
      </c>
      <c r="B102" s="61"/>
      <c r="C102" s="63" t="n">
        <f aca="false">SRC_MOD_022</f>
        <v>61</v>
      </c>
    </row>
    <row r="103" customFormat="false" ht="15" hidden="false" customHeight="false" outlineLevel="0" collapsed="false">
      <c r="A103" s="62" t="s">
        <v>295</v>
      </c>
      <c r="B103" s="61"/>
      <c r="C103" s="63" t="n">
        <f aca="false">SRC_MOD_023</f>
        <v>7168</v>
      </c>
    </row>
    <row r="104" customFormat="false" ht="15" hidden="false" customHeight="false" outlineLevel="0" collapsed="false">
      <c r="A104" s="62" t="s">
        <v>301</v>
      </c>
      <c r="B104" s="61"/>
      <c r="C104" s="63" t="n">
        <f aca="false">SRC_MOD_024</f>
        <v>256</v>
      </c>
    </row>
    <row r="105" customFormat="false" ht="15" hidden="false" customHeight="false" outlineLevel="0" collapsed="false">
      <c r="A105" s="61" t="s">
        <v>638</v>
      </c>
      <c r="B105" s="61"/>
      <c r="C105" s="63" t="n">
        <f aca="false">SRC_MOD_025</f>
        <v>8</v>
      </c>
    </row>
    <row r="106" customFormat="false" ht="15" hidden="false" customHeight="false" outlineLevel="0" collapsed="false">
      <c r="A106" s="62" t="s">
        <v>303</v>
      </c>
      <c r="B106" s="61"/>
      <c r="C106" s="63" t="n">
        <f aca="false">SRC_MOD_026</f>
        <v>1</v>
      </c>
    </row>
    <row r="107" customFormat="false" ht="15" hidden="false" customHeight="false" outlineLevel="0" collapsed="false">
      <c r="A107" s="62" t="s">
        <v>304</v>
      </c>
      <c r="B107" s="61"/>
      <c r="C107" s="63" t="n">
        <f aca="false">SRC_MOD_027</f>
        <v>129280</v>
      </c>
      <c r="K107" s="74" t="s">
        <v>639</v>
      </c>
    </row>
    <row r="108" customFormat="false" ht="15" hidden="false" customHeight="false" outlineLevel="0" collapsed="false">
      <c r="A108" s="62" t="s">
        <v>640</v>
      </c>
      <c r="B108" s="62" t="s">
        <v>287</v>
      </c>
      <c r="C108" s="63" t="n">
        <f aca="false">SRC_MOD_028*SRC_MOD_022</f>
        <v>35136</v>
      </c>
    </row>
    <row r="109" customFormat="false" ht="15" hidden="false" customHeight="false" outlineLevel="0" collapsed="false">
      <c r="A109" s="61" t="s">
        <v>641</v>
      </c>
      <c r="B109" s="62" t="s">
        <v>330</v>
      </c>
      <c r="C109" s="63" t="n">
        <f aca="false">(2*SRC_MOD_049*SRC_MOD_050+2*SRC_MOD_049*SRC_MOD_051)*SRC_MOD_022</f>
        <v>4997120</v>
      </c>
    </row>
    <row r="110" customFormat="false" ht="15" hidden="false" customHeight="false" outlineLevel="0" collapsed="false">
      <c r="A110" s="61" t="s">
        <v>642</v>
      </c>
      <c r="B110" s="62" t="s">
        <v>308</v>
      </c>
      <c r="C110" s="63" t="n">
        <f aca="false">SRC_PERF_029</f>
        <v>800</v>
      </c>
    </row>
    <row r="111" customFormat="false" ht="15" hidden="false" customHeight="false" outlineLevel="0" collapsed="false">
      <c r="A111" s="61" t="s">
        <v>643</v>
      </c>
      <c r="B111" s="62" t="s">
        <v>308</v>
      </c>
      <c r="C111" s="63" t="n">
        <f aca="false">SRC_PERF_030</f>
        <v>3880</v>
      </c>
    </row>
    <row r="112" customFormat="false" ht="15" hidden="false" customHeight="false" outlineLevel="0" collapsed="false">
      <c r="A112" s="61" t="s">
        <v>325</v>
      </c>
      <c r="B112" s="62" t="s">
        <v>287</v>
      </c>
      <c r="C112" s="73" t="n">
        <f aca="false">(C100-C101)/(C102*(C104-C105))</f>
        <v>0.0419090428344791</v>
      </c>
    </row>
    <row r="113" customFormat="false" ht="15" hidden="false" customHeight="false" outlineLevel="0" collapsed="false">
      <c r="A113" s="61" t="s">
        <v>521</v>
      </c>
      <c r="B113" s="62" t="s">
        <v>287</v>
      </c>
      <c r="C113" s="75" t="n">
        <f aca="false">C101-C102*(C105+C106)*C112</f>
        <v>13.991935483871</v>
      </c>
    </row>
    <row r="114" customFormat="false" ht="15" hidden="false" customHeight="false" outlineLevel="0" collapsed="false">
      <c r="A114" s="61" t="s">
        <v>328</v>
      </c>
      <c r="B114" s="62" t="s">
        <v>287</v>
      </c>
      <c r="C114" s="68" t="n">
        <f aca="false">C100-C113</f>
        <v>657.008064516129</v>
      </c>
    </row>
    <row r="116" customFormat="false" ht="30" hidden="false" customHeight="true" outlineLevel="0" collapsed="false">
      <c r="A116" s="60" t="s">
        <v>644</v>
      </c>
      <c r="C116" s="84" t="s">
        <v>645</v>
      </c>
      <c r="D116" s="84" t="s">
        <v>646</v>
      </c>
      <c r="E116" s="84" t="s">
        <v>647</v>
      </c>
      <c r="F116" s="84" t="s">
        <v>648</v>
      </c>
      <c r="G116" s="84" t="s">
        <v>649</v>
      </c>
      <c r="H116" s="84" t="s">
        <v>650</v>
      </c>
    </row>
    <row r="117" customFormat="false" ht="15" hidden="false" customHeight="false" outlineLevel="0" collapsed="false">
      <c r="A117" s="61" t="s">
        <v>469</v>
      </c>
      <c r="B117" s="61"/>
      <c r="C117" s="67" t="n">
        <v>3</v>
      </c>
      <c r="D117" s="67" t="n">
        <v>2</v>
      </c>
      <c r="E117" s="67" t="n">
        <v>4</v>
      </c>
      <c r="F117" s="67" t="n">
        <v>3</v>
      </c>
      <c r="G117" s="105" t="n">
        <v>1</v>
      </c>
      <c r="H117" s="105" t="n">
        <v>2</v>
      </c>
    </row>
    <row r="118" customFormat="false" ht="15" hidden="false" customHeight="false" outlineLevel="0" collapsed="false">
      <c r="A118" s="61" t="s">
        <v>651</v>
      </c>
      <c r="B118" s="62" t="s">
        <v>389</v>
      </c>
      <c r="C118" s="98" t="n">
        <f aca="false">1000/SRC_PERF_031</f>
        <v>66.6666666666667</v>
      </c>
      <c r="D118" s="98" t="n">
        <f aca="false">1000/SRC_PERF_031</f>
        <v>66.6666666666667</v>
      </c>
      <c r="E118" s="98" t="n">
        <f aca="false">1000/SRC_PERF_031</f>
        <v>66.6666666666667</v>
      </c>
      <c r="F118" s="98" t="n">
        <f aca="false">1000/SRC_PERF_032</f>
        <v>12.5</v>
      </c>
      <c r="G118" s="75" t="n">
        <f aca="false">1000/SRC_PERF_032</f>
        <v>12.5</v>
      </c>
      <c r="H118" s="75" t="n">
        <f aca="false">1000/SRC_PERF_032</f>
        <v>12.5</v>
      </c>
    </row>
    <row r="119" customFormat="false" ht="15" hidden="false" customHeight="false" outlineLevel="0" collapsed="false">
      <c r="A119" s="61" t="s">
        <v>652</v>
      </c>
      <c r="B119" s="61"/>
      <c r="C119" s="67" t="n">
        <v>1</v>
      </c>
      <c r="D119" s="67" t="n">
        <v>1</v>
      </c>
      <c r="E119" s="67" t="n">
        <v>1</v>
      </c>
      <c r="F119" s="67" t="n">
        <v>0</v>
      </c>
      <c r="G119" s="105" t="n">
        <v>0</v>
      </c>
      <c r="H119" s="105" t="n">
        <v>0</v>
      </c>
      <c r="J119" s="87" t="s">
        <v>653</v>
      </c>
    </row>
    <row r="120" customFormat="false" ht="26.85" hidden="false" customHeight="false" outlineLevel="0" collapsed="false">
      <c r="A120" s="62" t="s">
        <v>654</v>
      </c>
      <c r="B120" s="62" t="s">
        <v>655</v>
      </c>
      <c r="C120" s="63" t="n">
        <f aca="false">SRC_PERF_028/SRC_HW_047</f>
        <v>3520.91666666667</v>
      </c>
      <c r="D120" s="63" t="n">
        <f aca="false">SRC_PERF_025/SRC_HW_047</f>
        <v>3337.75</v>
      </c>
      <c r="E120" s="63" t="n">
        <f aca="false">SRC_PERF_027/SRC_HW_047</f>
        <v>9065.97222222222</v>
      </c>
      <c r="F120" s="63" t="n">
        <f aca="false">SRC_PERF_076</f>
        <v>5561.6</v>
      </c>
      <c r="G120" s="71" t="n">
        <f aca="false">SRC_PERF_060</f>
        <v>556</v>
      </c>
      <c r="H120" s="71" t="n">
        <f aca="false">SRC_PERF_075</f>
        <v>4668.1</v>
      </c>
      <c r="J120" s="87" t="s">
        <v>656</v>
      </c>
    </row>
    <row r="121" customFormat="false" ht="30" hidden="false" customHeight="true" outlineLevel="0" collapsed="false">
      <c r="A121" s="61" t="s">
        <v>492</v>
      </c>
      <c r="C121" s="87" t="s">
        <v>657</v>
      </c>
      <c r="D121" s="87" t="s">
        <v>657</v>
      </c>
      <c r="E121" s="87" t="s">
        <v>658</v>
      </c>
      <c r="F121" s="87" t="s">
        <v>659</v>
      </c>
      <c r="G121" s="87" t="s">
        <v>660</v>
      </c>
      <c r="H121" s="87" t="s">
        <v>659</v>
      </c>
    </row>
    <row r="122" customFormat="false" ht="15" hidden="false" customHeight="false" outlineLevel="0" collapsed="false">
      <c r="A122" s="61" t="s">
        <v>186</v>
      </c>
      <c r="C122" s="92" t="str">
        <f aca="false">INDEX(Spec_Rack!$C$4:$G$4,C117)</f>
        <v>GB300 NVL72</v>
      </c>
      <c r="D122" s="92" t="str">
        <f aca="false">INDEX(Spec_Rack!$C$4:$G$4,D117)</f>
        <v>GB200 NVL72</v>
      </c>
      <c r="E122" s="92" t="str">
        <f aca="false">INDEX(Spec_Rack!$C$4:$G$4,E117)</f>
        <v>VR200 NVL72</v>
      </c>
      <c r="F122" s="92" t="str">
        <f aca="false">INDEX(Spec_Rack!$C$4:$G$4,F117)</f>
        <v>GB300 NVL72</v>
      </c>
      <c r="G122" s="92" t="str">
        <f aca="false">INDEX(Spec_Rack!$C$4:$G$4,G117)</f>
        <v>Hopper H100</v>
      </c>
      <c r="H122" s="92" t="str">
        <f aca="false">INDEX(Spec_Rack!$C$4:$G$4,H117)</f>
        <v>GB200 NVL72</v>
      </c>
      <c r="K122" s="74" t="s">
        <v>661</v>
      </c>
    </row>
    <row r="123" customFormat="false" ht="15" hidden="false" customHeight="false" outlineLevel="0" collapsed="false">
      <c r="A123" s="61" t="s">
        <v>497</v>
      </c>
      <c r="C123" s="74" t="s">
        <v>662</v>
      </c>
      <c r="D123" s="74" t="s">
        <v>662</v>
      </c>
      <c r="E123" s="74" t="s">
        <v>662</v>
      </c>
      <c r="F123" s="74" t="s">
        <v>662</v>
      </c>
      <c r="G123" s="74" t="s">
        <v>662</v>
      </c>
      <c r="H123" s="74" t="s">
        <v>662</v>
      </c>
    </row>
    <row r="124" customFormat="false" ht="15" hidden="false" customHeight="false" outlineLevel="0" collapsed="false">
      <c r="A124" s="61" t="s">
        <v>500</v>
      </c>
      <c r="B124" s="62" t="s">
        <v>663</v>
      </c>
      <c r="C124" s="94" t="n">
        <f aca="false">INDEX(Spec_Rack!$C$35:$G$35,C117)</f>
        <v>15</v>
      </c>
      <c r="D124" s="94" t="n">
        <f aca="false">INDEX(Spec_Rack!$C$35:$G$35,D117)</f>
        <v>10</v>
      </c>
      <c r="E124" s="94" t="n">
        <f aca="false">INDEX(Spec_Rack!$C$35:$G$35,E117)</f>
        <v>35</v>
      </c>
      <c r="F124" s="94" t="n">
        <f aca="false">INDEX(Spec_Rack!$C$35:$G$35,F117)</f>
        <v>15</v>
      </c>
      <c r="G124" s="94" t="n">
        <f aca="false">INDEX(Spec_Rack!$C$35:$G$35,G117)</f>
        <v>1.979</v>
      </c>
      <c r="H124" s="94" t="n">
        <f aca="false">INDEX(Spec_Rack!$C$35:$G$35,H117)</f>
        <v>10</v>
      </c>
    </row>
    <row r="125" customFormat="false" ht="15" hidden="false" customHeight="false" outlineLevel="0" collapsed="false">
      <c r="A125" s="62" t="s">
        <v>664</v>
      </c>
      <c r="B125" s="62" t="s">
        <v>332</v>
      </c>
      <c r="C125" s="63" t="n">
        <f aca="false">INDEX(Spec_Rack!$C$25:$G$25,C117)</f>
        <v>288</v>
      </c>
      <c r="D125" s="63" t="n">
        <f aca="false">INDEX(Spec_Rack!$C$25:$G$25,D117)</f>
        <v>186</v>
      </c>
      <c r="E125" s="63" t="n">
        <f aca="false">INDEX(Spec_Rack!$C$25:$G$25,E117)</f>
        <v>288</v>
      </c>
      <c r="F125" s="63" t="n">
        <f aca="false">INDEX(Spec_Rack!$C$25:$G$25,F117)</f>
        <v>288</v>
      </c>
      <c r="G125" s="63" t="n">
        <f aca="false">INDEX(Spec_Rack!$C$25:$G$25,G117)</f>
        <v>80</v>
      </c>
      <c r="H125" s="63" t="n">
        <f aca="false">INDEX(Spec_Rack!$C$25:$G$25,H117)</f>
        <v>186</v>
      </c>
    </row>
    <row r="126" customFormat="false" ht="15" hidden="false" customHeight="false" outlineLevel="0" collapsed="false">
      <c r="A126" s="62" t="s">
        <v>505</v>
      </c>
      <c r="B126" s="62" t="s">
        <v>506</v>
      </c>
      <c r="C126" s="95" t="n">
        <f aca="false">INDEX(Spec_Rack!$C$26:$G$26,C117)</f>
        <v>8</v>
      </c>
      <c r="D126" s="95" t="n">
        <f aca="false">INDEX(Spec_Rack!$C$26:$G$26,D117)</f>
        <v>8</v>
      </c>
      <c r="E126" s="95" t="n">
        <f aca="false">INDEX(Spec_Rack!$C$26:$G$26,E117)</f>
        <v>22</v>
      </c>
      <c r="F126" s="95" t="n">
        <f aca="false">INDEX(Spec_Rack!$C$26:$G$26,F117)</f>
        <v>8</v>
      </c>
      <c r="G126" s="95" t="n">
        <f aca="false">INDEX(Spec_Rack!$C$26:$G$26,G117)</f>
        <v>3.35</v>
      </c>
      <c r="H126" s="95" t="n">
        <f aca="false">INDEX(Spec_Rack!$C$26:$G$26,H117)</f>
        <v>8</v>
      </c>
    </row>
    <row r="127" customFormat="false" ht="15" hidden="false" customHeight="false" outlineLevel="0" collapsed="false">
      <c r="A127" s="62" t="s">
        <v>665</v>
      </c>
      <c r="B127" s="62" t="s">
        <v>506</v>
      </c>
      <c r="C127" s="95" t="n">
        <f aca="false">INDEX(Spec_Rack!$C$27:$G$27,C117)</f>
        <v>0.9</v>
      </c>
      <c r="D127" s="95" t="n">
        <f aca="false">INDEX(Spec_Rack!$C$27:$G$27,D117)</f>
        <v>0.9</v>
      </c>
      <c r="E127" s="95" t="n">
        <f aca="false">INDEX(Spec_Rack!$C$27:$G$27,E117)</f>
        <v>1.8</v>
      </c>
      <c r="F127" s="95" t="n">
        <f aca="false">INDEX(Spec_Rack!$C$27:$G$27,F117)</f>
        <v>0.9</v>
      </c>
      <c r="G127" s="95" t="n">
        <f aca="false">INDEX(Spec_Rack!$C$27:$G$27,G117)</f>
        <v>0.05</v>
      </c>
      <c r="H127" s="95" t="n">
        <f aca="false">INDEX(Spec_Rack!$C$27:$G$27,H117)</f>
        <v>0.9</v>
      </c>
    </row>
    <row r="128" customFormat="false" ht="15" hidden="false" customHeight="false" outlineLevel="0" collapsed="false">
      <c r="A128" s="62" t="s">
        <v>666</v>
      </c>
      <c r="B128" s="61"/>
      <c r="C128" s="63" t="n">
        <f aca="false">INDEX(Spec_Rack!$C$29:$G$29,C117)</f>
        <v>32</v>
      </c>
      <c r="D128" s="63" t="n">
        <f aca="false">INDEX(Spec_Rack!$C$29:$G$29,D117)</f>
        <v>32</v>
      </c>
      <c r="E128" s="63" t="n">
        <f aca="false">INDEX(Spec_Rack!$C$29:$G$29,E117)</f>
        <v>32</v>
      </c>
      <c r="F128" s="63" t="n">
        <f aca="false">INDEX(Spec_Rack!$C$29:$G$29,F117)</f>
        <v>32</v>
      </c>
      <c r="G128" s="63" t="n">
        <f aca="false">INDEX(Spec_Rack!$C$29:$G$29,G117)</f>
        <v>64</v>
      </c>
      <c r="H128" s="63" t="n">
        <f aca="false">INDEX(Spec_Rack!$C$29:$G$29,H117)</f>
        <v>32</v>
      </c>
    </row>
    <row r="129" customFormat="false" ht="15" hidden="false" customHeight="false" outlineLevel="0" collapsed="false">
      <c r="A129" s="61" t="s">
        <v>667</v>
      </c>
      <c r="B129" s="61"/>
      <c r="C129" s="96" t="n">
        <f aca="false">INDEX(Spec_Rack!$C$30:$G$30,C117)</f>
        <v>0.5625</v>
      </c>
      <c r="D129" s="96" t="n">
        <f aca="false">INDEX(Spec_Rack!$C$30:$G$30,D117)</f>
        <v>0.5625</v>
      </c>
      <c r="E129" s="96" t="n">
        <f aca="false">INDEX(Spec_Rack!$C$30:$G$30,E117)</f>
        <v>0.5625</v>
      </c>
      <c r="F129" s="96" t="n">
        <f aca="false">INDEX(Spec_Rack!$C$30:$G$30,F117)</f>
        <v>0.5625</v>
      </c>
      <c r="G129" s="96" t="n">
        <f aca="false">INDEX(Spec_Rack!$C$30:$G$30,G117)</f>
        <v>1</v>
      </c>
      <c r="H129" s="96" t="n">
        <f aca="false">INDEX(Spec_Rack!$C$30:$G$30,H117)</f>
        <v>0.5625</v>
      </c>
    </row>
    <row r="130" customFormat="false" ht="15" hidden="false" customHeight="false" outlineLevel="0" collapsed="false">
      <c r="A130" s="61" t="s">
        <v>668</v>
      </c>
      <c r="B130" s="61"/>
      <c r="C130" s="97" t="n">
        <f aca="false">INDEX(Spec_Rack!$C$31:$G$31,C117)</f>
        <v>1</v>
      </c>
      <c r="D130" s="97" t="n">
        <f aca="false">INDEX(Spec_Rack!$C$31:$G$31,D117)</f>
        <v>1</v>
      </c>
      <c r="E130" s="97" t="n">
        <f aca="false">INDEX(Spec_Rack!$C$31:$G$31,E117)</f>
        <v>1</v>
      </c>
      <c r="F130" s="97" t="n">
        <f aca="false">INDEX(Spec_Rack!$C$31:$G$31,F117)</f>
        <v>1</v>
      </c>
      <c r="G130" s="97" t="n">
        <f aca="false">INDEX(Spec_Rack!$C$31:$G$31,G117)</f>
        <v>1</v>
      </c>
      <c r="H130" s="97" t="n">
        <f aca="false">INDEX(Spec_Rack!$C$31:$G$31,H117)</f>
        <v>1</v>
      </c>
    </row>
    <row r="131" customFormat="false" ht="15" hidden="false" customHeight="false" outlineLevel="0" collapsed="false">
      <c r="A131" s="61" t="s">
        <v>546</v>
      </c>
      <c r="B131" s="62" t="s">
        <v>332</v>
      </c>
      <c r="C131" s="63" t="n">
        <f aca="false">C125*(1-Serving!$C$9)</f>
        <v>259.2</v>
      </c>
      <c r="D131" s="63" t="n">
        <f aca="false">D125*(1-Serving!$C$9)</f>
        <v>167.4</v>
      </c>
      <c r="E131" s="63" t="n">
        <f aca="false">E125*(1-Serving!$C$9)</f>
        <v>259.2</v>
      </c>
      <c r="F131" s="63" t="n">
        <f aca="false">F125*(1-Serving!$C$9)</f>
        <v>259.2</v>
      </c>
      <c r="G131" s="63" t="n">
        <f aca="false">G125*(1-Serving!$C$9)</f>
        <v>72</v>
      </c>
      <c r="H131" s="63" t="n">
        <f aca="false">H125*(1-Serving!$C$9)</f>
        <v>167.4</v>
      </c>
    </row>
    <row r="132" customFormat="false" ht="15" hidden="false" customHeight="false" outlineLevel="0" collapsed="false">
      <c r="A132" s="61" t="s">
        <v>669</v>
      </c>
      <c r="B132" s="61"/>
      <c r="C132" s="89" t="n">
        <f aca="false">MAX(1,CEILING($C$113*C130/(Serving!$C$10*C131),1))</f>
        <v>1</v>
      </c>
      <c r="D132" s="89" t="n">
        <f aca="false">MAX(1,CEILING($C$113*D130/(Serving!$C$10*D131),1))</f>
        <v>1</v>
      </c>
      <c r="E132" s="89" t="n">
        <f aca="false">MAX(1,CEILING($C$113*E130/(Serving!$C$10*E131),1))</f>
        <v>1</v>
      </c>
      <c r="F132" s="89" t="n">
        <f aca="false">MAX(1,CEILING($C$113*F130/(Serving!$C$10*F131),1))</f>
        <v>1</v>
      </c>
      <c r="G132" s="89" t="n">
        <f aca="false">MAX(1,CEILING($C$113*G130/(Serving!$C$10*G131),1))</f>
        <v>1</v>
      </c>
      <c r="H132" s="89" t="n">
        <f aca="false">MAX(1,CEILING($C$113*H130/(Serving!$C$10*H131),1))</f>
        <v>1</v>
      </c>
    </row>
    <row r="133" customFormat="false" ht="15" hidden="false" customHeight="false" outlineLevel="0" collapsed="false">
      <c r="A133" s="62" t="s">
        <v>550</v>
      </c>
      <c r="B133" s="61"/>
      <c r="C133" s="63" t="n">
        <f aca="false">MAX(C128,CEILING($C$114*C129/(Serving!$C$11*C131),1))</f>
        <v>32</v>
      </c>
      <c r="D133" s="63" t="n">
        <f aca="false">MAX(D128,CEILING($C$114*D129/(Serving!$C$11*D131),1))</f>
        <v>32</v>
      </c>
      <c r="E133" s="63" t="n">
        <f aca="false">MAX(E128,CEILING($C$114*E129/(Serving!$C$11*E131),1))</f>
        <v>32</v>
      </c>
      <c r="F133" s="63" t="n">
        <f aca="false">MAX(F128,CEILING($C$114*F129/(Serving!$C$11*F131),1))</f>
        <v>32</v>
      </c>
      <c r="G133" s="63" t="n">
        <f aca="false">MAX(G128,CEILING($C$114*G129/(Serving!$C$11*G131),1))</f>
        <v>64</v>
      </c>
      <c r="H133" s="63" t="n">
        <f aca="false">MAX(H128,CEILING($C$114*H129/(Serving!$C$11*H131),1))</f>
        <v>32</v>
      </c>
    </row>
    <row r="134" customFormat="false" ht="15" hidden="false" customHeight="false" outlineLevel="0" collapsed="false">
      <c r="A134" s="61" t="s">
        <v>552</v>
      </c>
      <c r="B134" s="62" t="s">
        <v>332</v>
      </c>
      <c r="C134" s="75" t="n">
        <f aca="false">$C$113*C130/C132+$C$114*C129/C133</f>
        <v>25.5409053679435</v>
      </c>
      <c r="D134" s="75" t="n">
        <f aca="false">$C$113*D130/D132+$C$114*D129/D133</f>
        <v>25.5409053679435</v>
      </c>
      <c r="E134" s="75" t="n">
        <f aca="false">$C$113*E130/E132+$C$114*E129/E133</f>
        <v>25.5409053679435</v>
      </c>
      <c r="F134" s="75" t="n">
        <f aca="false">$C$113*F130/F132+$C$114*F129/F133</f>
        <v>25.5409053679435</v>
      </c>
      <c r="G134" s="75" t="n">
        <f aca="false">$C$113*G130/G132+$C$114*G129/G133</f>
        <v>24.2576864919355</v>
      </c>
      <c r="H134" s="75" t="n">
        <f aca="false">$C$113*H130/H132+$C$114*H129/H133</f>
        <v>25.5409053679435</v>
      </c>
    </row>
    <row r="135" customFormat="false" ht="15" hidden="false" customHeight="false" outlineLevel="0" collapsed="false">
      <c r="A135" s="62" t="s">
        <v>396</v>
      </c>
      <c r="B135" s="62" t="s">
        <v>308</v>
      </c>
      <c r="C135" s="68" t="n">
        <f aca="false">$C$110+$C$111/2</f>
        <v>2740</v>
      </c>
      <c r="D135" s="68" t="n">
        <f aca="false">$C$110+$C$111/2</f>
        <v>2740</v>
      </c>
      <c r="E135" s="68" t="n">
        <f aca="false">$C$110+$C$111/2</f>
        <v>2740</v>
      </c>
      <c r="F135" s="68" t="n">
        <f aca="false">$C$110+$C$111/2</f>
        <v>2740</v>
      </c>
      <c r="G135" s="68" t="n">
        <f aca="false">$C$110+$C$111/2</f>
        <v>2740</v>
      </c>
      <c r="H135" s="68" t="n">
        <f aca="false">$C$110+$C$111/2</f>
        <v>2740</v>
      </c>
    </row>
    <row r="136" customFormat="false" ht="15" hidden="false" customHeight="false" outlineLevel="0" collapsed="false">
      <c r="A136" s="62" t="s">
        <v>538</v>
      </c>
      <c r="B136" s="62" t="s">
        <v>539</v>
      </c>
      <c r="C136" s="75" t="n">
        <f aca="false">(2*$C$101*1000000000+$C$109*C135)/1000000000</f>
        <v>87.6921088</v>
      </c>
      <c r="D136" s="75" t="n">
        <f aca="false">(2*$C$101*1000000000+$C$109*D135)/1000000000</f>
        <v>87.6921088</v>
      </c>
      <c r="E136" s="75" t="n">
        <f aca="false">(2*$C$101*1000000000+$C$109*E135)/1000000000</f>
        <v>87.6921088</v>
      </c>
      <c r="F136" s="75" t="n">
        <f aca="false">(2*$C$101*1000000000+$C$109*F135)/1000000000</f>
        <v>87.6921088</v>
      </c>
      <c r="G136" s="75" t="n">
        <f aca="false">(2*$C$101*1000000000+$C$109*G135)/1000000000</f>
        <v>87.6921088</v>
      </c>
      <c r="H136" s="75" t="n">
        <f aca="false">(2*$C$101*1000000000+$C$109*H135)/1000000000</f>
        <v>87.6921088</v>
      </c>
    </row>
    <row r="137" customFormat="false" ht="15" hidden="false" customHeight="false" outlineLevel="0" collapsed="false">
      <c r="A137" s="62" t="s">
        <v>544</v>
      </c>
      <c r="B137" s="62" t="s">
        <v>539</v>
      </c>
      <c r="C137" s="75" t="n">
        <f aca="false">(2*$C$101*1000000000+$C$109*$C$110/2)/1000000000</f>
        <v>75.998848</v>
      </c>
      <c r="D137" s="75" t="n">
        <f aca="false">(2*$C$101*1000000000+$C$109*$C$110/2)/1000000000</f>
        <v>75.998848</v>
      </c>
      <c r="E137" s="75" t="n">
        <f aca="false">(2*$C$101*1000000000+$C$109*$C$110/2)/1000000000</f>
        <v>75.998848</v>
      </c>
      <c r="F137" s="75" t="n">
        <f aca="false">(2*$C$101*1000000000+$C$109*$C$110/2)/1000000000</f>
        <v>75.998848</v>
      </c>
      <c r="G137" s="75" t="n">
        <f aca="false">(2*$C$101*1000000000+$C$109*$C$110/2)/1000000000</f>
        <v>75.998848</v>
      </c>
      <c r="H137" s="75" t="n">
        <f aca="false">(2*$C$101*1000000000+$C$109*$C$110/2)/1000000000</f>
        <v>75.998848</v>
      </c>
    </row>
    <row r="138" customFormat="false" ht="15" hidden="false" customHeight="false" outlineLevel="0" collapsed="false">
      <c r="A138" s="61" t="s">
        <v>670</v>
      </c>
      <c r="B138" s="61"/>
      <c r="C138" s="89" t="n">
        <f aca="false">Serving!$C$6*C119</f>
        <v>3</v>
      </c>
      <c r="D138" s="89" t="n">
        <f aca="false">Serving!$C$6*D119</f>
        <v>3</v>
      </c>
      <c r="E138" s="89" t="n">
        <f aca="false">Serving!$C$6*E119</f>
        <v>3</v>
      </c>
      <c r="F138" s="89" t="n">
        <f aca="false">Serving!$C$6*F119</f>
        <v>0</v>
      </c>
      <c r="G138" s="89" t="n">
        <f aca="false">Serving!$C$6*G119</f>
        <v>0</v>
      </c>
      <c r="H138" s="89" t="n">
        <f aca="false">Serving!$C$6*H119</f>
        <v>0</v>
      </c>
    </row>
    <row r="139" customFormat="false" ht="15" hidden="false" customHeight="false" outlineLevel="0" collapsed="false">
      <c r="A139" s="61" t="s">
        <v>671</v>
      </c>
      <c r="B139" s="61"/>
      <c r="C139" s="97" t="n">
        <f aca="false">IF(C119=1,Serving!$C$8,1)</f>
        <v>2.533</v>
      </c>
      <c r="D139" s="97" t="n">
        <f aca="false">IF(D119=1,Serving!$C$8,1)</f>
        <v>2.533</v>
      </c>
      <c r="E139" s="97" t="n">
        <f aca="false">IF(E119=1,Serving!$C$8,1)</f>
        <v>2.533</v>
      </c>
      <c r="F139" s="97" t="n">
        <f aca="false">IF(F119=1,Serving!$C$8,1)</f>
        <v>1</v>
      </c>
      <c r="G139" s="97" t="n">
        <f aca="false">IF(G119=1,Serving!$C$8,1)</f>
        <v>1</v>
      </c>
      <c r="H139" s="97" t="n">
        <f aca="false">IF(H119=1,Serving!$C$8,1)</f>
        <v>1</v>
      </c>
    </row>
    <row r="140" customFormat="false" ht="15" hidden="false" customHeight="false" outlineLevel="0" collapsed="false">
      <c r="A140" s="62" t="s">
        <v>590</v>
      </c>
      <c r="B140" s="62" t="s">
        <v>113</v>
      </c>
      <c r="C140" s="102" t="n">
        <f aca="false">INDEX($C$70:$G$70,C117)</f>
        <v>0.0357550334998836</v>
      </c>
      <c r="D140" s="102" t="n">
        <f aca="false">INDEX($C$70:$G$70,D117)</f>
        <v>0.0357550334998836</v>
      </c>
      <c r="E140" s="102" t="n">
        <f aca="false">INDEX($C$70:$G$70,E117)</f>
        <v>0.0357550334998836</v>
      </c>
      <c r="F140" s="102" t="n">
        <f aca="false">INDEX($C$70:$G$70,F117)</f>
        <v>0.0357550334998836</v>
      </c>
      <c r="G140" s="102" t="n">
        <f aca="false">INDEX($C$70:$G$70,G117)</f>
        <v>0.0429060401998604</v>
      </c>
      <c r="H140" s="102" t="n">
        <f aca="false">INDEX($C$70:$G$70,H117)</f>
        <v>0.0357550334998836</v>
      </c>
    </row>
    <row r="141" customFormat="false" ht="15" hidden="false" customHeight="false" outlineLevel="0" collapsed="false">
      <c r="A141" s="61" t="s">
        <v>592</v>
      </c>
      <c r="B141" s="62" t="s">
        <v>574</v>
      </c>
      <c r="C141" s="68" t="n">
        <f aca="false">INDEX($C$71:$G$71,C117)</f>
        <v>161.185338133698</v>
      </c>
      <c r="D141" s="68" t="n">
        <f aca="false">INDEX($C$71:$G$71,D117)</f>
        <v>161.185338133698</v>
      </c>
      <c r="E141" s="68" t="n">
        <f aca="false">INDEX($C$71:$G$71,E117)</f>
        <v>161.185338133698</v>
      </c>
      <c r="F141" s="68" t="n">
        <f aca="false">INDEX($C$71:$G$71,F117)</f>
        <v>161.185338133698</v>
      </c>
      <c r="G141" s="68" t="n">
        <f aca="false">INDEX($C$71:$G$71,G117)</f>
        <v>241.778007200547</v>
      </c>
      <c r="H141" s="68" t="n">
        <f aca="false">INDEX($C$71:$G$71,H117)</f>
        <v>161.185338133698</v>
      </c>
    </row>
    <row r="142" customFormat="false" ht="15" hidden="false" customHeight="false" outlineLevel="0" collapsed="false">
      <c r="A142" s="62" t="s">
        <v>594</v>
      </c>
      <c r="B142" s="62" t="s">
        <v>113</v>
      </c>
      <c r="C142" s="103" t="n">
        <f aca="false">INDEX($C$72:$G$72,C117)</f>
        <v>0.3</v>
      </c>
      <c r="D142" s="103" t="n">
        <f aca="false">INDEX($C$72:$G$72,D117)</f>
        <v>0.3</v>
      </c>
      <c r="E142" s="103" t="n">
        <f aca="false">INDEX($C$72:$G$72,E117)</f>
        <v>0.3</v>
      </c>
      <c r="F142" s="103" t="n">
        <f aca="false">INDEX($C$72:$G$72,F117)</f>
        <v>0.3</v>
      </c>
      <c r="G142" s="103" t="n">
        <f aca="false">INDEX($C$72:$G$72,G117)</f>
        <v>0.149924204143507</v>
      </c>
      <c r="H142" s="103" t="n">
        <f aca="false">INDEX($C$72:$G$72,H117)</f>
        <v>0.3</v>
      </c>
    </row>
    <row r="143" customFormat="false" ht="15" hidden="false" customHeight="false" outlineLevel="0" collapsed="false">
      <c r="A143" s="62" t="s">
        <v>596</v>
      </c>
      <c r="B143" s="62" t="s">
        <v>389</v>
      </c>
      <c r="C143" s="68" t="n">
        <f aca="false">C142*C124*1000000000000000/(C137*1000000000)</f>
        <v>59211.4238363192</v>
      </c>
      <c r="D143" s="68" t="n">
        <f aca="false">D142*D124*1000000000000000/(D137*1000000000)</f>
        <v>39474.2825575461</v>
      </c>
      <c r="E143" s="68" t="n">
        <f aca="false">E142*E124*1000000000000000/(E137*1000000000)</f>
        <v>138159.988951411</v>
      </c>
      <c r="F143" s="68" t="n">
        <f aca="false">F142*F124*1000000000000000/(F137*1000000000)</f>
        <v>59211.4238363192</v>
      </c>
      <c r="G143" s="68" t="n">
        <f aca="false">G142*G124*1000000000000000/(G137*1000000000)</f>
        <v>3904.00654494131</v>
      </c>
      <c r="H143" s="68" t="n">
        <f aca="false">H142*H124*1000000000000000/(H137*1000000000)</f>
        <v>39474.2825575461</v>
      </c>
    </row>
    <row r="144" customFormat="false" ht="15" hidden="false" customHeight="false" outlineLevel="0" collapsed="false">
      <c r="A144" s="61" t="s">
        <v>598</v>
      </c>
      <c r="B144" s="62" t="s">
        <v>561</v>
      </c>
      <c r="C144" s="72" t="n">
        <f aca="false">C134/C126+($C$102+C138)*C141/1000</f>
        <v>13.5084748115496</v>
      </c>
      <c r="D144" s="72" t="n">
        <f aca="false">D134/D126+($C$102+D138)*D141/1000</f>
        <v>13.5084748115496</v>
      </c>
      <c r="E144" s="72" t="n">
        <f aca="false">E134/E126+($C$102+E138)*E141/1000</f>
        <v>11.4768118845541</v>
      </c>
      <c r="F144" s="72" t="n">
        <f aca="false">F134/F126+($C$102+F138)*F141/1000</f>
        <v>13.0249187971485</v>
      </c>
      <c r="G144" s="72" t="n">
        <f aca="false">G134/G126+($C$102+G138)*G141/1000</f>
        <v>21.9895588845872</v>
      </c>
      <c r="H144" s="72" t="n">
        <f aca="false">H134/H126+($C$102+H138)*H141/1000</f>
        <v>13.0249187971485</v>
      </c>
    </row>
    <row r="145" customFormat="false" ht="15" hidden="false" customHeight="false" outlineLevel="0" collapsed="false">
      <c r="A145" s="61" t="s">
        <v>600</v>
      </c>
      <c r="B145" s="62" t="s">
        <v>561</v>
      </c>
      <c r="C145" s="96" t="n">
        <f aca="false">MAX((C138+1)*C136/(C124*C140)/1000,$C$108*C135/(C126*Serving!$C$13)/1000000000,(C138+1)*$C$102*$C$105*$C$103*Serving!$C$12*(C133-1)/C133/(C127*Serving!$C$14)/1000000000)</f>
        <v>0.65402154767224</v>
      </c>
      <c r="D145" s="96" t="n">
        <f aca="false">MAX((D138+1)*D136/(D124*D140)/1000,$C$108*D135/(D126*Serving!$C$13)/1000000000,(D138+1)*$C$102*$C$105*$C$103*Serving!$C$12*(D133-1)/D133/(D127*Serving!$C$14)/1000000000)</f>
        <v>0.98103232150836</v>
      </c>
      <c r="E145" s="96" t="n">
        <f aca="false">MAX((E138+1)*E136/(E124*E140)/1000,$C$108*E135/(E126*Serving!$C$13)/1000000000,(E138+1)*$C$102*$C$105*$C$103*Serving!$C$12*(E133-1)/E133/(E127*Serving!$C$14)/1000000000)</f>
        <v>0.280294949002389</v>
      </c>
      <c r="F145" s="96" t="n">
        <f aca="false">MAX((F138+1)*F136/(F124*F140)/1000,$C$108*F135/(F126*Serving!$C$13)/1000000000,(F138+1)*$C$102*$C$105*$C$103*Serving!$C$12*(F133-1)/F133/(F127*Serving!$C$14)/1000000000)</f>
        <v>0.16350538691806</v>
      </c>
      <c r="G145" s="96" t="n">
        <f aca="false">MAX((G138+1)*G136/(G124*G140)/1000,$C$108*G135/(G126*Serving!$C$13)/1000000000,(G138+1)*$C$102*$C$105*$C$103*Serving!$C$12*(G133-1)/G133/(G127*Serving!$C$14)/1000000000)</f>
        <v>1.03275257022524</v>
      </c>
      <c r="H145" s="96" t="n">
        <f aca="false">MAX((H138+1)*H136/(H124*H140)/1000,$C$108*H135/(H126*Serving!$C$13)/1000000000,(H138+1)*$C$102*$C$105*$C$103*Serving!$C$12*(H133-1)/H133/(H127*Serving!$C$14)/1000000000)</f>
        <v>0.24525808037709</v>
      </c>
    </row>
    <row r="146" customFormat="false" ht="15" hidden="false" customHeight="false" outlineLevel="0" collapsed="false">
      <c r="A146" s="62" t="s">
        <v>607</v>
      </c>
      <c r="B146" s="61" t="s">
        <v>603</v>
      </c>
      <c r="C146" s="75" t="n">
        <f aca="false">MAX(0,MIN((1000*C139/C118-C144)/C145,(C131-C134)*1000000000/($C$108*C135)))</f>
        <v>37.4399364602001</v>
      </c>
      <c r="D146" s="75" t="n">
        <f aca="false">MAX(0,MIN((1000*D139/D118-D144)/D145,(D131-D134)*1000000000/($C$108*D135)))</f>
        <v>24.9599576401334</v>
      </c>
      <c r="E146" s="75" t="n">
        <f aca="false">MAX(0,MIN((1000*E139/E118-E144)/E145,(E131-E134)*1000000000/($C$108*E135)))</f>
        <v>94.6081554798903</v>
      </c>
      <c r="F146" s="75" t="n">
        <f aca="false">MAX(0,MIN((1000*F139/F118-F144)/F145,(F131-F134)*1000000000/($C$108*F135)))</f>
        <v>409.620028216048</v>
      </c>
      <c r="G146" s="75" t="n">
        <f aca="false">MAX(0,MIN((1000*G139/G118-G144)/G145,(G131-G134)*1000000000/($C$108*G135)))</f>
        <v>56.1707061186601</v>
      </c>
      <c r="H146" s="75" t="n">
        <f aca="false">MAX(0,MIN((1000*H139/H118-H144)/H145,(H131-H134)*1000000000/($C$108*H135)))</f>
        <v>273.080018810698</v>
      </c>
    </row>
    <row r="147" customFormat="false" ht="15" hidden="false" customHeight="false" outlineLevel="0" collapsed="false">
      <c r="A147" s="62" t="s">
        <v>609</v>
      </c>
      <c r="B147" s="62" t="s">
        <v>389</v>
      </c>
      <c r="C147" s="68" t="n">
        <f aca="false">IF(C146&gt;0,C146*C139/((C144+C146*C145)/1000),0)</f>
        <v>2495.99576401334</v>
      </c>
      <c r="D147" s="68" t="n">
        <f aca="false">IF(D146&gt;0,D146*D139/((D144+D146*D145)/1000),0)</f>
        <v>1663.99717600889</v>
      </c>
      <c r="E147" s="68" t="n">
        <f aca="false">IF(E146&gt;0,E146*E139/((E144+E146*E145)/1000),0)</f>
        <v>6307.21036532602</v>
      </c>
      <c r="F147" s="68" t="n">
        <f aca="false">IF(F146&gt;0,F146*F139/((F144+F146*F145)/1000),0)</f>
        <v>5120.2503527006</v>
      </c>
      <c r="G147" s="68" t="n">
        <f aca="false">IF(G146&gt;0,G146*G139/((G144+G146*G145)/1000),0)</f>
        <v>702.133826483251</v>
      </c>
      <c r="H147" s="68" t="n">
        <f aca="false">IF(H146&gt;0,H146*H139/((H144+H146*H145)/1000),0)</f>
        <v>3413.50023513373</v>
      </c>
    </row>
    <row r="148" customFormat="false" ht="15" hidden="false" customHeight="false" outlineLevel="0" collapsed="false">
      <c r="A148" s="61" t="s">
        <v>672</v>
      </c>
      <c r="B148" s="62" t="s">
        <v>389</v>
      </c>
      <c r="C148" s="68" t="n">
        <f aca="false">IF(C147&gt;0,$C$111/($C$110/C143+$C$111/C147),0)</f>
        <v>2474.48865345806</v>
      </c>
      <c r="D148" s="68" t="n">
        <f aca="false">IF(D147&gt;0,$C$111/($C$110/D143+$C$111/D147),0)</f>
        <v>1649.65910230537</v>
      </c>
      <c r="E148" s="68" t="n">
        <f aca="false">IF(E147&gt;0,$C$111/($C$110/E143+$C$111/E147),0)</f>
        <v>6248.39621214415</v>
      </c>
      <c r="F148" s="68" t="n">
        <f aca="false">IF(F147&gt;0,$C$111/($C$110/F143+$C$111/F147),0)</f>
        <v>5030.5570468308</v>
      </c>
      <c r="G148" s="68" t="n">
        <f aca="false">IF(G147&gt;0,$C$111/($C$110/G143+$C$111/G147),0)</f>
        <v>677.028015156497</v>
      </c>
      <c r="H148" s="68" t="n">
        <f aca="false">IF(H147&gt;0,$C$111/($C$110/H143+$C$111/H147),0)</f>
        <v>3353.7046978872</v>
      </c>
    </row>
    <row r="149" customFormat="false" ht="15" hidden="false" customHeight="false" outlineLevel="0" collapsed="false">
      <c r="A149" s="61" t="s">
        <v>673</v>
      </c>
      <c r="B149" s="62" t="s">
        <v>118</v>
      </c>
      <c r="C149" s="104" t="n">
        <f aca="false">C148/C120</f>
        <v>0.702796711119185</v>
      </c>
      <c r="D149" s="104" t="n">
        <f aca="false">D148/D120</f>
        <v>0.494242858903564</v>
      </c>
      <c r="E149" s="104" t="n">
        <f aca="false">E148/E120</f>
        <v>0.689214136000581</v>
      </c>
      <c r="F149" s="104" t="n">
        <f aca="false">F148/F120</f>
        <v>0.904516154853064</v>
      </c>
      <c r="G149" s="104" t="n">
        <f aca="false">G148/G120</f>
        <v>1.21767628625269</v>
      </c>
      <c r="H149" s="104" t="n">
        <f aca="false">H148/H120</f>
        <v>0.718430345941003</v>
      </c>
      <c r="K149" s="74" t="s">
        <v>674</v>
      </c>
    </row>
    <row r="150" customFormat="false" ht="26.85" hidden="false" customHeight="false" outlineLevel="0" collapsed="false">
      <c r="A150" s="62" t="s">
        <v>675</v>
      </c>
      <c r="C150" s="104" t="n">
        <f aca="false">E148/C148</f>
        <v>2.5251262330147</v>
      </c>
      <c r="J150" s="87" t="s">
        <v>676</v>
      </c>
    </row>
    <row r="151" customFormat="false" ht="15" hidden="false" customHeight="false" outlineLevel="0" collapsed="false">
      <c r="A151" s="62" t="s">
        <v>677</v>
      </c>
      <c r="C151" s="104" t="n">
        <f aca="false">E120/C120</f>
        <v>2.5748897461993</v>
      </c>
    </row>
    <row r="152" customFormat="false" ht="26.85" hidden="false" customHeight="false" outlineLevel="0" collapsed="false">
      <c r="A152" s="62" t="s">
        <v>678</v>
      </c>
      <c r="C152" s="77" t="n">
        <f aca="false">C148/D148</f>
        <v>1.5</v>
      </c>
      <c r="D152" s="77" t="n">
        <f aca="false">C120/D120</f>
        <v>1.05487728759394</v>
      </c>
      <c r="J152" s="93" t="s">
        <v>679</v>
      </c>
    </row>
    <row r="154" customFormat="false" ht="15" hidden="false" customHeight="false" outlineLevel="0" collapsed="false">
      <c r="A154" s="76" t="s">
        <v>680</v>
      </c>
      <c r="B154" s="70"/>
      <c r="C154" s="70"/>
      <c r="D154" s="70"/>
      <c r="E154" s="70"/>
      <c r="F154" s="70"/>
      <c r="G154" s="70"/>
      <c r="H154" s="70"/>
      <c r="I154" s="70"/>
      <c r="J154" s="70"/>
    </row>
    <row r="155" customFormat="false" ht="15" hidden="false" customHeight="false" outlineLevel="0" collapsed="false">
      <c r="A155" s="60" t="s">
        <v>186</v>
      </c>
      <c r="B155" s="60" t="s">
        <v>95</v>
      </c>
      <c r="C155" s="92" t="str">
        <f aca="false">Spec_Rack!C4</f>
        <v>Hopper H100</v>
      </c>
      <c r="D155" s="92" t="str">
        <f aca="false">Spec_Rack!D4</f>
        <v>GB200 NVL72</v>
      </c>
      <c r="E155" s="92" t="str">
        <f aca="false">Spec_Rack!E4</f>
        <v>GB300 NVL72</v>
      </c>
      <c r="F155" s="92" t="str">
        <f aca="false">Spec_Rack!F4</f>
        <v>VR200 NVL72</v>
      </c>
      <c r="G155" s="92" t="str">
        <f aca="false">Spec_Rack!G4</f>
        <v>Rubin Ultra（MGX NVL 單架，72 GPU）</v>
      </c>
      <c r="K155" s="74" t="s">
        <v>681</v>
      </c>
    </row>
    <row r="156" customFormat="false" ht="52.2" hidden="false" customHeight="false" outlineLevel="0" collapsed="false">
      <c r="A156" s="61" t="s">
        <v>682</v>
      </c>
      <c r="B156" s="62" t="s">
        <v>118</v>
      </c>
      <c r="C156" s="77" t="n">
        <v>1</v>
      </c>
      <c r="D156" s="77" t="n">
        <v>1</v>
      </c>
      <c r="E156" s="77" t="n">
        <v>1</v>
      </c>
      <c r="F156" s="79" t="n">
        <v>0.75</v>
      </c>
      <c r="G156" s="77" t="n">
        <v>1</v>
      </c>
      <c r="H156" s="59" t="s">
        <v>683</v>
      </c>
      <c r="J156" s="87" t="s">
        <v>684</v>
      </c>
    </row>
    <row r="158" customFormat="false" ht="15" hidden="false" customHeight="false" outlineLevel="0" collapsed="false">
      <c r="A158" s="76" t="s">
        <v>685</v>
      </c>
      <c r="B158" s="70"/>
      <c r="C158" s="70"/>
      <c r="D158" s="70"/>
      <c r="E158" s="70"/>
      <c r="F158" s="70"/>
      <c r="G158" s="70"/>
      <c r="H158" s="70"/>
      <c r="I158" s="70"/>
      <c r="J158" s="70"/>
    </row>
    <row r="159" customFormat="false" ht="57.75" hidden="false" customHeight="true" outlineLevel="0" collapsed="false">
      <c r="A159" s="60" t="s">
        <v>686</v>
      </c>
      <c r="C159" s="84" t="s">
        <v>687</v>
      </c>
      <c r="D159" s="84" t="s">
        <v>688</v>
      </c>
      <c r="E159" s="84" t="s">
        <v>689</v>
      </c>
      <c r="F159" s="84" t="s">
        <v>690</v>
      </c>
      <c r="G159" s="84" t="s">
        <v>691</v>
      </c>
    </row>
    <row r="160" customFormat="false" ht="26.85" hidden="false" customHeight="false" outlineLevel="0" collapsed="false">
      <c r="A160" s="61" t="s">
        <v>469</v>
      </c>
      <c r="B160" s="61"/>
      <c r="C160" s="105" t="n">
        <v>1</v>
      </c>
      <c r="D160" s="105" t="n">
        <v>2</v>
      </c>
      <c r="E160" s="105" t="n">
        <v>1</v>
      </c>
      <c r="F160" s="105" t="n">
        <v>1</v>
      </c>
      <c r="G160" s="105" t="n">
        <v>2</v>
      </c>
      <c r="J160" s="93" t="s">
        <v>692</v>
      </c>
    </row>
    <row r="161" customFormat="false" ht="39.55" hidden="false" customHeight="false" outlineLevel="0" collapsed="false">
      <c r="A161" s="61" t="s">
        <v>693</v>
      </c>
      <c r="B161" s="62" t="s">
        <v>308</v>
      </c>
      <c r="C161" s="68" t="n">
        <v>4096</v>
      </c>
      <c r="D161" s="68" t="n">
        <v>2000</v>
      </c>
      <c r="E161" s="68" t="n">
        <v>4989</v>
      </c>
      <c r="F161" s="68" t="n">
        <v>2000</v>
      </c>
      <c r="G161" s="68" t="n">
        <v>2000</v>
      </c>
      <c r="J161" s="87" t="s">
        <v>694</v>
      </c>
    </row>
    <row r="162" customFormat="false" ht="15" hidden="false" customHeight="false" outlineLevel="0" collapsed="false">
      <c r="A162" s="61" t="s">
        <v>695</v>
      </c>
      <c r="B162" s="62" t="s">
        <v>308</v>
      </c>
      <c r="C162" s="68" t="n">
        <v>0</v>
      </c>
      <c r="D162" s="68" t="n">
        <v>2000</v>
      </c>
      <c r="E162" s="68" t="n">
        <v>0</v>
      </c>
      <c r="F162" s="68" t="n">
        <v>2000</v>
      </c>
      <c r="G162" s="68" t="n">
        <v>2000</v>
      </c>
    </row>
    <row r="163" customFormat="false" ht="26.85" hidden="false" customHeight="false" outlineLevel="0" collapsed="false">
      <c r="A163" s="62" t="s">
        <v>696</v>
      </c>
      <c r="B163" s="62" t="s">
        <v>697</v>
      </c>
      <c r="C163" s="105" t="n">
        <v>128</v>
      </c>
      <c r="D163" s="105" t="n">
        <v>8</v>
      </c>
      <c r="E163" s="105" t="n">
        <v>144</v>
      </c>
      <c r="F163" s="105" t="n">
        <v>0</v>
      </c>
      <c r="G163" s="105" t="n">
        <v>0</v>
      </c>
      <c r="J163" s="87" t="s">
        <v>698</v>
      </c>
    </row>
    <row r="164" customFormat="false" ht="26.85" hidden="false" customHeight="false" outlineLevel="0" collapsed="false">
      <c r="A164" s="61" t="s">
        <v>699</v>
      </c>
      <c r="B164" s="62" t="s">
        <v>389</v>
      </c>
      <c r="C164" s="86" t="n">
        <v>0</v>
      </c>
      <c r="D164" s="86" t="n">
        <v>0</v>
      </c>
      <c r="E164" s="86" t="n">
        <v>21</v>
      </c>
      <c r="F164" s="86" t="n">
        <v>10</v>
      </c>
      <c r="G164" s="86" t="n">
        <v>10</v>
      </c>
      <c r="J164" s="87" t="s">
        <v>700</v>
      </c>
    </row>
    <row r="165" customFormat="false" ht="26.85" hidden="false" customHeight="false" outlineLevel="0" collapsed="false">
      <c r="A165" s="61" t="s">
        <v>701</v>
      </c>
      <c r="B165" s="61" t="s">
        <v>567</v>
      </c>
      <c r="C165" s="105" t="n">
        <v>128</v>
      </c>
      <c r="D165" s="105" t="n">
        <v>0</v>
      </c>
      <c r="E165" s="105" t="n">
        <v>0</v>
      </c>
      <c r="F165" s="105" t="n">
        <v>0</v>
      </c>
      <c r="G165" s="105" t="n">
        <v>0</v>
      </c>
      <c r="J165" s="87" t="s">
        <v>702</v>
      </c>
    </row>
    <row r="166" customFormat="false" ht="15" hidden="false" customHeight="false" outlineLevel="0" collapsed="false">
      <c r="A166" s="61" t="s">
        <v>652</v>
      </c>
      <c r="B166" s="61"/>
      <c r="C166" s="105" t="n">
        <v>0</v>
      </c>
      <c r="D166" s="105" t="n">
        <v>0</v>
      </c>
      <c r="E166" s="105" t="n">
        <v>0</v>
      </c>
      <c r="F166" s="105" t="n">
        <v>0</v>
      </c>
      <c r="G166" s="105" t="n">
        <v>0</v>
      </c>
    </row>
    <row r="167" customFormat="false" ht="26.85" hidden="false" customHeight="false" outlineLevel="0" collapsed="false">
      <c r="A167" s="61" t="s">
        <v>703</v>
      </c>
      <c r="B167" s="62" t="s">
        <v>655</v>
      </c>
      <c r="C167" s="71" t="n">
        <f aca="false">SRC_PERF_072</f>
        <v>2324</v>
      </c>
      <c r="D167" s="71" t="n">
        <f aca="false">SRC_PERF_074</f>
        <v>10100</v>
      </c>
      <c r="E167" s="71" t="n">
        <f aca="false">SRC_PERF_073</f>
        <v>1850</v>
      </c>
      <c r="F167" s="71" t="n">
        <f aca="false">SRC_PERF_062</f>
        <v>2785</v>
      </c>
      <c r="G167" s="71" t="n">
        <f aca="false">SRC_PERF_063</f>
        <v>13386</v>
      </c>
      <c r="J167" s="93" t="s">
        <v>704</v>
      </c>
    </row>
    <row r="168" customFormat="false" ht="15" hidden="false" customHeight="false" outlineLevel="0" collapsed="false">
      <c r="A168" s="61" t="s">
        <v>186</v>
      </c>
      <c r="B168" s="61"/>
      <c r="C168" s="92" t="str">
        <f aca="false">INDEX(Spec_Rack!$C$4:$G$4,C160)</f>
        <v>Hopper H100</v>
      </c>
      <c r="D168" s="92" t="str">
        <f aca="false">INDEX(Spec_Rack!$C$4:$G$4,D160)</f>
        <v>GB200 NVL72</v>
      </c>
      <c r="E168" s="92" t="str">
        <f aca="false">INDEX(Spec_Rack!$C$4:$G$4,E160)</f>
        <v>Hopper H100</v>
      </c>
      <c r="F168" s="92" t="str">
        <f aca="false">INDEX(Spec_Rack!$C$4:$G$4,F160)</f>
        <v>Hopper H100</v>
      </c>
      <c r="G168" s="92" t="str">
        <f aca="false">INDEX(Spec_Rack!$C$4:$G$4,G160)</f>
        <v>GB200 NVL72</v>
      </c>
    </row>
    <row r="169" customFormat="false" ht="15" hidden="false" customHeight="false" outlineLevel="0" collapsed="false">
      <c r="A169" s="61" t="s">
        <v>500</v>
      </c>
      <c r="B169" s="62" t="s">
        <v>663</v>
      </c>
      <c r="C169" s="94" t="n">
        <f aca="false">INDEX(Spec_Rack!$C$35:$G$35,C160)</f>
        <v>1.979</v>
      </c>
      <c r="D169" s="94" t="n">
        <f aca="false">INDEX(Spec_Rack!$C$35:$G$35,D160)</f>
        <v>10</v>
      </c>
      <c r="E169" s="94" t="n">
        <f aca="false">INDEX(Spec_Rack!$C$35:$G$35,E160)</f>
        <v>1.979</v>
      </c>
      <c r="F169" s="94" t="n">
        <f aca="false">INDEX(Spec_Rack!$C$35:$G$35,F160)</f>
        <v>1.979</v>
      </c>
      <c r="G169" s="94" t="n">
        <f aca="false">INDEX(Spec_Rack!$C$35:$G$35,G160)</f>
        <v>10</v>
      </c>
    </row>
    <row r="170" customFormat="false" ht="15" hidden="false" customHeight="false" outlineLevel="0" collapsed="false">
      <c r="A170" s="62" t="s">
        <v>664</v>
      </c>
      <c r="B170" s="62" t="s">
        <v>332</v>
      </c>
      <c r="C170" s="63" t="n">
        <f aca="false">INDEX(Spec_Rack!$C$25:$G$25,C160)</f>
        <v>80</v>
      </c>
      <c r="D170" s="63" t="n">
        <f aca="false">INDEX(Spec_Rack!$C$25:$G$25,D160)</f>
        <v>186</v>
      </c>
      <c r="E170" s="63" t="n">
        <f aca="false">INDEX(Spec_Rack!$C$25:$G$25,E160)</f>
        <v>80</v>
      </c>
      <c r="F170" s="63" t="n">
        <f aca="false">INDEX(Spec_Rack!$C$25:$G$25,F160)</f>
        <v>80</v>
      </c>
      <c r="G170" s="63" t="n">
        <f aca="false">INDEX(Spec_Rack!$C$25:$G$25,G160)</f>
        <v>186</v>
      </c>
    </row>
    <row r="171" customFormat="false" ht="15" hidden="false" customHeight="false" outlineLevel="0" collapsed="false">
      <c r="A171" s="62" t="s">
        <v>505</v>
      </c>
      <c r="B171" s="62" t="s">
        <v>506</v>
      </c>
      <c r="C171" s="95" t="n">
        <f aca="false">INDEX(Spec_Rack!$C$26:$G$26,C160)</f>
        <v>3.35</v>
      </c>
      <c r="D171" s="95" t="n">
        <f aca="false">INDEX(Spec_Rack!$C$26:$G$26,D160)</f>
        <v>8</v>
      </c>
      <c r="E171" s="95" t="n">
        <f aca="false">INDEX(Spec_Rack!$C$26:$G$26,E160)</f>
        <v>3.35</v>
      </c>
      <c r="F171" s="95" t="n">
        <f aca="false">INDEX(Spec_Rack!$C$26:$G$26,F160)</f>
        <v>3.35</v>
      </c>
      <c r="G171" s="95" t="n">
        <f aca="false">INDEX(Spec_Rack!$C$26:$G$26,G160)</f>
        <v>8</v>
      </c>
    </row>
    <row r="172" customFormat="false" ht="15" hidden="false" customHeight="false" outlineLevel="0" collapsed="false">
      <c r="A172" s="62" t="s">
        <v>665</v>
      </c>
      <c r="B172" s="62" t="s">
        <v>506</v>
      </c>
      <c r="C172" s="95" t="n">
        <f aca="false">INDEX(Spec_Rack!$C$27:$G$27,C160)</f>
        <v>0.05</v>
      </c>
      <c r="D172" s="95" t="n">
        <f aca="false">INDEX(Spec_Rack!$C$27:$G$27,D160)</f>
        <v>0.9</v>
      </c>
      <c r="E172" s="95" t="n">
        <f aca="false">INDEX(Spec_Rack!$C$27:$G$27,E160)</f>
        <v>0.05</v>
      </c>
      <c r="F172" s="95" t="n">
        <f aca="false">INDEX(Spec_Rack!$C$27:$G$27,F160)</f>
        <v>0.05</v>
      </c>
      <c r="G172" s="95" t="n">
        <f aca="false">INDEX(Spec_Rack!$C$27:$G$27,G160)</f>
        <v>0.9</v>
      </c>
    </row>
    <row r="173" customFormat="false" ht="15" hidden="false" customHeight="false" outlineLevel="0" collapsed="false">
      <c r="A173" s="62" t="s">
        <v>666</v>
      </c>
      <c r="B173" s="61"/>
      <c r="C173" s="63" t="n">
        <f aca="false">INDEX(Spec_Rack!$C$29:$G$29,C160)</f>
        <v>64</v>
      </c>
      <c r="D173" s="63" t="n">
        <f aca="false">INDEX(Spec_Rack!$C$29:$G$29,D160)</f>
        <v>32</v>
      </c>
      <c r="E173" s="63" t="n">
        <f aca="false">INDEX(Spec_Rack!$C$29:$G$29,E160)</f>
        <v>64</v>
      </c>
      <c r="F173" s="63" t="n">
        <f aca="false">INDEX(Spec_Rack!$C$29:$G$29,F160)</f>
        <v>64</v>
      </c>
      <c r="G173" s="63" t="n">
        <f aca="false">INDEX(Spec_Rack!$C$29:$G$29,G160)</f>
        <v>32</v>
      </c>
    </row>
    <row r="174" customFormat="false" ht="15" hidden="false" customHeight="false" outlineLevel="0" collapsed="false">
      <c r="A174" s="61" t="s">
        <v>667</v>
      </c>
      <c r="B174" s="61"/>
      <c r="C174" s="96" t="n">
        <f aca="false">INDEX(Spec_Rack!$C$30:$G$30,C160)</f>
        <v>1</v>
      </c>
      <c r="D174" s="96" t="n">
        <f aca="false">INDEX(Spec_Rack!$C$30:$G$30,D160)</f>
        <v>0.5625</v>
      </c>
      <c r="E174" s="96" t="n">
        <f aca="false">INDEX(Spec_Rack!$C$30:$G$30,E160)</f>
        <v>1</v>
      </c>
      <c r="F174" s="96" t="n">
        <f aca="false">INDEX(Spec_Rack!$C$30:$G$30,F160)</f>
        <v>1</v>
      </c>
      <c r="G174" s="96" t="n">
        <f aca="false">INDEX(Spec_Rack!$C$30:$G$30,G160)</f>
        <v>0.5625</v>
      </c>
    </row>
    <row r="175" customFormat="false" ht="15" hidden="false" customHeight="false" outlineLevel="0" collapsed="false">
      <c r="A175" s="61" t="s">
        <v>668</v>
      </c>
      <c r="B175" s="61"/>
      <c r="C175" s="97" t="n">
        <f aca="false">INDEX(Spec_Rack!$C$31:$G$31,C160)</f>
        <v>1</v>
      </c>
      <c r="D175" s="97" t="n">
        <f aca="false">INDEX(Spec_Rack!$C$31:$G$31,D160)</f>
        <v>1</v>
      </c>
      <c r="E175" s="97" t="n">
        <f aca="false">INDEX(Spec_Rack!$C$31:$G$31,E160)</f>
        <v>1</v>
      </c>
      <c r="F175" s="97" t="n">
        <f aca="false">INDEX(Spec_Rack!$C$31:$G$31,F160)</f>
        <v>1</v>
      </c>
      <c r="G175" s="97" t="n">
        <f aca="false">INDEX(Spec_Rack!$C$31:$G$31,G160)</f>
        <v>1</v>
      </c>
    </row>
    <row r="176" customFormat="false" ht="15" hidden="false" customHeight="false" outlineLevel="0" collapsed="false">
      <c r="A176" s="61" t="s">
        <v>546</v>
      </c>
      <c r="B176" s="62" t="s">
        <v>332</v>
      </c>
      <c r="C176" s="63" t="n">
        <f aca="false">C170*(1-Serving!$C$9)</f>
        <v>72</v>
      </c>
      <c r="D176" s="63" t="n">
        <f aca="false">D170*(1-Serving!$C$9)</f>
        <v>167.4</v>
      </c>
      <c r="E176" s="63" t="n">
        <f aca="false">E170*(1-Serving!$C$9)</f>
        <v>72</v>
      </c>
      <c r="F176" s="63" t="n">
        <f aca="false">F170*(1-Serving!$C$9)</f>
        <v>72</v>
      </c>
      <c r="G176" s="63" t="n">
        <f aca="false">G170*(1-Serving!$C$9)</f>
        <v>167.4</v>
      </c>
    </row>
    <row r="177" customFormat="false" ht="15" hidden="false" customHeight="false" outlineLevel="0" collapsed="false">
      <c r="A177" s="61" t="s">
        <v>669</v>
      </c>
      <c r="B177" s="61"/>
      <c r="C177" s="89" t="n">
        <f aca="false">MAX(1,CEILING($C$113*C175/(Serving!$C$10*C176),1))</f>
        <v>1</v>
      </c>
      <c r="D177" s="89" t="n">
        <f aca="false">MAX(1,CEILING($C$113*D175/(Serving!$C$10*D176),1))</f>
        <v>1</v>
      </c>
      <c r="E177" s="89" t="n">
        <f aca="false">MAX(1,CEILING($C$113*E175/(Serving!$C$10*E176),1))</f>
        <v>1</v>
      </c>
      <c r="F177" s="89" t="n">
        <f aca="false">MAX(1,CEILING($C$113*F175/(Serving!$C$10*F176),1))</f>
        <v>1</v>
      </c>
      <c r="G177" s="89" t="n">
        <f aca="false">MAX(1,CEILING($C$113*G175/(Serving!$C$10*G176),1))</f>
        <v>1</v>
      </c>
    </row>
    <row r="178" customFormat="false" ht="15" hidden="false" customHeight="false" outlineLevel="0" collapsed="false">
      <c r="A178" s="62" t="s">
        <v>550</v>
      </c>
      <c r="B178" s="61"/>
      <c r="C178" s="63" t="n">
        <f aca="false">IF(C163&gt;0,C163,MAX(C173,CEILING($C$114*C174/(Serving!$C$11*C176),1)))</f>
        <v>128</v>
      </c>
      <c r="D178" s="63" t="n">
        <f aca="false">IF(D163&gt;0,D163,MAX(D173,CEILING($C$114*D174/(Serving!$C$11*D176),1)))</f>
        <v>8</v>
      </c>
      <c r="E178" s="63" t="n">
        <f aca="false">IF(E163&gt;0,E163,MAX(E173,CEILING($C$114*E174/(Serving!$C$11*E176),1)))</f>
        <v>144</v>
      </c>
      <c r="F178" s="63" t="n">
        <f aca="false">IF(F163&gt;0,F163,MAX(F173,CEILING($C$114*F174/(Serving!$C$11*F176),1)))</f>
        <v>64</v>
      </c>
      <c r="G178" s="63" t="n">
        <f aca="false">IF(G163&gt;0,G163,MAX(G173,CEILING($C$114*G174/(Serving!$C$11*G176),1)))</f>
        <v>32</v>
      </c>
    </row>
    <row r="179" customFormat="false" ht="15" hidden="false" customHeight="false" outlineLevel="0" collapsed="false">
      <c r="A179" s="61" t="s">
        <v>552</v>
      </c>
      <c r="B179" s="62" t="s">
        <v>332</v>
      </c>
      <c r="C179" s="75" t="n">
        <f aca="false">$C$113*C175/C177+$C$114*C174/C178</f>
        <v>19.1248109879032</v>
      </c>
      <c r="D179" s="75" t="n">
        <f aca="false">$C$113*D175/D177+$C$114*D174/D178</f>
        <v>60.1878150201613</v>
      </c>
      <c r="E179" s="75" t="n">
        <f aca="false">$C$113*E175/E177+$C$114*E174/E178</f>
        <v>18.5544914874552</v>
      </c>
      <c r="F179" s="75" t="n">
        <f aca="false">$C$113*F175/F177+$C$114*F174/F178</f>
        <v>24.2576864919355</v>
      </c>
      <c r="G179" s="75" t="n">
        <f aca="false">$C$113*G175/G177+$C$114*G174/G178</f>
        <v>25.5409053679435</v>
      </c>
    </row>
    <row r="180" customFormat="false" ht="15" hidden="false" customHeight="false" outlineLevel="0" collapsed="false">
      <c r="A180" s="62" t="s">
        <v>396</v>
      </c>
      <c r="B180" s="62" t="s">
        <v>308</v>
      </c>
      <c r="C180" s="68" t="n">
        <f aca="false">C161+C162/2</f>
        <v>4096</v>
      </c>
      <c r="D180" s="68" t="n">
        <f aca="false">D161+D162/2</f>
        <v>3000</v>
      </c>
      <c r="E180" s="68" t="n">
        <f aca="false">E161+E162/2</f>
        <v>4989</v>
      </c>
      <c r="F180" s="68" t="n">
        <f aca="false">F161+F162/2</f>
        <v>3000</v>
      </c>
      <c r="G180" s="68" t="n">
        <f aca="false">G161+G162/2</f>
        <v>3000</v>
      </c>
    </row>
    <row r="181" customFormat="false" ht="15" hidden="false" customHeight="false" outlineLevel="0" collapsed="false">
      <c r="A181" s="62" t="s">
        <v>538</v>
      </c>
      <c r="B181" s="62" t="s">
        <v>539</v>
      </c>
      <c r="C181" s="75" t="n">
        <f aca="false">(2*$C$101*1000000000+$C$109*C180)/1000000000</f>
        <v>94.46820352</v>
      </c>
      <c r="D181" s="75" t="n">
        <f aca="false">(2*$C$101*1000000000+$C$109*D180)/1000000000</f>
        <v>88.99136</v>
      </c>
      <c r="E181" s="75" t="n">
        <f aca="false">(2*$C$101*1000000000+$C$109*E180)/1000000000</f>
        <v>98.93063168</v>
      </c>
      <c r="F181" s="75" t="n">
        <f aca="false">(2*$C$101*1000000000+$C$109*F180)/1000000000</f>
        <v>88.99136</v>
      </c>
      <c r="G181" s="75" t="n">
        <f aca="false">(2*$C$101*1000000000+$C$109*G180)/1000000000</f>
        <v>88.99136</v>
      </c>
    </row>
    <row r="182" customFormat="false" ht="15" hidden="false" customHeight="false" outlineLevel="0" collapsed="false">
      <c r="A182" s="61" t="s">
        <v>670</v>
      </c>
      <c r="B182" s="61"/>
      <c r="C182" s="89" t="n">
        <f aca="false">Serving!$C$6*C166</f>
        <v>0</v>
      </c>
      <c r="D182" s="89" t="n">
        <f aca="false">Serving!$C$6*D166</f>
        <v>0</v>
      </c>
      <c r="E182" s="89" t="n">
        <f aca="false">Serving!$C$6*E166</f>
        <v>0</v>
      </c>
      <c r="F182" s="89" t="n">
        <f aca="false">Serving!$C$6*F166</f>
        <v>0</v>
      </c>
      <c r="G182" s="89" t="n">
        <f aca="false">Serving!$C$6*G166</f>
        <v>0</v>
      </c>
    </row>
    <row r="183" customFormat="false" ht="15" hidden="false" customHeight="false" outlineLevel="0" collapsed="false">
      <c r="A183" s="61" t="s">
        <v>671</v>
      </c>
      <c r="B183" s="61"/>
      <c r="C183" s="97" t="n">
        <f aca="false">IF(C166=1,Serving!$C$8,1)</f>
        <v>1</v>
      </c>
      <c r="D183" s="97" t="n">
        <f aca="false">IF(D166=1,Serving!$C$8,1)</f>
        <v>1</v>
      </c>
      <c r="E183" s="97" t="n">
        <f aca="false">IF(E166=1,Serving!$C$8,1)</f>
        <v>1</v>
      </c>
      <c r="F183" s="97" t="n">
        <f aca="false">IF(F166=1,Serving!$C$8,1)</f>
        <v>1</v>
      </c>
      <c r="G183" s="97" t="n">
        <f aca="false">IF(G166=1,Serving!$C$8,1)</f>
        <v>1</v>
      </c>
    </row>
    <row r="184" customFormat="false" ht="15" hidden="false" customHeight="false" outlineLevel="0" collapsed="false">
      <c r="A184" s="62" t="s">
        <v>705</v>
      </c>
      <c r="B184" s="62" t="s">
        <v>113</v>
      </c>
      <c r="C184" s="102" t="n">
        <f aca="false">INDEX($C$70:$G$70,C160)</f>
        <v>0.0429060401998604</v>
      </c>
      <c r="D184" s="102" t="n">
        <f aca="false">INDEX($C$70:$G$70,D160)</f>
        <v>0.0357550334998836</v>
      </c>
      <c r="E184" s="102" t="n">
        <f aca="false">INDEX($C$70:$G$70,E160)</f>
        <v>0.0429060401998604</v>
      </c>
      <c r="F184" s="102" t="n">
        <f aca="false">INDEX($C$70:$G$70,F160)</f>
        <v>0.0429060401998604</v>
      </c>
      <c r="G184" s="102" t="n">
        <f aca="false">INDEX($C$70:$G$70,G160)</f>
        <v>0.0357550334998836</v>
      </c>
    </row>
    <row r="185" customFormat="false" ht="15" hidden="false" customHeight="false" outlineLevel="0" collapsed="false">
      <c r="A185" s="61" t="s">
        <v>706</v>
      </c>
      <c r="B185" s="62" t="s">
        <v>574</v>
      </c>
      <c r="C185" s="68" t="n">
        <f aca="false">INDEX($C$71:$G$71,C160)</f>
        <v>241.778007200547</v>
      </c>
      <c r="D185" s="68" t="n">
        <f aca="false">INDEX($C$71:$G$71,D160)</f>
        <v>161.185338133698</v>
      </c>
      <c r="E185" s="68" t="n">
        <f aca="false">INDEX($C$71:$G$71,E160)</f>
        <v>241.778007200547</v>
      </c>
      <c r="F185" s="68" t="n">
        <f aca="false">INDEX($C$71:$G$71,F160)</f>
        <v>241.778007200547</v>
      </c>
      <c r="G185" s="68" t="n">
        <f aca="false">INDEX($C$71:$G$71,G160)</f>
        <v>161.185338133698</v>
      </c>
    </row>
    <row r="186" customFormat="false" ht="15" hidden="false" customHeight="false" outlineLevel="0" collapsed="false">
      <c r="A186" s="61" t="s">
        <v>598</v>
      </c>
      <c r="B186" s="62" t="s">
        <v>561</v>
      </c>
      <c r="C186" s="72" t="n">
        <f aca="false">C179/C171+($C$102+C182)*C185/1000</f>
        <v>20.4573572415925</v>
      </c>
      <c r="D186" s="72" t="n">
        <f aca="false">D179/D171+($C$102+D182)*D185/1000</f>
        <v>17.3557825036757</v>
      </c>
      <c r="E186" s="72" t="n">
        <f aca="false">E179/E171+($C$102+E182)*E185/1000</f>
        <v>20.2871126145931</v>
      </c>
      <c r="F186" s="72" t="n">
        <f aca="false">F179/F171+($C$102+F182)*F185/1000</f>
        <v>21.9895588845872</v>
      </c>
      <c r="G186" s="72" t="n">
        <f aca="false">G179/G171+($C$102+G182)*G185/1000</f>
        <v>13.0249187971485</v>
      </c>
    </row>
    <row r="187" customFormat="false" ht="15" hidden="false" customHeight="false" outlineLevel="0" collapsed="false">
      <c r="A187" s="61" t="s">
        <v>707</v>
      </c>
      <c r="B187" s="62" t="s">
        <v>561</v>
      </c>
      <c r="C187" s="73" t="n">
        <f aca="false">(C182+1)*C181/(C169*C184)/1000</f>
        <v>1.11255483902607</v>
      </c>
      <c r="D187" s="73" t="n">
        <f aca="false">(D182+1)*D181/(D169*D184)/1000</f>
        <v>0.248891837845124</v>
      </c>
      <c r="E187" s="73" t="n">
        <f aca="false">(E182+1)*E181/(E169*E184)/1000</f>
        <v>1.16510898802249</v>
      </c>
      <c r="F187" s="73" t="n">
        <f aca="false">(F182+1)*F181/(F169*F184)/1000</f>
        <v>1.0480538902018</v>
      </c>
      <c r="G187" s="73" t="n">
        <f aca="false">(G182+1)*G181/(G169*G184)/1000</f>
        <v>0.248891837845124</v>
      </c>
    </row>
    <row r="188" customFormat="false" ht="15" hidden="false" customHeight="false" outlineLevel="0" collapsed="false">
      <c r="A188" s="61" t="s">
        <v>708</v>
      </c>
      <c r="B188" s="62" t="s">
        <v>561</v>
      </c>
      <c r="C188" s="96" t="n">
        <f aca="false">$C$108*C180/(C171*Serving!$C$13)/1000000000</f>
        <v>0.061371878891258</v>
      </c>
      <c r="D188" s="96" t="n">
        <f aca="false">$C$108*D180/(D171*Serving!$C$13)/1000000000</f>
        <v>0.0188228571428571</v>
      </c>
      <c r="E188" s="96" t="n">
        <f aca="false">$C$108*E180/(E171*Serving!$C$13)/1000000000</f>
        <v>0.0747520272921109</v>
      </c>
      <c r="F188" s="96" t="n">
        <f aca="false">$C$108*F180/(F171*Serving!$C$13)/1000000000</f>
        <v>0.0449501066098081</v>
      </c>
      <c r="G188" s="96" t="n">
        <f aca="false">$C$108*G180/(G171*Serving!$C$13)/1000000000</f>
        <v>0.0188228571428571</v>
      </c>
    </row>
    <row r="189" customFormat="false" ht="15" hidden="false" customHeight="false" outlineLevel="0" collapsed="false">
      <c r="A189" s="61" t="s">
        <v>709</v>
      </c>
      <c r="B189" s="62" t="s">
        <v>561</v>
      </c>
      <c r="C189" s="96" t="n">
        <f aca="false">(C182+1)*$C$102*$C$105*$C$103*Serving!$C$12*(C178-1)/C178/(C172*Serving!$C$14)/1000000000</f>
        <v>0.2974848</v>
      </c>
      <c r="D189" s="96" t="n">
        <f aca="false">(D182+1)*$C$102*$C$105*$C$103*Serving!$C$12*(D178-1)/D178/(D172*Serving!$C$14)/1000000000</f>
        <v>0.0145749333333333</v>
      </c>
      <c r="E189" s="96" t="n">
        <f aca="false">(E182+1)*$C$102*$C$105*$C$103*Serving!$C$12*(E178-1)/E178/(E172*Serving!$C$14)/1000000000</f>
        <v>0.297745066666667</v>
      </c>
      <c r="F189" s="96" t="n">
        <f aca="false">(F182+1)*$C$102*$C$105*$C$103*Serving!$C$12*(F178-1)/F178/(F172*Serving!$C$14)/1000000000</f>
        <v>0.2951424</v>
      </c>
      <c r="G189" s="96" t="n">
        <f aca="false">(G182+1)*$C$102*$C$105*$C$103*Serving!$C$12*(G178-1)/G178/(G172*Serving!$C$14)/1000000000</f>
        <v>0.0161365333333333</v>
      </c>
    </row>
    <row r="190" customFormat="false" ht="15" hidden="false" customHeight="false" outlineLevel="0" collapsed="false">
      <c r="A190" s="61" t="s">
        <v>710</v>
      </c>
      <c r="B190" s="62" t="s">
        <v>561</v>
      </c>
      <c r="C190" s="73" t="n">
        <f aca="false">MAX(C187,C188,C189)</f>
        <v>1.11255483902607</v>
      </c>
      <c r="D190" s="73" t="n">
        <f aca="false">MAX(D187,D188,D189)</f>
        <v>0.248891837845124</v>
      </c>
      <c r="E190" s="73" t="n">
        <f aca="false">MAX(E187,E188,E189)</f>
        <v>1.16510898802249</v>
      </c>
      <c r="F190" s="73" t="n">
        <f aca="false">MAX(F187,F188,F189)</f>
        <v>1.0480538902018</v>
      </c>
      <c r="G190" s="73" t="n">
        <f aca="false">MAX(G187,G188,G189)</f>
        <v>0.248891837845124</v>
      </c>
    </row>
    <row r="191" customFormat="false" ht="15" hidden="false" customHeight="false" outlineLevel="0" collapsed="false">
      <c r="A191" s="61" t="s">
        <v>605</v>
      </c>
      <c r="B191" s="61" t="s">
        <v>603</v>
      </c>
      <c r="C191" s="75" t="n">
        <f aca="false">(C176-C179)*1000000000/($C$108*C180)</f>
        <v>367.400435234701</v>
      </c>
      <c r="D191" s="75" t="n">
        <f aca="false">(D176-D179)*1000000000/($C$108*D180)</f>
        <v>1017.11620540982</v>
      </c>
      <c r="E191" s="75" t="n">
        <f aca="false">(E176-E179)*1000000000/($C$108*E180)</f>
        <v>304.891552128166</v>
      </c>
      <c r="F191" s="75" t="n">
        <f aca="false">(F176-F179)*1000000000/($C$108*F180)</f>
        <v>452.928748368857</v>
      </c>
      <c r="G191" s="75" t="n">
        <f aca="false">(G176-G179)*1000000000/($C$108*G180)</f>
        <v>1345.80956504304</v>
      </c>
    </row>
    <row r="192" customFormat="false" ht="15" hidden="false" customHeight="false" outlineLevel="0" collapsed="false">
      <c r="A192" s="61" t="s">
        <v>711</v>
      </c>
      <c r="B192" s="61" t="s">
        <v>603</v>
      </c>
      <c r="C192" s="75" t="str">
        <f aca="false">IF(C164&gt;0,MAX(0,(1000*C183/C164-C186)/C190),"無 SLO")</f>
        <v>無 SLO</v>
      </c>
      <c r="D192" s="75" t="str">
        <f aca="false">IF(D164&gt;0,MAX(0,(1000*D183/D164-D186)/D190),"無 SLO")</f>
        <v>無 SLO</v>
      </c>
      <c r="E192" s="75" t="n">
        <f aca="false">IF(E164&gt;0,MAX(0,(1000*E183/E164-E186)/E190),"無 SLO")</f>
        <v>23.4586938092755</v>
      </c>
      <c r="F192" s="75" t="n">
        <f aca="false">IF(F164&gt;0,MAX(0,(1000*F183/F164-F186)/F190),"無 SLO")</f>
        <v>74.4336162908493</v>
      </c>
      <c r="G192" s="75" t="n">
        <f aca="false">IF(G164&gt;0,MAX(0,(1000*G183/G164-G186)/G190),"無 SLO")</f>
        <v>349.449310816584</v>
      </c>
    </row>
    <row r="193" customFormat="false" ht="15" hidden="false" customHeight="false" outlineLevel="0" collapsed="false">
      <c r="A193" s="62" t="s">
        <v>712</v>
      </c>
      <c r="B193" s="61" t="s">
        <v>603</v>
      </c>
      <c r="C193" s="75" t="n">
        <f aca="false">IF(C165&gt;0,MIN(C165,C191),MAX(0,IF(ISNUMBER(C192),MIN(C192,C191),C191)))</f>
        <v>128</v>
      </c>
      <c r="D193" s="75" t="n">
        <f aca="false">IF(D165&gt;0,MIN(D165,D191),MAX(0,IF(ISNUMBER(D192),MIN(D192,D191),D191)))</f>
        <v>1017.11620540982</v>
      </c>
      <c r="E193" s="75" t="n">
        <f aca="false">IF(E165&gt;0,MIN(E165,E191),MAX(0,IF(ISNUMBER(E192),MIN(E192,E191),E191)))</f>
        <v>23.4586938092755</v>
      </c>
      <c r="F193" s="75" t="n">
        <f aca="false">IF(F165&gt;0,MIN(F165,F191),MAX(0,IF(ISNUMBER(F192),MIN(F192,F191),F191)))</f>
        <v>74.4336162908493</v>
      </c>
      <c r="G193" s="75" t="n">
        <f aca="false">IF(G165&gt;0,MIN(G165,G191),MAX(0,IF(ISNUMBER(G192),MIN(G192,G191),G191)))</f>
        <v>349.449310816584</v>
      </c>
    </row>
    <row r="194" customFormat="false" ht="15" hidden="false" customHeight="false" outlineLevel="0" collapsed="false">
      <c r="A194" s="61" t="s">
        <v>713</v>
      </c>
      <c r="B194" s="62" t="s">
        <v>389</v>
      </c>
      <c r="C194" s="68" t="n">
        <f aca="false">IF(C193&gt;0,C193*C183/((C186+C193*C190)/1000),0)</f>
        <v>785.930002884225</v>
      </c>
      <c r="D194" s="68" t="n">
        <f aca="false">IF(D193&gt;0,D193*D183/((D186+D193*D190)/1000),0)</f>
        <v>3760.02675609536</v>
      </c>
      <c r="E194" s="68" t="n">
        <f aca="false">IF(E193&gt;0,E193*E183/((E186+E193*E190)/1000),0)</f>
        <v>492.632569994785</v>
      </c>
      <c r="F194" s="68" t="n">
        <f aca="false">IF(F193&gt;0,F193*F183/((F186+F193*F190)/1000),0)</f>
        <v>744.336162908493</v>
      </c>
      <c r="G194" s="68" t="n">
        <f aca="false">IF(G193&gt;0,G193*G183/((G186+G193*G190)/1000),0)</f>
        <v>3494.49310816584</v>
      </c>
    </row>
    <row r="195" customFormat="false" ht="26.85" hidden="false" customHeight="false" outlineLevel="0" collapsed="false">
      <c r="A195" s="61" t="s">
        <v>714</v>
      </c>
      <c r="B195" s="62" t="s">
        <v>118</v>
      </c>
      <c r="C195" s="106" t="n">
        <f aca="false">IF(ISNUMBER(C167),IF(C167&gt;0,C194/C167,"—"),"—")</f>
        <v>0.338179863547429</v>
      </c>
      <c r="D195" s="106" t="n">
        <f aca="false">IF(ISNUMBER(D167),IF(D167&gt;0,D194/D167,"—"),"—")</f>
        <v>0.372279876841125</v>
      </c>
      <c r="E195" s="106" t="n">
        <f aca="false">IF(ISNUMBER(E167),IF(E167&gt;0,E194/E167,"—"),"—")</f>
        <v>0.266287875672857</v>
      </c>
      <c r="F195" s="106" t="n">
        <f aca="false">IF(ISNUMBER(F167),IF(F167&gt;0,F194/F167,"—"),"—")</f>
        <v>0.267266126717592</v>
      </c>
      <c r="G195" s="106" t="n">
        <f aca="false">IF(ISNUMBER(G167),IF(G167&gt;0,G194/G167,"—"),"—")</f>
        <v>0.261055812652461</v>
      </c>
      <c r="J195" s="93" t="s">
        <v>715</v>
      </c>
    </row>
    <row r="196" customFormat="false" ht="26.85" hidden="false" customHeight="false" outlineLevel="0" collapsed="false">
      <c r="A196" s="61" t="s">
        <v>716</v>
      </c>
      <c r="B196" s="62" t="s">
        <v>663</v>
      </c>
      <c r="C196" s="107" t="n">
        <f aca="false">C184*C169</f>
        <v>0.0849110535555236</v>
      </c>
      <c r="D196" s="107" t="n">
        <f aca="false">D184*D169</f>
        <v>0.357550334998836</v>
      </c>
      <c r="E196" s="107" t="n">
        <f aca="false">E184*E169</f>
        <v>0.0849110535555236</v>
      </c>
      <c r="F196" s="107" t="n">
        <f aca="false">F184*F169</f>
        <v>0.0849110535555236</v>
      </c>
      <c r="G196" s="107" t="n">
        <f aca="false">G184*G169</f>
        <v>0.357550334998836</v>
      </c>
      <c r="J196" s="93" t="s">
        <v>717</v>
      </c>
    </row>
    <row r="197" customFormat="false" ht="15" hidden="false" customHeight="false" outlineLevel="0" collapsed="false">
      <c r="A197" s="61" t="s">
        <v>718</v>
      </c>
      <c r="B197" s="62" t="s">
        <v>561</v>
      </c>
      <c r="C197" s="73" t="n">
        <f aca="false">MAX(C188,C189)</f>
        <v>0.2974848</v>
      </c>
      <c r="D197" s="73" t="n">
        <f aca="false">MAX(D188,D189)</f>
        <v>0.0188228571428571</v>
      </c>
      <c r="E197" s="73" t="n">
        <f aca="false">MAX(E188,E189)</f>
        <v>0.297745066666667</v>
      </c>
      <c r="F197" s="73" t="n">
        <f aca="false">MAX(F188,F189)</f>
        <v>0.2951424</v>
      </c>
      <c r="G197" s="73" t="n">
        <f aca="false">MAX(G188,G189)</f>
        <v>0.0188228571428571</v>
      </c>
    </row>
    <row r="198" customFormat="false" ht="15" hidden="false" customHeight="false" outlineLevel="0" collapsed="false">
      <c r="A198" s="61" t="s">
        <v>719</v>
      </c>
      <c r="B198" s="62" t="s">
        <v>561</v>
      </c>
      <c r="C198" s="73" t="n">
        <f aca="false">IF(C193&gt;0,(1000*C193*C183/C167-C186)/C193,"—")</f>
        <v>0.270469495517356</v>
      </c>
      <c r="D198" s="73" t="n">
        <f aca="false">IF(D193&gt;0,(1000*D193*D183/D167-D186)/D193,"—")</f>
        <v>0.081946184561864</v>
      </c>
      <c r="E198" s="73" t="n">
        <f aca="false">IF(E193&gt;0,(1000*E193*E183/E167-E186)/E193,"—")</f>
        <v>-0.324260917696305</v>
      </c>
      <c r="F198" s="73" t="n">
        <f aca="false">IF(F193&gt;0,(1000*F193*F183/F167-F186)/F193,"—")</f>
        <v>0.0636413226070051</v>
      </c>
      <c r="G198" s="73" t="n">
        <f aca="false">IF(G193&gt;0,(1000*G193*G183/G167-G186)/G193,"—")</f>
        <v>0.0374322171004746</v>
      </c>
    </row>
    <row r="199" customFormat="false" ht="15" hidden="false" customHeight="false" outlineLevel="0" collapsed="false">
      <c r="A199" s="62" t="s">
        <v>720</v>
      </c>
      <c r="B199" s="62" t="s">
        <v>389</v>
      </c>
      <c r="C199" s="68" t="n">
        <f aca="false">IF(C193&gt;0,C193*C183/((C186+C193*C197)/1000),0)</f>
        <v>2186.71051266767</v>
      </c>
      <c r="D199" s="68" t="n">
        <f aca="false">IF(D193&gt;0,D193*D183/((D186+D193*D197)/1000),0)</f>
        <v>27865.5747955144</v>
      </c>
      <c r="E199" s="68" t="n">
        <f aca="false">IF(E193&gt;0,E193*E183/((E186+E193*E197)/1000),0)</f>
        <v>860.180628111204</v>
      </c>
      <c r="F199" s="68" t="n">
        <f aca="false">IF(F193&gt;0,F193*F183/((F186+F193*F197)/1000),0)</f>
        <v>1693.28652875744</v>
      </c>
      <c r="G199" s="68" t="n">
        <f aca="false">IF(G193&gt;0,G193*G183/((G186+G193*G197)/1000),0)</f>
        <v>17826.7242180515</v>
      </c>
    </row>
    <row r="200" customFormat="false" ht="15" hidden="false" customHeight="false" outlineLevel="0" collapsed="false">
      <c r="A200" s="61" t="s">
        <v>721</v>
      </c>
      <c r="B200" s="62" t="s">
        <v>118</v>
      </c>
      <c r="C200" s="107" t="n">
        <f aca="false">IF(ISNUMBER(C167),IF(C167&gt;0,C199/C167,"—"),"—")</f>
        <v>0.940925349684885</v>
      </c>
      <c r="D200" s="107" t="n">
        <f aca="false">IF(ISNUMBER(D167),IF(D167&gt;0,D199/D167,"—"),"—")</f>
        <v>2.75896780153608</v>
      </c>
      <c r="E200" s="107" t="n">
        <f aca="false">IF(ISNUMBER(E167),IF(E167&gt;0,E199/E167,"—"),"—")</f>
        <v>0.464962501681732</v>
      </c>
      <c r="F200" s="107" t="n">
        <f aca="false">IF(ISNUMBER(F167),IF(F167&gt;0,F199/F167,"—"),"—")</f>
        <v>0.608002344257608</v>
      </c>
      <c r="G200" s="107" t="n">
        <f aca="false">IF(ISNUMBER(G167),IF(G167&gt;0,G199/G167,"—"),"—")</f>
        <v>1.3317439278389</v>
      </c>
    </row>
    <row r="201" customFormat="false" ht="39.55" hidden="false" customHeight="false" outlineLevel="0" collapsed="false">
      <c r="A201" s="61" t="s">
        <v>722</v>
      </c>
      <c r="B201" s="62" t="s">
        <v>118</v>
      </c>
      <c r="C201" s="104" t="str">
        <f aca="false">IF(ISNUMBER(C198),IF(C198&lt;=C197,"無解（非算力項下限）",((C182+1)*C181/C169/1000/C198)/CAL_EtaD),"—")</f>
        <v>無解（非算力項下限）</v>
      </c>
      <c r="D201" s="104" t="n">
        <f aca="false">IF(ISNUMBER(D198),IF(D198&lt;=D197,"無解（非算力項下限）",((D182+1)*D181/D169/1000/D198)/CAL_EtaD),"—")</f>
        <v>3.03725962564159</v>
      </c>
      <c r="E201" s="104" t="str">
        <f aca="false">IF(ISNUMBER(E198),IF(E198&lt;=E197,"無解（非算力項下限）",((E182+1)*E181/E169/1000/E198)/CAL_EtaD),"—")</f>
        <v>無解（非算力項下限）</v>
      </c>
      <c r="F201" s="104" t="str">
        <f aca="false">IF(ISNUMBER(F198),IF(F198&lt;=F197,"無解（非算力項下限）",((F182+1)*F181/F169/1000/F198)/CAL_EtaD),"—")</f>
        <v>無解（非算力項下限）</v>
      </c>
      <c r="G201" s="104" t="n">
        <f aca="false">IF(ISNUMBER(G198),IF(G198&lt;=G197,"無解（非算力項下限）",((G182+1)*G181/G169/1000/G198)/CAL_EtaD),"—")</f>
        <v>6.64913427855622</v>
      </c>
      <c r="J201" s="93" t="s">
        <v>723</v>
      </c>
    </row>
    <row r="202" customFormat="false" ht="15" hidden="false" customHeight="false" outlineLevel="0" collapsed="false">
      <c r="A202" s="61" t="s">
        <v>724</v>
      </c>
      <c r="B202" s="62" t="s">
        <v>113</v>
      </c>
      <c r="C202" s="103" t="str">
        <f aca="false">IF(ISNUMBER(C201),C201*CAL_EtaD,"—")</f>
        <v>—</v>
      </c>
      <c r="D202" s="103" t="n">
        <f aca="false">IF(ISNUMBER(D201),D201*CAL_EtaD,"—")</f>
        <v>0.108597319662659</v>
      </c>
      <c r="E202" s="103" t="str">
        <f aca="false">IF(ISNUMBER(E201),E201*CAL_EtaD,"—")</f>
        <v>—</v>
      </c>
      <c r="F202" s="103" t="str">
        <f aca="false">IF(ISNUMBER(F201),F201*CAL_EtaD,"—")</f>
        <v>—</v>
      </c>
      <c r="G202" s="103" t="n">
        <f aca="false">IF(ISNUMBER(G201),G201*CAL_EtaD,"—")</f>
        <v>0.237740018875002</v>
      </c>
    </row>
    <row r="203" customFormat="false" ht="15" hidden="false" customHeight="false" outlineLevel="0" collapsed="false">
      <c r="A203" s="61" t="s">
        <v>725</v>
      </c>
      <c r="B203" s="62" t="s">
        <v>663</v>
      </c>
      <c r="C203" s="108" t="n">
        <f aca="false">CAL_EtaD*INDEX(Spec_Rack!$C$35:$G$35,3)</f>
        <v>0.536325502498254</v>
      </c>
    </row>
    <row r="204" customFormat="false" ht="39.55" hidden="false" customHeight="false" outlineLevel="0" collapsed="false">
      <c r="A204" s="60" t="s">
        <v>726</v>
      </c>
      <c r="C204" s="61" t="str">
        <f aca="false">"Hopper：C67 現值 "&amp;TEXT($C$67,"0.00")&amp;"；模型 ÷ 目標 "&amp;TEXT(C195,"0.00")&amp;"；"&amp;IF(ISNUMBER(C201),"所需倍數 "&amp;TEXT(C201,"0.00"),C201)&amp;"（C67 再大產出上限 "&amp;TEXT(C199,"#,##0")&amp;"＝目標的 "&amp;TEXT(C200,"0.00")&amp;"）"</f>
        <v>Hopper：C67 現值 1.20；模型 ÷ 目標 0.34；無解（非算力項下限）（C67 再大產出上限 2,187＝目標的 0.94）</v>
      </c>
      <c r="D204" s="61" t="str">
        <f aca="false">"GB200：D67 現值 "&amp;TEXT($D$67,"0.00")&amp;"；模型 ÷ 目標 "&amp;TEXT(D195,"0.00")&amp;"；"&amp;IF(ISNUMBER(D201),"所需倍數 "&amp;TEXT(D201,"0.00")&amp;"（η_d "&amp;TEXT(D202,"0.0%")&amp;"）",D201)</f>
        <v>GB200：D67 現值 1.00；模型 ÷ 目標 0.37；所需倍數 3.04（η_d 10.9%）</v>
      </c>
      <c r="J204" s="93" t="s">
        <v>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10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5" min="13" style="0" width="8"/>
    <col collapsed="false" customWidth="true" hidden="false" outlineLevel="0" max="16" min="16" style="0" width="9"/>
    <col collapsed="false" customWidth="true" hidden="false" outlineLevel="0" max="17" min="17" style="0" width="14"/>
    <col collapsed="false" customWidth="true" hidden="false" outlineLevel="0" max="18" min="18" style="0" width="70"/>
    <col collapsed="false" customWidth="true" hidden="false" outlineLevel="0" max="19" min="19" style="0" width="36"/>
    <col collapsed="false" customWidth="true" hidden="false" outlineLevel="0" max="20" min="20" style="0" width="26"/>
  </cols>
  <sheetData>
    <row r="1" customFormat="false" ht="20.1" hidden="false" customHeight="false" outlineLevel="0" collapsed="false">
      <c r="A1" s="58" t="s">
        <v>728</v>
      </c>
    </row>
    <row r="2" customFormat="false" ht="15" hidden="false" customHeight="false" outlineLevel="0" collapsed="false">
      <c r="A2" s="74" t="s">
        <v>729</v>
      </c>
    </row>
    <row r="4" customFormat="false" ht="30" hidden="false" customHeight="true" outlineLevel="0" collapsed="false">
      <c r="A4" s="84" t="s">
        <v>730</v>
      </c>
      <c r="B4" s="83" t="s">
        <v>731</v>
      </c>
      <c r="C4" s="83" t="s">
        <v>732</v>
      </c>
      <c r="D4" s="83" t="s">
        <v>733</v>
      </c>
      <c r="E4" s="83" t="s">
        <v>734</v>
      </c>
      <c r="F4" s="83" t="s">
        <v>735</v>
      </c>
      <c r="G4" s="83" t="s">
        <v>736</v>
      </c>
      <c r="H4" s="83" t="s">
        <v>737</v>
      </c>
      <c r="I4" s="83" t="s">
        <v>738</v>
      </c>
      <c r="J4" s="83" t="s">
        <v>739</v>
      </c>
      <c r="K4" s="83" t="s">
        <v>740</v>
      </c>
      <c r="L4" s="84" t="s">
        <v>741</v>
      </c>
      <c r="M4" s="83" t="s">
        <v>742</v>
      </c>
      <c r="N4" s="83" t="s">
        <v>743</v>
      </c>
      <c r="O4" s="83" t="s">
        <v>744</v>
      </c>
      <c r="P4" s="83" t="s">
        <v>745</v>
      </c>
      <c r="Q4" s="83" t="s">
        <v>746</v>
      </c>
      <c r="R4" s="83" t="s">
        <v>100</v>
      </c>
      <c r="S4" s="83" t="s">
        <v>747</v>
      </c>
      <c r="T4" s="83" t="s">
        <v>748</v>
      </c>
    </row>
    <row r="5" customFormat="false" ht="42" hidden="false" customHeight="true" outlineLevel="0" collapsed="false">
      <c r="A5" s="62" t="s">
        <v>749</v>
      </c>
      <c r="B5" s="6" t="s">
        <v>750</v>
      </c>
      <c r="C5" s="62" t="s">
        <v>751</v>
      </c>
      <c r="D5" s="62" t="s">
        <v>752</v>
      </c>
      <c r="E5" s="79" t="n">
        <v>1</v>
      </c>
      <c r="F5" s="79" t="n">
        <v>1</v>
      </c>
      <c r="G5" s="79" t="n">
        <v>1</v>
      </c>
      <c r="H5" s="67" t="n">
        <v>2</v>
      </c>
      <c r="I5" s="109" t="s">
        <v>753</v>
      </c>
      <c r="J5" s="67" t="n">
        <v>3</v>
      </c>
      <c r="K5" s="61" t="str">
        <f aca="false">IF(J5&gt;=CST_MainMin,"主流","非主流")</f>
        <v>主流</v>
      </c>
      <c r="L5" s="109"/>
      <c r="M5" s="109" t="s">
        <v>754</v>
      </c>
      <c r="N5" s="66" t="n">
        <v>1</v>
      </c>
      <c r="O5" s="67" t="n">
        <v>1</v>
      </c>
      <c r="P5" s="104" t="n">
        <f aca="false">IF(M5="是",1,1+O5*N5*(CHOOSE(H5,E5,F5,G5)-1))</f>
        <v>1</v>
      </c>
      <c r="Q5" s="59" t="s">
        <v>150</v>
      </c>
      <c r="R5" s="87" t="s">
        <v>755</v>
      </c>
      <c r="S5" s="87" t="s">
        <v>751</v>
      </c>
      <c r="T5" s="5" t="str">
        <f aca="false">IF(AND(IF(L5="",K5,L5)="主流",M5="否"),"主流但未入基準：須 Andy 判定",IF(AND(IF(L5="",K5,L5)="非主流",M5="是",I5&lt;&gt;"早期採用"),"非主流卻在基準","一致"))</f>
        <v>一致</v>
      </c>
    </row>
    <row r="6" customFormat="false" ht="42" hidden="false" customHeight="true" outlineLevel="0" collapsed="false">
      <c r="A6" s="62" t="s">
        <v>756</v>
      </c>
      <c r="B6" s="5" t="s">
        <v>757</v>
      </c>
      <c r="C6" s="62" t="s">
        <v>751</v>
      </c>
      <c r="D6" s="62" t="s">
        <v>758</v>
      </c>
      <c r="E6" s="79" t="n">
        <v>1</v>
      </c>
      <c r="F6" s="79" t="n">
        <v>1</v>
      </c>
      <c r="G6" s="79" t="n">
        <v>1</v>
      </c>
      <c r="H6" s="67" t="n">
        <v>2</v>
      </c>
      <c r="I6" s="109" t="s">
        <v>753</v>
      </c>
      <c r="J6" s="67" t="n">
        <v>3</v>
      </c>
      <c r="K6" s="61" t="str">
        <f aca="false">IF(J6&gt;=CST_MainMin,"主流","非主流")</f>
        <v>主流</v>
      </c>
      <c r="L6" s="109"/>
      <c r="M6" s="109" t="s">
        <v>754</v>
      </c>
      <c r="N6" s="66" t="n">
        <v>1</v>
      </c>
      <c r="O6" s="67" t="n">
        <v>1</v>
      </c>
      <c r="P6" s="104" t="n">
        <f aca="false">IF(M6="是",1,1+O6*N6*(CHOOSE(H6,E6,F6,G6)-1))</f>
        <v>1</v>
      </c>
      <c r="Q6" s="59" t="s">
        <v>150</v>
      </c>
      <c r="R6" s="87" t="s">
        <v>759</v>
      </c>
      <c r="S6" s="87" t="s">
        <v>751</v>
      </c>
      <c r="T6" s="5" t="str">
        <f aca="false">IF(AND(IF(L6="",K6,L6)="主流",M6="否"),"主流但未入基準：須 Andy 判定",IF(AND(IF(L6="",K6,L6)="非主流",M6="是",I6&lt;&gt;"早期採用"),"非主流卻在基準","一致"))</f>
        <v>一致</v>
      </c>
    </row>
    <row r="7" customFormat="false" ht="42" hidden="false" customHeight="true" outlineLevel="0" collapsed="false">
      <c r="A7" s="62" t="s">
        <v>760</v>
      </c>
      <c r="B7" s="6" t="s">
        <v>761</v>
      </c>
      <c r="C7" s="62" t="s">
        <v>751</v>
      </c>
      <c r="D7" s="62" t="s">
        <v>762</v>
      </c>
      <c r="E7" s="79" t="n">
        <v>1</v>
      </c>
      <c r="F7" s="79" t="n">
        <v>1</v>
      </c>
      <c r="G7" s="79" t="n">
        <v>1</v>
      </c>
      <c r="H7" s="67" t="n">
        <v>2</v>
      </c>
      <c r="I7" s="109" t="s">
        <v>753</v>
      </c>
      <c r="J7" s="67" t="n">
        <v>2</v>
      </c>
      <c r="K7" s="61" t="str">
        <f aca="false">IF(J7&gt;=CST_MainMin,"主流","非主流")</f>
        <v>主流</v>
      </c>
      <c r="L7" s="109"/>
      <c r="M7" s="109" t="s">
        <v>754</v>
      </c>
      <c r="N7" s="66" t="n">
        <v>1</v>
      </c>
      <c r="O7" s="67" t="n">
        <v>1</v>
      </c>
      <c r="P7" s="104" t="n">
        <f aca="false">IF(M7="是",1,1+O7*N7*(CHOOSE(H7,E7,F7,G7)-1))</f>
        <v>1</v>
      </c>
      <c r="Q7" s="59" t="s">
        <v>150</v>
      </c>
      <c r="R7" s="87" t="s">
        <v>763</v>
      </c>
      <c r="S7" s="87" t="s">
        <v>751</v>
      </c>
      <c r="T7" s="5" t="str">
        <f aca="false">IF(AND(IF(L7="",K7,L7)="主流",M7="否"),"主流但未入基準：須 Andy 判定",IF(AND(IF(L7="",K7,L7)="非主流",M7="是",I7&lt;&gt;"早期採用"),"非主流卻在基準","一致"))</f>
        <v>一致</v>
      </c>
    </row>
    <row r="8" customFormat="false" ht="42" hidden="false" customHeight="true" outlineLevel="0" collapsed="false">
      <c r="A8" s="62" t="s">
        <v>764</v>
      </c>
      <c r="B8" s="6" t="s">
        <v>765</v>
      </c>
      <c r="C8" s="62" t="s">
        <v>751</v>
      </c>
      <c r="D8" s="62" t="s">
        <v>762</v>
      </c>
      <c r="E8" s="79" t="n">
        <v>1</v>
      </c>
      <c r="F8" s="79" t="n">
        <v>1</v>
      </c>
      <c r="G8" s="79" t="n">
        <v>1</v>
      </c>
      <c r="H8" s="67" t="n">
        <v>2</v>
      </c>
      <c r="I8" s="109" t="s">
        <v>753</v>
      </c>
      <c r="J8" s="67" t="n">
        <v>2</v>
      </c>
      <c r="K8" s="61" t="str">
        <f aca="false">IF(J8&gt;=CST_MainMin,"主流","非主流")</f>
        <v>主流</v>
      </c>
      <c r="L8" s="109"/>
      <c r="M8" s="109" t="s">
        <v>754</v>
      </c>
      <c r="N8" s="66" t="n">
        <v>1</v>
      </c>
      <c r="O8" s="67" t="n">
        <v>1</v>
      </c>
      <c r="P8" s="104" t="n">
        <f aca="false">IF(M8="是",1,1+O8*N8*(CHOOSE(H8,E8,F8,G8)-1))</f>
        <v>1</v>
      </c>
      <c r="Q8" s="59" t="s">
        <v>227</v>
      </c>
      <c r="R8" s="87" t="s">
        <v>766</v>
      </c>
      <c r="S8" s="87" t="s">
        <v>751</v>
      </c>
      <c r="T8" s="5" t="str">
        <f aca="false">IF(AND(IF(L8="",K8,L8)="主流",M8="否"),"主流但未入基準：須 Andy 判定",IF(AND(IF(L8="",K8,L8)="非主流",M8="是",I8&lt;&gt;"早期採用"),"非主流卻在基準","一致"))</f>
        <v>一致</v>
      </c>
    </row>
    <row r="9" customFormat="false" ht="42" hidden="false" customHeight="true" outlineLevel="0" collapsed="false">
      <c r="A9" s="62" t="s">
        <v>767</v>
      </c>
      <c r="B9" s="6" t="s">
        <v>768</v>
      </c>
      <c r="C9" s="62" t="s">
        <v>751</v>
      </c>
      <c r="D9" s="62" t="s">
        <v>769</v>
      </c>
      <c r="E9" s="79" t="n">
        <v>1</v>
      </c>
      <c r="F9" s="79" t="n">
        <v>1</v>
      </c>
      <c r="G9" s="79" t="n">
        <v>1</v>
      </c>
      <c r="H9" s="67" t="n">
        <v>2</v>
      </c>
      <c r="I9" s="109" t="s">
        <v>753</v>
      </c>
      <c r="J9" s="67" t="n">
        <v>2</v>
      </c>
      <c r="K9" s="61" t="str">
        <f aca="false">IF(J9&gt;=CST_MainMin,"主流","非主流")</f>
        <v>主流</v>
      </c>
      <c r="L9" s="109"/>
      <c r="M9" s="109" t="s">
        <v>754</v>
      </c>
      <c r="N9" s="66" t="n">
        <v>1</v>
      </c>
      <c r="O9" s="67" t="n">
        <v>1</v>
      </c>
      <c r="P9" s="104" t="n">
        <f aca="false">IF(M9="是",1,1+O9*N9*(CHOOSE(H9,E9,F9,G9)-1))</f>
        <v>1</v>
      </c>
      <c r="Q9" s="59" t="s">
        <v>227</v>
      </c>
      <c r="R9" s="87" t="s">
        <v>770</v>
      </c>
      <c r="S9" s="87" t="s">
        <v>751</v>
      </c>
      <c r="T9" s="5" t="str">
        <f aca="false">IF(AND(IF(L9="",K9,L9)="主流",M9="否"),"主流但未入基準：須 Andy 判定",IF(AND(IF(L9="",K9,L9)="非主流",M9="是",I9&lt;&gt;"早期採用"),"非主流卻在基準","一致"))</f>
        <v>一致</v>
      </c>
    </row>
    <row r="10" customFormat="false" ht="42" hidden="false" customHeight="true" outlineLevel="0" collapsed="false">
      <c r="A10" s="62" t="s">
        <v>771</v>
      </c>
      <c r="B10" s="6" t="s">
        <v>772</v>
      </c>
      <c r="C10" s="62" t="s">
        <v>773</v>
      </c>
      <c r="D10" s="61" t="s">
        <v>774</v>
      </c>
      <c r="E10" s="79" t="n">
        <v>0.7</v>
      </c>
      <c r="F10" s="79" t="n">
        <v>0.85</v>
      </c>
      <c r="G10" s="79" t="n">
        <v>1</v>
      </c>
      <c r="H10" s="67" t="n">
        <v>2</v>
      </c>
      <c r="I10" s="109" t="s">
        <v>775</v>
      </c>
      <c r="J10" s="67" t="n">
        <v>2</v>
      </c>
      <c r="K10" s="61" t="str">
        <f aca="false">IF(J10&gt;=CST_MainMin,"主流","非主流")</f>
        <v>主流</v>
      </c>
      <c r="L10" s="109"/>
      <c r="M10" s="109" t="s">
        <v>754</v>
      </c>
      <c r="N10" s="66" t="n">
        <v>1</v>
      </c>
      <c r="O10" s="67" t="n">
        <v>0</v>
      </c>
      <c r="P10" s="104" t="n">
        <f aca="false">IF(M10="是",1,1+O10*N10*(CHOOSE(H10,E10,F10,G10)-1))</f>
        <v>1</v>
      </c>
      <c r="Q10" s="59" t="s">
        <v>227</v>
      </c>
      <c r="R10" s="87" t="s">
        <v>776</v>
      </c>
      <c r="S10" s="93" t="s">
        <v>777</v>
      </c>
      <c r="T10" s="5" t="str">
        <f aca="false">IF(AND(IF(L10="",K10,L10)="主流",M10="否"),"主流但未入基準：須 Andy 判定",IF(AND(IF(L10="",K10,L10)="非主流",M10="是",I10&lt;&gt;"早期採用"),"非主流卻在基準","一致"))</f>
        <v>一致</v>
      </c>
    </row>
    <row r="11" customFormat="false" ht="42" hidden="false" customHeight="true" outlineLevel="0" collapsed="false">
      <c r="A11" s="62" t="s">
        <v>778</v>
      </c>
      <c r="B11" s="6" t="s">
        <v>779</v>
      </c>
      <c r="C11" s="62" t="s">
        <v>780</v>
      </c>
      <c r="D11" s="61" t="s">
        <v>781</v>
      </c>
      <c r="E11" s="79" t="n">
        <v>1.5</v>
      </c>
      <c r="F11" s="79" t="n">
        <v>2</v>
      </c>
      <c r="G11" s="79" t="n">
        <v>3</v>
      </c>
      <c r="H11" s="67" t="n">
        <v>2</v>
      </c>
      <c r="I11" s="109" t="s">
        <v>775</v>
      </c>
      <c r="J11" s="67" t="n">
        <v>1</v>
      </c>
      <c r="K11" s="61" t="str">
        <f aca="false">IF(J11&gt;=CST_MainMin,"主流","非主流")</f>
        <v>非主流</v>
      </c>
      <c r="L11" s="109"/>
      <c r="M11" s="109" t="s">
        <v>782</v>
      </c>
      <c r="N11" s="66" t="n">
        <v>1</v>
      </c>
      <c r="O11" s="67" t="n">
        <v>0</v>
      </c>
      <c r="P11" s="104" t="n">
        <f aca="false">IF(M11="是",1,1+O11*N11*(CHOOSE(H11,E11,F11,G11)-1))</f>
        <v>1</v>
      </c>
      <c r="Q11" s="59" t="s">
        <v>227</v>
      </c>
      <c r="R11" s="93" t="s">
        <v>783</v>
      </c>
      <c r="S11" s="93" t="s">
        <v>784</v>
      </c>
      <c r="T11" s="5" t="str">
        <f aca="false">IF(AND(IF(L11="",K11,L11)="主流",M11="否"),"主流但未入基準：須 Andy 判定",IF(AND(IF(L11="",K11,L11)="非主流",M11="是",I11&lt;&gt;"早期採用"),"非主流卻在基準","一致"))</f>
        <v>一致</v>
      </c>
    </row>
    <row r="12" customFormat="false" ht="42" hidden="false" customHeight="true" outlineLevel="0" collapsed="false">
      <c r="A12" s="62" t="s">
        <v>785</v>
      </c>
      <c r="B12" s="6" t="s">
        <v>786</v>
      </c>
      <c r="C12" s="62" t="s">
        <v>787</v>
      </c>
      <c r="D12" s="61" t="s">
        <v>788</v>
      </c>
      <c r="E12" s="79" t="n">
        <v>1.5</v>
      </c>
      <c r="F12" s="79" t="n">
        <v>2</v>
      </c>
      <c r="G12" s="79" t="n">
        <v>4</v>
      </c>
      <c r="H12" s="67" t="n">
        <v>2</v>
      </c>
      <c r="I12" s="109" t="s">
        <v>789</v>
      </c>
      <c r="J12" s="67" t="n">
        <v>0</v>
      </c>
      <c r="K12" s="61" t="str">
        <f aca="false">IF(J12&gt;=CST_MainMin,"主流","非主流")</f>
        <v>非主流</v>
      </c>
      <c r="L12" s="109"/>
      <c r="M12" s="109" t="s">
        <v>782</v>
      </c>
      <c r="N12" s="66" t="n">
        <v>1</v>
      </c>
      <c r="O12" s="67" t="n">
        <v>0</v>
      </c>
      <c r="P12" s="104" t="n">
        <f aca="false">IF(M12="是",1,1+O12*N12*(CHOOSE(H12,E12,F12,G12)-1))</f>
        <v>1</v>
      </c>
      <c r="Q12" s="59" t="s">
        <v>114</v>
      </c>
      <c r="R12" s="93" t="s">
        <v>790</v>
      </c>
      <c r="S12" s="93" t="s">
        <v>791</v>
      </c>
      <c r="T12" s="5" t="str">
        <f aca="false">IF(AND(IF(L12="",K12,L12)="主流",M12="否"),"主流但未入基準：須 Andy 判定",IF(AND(IF(L12="",K12,L12)="非主流",M12="是",I12&lt;&gt;"早期採用"),"非主流卻在基準","一致"))</f>
        <v>一致</v>
      </c>
    </row>
    <row r="13" customFormat="false" ht="42" hidden="false" customHeight="true" outlineLevel="0" collapsed="false">
      <c r="A13" s="62" t="s">
        <v>792</v>
      </c>
      <c r="B13" s="6" t="s">
        <v>793</v>
      </c>
      <c r="C13" s="62" t="s">
        <v>794</v>
      </c>
      <c r="D13" s="61" t="s">
        <v>795</v>
      </c>
      <c r="E13" s="79" t="n">
        <v>1.5</v>
      </c>
      <c r="F13" s="79" t="n">
        <v>2</v>
      </c>
      <c r="G13" s="79" t="n">
        <v>4</v>
      </c>
      <c r="H13" s="67" t="n">
        <v>2</v>
      </c>
      <c r="I13" s="109" t="s">
        <v>789</v>
      </c>
      <c r="J13" s="67" t="n">
        <v>0</v>
      </c>
      <c r="K13" s="61" t="str">
        <f aca="false">IF(J13&gt;=CST_MainMin,"主流","非主流")</f>
        <v>非主流</v>
      </c>
      <c r="L13" s="109"/>
      <c r="M13" s="109" t="s">
        <v>782</v>
      </c>
      <c r="N13" s="66" t="n">
        <v>1</v>
      </c>
      <c r="O13" s="67" t="n">
        <v>0</v>
      </c>
      <c r="P13" s="104" t="n">
        <f aca="false">IF(M13="是",1,1+O13*N13*(CHOOSE(H13,E13,F13,G13)-1))</f>
        <v>1</v>
      </c>
      <c r="Q13" s="59" t="s">
        <v>114</v>
      </c>
      <c r="R13" s="93" t="s">
        <v>796</v>
      </c>
      <c r="S13" s="93" t="s">
        <v>797</v>
      </c>
      <c r="T13" s="5" t="str">
        <f aca="false">IF(AND(IF(L13="",K13,L13)="主流",M13="否"),"主流但未入基準：須 Andy 判定",IF(AND(IF(L13="",K13,L13)="非主流",M13="是",I13&lt;&gt;"早期採用"),"非主流卻在基準","一致"))</f>
        <v>一致</v>
      </c>
    </row>
    <row r="14" customFormat="false" ht="42" hidden="false" customHeight="true" outlineLevel="0" collapsed="false">
      <c r="A14" s="62" t="s">
        <v>798</v>
      </c>
      <c r="B14" s="5" t="s">
        <v>799</v>
      </c>
      <c r="C14" s="62" t="s">
        <v>800</v>
      </c>
      <c r="D14" s="62" t="s">
        <v>801</v>
      </c>
      <c r="E14" s="79" t="n">
        <v>1.2</v>
      </c>
      <c r="F14" s="79" t="n">
        <v>1.4</v>
      </c>
      <c r="G14" s="79" t="n">
        <v>1.6</v>
      </c>
      <c r="H14" s="67" t="n">
        <v>2</v>
      </c>
      <c r="I14" s="109" t="s">
        <v>753</v>
      </c>
      <c r="J14" s="89" t="n">
        <f aca="false">SRC_MOD_043+SRC_MOD_044+SRC_MOD_045+SRC_MOD_047</f>
        <v>4</v>
      </c>
      <c r="K14" s="61" t="str">
        <f aca="false">IF(J14&gt;=CST_MainMin,"主流","非主流")</f>
        <v>主流</v>
      </c>
      <c r="L14" s="109"/>
      <c r="M14" s="109" t="s">
        <v>754</v>
      </c>
      <c r="N14" s="66" t="n">
        <v>1</v>
      </c>
      <c r="O14" s="67" t="n">
        <v>0</v>
      </c>
      <c r="P14" s="104" t="n">
        <f aca="false">IF(M14="是",1,1+O14*N14*(CHOOSE(H14,E14,F14,G14)-1))</f>
        <v>1</v>
      </c>
      <c r="Q14" s="59" t="s">
        <v>227</v>
      </c>
      <c r="R14" s="93" t="s">
        <v>802</v>
      </c>
      <c r="S14" s="93" t="s">
        <v>803</v>
      </c>
      <c r="T14" s="5" t="str">
        <f aca="false">IF(AND(IF(L14="",K14,L14)="主流",M14="否"),"主流但未入基準：須 Andy 判定",IF(AND(IF(L14="",K14,L14)="非主流",M14="是",I14&lt;&gt;"早期採用"),"非主流卻在基準","一致"))</f>
        <v>一致</v>
      </c>
    </row>
    <row r="15" customFormat="false" ht="42" hidden="false" customHeight="true" outlineLevel="0" collapsed="false">
      <c r="A15" s="62" t="s">
        <v>804</v>
      </c>
      <c r="B15" s="6" t="s">
        <v>805</v>
      </c>
      <c r="C15" s="62" t="s">
        <v>806</v>
      </c>
      <c r="D15" s="62" t="s">
        <v>524</v>
      </c>
      <c r="E15" s="79" t="n">
        <v>0.5</v>
      </c>
      <c r="F15" s="79" t="n">
        <v>0.5</v>
      </c>
      <c r="G15" s="79" t="n">
        <v>0.75</v>
      </c>
      <c r="H15" s="67" t="n">
        <v>2</v>
      </c>
      <c r="I15" s="109" t="s">
        <v>775</v>
      </c>
      <c r="J15" s="67" t="n">
        <v>1</v>
      </c>
      <c r="K15" s="61" t="str">
        <f aca="false">IF(J15&gt;=CST_MainMin,"主流","非主流")</f>
        <v>非主流</v>
      </c>
      <c r="L15" s="109"/>
      <c r="M15" s="109" t="s">
        <v>782</v>
      </c>
      <c r="N15" s="66" t="n">
        <v>1</v>
      </c>
      <c r="O15" s="67" t="n">
        <v>0</v>
      </c>
      <c r="P15" s="104" t="n">
        <f aca="false">IF(M15="是",1,1+O15*N15*(CHOOSE(H15,E15,F15,G15)-1))</f>
        <v>1</v>
      </c>
      <c r="Q15" s="59" t="s">
        <v>114</v>
      </c>
      <c r="R15" s="87" t="s">
        <v>807</v>
      </c>
      <c r="S15" s="93" t="s">
        <v>808</v>
      </c>
      <c r="T15" s="5" t="str">
        <f aca="false">IF(AND(IF(L15="",K15,L15)="主流",M15="否"),"主流但未入基準：須 Andy 判定",IF(AND(IF(L15="",K15,L15)="非主流",M15="是",I15&lt;&gt;"早期採用"),"非主流卻在基準","一致"))</f>
        <v>一致</v>
      </c>
    </row>
    <row r="16" customFormat="false" ht="42" hidden="false" customHeight="true" outlineLevel="0" collapsed="false">
      <c r="A16" s="62" t="s">
        <v>809</v>
      </c>
      <c r="B16" s="6" t="s">
        <v>810</v>
      </c>
      <c r="C16" s="62" t="s">
        <v>811</v>
      </c>
      <c r="D16" s="62" t="s">
        <v>812</v>
      </c>
      <c r="E16" s="79" t="n">
        <v>1</v>
      </c>
      <c r="F16" s="79" t="n">
        <v>1</v>
      </c>
      <c r="G16" s="79" t="n">
        <v>1</v>
      </c>
      <c r="H16" s="67" t="n">
        <v>2</v>
      </c>
      <c r="I16" s="109" t="s">
        <v>813</v>
      </c>
      <c r="J16" s="67" t="n">
        <v>0</v>
      </c>
      <c r="K16" s="61" t="str">
        <f aca="false">IF(J16&gt;=CST_MainMin,"主流","非主流")</f>
        <v>非主流</v>
      </c>
      <c r="L16" s="109"/>
      <c r="M16" s="109" t="s">
        <v>782</v>
      </c>
      <c r="N16" s="66" t="n">
        <v>1</v>
      </c>
      <c r="O16" s="67" t="n">
        <v>0</v>
      </c>
      <c r="P16" s="104" t="n">
        <f aca="false">IF(M16="是",1,1+O16*N16*(CHOOSE(H16,E16,F16,G16)-1))</f>
        <v>1</v>
      </c>
      <c r="Q16" s="59" t="s">
        <v>114</v>
      </c>
      <c r="R16" s="87" t="s">
        <v>814</v>
      </c>
      <c r="S16" s="93" t="s">
        <v>815</v>
      </c>
      <c r="T16" s="5" t="str">
        <f aca="false">IF(AND(IF(L16="",K16,L16)="主流",M16="否"),"主流但未入基準：須 Andy 判定",IF(AND(IF(L16="",K16,L16)="非主流",M16="是",I16&lt;&gt;"早期採用"),"非主流卻在基準","一致"))</f>
        <v>一致</v>
      </c>
    </row>
    <row r="17" customFormat="false" ht="29.85" hidden="false" customHeight="false" outlineLevel="0" collapsed="false">
      <c r="A17" s="61" t="s">
        <v>816</v>
      </c>
      <c r="B17" s="5" t="s">
        <v>817</v>
      </c>
      <c r="J17" s="67" t="n">
        <v>2</v>
      </c>
      <c r="Q17" s="59" t="s">
        <v>104</v>
      </c>
      <c r="R17" s="87" t="s">
        <v>818</v>
      </c>
    </row>
    <row r="18" customFormat="false" ht="15" hidden="false" customHeight="false" outlineLevel="0" collapsed="false">
      <c r="A18" s="69" t="s">
        <v>819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</row>
    <row r="19" customFormat="false" ht="15" hidden="false" customHeight="false" outlineLevel="0" collapsed="false">
      <c r="A19" s="60" t="s">
        <v>820</v>
      </c>
      <c r="B19" s="60" t="s">
        <v>821</v>
      </c>
      <c r="C19" s="60"/>
      <c r="D19" s="60" t="s">
        <v>822</v>
      </c>
      <c r="E19" s="60" t="s">
        <v>823</v>
      </c>
    </row>
    <row r="20" customFormat="false" ht="15" hidden="false" customHeight="false" outlineLevel="0" collapsed="false">
      <c r="A20" s="10" t="s">
        <v>824</v>
      </c>
      <c r="B20" s="62" t="s">
        <v>825</v>
      </c>
      <c r="D20" s="87" t="s">
        <v>826</v>
      </c>
      <c r="E20" s="106" t="n">
        <f aca="false">EXP(SUMPRODUCT(($C$5:$C$16="H_ETAD")*LN($P$5:$P$16)))</f>
        <v>1</v>
      </c>
    </row>
    <row r="21" customFormat="false" ht="15" hidden="false" customHeight="false" outlineLevel="0" collapsed="false">
      <c r="A21" s="10" t="s">
        <v>794</v>
      </c>
      <c r="B21" s="61" t="s">
        <v>582</v>
      </c>
      <c r="D21" s="87" t="s">
        <v>827</v>
      </c>
      <c r="E21" s="106" t="n">
        <f aca="false">EXP(SUMPRODUCT(($C$5:$C$16="H_TL")*LN($P$5:$P$16)))</f>
        <v>1</v>
      </c>
    </row>
    <row r="22" customFormat="false" ht="26.85" hidden="false" customHeight="false" outlineLevel="0" collapsed="false">
      <c r="A22" s="10" t="s">
        <v>787</v>
      </c>
      <c r="B22" s="61" t="s">
        <v>828</v>
      </c>
      <c r="D22" s="87" t="s">
        <v>829</v>
      </c>
      <c r="E22" s="106" t="n">
        <f aca="false">EXP(SUMPRODUCT(($C$5:$C$16="H_FLOP")*LN($P$5:$P$16)))</f>
        <v>1</v>
      </c>
    </row>
    <row r="23" customFormat="false" ht="15" hidden="false" customHeight="false" outlineLevel="0" collapsed="false">
      <c r="A23" s="10" t="s">
        <v>806</v>
      </c>
      <c r="B23" s="62" t="s">
        <v>830</v>
      </c>
      <c r="D23" s="87" t="s">
        <v>831</v>
      </c>
      <c r="E23" s="106" t="n">
        <f aca="false">EXP(SUMPRODUCT(($C$5:$C$16="H_KV")*LN($P$5:$P$16)))</f>
        <v>1</v>
      </c>
    </row>
    <row r="24" customFormat="false" ht="15" hidden="false" customHeight="false" outlineLevel="0" collapsed="false">
      <c r="A24" s="10" t="s">
        <v>832</v>
      </c>
      <c r="B24" s="61" t="s">
        <v>833</v>
      </c>
      <c r="D24" s="87" t="s">
        <v>834</v>
      </c>
      <c r="E24" s="106" t="n">
        <f aca="false">EXP(SUMPRODUCT(($C$5:$C$16="H_WB")*LN($P$5:$P$16)))</f>
        <v>1</v>
      </c>
    </row>
    <row r="25" customFormat="false" ht="15" hidden="false" customHeight="false" outlineLevel="0" collapsed="false">
      <c r="A25" s="10" t="s">
        <v>780</v>
      </c>
      <c r="B25" s="61" t="s">
        <v>835</v>
      </c>
      <c r="D25" s="87" t="s">
        <v>836</v>
      </c>
      <c r="E25" s="106" t="n">
        <f aca="false">EXP(SUMPRODUCT(($C$5:$C$16="H_TPK")*LN($P$5:$P$16)))</f>
        <v>1</v>
      </c>
    </row>
    <row r="26" customFormat="false" ht="15" hidden="false" customHeight="false" outlineLevel="0" collapsed="false">
      <c r="A26" s="10" t="s">
        <v>837</v>
      </c>
      <c r="B26" s="61" t="s">
        <v>838</v>
      </c>
      <c r="D26" s="87" t="s">
        <v>839</v>
      </c>
      <c r="E26" s="106" t="n">
        <f aca="false">EXP(SUMPRODUCT(($C$5:$C$16="H_MFU")*LN($P$5:$P$16)))</f>
        <v>1</v>
      </c>
    </row>
    <row r="27" customFormat="false" ht="15" hidden="false" customHeight="false" outlineLevel="0" collapsed="false">
      <c r="A27" s="10" t="s">
        <v>773</v>
      </c>
      <c r="B27" s="61" t="s">
        <v>840</v>
      </c>
      <c r="D27" s="87" t="s">
        <v>841</v>
      </c>
      <c r="E27" s="106" t="n">
        <f aca="false">EXP(SUMPRODUCT(($C$5:$C$16="H_TOK")*LN($P$5:$P$16)))</f>
        <v>1</v>
      </c>
    </row>
    <row r="28" customFormat="false" ht="15" hidden="false" customHeight="false" outlineLevel="0" collapsed="false">
      <c r="A28" s="10" t="s">
        <v>800</v>
      </c>
      <c r="B28" s="62" t="s">
        <v>842</v>
      </c>
      <c r="D28" s="87" t="s">
        <v>843</v>
      </c>
      <c r="E28" s="106" t="n">
        <f aca="false">EXP(SUMPRODUCT(($C$5:$C$16="H_ROLL")*LN($P$5:$P$16)))</f>
        <v>1</v>
      </c>
    </row>
    <row r="29" customFormat="false" ht="15" hidden="false" customHeight="false" outlineLevel="0" collapsed="false">
      <c r="A29" s="10" t="s">
        <v>844</v>
      </c>
      <c r="B29" s="61" t="s">
        <v>845</v>
      </c>
      <c r="D29" s="87" t="s">
        <v>846</v>
      </c>
      <c r="E29" s="106" t="n">
        <f aca="false">EXP(SUMPRODUCT(($C$5:$C$16="H_CAP")*LN($P$5:$P$16)))</f>
        <v>1</v>
      </c>
    </row>
    <row r="30" customFormat="false" ht="24.6" hidden="false" customHeight="false" outlineLevel="0" collapsed="false">
      <c r="A30" s="10" t="s">
        <v>811</v>
      </c>
      <c r="B30" s="62" t="s">
        <v>847</v>
      </c>
      <c r="D30" s="87" t="s">
        <v>848</v>
      </c>
      <c r="E30" s="106" t="n">
        <f aca="false">EXP(SUMPRODUCT(($C$5:$C$16="H_HAR")*LN($P$5:$P$16)))</f>
        <v>1</v>
      </c>
    </row>
    <row r="32" customFormat="false" ht="30" hidden="false" customHeight="true" outlineLevel="0" collapsed="false">
      <c r="A32" s="60" t="s">
        <v>849</v>
      </c>
      <c r="B32" s="110" t="s">
        <v>850</v>
      </c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</row>
  </sheetData>
  <mergeCells count="1">
    <mergeCell ref="B32:R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851</v>
      </c>
    </row>
    <row r="2" customFormat="false" ht="15" hidden="false" customHeight="false" outlineLevel="0" collapsed="false">
      <c r="A2" s="59" t="s">
        <v>852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186</v>
      </c>
      <c r="C4" s="82" t="str">
        <f aca="false">INDEX(Spec_Rack!$C$4:$G$4,C6)</f>
        <v>Hopper H100</v>
      </c>
      <c r="D4" s="82" t="str">
        <f aca="false">INDEX(Spec_Rack!$C$4:$G$4,D6)</f>
        <v>Hopper H100</v>
      </c>
      <c r="E4" s="82" t="str">
        <f aca="false">INDEX(Spec_Rack!$C$4:$G$4,E6)</f>
        <v>Hopper H100</v>
      </c>
      <c r="F4" s="82" t="str">
        <f aca="false">INDEX(Spec_Rack!$C$4:$G$4,F6)</f>
        <v>GB200 NVL72</v>
      </c>
      <c r="G4" s="82" t="str">
        <f aca="false">INDEX(Spec_Rack!$C$4:$G$4,G6)</f>
        <v>GB200 NVL72</v>
      </c>
      <c r="H4" s="82" t="str">
        <f aca="false">INDEX(Spec_Rack!$C$4:$G$4,H6)</f>
        <v>GB200 NVL72</v>
      </c>
      <c r="I4" s="82" t="str">
        <f aca="false">INDEX(Spec_Rack!$C$4:$G$4,I6)</f>
        <v>GB300 NVL72</v>
      </c>
      <c r="J4" s="82" t="str">
        <f aca="false">INDEX(Spec_Rack!$C$4:$G$4,J6)</f>
        <v>GB300 NVL72</v>
      </c>
      <c r="K4" s="82" t="str">
        <f aca="false">INDEX(Spec_Rack!$C$4:$G$4,K6)</f>
        <v>GB300 NVL72</v>
      </c>
      <c r="L4" s="82" t="str">
        <f aca="false">INDEX(Spec_Rack!$C$4:$G$4,L6)</f>
        <v>VR200 NVL72</v>
      </c>
      <c r="M4" s="82" t="str">
        <f aca="false">INDEX(Spec_Rack!$C$4:$G$4,M6)</f>
        <v>VR200 NVL72</v>
      </c>
      <c r="N4" s="82" t="str">
        <f aca="false">INDEX(Spec_Rack!$C$4:$G$4,N6)</f>
        <v>VR200 NVL72</v>
      </c>
      <c r="O4" s="82" t="str">
        <f aca="false">INDEX(Spec_Rack!$C$4:$G$4,O6)</f>
        <v>Rubin Ultra（MGX NVL 單架，72 GPU）</v>
      </c>
      <c r="P4" s="82" t="str">
        <f aca="false">INDEX(Spec_Rack!$C$4:$G$4,P6)</f>
        <v>Rubin Ultra（MGX NVL 單架，72 GPU）</v>
      </c>
      <c r="Q4" s="82" t="str">
        <f aca="false">INDEX(Spec_Rack!$C$4:$G$4,Q6)</f>
        <v>Rubin Ultra（MGX NVL 單架，72 GPU）</v>
      </c>
      <c r="R4" s="74" t="s">
        <v>853</v>
      </c>
    </row>
    <row r="5" customFormat="false" ht="15" hidden="false" customHeight="false" outlineLevel="0" collapsed="false">
      <c r="A5" s="60" t="s">
        <v>854</v>
      </c>
      <c r="C5" s="82" t="str">
        <f aca="false">INDEX(Arch!$C$4:$E$4,C7)</f>
        <v>Luna（低層）</v>
      </c>
      <c r="D5" s="82" t="str">
        <f aca="false">INDEX(Arch!$C$4:$E$4,D7)</f>
        <v>Sol（中層）</v>
      </c>
      <c r="E5" s="82" t="str">
        <f aca="false">INDEX(Arch!$C$4:$E$4,E7)</f>
        <v>Astra（頂層）</v>
      </c>
      <c r="F5" s="82" t="str">
        <f aca="false">INDEX(Arch!$C$4:$E$4,F7)</f>
        <v>Luna（低層）</v>
      </c>
      <c r="G5" s="82" t="str">
        <f aca="false">INDEX(Arch!$C$4:$E$4,G7)</f>
        <v>Sol（中層）</v>
      </c>
      <c r="H5" s="82" t="str">
        <f aca="false">INDEX(Arch!$C$4:$E$4,H7)</f>
        <v>Astra（頂層）</v>
      </c>
      <c r="I5" s="82" t="str">
        <f aca="false">INDEX(Arch!$C$4:$E$4,I7)</f>
        <v>Luna（低層）</v>
      </c>
      <c r="J5" s="82" t="str">
        <f aca="false">INDEX(Arch!$C$4:$E$4,J7)</f>
        <v>Sol（中層）</v>
      </c>
      <c r="K5" s="82" t="str">
        <f aca="false">INDEX(Arch!$C$4:$E$4,K7)</f>
        <v>Astra（頂層）</v>
      </c>
      <c r="L5" s="82" t="str">
        <f aca="false">INDEX(Arch!$C$4:$E$4,L7)</f>
        <v>Luna（低層）</v>
      </c>
      <c r="M5" s="82" t="str">
        <f aca="false">INDEX(Arch!$C$4:$E$4,M7)</f>
        <v>Sol（中層）</v>
      </c>
      <c r="N5" s="82" t="str">
        <f aca="false">INDEX(Arch!$C$4:$E$4,N7)</f>
        <v>Astra（頂層）</v>
      </c>
      <c r="O5" s="82" t="str">
        <f aca="false">INDEX(Arch!$C$4:$E$4,O7)</f>
        <v>Luna（低層）</v>
      </c>
      <c r="P5" s="82" t="str">
        <f aca="false">INDEX(Arch!$C$4:$E$4,P7)</f>
        <v>Sol（中層）</v>
      </c>
      <c r="Q5" s="82" t="str">
        <f aca="false">INDEX(Arch!$C$4:$E$4,Q7)</f>
        <v>Astra（頂層）</v>
      </c>
      <c r="R5" s="74" t="s">
        <v>855</v>
      </c>
    </row>
    <row r="6" customFormat="false" ht="15" hidden="false" customHeight="false" outlineLevel="0" collapsed="false">
      <c r="A6" s="60" t="s">
        <v>469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60" t="s">
        <v>856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</row>
    <row r="9" customFormat="false" ht="15" hidden="false" customHeight="false" outlineLevel="0" collapsed="false">
      <c r="A9" s="76" t="s">
        <v>857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858</v>
      </c>
      <c r="B10" s="62" t="s">
        <v>118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</row>
    <row r="11" customFormat="false" ht="15" hidden="false" customHeight="false" outlineLevel="0" collapsed="false">
      <c r="A11" s="62" t="s">
        <v>859</v>
      </c>
      <c r="B11" s="62" t="s">
        <v>118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</row>
    <row r="12" customFormat="false" ht="15" hidden="false" customHeight="false" outlineLevel="0" collapsed="false">
      <c r="A12" s="61" t="s">
        <v>860</v>
      </c>
      <c r="B12" s="62" t="s">
        <v>118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</row>
    <row r="13" customFormat="false" ht="15" hidden="false" customHeight="false" outlineLevel="0" collapsed="false">
      <c r="A13" s="76" t="s">
        <v>861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customFormat="false" ht="15" hidden="false" customHeight="false" outlineLevel="0" collapsed="false">
      <c r="A14" s="61" t="s">
        <v>500</v>
      </c>
      <c r="B14" s="62" t="s">
        <v>501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</row>
    <row r="15" customFormat="false" ht="15" hidden="false" customHeight="false" outlineLevel="0" collapsed="false">
      <c r="A15" s="62" t="s">
        <v>503</v>
      </c>
      <c r="B15" s="62" t="s">
        <v>862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</row>
    <row r="16" customFormat="false" ht="15" hidden="false" customHeight="false" outlineLevel="0" collapsed="false">
      <c r="A16" s="62" t="s">
        <v>505</v>
      </c>
      <c r="B16" s="62" t="s">
        <v>377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</row>
    <row r="17" customFormat="false" ht="15" hidden="false" customHeight="false" outlineLevel="0" collapsed="false">
      <c r="A17" s="62" t="s">
        <v>863</v>
      </c>
      <c r="B17" s="62" t="s">
        <v>377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</row>
    <row r="18" customFormat="false" ht="15" hidden="false" customHeight="false" outlineLevel="0" collapsed="false">
      <c r="A18" s="62" t="s">
        <v>247</v>
      </c>
      <c r="B18" s="62" t="s">
        <v>697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</row>
    <row r="19" customFormat="false" ht="15" hidden="false" customHeight="false" outlineLevel="0" collapsed="false">
      <c r="A19" s="61" t="s">
        <v>864</v>
      </c>
      <c r="B19" s="62" t="s">
        <v>287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</row>
    <row r="20" customFormat="false" ht="15" hidden="false" customHeight="false" outlineLevel="0" collapsed="false">
      <c r="A20" s="61" t="s">
        <v>865</v>
      </c>
      <c r="B20" s="62" t="s">
        <v>287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</row>
    <row r="21" customFormat="false" ht="15" hidden="false" customHeight="false" outlineLevel="0" collapsed="false">
      <c r="A21" s="61" t="s">
        <v>866</v>
      </c>
      <c r="B21" s="62" t="s">
        <v>697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</row>
    <row r="22" customFormat="false" ht="15" hidden="false" customHeight="false" outlineLevel="0" collapsed="false">
      <c r="A22" s="62" t="s">
        <v>199</v>
      </c>
      <c r="B22" s="61" t="s">
        <v>867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</row>
    <row r="23" customFormat="false" ht="15" hidden="false" customHeight="false" outlineLevel="0" collapsed="false">
      <c r="A23" s="62" t="s">
        <v>868</v>
      </c>
      <c r="B23" s="62" t="s">
        <v>869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</row>
    <row r="24" customFormat="false" ht="15" hidden="false" customHeight="false" outlineLevel="0" collapsed="false">
      <c r="A24" s="62" t="s">
        <v>870</v>
      </c>
      <c r="B24" s="62" t="s">
        <v>871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</row>
    <row r="25" customFormat="false" ht="15" hidden="false" customHeight="false" outlineLevel="0" collapsed="false">
      <c r="A25" s="61" t="s">
        <v>872</v>
      </c>
      <c r="B25" s="61" t="s">
        <v>873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</row>
    <row r="26" customFormat="false" ht="15" hidden="false" customHeight="false" outlineLevel="0" collapsed="false">
      <c r="A26" s="61" t="s">
        <v>874</v>
      </c>
      <c r="B26" s="62" t="s">
        <v>875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</row>
    <row r="27" customFormat="false" ht="15" hidden="false" customHeight="false" outlineLevel="0" collapsed="false">
      <c r="A27" s="76" t="s">
        <v>876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1" t="s">
        <v>290</v>
      </c>
      <c r="B28" s="62" t="s">
        <v>287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</row>
    <row r="29" customFormat="false" ht="15" hidden="false" customHeight="false" outlineLevel="0" collapsed="false">
      <c r="A29" s="61" t="s">
        <v>292</v>
      </c>
      <c r="B29" s="61" t="s">
        <v>293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</row>
    <row r="30" customFormat="false" ht="15" hidden="false" customHeight="false" outlineLevel="0" collapsed="false">
      <c r="A30" s="62" t="s">
        <v>295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</row>
    <row r="31" customFormat="false" ht="15" hidden="false" customHeight="false" outlineLevel="0" collapsed="false">
      <c r="A31" s="61" t="s">
        <v>877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</row>
    <row r="32" customFormat="false" ht="15" hidden="false" customHeight="false" outlineLevel="0" collapsed="false">
      <c r="A32" s="61" t="s">
        <v>521</v>
      </c>
      <c r="B32" s="62" t="s">
        <v>287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</row>
    <row r="33" customFormat="false" ht="15" hidden="false" customHeight="false" outlineLevel="0" collapsed="false">
      <c r="A33" s="61" t="s">
        <v>328</v>
      </c>
      <c r="B33" s="62" t="s">
        <v>287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</row>
    <row r="34" customFormat="false" ht="15" hidden="false" customHeight="false" outlineLevel="0" collapsed="false">
      <c r="A34" s="62" t="s">
        <v>878</v>
      </c>
      <c r="B34" s="62" t="s">
        <v>287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</row>
    <row r="35" customFormat="false" ht="15" hidden="false" customHeight="false" outlineLevel="0" collapsed="false">
      <c r="A35" s="61" t="s">
        <v>526</v>
      </c>
      <c r="B35" s="62" t="s">
        <v>330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</row>
    <row r="36" customFormat="false" ht="15" hidden="false" customHeight="false" outlineLevel="0" collapsed="false">
      <c r="A36" s="61" t="s">
        <v>305</v>
      </c>
      <c r="B36" s="62" t="s">
        <v>113</v>
      </c>
      <c r="C36" s="65" t="n">
        <f aca="false">INDEX(Arch!$C$16:$E$16,C$7)</f>
        <v>0.512</v>
      </c>
      <c r="D36" s="65" t="n">
        <f aca="false">INDEX(Arch!$C$16:$E$16,D$7)</f>
        <v>0.492</v>
      </c>
      <c r="E36" s="65" t="n">
        <f aca="false">INDEX(Arch!$C$16:$E$16,E$7)</f>
        <v>1</v>
      </c>
      <c r="F36" s="65" t="n">
        <f aca="false">INDEX(Arch!$C$16:$E$16,F$7)</f>
        <v>0.512</v>
      </c>
      <c r="G36" s="65" t="n">
        <f aca="false">INDEX(Arch!$C$16:$E$16,G$7)</f>
        <v>0.492</v>
      </c>
      <c r="H36" s="65" t="n">
        <f aca="false">INDEX(Arch!$C$16:$E$16,H$7)</f>
        <v>1</v>
      </c>
      <c r="I36" s="65" t="n">
        <f aca="false">INDEX(Arch!$C$16:$E$16,I$7)</f>
        <v>0.512</v>
      </c>
      <c r="J36" s="65" t="n">
        <f aca="false">INDEX(Arch!$C$16:$E$16,J$7)</f>
        <v>0.492</v>
      </c>
      <c r="K36" s="65" t="n">
        <f aca="false">INDEX(Arch!$C$16:$E$16,K$7)</f>
        <v>1</v>
      </c>
      <c r="L36" s="65" t="n">
        <f aca="false">INDEX(Arch!$C$16:$E$16,L$7)</f>
        <v>0.512</v>
      </c>
      <c r="M36" s="65" t="n">
        <f aca="false">INDEX(Arch!$C$16:$E$16,M$7)</f>
        <v>0.492</v>
      </c>
      <c r="N36" s="65" t="n">
        <f aca="false">INDEX(Arch!$C$16:$E$16,N$7)</f>
        <v>1</v>
      </c>
      <c r="O36" s="65" t="n">
        <f aca="false">INDEX(Arch!$C$16:$E$16,O$7)</f>
        <v>0.512</v>
      </c>
      <c r="P36" s="65" t="n">
        <f aca="false">INDEX(Arch!$C$16:$E$16,P$7)</f>
        <v>0.492</v>
      </c>
      <c r="Q36" s="65" t="n">
        <f aca="false">INDEX(Arch!$C$16:$E$16,Q$7)</f>
        <v>1</v>
      </c>
    </row>
    <row r="37" customFormat="false" ht="15" hidden="false" customHeight="false" outlineLevel="0" collapsed="false">
      <c r="A37" s="61" t="s">
        <v>879</v>
      </c>
      <c r="B37" s="62" t="s">
        <v>308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</row>
    <row r="38" customFormat="false" ht="15" hidden="false" customHeight="false" outlineLevel="0" collapsed="false">
      <c r="A38" s="61" t="s">
        <v>310</v>
      </c>
      <c r="B38" s="62" t="s">
        <v>118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</row>
    <row r="39" customFormat="false" ht="15" hidden="false" customHeight="false" outlineLevel="0" collapsed="false">
      <c r="A39" s="61" t="s">
        <v>312</v>
      </c>
      <c r="B39" s="62" t="s">
        <v>308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</row>
    <row r="40" customFormat="false" ht="15" hidden="false" customHeight="false" outlineLevel="0" collapsed="false">
      <c r="A40" s="76" t="s">
        <v>880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</row>
    <row r="41" customFormat="false" ht="15" hidden="false" customHeight="false" outlineLevel="0" collapsed="false">
      <c r="A41" s="62" t="s">
        <v>388</v>
      </c>
      <c r="B41" s="62" t="s">
        <v>389</v>
      </c>
      <c r="C41" s="63" t="n">
        <f aca="false">INDEX(Serving!$C$21:$E$21,C$7)</f>
        <v>84.3000593119602</v>
      </c>
      <c r="D41" s="63" t="n">
        <f aca="false">INDEX(Serving!$C$21:$E$21,D$7)</f>
        <v>43.31166124729</v>
      </c>
      <c r="E41" s="63" t="n">
        <f aca="false">INDEX(Serving!$C$21:$E$21,E$7)</f>
        <v>40.8313604965595</v>
      </c>
      <c r="F41" s="63" t="n">
        <f aca="false">INDEX(Serving!$C$21:$E$21,F$7)</f>
        <v>84.3000593119602</v>
      </c>
      <c r="G41" s="63" t="n">
        <f aca="false">INDEX(Serving!$C$21:$E$21,G$7)</f>
        <v>43.31166124729</v>
      </c>
      <c r="H41" s="63" t="n">
        <f aca="false">INDEX(Serving!$C$21:$E$21,H$7)</f>
        <v>40.8313604965595</v>
      </c>
      <c r="I41" s="63" t="n">
        <f aca="false">INDEX(Serving!$C$21:$E$21,I$7)</f>
        <v>84.3000593119602</v>
      </c>
      <c r="J41" s="63" t="n">
        <f aca="false">INDEX(Serving!$C$21:$E$21,J$7)</f>
        <v>43.31166124729</v>
      </c>
      <c r="K41" s="63" t="n">
        <f aca="false">INDEX(Serving!$C$21:$E$21,K$7)</f>
        <v>40.8313604965595</v>
      </c>
      <c r="L41" s="63" t="n">
        <f aca="false">INDEX(Serving!$C$21:$E$21,L$7)</f>
        <v>84.3000593119602</v>
      </c>
      <c r="M41" s="63" t="n">
        <f aca="false">INDEX(Serving!$C$21:$E$21,M$7)</f>
        <v>43.31166124729</v>
      </c>
      <c r="N41" s="63" t="n">
        <f aca="false">INDEX(Serving!$C$21:$E$21,N$7)</f>
        <v>40.8313604965595</v>
      </c>
      <c r="O41" s="63" t="n">
        <f aca="false">INDEX(Serving!$C$21:$E$21,O$7)</f>
        <v>84.3000593119602</v>
      </c>
      <c r="P41" s="63" t="n">
        <f aca="false">INDEX(Serving!$C$21:$E$21,P$7)</f>
        <v>43.31166124729</v>
      </c>
      <c r="Q41" s="63" t="n">
        <f aca="false">INDEX(Serving!$C$21:$E$21,Q$7)</f>
        <v>40.8313604965595</v>
      </c>
    </row>
    <row r="42" customFormat="false" ht="15" hidden="false" customHeight="false" outlineLevel="0" collapsed="false">
      <c r="A42" s="62" t="s">
        <v>881</v>
      </c>
      <c r="B42" s="62" t="s">
        <v>392</v>
      </c>
      <c r="C42" s="111" t="n">
        <f aca="false">INDEX(Serving!$C$22:$E$22,C$7)</f>
        <v>2</v>
      </c>
      <c r="D42" s="111" t="n">
        <f aca="false">INDEX(Serving!$C$22:$E$22,D$7)</f>
        <v>3</v>
      </c>
      <c r="E42" s="111" t="n">
        <f aca="false">INDEX(Serving!$C$22:$E$22,E$7)</f>
        <v>5</v>
      </c>
      <c r="F42" s="111" t="n">
        <f aca="false">INDEX(Serving!$C$22:$E$22,F$7)</f>
        <v>2</v>
      </c>
      <c r="G42" s="111" t="n">
        <f aca="false">INDEX(Serving!$C$22:$E$22,G$7)</f>
        <v>3</v>
      </c>
      <c r="H42" s="111" t="n">
        <f aca="false">INDEX(Serving!$C$22:$E$22,H$7)</f>
        <v>5</v>
      </c>
      <c r="I42" s="111" t="n">
        <f aca="false">INDEX(Serving!$C$22:$E$22,I$7)</f>
        <v>2</v>
      </c>
      <c r="J42" s="111" t="n">
        <f aca="false">INDEX(Serving!$C$22:$E$22,J$7)</f>
        <v>3</v>
      </c>
      <c r="K42" s="111" t="n">
        <f aca="false">INDEX(Serving!$C$22:$E$22,K$7)</f>
        <v>5</v>
      </c>
      <c r="L42" s="111" t="n">
        <f aca="false">INDEX(Serving!$C$22:$E$22,L$7)</f>
        <v>2</v>
      </c>
      <c r="M42" s="111" t="n">
        <f aca="false">INDEX(Serving!$C$22:$E$22,M$7)</f>
        <v>3</v>
      </c>
      <c r="N42" s="111" t="n">
        <f aca="false">INDEX(Serving!$C$22:$E$22,N$7)</f>
        <v>5</v>
      </c>
      <c r="O42" s="111" t="n">
        <f aca="false">INDEX(Serving!$C$22:$E$22,O$7)</f>
        <v>2</v>
      </c>
      <c r="P42" s="111" t="n">
        <f aca="false">INDEX(Serving!$C$22:$E$22,P$7)</f>
        <v>3</v>
      </c>
      <c r="Q42" s="111" t="n">
        <f aca="false">INDEX(Serving!$C$22:$E$22,Q$7)</f>
        <v>5</v>
      </c>
    </row>
    <row r="43" customFormat="false" ht="15" hidden="false" customHeight="false" outlineLevel="0" collapsed="false">
      <c r="A43" s="61" t="s">
        <v>882</v>
      </c>
      <c r="B43" s="62" t="s">
        <v>308</v>
      </c>
      <c r="C43" s="63" t="n">
        <f aca="false">INDEX(Serving!$C$23:$E$23,C$7)</f>
        <v>8192</v>
      </c>
      <c r="D43" s="63" t="n">
        <f aca="false">INDEX(Serving!$C$23:$E$23,D$7)</f>
        <v>16384</v>
      </c>
      <c r="E43" s="63" t="n">
        <f aca="false">INDEX(Serving!$C$23:$E$23,E$7)</f>
        <v>32768</v>
      </c>
      <c r="F43" s="63" t="n">
        <f aca="false">INDEX(Serving!$C$23:$E$23,F$7)</f>
        <v>8192</v>
      </c>
      <c r="G43" s="63" t="n">
        <f aca="false">INDEX(Serving!$C$23:$E$23,G$7)</f>
        <v>16384</v>
      </c>
      <c r="H43" s="63" t="n">
        <f aca="false">INDEX(Serving!$C$23:$E$23,H$7)</f>
        <v>32768</v>
      </c>
      <c r="I43" s="63" t="n">
        <f aca="false">INDEX(Serving!$C$23:$E$23,I$7)</f>
        <v>8192</v>
      </c>
      <c r="J43" s="63" t="n">
        <f aca="false">INDEX(Serving!$C$23:$E$23,J$7)</f>
        <v>16384</v>
      </c>
      <c r="K43" s="63" t="n">
        <f aca="false">INDEX(Serving!$C$23:$E$23,K$7)</f>
        <v>32768</v>
      </c>
      <c r="L43" s="63" t="n">
        <f aca="false">INDEX(Serving!$C$23:$E$23,L$7)</f>
        <v>8192</v>
      </c>
      <c r="M43" s="63" t="n">
        <f aca="false">INDEX(Serving!$C$23:$E$23,M$7)</f>
        <v>16384</v>
      </c>
      <c r="N43" s="63" t="n">
        <f aca="false">INDEX(Serving!$C$23:$E$23,N$7)</f>
        <v>32768</v>
      </c>
      <c r="O43" s="63" t="n">
        <f aca="false">INDEX(Serving!$C$23:$E$23,O$7)</f>
        <v>8192</v>
      </c>
      <c r="P43" s="63" t="n">
        <f aca="false">INDEX(Serving!$C$23:$E$23,P$7)</f>
        <v>16384</v>
      </c>
      <c r="Q43" s="63" t="n">
        <f aca="false">INDEX(Serving!$C$23:$E$23,Q$7)</f>
        <v>32768</v>
      </c>
    </row>
    <row r="44" customFormat="false" ht="15" hidden="false" customHeight="false" outlineLevel="0" collapsed="false">
      <c r="A44" s="61" t="s">
        <v>395</v>
      </c>
      <c r="B44" s="62" t="s">
        <v>308</v>
      </c>
      <c r="C44" s="63" t="n">
        <f aca="false">INDEX(Serving!$C$24:$E$24,C$7)</f>
        <v>1024</v>
      </c>
      <c r="D44" s="63" t="n">
        <f aca="false">INDEX(Serving!$C$24:$E$24,D$7)</f>
        <v>2048</v>
      </c>
      <c r="E44" s="63" t="n">
        <f aca="false">INDEX(Serving!$C$24:$E$24,E$7)</f>
        <v>4096</v>
      </c>
      <c r="F44" s="63" t="n">
        <f aca="false">INDEX(Serving!$C$24:$E$24,F$7)</f>
        <v>1024</v>
      </c>
      <c r="G44" s="63" t="n">
        <f aca="false">INDEX(Serving!$C$24:$E$24,G$7)</f>
        <v>2048</v>
      </c>
      <c r="H44" s="63" t="n">
        <f aca="false">INDEX(Serving!$C$24:$E$24,H$7)</f>
        <v>4096</v>
      </c>
      <c r="I44" s="63" t="n">
        <f aca="false">INDEX(Serving!$C$24:$E$24,I$7)</f>
        <v>1024</v>
      </c>
      <c r="J44" s="63" t="n">
        <f aca="false">INDEX(Serving!$C$24:$E$24,J$7)</f>
        <v>2048</v>
      </c>
      <c r="K44" s="63" t="n">
        <f aca="false">INDEX(Serving!$C$24:$E$24,K$7)</f>
        <v>4096</v>
      </c>
      <c r="L44" s="63" t="n">
        <f aca="false">INDEX(Serving!$C$24:$E$24,L$7)</f>
        <v>1024</v>
      </c>
      <c r="M44" s="63" t="n">
        <f aca="false">INDEX(Serving!$C$24:$E$24,M$7)</f>
        <v>2048</v>
      </c>
      <c r="N44" s="63" t="n">
        <f aca="false">INDEX(Serving!$C$24:$E$24,N$7)</f>
        <v>4096</v>
      </c>
      <c r="O44" s="63" t="n">
        <f aca="false">INDEX(Serving!$C$24:$E$24,O$7)</f>
        <v>1024</v>
      </c>
      <c r="P44" s="63" t="n">
        <f aca="false">INDEX(Serving!$C$24:$E$24,P$7)</f>
        <v>2048</v>
      </c>
      <c r="Q44" s="63" t="n">
        <f aca="false">INDEX(Serving!$C$24:$E$24,Q$7)</f>
        <v>4096</v>
      </c>
    </row>
    <row r="45" customFormat="false" ht="15" hidden="false" customHeight="false" outlineLevel="0" collapsed="false">
      <c r="A45" s="62" t="s">
        <v>396</v>
      </c>
      <c r="B45" s="62" t="s">
        <v>308</v>
      </c>
      <c r="C45" s="68" t="n">
        <f aca="false">C43+C44/2</f>
        <v>8704</v>
      </c>
      <c r="D45" s="68" t="n">
        <f aca="false">D43+D44/2</f>
        <v>17408</v>
      </c>
      <c r="E45" s="68" t="n">
        <f aca="false">E43+E44/2</f>
        <v>34816</v>
      </c>
      <c r="F45" s="68" t="n">
        <f aca="false">F43+F44/2</f>
        <v>8704</v>
      </c>
      <c r="G45" s="68" t="n">
        <f aca="false">G43+G44/2</f>
        <v>17408</v>
      </c>
      <c r="H45" s="68" t="n">
        <f aca="false">H43+H44/2</f>
        <v>34816</v>
      </c>
      <c r="I45" s="68" t="n">
        <f aca="false">I43+I44/2</f>
        <v>8704</v>
      </c>
      <c r="J45" s="68" t="n">
        <f aca="false">J43+J44/2</f>
        <v>17408</v>
      </c>
      <c r="K45" s="68" t="n">
        <f aca="false">K43+K44/2</f>
        <v>34816</v>
      </c>
      <c r="L45" s="68" t="n">
        <f aca="false">L43+L44/2</f>
        <v>8704</v>
      </c>
      <c r="M45" s="68" t="n">
        <f aca="false">M43+M44/2</f>
        <v>17408</v>
      </c>
      <c r="N45" s="68" t="n">
        <f aca="false">N43+N44/2</f>
        <v>34816</v>
      </c>
      <c r="O45" s="68" t="n">
        <f aca="false">O43+O44/2</f>
        <v>8704</v>
      </c>
      <c r="P45" s="68" t="n">
        <f aca="false">P43+P44/2</f>
        <v>17408</v>
      </c>
      <c r="Q45" s="68" t="n">
        <f aca="false">Q43+Q44/2</f>
        <v>34816</v>
      </c>
    </row>
    <row r="46" customFormat="false" ht="15" hidden="false" customHeight="false" outlineLevel="0" collapsed="false">
      <c r="A46" s="62" t="s">
        <v>397</v>
      </c>
      <c r="B46" s="62" t="s">
        <v>308</v>
      </c>
      <c r="C46" s="68" t="n">
        <f aca="false">C43/2</f>
        <v>4096</v>
      </c>
      <c r="D46" s="68" t="n">
        <f aca="false">D43/2</f>
        <v>8192</v>
      </c>
      <c r="E46" s="68" t="n">
        <f aca="false">E43/2</f>
        <v>16384</v>
      </c>
      <c r="F46" s="68" t="n">
        <f aca="false">F43/2</f>
        <v>4096</v>
      </c>
      <c r="G46" s="68" t="n">
        <f aca="false">G43/2</f>
        <v>8192</v>
      </c>
      <c r="H46" s="68" t="n">
        <f aca="false">H43/2</f>
        <v>16384</v>
      </c>
      <c r="I46" s="68" t="n">
        <f aca="false">I43/2</f>
        <v>4096</v>
      </c>
      <c r="J46" s="68" t="n">
        <f aca="false">J43/2</f>
        <v>8192</v>
      </c>
      <c r="K46" s="68" t="n">
        <f aca="false">K43/2</f>
        <v>16384</v>
      </c>
      <c r="L46" s="68" t="n">
        <f aca="false">L43/2</f>
        <v>4096</v>
      </c>
      <c r="M46" s="68" t="n">
        <f aca="false">M43/2</f>
        <v>8192</v>
      </c>
      <c r="N46" s="68" t="n">
        <f aca="false">N43/2</f>
        <v>16384</v>
      </c>
      <c r="O46" s="68" t="n">
        <f aca="false">O43/2</f>
        <v>4096</v>
      </c>
      <c r="P46" s="68" t="n">
        <f aca="false">P43/2</f>
        <v>8192</v>
      </c>
      <c r="Q46" s="68" t="n">
        <f aca="false">Q43/2</f>
        <v>16384</v>
      </c>
    </row>
    <row r="47" customFormat="false" ht="15" hidden="false" customHeight="false" outlineLevel="0" collapsed="false">
      <c r="A47" s="62" t="s">
        <v>883</v>
      </c>
      <c r="B47" s="62" t="s">
        <v>308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</row>
    <row r="48" customFormat="false" ht="15" hidden="false" customHeight="false" outlineLevel="0" collapsed="false">
      <c r="A48" s="61" t="s">
        <v>884</v>
      </c>
      <c r="B48" s="62" t="s">
        <v>113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</row>
    <row r="49" customFormat="false" ht="15" hidden="false" customHeight="false" outlineLevel="0" collapsed="false">
      <c r="A49" s="61" t="s">
        <v>885</v>
      </c>
      <c r="B49" s="62" t="s">
        <v>308</v>
      </c>
      <c r="C49" s="77" t="n">
        <f aca="false">(1-C48^(C47+1))/(1-C48)</f>
        <v>2.533</v>
      </c>
      <c r="D49" s="77" t="n">
        <f aca="false">(1-D48^(D47+1))/(1-D48)</f>
        <v>2.533</v>
      </c>
      <c r="E49" s="77" t="n">
        <f aca="false">(1-E48^(E47+1))/(1-E48)</f>
        <v>2.533</v>
      </c>
      <c r="F49" s="77" t="n">
        <f aca="false">(1-F48^(F47+1))/(1-F48)</f>
        <v>2.533</v>
      </c>
      <c r="G49" s="77" t="n">
        <f aca="false">(1-G48^(G47+1))/(1-G48)</f>
        <v>2.533</v>
      </c>
      <c r="H49" s="77" t="n">
        <f aca="false">(1-H48^(H47+1))/(1-H48)</f>
        <v>2.533</v>
      </c>
      <c r="I49" s="77" t="n">
        <f aca="false">(1-I48^(I47+1))/(1-I48)</f>
        <v>2.533</v>
      </c>
      <c r="J49" s="77" t="n">
        <f aca="false">(1-J48^(J47+1))/(1-J48)</f>
        <v>2.533</v>
      </c>
      <c r="K49" s="77" t="n">
        <f aca="false">(1-K48^(K47+1))/(1-K48)</f>
        <v>2.533</v>
      </c>
      <c r="L49" s="77" t="n">
        <f aca="false">(1-L48^(L47+1))/(1-L48)</f>
        <v>2.533</v>
      </c>
      <c r="M49" s="77" t="n">
        <f aca="false">(1-M48^(M47+1))/(1-M48)</f>
        <v>2.533</v>
      </c>
      <c r="N49" s="77" t="n">
        <f aca="false">(1-N48^(N47+1))/(1-N48)</f>
        <v>2.533</v>
      </c>
      <c r="O49" s="77" t="n">
        <f aca="false">(1-O48^(O47+1))/(1-O48)</f>
        <v>2.533</v>
      </c>
      <c r="P49" s="77" t="n">
        <f aca="false">(1-P48^(P47+1))/(1-P48)</f>
        <v>2.533</v>
      </c>
      <c r="Q49" s="77" t="n">
        <f aca="false">(1-Q48^(Q47+1))/(1-Q48)</f>
        <v>2.533</v>
      </c>
    </row>
    <row r="50" customFormat="false" ht="15" hidden="false" customHeight="false" outlineLevel="0" collapsed="false">
      <c r="A50" s="61" t="s">
        <v>383</v>
      </c>
      <c r="B50" s="62" t="s">
        <v>118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</row>
    <row r="51" customFormat="false" ht="15" hidden="false" customHeight="false" outlineLevel="0" collapsed="false">
      <c r="A51" s="62" t="s">
        <v>886</v>
      </c>
      <c r="B51" s="62" t="s">
        <v>113</v>
      </c>
      <c r="C51" s="112" t="n">
        <f aca="false">INDEX(Calib!$C$72:$G$72,C$6)*C50</f>
        <v>0.149924204143507</v>
      </c>
      <c r="D51" s="112" t="n">
        <f aca="false">INDEX(Calib!$C$72:$G$72,D$6)*D50</f>
        <v>0.149924204143507</v>
      </c>
      <c r="E51" s="112" t="n">
        <f aca="false">INDEX(Calib!$C$72:$G$72,E$6)*E50</f>
        <v>0.149924204143507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</row>
    <row r="52" customFormat="false" ht="15" hidden="false" customHeight="false" outlineLevel="0" collapsed="false">
      <c r="A52" s="62" t="s">
        <v>887</v>
      </c>
      <c r="B52" s="62" t="s">
        <v>118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</row>
    <row r="53" customFormat="false" ht="15" hidden="false" customHeight="false" outlineLevel="0" collapsed="false">
      <c r="A53" s="62" t="s">
        <v>888</v>
      </c>
      <c r="B53" s="62" t="s">
        <v>113</v>
      </c>
      <c r="C53" s="113" t="n">
        <f aca="false">INDEX(Calib!$C$70:$G$70,C$6)*C52*C50</f>
        <v>0.0429060401998604</v>
      </c>
      <c r="D53" s="113" t="n">
        <f aca="false">INDEX(Calib!$C$70:$G$70,D$6)*D52*D50</f>
        <v>0.0429060401998604</v>
      </c>
      <c r="E53" s="113" t="n">
        <f aca="false">INDEX(Calib!$C$70:$G$70,E$6)*E52*E50</f>
        <v>0.0429060401998604</v>
      </c>
      <c r="F53" s="113" t="n">
        <f aca="false">INDEX(Calib!$C$70:$G$70,F$6)*F52*F50</f>
        <v>0.0357550334998836</v>
      </c>
      <c r="G53" s="113" t="n">
        <f aca="false">INDEX(Calib!$C$70:$G$70,G$6)*G52*G50</f>
        <v>0.0357550334998836</v>
      </c>
      <c r="H53" s="113" t="n">
        <f aca="false">INDEX(Calib!$C$70:$G$70,H$6)*H52*H50</f>
        <v>0.0357550334998836</v>
      </c>
      <c r="I53" s="113" t="n">
        <f aca="false">INDEX(Calib!$C$70:$G$70,I$6)*I52*I50</f>
        <v>0.0357550334998836</v>
      </c>
      <c r="J53" s="113" t="n">
        <f aca="false">INDEX(Calib!$C$70:$G$70,J$6)*J52*J50</f>
        <v>0.0357550334998836</v>
      </c>
      <c r="K53" s="113" t="n">
        <f aca="false">INDEX(Calib!$C$70:$G$70,K$6)*K52*K50</f>
        <v>0.0357550334998836</v>
      </c>
      <c r="L53" s="113" t="n">
        <f aca="false">INDEX(Calib!$C$70:$G$70,L$6)*L52*L50</f>
        <v>0.0357550334998836</v>
      </c>
      <c r="M53" s="113" t="n">
        <f aca="false">INDEX(Calib!$C$70:$G$70,M$6)*M52*M50</f>
        <v>0.0357550334998836</v>
      </c>
      <c r="N53" s="113" t="n">
        <f aca="false">INDEX(Calib!$C$70:$G$70,N$6)*N52*N50</f>
        <v>0.0357550334998836</v>
      </c>
      <c r="O53" s="113" t="n">
        <f aca="false">INDEX(Calib!$C$70:$G$70,O$6)*O52*O50</f>
        <v>0.0357550334998836</v>
      </c>
      <c r="P53" s="113" t="n">
        <f aca="false">INDEX(Calib!$C$70:$G$70,P$6)*P52*P50</f>
        <v>0.0357550334998836</v>
      </c>
      <c r="Q53" s="113" t="n">
        <f aca="false">INDEX(Calib!$C$70:$G$70,Q$6)*Q52*Q50</f>
        <v>0.0357550334998836</v>
      </c>
    </row>
    <row r="54" customFormat="false" ht="15" hidden="false" customHeight="false" outlineLevel="0" collapsed="false">
      <c r="A54" s="61" t="s">
        <v>889</v>
      </c>
      <c r="B54" s="62" t="s">
        <v>118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</row>
    <row r="55" customFormat="false" ht="15" hidden="false" customHeight="false" outlineLevel="0" collapsed="false">
      <c r="A55" s="61" t="s">
        <v>890</v>
      </c>
      <c r="B55" s="62" t="s">
        <v>574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</row>
    <row r="56" customFormat="false" ht="15" hidden="false" customHeight="false" outlineLevel="0" collapsed="false">
      <c r="A56" s="62" t="s">
        <v>891</v>
      </c>
      <c r="B56" s="62" t="s">
        <v>113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</row>
    <row r="57" customFormat="false" ht="15" hidden="false" customHeight="false" outlineLevel="0" collapsed="false">
      <c r="A57" s="61" t="s">
        <v>892</v>
      </c>
      <c r="B57" s="62" t="s">
        <v>113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</row>
    <row r="58" customFormat="false" ht="15" hidden="false" customHeight="false" outlineLevel="0" collapsed="false">
      <c r="A58" s="61" t="s">
        <v>893</v>
      </c>
      <c r="B58" s="62" t="s">
        <v>113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</row>
    <row r="59" customFormat="false" ht="15" hidden="false" customHeight="false" outlineLevel="0" collapsed="false">
      <c r="A59" s="62" t="s">
        <v>894</v>
      </c>
      <c r="B59" s="62" t="s">
        <v>287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</row>
    <row r="60" customFormat="false" ht="15" hidden="false" customHeight="false" outlineLevel="0" collapsed="false">
      <c r="A60" s="62" t="s">
        <v>895</v>
      </c>
      <c r="B60" s="62" t="s">
        <v>113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</row>
    <row r="61" customFormat="false" ht="15" hidden="false" customHeight="false" outlineLevel="0" collapsed="false">
      <c r="A61" s="62" t="s">
        <v>896</v>
      </c>
      <c r="B61" s="62" t="s">
        <v>113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</row>
    <row r="62" customFormat="false" ht="15" hidden="false" customHeight="false" outlineLevel="0" collapsed="false">
      <c r="A62" s="61" t="s">
        <v>897</v>
      </c>
      <c r="B62" s="62" t="s">
        <v>506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</row>
    <row r="63" customFormat="false" ht="15" hidden="false" customHeight="false" outlineLevel="0" collapsed="false">
      <c r="A63" s="76" t="s">
        <v>898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15" hidden="false" customHeight="false" outlineLevel="0" collapsed="false">
      <c r="A64" s="62" t="s">
        <v>899</v>
      </c>
      <c r="B64" s="62" t="s">
        <v>308</v>
      </c>
      <c r="C64" s="68" t="n">
        <f aca="false">C36*IF(C37=0,C45,MIN(C45,C37))+(1-C36)*(C45/C38+C39)</f>
        <v>2258.336</v>
      </c>
      <c r="D64" s="68" t="n">
        <f aca="false">D36*IF(D37=0,D45,MIN(D45,D37))+(1-D36)*(D45/D38+D39)</f>
        <v>2212.32</v>
      </c>
      <c r="E64" s="68" t="n">
        <f aca="false">E36*IF(E37=0,E45,MIN(E45,E37))+(1-E36)*(E45/E38+E39)</f>
        <v>34816</v>
      </c>
      <c r="F64" s="68" t="n">
        <f aca="false">F36*IF(F37=0,F45,MIN(F45,F37))+(1-F36)*(F45/F38+F39)</f>
        <v>2258.336</v>
      </c>
      <c r="G64" s="68" t="n">
        <f aca="false">G36*IF(G37=0,G45,MIN(G45,G37))+(1-G36)*(G45/G38+G39)</f>
        <v>2212.32</v>
      </c>
      <c r="H64" s="68" t="n">
        <f aca="false">H36*IF(H37=0,H45,MIN(H45,H37))+(1-H36)*(H45/H38+H39)</f>
        <v>34816</v>
      </c>
      <c r="I64" s="68" t="n">
        <f aca="false">I36*IF(I37=0,I45,MIN(I45,I37))+(1-I36)*(I45/I38+I39)</f>
        <v>2258.336</v>
      </c>
      <c r="J64" s="68" t="n">
        <f aca="false">J36*IF(J37=0,J45,MIN(J45,J37))+(1-J36)*(J45/J38+J39)</f>
        <v>2212.32</v>
      </c>
      <c r="K64" s="68" t="n">
        <f aca="false">K36*IF(K37=0,K45,MIN(K45,K37))+(1-K36)*(K45/K38+K39)</f>
        <v>34816</v>
      </c>
      <c r="L64" s="68" t="n">
        <f aca="false">L36*IF(L37=0,L45,MIN(L45,L37))+(1-L36)*(L45/L38+L39)</f>
        <v>2258.336</v>
      </c>
      <c r="M64" s="68" t="n">
        <f aca="false">M36*IF(M37=0,M45,MIN(M45,M37))+(1-M36)*(M45/M38+M39)</f>
        <v>2212.32</v>
      </c>
      <c r="N64" s="68" t="n">
        <f aca="false">N36*IF(N37=0,N45,MIN(N45,N37))+(1-N36)*(N45/N38+N39)</f>
        <v>34816</v>
      </c>
      <c r="O64" s="68" t="n">
        <f aca="false">O36*IF(O37=0,O45,MIN(O45,O37))+(1-O36)*(O45/O38+O39)</f>
        <v>2258.336</v>
      </c>
      <c r="P64" s="68" t="n">
        <f aca="false">P36*IF(P37=0,P45,MIN(P45,P37))+(1-P36)*(P45/P38+P39)</f>
        <v>2212.32</v>
      </c>
      <c r="Q64" s="68" t="n">
        <f aca="false">Q36*IF(Q37=0,Q45,MIN(Q45,Q37))+(1-Q36)*(Q45/Q38+Q39)</f>
        <v>34816</v>
      </c>
    </row>
    <row r="65" customFormat="false" ht="15" hidden="false" customHeight="false" outlineLevel="0" collapsed="false">
      <c r="A65" s="62" t="s">
        <v>538</v>
      </c>
      <c r="B65" s="62" t="s">
        <v>539</v>
      </c>
      <c r="C65" s="75" t="n">
        <f aca="false">(2*C28*1000000000+C35*C64)*C10/1000000000</f>
        <v>38.728198496256</v>
      </c>
      <c r="D65" s="75" t="n">
        <f aca="false">(2*D28*1000000000+D35*D64)*D10/1000000000</f>
        <v>133.37673125888</v>
      </c>
      <c r="E65" s="75" t="n">
        <f aca="false">(2*E28*1000000000+E35*E64)*E10/1000000000</f>
        <v>531.1276032</v>
      </c>
      <c r="F65" s="75" t="n">
        <f aca="false">(2*F28*1000000000+F35*F64)*F10/1000000000</f>
        <v>38.728198496256</v>
      </c>
      <c r="G65" s="75" t="n">
        <f aca="false">(2*G28*1000000000+G35*G64)*G10/1000000000</f>
        <v>133.37673125888</v>
      </c>
      <c r="H65" s="75" t="n">
        <f aca="false">(2*H28*1000000000+H35*H64)*H10/1000000000</f>
        <v>531.1276032</v>
      </c>
      <c r="I65" s="75" t="n">
        <f aca="false">(2*I28*1000000000+I35*I64)*I10/1000000000</f>
        <v>38.728198496256</v>
      </c>
      <c r="J65" s="75" t="n">
        <f aca="false">(2*J28*1000000000+J35*J64)*J10/1000000000</f>
        <v>133.37673125888</v>
      </c>
      <c r="K65" s="75" t="n">
        <f aca="false">(2*K28*1000000000+K35*K64)*K10/1000000000</f>
        <v>531.1276032</v>
      </c>
      <c r="L65" s="75" t="n">
        <f aca="false">(2*L28*1000000000+L35*L64)*L10/1000000000</f>
        <v>38.728198496256</v>
      </c>
      <c r="M65" s="75" t="n">
        <f aca="false">(2*M28*1000000000+M35*M64)*M10/1000000000</f>
        <v>133.37673125888</v>
      </c>
      <c r="N65" s="75" t="n">
        <f aca="false">(2*N28*1000000000+N35*N64)*N10/1000000000</f>
        <v>531.1276032</v>
      </c>
      <c r="O65" s="75" t="n">
        <f aca="false">(2*O28*1000000000+O35*O64)*O10/1000000000</f>
        <v>38.728198496256</v>
      </c>
      <c r="P65" s="75" t="n">
        <f aca="false">(2*P28*1000000000+P35*P64)*P10/1000000000</f>
        <v>133.37673125888</v>
      </c>
      <c r="Q65" s="75" t="n">
        <f aca="false">(2*Q28*1000000000+Q35*Q64)*Q10/1000000000</f>
        <v>531.1276032</v>
      </c>
    </row>
    <row r="66" customFormat="false" ht="15" hidden="false" customHeight="false" outlineLevel="0" collapsed="false">
      <c r="A66" s="62" t="s">
        <v>900</v>
      </c>
      <c r="B66" s="62" t="s">
        <v>308</v>
      </c>
      <c r="C66" s="68" t="n">
        <f aca="false">C36*IF(C37=0,C46,MIN(C46,C37))+(1-C36)*(C46/C38+C39)</f>
        <v>2175.232</v>
      </c>
      <c r="D66" s="68" t="n">
        <f aca="false">D36*IF(D37=0,D46,MIN(D46,D37))+(1-D36)*(D46/D38+D39)</f>
        <v>2175.744</v>
      </c>
      <c r="E66" s="68" t="n">
        <f aca="false">E36*IF(E37=0,E46,MIN(E46,E37))+(1-E36)*(E46/E38+E39)</f>
        <v>16384</v>
      </c>
      <c r="F66" s="68" t="n">
        <f aca="false">F36*IF(F37=0,F46,MIN(F46,F37))+(1-F36)*(F46/F38+F39)</f>
        <v>2175.232</v>
      </c>
      <c r="G66" s="68" t="n">
        <f aca="false">G36*IF(G37=0,G46,MIN(G46,G37))+(1-G36)*(G46/G38+G39)</f>
        <v>2175.744</v>
      </c>
      <c r="H66" s="68" t="n">
        <f aca="false">H36*IF(H37=0,H46,MIN(H46,H37))+(1-H36)*(H46/H38+H39)</f>
        <v>16384</v>
      </c>
      <c r="I66" s="68" t="n">
        <f aca="false">I36*IF(I37=0,I46,MIN(I46,I37))+(1-I36)*(I46/I38+I39)</f>
        <v>2175.232</v>
      </c>
      <c r="J66" s="68" t="n">
        <f aca="false">J36*IF(J37=0,J46,MIN(J46,J37))+(1-J36)*(J46/J38+J39)</f>
        <v>2175.744</v>
      </c>
      <c r="K66" s="68" t="n">
        <f aca="false">K36*IF(K37=0,K46,MIN(K46,K37))+(1-K36)*(K46/K38+K39)</f>
        <v>16384</v>
      </c>
      <c r="L66" s="68" t="n">
        <f aca="false">L36*IF(L37=0,L46,MIN(L46,L37))+(1-L36)*(L46/L38+L39)</f>
        <v>2175.232</v>
      </c>
      <c r="M66" s="68" t="n">
        <f aca="false">M36*IF(M37=0,M46,MIN(M46,M37))+(1-M36)*(M46/M38+M39)</f>
        <v>2175.744</v>
      </c>
      <c r="N66" s="68" t="n">
        <f aca="false">N36*IF(N37=0,N46,MIN(N46,N37))+(1-N36)*(N46/N38+N39)</f>
        <v>16384</v>
      </c>
      <c r="O66" s="68" t="n">
        <f aca="false">O36*IF(O37=0,O46,MIN(O46,O37))+(1-O36)*(O46/O38+O39)</f>
        <v>2175.232</v>
      </c>
      <c r="P66" s="68" t="n">
        <f aca="false">P36*IF(P37=0,P46,MIN(P46,P37))+(1-P36)*(P46/P38+P39)</f>
        <v>2175.744</v>
      </c>
      <c r="Q66" s="68" t="n">
        <f aca="false">Q36*IF(Q37=0,Q46,MIN(Q46,Q37))+(1-Q36)*(Q46/Q38+Q39)</f>
        <v>16384</v>
      </c>
    </row>
    <row r="67" customFormat="false" ht="15" hidden="false" customHeight="false" outlineLevel="0" collapsed="false">
      <c r="A67" s="62" t="s">
        <v>544</v>
      </c>
      <c r="B67" s="62" t="s">
        <v>539</v>
      </c>
      <c r="C67" s="75" t="n">
        <f aca="false">(2*C28*1000000000+C35*C66)*C10/1000000000</f>
        <v>38.259816374272</v>
      </c>
      <c r="D67" s="75" t="n">
        <f aca="false">(2*D28*1000000000+D35*D66)*D10/1000000000</f>
        <v>132.791852343296</v>
      </c>
      <c r="E67" s="75" t="n">
        <f aca="false">(2*E28*1000000000+E35*E66)*E10/1000000000</f>
        <v>440.5306368</v>
      </c>
      <c r="F67" s="75" t="n">
        <f aca="false">(2*F28*1000000000+F35*F66)*F10/1000000000</f>
        <v>38.259816374272</v>
      </c>
      <c r="G67" s="75" t="n">
        <f aca="false">(2*G28*1000000000+G35*G66)*G10/1000000000</f>
        <v>132.791852343296</v>
      </c>
      <c r="H67" s="75" t="n">
        <f aca="false">(2*H28*1000000000+H35*H66)*H10/1000000000</f>
        <v>440.5306368</v>
      </c>
      <c r="I67" s="75" t="n">
        <f aca="false">(2*I28*1000000000+I35*I66)*I10/1000000000</f>
        <v>38.259816374272</v>
      </c>
      <c r="J67" s="75" t="n">
        <f aca="false">(2*J28*1000000000+J35*J66)*J10/1000000000</f>
        <v>132.791852343296</v>
      </c>
      <c r="K67" s="75" t="n">
        <f aca="false">(2*K28*1000000000+K35*K66)*K10/1000000000</f>
        <v>440.5306368</v>
      </c>
      <c r="L67" s="75" t="n">
        <f aca="false">(2*L28*1000000000+L35*L66)*L10/1000000000</f>
        <v>38.259816374272</v>
      </c>
      <c r="M67" s="75" t="n">
        <f aca="false">(2*M28*1000000000+M35*M66)*M10/1000000000</f>
        <v>132.791852343296</v>
      </c>
      <c r="N67" s="75" t="n">
        <f aca="false">(2*N28*1000000000+N35*N66)*N10/1000000000</f>
        <v>440.5306368</v>
      </c>
      <c r="O67" s="75" t="n">
        <f aca="false">(2*O28*1000000000+O35*O66)*O10/1000000000</f>
        <v>38.259816374272</v>
      </c>
      <c r="P67" s="75" t="n">
        <f aca="false">(2*P28*1000000000+P35*P66)*P10/1000000000</f>
        <v>132.791852343296</v>
      </c>
      <c r="Q67" s="75" t="n">
        <f aca="false">(2*Q28*1000000000+Q35*Q66)*Q10/1000000000</f>
        <v>440.5306368</v>
      </c>
    </row>
    <row r="68" customFormat="false" ht="15" hidden="false" customHeight="false" outlineLevel="0" collapsed="false">
      <c r="A68" s="76" t="s">
        <v>901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</row>
    <row r="69" customFormat="false" ht="15" hidden="false" customHeight="false" outlineLevel="0" collapsed="false">
      <c r="A69" s="61" t="s">
        <v>546</v>
      </c>
      <c r="B69" s="62" t="s">
        <v>332</v>
      </c>
      <c r="C69" s="68" t="n">
        <f aca="false">C15*(1-C56)</f>
        <v>72</v>
      </c>
      <c r="D69" s="68" t="n">
        <f aca="false">D15*(1-D56)</f>
        <v>72</v>
      </c>
      <c r="E69" s="68" t="n">
        <f aca="false">E15*(1-E56)</f>
        <v>72</v>
      </c>
      <c r="F69" s="68" t="n">
        <f aca="false">F15*(1-F56)</f>
        <v>167.4</v>
      </c>
      <c r="G69" s="68" t="n">
        <f aca="false">G15*(1-G56)</f>
        <v>167.4</v>
      </c>
      <c r="H69" s="68" t="n">
        <f aca="false">H15*(1-H56)</f>
        <v>167.4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921.6</v>
      </c>
      <c r="P69" s="68" t="n">
        <f aca="false">P15*(1-P56)</f>
        <v>921.6</v>
      </c>
      <c r="Q69" s="68" t="n">
        <f aca="false">Q15*(1-Q56)</f>
        <v>921.6</v>
      </c>
    </row>
    <row r="70" customFormat="false" ht="15" hidden="false" customHeight="false" outlineLevel="0" collapsed="false">
      <c r="A70" s="61" t="s">
        <v>902</v>
      </c>
      <c r="B70" s="61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</row>
    <row r="71" customFormat="false" ht="15" hidden="false" customHeight="false" outlineLevel="0" collapsed="false">
      <c r="A71" s="62" t="s">
        <v>903</v>
      </c>
      <c r="B71" s="62" t="s">
        <v>697</v>
      </c>
      <c r="C71" s="68" t="n">
        <f aca="false">MAX(C18,CEILING(C33*C19/(C58*C69),1))</f>
        <v>64</v>
      </c>
      <c r="D71" s="68" t="n">
        <f aca="false">MAX(D18,CEILING(D33*D19/(D58*D69),1))</f>
        <v>64</v>
      </c>
      <c r="E71" s="68" t="n">
        <f aca="false">MAX(E18,CEILING(E33*E19/(E58*E69),1))</f>
        <v>138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34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64</v>
      </c>
      <c r="P71" s="68" t="n">
        <f aca="false">MAX(P18,CEILING(P33*P19/(P58*P69),1))</f>
        <v>64</v>
      </c>
      <c r="Q71" s="68" t="n">
        <f aca="false">MAX(Q18,CEILING(Q33*Q19/(Q58*Q69),1))</f>
        <v>64</v>
      </c>
    </row>
    <row r="72" customFormat="false" ht="15" hidden="false" customHeight="false" outlineLevel="0" collapsed="false">
      <c r="A72" s="61" t="s">
        <v>552</v>
      </c>
      <c r="B72" s="62" t="s">
        <v>332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</row>
    <row r="73" customFormat="false" ht="15" hidden="false" customHeight="false" outlineLevel="0" collapsed="false">
      <c r="A73" s="61" t="s">
        <v>904</v>
      </c>
      <c r="B73" s="62" t="s">
        <v>113</v>
      </c>
      <c r="C73" s="85" t="n">
        <f aca="false">C72/C69</f>
        <v>0.135624131944444</v>
      </c>
      <c r="D73" s="85" t="n">
        <f aca="false">D72/D69</f>
        <v>0.48363956404321</v>
      </c>
      <c r="E73" s="85" t="n">
        <f aca="false">E72/E69</f>
        <v>0.568028527738819</v>
      </c>
      <c r="F73" s="85" t="n">
        <f aca="false">F72/F69</f>
        <v>0.0615833613351255</v>
      </c>
      <c r="G73" s="85" t="n">
        <f aca="false">G72/G69</f>
        <v>0.287015128227466</v>
      </c>
      <c r="H73" s="85" t="n">
        <f aca="false">H72/H69</f>
        <v>0.537042403604406</v>
      </c>
      <c r="I73" s="85" t="n">
        <f aca="false">I72/I69</f>
        <v>0.0397725875289352</v>
      </c>
      <c r="J73" s="85" t="n">
        <f aca="false">J72/J69</f>
        <v>0.185363936980238</v>
      </c>
      <c r="K73" s="85" t="n">
        <f aca="false">K72/K69</f>
        <v>0.45726264154517</v>
      </c>
      <c r="L73" s="85" t="n">
        <f aca="false">L72/L69</f>
        <v>0.0397725875289352</v>
      </c>
      <c r="M73" s="85" t="n">
        <f aca="false">M72/M69</f>
        <v>0.185363936980238</v>
      </c>
      <c r="N73" s="85" t="n">
        <f aca="false">N72/N69</f>
        <v>0.45726264154517</v>
      </c>
      <c r="O73" s="85" t="n">
        <f aca="false">O72/O69</f>
        <v>0.00852921803792318</v>
      </c>
      <c r="P73" s="85" t="n">
        <f aca="false">P72/P69</f>
        <v>0.0370682021717966</v>
      </c>
      <c r="Q73" s="85" t="n">
        <f aca="false">Q72/Q69</f>
        <v>0.0909261378763397</v>
      </c>
    </row>
    <row r="74" customFormat="false" ht="15" hidden="false" customHeight="false" outlineLevel="0" collapsed="false">
      <c r="A74" s="76" t="s">
        <v>905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</row>
    <row r="75" customFormat="false" ht="15" hidden="false" customHeight="false" outlineLevel="0" collapsed="false">
      <c r="A75" s="62" t="s">
        <v>906</v>
      </c>
      <c r="B75" s="62" t="s">
        <v>389</v>
      </c>
      <c r="C75" s="68" t="n">
        <f aca="false">C51*C14*1000000000000000/(C67*1000000000)</f>
        <v>7754.87255604074</v>
      </c>
      <c r="D75" s="68" t="n">
        <f aca="false">D51*D14*1000000000000000/(D67*1000000000)</f>
        <v>2234.32382909281</v>
      </c>
      <c r="E75" s="68" t="n">
        <f aca="false">E51*E14*1000000000000000/(E67*1000000000)</f>
        <v>673.50593855451</v>
      </c>
      <c r="F75" s="68" t="n">
        <f aca="false">F51*F14*1000000000000000/(F67*1000000000)</f>
        <v>78411.2493027375</v>
      </c>
      <c r="G75" s="68" t="n">
        <f aca="false">G51*G14*1000000000000000/(G67*1000000000)</f>
        <v>22591.7475135774</v>
      </c>
      <c r="H75" s="68" t="n">
        <f aca="false">H51*H14*1000000000000000/(H67*1000000000)</f>
        <v>6809.96904504055</v>
      </c>
      <c r="I75" s="68" t="n">
        <f aca="false">I51*I14*1000000000000000/(I67*1000000000)</f>
        <v>117616.873954106</v>
      </c>
      <c r="J75" s="68" t="n">
        <f aca="false">J51*J14*1000000000000000/(J67*1000000000)</f>
        <v>33887.6212703662</v>
      </c>
      <c r="K75" s="68" t="n">
        <f aca="false">K51*K14*1000000000000000/(K67*1000000000)</f>
        <v>10214.9535675608</v>
      </c>
      <c r="L75" s="68" t="n">
        <f aca="false">L51*L14*1000000000000000/(L67*1000000000)</f>
        <v>274439.372559581</v>
      </c>
      <c r="M75" s="68" t="n">
        <f aca="false">M51*M14*1000000000000000/(M67*1000000000)</f>
        <v>79071.116297521</v>
      </c>
      <c r="N75" s="68" t="n">
        <f aca="false">N51*N14*1000000000000000/(N67*1000000000)</f>
        <v>23834.8916576419</v>
      </c>
      <c r="O75" s="68" t="n">
        <f aca="false">O51*O14*1000000000000000/(O67*1000000000)</f>
        <v>548878.745119163</v>
      </c>
      <c r="P75" s="68" t="n">
        <f aca="false">P51*P14*1000000000000000/(P67*1000000000)</f>
        <v>158142.232595042</v>
      </c>
      <c r="Q75" s="68" t="n">
        <f aca="false">Q51*Q14*1000000000000000/(Q67*1000000000)</f>
        <v>47669.7833152838</v>
      </c>
    </row>
    <row r="76" customFormat="false" ht="15" hidden="false" customHeight="false" outlineLevel="0" collapsed="false">
      <c r="A76" s="62" t="s">
        <v>907</v>
      </c>
      <c r="B76" s="62" t="s">
        <v>392</v>
      </c>
      <c r="C76" s="77" t="n">
        <f aca="false">(C43*(1-B4_CacheHit))*C67*1000000000/(C51*C14*1000000000000000*C21)</f>
        <v>0.0594207057137329</v>
      </c>
      <c r="D76" s="77" t="n">
        <f aca="false">(D43*(1-B4_CacheHit))*D67*1000000000/(D51*D14*1000000000000000*D21)</f>
        <v>0.412473782000612</v>
      </c>
      <c r="E76" s="77" t="n">
        <f aca="false">(E43*(1-B4_CacheHit))*E67*1000000000/(E51*E14*1000000000000000*E21)</f>
        <v>2.73672419868473</v>
      </c>
      <c r="F76" s="77" t="n">
        <f aca="false">(F43*(1-B4_CacheHit))*F67*1000000000/(F51*F14*1000000000000000*F21)</f>
        <v>0.0117534155901764</v>
      </c>
      <c r="G76" s="77" t="n">
        <f aca="false">(G43*(1-B4_CacheHit))*G67*1000000000/(G51*G14*1000000000000000*G21)</f>
        <v>0.0815873140797211</v>
      </c>
      <c r="H76" s="77" t="n">
        <f aca="false">(H43*(1-B4_CacheHit))*H67*1000000000/(H51*H14*1000000000000000*H21)</f>
        <v>0.54132404649984</v>
      </c>
      <c r="I76" s="77" t="n">
        <f aca="false">(I43*(1-B4_CacheHit))*I67*1000000000/(I51*I14*1000000000000000*I21)</f>
        <v>0.00783561039345091</v>
      </c>
      <c r="J76" s="77" t="n">
        <f aca="false">(J43*(1-B4_CacheHit))*J67*1000000000/(J51*J14*1000000000000000*J21)</f>
        <v>0.054391542719814</v>
      </c>
      <c r="K76" s="77" t="n">
        <f aca="false">(K43*(1-B4_CacheHit))*K67*1000000000/(K51*K14*1000000000000000*K21)</f>
        <v>0.36088269766656</v>
      </c>
      <c r="L76" s="77" t="n">
        <f aca="false">(L43*(1-B4_CacheHit))*L67*1000000000/(L51*L14*1000000000000000*L21)</f>
        <v>0.00335811874005039</v>
      </c>
      <c r="M76" s="77" t="n">
        <f aca="false">(M43*(1-B4_CacheHit))*M67*1000000000/(M51*M14*1000000000000000*M21)</f>
        <v>0.0233106611656346</v>
      </c>
      <c r="N76" s="77" t="n">
        <f aca="false">(N43*(1-B4_CacheHit))*N67*1000000000/(N51*N14*1000000000000000*N21)</f>
        <v>0.154664013285669</v>
      </c>
      <c r="O76" s="77" t="n">
        <f aca="false">(O43*(1-B4_CacheHit))*O67*1000000000/(O51*O14*1000000000000000*O21)</f>
        <v>0.000839529685012597</v>
      </c>
      <c r="P76" s="77" t="n">
        <f aca="false">(P43*(1-B4_CacheHit))*P67*1000000000/(P51*P14*1000000000000000*P21)</f>
        <v>0.00582766529140865</v>
      </c>
      <c r="Q76" s="77" t="n">
        <f aca="false">(Q43*(1-B4_CacheHit))*Q67*1000000000/(Q51*Q14*1000000000000000*Q21)</f>
        <v>0.0386660033214171</v>
      </c>
    </row>
    <row r="77" customFormat="false" ht="15" hidden="false" customHeight="false" outlineLevel="0" collapsed="false">
      <c r="A77" s="62" t="s">
        <v>908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</row>
    <row r="78" customFormat="false" ht="15" hidden="false" customHeight="false" outlineLevel="0" collapsed="false">
      <c r="A78" s="76" t="s">
        <v>909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</row>
    <row r="79" customFormat="false" ht="15" hidden="false" customHeight="false" outlineLevel="0" collapsed="false">
      <c r="A79" s="61" t="s">
        <v>910</v>
      </c>
      <c r="B79" s="62" t="s">
        <v>561</v>
      </c>
      <c r="C79" s="72" t="n">
        <f aca="false">C72/C16+(C29+C47)*C55/1000</f>
        <v>14.0366950476431</v>
      </c>
      <c r="D79" s="72" t="n">
        <f aca="false">D72/D16+(D29+D47)*D55/1000</f>
        <v>25.8684338372861</v>
      </c>
      <c r="E79" s="72" t="n">
        <f aca="false">E72/E16+(E29+E47)*E55/1000</f>
        <v>37.1115090691772</v>
      </c>
      <c r="F79" s="72" t="n">
        <f aca="false">F72/F16+(F29+F47)*F55/1000</f>
        <v>8.70315739008759</v>
      </c>
      <c r="G79" s="72" t="n">
        <f aca="false">G72/G16+(G29+G47)*G55/1000</f>
        <v>16.3216531987164</v>
      </c>
      <c r="H79" s="72" t="n">
        <f aca="false">H72/H16+(H29+H47)*H55/1000</f>
        <v>27.8397021231931</v>
      </c>
      <c r="I79" s="72" t="n">
        <f aca="false">I72/I16+(I29+I47)*I55/1000</f>
        <v>8.70315739008759</v>
      </c>
      <c r="J79" s="72" t="n">
        <f aca="false">J72/J16+(J29+J47)*J55/1000</f>
        <v>16.3216531987164</v>
      </c>
      <c r="K79" s="72" t="n">
        <f aca="false">K72/K16+(K29+K47)*K55/1000</f>
        <v>31.4173994138344</v>
      </c>
      <c r="L79" s="72" t="n">
        <f aca="false">L72/L16+(L29+L47)*L55/1000</f>
        <v>7.88311894903646</v>
      </c>
      <c r="M79" s="72" t="n">
        <f aca="false">M72/M16+(M29+M47)*M55/1000</f>
        <v>12.4997858435238</v>
      </c>
      <c r="N79" s="72" t="n">
        <f aca="false">N72/N16+(N29+N47)*N55/1000</f>
        <v>21.989475131794</v>
      </c>
      <c r="O79" s="72" t="n">
        <f aca="false">O72/O16+(O29+O47)*O55/1000</f>
        <v>7.66016703364228</v>
      </c>
      <c r="P79" s="72" t="n">
        <f aca="false">P72/P16+(P29+P47)*P55/1000</f>
        <v>11.3834258631044</v>
      </c>
      <c r="Q79" s="72" t="n">
        <f aca="false">Q72/Q16+(Q29+Q47)*Q55/1000</f>
        <v>19.2207625986094</v>
      </c>
    </row>
    <row r="80" customFormat="false" ht="15" hidden="false" customHeight="false" outlineLevel="0" collapsed="false">
      <c r="A80" s="61" t="s">
        <v>911</v>
      </c>
      <c r="B80" s="62" t="s">
        <v>561</v>
      </c>
      <c r="C80" s="73" t="n">
        <f aca="false">(C47+1)*C65/(C14*C53)/1000</f>
        <v>1.82441257643477</v>
      </c>
      <c r="D80" s="73" t="n">
        <f aca="false">(D47+1)*D65/(D14*D53)/1000</f>
        <v>6.28312690392727</v>
      </c>
      <c r="E80" s="73" t="n">
        <f aca="false">(E47+1)*E65/(E14*E53)/1000</f>
        <v>25.0204222399711</v>
      </c>
      <c r="F80" s="73" t="n">
        <f aca="false">(F47+1)*F65/(F14*F53)/1000</f>
        <v>0.43326149865173</v>
      </c>
      <c r="G80" s="73" t="n">
        <f aca="false">(G47+1)*G65/(G14*G53)/1000</f>
        <v>1.49211697714465</v>
      </c>
      <c r="H80" s="73" t="n">
        <f aca="false">(H47+1)*H65/(H14*H53)/1000</f>
        <v>5.94184987354833</v>
      </c>
      <c r="I80" s="73" t="n">
        <f aca="false">(I47+1)*I65/(I14*I53)/1000</f>
        <v>0.288840999101154</v>
      </c>
      <c r="J80" s="73" t="n">
        <f aca="false">(J47+1)*J65/(J14*J53)/1000</f>
        <v>0.994744651429766</v>
      </c>
      <c r="K80" s="73" t="n">
        <f aca="false">(K47+1)*K65/(K14*K53)/1000</f>
        <v>3.96123324903222</v>
      </c>
      <c r="L80" s="73" t="n">
        <f aca="false">(L47+1)*L65/(L14*L53)/1000</f>
        <v>0.12378899961478</v>
      </c>
      <c r="M80" s="73" t="n">
        <f aca="false">(M47+1)*M65/(M14*M53)/1000</f>
        <v>0.426319136327043</v>
      </c>
      <c r="N80" s="73" t="n">
        <f aca="false">(N47+1)*N65/(N14*N53)/1000</f>
        <v>1.69767139244238</v>
      </c>
      <c r="O80" s="73" t="n">
        <f aca="false">(O47+1)*O65/(O14*O53)/1000</f>
        <v>0.06189449980739</v>
      </c>
      <c r="P80" s="73" t="n">
        <f aca="false">(P47+1)*P65/(P14*P53)/1000</f>
        <v>0.213159568163521</v>
      </c>
      <c r="Q80" s="73" t="n">
        <f aca="false">(Q47+1)*Q65/(Q14*Q53)/1000</f>
        <v>0.848835696221191</v>
      </c>
    </row>
    <row r="81" customFormat="false" ht="15" hidden="false" customHeight="false" outlineLevel="0" collapsed="false">
      <c r="A81" s="61" t="s">
        <v>912</v>
      </c>
      <c r="B81" s="62" t="s">
        <v>561</v>
      </c>
      <c r="C81" s="73" t="n">
        <f aca="false">C34*C45/(C16*C60)/1000000000</f>
        <v>0.0103742771855011</v>
      </c>
      <c r="D81" s="73" t="n">
        <f aca="false">D34*D45/(D16*D60)/1000000000</f>
        <v>0.0294339957356077</v>
      </c>
      <c r="E81" s="73" t="n">
        <f aca="false">E34*E45/(E16*E60)/1000000000</f>
        <v>0.855181918976546</v>
      </c>
      <c r="F81" s="73" t="n">
        <f aca="false">F34*F45/(F16*F60)/1000000000</f>
        <v>0.00434422857142857</v>
      </c>
      <c r="G81" s="73" t="n">
        <f aca="false">G34*G45/(G16*G60)/1000000000</f>
        <v>0.0123254857142857</v>
      </c>
      <c r="H81" s="73" t="n">
        <f aca="false">H34*H45/(H16*H60)/1000000000</f>
        <v>0.358107428571429</v>
      </c>
      <c r="I81" s="73" t="n">
        <f aca="false">I34*I45/(I16*I60)/1000000000</f>
        <v>0.00434422857142857</v>
      </c>
      <c r="J81" s="73" t="n">
        <f aca="false">J34*J45/(J16*J60)/1000000000</f>
        <v>0.0123254857142857</v>
      </c>
      <c r="K81" s="73" t="n">
        <f aca="false">K34*K45/(K16*K60)/1000000000</f>
        <v>0.358107428571429</v>
      </c>
      <c r="L81" s="73" t="n">
        <f aca="false">L34*L45/(L16*L60)/1000000000</f>
        <v>0.00157971948051948</v>
      </c>
      <c r="M81" s="73" t="n">
        <f aca="false">M34*M45/(M16*M60)/1000000000</f>
        <v>0.00448199480519481</v>
      </c>
      <c r="N81" s="73" t="n">
        <f aca="false">N34*N45/(N16*N60)/1000000000</f>
        <v>0.130220883116883</v>
      </c>
      <c r="O81" s="73" t="n">
        <f aca="false">O34*O45/(O16*O60)/1000000000</f>
        <v>0.00108605714285714</v>
      </c>
      <c r="P81" s="73" t="n">
        <f aca="false">P34*P45/(P16*P60)/1000000000</f>
        <v>0.00308137142857143</v>
      </c>
      <c r="Q81" s="73" t="n">
        <f aca="false">Q34*Q45/(Q16*Q60)/1000000000</f>
        <v>0.0895268571428571</v>
      </c>
    </row>
    <row r="82" customFormat="false" ht="15" hidden="false" customHeight="false" outlineLevel="0" collapsed="false">
      <c r="A82" s="61" t="s">
        <v>913</v>
      </c>
      <c r="B82" s="62" t="s">
        <v>561</v>
      </c>
      <c r="C82" s="73" t="n">
        <f aca="false">(C47+1)*C29*C31*C30*C59*(C71-1)/C71/(C17*C61)/1000000000</f>
        <v>0.3566592</v>
      </c>
      <c r="D82" s="73" t="n">
        <f aca="false">(D47+1)*D29*D31*D30*D59*(D71-1)/D71/(D17*D61)/1000000000</f>
        <v>0.8854272</v>
      </c>
      <c r="E82" s="73" t="n">
        <f aca="false">(E47+1)*E29*E31*E30*E59*(E71-1)/E71/(E17*E61)/1000000000</f>
        <v>6.69199900621118</v>
      </c>
      <c r="F82" s="73" t="n">
        <f aca="false">(F47+1)*F29*F31*F30*F59*(F71-1)/F71/(F17*F61)/1000000000</f>
        <v>0.0194998857142857</v>
      </c>
      <c r="G82" s="73" t="n">
        <f aca="false">(G47+1)*G29*G31*G30*G59*(G71-1)/G71/(G17*G61)/1000000000</f>
        <v>0.0484096</v>
      </c>
      <c r="H82" s="73" t="n">
        <f aca="false">(H47+1)*H29*H31*H30*H59*(H71-1)/H71/(H17*H61)/1000000000</f>
        <v>0.363476974789916</v>
      </c>
      <c r="I82" s="73" t="n">
        <f aca="false">(I47+1)*I29*I31*I30*I59*(I71-1)/I71/(I17*I61)/1000000000</f>
        <v>0.0194998857142857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0.362788571428571</v>
      </c>
      <c r="L82" s="73" t="n">
        <f aca="false">(L47+1)*L29*L31*L30*L59*(L71-1)/L71/(L17*L61)/1000000000</f>
        <v>0.00974994285714286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0.181394285714286</v>
      </c>
      <c r="O82" s="73" t="n">
        <f aca="false">(O47+1)*O29*O31*O30*O59*(O71-1)/O71/(O17*O61)/1000000000</f>
        <v>0.0099072</v>
      </c>
      <c r="P82" s="73" t="n">
        <f aca="false">(P47+1)*P29*P31*P30*P59*(P71-1)/P71/(P17*P61)/1000000000</f>
        <v>0.0245952</v>
      </c>
      <c r="Q82" s="73" t="n">
        <f aca="false">(Q47+1)*Q29*Q31*Q30*Q59*(Q71-1)/Q71/(Q17*Q61)/1000000000</f>
        <v>0.18432</v>
      </c>
    </row>
    <row r="83" customFormat="false" ht="15" hidden="false" customHeight="false" outlineLevel="0" collapsed="false">
      <c r="A83" s="61" t="s">
        <v>914</v>
      </c>
      <c r="B83" s="62" t="s">
        <v>561</v>
      </c>
      <c r="C83" s="73" t="n">
        <f aca="false">MAX(C80,C81,C82)</f>
        <v>1.82441257643477</v>
      </c>
      <c r="D83" s="73" t="n">
        <f aca="false">MAX(D80,D81,D82)</f>
        <v>6.28312690392727</v>
      </c>
      <c r="E83" s="73" t="n">
        <f aca="false">MAX(E80,E81,E82)</f>
        <v>25.0204222399711</v>
      </c>
      <c r="F83" s="73" t="n">
        <f aca="false">MAX(F80,F81,F82)</f>
        <v>0.43326149865173</v>
      </c>
      <c r="G83" s="73" t="n">
        <f aca="false">MAX(G80,G81,G82)</f>
        <v>1.49211697714465</v>
      </c>
      <c r="H83" s="73" t="n">
        <f aca="false">MAX(H80,H81,H82)</f>
        <v>5.94184987354833</v>
      </c>
      <c r="I83" s="73" t="n">
        <f aca="false">MAX(I80,I81,I82)</f>
        <v>0.288840999101154</v>
      </c>
      <c r="J83" s="73" t="n">
        <f aca="false">MAX(J80,J81,J82)</f>
        <v>0.994744651429766</v>
      </c>
      <c r="K83" s="73" t="n">
        <f aca="false">MAX(K80,K81,K82)</f>
        <v>3.96123324903222</v>
      </c>
      <c r="L83" s="73" t="n">
        <f aca="false">MAX(L80,L81,L82)</f>
        <v>0.12378899961478</v>
      </c>
      <c r="M83" s="73" t="n">
        <f aca="false">MAX(M80,M81,M82)</f>
        <v>0.426319136327043</v>
      </c>
      <c r="N83" s="73" t="n">
        <f aca="false">MAX(N80,N81,N82)</f>
        <v>1.69767139244238</v>
      </c>
      <c r="O83" s="73" t="n">
        <f aca="false">MAX(O80,O81,O82)</f>
        <v>0.06189449980739</v>
      </c>
      <c r="P83" s="73" t="n">
        <f aca="false">MAX(P80,P81,P82)</f>
        <v>0.213159568163521</v>
      </c>
      <c r="Q83" s="73" t="n">
        <f aca="false">MAX(Q80,Q81,Q82)</f>
        <v>0.848835696221191</v>
      </c>
    </row>
    <row r="84" customFormat="false" ht="15" hidden="false" customHeight="false" outlineLevel="0" collapsed="false">
      <c r="A84" s="61" t="s">
        <v>915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</row>
    <row r="85" customFormat="false" ht="15" hidden="false" customHeight="false" outlineLevel="0" collapsed="false">
      <c r="A85" s="62" t="s">
        <v>916</v>
      </c>
      <c r="B85" s="61" t="s">
        <v>567</v>
      </c>
      <c r="C85" s="75" t="n">
        <f aca="false">(1000*C49/C41-C79)/C83</f>
        <v>8.77582932892952</v>
      </c>
      <c r="D85" s="75" t="n">
        <f aca="false">(1000*D49/D41-D79)/D83</f>
        <v>5.19083279341793</v>
      </c>
      <c r="E85" s="75" t="n">
        <f aca="false">(1000*E49/E41-E79)/E83</f>
        <v>0.996151902088559</v>
      </c>
      <c r="F85" s="75" t="n">
        <f aca="false">(1000*F49/F41-F79)/F83</f>
        <v>49.2641767623502</v>
      </c>
      <c r="G85" s="75" t="n">
        <f aca="false">(1000*G49/G41-G79)/G83</f>
        <v>28.2561236568483</v>
      </c>
      <c r="H85" s="75" t="n">
        <f aca="false">(1000*H49/H41-H79)/H83</f>
        <v>5.75510133697962</v>
      </c>
      <c r="I85" s="75" t="n">
        <f aca="false">(1000*I49/I41-I79)/I83</f>
        <v>73.8962651435254</v>
      </c>
      <c r="J85" s="75" t="n">
        <f aca="false">(1000*J49/J41-J79)/J83</f>
        <v>42.3841854852724</v>
      </c>
      <c r="K85" s="75" t="n">
        <f aca="false">(1000*K49/K41-K79)/K83</f>
        <v>7.72947436716313</v>
      </c>
      <c r="L85" s="75" t="n">
        <f aca="false">(1000*L49/L41-L79)/L83</f>
        <v>179.049104233203</v>
      </c>
      <c r="M85" s="75" t="n">
        <f aca="false">(1000*M49/M41-M79)/M83</f>
        <v>107.861236462534</v>
      </c>
      <c r="N85" s="75" t="n">
        <f aca="false">(1000*N49/N41-N79)/N83</f>
        <v>23.5888849403159</v>
      </c>
      <c r="O85" s="75" t="n">
        <f aca="false">(1000*O49/O41-O79)/O83</f>
        <v>361.700336540597</v>
      </c>
      <c r="P85" s="75" t="n">
        <f aca="false">(1000*P49/P41-P79)/P83</f>
        <v>220.959676162236</v>
      </c>
      <c r="Q85" s="75" t="n">
        <f aca="false">(1000*Q49/Q41-Q79)/Q83</f>
        <v>50.4395466243647</v>
      </c>
    </row>
    <row r="86" customFormat="false" ht="15" hidden="false" customHeight="false" outlineLevel="0" collapsed="false">
      <c r="A86" s="62" t="s">
        <v>917</v>
      </c>
      <c r="B86" s="61" t="s">
        <v>567</v>
      </c>
      <c r="C86" s="68" t="n">
        <f aca="false">(C69-C72)*1000000000/(C34*C45)</f>
        <v>2558.19965159029</v>
      </c>
      <c r="D86" s="68" t="n">
        <f aca="false">(D69-D72)*1000000000/(D34*D45)</f>
        <v>538.633530942984</v>
      </c>
      <c r="E86" s="68" t="n">
        <f aca="false">(E69-E72)*1000000000/(E34*E45)</f>
        <v>15.5090860617669</v>
      </c>
      <c r="F86" s="68" t="n">
        <f aca="false">(F69-F72)*1000000000/(F34*F45)</f>
        <v>6457.29248791911</v>
      </c>
      <c r="G86" s="68" t="n">
        <f aca="false">(G69-G72)*1000000000/(G34*G45)</f>
        <v>1729.19391665125</v>
      </c>
      <c r="H86" s="68" t="n">
        <f aca="false">(H69-H72)*1000000000/(H34*H45)</f>
        <v>38.6451779217801</v>
      </c>
      <c r="I86" s="68" t="n">
        <f aca="false">(I69-I72)*1000000000/(I34*I45)</f>
        <v>10230.7719154683</v>
      </c>
      <c r="J86" s="68" t="n">
        <f aca="false">(J69-J72)*1000000000/(J34*J45)</f>
        <v>3059.19076406613</v>
      </c>
      <c r="K86" s="68" t="n">
        <f aca="false">(K69-K72)*1000000000/(K34*K45)</f>
        <v>70.1493024197706</v>
      </c>
      <c r="L86" s="68" t="n">
        <f aca="false">(L69-L72)*1000000000/(L34*L45)</f>
        <v>10230.7719154683</v>
      </c>
      <c r="M86" s="68" t="n">
        <f aca="false">(M69-M72)*1000000000/(M34*M45)</f>
        <v>3059.19076406613</v>
      </c>
      <c r="N86" s="68" t="n">
        <f aca="false">(N69-N72)*1000000000/(N34*N45)</f>
        <v>70.1493024197706</v>
      </c>
      <c r="O86" s="68" t="n">
        <f aca="false">(O69-O72)*1000000000/(O34*O45)</f>
        <v>37559.6634227452</v>
      </c>
      <c r="P86" s="68" t="n">
        <f aca="false">(P69-P72)*1000000000/(P34*P45)</f>
        <v>12857.1859364347</v>
      </c>
      <c r="Q86" s="68" t="n">
        <f aca="false">(Q69-Q72)*1000000000/(Q34*Q45)</f>
        <v>417.772914578888</v>
      </c>
    </row>
    <row r="87" customFormat="false" ht="15" hidden="false" customHeight="false" outlineLevel="0" collapsed="false">
      <c r="A87" s="61" t="s">
        <v>918</v>
      </c>
      <c r="B87" s="61" t="s">
        <v>567</v>
      </c>
      <c r="C87" s="114" t="n">
        <f aca="false">MAX(0,MIN(C85,C86))</f>
        <v>8.77582932892952</v>
      </c>
      <c r="D87" s="114" t="n">
        <f aca="false">MAX(0,MIN(D85,D86))</f>
        <v>5.19083279341793</v>
      </c>
      <c r="E87" s="114" t="n">
        <f aca="false">MAX(0,MIN(E85,E86))</f>
        <v>0.996151902088559</v>
      </c>
      <c r="F87" s="114" t="n">
        <f aca="false">MAX(0,MIN(F85,F86))</f>
        <v>49.2641767623502</v>
      </c>
      <c r="G87" s="114" t="n">
        <f aca="false">MAX(0,MIN(G85,G86))</f>
        <v>28.2561236568483</v>
      </c>
      <c r="H87" s="114" t="n">
        <f aca="false">MAX(0,MIN(H85,H86))</f>
        <v>5.75510133697962</v>
      </c>
      <c r="I87" s="114" t="n">
        <f aca="false">MAX(0,MIN(I85,I86))</f>
        <v>73.8962651435254</v>
      </c>
      <c r="J87" s="114" t="n">
        <f aca="false">MAX(0,MIN(J85,J86))</f>
        <v>42.3841854852724</v>
      </c>
      <c r="K87" s="114" t="n">
        <f aca="false">MAX(0,MIN(K85,K86))</f>
        <v>7.72947436716313</v>
      </c>
      <c r="L87" s="114" t="n">
        <f aca="false">MAX(0,MIN(L85,L86))</f>
        <v>179.049104233203</v>
      </c>
      <c r="M87" s="114" t="n">
        <f aca="false">MAX(0,MIN(M85,M86))</f>
        <v>107.861236462534</v>
      </c>
      <c r="N87" s="114" t="n">
        <f aca="false">MAX(0,MIN(N85,N86))</f>
        <v>23.5888849403159</v>
      </c>
      <c r="O87" s="114" t="n">
        <f aca="false">MAX(0,MIN(O85,O86))</f>
        <v>361.700336540597</v>
      </c>
      <c r="P87" s="114" t="n">
        <f aca="false">MAX(0,MIN(P85,P86))</f>
        <v>220.959676162236</v>
      </c>
      <c r="Q87" s="114" t="n">
        <f aca="false">MAX(0,MIN(Q85,Q86))</f>
        <v>50.4395466243647</v>
      </c>
    </row>
    <row r="88" customFormat="false" ht="15" hidden="false" customHeight="false" outlineLevel="0" collapsed="false">
      <c r="A88" s="62" t="s">
        <v>919</v>
      </c>
      <c r="B88" s="62" t="s">
        <v>389</v>
      </c>
      <c r="C88" s="71" t="n">
        <f aca="false">IF(C87&gt;0,C87*C49/((C79+C87*C83)/1000),0)</f>
        <v>739.802932940398</v>
      </c>
      <c r="D88" s="71" t="n">
        <f aca="false">IF(D87&gt;0,D87*D49/((D79+D87*D83)/1000),0)</f>
        <v>224.823591539841</v>
      </c>
      <c r="E88" s="71" t="n">
        <f aca="false">IF(E87&gt;0,E87*E49/((E79+E87*E83)/1000),0)</f>
        <v>40.6742374235114</v>
      </c>
      <c r="F88" s="71" t="n">
        <f aca="false">IF(F87&gt;0,F87*F49/((F79+F87*F83)/1000),0)</f>
        <v>4152.97302302101</v>
      </c>
      <c r="G88" s="71" t="n">
        <f aca="false">IF(G87&gt;0,G87*G49/((G79+G87*G83)/1000),0)</f>
        <v>1223.81965598695</v>
      </c>
      <c r="H88" s="71" t="n">
        <f aca="false">IF(H87&gt;0,H87*H49/((H79+H87*H83)/1000),0)</f>
        <v>234.988617384446</v>
      </c>
      <c r="I88" s="71" t="n">
        <f aca="false">IF(I87&gt;0,I87*I49/((I79+I87*I83)/1000),0)</f>
        <v>6229.45953453152</v>
      </c>
      <c r="J88" s="71" t="n">
        <f aca="false">IF(J87&gt;0,J87*J49/((J79+J87*J83)/1000),0)</f>
        <v>1835.72948398042</v>
      </c>
      <c r="K88" s="71" t="n">
        <f aca="false">IF(K87&gt;0,K87*K49/((K79+K87*K83)/1000),0)</f>
        <v>315.604954334554</v>
      </c>
      <c r="L88" s="71" t="n">
        <f aca="false">IF(L87&gt;0,L87*L49/((L79+L87*L83)/1000),0)</f>
        <v>15093.8501066124</v>
      </c>
      <c r="M88" s="71" t="n">
        <f aca="false">IF(M87&gt;0,M87*M49/((M79+M87*M83)/1000),0)</f>
        <v>4671.64933537911</v>
      </c>
      <c r="N88" s="71" t="n">
        <f aca="false">IF(N87&gt;0,N87*N49/((N79+N87*N83)/1000),0)</f>
        <v>963.166264709904</v>
      </c>
      <c r="O88" s="71" t="n">
        <f aca="false">IF(O87&gt;0,O87*O49/((O79+O87*O83)/1000),0)</f>
        <v>30491.3598235283</v>
      </c>
      <c r="P88" s="71" t="n">
        <f aca="false">IF(P87&gt;0,P87*P49/((P79+P87*P83)/1000),0)</f>
        <v>9570.13064324968</v>
      </c>
      <c r="Q88" s="71" t="n">
        <f aca="false">IF(Q87&gt;0,Q87*Q49/((Q79+Q87*Q83)/1000),0)</f>
        <v>2059.51531150246</v>
      </c>
    </row>
    <row r="89" customFormat="false" ht="15" hidden="false" customHeight="false" outlineLevel="0" collapsed="false">
      <c r="A89" s="61" t="s">
        <v>920</v>
      </c>
      <c r="B89" s="62" t="s">
        <v>389</v>
      </c>
      <c r="C89" s="68" t="n">
        <f aca="false">IF(C87&gt;0,C49/((C79+C87*C83)/1000),0)</f>
        <v>84.3000593119601</v>
      </c>
      <c r="D89" s="68" t="n">
        <f aca="false">IF(D87&gt;0,D49/((D79+D87*D83)/1000),0)</f>
        <v>43.31166124729</v>
      </c>
      <c r="E89" s="68" t="n">
        <f aca="false">IF(E87&gt;0,E49/((E79+E87*E83)/1000),0)</f>
        <v>40.8313604965595</v>
      </c>
      <c r="F89" s="68" t="n">
        <f aca="false">IF(F87&gt;0,F49/((F79+F87*F83)/1000),0)</f>
        <v>84.3000593119601</v>
      </c>
      <c r="G89" s="68" t="n">
        <f aca="false">IF(G87&gt;0,G49/((G79+G87*G83)/1000),0)</f>
        <v>43.31166124729</v>
      </c>
      <c r="H89" s="68" t="n">
        <f aca="false">IF(H87&gt;0,H49/((H79+H87*H83)/1000),0)</f>
        <v>40.8313604965595</v>
      </c>
      <c r="I89" s="68" t="n">
        <f aca="false">IF(I87&gt;0,I49/((I79+I87*I83)/1000),0)</f>
        <v>84.3000593119601</v>
      </c>
      <c r="J89" s="68" t="n">
        <f aca="false">IF(J87&gt;0,J49/((J79+J87*J83)/1000),0)</f>
        <v>43.31166124729</v>
      </c>
      <c r="K89" s="68" t="n">
        <f aca="false">IF(K87&gt;0,K49/((K79+K87*K83)/1000),0)</f>
        <v>40.8313604965595</v>
      </c>
      <c r="L89" s="68" t="n">
        <f aca="false">IF(L87&gt;0,L49/((L79+L87*L83)/1000),0)</f>
        <v>84.3000593119601</v>
      </c>
      <c r="M89" s="68" t="n">
        <f aca="false">IF(M87&gt;0,M49/((M79+M87*M83)/1000),0)</f>
        <v>43.31166124729</v>
      </c>
      <c r="N89" s="68" t="n">
        <f aca="false">IF(N87&gt;0,N49/((N79+N87*N83)/1000),0)</f>
        <v>40.8313604965595</v>
      </c>
      <c r="O89" s="68" t="n">
        <f aca="false">IF(O87&gt;0,O49/((O79+O87*O83)/1000),0)</f>
        <v>84.3000593119601</v>
      </c>
      <c r="P89" s="68" t="n">
        <f aca="false">IF(P87&gt;0,P49/((P79+P87*P83)/1000),0)</f>
        <v>43.31166124729</v>
      </c>
      <c r="Q89" s="68" t="n">
        <f aca="false">IF(Q87&gt;0,Q49/((Q79+Q87*Q83)/1000),0)</f>
        <v>40.8313604965595</v>
      </c>
    </row>
    <row r="90" customFormat="false" ht="15" hidden="false" customHeight="false" outlineLevel="0" collapsed="false">
      <c r="A90" s="61" t="s">
        <v>921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</row>
    <row r="91" customFormat="false" ht="15" hidden="false" customHeight="false" outlineLevel="0" collapsed="false">
      <c r="A91" s="62" t="s">
        <v>922</v>
      </c>
      <c r="B91" s="62" t="s">
        <v>113</v>
      </c>
      <c r="C91" s="85" t="n">
        <f aca="false">C87*C34*C45/1000000000/C69</f>
        <v>0.00296521621734461</v>
      </c>
      <c r="D91" s="85" t="n">
        <f aca="false">D87*D34*D45/1000000000/D69</f>
        <v>0.0049761860898181</v>
      </c>
      <c r="E91" s="85" t="n">
        <f aca="false">E87*E34*E45/1000000000/E69</f>
        <v>0.0277456196984922</v>
      </c>
      <c r="F91" s="85" t="n">
        <f aca="false">F87*F34*F45/1000000000/F69</f>
        <v>0.00715939741778908</v>
      </c>
      <c r="G91" s="85" t="n">
        <f aca="false">G87*G34*G45/1000000000/G69</f>
        <v>0.0116506243216966</v>
      </c>
      <c r="H91" s="85" t="n">
        <f aca="false">H87*H34*H45/1000000000/H69</f>
        <v>0.0689443812983337</v>
      </c>
      <c r="I91" s="85" t="n">
        <f aca="false">I87*I34*I45/1000000000/I69</f>
        <v>0.00693566624848318</v>
      </c>
      <c r="J91" s="85" t="n">
        <f aca="false">J87*J34*J45/1000000000/J69</f>
        <v>0.0112865423116436</v>
      </c>
      <c r="K91" s="85" t="n">
        <f aca="false">K87*K34*K45/1000000000/K69</f>
        <v>0.0598020843482559</v>
      </c>
      <c r="L91" s="85" t="n">
        <f aca="false">L87*L34*L45/1000000000/L69</f>
        <v>0.0168049741978087</v>
      </c>
      <c r="M91" s="85" t="n">
        <f aca="false">M87*M34*M45/1000000000/M69</f>
        <v>0.0287225151358305</v>
      </c>
      <c r="N91" s="85" t="n">
        <f aca="false">N87*N34*N45/1000000000/N69</f>
        <v>0.182504581796009</v>
      </c>
      <c r="O91" s="85" t="n">
        <f aca="false">O87*O34*O45/1000000000/O69</f>
        <v>0.00954788416151471</v>
      </c>
      <c r="P91" s="85" t="n">
        <f aca="false">P87*P34*P45/1000000000/P69</f>
        <v>0.016548652190795</v>
      </c>
      <c r="Q91" s="85" t="n">
        <f aca="false">Q87*Q34*Q45/1000000000/Q69</f>
        <v>0.109756453454618</v>
      </c>
    </row>
    <row r="92" customFormat="false" ht="15" hidden="false" customHeight="false" outlineLevel="0" collapsed="false">
      <c r="A92" s="76" t="s">
        <v>923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924</v>
      </c>
      <c r="B93" s="62" t="s">
        <v>925</v>
      </c>
      <c r="C93" s="107" t="n">
        <f aca="false">IF(ISNUMBER(C88),IF(C88&gt;0,IF(C77="是",(C43*(1-B4_CacheHit))/C75+C44/C88,"TTFT 不可達"),"SLO 不可達"),"SLO 不可達")</f>
        <v>1.85951803873978</v>
      </c>
      <c r="D93" s="107" t="n">
        <f aca="false">IF(ISNUMBER(D88),IF(D88&gt;0,IF(D77="是",(D43*(1-B4_CacheHit))/D75+D44/D88,"TTFT 不可達"),"SLO 不可達"),"SLO 不可達")</f>
        <v>12.4091545623618</v>
      </c>
      <c r="E93" s="107" t="n">
        <f aca="false">IF(ISNUMBER(E88),IF(E88&gt;0,IF(E77="是",(E43*(1-B4_CacheHit))/E75+E44/E88,"TTFT 不可達"),"SLO 不可達"),"SLO 不可達")</f>
        <v>122.596357656047</v>
      </c>
      <c r="F93" s="107" t="n">
        <f aca="false">IF(ISNUMBER(F88),IF(F88&gt;0,IF(F77="是",(F43*(1-B4_CacheHit))/F75+F44/F88,"TTFT 不可達"),"SLO 不可達"),"SLO 不可達")</f>
        <v>0.293584009512902</v>
      </c>
      <c r="G93" s="107" t="n">
        <f aca="false">IF(ISNUMBER(G88),IF(G88&gt;0,IF(G77="是",(G43*(1-B4_CacheHit))/G75+G44/G88,"TTFT 不可達"),"SLO 不可達"),"SLO 不可達")</f>
        <v>1.99979843649927</v>
      </c>
      <c r="H93" s="107" t="n">
        <f aca="false">IF(ISNUMBER(H88),IF(H88&gt;0,IF(H77="是",(H43*(1-B4_CacheHit))/H75+H44/H88,"TTFT 不可達"),"SLO 不可達"),"SLO 不可達")</f>
        <v>19.5959277016479</v>
      </c>
      <c r="I93" s="107" t="n">
        <f aca="false">IF(ISNUMBER(I88),IF(I88&gt;0,IF(I77="是",(I43*(1-B4_CacheHit))/I75+I44/I88,"TTFT 不可達"),"SLO 不可達"),"SLO 不可達")</f>
        <v>0.195722673008602</v>
      </c>
      <c r="J93" s="107" t="n">
        <f aca="false">IF(ISNUMBER(J88),IF(J88&gt;0,IF(J77="是",(J43*(1-B4_CacheHit))/J75+J44/J88,"TTFT 不可達"),"SLO 不可達"),"SLO 不可達")</f>
        <v>1.33319895766618</v>
      </c>
      <c r="K93" s="107" t="n">
        <f aca="false">IF(ISNUMBER(K88),IF(K88&gt;0,IF(K77="是",(K43*(1-B4_CacheHit))/K75+K44/K88,"TTFT 不可達"),"SLO 不可達"),"SLO 不可達")</f>
        <v>14.4217807951262</v>
      </c>
      <c r="L93" s="107" t="n">
        <f aca="false">IF(ISNUMBER(L88),IF(L88&gt;0,IF(L77="是",(L43*(1-B4_CacheHit))/L75+L44/L88,"TTFT 不可達"),"SLO 不可達"),"SLO 不可達")</f>
        <v>0.0812746751123948</v>
      </c>
      <c r="M93" s="107" t="n">
        <f aca="false">IF(ISNUMBER(M88),IF(M88&gt;0,IF(M77="是",(M43*(1-B4_CacheHit))/M75+M44/M88,"TTFT 不可達"),"SLO 不可達"),"SLO 不可達")</f>
        <v>0.531631713056475</v>
      </c>
      <c r="N93" s="107" t="n">
        <f aca="false">IF(ISNUMBER(N88),IF(N88&gt;0,IF(N77="是",(N43*(1-B4_CacheHit))/N75+N44/N88,"TTFT 不可達"),"SLO 不可達"),"SLO 不可達")</f>
        <v>4.87129669274572</v>
      </c>
      <c r="O93" s="107" t="n">
        <f aca="false">IF(ISNUMBER(O88),IF(O88&gt;0,IF(O77="是",(O43*(1-B4_CacheHit))/O75+O44/O88,"TTFT 不可達"),"SLO 不可達"),"SLO 不可達")</f>
        <v>0.0402995215948959</v>
      </c>
      <c r="P93" s="107" t="n">
        <f aca="false">IF(ISNUMBER(P88),IF(P88&gt;0,IF(P77="是",(P43*(1-B4_CacheHit))/P75+P44/P88,"TTFT 不可達"),"SLO 不可達"),"SLO 不可達")</f>
        <v>0.260620490821677</v>
      </c>
      <c r="Q93" s="107" t="n">
        <f aca="false">IF(ISNUMBER(Q88),IF(Q88&gt;0,IF(Q77="是",(Q43*(1-B4_CacheHit))/Q75+Q44/Q88,"TTFT 不可達"),"SLO 不可達"),"SLO 不可達")</f>
        <v>2.29814548139856</v>
      </c>
    </row>
    <row r="94" customFormat="false" ht="15" hidden="false" customHeight="false" outlineLevel="0" collapsed="false">
      <c r="A94" s="62" t="s">
        <v>926</v>
      </c>
      <c r="B94" s="62" t="s">
        <v>113</v>
      </c>
      <c r="C94" s="85" t="n">
        <f aca="false">IF(ISNUMBER(C93),IF(C93&gt;0,((C43*(1-B4_CacheHit))/C75)/C93,0),C93)</f>
        <v>0.255639168755806</v>
      </c>
      <c r="D94" s="85" t="n">
        <f aca="false">IF(ISNUMBER(D93),IF(D93&gt;0,((D43*(1-B4_CacheHit))/D75)/D93,0),D93)</f>
        <v>0.2659157994545</v>
      </c>
      <c r="E94" s="85" t="n">
        <f aca="false">IF(ISNUMBER(E93),IF(E93&gt;0,((E43*(1-B4_CacheHit))/E75)/E93,0),E93)</f>
        <v>0.178584372391409</v>
      </c>
      <c r="F94" s="85" t="n">
        <f aca="false">IF(ISNUMBER(F93),IF(F93&gt;0,((F43*(1-B4_CacheHit))/F75)/F93,0),F93)</f>
        <v>0.160136999418694</v>
      </c>
      <c r="G94" s="85" t="n">
        <f aca="false">IF(ISNUMBER(G93),IF(G93&gt;0,((G43*(1-B4_CacheHit))/G75)/G93,0),G93)</f>
        <v>0.163191074841609</v>
      </c>
      <c r="H94" s="85" t="n">
        <f aca="false">IF(ISNUMBER(H93),IF(H93&gt;0,((H43*(1-B4_CacheHit))/H75)/H93,0),H93)</f>
        <v>0.110497253254168</v>
      </c>
      <c r="I94" s="85" t="n">
        <f aca="false">IF(ISNUMBER(I93),IF(I93&gt;0,((I43*(1-B4_CacheHit))/I75)/I93,0),I93)</f>
        <v>0.160136999418694</v>
      </c>
      <c r="J94" s="85" t="n">
        <f aca="false">IF(ISNUMBER(J93),IF(J93&gt;0,((J43*(1-B4_CacheHit))/J75)/J93,0),J93)</f>
        <v>0.163191074841609</v>
      </c>
      <c r="K94" s="85" t="n">
        <f aca="false">IF(ISNUMBER(K93),IF(K93&gt;0,((K43*(1-B4_CacheHit))/K75)/K93,0),K93)</f>
        <v>0.100093796402319</v>
      </c>
      <c r="L94" s="85" t="n">
        <f aca="false">IF(ISNUMBER(L93),IF(L93&gt;0,((L43*(1-B4_CacheHit))/L75)/L93,0),L93)</f>
        <v>0.165272576502161</v>
      </c>
      <c r="M94" s="85" t="n">
        <f aca="false">IF(ISNUMBER(M93),IF(M93&gt;0,((M43*(1-B4_CacheHit))/M75)/M93,0),M93)</f>
        <v>0.175389545756149</v>
      </c>
      <c r="N94" s="85" t="n">
        <f aca="false">IF(ISNUMBER(N93),IF(N93&gt;0,((N43*(1-B4_CacheHit))/N75)/N93,0),N93)</f>
        <v>0.127000281888798</v>
      </c>
      <c r="O94" s="85" t="n">
        <f aca="false">IF(ISNUMBER(O93),IF(O93&gt;0,((O43*(1-B4_CacheHit))/O75)/O93,0),O93)</f>
        <v>0.166657995288743</v>
      </c>
      <c r="P94" s="85" t="n">
        <f aca="false">IF(ISNUMBER(P93),IF(P93&gt;0,((P43*(1-B4_CacheHit))/P75)/P93,0),P93)</f>
        <v>0.178885866511427</v>
      </c>
      <c r="Q94" s="85" t="n">
        <f aca="false">IF(ISNUMBER(Q93),IF(Q93&gt;0,((Q43*(1-B4_CacheHit))/Q75)/Q93,0),Q93)</f>
        <v>0.134598975162831</v>
      </c>
    </row>
    <row r="95" customFormat="false" ht="15" hidden="false" customHeight="false" outlineLevel="0" collapsed="false">
      <c r="A95" s="61" t="s">
        <v>927</v>
      </c>
      <c r="B95" s="62" t="s">
        <v>389</v>
      </c>
      <c r="C95" s="71" t="n">
        <f aca="false">IF(ISNUMBER(C93),IF(C93&gt;0,C22*(C43+C44)/C93,0),C93)</f>
        <v>158595.933922677</v>
      </c>
      <c r="D95" s="71" t="n">
        <f aca="false">IF(ISNUMBER(D93),IF(D93&gt;0,D22*(D43+D44)/D93,0),D93)</f>
        <v>47531.3605802762</v>
      </c>
      <c r="E95" s="71" t="n">
        <f aca="false">IF(ISNUMBER(E93),IF(E93&gt;0,E22*(E43+E44)/E93,0),E93)</f>
        <v>9622.21082709152</v>
      </c>
      <c r="F95" s="71" t="n">
        <f aca="false">IF(ISNUMBER(F93),IF(F93&gt;0,F22*(F43+F44)/F93,0),F93)</f>
        <v>2260177.59312208</v>
      </c>
      <c r="G95" s="71" t="n">
        <f aca="false">IF(ISNUMBER(G93),IF(G93&gt;0,G22*(G43+G44)/G93,0),G93)</f>
        <v>663618.88067237</v>
      </c>
      <c r="H95" s="71" t="n">
        <f aca="false">IF(ISNUMBER(H93),IF(H93&gt;0,H22*(H43+H44)/H93,0),H93)</f>
        <v>135446.917360121</v>
      </c>
      <c r="I95" s="71" t="n">
        <f aca="false">IF(ISNUMBER(I93),IF(I93&gt;0,I22*(I43+I44)/I93,0),I93)</f>
        <v>3390266.38968311</v>
      </c>
      <c r="J95" s="71" t="n">
        <f aca="false">IF(ISNUMBER(J93),IF(J93&gt;0,J22*(J43+J44)/J93,0),J93)</f>
        <v>995428.321008554</v>
      </c>
      <c r="K95" s="71" t="n">
        <f aca="false">IF(ISNUMBER(K93),IF(K93&gt;0,K22*(K43+K44)/K93,0),K93)</f>
        <v>184041.626877104</v>
      </c>
      <c r="L95" s="71" t="n">
        <f aca="false">IF(ISNUMBER(L93),IF(L93&gt;0,L22*(L43+L44)/L93,0),L93)</f>
        <v>8164314.39538053</v>
      </c>
      <c r="M95" s="71" t="n">
        <f aca="false">IF(ISNUMBER(M93),IF(M93&gt;0,M22*(M43+M44)/M93,0),M93)</f>
        <v>2496284.49057369</v>
      </c>
      <c r="N95" s="71" t="n">
        <f aca="false">IF(ISNUMBER(N93),IF(N93&gt;0,N22*(N43+N44)/N93,0),N93)</f>
        <v>544866.832675706</v>
      </c>
      <c r="O95" s="71" t="n">
        <f aca="false">IF(ISNUMBER(O93),IF(O93&gt;0,O22*(O43+O44)/O93,0),O93)</f>
        <v>16465505.637269</v>
      </c>
      <c r="P95" s="71" t="n">
        <f aca="false">IF(ISNUMBER(P93),IF(P93&gt;0,P22*(P43+P44)/P93,0),P93)</f>
        <v>5092093.85576685</v>
      </c>
      <c r="Q95" s="71" t="n">
        <f aca="false">IF(ISNUMBER(Q93),IF(Q93&gt;0,Q22*(Q43+Q44)/Q93,0),Q93)</f>
        <v>1154934.71648486</v>
      </c>
    </row>
    <row r="96" customFormat="false" ht="15" hidden="false" customHeight="false" outlineLevel="0" collapsed="false">
      <c r="A96" s="61" t="s">
        <v>928</v>
      </c>
      <c r="B96" s="62" t="s">
        <v>389</v>
      </c>
      <c r="C96" s="68" t="n">
        <f aca="false">IF(ISNUMBER(C95),C95*C44/(C43+C44),C95)</f>
        <v>17621.770435853</v>
      </c>
      <c r="D96" s="68" t="n">
        <f aca="false">IF(ISNUMBER(D95),D95*D44/(D43+D44),D95)</f>
        <v>5281.26228669736</v>
      </c>
      <c r="E96" s="68" t="n">
        <f aca="false">IF(ISNUMBER(E95),E95*E44/(E43+E44),E95)</f>
        <v>1069.1345363435</v>
      </c>
      <c r="F96" s="68" t="n">
        <f aca="false">IF(ISNUMBER(F95),F95*F44/(F43+F44),F95)</f>
        <v>251130.843680231</v>
      </c>
      <c r="G96" s="68" t="n">
        <f aca="false">IF(ISNUMBER(G95),G95*G44/(G43+G44),G95)</f>
        <v>73735.4311858188</v>
      </c>
      <c r="H96" s="68" t="n">
        <f aca="false">IF(ISNUMBER(H95),H95*H44/(H43+H44),H95)</f>
        <v>15049.6574844579</v>
      </c>
      <c r="I96" s="68" t="n">
        <f aca="false">IF(ISNUMBER(I95),I95*I44/(I43+I44),I95)</f>
        <v>376696.265520346</v>
      </c>
      <c r="J96" s="68" t="n">
        <f aca="false">IF(ISNUMBER(J95),J95*J44/(J43+J44),J95)</f>
        <v>110603.146778728</v>
      </c>
      <c r="K96" s="68" t="n">
        <f aca="false">IF(ISNUMBER(K95),K95*K44/(K43+K44),K95)</f>
        <v>20449.0696530116</v>
      </c>
      <c r="L96" s="68" t="n">
        <f aca="false">IF(ISNUMBER(L95),L95*L44/(L43+L44),L95)</f>
        <v>907146.04393117</v>
      </c>
      <c r="M96" s="68" t="n">
        <f aca="false">IF(ISNUMBER(M95),M95*M44/(M43+M44),M95)</f>
        <v>277364.943397077</v>
      </c>
      <c r="N96" s="68" t="n">
        <f aca="false">IF(ISNUMBER(N95),N95*N44/(N43+N44),N95)</f>
        <v>60540.7591861895</v>
      </c>
      <c r="O96" s="68" t="n">
        <f aca="false">IF(ISNUMBER(O95),O95*O44/(O43+O44),O95)</f>
        <v>1829500.62636322</v>
      </c>
      <c r="P96" s="68" t="n">
        <f aca="false">IF(ISNUMBER(P95),P95*P44/(P43+P44),P95)</f>
        <v>565788.206196316</v>
      </c>
      <c r="Q96" s="68" t="n">
        <f aca="false">IF(ISNUMBER(Q95),Q95*Q44/(Q43+Q44),Q95)</f>
        <v>128326.079609429</v>
      </c>
    </row>
    <row r="97" customFormat="false" ht="15" hidden="false" customHeight="false" outlineLevel="0" collapsed="false">
      <c r="A97" s="61" t="s">
        <v>929</v>
      </c>
      <c r="B97" s="62" t="s">
        <v>389</v>
      </c>
      <c r="C97" s="68" t="n">
        <f aca="false">IF(ISNUMBER(C95),C95-C96,C95)</f>
        <v>140974.163486824</v>
      </c>
      <c r="D97" s="68" t="n">
        <f aca="false">IF(ISNUMBER(D95),D95-D96,D95)</f>
        <v>42250.0982935789</v>
      </c>
      <c r="E97" s="68" t="n">
        <f aca="false">IF(ISNUMBER(E95),E95-E96,E95)</f>
        <v>8553.07629074802</v>
      </c>
      <c r="F97" s="68" t="n">
        <f aca="false">IF(ISNUMBER(F95),F95-F96,F95)</f>
        <v>2009046.74944184</v>
      </c>
      <c r="G97" s="68" t="n">
        <f aca="false">IF(ISNUMBER(G95),G95-G96,G95)</f>
        <v>589883.449486551</v>
      </c>
      <c r="H97" s="68" t="n">
        <f aca="false">IF(ISNUMBER(H95),H95-H96,H95)</f>
        <v>120397.259875663</v>
      </c>
      <c r="I97" s="68" t="n">
        <f aca="false">IF(ISNUMBER(I95),I95-I96,I95)</f>
        <v>3013570.12416277</v>
      </c>
      <c r="J97" s="68" t="n">
        <f aca="false">IF(ISNUMBER(J95),J95-J96,J95)</f>
        <v>884825.174229826</v>
      </c>
      <c r="K97" s="68" t="n">
        <f aca="false">IF(ISNUMBER(K95),K95-K96,K95)</f>
        <v>163592.557224093</v>
      </c>
      <c r="L97" s="68" t="n">
        <f aca="false">IF(ISNUMBER(L95),L95-L96,L95)</f>
        <v>7257168.35144936</v>
      </c>
      <c r="M97" s="68" t="n">
        <f aca="false">IF(ISNUMBER(M95),M95-M96,M95)</f>
        <v>2218919.54717661</v>
      </c>
      <c r="N97" s="68" t="n">
        <f aca="false">IF(ISNUMBER(N95),N95-N96,N95)</f>
        <v>484326.073489516</v>
      </c>
      <c r="O97" s="68" t="n">
        <f aca="false">IF(ISNUMBER(O95),O95-O96,O95)</f>
        <v>14636005.0109057</v>
      </c>
      <c r="P97" s="68" t="n">
        <f aca="false">IF(ISNUMBER(P95),P95-P96,P95)</f>
        <v>4526305.64957053</v>
      </c>
      <c r="Q97" s="68" t="n">
        <f aca="false">IF(ISNUMBER(Q95),Q95-Q96,Q95)</f>
        <v>1026608.63687543</v>
      </c>
    </row>
    <row r="98" customFormat="false" ht="15" hidden="false" customHeight="false" outlineLevel="0" collapsed="false">
      <c r="A98" s="61" t="s">
        <v>930</v>
      </c>
      <c r="B98" s="62" t="s">
        <v>931</v>
      </c>
      <c r="C98" s="71" t="n">
        <f aca="false">IF(ISNUMBER(C95),C95*C25*8760*3600/1000000,C95)</f>
        <v>112228240510.472</v>
      </c>
      <c r="D98" s="71" t="n">
        <f aca="false">IF(ISNUMBER(D95),D95*D25*8760*3600/1000000,D95)</f>
        <v>33634916325.118</v>
      </c>
      <c r="E98" s="71" t="n">
        <f aca="false">IF(ISNUMBER(E95),E95*E25*8760*3600/1000000,E95)</f>
        <v>6809025705.99183</v>
      </c>
      <c r="F98" s="71" t="n">
        <f aca="false">IF(ISNUMBER(F95),F95*F25*8760*3600/1000000,F95)</f>
        <v>496729138259.007</v>
      </c>
      <c r="G98" s="71" t="n">
        <f aca="false">IF(ISNUMBER(G95),G95*G25*8760*3600/1000000,G95)</f>
        <v>145846430710.54</v>
      </c>
      <c r="H98" s="71" t="n">
        <f aca="false">IF(ISNUMBER(H95),H95*H25*8760*3600/1000000,H95)</f>
        <v>29767762827.5194</v>
      </c>
      <c r="I98" s="71" t="n">
        <f aca="false">IF(ISNUMBER(I95),I95*I25*8760*3600/1000000,I95)</f>
        <v>723176042011.176</v>
      </c>
      <c r="J98" s="71" t="n">
        <f aca="false">IF(ISNUMBER(J95),J95*J25*8760*3600/1000000,J95)</f>
        <v>212334321421.888</v>
      </c>
      <c r="K98" s="71" t="n">
        <f aca="false">IF(ISNUMBER(K95),K95*K25*8760*3600/1000000,K95)</f>
        <v>39257828144.5082</v>
      </c>
      <c r="L98" s="71" t="n">
        <f aca="false">IF(ISNUMBER(L95),L95*L25*8760*3600/1000000,L95)</f>
        <v>1043267705667.06</v>
      </c>
      <c r="M98" s="71" t="n">
        <f aca="false">IF(ISNUMBER(M95),M95*M25*8760*3600/1000000,M95)</f>
        <v>318984897819.054</v>
      </c>
      <c r="N98" s="71" t="n">
        <f aca="false">IF(ISNUMBER(N95),N95*N25*8760*3600/1000000,N95)</f>
        <v>69625193603.6778</v>
      </c>
      <c r="O98" s="71" t="n">
        <f aca="false">IF(ISNUMBER(O95),O95*O25*8760*3600/1000000,O95)</f>
        <v>1404587982526.55</v>
      </c>
      <c r="P98" s="71" t="n">
        <f aca="false">IF(ISNUMBER(P95),P95*P25*8760*3600/1000000,P95)</f>
        <v>434380455314.928</v>
      </c>
      <c r="Q98" s="71" t="n">
        <f aca="false">IF(ISNUMBER(Q95),Q95*Q25*8760*3600/1000000,Q95)</f>
        <v>98521567397.5749</v>
      </c>
    </row>
    <row r="99" customFormat="false" ht="15" hidden="false" customHeight="false" outlineLevel="0" collapsed="false">
      <c r="A99" s="61" t="s">
        <v>932</v>
      </c>
      <c r="B99" s="62" t="s">
        <v>931</v>
      </c>
      <c r="C99" s="68" t="n">
        <f aca="false">IF(ISNUMBER(C96),C96*C25*8760*3600/1000000,C96)</f>
        <v>12469804501.1635</v>
      </c>
      <c r="D99" s="68" t="n">
        <f aca="false">IF(ISNUMBER(D96),D96*D25*8760*3600/1000000,D96)</f>
        <v>3737212925.01311</v>
      </c>
      <c r="E99" s="68" t="n">
        <f aca="false">IF(ISNUMBER(E96),E96*E25*8760*3600/1000000,E96)</f>
        <v>756558411.77687</v>
      </c>
      <c r="F99" s="68" t="n">
        <f aca="false">IF(ISNUMBER(F96),F96*F25*8760*3600/1000000,F96)</f>
        <v>55192126473.223</v>
      </c>
      <c r="G99" s="68" t="n">
        <f aca="false">IF(ISNUMBER(G96),G96*G25*8760*3600/1000000,G96)</f>
        <v>16205158967.8377</v>
      </c>
      <c r="H99" s="68" t="n">
        <f aca="false">IF(ISNUMBER(H96),H96*H25*8760*3600/1000000,H96)</f>
        <v>3307529203.05772</v>
      </c>
      <c r="I99" s="68" t="n">
        <f aca="false">IF(ISNUMBER(I96),I96*I25*8760*3600/1000000,I96)</f>
        <v>80352893556.7973</v>
      </c>
      <c r="J99" s="68" t="n">
        <f aca="false">IF(ISNUMBER(J96),J96*J25*8760*3600/1000000,J96)</f>
        <v>23592702380.2097</v>
      </c>
      <c r="K99" s="68" t="n">
        <f aca="false">IF(ISNUMBER(K96),K96*K25*8760*3600/1000000,K96)</f>
        <v>4361980904.94536</v>
      </c>
      <c r="L99" s="68" t="n">
        <f aca="false">IF(ISNUMBER(L96),L96*L25*8760*3600/1000000,L96)</f>
        <v>115918633963.007</v>
      </c>
      <c r="M99" s="68" t="n">
        <f aca="false">IF(ISNUMBER(M96),M96*M25*8760*3600/1000000,M96)</f>
        <v>35442766424.3393</v>
      </c>
      <c r="N99" s="68" t="n">
        <f aca="false">IF(ISNUMBER(N96),N96*N25*8760*3600/1000000,N96)</f>
        <v>7736132622.63087</v>
      </c>
      <c r="O99" s="68" t="n">
        <f aca="false">IF(ISNUMBER(O96),O96*O25*8760*3600/1000000,O96)</f>
        <v>156065331391.839</v>
      </c>
      <c r="P99" s="68" t="n">
        <f aca="false">IF(ISNUMBER(P96),P96*P25*8760*3600/1000000,P96)</f>
        <v>48264495034.992</v>
      </c>
      <c r="Q99" s="68" t="n">
        <f aca="false">IF(ISNUMBER(Q96),Q96*Q25*8760*3600/1000000,Q96)</f>
        <v>10946840821.9528</v>
      </c>
    </row>
    <row r="100" customFormat="false" ht="15" hidden="false" customHeight="false" outlineLevel="0" collapsed="false">
      <c r="A100" s="76" t="s">
        <v>933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</row>
    <row r="101" customFormat="false" ht="15" hidden="false" customHeight="false" outlineLevel="0" collapsed="false">
      <c r="A101" s="61" t="s">
        <v>934</v>
      </c>
      <c r="B101" s="62" t="s">
        <v>935</v>
      </c>
      <c r="C101" s="75" t="n">
        <f aca="false">1000000/C75</f>
        <v>128.951184274594</v>
      </c>
      <c r="D101" s="75" t="n">
        <f aca="false">1000000/D75</f>
        <v>447.562697483303</v>
      </c>
      <c r="E101" s="75" t="n">
        <f aca="false">1000000/E75</f>
        <v>1484.76790293225</v>
      </c>
      <c r="F101" s="75" t="n">
        <f aca="false">1000000/F75</f>
        <v>12.7532721247573</v>
      </c>
      <c r="G101" s="75" t="n">
        <f aca="false">1000000/G75</f>
        <v>44.2639507810987</v>
      </c>
      <c r="H101" s="75" t="n">
        <f aca="false">1000000/H75</f>
        <v>146.8435456</v>
      </c>
      <c r="I101" s="75" t="n">
        <f aca="false">1000000/I75</f>
        <v>8.50218141650489</v>
      </c>
      <c r="J101" s="75" t="n">
        <f aca="false">1000000/J75</f>
        <v>29.5093005207324</v>
      </c>
      <c r="K101" s="75" t="n">
        <f aca="false">1000000/K75</f>
        <v>97.8956970666667</v>
      </c>
      <c r="L101" s="75" t="n">
        <f aca="false">1000000/L75</f>
        <v>3.64379203564495</v>
      </c>
      <c r="M101" s="75" t="n">
        <f aca="false">1000000/M75</f>
        <v>12.6468430803139</v>
      </c>
      <c r="N101" s="75" t="n">
        <f aca="false">1000000/N75</f>
        <v>41.9552987428571</v>
      </c>
      <c r="O101" s="75" t="n">
        <f aca="false">1000000/O75</f>
        <v>1.82189601782248</v>
      </c>
      <c r="P101" s="75" t="n">
        <f aca="false">1000000/P75</f>
        <v>6.32342154015695</v>
      </c>
      <c r="Q101" s="75" t="n">
        <f aca="false">1000000/Q75</f>
        <v>20.9776493714286</v>
      </c>
    </row>
    <row r="102" customFormat="false" ht="15" hidden="false" customHeight="false" outlineLevel="0" collapsed="false">
      <c r="A102" s="61" t="s">
        <v>936</v>
      </c>
      <c r="B102" s="62" t="s">
        <v>935</v>
      </c>
      <c r="C102" s="116" t="n">
        <f aca="false">1000000*C34/(C62*1000000000000)</f>
        <v>0.02795</v>
      </c>
      <c r="D102" s="116" t="n">
        <f aca="false">1000000*D34/(D62*1000000000000)</f>
        <v>0.03965</v>
      </c>
      <c r="E102" s="116" t="n">
        <f aca="false">1000000*E34/(E62*1000000000000)</f>
        <v>0.576</v>
      </c>
      <c r="F102" s="116" t="n">
        <f aca="false">1000000*F34/(F62*1000000000000)</f>
        <v>0.02795</v>
      </c>
      <c r="G102" s="116" t="n">
        <f aca="false">1000000*G34/(G62*1000000000000)</f>
        <v>0.03965</v>
      </c>
      <c r="H102" s="116" t="n">
        <f aca="false">1000000*H34/(H62*1000000000000)</f>
        <v>0.576</v>
      </c>
      <c r="I102" s="116" t="n">
        <f aca="false">1000000*I34/(I62*1000000000000)</f>
        <v>0.02795</v>
      </c>
      <c r="J102" s="116" t="n">
        <f aca="false">1000000*J34/(J62*1000000000000)</f>
        <v>0.03965</v>
      </c>
      <c r="K102" s="116" t="n">
        <f aca="false">1000000*K34/(K62*1000000000000)</f>
        <v>0.576</v>
      </c>
      <c r="L102" s="116" t="n">
        <f aca="false">1000000*L34/(L62*1000000000000)</f>
        <v>0.02795</v>
      </c>
      <c r="M102" s="116" t="n">
        <f aca="false">1000000*M34/(M62*1000000000000)</f>
        <v>0.03965</v>
      </c>
      <c r="N102" s="116" t="n">
        <f aca="false">1000000*N34/(N62*1000000000000)</f>
        <v>0.576</v>
      </c>
      <c r="O102" s="116" t="n">
        <f aca="false">1000000*O34/(O62*1000000000000)</f>
        <v>0.02795</v>
      </c>
      <c r="P102" s="116" t="n">
        <f aca="false">1000000*P34/(P62*1000000000000)</f>
        <v>0.03965</v>
      </c>
      <c r="Q102" s="116" t="n">
        <f aca="false">1000000*Q34/(Q62*1000000000000)</f>
        <v>0.576</v>
      </c>
    </row>
    <row r="103" customFormat="false" ht="15" hidden="false" customHeight="false" outlineLevel="0" collapsed="false">
      <c r="A103" s="62" t="s">
        <v>937</v>
      </c>
      <c r="B103" s="62" t="s">
        <v>935</v>
      </c>
      <c r="C103" s="75" t="n">
        <f aca="false">IF(ISNUMBER(C88),IF(C88&gt;0,IF(C77="是",1000000/C88,"TTFT 不可達"),"SLO 不可達"),"SLO 不可達")</f>
        <v>1351.71132131828</v>
      </c>
      <c r="D103" s="75" t="n">
        <f aca="false">IF(ISNUMBER(D88),IF(D88&gt;0,IF(D77="是",1000000/D88,"TTFT 不可達"),"SLO 不可達"),"SLO 不可達")</f>
        <v>4447.93179021334</v>
      </c>
      <c r="E103" s="75" t="n">
        <f aca="false">IF(ISNUMBER(E88),IF(E88&gt;0,IF(E77="是",1000000/E88,"TTFT 不可達"),"SLO 不可達"),"SLO 不可達")</f>
        <v>24585.5869303147</v>
      </c>
      <c r="F103" s="75" t="n">
        <f aca="false">IF(ISNUMBER(F88),IF(F88&gt;0,IF(F77="是",1000000/F88,"TTFT 不可達"),"SLO 不可達"),"SLO 不可達")</f>
        <v>240.791354640817</v>
      </c>
      <c r="G103" s="75" t="n">
        <f aca="false">IF(ISNUMBER(G88),IF(G88&gt;0,IF(G77="是",1000000/G88,"TTFT 不可達"),"SLO 不可達"),"SLO 不可達")</f>
        <v>817.113857509954</v>
      </c>
      <c r="H103" s="75" t="n">
        <f aca="false">IF(ISNUMBER(H88),IF(H88&gt;0,IF(H77="是",1000000/H88,"TTFT 不可達"),"SLO 不可達"),"SLO 不可達")</f>
        <v>4255.52527237513</v>
      </c>
      <c r="I103" s="75" t="n">
        <f aca="false">IF(ISNUMBER(I88),IF(I88&gt;0,IF(I77="是",1000000/I88,"TTFT 不可達"),"SLO 不可達"),"SLO 不可達")</f>
        <v>160.527569760545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3168.5180674951</v>
      </c>
      <c r="L103" s="75" t="n">
        <f aca="false">IF(ISNUMBER(L88),IF(L88&gt;0,IF(L77="是",1000000/L88,"TTFT 不可達"),"SLO 不可達"),"SLO 不可達")</f>
        <v>66.2521485861262</v>
      </c>
      <c r="M103" s="75" t="n">
        <f aca="false">IF(ISNUMBER(M88),IF(M88&gt;0,IF(M77="是",1000000/M88,"TTFT 不可達"),"SLO 不可達"),"SLO 不可達")</f>
        <v>214.057162301727</v>
      </c>
      <c r="N103" s="75" t="n">
        <f aca="false">IF(ISNUMBER(N88),IF(N88&gt;0,IF(N77="是",1000000/N88,"TTFT 不可達"),"SLO 不可達"),"SLO 不可達")</f>
        <v>1038.24234365309</v>
      </c>
      <c r="O103" s="75" t="n">
        <f aca="false">IF(ISNUMBER(O88),IF(O88&gt;0,IF(O77="是",1000000/O88,"TTFT 不可達"),"SLO 不可達"),"SLO 不可達")</f>
        <v>32.7961758933546</v>
      </c>
      <c r="P103" s="75" t="n">
        <f aca="false">IF(ISNUMBER(P88),IF(P88&gt;0,IF(P77="是",1000000/P88,"TTFT 不可達"),"SLO 不可達"),"SLO 不可達")</f>
        <v>104.491781489457</v>
      </c>
      <c r="Q103" s="75" t="n">
        <f aca="false">IF(ISNUMBER(Q88),IF(Q88&gt;0,IF(Q77="是",1000000/Q88,"TTFT 不可達"),"SLO 不可達"),"SLO 不可達")</f>
        <v>485.551136432426</v>
      </c>
    </row>
    <row r="104" customFormat="false" ht="15" hidden="false" customHeight="false" outlineLevel="0" collapsed="false">
      <c r="A104" s="74" t="s">
        <v>938</v>
      </c>
      <c r="B104" s="61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</row>
    <row r="105" customFormat="false" ht="15" hidden="false" customHeight="false" outlineLevel="0" collapsed="false">
      <c r="A105" s="61"/>
      <c r="B105" s="61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</row>
    <row r="106" customFormat="false" ht="15" hidden="false" customHeight="false" outlineLevel="0" collapsed="false">
      <c r="A106" s="76" t="s">
        <v>939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</row>
    <row r="107" customFormat="false" ht="15" hidden="false" customHeight="false" outlineLevel="0" collapsed="false">
      <c r="A107" s="61" t="s">
        <v>940</v>
      </c>
      <c r="B107" s="62" t="s">
        <v>941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0.0308571428571429</v>
      </c>
      <c r="Q107" s="108" t="n">
        <f aca="false">Q23*Energy!$C$5/(Q14*1000000000000000)*1000000000000</f>
        <v>0.0308571428571429</v>
      </c>
    </row>
    <row r="108" customFormat="false" ht="15" hidden="false" customHeight="false" outlineLevel="0" collapsed="false">
      <c r="A108" s="62" t="s">
        <v>942</v>
      </c>
      <c r="B108" s="62" t="s">
        <v>871</v>
      </c>
      <c r="C108" s="89" t="n">
        <f aca="false">IF(C$6=1,Energy!$C$7,Energy!$C$6)</f>
        <v>40</v>
      </c>
      <c r="D108" s="89" t="n">
        <f aca="false">IF(D$6=1,Energy!$C$7,Energy!$C$6)</f>
        <v>40</v>
      </c>
      <c r="E108" s="89" t="n">
        <f aca="false">IF(E$6=1,Energy!$C$7,Energy!$C$6)</f>
        <v>40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</row>
    <row r="109" customFormat="false" ht="15" hidden="false" customHeight="false" outlineLevel="0" collapsed="false">
      <c r="A109" s="62" t="s">
        <v>943</v>
      </c>
      <c r="B109" s="62" t="s">
        <v>539</v>
      </c>
      <c r="C109" s="75" t="n">
        <f aca="false">(C47+1)*C65/C49</f>
        <v>61.1578341827967</v>
      </c>
      <c r="D109" s="75" t="n">
        <f aca="false">(D47+1)*D65/D49</f>
        <v>210.622552323537</v>
      </c>
      <c r="E109" s="75" t="n">
        <f aca="false">(E47+1)*E65/E49</f>
        <v>838.732890959337</v>
      </c>
      <c r="F109" s="75" t="n">
        <f aca="false">(F47+1)*F65/F49</f>
        <v>61.1578341827967</v>
      </c>
      <c r="G109" s="75" t="n">
        <f aca="false">(G47+1)*G65/G49</f>
        <v>210.622552323537</v>
      </c>
      <c r="H109" s="75" t="n">
        <f aca="false">(H47+1)*H65/H49</f>
        <v>838.732890959337</v>
      </c>
      <c r="I109" s="75" t="n">
        <f aca="false">(I47+1)*I65/I49</f>
        <v>61.1578341827967</v>
      </c>
      <c r="J109" s="75" t="n">
        <f aca="false">(J47+1)*J65/J49</f>
        <v>210.622552323537</v>
      </c>
      <c r="K109" s="75" t="n">
        <f aca="false">(K47+1)*K65/K49</f>
        <v>838.732890959337</v>
      </c>
      <c r="L109" s="75" t="n">
        <f aca="false">(L47+1)*L65/L49</f>
        <v>61.1578341827967</v>
      </c>
      <c r="M109" s="75" t="n">
        <f aca="false">(M47+1)*M65/M49</f>
        <v>210.622552323537</v>
      </c>
      <c r="N109" s="75" t="n">
        <f aca="false">(N47+1)*N65/N49</f>
        <v>838.732890959337</v>
      </c>
      <c r="O109" s="75" t="n">
        <f aca="false">(O47+1)*O65/O49</f>
        <v>61.1578341827967</v>
      </c>
      <c r="P109" s="75" t="n">
        <f aca="false">(P47+1)*P65/P49</f>
        <v>210.622552323537</v>
      </c>
      <c r="Q109" s="75" t="n">
        <f aca="false">(Q47+1)*Q65/Q49</f>
        <v>838.732890959337</v>
      </c>
    </row>
    <row r="110" customFormat="false" ht="15" hidden="false" customHeight="false" outlineLevel="0" collapsed="false">
      <c r="A110" s="62" t="s">
        <v>944</v>
      </c>
      <c r="B110" s="62" t="s">
        <v>332</v>
      </c>
      <c r="C110" s="107" t="n">
        <f aca="false">IF(C87&gt;0,(C72+C87*C34*C45/1000000000)/(C87*C49),0)</f>
        <v>0.448889027947968</v>
      </c>
      <c r="D110" s="107" t="n">
        <f aca="false">IF(D87&gt;0,(D72+D87*D34*D45/1000000000)/(D87*D49),0)</f>
        <v>2.67564030238697</v>
      </c>
      <c r="E110" s="107" t="n">
        <f aca="false">IF(E87&gt;0,(E72+E87*E34*E45/1000000000)/(E87*E49),0)</f>
        <v>17.000174996202</v>
      </c>
      <c r="F110" s="107" t="n">
        <f aca="false">IF(F87&gt;0,(F72+F87*F34*F45/1000000000)/(F87*F49),0)</f>
        <v>0.0922180619974503</v>
      </c>
      <c r="G110" s="107" t="n">
        <f aca="false">IF(G87&gt;0,(G72+G87*G34*G45/1000000000)/(G87*G49),0)</f>
        <v>0.698542938997376</v>
      </c>
      <c r="H110" s="107" t="n">
        <f aca="false">IF(H87&gt;0,(H72+H87*H34*H45/1000000000)/(H87*H49),0)</f>
        <v>6.95873730550393</v>
      </c>
      <c r="I110" s="107" t="n">
        <f aca="false">IF(I87&gt;0,(I72+I87*I34*I45/1000000000)/(I87*I49),0)</f>
        <v>0.064680139765638</v>
      </c>
      <c r="J110" s="107" t="n">
        <f aca="false">IF(J87&gt;0,(J72+J87*J34*J45/1000000000)/(J87*J49),0)</f>
        <v>0.474778424655969</v>
      </c>
      <c r="K110" s="107" t="n">
        <f aca="false">IF(K87&gt;0,(K72+K87*K34*K45/1000000000)/(K87*K49),0)</f>
        <v>6.84533579892444</v>
      </c>
      <c r="L110" s="107" t="n">
        <f aca="false">IF(L87&gt;0,(L72+L87*L34*L45/1000000000)/(L87*L49),0)</f>
        <v>0.032334926783904</v>
      </c>
      <c r="M110" s="107" t="n">
        <f aca="false">IF(M87&gt;0,(M72+M87*M34*M45/1000000000)/(M87*M49),0)</f>
        <v>0.203106395056647</v>
      </c>
      <c r="N110" s="107" t="n">
        <f aca="false">IF(N87&gt;0,(N72+N87*N34*N45/1000000000)/(N87*N49),0)</f>
        <v>2.775328412823</v>
      </c>
      <c r="O110" s="107" t="n">
        <f aca="false">IF(O87&gt;0,(O72+O87*O34*O45/1000000000)/(O87*O49),0)</f>
        <v>0.0181839059618979</v>
      </c>
      <c r="P110" s="107" t="n">
        <f aca="false">IF(P87&gt;0,(P72+P87*P34*P45/1000000000)/(P87*P49),0)</f>
        <v>0.088286760668877</v>
      </c>
      <c r="Q110" s="107" t="n">
        <f aca="false">IF(Q87&gt;0,(Q72+Q87*Q34*Q45/1000000000)/(Q87*Q49),0)</f>
        <v>1.44759075981767</v>
      </c>
    </row>
    <row r="111" customFormat="false" ht="15" hidden="false" customHeight="false" outlineLevel="0" collapsed="false">
      <c r="A111" s="62" t="s">
        <v>945</v>
      </c>
      <c r="B111" s="62" t="s">
        <v>332</v>
      </c>
      <c r="C111" s="73" t="n">
        <f aca="false">(C47+1)*C29*C31*C30*C59/C49/1000000000</f>
        <v>0.00500640189498618</v>
      </c>
      <c r="D111" s="73" t="n">
        <f aca="false">(D47+1)*D29*D31*D30*D59/D49/1000000000</f>
        <v>0.0124286837741808</v>
      </c>
      <c r="E111" s="73" t="n">
        <f aca="false">(E47+1)*E29*E31*E30*E59/E49/1000000000</f>
        <v>0.0931423608369523</v>
      </c>
      <c r="F111" s="73" t="n">
        <f aca="false">(F47+1)*F29*F31*F30*F59/F49/1000000000</f>
        <v>0.00500640189498618</v>
      </c>
      <c r="G111" s="73" t="n">
        <f aca="false">(G47+1)*G29*G31*G30*G59/G49/1000000000</f>
        <v>0.0124286837741808</v>
      </c>
      <c r="H111" s="73" t="n">
        <f aca="false">(H47+1)*H29*H31*H30*H59/H49/1000000000</f>
        <v>0.0931423608369523</v>
      </c>
      <c r="I111" s="73" t="n">
        <f aca="false">(I47+1)*I29*I31*I30*I59/I49/1000000000</f>
        <v>0.00500640189498618</v>
      </c>
      <c r="J111" s="73" t="n">
        <f aca="false">(J47+1)*J29*J31*J30*J59/J49/1000000000</f>
        <v>0.0124286837741808</v>
      </c>
      <c r="K111" s="73" t="n">
        <f aca="false">(K47+1)*K29*K31*K30*K59/K49/1000000000</f>
        <v>0.0931423608369523</v>
      </c>
      <c r="L111" s="73" t="n">
        <f aca="false">(L47+1)*L29*L31*L30*L59/L49/1000000000</f>
        <v>0.00500640189498618</v>
      </c>
      <c r="M111" s="73" t="n">
        <f aca="false">(M47+1)*M29*M31*M30*M59/M49/1000000000</f>
        <v>0.0124286837741808</v>
      </c>
      <c r="N111" s="73" t="n">
        <f aca="false">(N47+1)*N29*N31*N30*N59/N49/1000000000</f>
        <v>0.0931423608369523</v>
      </c>
      <c r="O111" s="73" t="n">
        <f aca="false">(O47+1)*O29*O31*O30*O59/O49/1000000000</f>
        <v>0.00500640189498618</v>
      </c>
      <c r="P111" s="73" t="n">
        <f aca="false">(P47+1)*P29*P31*P30*P59/P49/1000000000</f>
        <v>0.0124286837741808</v>
      </c>
      <c r="Q111" s="73" t="n">
        <f aca="false">(Q47+1)*Q29*Q31*Q30*Q59/Q49/1000000000</f>
        <v>0.0931423608369523</v>
      </c>
    </row>
    <row r="112" customFormat="false" ht="15" hidden="false" customHeight="false" outlineLevel="0" collapsed="false">
      <c r="A112" s="62" t="s">
        <v>946</v>
      </c>
      <c r="B112" s="62" t="s">
        <v>947</v>
      </c>
      <c r="C112" s="73" t="n">
        <f aca="false">(C109*C107+C110*C24+C111*C108)/1000</f>
        <v>0.0270952451270145</v>
      </c>
      <c r="D112" s="73" t="n">
        <f aca="false">(D109*D107+D110*D24+D111*D108)/1000</f>
        <v>0.12814208362536</v>
      </c>
      <c r="E112" s="73" t="n">
        <f aca="false">(E109*E107+E110*E24+E111*E108)/1000</f>
        <v>0.708734057265674</v>
      </c>
      <c r="F112" s="73" t="n">
        <f aca="false">(F109*F107+F110*F24+F111*F108)/1000</f>
        <v>0.00675887963004748</v>
      </c>
      <c r="G112" s="73" t="n">
        <f aca="false">(G109*G107+G110*G24+G111*G108)/1000</f>
        <v>0.0327526840799709</v>
      </c>
      <c r="H112" s="73" t="n">
        <f aca="false">(H109*H107+H110*H24+H111*H108)/1000</f>
        <v>0.23528862439504</v>
      </c>
      <c r="I112" s="73" t="n">
        <f aca="false">(I109*I107+I110*I24+I111*I108)/1000</f>
        <v>0.00509190622732743</v>
      </c>
      <c r="J112" s="73" t="n">
        <f aca="false">(J109*J107+J110*J24+J111*J108)/1000</f>
        <v>0.0237886103842591</v>
      </c>
      <c r="K112" s="73" t="n">
        <f aca="false">(K109*K107+K110*K24+K111*K108)/1000</f>
        <v>0.219033860475203</v>
      </c>
      <c r="L112" s="73" t="n">
        <f aca="false">(L109*L107+L110*L24+L111*L108)/1000</f>
        <v>0.00258391858083996</v>
      </c>
      <c r="M112" s="73" t="n">
        <f aca="false">(M109*M107+M110*M24+M111*M108)/1000</f>
        <v>0.0106856249248582</v>
      </c>
      <c r="N112" s="73" t="n">
        <f aca="false">(N109*N107+N110*N24+N111*N108)/1000</f>
        <v>0.0823188925001462</v>
      </c>
      <c r="O112" s="73" t="n">
        <f aca="false">(O109*O107+O110*O24+O111*O108)/1000</f>
        <v>0.00226453035247604</v>
      </c>
      <c r="P112" s="73" t="n">
        <f aca="false">(P109*P107+P110*P24+P111*P108)/1000</f>
        <v>0.00821265871576503</v>
      </c>
      <c r="Q112" s="73" t="n">
        <f aca="false">(Q109*Q107+Q110*Q24+Q111*Q108)/1000</f>
        <v>0.0528689579204043</v>
      </c>
    </row>
    <row r="113" customFormat="false" ht="15" hidden="false" customHeight="false" outlineLevel="0" collapsed="false">
      <c r="A113" s="62" t="s">
        <v>948</v>
      </c>
      <c r="B113" s="62" t="s">
        <v>947</v>
      </c>
      <c r="C113" s="73" t="n">
        <f aca="false">C67*C107/1000</f>
        <v>0.0081198195438071</v>
      </c>
      <c r="D113" s="73" t="n">
        <f aca="false">D67*D107/1000</f>
        <v>0.0281822021142922</v>
      </c>
      <c r="E113" s="73" t="n">
        <f aca="false">E67*E107/1000</f>
        <v>0.0934931113976756</v>
      </c>
      <c r="F113" s="73" t="n">
        <f aca="false">F67*F107/1000</f>
        <v>0.00275470677894758</v>
      </c>
      <c r="G113" s="73" t="n">
        <f aca="false">G67*G107/1000</f>
        <v>0.00956101336871731</v>
      </c>
      <c r="H113" s="73" t="n">
        <f aca="false">H67*H107/1000</f>
        <v>0.0317182058496</v>
      </c>
      <c r="I113" s="73" t="n">
        <f aca="false">I67*I107/1000</f>
        <v>0.00214254971695923</v>
      </c>
      <c r="J113" s="73" t="n">
        <f aca="false">J67*J107/1000</f>
        <v>0.00743634373122458</v>
      </c>
      <c r="K113" s="73" t="n">
        <f aca="false">K67*K107/1000</f>
        <v>0.0246697156608</v>
      </c>
      <c r="L113" s="73" t="n">
        <f aca="false">L67*L107/1000</f>
        <v>0.00118058861954897</v>
      </c>
      <c r="M113" s="73" t="n">
        <f aca="false">M67*M107/1000</f>
        <v>0.00409757715802171</v>
      </c>
      <c r="N113" s="73" t="n">
        <f aca="false">N67*N107/1000</f>
        <v>0.0135935167926857</v>
      </c>
      <c r="O113" s="73" t="n">
        <f aca="false">O67*O107/1000</f>
        <v>0.00118058861954897</v>
      </c>
      <c r="P113" s="73" t="n">
        <f aca="false">P67*P107/1000</f>
        <v>0.00409757715802171</v>
      </c>
      <c r="Q113" s="73" t="n">
        <f aca="false">Q67*Q107/1000</f>
        <v>0.0135935167926857</v>
      </c>
    </row>
    <row r="114" customFormat="false" ht="15" hidden="false" customHeight="false" outlineLevel="0" collapsed="false">
      <c r="A114" s="61" t="s">
        <v>949</v>
      </c>
      <c r="B114" s="62" t="s">
        <v>875</v>
      </c>
      <c r="C114" s="75" t="n">
        <f aca="false">IF(ISNUMBER(C95),(C97*C113+C96*C112)/1000,C95)</f>
        <v>1.62215095738359</v>
      </c>
      <c r="D114" s="75" t="n">
        <f aca="false">IF(ISNUMBER(D95),(D97*D113+D96*D112)/1000,D95)</f>
        <v>1.86745276304779</v>
      </c>
      <c r="E114" s="75" t="n">
        <f aca="false">IF(ISNUMBER(E95),(E97*E113+E96*E112)/1000,E95)</f>
        <v>1.55738577214931</v>
      </c>
      <c r="F114" s="75" t="n">
        <f aca="false">IF(ISNUMBER(F95),(F97*F113+F96*F112)/1000,F95)</f>
        <v>7.23169784373701</v>
      </c>
      <c r="G114" s="75" t="n">
        <f aca="false">IF(ISNUMBER(G95),(G97*G113+G96*G112)/1000,G95)</f>
        <v>8.05491682965555</v>
      </c>
      <c r="H114" s="75" t="n">
        <f aca="false">IF(ISNUMBER(H95),(H97*H113+H96*H112)/1000,H95)</f>
        <v>7.35979827959867</v>
      </c>
      <c r="I114" s="75" t="n">
        <f aca="false">IF(ISNUMBER(I95),(I97*I113+I96*I112)/1000,I95)</f>
        <v>8.37482587677577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8.51482054016698</v>
      </c>
      <c r="L114" s="75" t="n">
        <f aca="false">IF(ISNUMBER(L95),(L97*L113+L96*L112)/1000,L95)</f>
        <v>10.9117218843212</v>
      </c>
      <c r="M114" s="75" t="n">
        <f aca="false">IF(ISNUMBER(M95),(M97*M113+M96*M112)/1000,M95)</f>
        <v>12.0560118044444</v>
      </c>
      <c r="N114" s="75" t="n">
        <f aca="false">IF(ISNUMBER(N95),(N97*N113+N96*N112)/1000,N95)</f>
        <v>11.5673428604405</v>
      </c>
      <c r="O114" s="75" t="n">
        <f aca="false">IF(ISNUMBER(O95),(O97*O113+O96*O112)/1000,O95)</f>
        <v>21.4220606498104</v>
      </c>
      <c r="P114" s="75" t="n">
        <f aca="false">IF(ISNUMBER(P95),(P97*P113+P96*P112)/1000,P95)</f>
        <v>23.1935120828</v>
      </c>
      <c r="Q114" s="75" t="n">
        <f aca="false">IF(ISNUMBER(Q95),(Q97*Q113+Q96*Q112)/1000,Q95)</f>
        <v>20.7396878478437</v>
      </c>
    </row>
    <row r="115" customFormat="false" ht="15" hidden="false" customHeight="false" outlineLevel="0" collapsed="false">
      <c r="A115" s="61" t="s">
        <v>950</v>
      </c>
      <c r="B115" s="62" t="s">
        <v>875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</row>
    <row r="116" customFormat="false" ht="15" hidden="false" customHeight="false" outlineLevel="0" collapsed="false">
      <c r="A116" s="61" t="s">
        <v>951</v>
      </c>
      <c r="B116" s="62" t="s">
        <v>113</v>
      </c>
      <c r="C116" s="117" t="n">
        <f aca="false">IF(ISNUMBER(C114),IF(C115&gt;0,C114/C115,0),C114)</f>
        <v>0.0494558218714508</v>
      </c>
      <c r="D116" s="117" t="n">
        <f aca="false">IF(ISNUMBER(D114),IF(D115&gt;0,D114/D115,0),D114)</f>
        <v>0.056934535458774</v>
      </c>
      <c r="E116" s="117" t="n">
        <f aca="false">IF(ISNUMBER(E114),IF(E115&gt;0,E114/E115,0),E114)</f>
        <v>0.0474812735411374</v>
      </c>
      <c r="F116" s="117" t="n">
        <f aca="false">IF(ISNUMBER(F114),IF(F115&gt;0,F114/F115,0),F114)</f>
        <v>0.0684819871566004</v>
      </c>
      <c r="G116" s="117" t="n">
        <f aca="false">IF(ISNUMBER(G114),IF(G115&gt;0,G114/G115,0),G114)</f>
        <v>0.0762776214929503</v>
      </c>
      <c r="H116" s="117" t="n">
        <f aca="false">IF(ISNUMBER(H114),IF(H115&gt;0,H114/H115,0),H114)</f>
        <v>0.0696950594658965</v>
      </c>
      <c r="I116" s="117" t="n">
        <f aca="false">IF(ISNUMBER(I114),IF(I115&gt;0,I114/I115,0),I114)</f>
        <v>0.0769745025438949</v>
      </c>
      <c r="J116" s="117" t="n">
        <f aca="false">IF(ISNUMBER(J114),IF(J115&gt;0,J114/J115,0),J114)</f>
        <v>0.0846595524228479</v>
      </c>
      <c r="K116" s="117" t="n">
        <f aca="false">IF(ISNUMBER(K114),IF(K115&gt;0,K114/K115,0),K114)</f>
        <v>0.0782612182000641</v>
      </c>
      <c r="L116" s="117" t="n">
        <f aca="false">IF(ISNUMBER(L114),IF(L115&gt;0,L114/L115,0),L114)</f>
        <v>0.0600865742528703</v>
      </c>
      <c r="M116" s="117" t="n">
        <f aca="false">IF(ISNUMBER(M114),IF(M115&gt;0,M114/M115,0),M114)</f>
        <v>0.0663877302006852</v>
      </c>
      <c r="N116" s="117" t="n">
        <f aca="false">IF(ISNUMBER(N114),IF(N115&gt;0,N114/N115,0),N114)</f>
        <v>0.0636968219187249</v>
      </c>
      <c r="O116" s="117" t="n">
        <f aca="false">IF(ISNUMBER(O114),IF(O115&gt;0,O114/O115,0),O114)</f>
        <v>0.0787575759184205</v>
      </c>
      <c r="P116" s="117" t="n">
        <f aca="false">IF(ISNUMBER(P114),IF(P115&gt;0,P114/P115,0),P114)</f>
        <v>0.0852702650102943</v>
      </c>
      <c r="Q116" s="117" t="n">
        <f aca="false">IF(ISNUMBER(Q114),IF(Q115&gt;0,Q114/Q115,0),Q114)</f>
        <v>0.0762488523817783</v>
      </c>
    </row>
    <row r="117" customFormat="false" ht="15" hidden="false" customHeight="false" outlineLevel="0" collapsed="false">
      <c r="A117" s="62" t="s">
        <v>952</v>
      </c>
      <c r="B117" s="62" t="s">
        <v>953</v>
      </c>
      <c r="C117" s="118" t="n">
        <f aca="false">IF(ISNUMBER(C95),C95/(C115*1000),C95)</f>
        <v>4.8352418878865</v>
      </c>
      <c r="D117" s="118" t="n">
        <f aca="false">IF(ISNUMBER(D95),D95/(D115*1000),D95)</f>
        <v>1.44912684695964</v>
      </c>
      <c r="E117" s="118" t="n">
        <f aca="false">IF(ISNUMBER(E95),E95/(E115*1000),E95)</f>
        <v>0.293360086191815</v>
      </c>
      <c r="F117" s="118" t="n">
        <f aca="false">IF(ISNUMBER(F95),F95/(F115*1000),F95)</f>
        <v>21.4031969045651</v>
      </c>
      <c r="G117" s="118" t="n">
        <f aca="false">IF(ISNUMBER(G95),G95/(G115*1000),G95)</f>
        <v>6.28426970333683</v>
      </c>
      <c r="H117" s="118" t="n">
        <f aca="false">IF(ISNUMBER(H95),H95/(H115*1000),H95)</f>
        <v>1.28264126287993</v>
      </c>
      <c r="I117" s="118" t="n">
        <f aca="false">IF(ISNUMBER(I95),I95/(I115*1000),I95)</f>
        <v>31.1605366698815</v>
      </c>
      <c r="J117" s="118" t="n">
        <f aca="false">IF(ISNUMBER(J95),J95/(J115*1000),J95)</f>
        <v>9.14915736221098</v>
      </c>
      <c r="K117" s="118" t="n">
        <f aca="false">IF(ISNUMBER(K95),K95/(K115*1000),K95)</f>
        <v>1.69155907056162</v>
      </c>
      <c r="L117" s="118" t="n">
        <f aca="false">IF(ISNUMBER(L95),L95/(L115*1000),L95)</f>
        <v>44.9576783886593</v>
      </c>
      <c r="M117" s="118" t="n">
        <f aca="false">IF(ISNUMBER(M95),M95/(M115*1000),M95)</f>
        <v>13.7460599701194</v>
      </c>
      <c r="N117" s="118" t="n">
        <f aca="false">IF(ISNUMBER(N95),N95/(N115*1000),N95)</f>
        <v>3.00036802134199</v>
      </c>
      <c r="O117" s="118" t="n">
        <f aca="false">IF(ISNUMBER(O95),O95/(O115*1000),O95)</f>
        <v>60.5349471958417</v>
      </c>
      <c r="P117" s="118" t="n">
        <f aca="false">IF(ISNUMBER(P95),P95/(P115*1000),P95)</f>
        <v>18.7209332932605</v>
      </c>
      <c r="Q117" s="118" t="n">
        <f aca="false">IF(ISNUMBER(Q95),Q95/(Q115*1000),Q95)</f>
        <v>4.24608351648845</v>
      </c>
    </row>
    <row r="118" customFormat="false" ht="15" hidden="false" customHeight="false" outlineLevel="0" collapsed="false">
      <c r="A118" s="61" t="s">
        <v>954</v>
      </c>
      <c r="B118" s="62" t="s">
        <v>947</v>
      </c>
      <c r="C118" s="107" t="n">
        <f aca="false">IF(ISNUMBER(C96),IF(C96&gt;0,C115*1000*(1-C94)/C96,0),C96)</f>
        <v>1.38550410435123</v>
      </c>
      <c r="D118" s="107" t="n">
        <f aca="false">IF(ISNUMBER(D96),IF(D96&gt;0,D115*1000*(1-D94)/D96,0),D96)</f>
        <v>4.55913008496868</v>
      </c>
      <c r="E118" s="107" t="n">
        <f aca="false">IF(ISNUMBER(E96),IF(E96&gt;0,E115*1000*(1-E94)/E96,0),E96)</f>
        <v>25.2002266035726</v>
      </c>
      <c r="F118" s="107" t="n">
        <f aca="false">IF(ISNUMBER(F96),IF(F96&gt;0,F115*1000*(1-F94)/F96,0),F96)</f>
        <v>0.353160653473199</v>
      </c>
      <c r="G118" s="107" t="n">
        <f aca="false">IF(ISNUMBER(G96),IF(G96&gt;0,G115*1000*(1-G94)/G96,0),G96)</f>
        <v>1.19843365768127</v>
      </c>
      <c r="H118" s="107" t="n">
        <f aca="false">IF(ISNUMBER(H96),IF(H96&gt;0,H115*1000*(1-H94)/H96,0),H96)</f>
        <v>6.24143706615019</v>
      </c>
      <c r="I118" s="107" t="n">
        <f aca="false">IF(ISNUMBER(I96),IF(I96&gt;0,I115*1000*(1-I94)/I96,0),I96)</f>
        <v>0.242574994304823</v>
      </c>
      <c r="J118" s="107" t="n">
        <f aca="false">IF(ISNUMBER(J96),IF(J96&gt;0,J115*1000*(1-J94)/J96,0),J96)</f>
        <v>0.823166552750768</v>
      </c>
      <c r="K118" s="107" t="n">
        <f aca="false">IF(ISNUMBER(K96),IF(K96&gt;0,K115*1000*(1-K94)/K96,0),K96)</f>
        <v>4.78798285754815</v>
      </c>
      <c r="L118" s="107" t="n">
        <f aca="false">IF(ISNUMBER(L96),IF(L96&gt;0,L115*1000*(1-L94)/L96,0),L96)</f>
        <v>0.167102641433896</v>
      </c>
      <c r="M118" s="107" t="n">
        <f aca="false">IF(ISNUMBER(M96),IF(M96&gt;0,M115*1000*(1-M94)/M96,0),M96)</f>
        <v>0.539899731583244</v>
      </c>
      <c r="N118" s="107" t="n">
        <f aca="false">IF(ISNUMBER(N96),IF(N96&gt;0,N115*1000*(1-N94)/N96,0),N96)</f>
        <v>2.6186779112139</v>
      </c>
      <c r="O118" s="107" t="n">
        <f aca="false">IF(ISNUMBER(O96),IF(O96&gt;0,O115*1000*(1-O94)/O96,0),O96)</f>
        <v>0.123896664486006</v>
      </c>
      <c r="P118" s="107" t="n">
        <f aca="false">IF(ISNUMBER(P96),IF(P96&gt;0,P115*1000*(1-P94)/P96,0),P96)</f>
        <v>0.394746730071281</v>
      </c>
      <c r="Q118" s="107" t="n">
        <f aca="false">IF(ISNUMBER(Q96),IF(Q96&gt;0,Q115*1000*(1-Q94)/Q96,0),Q96)</f>
        <v>1.83430429318917</v>
      </c>
    </row>
    <row r="119" customFormat="false" ht="15" hidden="false" customHeight="false" outlineLevel="0" collapsed="false">
      <c r="A119" s="76" t="s">
        <v>955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</row>
    <row r="120" customFormat="false" ht="15" hidden="false" customHeight="false" outlineLevel="0" collapsed="false">
      <c r="A120" s="62" t="s">
        <v>956</v>
      </c>
      <c r="B120" s="62" t="s">
        <v>118</v>
      </c>
      <c r="C120" s="104" t="n">
        <f aca="false">IF(AND(ISNUMBER(C98),ISNUMBER(INDEX($C$98:$Q$98,9+C$7))),IF(INDEX($C$98:$Q$98,9+C$7)&gt;0,C98/INDEX($C$98:$Q$98,9+C$7),0),"SLO 不可達")</f>
        <v>0.10757377028048</v>
      </c>
      <c r="D120" s="104" t="n">
        <f aca="false">IF(AND(ISNUMBER(D98),ISNUMBER(INDEX($C$98:$Q$98,9+D$7))),IF(INDEX($C$98:$Q$98,9+D$7)&gt;0,D98/INDEX($C$98:$Q$98,9+D$7),0),"SLO 不可達")</f>
        <v>0.10544360110803</v>
      </c>
      <c r="E120" s="104" t="n">
        <f aca="false">IF(AND(ISNUMBER(E98),ISNUMBER(INDEX($C$98:$Q$98,9+E$7))),IF(INDEX($C$98:$Q$98,9+E$7)&gt;0,E98/INDEX($C$98:$Q$98,9+E$7),0),"SLO 不可達")</f>
        <v>0.0977954294066359</v>
      </c>
      <c r="F120" s="104" t="n">
        <f aca="false">IF(AND(ISNUMBER(F98),ISNUMBER(INDEX($C$98:$Q$98,9+F$7))),IF(INDEX($C$98:$Q$98,9+F$7)&gt;0,F98/INDEX($C$98:$Q$98,9+F$7),0),"SLO 不可達")</f>
        <v>0.476128164957813</v>
      </c>
      <c r="G120" s="104" t="n">
        <f aca="false">IF(AND(ISNUMBER(G98),ISNUMBER(INDEX($C$98:$Q$98,9+G$7))),IF(INDEX($C$98:$Q$98,9+G$7)&gt;0,G98/INDEX($C$98:$Q$98,9+G$7),0),"SLO 不可達")</f>
        <v>0.457220488204027</v>
      </c>
      <c r="H120" s="104" t="n">
        <f aca="false">IF(AND(ISNUMBER(H98),ISNUMBER(INDEX($C$98:$Q$98,9+H$7))),IF(INDEX($C$98:$Q$98,9+H$7)&gt;0,H98/INDEX($C$98:$Q$98,9+H$7),0),"SLO 不可達")</f>
        <v>0.427542981021557</v>
      </c>
      <c r="I120" s="104" t="n">
        <f aca="false">IF(AND(ISNUMBER(I98),ISNUMBER(INDEX($C$98:$Q$98,9+I$7))),IF(INDEX($C$98:$Q$98,9+I$7)&gt;0,I98/INDEX($C$98:$Q$98,9+I$7),0),"SLO 不可達")</f>
        <v>0.693183578944178</v>
      </c>
      <c r="J120" s="104" t="n">
        <f aca="false">IF(AND(ISNUMBER(J98),ISNUMBER(INDEX($C$98:$Q$98,9+J$7))),IF(INDEX($C$98:$Q$98,9+J$7)&gt;0,J98/INDEX($C$98:$Q$98,9+J$7),0),"SLO 不可達")</f>
        <v>0.665656345719338</v>
      </c>
      <c r="K120" s="104" t="n">
        <f aca="false">IF(AND(ISNUMBER(K98),ISNUMBER(INDEX($C$98:$Q$98,9+K$7))),IF(INDEX($C$98:$Q$98,9+K$7)&gt;0,K98/INDEX($C$98:$Q$98,9+K$7),0),"SLO 不可達")</f>
        <v>0.563845155935545</v>
      </c>
      <c r="L120" s="104" t="n">
        <f aca="false">IF(AND(ISNUMBER(L98),ISNUMBER(INDEX($C$98:$Q$98,9+L$7))),IF(INDEX($C$98:$Q$98,9+L$7)&gt;0,L98/INDEX($C$98:$Q$98,9+L$7),0),"SLO 不可達")</f>
        <v>1</v>
      </c>
      <c r="M120" s="104" t="n">
        <f aca="false">IF(AND(ISNUMBER(M98),ISNUMBER(INDEX($C$98:$Q$98,9+M$7))),IF(INDEX($C$98:$Q$98,9+M$7)&gt;0,M98/INDEX($C$98:$Q$98,9+M$7),0),"SLO 不可達")</f>
        <v>1</v>
      </c>
      <c r="N120" s="104" t="n">
        <f aca="false">IF(AND(ISNUMBER(N98),ISNUMBER(INDEX($C$98:$Q$98,9+N$7))),IF(INDEX($C$98:$Q$98,9+N$7)&gt;0,N98/INDEX($C$98:$Q$98,9+N$7),0),"SLO 不可達")</f>
        <v>1</v>
      </c>
      <c r="O120" s="104" t="n">
        <f aca="false">IF(AND(ISNUMBER(O98),ISNUMBER(INDEX($C$98:$Q$98,9+O$7))),IF(INDEX($C$98:$Q$98,9+O$7)&gt;0,O98/INDEX($C$98:$Q$98,9+O$7),0),"SLO 不可達")</f>
        <v>1.34633514954674</v>
      </c>
      <c r="P120" s="104" t="n">
        <f aca="false">IF(AND(ISNUMBER(P98),ISNUMBER(INDEX($C$98:$Q$98,9+P$7))),IF(INDEX($C$98:$Q$98,9+P$7)&gt;0,P98/INDEX($C$98:$Q$98,9+P$7),0),"SLO 不可達")</f>
        <v>1.36175868602197</v>
      </c>
      <c r="Q120" s="104" t="n">
        <f aca="false">IF(AND(ISNUMBER(Q98),ISNUMBER(INDEX($C$98:$Q$98,9+Q$7))),IF(INDEX($C$98:$Q$98,9+Q$7)&gt;0,Q98/INDEX($C$98:$Q$98,9+Q$7),0),"SLO 不可達")</f>
        <v>1.41502755393948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34" min="3" style="0" width="12.5"/>
  </cols>
  <sheetData>
    <row r="1" customFormat="false" ht="20.1" hidden="false" customHeight="false" outlineLevel="0" collapsed="false">
      <c r="A1" s="58" t="s">
        <v>957</v>
      </c>
    </row>
    <row r="2" customFormat="false" ht="15" hidden="false" customHeight="false" outlineLevel="0" collapsed="false">
      <c r="A2" s="74" t="s">
        <v>958</v>
      </c>
    </row>
    <row r="3" customFormat="false" ht="43.5" hidden="false" customHeight="true" outlineLevel="0" collapsed="false">
      <c r="A3" s="60" t="s">
        <v>959</v>
      </c>
      <c r="C3" s="119" t="s">
        <v>97</v>
      </c>
      <c r="D3" s="119"/>
      <c r="E3" s="120" t="s">
        <v>960</v>
      </c>
      <c r="F3" s="120"/>
      <c r="G3" s="120" t="s">
        <v>961</v>
      </c>
      <c r="H3" s="120"/>
      <c r="I3" s="120" t="s">
        <v>962</v>
      </c>
      <c r="J3" s="120"/>
      <c r="K3" s="120" t="s">
        <v>963</v>
      </c>
      <c r="L3" s="120"/>
      <c r="M3" s="120" t="s">
        <v>964</v>
      </c>
      <c r="N3" s="120"/>
      <c r="O3" s="120" t="s">
        <v>965</v>
      </c>
      <c r="P3" s="120"/>
      <c r="Q3" s="120" t="s">
        <v>966</v>
      </c>
      <c r="R3" s="120"/>
      <c r="S3" s="120" t="s">
        <v>967</v>
      </c>
      <c r="T3" s="120"/>
      <c r="U3" s="120" t="s">
        <v>968</v>
      </c>
      <c r="V3" s="120"/>
      <c r="W3" s="120" t="s">
        <v>969</v>
      </c>
      <c r="X3" s="120"/>
      <c r="Y3" s="120" t="s">
        <v>970</v>
      </c>
      <c r="Z3" s="120"/>
      <c r="AA3" s="119" t="s">
        <v>971</v>
      </c>
      <c r="AB3" s="119"/>
      <c r="AC3" s="120" t="s">
        <v>972</v>
      </c>
      <c r="AD3" s="120"/>
      <c r="AE3" s="120" t="s">
        <v>973</v>
      </c>
      <c r="AF3" s="120"/>
      <c r="AG3" s="120" t="s">
        <v>974</v>
      </c>
      <c r="AH3" s="120"/>
    </row>
    <row r="4" customFormat="false" ht="15" hidden="false" customHeight="false" outlineLevel="0" collapsed="false">
      <c r="A4" s="60" t="s">
        <v>186</v>
      </c>
      <c r="C4" s="82" t="str">
        <f aca="false">INDEX(Spec_Rack!$C$4:$G$4,C6)</f>
        <v>VR200 NVL72</v>
      </c>
      <c r="D4" s="82" t="str">
        <f aca="false">INDEX(Spec_Rack!$C$4:$G$4,D6)</f>
        <v>GB300 NVL72</v>
      </c>
      <c r="E4" s="82" t="str">
        <f aca="false">INDEX(Spec_Rack!$C$4:$G$4,E6)</f>
        <v>VR200 NVL72</v>
      </c>
      <c r="F4" s="82" t="str">
        <f aca="false">INDEX(Spec_Rack!$C$4:$G$4,F6)</f>
        <v>GB300 NVL72</v>
      </c>
      <c r="G4" s="82" t="str">
        <f aca="false">INDEX(Spec_Rack!$C$4:$G$4,G6)</f>
        <v>VR200 NVL72</v>
      </c>
      <c r="H4" s="82" t="str">
        <f aca="false">INDEX(Spec_Rack!$C$4:$G$4,H6)</f>
        <v>GB300 NVL72</v>
      </c>
      <c r="I4" s="82" t="str">
        <f aca="false">INDEX(Spec_Rack!$C$4:$G$4,I6)</f>
        <v>VR200 NVL72</v>
      </c>
      <c r="J4" s="82" t="str">
        <f aca="false">INDEX(Spec_Rack!$C$4:$G$4,J6)</f>
        <v>GB300 NVL72</v>
      </c>
      <c r="K4" s="82" t="str">
        <f aca="false">INDEX(Spec_Rack!$C$4:$G$4,K6)</f>
        <v>VR200 NVL72</v>
      </c>
      <c r="L4" s="82" t="str">
        <f aca="false">INDEX(Spec_Rack!$C$4:$G$4,L6)</f>
        <v>GB300 NVL72</v>
      </c>
      <c r="M4" s="82" t="str">
        <f aca="false">INDEX(Spec_Rack!$C$4:$G$4,M6)</f>
        <v>VR200 NVL72</v>
      </c>
      <c r="N4" s="82" t="str">
        <f aca="false">INDEX(Spec_Rack!$C$4:$G$4,N6)</f>
        <v>GB300 NVL72</v>
      </c>
      <c r="O4" s="82" t="str">
        <f aca="false">INDEX(Spec_Rack!$C$4:$G$4,O6)</f>
        <v>VR200 NVL72</v>
      </c>
      <c r="P4" s="82" t="str">
        <f aca="false">INDEX(Spec_Rack!$C$4:$G$4,P6)</f>
        <v>GB300 NVL72</v>
      </c>
      <c r="Q4" s="82" t="str">
        <f aca="false">INDEX(Spec_Rack!$C$4:$G$4,Q6)</f>
        <v>VR200 NVL72</v>
      </c>
      <c r="R4" s="82" t="str">
        <f aca="false">INDEX(Spec_Rack!$C$4:$G$4,R6)</f>
        <v>GB300 NVL72</v>
      </c>
      <c r="S4" s="82" t="str">
        <f aca="false">INDEX(Spec_Rack!$C$4:$G$4,S6)</f>
        <v>VR200 NVL72</v>
      </c>
      <c r="T4" s="82" t="str">
        <f aca="false">INDEX(Spec_Rack!$C$4:$G$4,T6)</f>
        <v>GB300 NVL72</v>
      </c>
      <c r="U4" s="82" t="str">
        <f aca="false">INDEX(Spec_Rack!$C$4:$G$4,U6)</f>
        <v>VR200 NVL72</v>
      </c>
      <c r="V4" s="82" t="str">
        <f aca="false">INDEX(Spec_Rack!$C$4:$G$4,V6)</f>
        <v>GB300 NVL72</v>
      </c>
      <c r="W4" s="82" t="str">
        <f aca="false">INDEX(Spec_Rack!$C$4:$G$4,W6)</f>
        <v>VR200 NVL72</v>
      </c>
      <c r="X4" s="82" t="str">
        <f aca="false">INDEX(Spec_Rack!$C$4:$G$4,X6)</f>
        <v>GB300 NVL72</v>
      </c>
      <c r="Y4" s="82" t="str">
        <f aca="false">INDEX(Spec_Rack!$C$4:$G$4,Y6)</f>
        <v>VR200 NVL72</v>
      </c>
      <c r="Z4" s="82" t="str">
        <f aca="false">INDEX(Spec_Rack!$C$4:$G$4,Z6)</f>
        <v>GB300 NVL72</v>
      </c>
      <c r="AA4" s="82" t="str">
        <f aca="false">INDEX(Spec_Rack!$C$4:$G$4,AA6)</f>
        <v>VR200 NVL72</v>
      </c>
      <c r="AB4" s="82" t="str">
        <f aca="false">INDEX(Spec_Rack!$C$4:$G$4,AB6)</f>
        <v>GB300 NVL72</v>
      </c>
      <c r="AC4" s="82" t="str">
        <f aca="false">INDEX(Spec_Rack!$C$4:$G$4,AC6)</f>
        <v>VR200 NVL72</v>
      </c>
      <c r="AD4" s="82" t="str">
        <f aca="false">INDEX(Spec_Rack!$C$4:$G$4,AD6)</f>
        <v>GB300 NVL72</v>
      </c>
      <c r="AE4" s="82" t="str">
        <f aca="false">INDEX(Spec_Rack!$C$4:$G$4,AE6)</f>
        <v>VR200 NVL72</v>
      </c>
      <c r="AF4" s="82" t="str">
        <f aca="false">INDEX(Spec_Rack!$C$4:$G$4,AF6)</f>
        <v>GB300 NVL72</v>
      </c>
      <c r="AG4" s="82" t="str">
        <f aca="false">INDEX(Spec_Rack!$C$4:$G$4,AG6)</f>
        <v>VR200 NVL72</v>
      </c>
      <c r="AH4" s="82" t="str">
        <f aca="false">INDEX(Spec_Rack!$C$4:$G$4,AH6)</f>
        <v>GB300 NVL72</v>
      </c>
    </row>
    <row r="5" customFormat="false" ht="15" hidden="false" customHeight="false" outlineLevel="0" collapsed="false">
      <c r="A5" s="60" t="s">
        <v>854</v>
      </c>
      <c r="C5" s="82" t="str">
        <f aca="false">INDEX(Arch!$C$4:$E$4,C7)</f>
        <v>Sol（中層）</v>
      </c>
      <c r="D5" s="82" t="str">
        <f aca="false">INDEX(Arch!$C$4:$E$4,D7)</f>
        <v>Sol（中層）</v>
      </c>
      <c r="E5" s="82" t="str">
        <f aca="false">INDEX(Arch!$C$4:$E$4,E7)</f>
        <v>Sol（中層）</v>
      </c>
      <c r="F5" s="82" t="str">
        <f aca="false">INDEX(Arch!$C$4:$E$4,F7)</f>
        <v>Sol（中層）</v>
      </c>
      <c r="G5" s="82" t="str">
        <f aca="false">INDEX(Arch!$C$4:$E$4,G7)</f>
        <v>Sol（中層）</v>
      </c>
      <c r="H5" s="82" t="str">
        <f aca="false">INDEX(Arch!$C$4:$E$4,H7)</f>
        <v>Sol（中層）</v>
      </c>
      <c r="I5" s="82" t="str">
        <f aca="false">INDEX(Arch!$C$4:$E$4,I7)</f>
        <v>Sol（中層）</v>
      </c>
      <c r="J5" s="82" t="str">
        <f aca="false">INDEX(Arch!$C$4:$E$4,J7)</f>
        <v>Sol（中層）</v>
      </c>
      <c r="K5" s="82" t="str">
        <f aca="false">INDEX(Arch!$C$4:$E$4,K7)</f>
        <v>Sol（中層）</v>
      </c>
      <c r="L5" s="82" t="str">
        <f aca="false">INDEX(Arch!$C$4:$E$4,L7)</f>
        <v>Sol（中層）</v>
      </c>
      <c r="M5" s="82" t="str">
        <f aca="false">INDEX(Arch!$C$4:$E$4,M7)</f>
        <v>Sol（中層）</v>
      </c>
      <c r="N5" s="82" t="str">
        <f aca="false">INDEX(Arch!$C$4:$E$4,N7)</f>
        <v>Sol（中層）</v>
      </c>
      <c r="O5" s="82" t="str">
        <f aca="false">INDEX(Arch!$C$4:$E$4,O7)</f>
        <v>Sol（中層）</v>
      </c>
      <c r="P5" s="82" t="str">
        <f aca="false">INDEX(Arch!$C$4:$E$4,P7)</f>
        <v>Sol（中層）</v>
      </c>
      <c r="Q5" s="82" t="str">
        <f aca="false">INDEX(Arch!$C$4:$E$4,Q7)</f>
        <v>Sol（中層）</v>
      </c>
      <c r="R5" s="82" t="str">
        <f aca="false">INDEX(Arch!$C$4:$E$4,R7)</f>
        <v>Sol（中層）</v>
      </c>
      <c r="S5" s="82" t="str">
        <f aca="false">INDEX(Arch!$C$4:$E$4,S7)</f>
        <v>Sol（中層）</v>
      </c>
      <c r="T5" s="82" t="str">
        <f aca="false">INDEX(Arch!$C$4:$E$4,T7)</f>
        <v>Sol（中層）</v>
      </c>
      <c r="U5" s="82" t="str">
        <f aca="false">INDEX(Arch!$C$4:$E$4,U7)</f>
        <v>Sol（中層）</v>
      </c>
      <c r="V5" s="82" t="str">
        <f aca="false">INDEX(Arch!$C$4:$E$4,V7)</f>
        <v>Sol（中層）</v>
      </c>
      <c r="W5" s="82" t="str">
        <f aca="false">INDEX(Arch!$C$4:$E$4,W7)</f>
        <v>Sol（中層）</v>
      </c>
      <c r="X5" s="82" t="str">
        <f aca="false">INDEX(Arch!$C$4:$E$4,X7)</f>
        <v>Sol（中層）</v>
      </c>
      <c r="Y5" s="82" t="str">
        <f aca="false">INDEX(Arch!$C$4:$E$4,Y7)</f>
        <v>Sol（中層）</v>
      </c>
      <c r="Z5" s="82" t="str">
        <f aca="false">INDEX(Arch!$C$4:$E$4,Z7)</f>
        <v>Sol（中層）</v>
      </c>
      <c r="AA5" s="82" t="str">
        <f aca="false">INDEX(Arch!$C$4:$E$4,AA7)</f>
        <v>Sol（中層）</v>
      </c>
      <c r="AB5" s="82" t="str">
        <f aca="false">INDEX(Arch!$C$4:$E$4,AB7)</f>
        <v>Sol（中層）</v>
      </c>
      <c r="AC5" s="82" t="str">
        <f aca="false">INDEX(Arch!$C$4:$E$4,AC7)</f>
        <v>Astra（頂層）</v>
      </c>
      <c r="AD5" s="82" t="str">
        <f aca="false">INDEX(Arch!$C$4:$E$4,AD7)</f>
        <v>Astra（頂層）</v>
      </c>
      <c r="AE5" s="82" t="str">
        <f aca="false">INDEX(Arch!$C$4:$E$4,AE7)</f>
        <v>Astra（頂層）</v>
      </c>
      <c r="AF5" s="82" t="str">
        <f aca="false">INDEX(Arch!$C$4:$E$4,AF7)</f>
        <v>Astra（頂層）</v>
      </c>
      <c r="AG5" s="82" t="str">
        <f aca="false">INDEX(Arch!$C$4:$E$4,AG7)</f>
        <v>Astra（頂層）</v>
      </c>
      <c r="AH5" s="82" t="str">
        <f aca="false">INDEX(Arch!$C$4:$E$4,AH7)</f>
        <v>Astra（頂層）</v>
      </c>
    </row>
    <row r="6" customFormat="false" ht="15" hidden="false" customHeight="false" outlineLevel="0" collapsed="false">
      <c r="A6" s="60" t="s">
        <v>469</v>
      </c>
      <c r="C6" s="67" t="n">
        <v>4</v>
      </c>
      <c r="D6" s="67" t="n">
        <v>3</v>
      </c>
      <c r="E6" s="67" t="n">
        <v>4</v>
      </c>
      <c r="F6" s="67" t="n">
        <v>3</v>
      </c>
      <c r="G6" s="67" t="n">
        <v>4</v>
      </c>
      <c r="H6" s="67" t="n">
        <v>3</v>
      </c>
      <c r="I6" s="67" t="n">
        <v>4</v>
      </c>
      <c r="J6" s="67" t="n">
        <v>3</v>
      </c>
      <c r="K6" s="67" t="n">
        <v>4</v>
      </c>
      <c r="L6" s="67" t="n">
        <v>3</v>
      </c>
      <c r="M6" s="67" t="n">
        <v>4</v>
      </c>
      <c r="N6" s="67" t="n">
        <v>3</v>
      </c>
      <c r="O6" s="67" t="n">
        <v>4</v>
      </c>
      <c r="P6" s="67" t="n">
        <v>3</v>
      </c>
      <c r="Q6" s="67" t="n">
        <v>4</v>
      </c>
      <c r="R6" s="67" t="n">
        <v>3</v>
      </c>
      <c r="S6" s="67" t="n">
        <v>4</v>
      </c>
      <c r="T6" s="67" t="n">
        <v>3</v>
      </c>
      <c r="U6" s="67" t="n">
        <v>4</v>
      </c>
      <c r="V6" s="67" t="n">
        <v>3</v>
      </c>
      <c r="W6" s="67" t="n">
        <v>4</v>
      </c>
      <c r="X6" s="67" t="n">
        <v>3</v>
      </c>
      <c r="Y6" s="67" t="n">
        <v>4</v>
      </c>
      <c r="Z6" s="67" t="n">
        <v>3</v>
      </c>
      <c r="AA6" s="67" t="n">
        <v>4</v>
      </c>
      <c r="AB6" s="67" t="n">
        <v>3</v>
      </c>
      <c r="AC6" s="67" t="n">
        <v>4</v>
      </c>
      <c r="AD6" s="67" t="n">
        <v>3</v>
      </c>
      <c r="AE6" s="67" t="n">
        <v>4</v>
      </c>
      <c r="AF6" s="67" t="n">
        <v>3</v>
      </c>
      <c r="AG6" s="67" t="n">
        <v>4</v>
      </c>
      <c r="AH6" s="67" t="n">
        <v>3</v>
      </c>
    </row>
    <row r="7" customFormat="false" ht="15" hidden="false" customHeight="false" outlineLevel="0" collapsed="false">
      <c r="A7" s="60" t="s">
        <v>856</v>
      </c>
      <c r="C7" s="67" t="n">
        <v>2</v>
      </c>
      <c r="D7" s="67" t="n">
        <v>2</v>
      </c>
      <c r="E7" s="67" t="n">
        <v>2</v>
      </c>
      <c r="F7" s="67" t="n">
        <v>2</v>
      </c>
      <c r="G7" s="67" t="n">
        <v>2</v>
      </c>
      <c r="H7" s="67" t="n">
        <v>2</v>
      </c>
      <c r="I7" s="67" t="n">
        <v>2</v>
      </c>
      <c r="J7" s="67" t="n">
        <v>2</v>
      </c>
      <c r="K7" s="67" t="n">
        <v>2</v>
      </c>
      <c r="L7" s="67" t="n">
        <v>2</v>
      </c>
      <c r="M7" s="67" t="n">
        <v>2</v>
      </c>
      <c r="N7" s="67" t="n">
        <v>2</v>
      </c>
      <c r="O7" s="67" t="n">
        <v>2</v>
      </c>
      <c r="P7" s="67" t="n">
        <v>2</v>
      </c>
      <c r="Q7" s="67" t="n">
        <v>2</v>
      </c>
      <c r="R7" s="67" t="n">
        <v>2</v>
      </c>
      <c r="S7" s="67" t="n">
        <v>2</v>
      </c>
      <c r="T7" s="67" t="n">
        <v>2</v>
      </c>
      <c r="U7" s="67" t="n">
        <v>2</v>
      </c>
      <c r="V7" s="67" t="n">
        <v>2</v>
      </c>
      <c r="W7" s="67" t="n">
        <v>2</v>
      </c>
      <c r="X7" s="67" t="n">
        <v>2</v>
      </c>
      <c r="Y7" s="67" t="n">
        <v>2</v>
      </c>
      <c r="Z7" s="67" t="n">
        <v>2</v>
      </c>
      <c r="AA7" s="67" t="n">
        <v>2</v>
      </c>
      <c r="AB7" s="67" t="n">
        <v>2</v>
      </c>
      <c r="AC7" s="67" t="n">
        <v>3</v>
      </c>
      <c r="AD7" s="67" t="n">
        <v>3</v>
      </c>
      <c r="AE7" s="67" t="n">
        <v>3</v>
      </c>
      <c r="AF7" s="67" t="n">
        <v>3</v>
      </c>
      <c r="AG7" s="67" t="n">
        <v>3</v>
      </c>
      <c r="AH7" s="67" t="n">
        <v>3</v>
      </c>
    </row>
    <row r="9" customFormat="false" ht="15" hidden="false" customHeight="false" outlineLevel="0" collapsed="false">
      <c r="A9" s="76" t="s">
        <v>857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</row>
    <row r="10" customFormat="false" ht="15" hidden="false" customHeight="false" outlineLevel="0" collapsed="false">
      <c r="A10" s="62" t="s">
        <v>858</v>
      </c>
      <c r="B10" s="62" t="s">
        <v>118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  <c r="T10" s="97" t="n">
        <f aca="false">Tech_Registry!$E$22</f>
        <v>1</v>
      </c>
      <c r="U10" s="97" t="n">
        <f aca="false">Tech_Registry!$E$22</f>
        <v>1</v>
      </c>
      <c r="V10" s="97" t="n">
        <f aca="false">Tech_Registry!$E$22</f>
        <v>1</v>
      </c>
      <c r="W10" s="97" t="n">
        <f aca="false">Tech_Registry!$E$22</f>
        <v>1</v>
      </c>
      <c r="X10" s="97" t="n">
        <f aca="false">Tech_Registry!$E$22</f>
        <v>1</v>
      </c>
      <c r="Y10" s="97" t="n">
        <f aca="false">Tech_Registry!$E$22</f>
        <v>1</v>
      </c>
      <c r="Z10" s="97" t="n">
        <f aca="false">Tech_Registry!$E$22</f>
        <v>1</v>
      </c>
      <c r="AA10" s="97" t="n">
        <f aca="false">Tech_Registry!$E$22</f>
        <v>1</v>
      </c>
      <c r="AB10" s="97" t="n">
        <f aca="false">Tech_Registry!$E$22</f>
        <v>1</v>
      </c>
      <c r="AC10" s="97" t="n">
        <f aca="false">Tech_Registry!$E$22</f>
        <v>1</v>
      </c>
      <c r="AD10" s="97" t="n">
        <f aca="false">Tech_Registry!$E$22</f>
        <v>1</v>
      </c>
      <c r="AE10" s="97" t="n">
        <f aca="false">Tech_Registry!$E$22</f>
        <v>1</v>
      </c>
      <c r="AF10" s="97" t="n">
        <f aca="false">Tech_Registry!$E$22</f>
        <v>1</v>
      </c>
      <c r="AG10" s="97" t="n">
        <f aca="false">Tech_Registry!$E$22</f>
        <v>1</v>
      </c>
      <c r="AH10" s="97" t="n">
        <f aca="false">Tech_Registry!$E$22</f>
        <v>1</v>
      </c>
    </row>
    <row r="11" customFormat="false" ht="15" hidden="false" customHeight="false" outlineLevel="0" collapsed="false">
      <c r="A11" s="62" t="s">
        <v>859</v>
      </c>
      <c r="B11" s="62" t="s">
        <v>118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  <c r="T11" s="97" t="n">
        <f aca="false">Tech_Registry!$E$23</f>
        <v>1</v>
      </c>
      <c r="U11" s="97" t="n">
        <f aca="false">Tech_Registry!$E$23</f>
        <v>1</v>
      </c>
      <c r="V11" s="97" t="n">
        <f aca="false">Tech_Registry!$E$23</f>
        <v>1</v>
      </c>
      <c r="W11" s="97" t="n">
        <f aca="false">Tech_Registry!$E$23</f>
        <v>1</v>
      </c>
      <c r="X11" s="97" t="n">
        <f aca="false">Tech_Registry!$E$23</f>
        <v>1</v>
      </c>
      <c r="Y11" s="97" t="n">
        <f aca="false">Tech_Registry!$E$23</f>
        <v>1</v>
      </c>
      <c r="Z11" s="97" t="n">
        <f aca="false">Tech_Registry!$E$23</f>
        <v>1</v>
      </c>
      <c r="AA11" s="97" t="n">
        <f aca="false">Tech_Registry!$E$23</f>
        <v>1</v>
      </c>
      <c r="AB11" s="97" t="n">
        <f aca="false">Tech_Registry!$E$23</f>
        <v>1</v>
      </c>
      <c r="AC11" s="97" t="n">
        <f aca="false">Tech_Registry!$E$23</f>
        <v>1</v>
      </c>
      <c r="AD11" s="97" t="n">
        <f aca="false">Tech_Registry!$E$23</f>
        <v>1</v>
      </c>
      <c r="AE11" s="97" t="n">
        <f aca="false">Tech_Registry!$E$23</f>
        <v>1</v>
      </c>
      <c r="AF11" s="97" t="n">
        <f aca="false">Tech_Registry!$E$23</f>
        <v>1</v>
      </c>
      <c r="AG11" s="97" t="n">
        <f aca="false">Tech_Registry!$E$23</f>
        <v>1</v>
      </c>
      <c r="AH11" s="97" t="n">
        <f aca="false">Tech_Registry!$E$23</f>
        <v>1</v>
      </c>
    </row>
    <row r="12" customFormat="false" ht="15" hidden="false" customHeight="false" outlineLevel="0" collapsed="false">
      <c r="A12" s="61" t="s">
        <v>860</v>
      </c>
      <c r="B12" s="62" t="s">
        <v>118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  <c r="T12" s="97" t="n">
        <f aca="false">Tech_Registry!$E$24</f>
        <v>1</v>
      </c>
      <c r="U12" s="97" t="n">
        <f aca="false">Tech_Registry!$E$24</f>
        <v>1</v>
      </c>
      <c r="V12" s="97" t="n">
        <f aca="false">Tech_Registry!$E$24</f>
        <v>1</v>
      </c>
      <c r="W12" s="97" t="n">
        <f aca="false">Tech_Registry!$E$24</f>
        <v>1</v>
      </c>
      <c r="X12" s="97" t="n">
        <f aca="false">Tech_Registry!$E$24</f>
        <v>1</v>
      </c>
      <c r="Y12" s="97" t="n">
        <f aca="false">Tech_Registry!$E$24</f>
        <v>1</v>
      </c>
      <c r="Z12" s="97" t="n">
        <f aca="false">Tech_Registry!$E$24</f>
        <v>1</v>
      </c>
      <c r="AA12" s="97" t="n">
        <f aca="false">Tech_Registry!$E$24</f>
        <v>1</v>
      </c>
      <c r="AB12" s="97" t="n">
        <f aca="false">Tech_Registry!$E$24</f>
        <v>1</v>
      </c>
      <c r="AC12" s="97" t="n">
        <f aca="false">Tech_Registry!$E$24</f>
        <v>1</v>
      </c>
      <c r="AD12" s="97" t="n">
        <f aca="false">Tech_Registry!$E$24</f>
        <v>1</v>
      </c>
      <c r="AE12" s="97" t="n">
        <f aca="false">Tech_Registry!$E$24</f>
        <v>1</v>
      </c>
      <c r="AF12" s="97" t="n">
        <f aca="false">Tech_Registry!$E$24</f>
        <v>1</v>
      </c>
      <c r="AG12" s="97" t="n">
        <f aca="false">Tech_Registry!$E$24</f>
        <v>1</v>
      </c>
      <c r="AH12" s="97" t="n">
        <f aca="false">Tech_Registry!$E$24</f>
        <v>1</v>
      </c>
    </row>
    <row r="13" customFormat="false" ht="15" hidden="false" customHeight="false" outlineLevel="0" collapsed="false">
      <c r="A13" s="76" t="s">
        <v>861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</row>
    <row r="14" customFormat="false" ht="15" hidden="false" customHeight="false" outlineLevel="0" collapsed="false">
      <c r="A14" s="61" t="s">
        <v>500</v>
      </c>
      <c r="B14" s="62" t="s">
        <v>501</v>
      </c>
      <c r="C14" s="94" t="n">
        <f aca="false">INDEX(Spec_Rack!$C$35:$G$35,C$6)</f>
        <v>35</v>
      </c>
      <c r="D14" s="94" t="n">
        <f aca="false">INDEX(Spec_Rack!$C$35:$G$35,D$6)</f>
        <v>15</v>
      </c>
      <c r="E14" s="94" t="n">
        <f aca="false">INDEX(Spec_Rack!$C$35:$G$35,E$6)</f>
        <v>35</v>
      </c>
      <c r="F14" s="94" t="n">
        <f aca="false">INDEX(Spec_Rack!$C$35:$G$35,F$6)</f>
        <v>15</v>
      </c>
      <c r="G14" s="94" t="n">
        <f aca="false">INDEX(Spec_Rack!$C$35:$G$35,G$6)</f>
        <v>35</v>
      </c>
      <c r="H14" s="94" t="n">
        <f aca="false">INDEX(Spec_Rack!$C$35:$G$35,H$6)</f>
        <v>15</v>
      </c>
      <c r="I14" s="94" t="n">
        <f aca="false">INDEX(Spec_Rack!$C$35:$G$35,I$6)</f>
        <v>35</v>
      </c>
      <c r="J14" s="94" t="n">
        <f aca="false">INDEX(Spec_Rack!$C$35:$G$35,J$6)</f>
        <v>15</v>
      </c>
      <c r="K14" s="94" t="n">
        <f aca="false">INDEX(Spec_Rack!$C$35:$G$35,K$6)</f>
        <v>35</v>
      </c>
      <c r="L14" s="94" t="n">
        <f aca="false">INDEX(Spec_Rack!$C$35:$G$35,L$6)</f>
        <v>15</v>
      </c>
      <c r="M14" s="121" t="n">
        <v>50</v>
      </c>
      <c r="N14" s="94" t="n">
        <f aca="false">INDEX(Spec_Rack!$C$35:$G$35,N$6)</f>
        <v>15</v>
      </c>
      <c r="O14" s="94" t="n">
        <f aca="false">INDEX(Spec_Rack!$C$35:$G$35,O$6)</f>
        <v>35</v>
      </c>
      <c r="P14" s="94" t="n">
        <f aca="false">INDEX(Spec_Rack!$C$35:$G$35,P$6)</f>
        <v>15</v>
      </c>
      <c r="Q14" s="94" t="n">
        <f aca="false">INDEX(Spec_Rack!$C$35:$G$35,Q$6)</f>
        <v>35</v>
      </c>
      <c r="R14" s="94" t="n">
        <f aca="false">INDEX(Spec_Rack!$C$35:$G$35,R$6)</f>
        <v>15</v>
      </c>
      <c r="S14" s="94" t="n">
        <f aca="false">INDEX(Spec_Rack!$C$35:$G$35,S$6)</f>
        <v>35</v>
      </c>
      <c r="T14" s="94" t="n">
        <f aca="false">INDEX(Spec_Rack!$C$35:$G$35,T$6)</f>
        <v>15</v>
      </c>
      <c r="U14" s="94" t="n">
        <f aca="false">INDEX(Spec_Rack!$C$35:$G$35,U$6)</f>
        <v>35</v>
      </c>
      <c r="V14" s="94" t="n">
        <f aca="false">INDEX(Spec_Rack!$C$35:$G$35,V$6)</f>
        <v>15</v>
      </c>
      <c r="W14" s="94" t="n">
        <f aca="false">INDEX(Spec_Rack!$C$35:$G$35,W$6)</f>
        <v>35</v>
      </c>
      <c r="X14" s="94" t="n">
        <f aca="false">INDEX(Spec_Rack!$C$35:$G$35,X$6)</f>
        <v>15</v>
      </c>
      <c r="Y14" s="94" t="n">
        <f aca="false">INDEX(Spec_Rack!$C$35:$G$35,Y$6)</f>
        <v>35</v>
      </c>
      <c r="Z14" s="94" t="n">
        <f aca="false">INDEX(Spec_Rack!$C$35:$G$35,Z$6)</f>
        <v>15</v>
      </c>
      <c r="AA14" s="94" t="n">
        <f aca="false">INDEX(Spec_Rack!$C$35:$G$35,AA$6)</f>
        <v>35</v>
      </c>
      <c r="AB14" s="94" t="n">
        <f aca="false">INDEX(Spec_Rack!$C$35:$G$35,AB$6)</f>
        <v>15</v>
      </c>
      <c r="AC14" s="94" t="n">
        <f aca="false">INDEX(Spec_Rack!$C$35:$G$35,AC$6)</f>
        <v>35</v>
      </c>
      <c r="AD14" s="94" t="n">
        <f aca="false">INDEX(Spec_Rack!$C$35:$G$35,AD$6)</f>
        <v>15</v>
      </c>
      <c r="AE14" s="94" t="n">
        <f aca="false">INDEX(Spec_Rack!$C$35:$G$35,AE$6)</f>
        <v>35</v>
      </c>
      <c r="AF14" s="94" t="n">
        <f aca="false">INDEX(Spec_Rack!$C$35:$G$35,AF$6)</f>
        <v>15</v>
      </c>
      <c r="AG14" s="94" t="n">
        <f aca="false">INDEX(Spec_Rack!$C$35:$G$35,AG$6)</f>
        <v>35</v>
      </c>
      <c r="AH14" s="94" t="n">
        <f aca="false">INDEX(Spec_Rack!$C$35:$G$35,AH$6)</f>
        <v>15</v>
      </c>
    </row>
    <row r="15" customFormat="false" ht="15" hidden="false" customHeight="false" outlineLevel="0" collapsed="false">
      <c r="A15" s="62" t="s">
        <v>503</v>
      </c>
      <c r="B15" s="62" t="s">
        <v>862</v>
      </c>
      <c r="C15" s="63" t="n">
        <f aca="false">INDEX(Spec_Rack!$C$25:$G$25,C$6)</f>
        <v>288</v>
      </c>
      <c r="D15" s="63" t="n">
        <f aca="false">INDEX(Spec_Rack!$C$25:$G$25,D$6)</f>
        <v>288</v>
      </c>
      <c r="E15" s="63" t="n">
        <f aca="false">INDEX(Spec_Rack!$C$25:$G$25,E$6)</f>
        <v>288</v>
      </c>
      <c r="F15" s="63" t="n">
        <f aca="false">INDEX(Spec_Rack!$C$25:$G$25,F$6)</f>
        <v>288</v>
      </c>
      <c r="G15" s="63" t="n">
        <f aca="false">INDEX(Spec_Rack!$C$25:$G$25,G$6)</f>
        <v>288</v>
      </c>
      <c r="H15" s="63" t="n">
        <f aca="false">INDEX(Spec_Rack!$C$25:$G$25,H$6)</f>
        <v>288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288</v>
      </c>
      <c r="P15" s="63" t="n">
        <f aca="false">INDEX(Spec_Rack!$C$25:$G$25,P$6)</f>
        <v>288</v>
      </c>
      <c r="Q15" s="63" t="n">
        <f aca="false">INDEX(Spec_Rack!$C$25:$G$25,Q$6)</f>
        <v>288</v>
      </c>
      <c r="R15" s="63" t="n">
        <f aca="false">INDEX(Spec_Rack!$C$25:$G$25,R$6)</f>
        <v>288</v>
      </c>
      <c r="S15" s="63" t="n">
        <f aca="false">INDEX(Spec_Rack!$C$25:$G$25,S$6)</f>
        <v>288</v>
      </c>
      <c r="T15" s="63" t="n">
        <f aca="false">INDEX(Spec_Rack!$C$25:$G$25,T$6)</f>
        <v>288</v>
      </c>
      <c r="U15" s="63" t="n">
        <f aca="false">INDEX(Spec_Rack!$C$25:$G$25,U$6)</f>
        <v>288</v>
      </c>
      <c r="V15" s="63" t="n">
        <f aca="false">INDEX(Spec_Rack!$C$25:$G$25,V$6)</f>
        <v>288</v>
      </c>
      <c r="W15" s="63" t="n">
        <f aca="false">INDEX(Spec_Rack!$C$25:$G$25,W$6)</f>
        <v>288</v>
      </c>
      <c r="X15" s="63" t="n">
        <f aca="false">INDEX(Spec_Rack!$C$25:$G$25,X$6)</f>
        <v>288</v>
      </c>
      <c r="Y15" s="63" t="n">
        <f aca="false">INDEX(Spec_Rack!$C$25:$G$25,Y$6)</f>
        <v>288</v>
      </c>
      <c r="Z15" s="63" t="n">
        <f aca="false">INDEX(Spec_Rack!$C$25:$G$25,Z$6)</f>
        <v>288</v>
      </c>
      <c r="AA15" s="63" t="n">
        <f aca="false">INDEX(Spec_Rack!$C$25:$G$25,AA$6)</f>
        <v>288</v>
      </c>
      <c r="AB15" s="63" t="n">
        <f aca="false">INDEX(Spec_Rack!$C$25:$G$25,AB$6)</f>
        <v>288</v>
      </c>
      <c r="AC15" s="63" t="n">
        <f aca="false">INDEX(Spec_Rack!$C$25:$G$25,AC$6)</f>
        <v>288</v>
      </c>
      <c r="AD15" s="63" t="n">
        <f aca="false">INDEX(Spec_Rack!$C$25:$G$25,AD$6)</f>
        <v>288</v>
      </c>
      <c r="AE15" s="63" t="n">
        <f aca="false">INDEX(Spec_Rack!$C$25:$G$25,AE$6)</f>
        <v>288</v>
      </c>
      <c r="AF15" s="63" t="n">
        <f aca="false">INDEX(Spec_Rack!$C$25:$G$25,AF$6)</f>
        <v>288</v>
      </c>
      <c r="AG15" s="63" t="n">
        <f aca="false">INDEX(Spec_Rack!$C$25:$G$25,AG$6)</f>
        <v>288</v>
      </c>
      <c r="AH15" s="63" t="n">
        <f aca="false">INDEX(Spec_Rack!$C$25:$G$25,AH$6)</f>
        <v>288</v>
      </c>
    </row>
    <row r="16" customFormat="false" ht="15" hidden="false" customHeight="false" outlineLevel="0" collapsed="false">
      <c r="A16" s="62" t="s">
        <v>505</v>
      </c>
      <c r="B16" s="62" t="s">
        <v>377</v>
      </c>
      <c r="C16" s="95" t="n">
        <f aca="false">INDEX(Spec_Rack!$C$26:$G$26,C$6)</f>
        <v>22</v>
      </c>
      <c r="D16" s="95" t="n">
        <f aca="false">INDEX(Spec_Rack!$C$26:$G$26,D$6)</f>
        <v>8</v>
      </c>
      <c r="E16" s="95" t="n">
        <f aca="false">INDEX(Spec_Rack!$C$26:$G$26,E$6)</f>
        <v>22</v>
      </c>
      <c r="F16" s="95" t="n">
        <f aca="false">INDEX(Spec_Rack!$C$26:$G$26,F$6)</f>
        <v>8</v>
      </c>
      <c r="G16" s="95" t="n">
        <f aca="false">INDEX(Spec_Rack!$C$26:$G$26,G$6)</f>
        <v>22</v>
      </c>
      <c r="H16" s="95" t="n">
        <f aca="false">INDEX(Spec_Rack!$C$26:$G$26,H$6)</f>
        <v>8</v>
      </c>
      <c r="I16" s="95" t="n">
        <f aca="false">INDEX(Spec_Rack!$C$26:$G$26,I$6)</f>
        <v>22</v>
      </c>
      <c r="J16" s="95" t="n">
        <f aca="false">INDEX(Spec_Rack!$C$26:$G$26,J$6)</f>
        <v>8</v>
      </c>
      <c r="K16" s="95" t="n">
        <f aca="false">INDEX(Spec_Rack!$C$26:$G$26,K$6)</f>
        <v>22</v>
      </c>
      <c r="L16" s="95" t="n">
        <f aca="false">INDEX(Spec_Rack!$C$26:$G$26,L$6)</f>
        <v>8</v>
      </c>
      <c r="M16" s="95" t="n">
        <f aca="false">INDEX(Spec_Rack!$C$26:$G$26,M$6)</f>
        <v>22</v>
      </c>
      <c r="N16" s="95" t="n">
        <f aca="false">INDEX(Spec_Rack!$C$26:$G$26,N$6)</f>
        <v>8</v>
      </c>
      <c r="O16" s="95" t="n">
        <f aca="false">INDEX(Spec_Rack!$C$26:$G$26,O$6)</f>
        <v>22</v>
      </c>
      <c r="P16" s="95" t="n">
        <f aca="false">INDEX(Spec_Rack!$C$26:$G$26,P$6)</f>
        <v>8</v>
      </c>
      <c r="Q16" s="95" t="n">
        <f aca="false">INDEX(Spec_Rack!$C$26:$G$26,Q$6)</f>
        <v>22</v>
      </c>
      <c r="R16" s="95" t="n">
        <f aca="false">INDEX(Spec_Rack!$C$26:$G$26,R$6)</f>
        <v>8</v>
      </c>
      <c r="S16" s="95" t="n">
        <f aca="false">INDEX(Spec_Rack!$C$26:$G$26,S$6)</f>
        <v>22</v>
      </c>
      <c r="T16" s="95" t="n">
        <f aca="false">INDEX(Spec_Rack!$C$26:$G$26,T$6)</f>
        <v>8</v>
      </c>
      <c r="U16" s="95" t="n">
        <f aca="false">INDEX(Spec_Rack!$C$26:$G$26,U$6)</f>
        <v>22</v>
      </c>
      <c r="V16" s="95" t="n">
        <f aca="false">INDEX(Spec_Rack!$C$26:$G$26,V$6)</f>
        <v>8</v>
      </c>
      <c r="W16" s="95" t="n">
        <f aca="false">INDEX(Spec_Rack!$C$26:$G$26,W$6)</f>
        <v>22</v>
      </c>
      <c r="X16" s="95" t="n">
        <f aca="false">INDEX(Spec_Rack!$C$26:$G$26,X$6)</f>
        <v>8</v>
      </c>
      <c r="Y16" s="95" t="n">
        <f aca="false">INDEX(Spec_Rack!$C$26:$G$26,Y$6)</f>
        <v>22</v>
      </c>
      <c r="Z16" s="95" t="n">
        <f aca="false">INDEX(Spec_Rack!$C$26:$G$26,Z$6)</f>
        <v>8</v>
      </c>
      <c r="AA16" s="95" t="n">
        <f aca="false">INDEX(Spec_Rack!$C$26:$G$26,AA$6)</f>
        <v>22</v>
      </c>
      <c r="AB16" s="95" t="n">
        <f aca="false">INDEX(Spec_Rack!$C$26:$G$26,AB$6)</f>
        <v>8</v>
      </c>
      <c r="AC16" s="95" t="n">
        <f aca="false">INDEX(Spec_Rack!$C$26:$G$26,AC$6)</f>
        <v>22</v>
      </c>
      <c r="AD16" s="95" t="n">
        <f aca="false">INDEX(Spec_Rack!$C$26:$G$26,AD$6)</f>
        <v>8</v>
      </c>
      <c r="AE16" s="95" t="n">
        <f aca="false">INDEX(Spec_Rack!$C$26:$G$26,AE$6)</f>
        <v>22</v>
      </c>
      <c r="AF16" s="95" t="n">
        <f aca="false">INDEX(Spec_Rack!$C$26:$G$26,AF$6)</f>
        <v>8</v>
      </c>
      <c r="AG16" s="95" t="n">
        <f aca="false">INDEX(Spec_Rack!$C$26:$G$26,AG$6)</f>
        <v>22</v>
      </c>
      <c r="AH16" s="95" t="n">
        <f aca="false">INDEX(Spec_Rack!$C$26:$G$26,AH$6)</f>
        <v>8</v>
      </c>
    </row>
    <row r="17" customFormat="false" ht="15" hidden="false" customHeight="false" outlineLevel="0" collapsed="false">
      <c r="A17" s="62" t="s">
        <v>863</v>
      </c>
      <c r="B17" s="62" t="s">
        <v>377</v>
      </c>
      <c r="C17" s="95" t="n">
        <f aca="false">INDEX(Spec_Rack!$C$27:$G$27,C$6)</f>
        <v>1.8</v>
      </c>
      <c r="D17" s="95" t="n">
        <f aca="false">INDEX(Spec_Rack!$C$27:$G$27,D$6)</f>
        <v>0.9</v>
      </c>
      <c r="E17" s="95" t="n">
        <f aca="false">INDEX(Spec_Rack!$C$27:$G$27,E$6)</f>
        <v>1.8</v>
      </c>
      <c r="F17" s="95" t="n">
        <f aca="false">INDEX(Spec_Rack!$C$27:$G$27,F$6)</f>
        <v>0.9</v>
      </c>
      <c r="G17" s="95" t="n">
        <f aca="false">INDEX(Spec_Rack!$C$27:$G$27,G$6)</f>
        <v>1.8</v>
      </c>
      <c r="H17" s="95" t="n">
        <f aca="false">INDEX(Spec_Rack!$C$27:$G$27,H$6)</f>
        <v>0.9</v>
      </c>
      <c r="I17" s="95" t="n">
        <f aca="false">INDEX(Spec_Rack!$C$27:$G$27,I$6)</f>
        <v>1.8</v>
      </c>
      <c r="J17" s="95" t="n">
        <f aca="false">INDEX(Spec_Rack!$C$27:$G$27,J$6)</f>
        <v>0.9</v>
      </c>
      <c r="K17" s="95" t="n">
        <f aca="false">INDEX(Spec_Rack!$C$27:$G$27,K$6)</f>
        <v>1.8</v>
      </c>
      <c r="L17" s="95" t="n">
        <f aca="false">INDEX(Spec_Rack!$C$27:$G$27,L$6)</f>
        <v>0.9</v>
      </c>
      <c r="M17" s="95" t="n">
        <f aca="false">INDEX(Spec_Rack!$C$27:$G$27,M$6)</f>
        <v>1.8</v>
      </c>
      <c r="N17" s="95" t="n">
        <f aca="false">INDEX(Spec_Rack!$C$27:$G$27,N$6)</f>
        <v>0.9</v>
      </c>
      <c r="O17" s="95" t="n">
        <f aca="false">INDEX(Spec_Rack!$C$27:$G$27,O$6)</f>
        <v>1.8</v>
      </c>
      <c r="P17" s="95" t="n">
        <f aca="false">INDEX(Spec_Rack!$C$27:$G$27,P$6)</f>
        <v>0.9</v>
      </c>
      <c r="Q17" s="95" t="n">
        <f aca="false">INDEX(Spec_Rack!$C$27:$G$27,Q$6)</f>
        <v>1.8</v>
      </c>
      <c r="R17" s="95" t="n">
        <f aca="false">INDEX(Spec_Rack!$C$27:$G$27,R$6)</f>
        <v>0.9</v>
      </c>
      <c r="S17" s="95" t="n">
        <f aca="false">INDEX(Spec_Rack!$C$27:$G$27,S$6)</f>
        <v>1.8</v>
      </c>
      <c r="T17" s="95" t="n">
        <f aca="false">INDEX(Spec_Rack!$C$27:$G$27,T$6)</f>
        <v>0.9</v>
      </c>
      <c r="U17" s="95" t="n">
        <f aca="false">INDEX(Spec_Rack!$C$27:$G$27,U$6)</f>
        <v>1.8</v>
      </c>
      <c r="V17" s="95" t="n">
        <f aca="false">INDEX(Spec_Rack!$C$27:$G$27,V$6)</f>
        <v>0.9</v>
      </c>
      <c r="W17" s="95" t="n">
        <f aca="false">INDEX(Spec_Rack!$C$27:$G$27,W$6)</f>
        <v>1.8</v>
      </c>
      <c r="X17" s="95" t="n">
        <f aca="false">INDEX(Spec_Rack!$C$27:$G$27,X$6)</f>
        <v>0.9</v>
      </c>
      <c r="Y17" s="95" t="n">
        <f aca="false">INDEX(Spec_Rack!$C$27:$G$27,Y$6)</f>
        <v>1.8</v>
      </c>
      <c r="Z17" s="95" t="n">
        <f aca="false">INDEX(Spec_Rack!$C$27:$G$27,Z$6)</f>
        <v>0.9</v>
      </c>
      <c r="AA17" s="95" t="n">
        <f aca="false">INDEX(Spec_Rack!$C$27:$G$27,AA$6)</f>
        <v>1.8</v>
      </c>
      <c r="AB17" s="95" t="n">
        <f aca="false">INDEX(Spec_Rack!$C$27:$G$27,AB$6)</f>
        <v>0.9</v>
      </c>
      <c r="AC17" s="95" t="n">
        <f aca="false">INDEX(Spec_Rack!$C$27:$G$27,AC$6)</f>
        <v>1.8</v>
      </c>
      <c r="AD17" s="95" t="n">
        <f aca="false">INDEX(Spec_Rack!$C$27:$G$27,AD$6)</f>
        <v>0.9</v>
      </c>
      <c r="AE17" s="95" t="n">
        <f aca="false">INDEX(Spec_Rack!$C$27:$G$27,AE$6)</f>
        <v>1.8</v>
      </c>
      <c r="AF17" s="95" t="n">
        <f aca="false">INDEX(Spec_Rack!$C$27:$G$27,AF$6)</f>
        <v>0.9</v>
      </c>
      <c r="AG17" s="95" t="n">
        <f aca="false">INDEX(Spec_Rack!$C$27:$G$27,AG$6)</f>
        <v>1.8</v>
      </c>
      <c r="AH17" s="95" t="n">
        <f aca="false">INDEX(Spec_Rack!$C$27:$G$27,AH$6)</f>
        <v>0.9</v>
      </c>
    </row>
    <row r="18" customFormat="false" ht="15" hidden="false" customHeight="false" outlineLevel="0" collapsed="false">
      <c r="A18" s="62" t="s">
        <v>247</v>
      </c>
      <c r="B18" s="62" t="s">
        <v>697</v>
      </c>
      <c r="C18" s="63" t="n">
        <f aca="false">INDEX(Spec_Rack!$C$29:$G$29,C$6)</f>
        <v>32</v>
      </c>
      <c r="D18" s="63" t="n">
        <f aca="false">INDEX(Spec_Rack!$C$29:$G$29,D$6)</f>
        <v>32</v>
      </c>
      <c r="E18" s="63" t="n">
        <f aca="false">INDEX(Spec_Rack!$C$29:$G$29,E$6)</f>
        <v>32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32</v>
      </c>
      <c r="P18" s="63" t="n">
        <f aca="false">INDEX(Spec_Rack!$C$29:$G$29,P$6)</f>
        <v>32</v>
      </c>
      <c r="Q18" s="63" t="n">
        <f aca="false">INDEX(Spec_Rack!$C$29:$G$29,Q$6)</f>
        <v>32</v>
      </c>
      <c r="R18" s="63" t="n">
        <f aca="false">INDEX(Spec_Rack!$C$29:$G$29,R$6)</f>
        <v>32</v>
      </c>
      <c r="S18" s="63" t="n">
        <f aca="false">INDEX(Spec_Rack!$C$29:$G$29,S$6)</f>
        <v>32</v>
      </c>
      <c r="T18" s="63" t="n">
        <f aca="false">INDEX(Spec_Rack!$C$29:$G$29,T$6)</f>
        <v>32</v>
      </c>
      <c r="U18" s="63" t="n">
        <f aca="false">INDEX(Spec_Rack!$C$29:$G$29,U$6)</f>
        <v>32</v>
      </c>
      <c r="V18" s="63" t="n">
        <f aca="false">INDEX(Spec_Rack!$C$29:$G$29,V$6)</f>
        <v>32</v>
      </c>
      <c r="W18" s="63" t="n">
        <f aca="false">INDEX(Spec_Rack!$C$29:$G$29,W$6)</f>
        <v>32</v>
      </c>
      <c r="X18" s="63" t="n">
        <f aca="false">INDEX(Spec_Rack!$C$29:$G$29,X$6)</f>
        <v>32</v>
      </c>
      <c r="Y18" s="63" t="n">
        <f aca="false">INDEX(Spec_Rack!$C$29:$G$29,Y$6)</f>
        <v>32</v>
      </c>
      <c r="Z18" s="63" t="n">
        <f aca="false">INDEX(Spec_Rack!$C$29:$G$29,Z$6)</f>
        <v>32</v>
      </c>
      <c r="AA18" s="63" t="n">
        <f aca="false">INDEX(Spec_Rack!$C$29:$G$29,AA$6)</f>
        <v>32</v>
      </c>
      <c r="AB18" s="63" t="n">
        <f aca="false">INDEX(Spec_Rack!$C$29:$G$29,AB$6)</f>
        <v>32</v>
      </c>
      <c r="AC18" s="63" t="n">
        <f aca="false">INDEX(Spec_Rack!$C$29:$G$29,AC$6)</f>
        <v>32</v>
      </c>
      <c r="AD18" s="63" t="n">
        <f aca="false">INDEX(Spec_Rack!$C$29:$G$29,AD$6)</f>
        <v>32</v>
      </c>
      <c r="AE18" s="63" t="n">
        <f aca="false">INDEX(Spec_Rack!$C$29:$G$29,AE$6)</f>
        <v>32</v>
      </c>
      <c r="AF18" s="63" t="n">
        <f aca="false">INDEX(Spec_Rack!$C$29:$G$29,AF$6)</f>
        <v>32</v>
      </c>
      <c r="AG18" s="63" t="n">
        <f aca="false">INDEX(Spec_Rack!$C$29:$G$29,AG$6)</f>
        <v>32</v>
      </c>
      <c r="AH18" s="63" t="n">
        <f aca="false">INDEX(Spec_Rack!$C$29:$G$29,AH$6)</f>
        <v>32</v>
      </c>
    </row>
    <row r="19" customFormat="false" ht="15" hidden="false" customHeight="false" outlineLevel="0" collapsed="false">
      <c r="A19" s="61" t="s">
        <v>864</v>
      </c>
      <c r="B19" s="62" t="s">
        <v>287</v>
      </c>
      <c r="C19" s="96" t="n">
        <f aca="false">INDEX(Spec_Rack!$C$30:$G$30,C$6)*C12</f>
        <v>0.5625</v>
      </c>
      <c r="D19" s="96" t="n">
        <f aca="false">INDEX(Spec_Rack!$C$30:$G$30,D$6)*D12</f>
        <v>0.5625</v>
      </c>
      <c r="E19" s="96" t="n">
        <f aca="false">INDEX(Spec_Rack!$C$30:$G$30,E$6)*E12</f>
        <v>0.5625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96" t="n">
        <f aca="false">INDEX(Spec_Rack!$C$30:$G$30,R$6)*R12</f>
        <v>0.5625</v>
      </c>
      <c r="S19" s="96" t="n">
        <f aca="false">INDEX(Spec_Rack!$C$30:$G$30,S$6)*S12</f>
        <v>0.5625</v>
      </c>
      <c r="T19" s="96" t="n">
        <f aca="false">INDEX(Spec_Rack!$C$30:$G$30,T$6)*T12</f>
        <v>0.5625</v>
      </c>
      <c r="U19" s="96" t="n">
        <f aca="false">INDEX(Spec_Rack!$C$30:$G$30,U$6)*U12</f>
        <v>0.5625</v>
      </c>
      <c r="V19" s="96" t="n">
        <f aca="false">INDEX(Spec_Rack!$C$30:$G$30,V$6)*V12</f>
        <v>0.5625</v>
      </c>
      <c r="W19" s="96" t="n">
        <f aca="false">INDEX(Spec_Rack!$C$30:$G$30,W$6)*W12</f>
        <v>0.5625</v>
      </c>
      <c r="X19" s="96" t="n">
        <f aca="false">INDEX(Spec_Rack!$C$30:$G$30,X$6)*X12</f>
        <v>0.5625</v>
      </c>
      <c r="Y19" s="96" t="n">
        <f aca="false">INDEX(Spec_Rack!$C$30:$G$30,Y$6)*Y12</f>
        <v>0.5625</v>
      </c>
      <c r="Z19" s="96" t="n">
        <f aca="false">INDEX(Spec_Rack!$C$30:$G$30,Z$6)*Z12</f>
        <v>0.5625</v>
      </c>
      <c r="AA19" s="96" t="n">
        <f aca="false">INDEX(Spec_Rack!$C$30:$G$30,AA$6)*AA12</f>
        <v>0.5625</v>
      </c>
      <c r="AB19" s="96" t="n">
        <f aca="false">INDEX(Spec_Rack!$C$30:$G$30,AB$6)*AB12</f>
        <v>0.5625</v>
      </c>
      <c r="AC19" s="96" t="n">
        <f aca="false">INDEX(Spec_Rack!$C$30:$G$30,AC$6)*AC12</f>
        <v>0.5625</v>
      </c>
      <c r="AD19" s="96" t="n">
        <f aca="false">INDEX(Spec_Rack!$C$30:$G$30,AD$6)*AD12</f>
        <v>0.5625</v>
      </c>
      <c r="AE19" s="96" t="n">
        <f aca="false">INDEX(Spec_Rack!$C$30:$G$30,AE$6)*AE12</f>
        <v>0.5625</v>
      </c>
      <c r="AF19" s="96" t="n">
        <f aca="false">INDEX(Spec_Rack!$C$30:$G$30,AF$6)*AF12</f>
        <v>0.5625</v>
      </c>
      <c r="AG19" s="96" t="n">
        <f aca="false">INDEX(Spec_Rack!$C$30:$G$30,AG$6)*AG12</f>
        <v>0.5625</v>
      </c>
      <c r="AH19" s="96" t="n">
        <f aca="false">INDEX(Spec_Rack!$C$30:$G$30,AH$6)*AH12</f>
        <v>0.5625</v>
      </c>
    </row>
    <row r="20" customFormat="false" ht="15" hidden="false" customHeight="false" outlineLevel="0" collapsed="false">
      <c r="A20" s="61" t="s">
        <v>865</v>
      </c>
      <c r="B20" s="62" t="s">
        <v>287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97" t="n">
        <f aca="false">INDEX(Spec_Rack!$C$31:$G$31,R$6)*R12</f>
        <v>1</v>
      </c>
      <c r="S20" s="97" t="n">
        <f aca="false">INDEX(Spec_Rack!$C$31:$G$31,S$6)*S12</f>
        <v>1</v>
      </c>
      <c r="T20" s="97" t="n">
        <f aca="false">INDEX(Spec_Rack!$C$31:$G$31,T$6)*T12</f>
        <v>1</v>
      </c>
      <c r="U20" s="97" t="n">
        <f aca="false">INDEX(Spec_Rack!$C$31:$G$31,U$6)*U12</f>
        <v>1</v>
      </c>
      <c r="V20" s="97" t="n">
        <f aca="false">INDEX(Spec_Rack!$C$31:$G$31,V$6)*V12</f>
        <v>1</v>
      </c>
      <c r="W20" s="97" t="n">
        <f aca="false">INDEX(Spec_Rack!$C$31:$G$31,W$6)*W12</f>
        <v>1</v>
      </c>
      <c r="X20" s="97" t="n">
        <f aca="false">INDEX(Spec_Rack!$C$31:$G$31,X$6)*X12</f>
        <v>1</v>
      </c>
      <c r="Y20" s="97" t="n">
        <f aca="false">INDEX(Spec_Rack!$C$31:$G$31,Y$6)*Y12</f>
        <v>1</v>
      </c>
      <c r="Z20" s="97" t="n">
        <f aca="false">INDEX(Spec_Rack!$C$31:$G$31,Z$6)*Z12</f>
        <v>1</v>
      </c>
      <c r="AA20" s="97" t="n">
        <f aca="false">INDEX(Spec_Rack!$C$31:$G$31,AA$6)*AA12</f>
        <v>1</v>
      </c>
      <c r="AB20" s="97" t="n">
        <f aca="false">INDEX(Spec_Rack!$C$31:$G$31,AB$6)*AB12</f>
        <v>1</v>
      </c>
      <c r="AC20" s="97" t="n">
        <f aca="false">INDEX(Spec_Rack!$C$31:$G$31,AC$6)*AC12</f>
        <v>1</v>
      </c>
      <c r="AD20" s="97" t="n">
        <f aca="false">INDEX(Spec_Rack!$C$31:$G$31,AD$6)*AD12</f>
        <v>1</v>
      </c>
      <c r="AE20" s="97" t="n">
        <f aca="false">INDEX(Spec_Rack!$C$31:$G$31,AE$6)*AE12</f>
        <v>1</v>
      </c>
      <c r="AF20" s="97" t="n">
        <f aca="false">INDEX(Spec_Rack!$C$31:$G$31,AF$6)*AF12</f>
        <v>1</v>
      </c>
      <c r="AG20" s="97" t="n">
        <f aca="false">INDEX(Spec_Rack!$C$31:$G$31,AG$6)*AG12</f>
        <v>1</v>
      </c>
      <c r="AH20" s="97" t="n">
        <f aca="false">INDEX(Spec_Rack!$C$31:$G$31,AH$6)*AH12</f>
        <v>1</v>
      </c>
    </row>
    <row r="21" customFormat="false" ht="15" hidden="false" customHeight="false" outlineLevel="0" collapsed="false">
      <c r="A21" s="61" t="s">
        <v>866</v>
      </c>
      <c r="B21" s="62" t="s">
        <v>697</v>
      </c>
      <c r="C21" s="63" t="n">
        <f aca="false">INDEX(Spec_Rack!$C$32:$G$32,C$6)</f>
        <v>4</v>
      </c>
      <c r="D21" s="63" t="n">
        <f aca="false">INDEX(Spec_Rack!$C$32:$G$32,D$6)</f>
        <v>4</v>
      </c>
      <c r="E21" s="63" t="n">
        <f aca="false">INDEX(Spec_Rack!$C$32:$G$32,E$6)</f>
        <v>4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4</v>
      </c>
      <c r="P21" s="63" t="n">
        <f aca="false">INDEX(Spec_Rack!$C$32:$G$32,P$6)</f>
        <v>4</v>
      </c>
      <c r="Q21" s="63" t="n">
        <f aca="false">INDEX(Spec_Rack!$C$32:$G$32,Q$6)</f>
        <v>4</v>
      </c>
      <c r="R21" s="63" t="n">
        <f aca="false">INDEX(Spec_Rack!$C$32:$G$32,R$6)</f>
        <v>4</v>
      </c>
      <c r="S21" s="63" t="n">
        <f aca="false">INDEX(Spec_Rack!$C$32:$G$32,S$6)</f>
        <v>4</v>
      </c>
      <c r="T21" s="63" t="n">
        <f aca="false">INDEX(Spec_Rack!$C$32:$G$32,T$6)</f>
        <v>4</v>
      </c>
      <c r="U21" s="63" t="n">
        <f aca="false">INDEX(Spec_Rack!$C$32:$G$32,U$6)</f>
        <v>4</v>
      </c>
      <c r="V21" s="63" t="n">
        <f aca="false">INDEX(Spec_Rack!$C$32:$G$32,V$6)</f>
        <v>4</v>
      </c>
      <c r="W21" s="63" t="n">
        <f aca="false">INDEX(Spec_Rack!$C$32:$G$32,W$6)</f>
        <v>4</v>
      </c>
      <c r="X21" s="63" t="n">
        <f aca="false">INDEX(Spec_Rack!$C$32:$G$32,X$6)</f>
        <v>4</v>
      </c>
      <c r="Y21" s="63" t="n">
        <f aca="false">INDEX(Spec_Rack!$C$32:$G$32,Y$6)</f>
        <v>4</v>
      </c>
      <c r="Z21" s="63" t="n">
        <f aca="false">INDEX(Spec_Rack!$C$32:$G$32,Z$6)</f>
        <v>4</v>
      </c>
      <c r="AA21" s="63" t="n">
        <f aca="false">INDEX(Spec_Rack!$C$32:$G$32,AA$6)</f>
        <v>4</v>
      </c>
      <c r="AB21" s="63" t="n">
        <f aca="false">INDEX(Spec_Rack!$C$32:$G$32,AB$6)</f>
        <v>4</v>
      </c>
      <c r="AC21" s="63" t="n">
        <f aca="false">INDEX(Spec_Rack!$C$32:$G$32,AC$6)</f>
        <v>4</v>
      </c>
      <c r="AD21" s="63" t="n">
        <f aca="false">INDEX(Spec_Rack!$C$32:$G$32,AD$6)</f>
        <v>4</v>
      </c>
      <c r="AE21" s="63" t="n">
        <f aca="false">INDEX(Spec_Rack!$C$32:$G$32,AE$6)</f>
        <v>4</v>
      </c>
      <c r="AF21" s="63" t="n">
        <f aca="false">INDEX(Spec_Rack!$C$32:$G$32,AF$6)</f>
        <v>4</v>
      </c>
      <c r="AG21" s="63" t="n">
        <f aca="false">INDEX(Spec_Rack!$C$32:$G$32,AG$6)</f>
        <v>4</v>
      </c>
      <c r="AH21" s="63" t="n">
        <f aca="false">INDEX(Spec_Rack!$C$32:$G$32,AH$6)</f>
        <v>4</v>
      </c>
    </row>
    <row r="22" customFormat="false" ht="15" hidden="false" customHeight="false" outlineLevel="0" collapsed="false">
      <c r="A22" s="62" t="s">
        <v>199</v>
      </c>
      <c r="B22" s="61" t="s">
        <v>867</v>
      </c>
      <c r="C22" s="63" t="n">
        <f aca="false">INDEX(Spec_Rack!$C$6:$G$6,C$6)</f>
        <v>72</v>
      </c>
      <c r="D22" s="63" t="n">
        <f aca="false">INDEX(Spec_Rack!$C$6:$G$6,D$6)</f>
        <v>72</v>
      </c>
      <c r="E22" s="63" t="n">
        <f aca="false">INDEX(Spec_Rack!$C$6:$G$6,E$6)</f>
        <v>72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  <c r="T22" s="63" t="n">
        <f aca="false">INDEX(Spec_Rack!$C$6:$G$6,T$6)</f>
        <v>72</v>
      </c>
      <c r="U22" s="63" t="n">
        <f aca="false">INDEX(Spec_Rack!$C$6:$G$6,U$6)</f>
        <v>72</v>
      </c>
      <c r="V22" s="63" t="n">
        <f aca="false">INDEX(Spec_Rack!$C$6:$G$6,V$6)</f>
        <v>72</v>
      </c>
      <c r="W22" s="63" t="n">
        <f aca="false">INDEX(Spec_Rack!$C$6:$G$6,W$6)</f>
        <v>72</v>
      </c>
      <c r="X22" s="63" t="n">
        <f aca="false">INDEX(Spec_Rack!$C$6:$G$6,X$6)</f>
        <v>72</v>
      </c>
      <c r="Y22" s="63" t="n">
        <f aca="false">INDEX(Spec_Rack!$C$6:$G$6,Y$6)</f>
        <v>72</v>
      </c>
      <c r="Z22" s="63" t="n">
        <f aca="false">INDEX(Spec_Rack!$C$6:$G$6,Z$6)</f>
        <v>72</v>
      </c>
      <c r="AA22" s="63" t="n">
        <f aca="false">INDEX(Spec_Rack!$C$6:$G$6,AA$6)</f>
        <v>72</v>
      </c>
      <c r="AB22" s="63" t="n">
        <f aca="false">INDEX(Spec_Rack!$C$6:$G$6,AB$6)</f>
        <v>72</v>
      </c>
      <c r="AC22" s="63" t="n">
        <f aca="false">INDEX(Spec_Rack!$C$6:$G$6,AC$6)</f>
        <v>72</v>
      </c>
      <c r="AD22" s="63" t="n">
        <f aca="false">INDEX(Spec_Rack!$C$6:$G$6,AD$6)</f>
        <v>72</v>
      </c>
      <c r="AE22" s="63" t="n">
        <f aca="false">INDEX(Spec_Rack!$C$6:$G$6,AE$6)</f>
        <v>72</v>
      </c>
      <c r="AF22" s="63" t="n">
        <f aca="false">INDEX(Spec_Rack!$C$6:$G$6,AF$6)</f>
        <v>72</v>
      </c>
      <c r="AG22" s="63" t="n">
        <f aca="false">INDEX(Spec_Rack!$C$6:$G$6,AG$6)</f>
        <v>72</v>
      </c>
      <c r="AH22" s="63" t="n">
        <f aca="false">INDEX(Spec_Rack!$C$6:$G$6,AH$6)</f>
        <v>72</v>
      </c>
    </row>
    <row r="23" customFormat="false" ht="15" hidden="false" customHeight="false" outlineLevel="0" collapsed="false">
      <c r="A23" s="62" t="s">
        <v>868</v>
      </c>
      <c r="B23" s="62" t="s">
        <v>869</v>
      </c>
      <c r="C23" s="63" t="n">
        <f aca="false">INDEX(Spec_Rack!$C$33:$G$33,C$6)</f>
        <v>1800</v>
      </c>
      <c r="D23" s="63" t="n">
        <f aca="false">INDEX(Spec_Rack!$C$33:$G$33,D$6)</f>
        <v>1400</v>
      </c>
      <c r="E23" s="63" t="n">
        <f aca="false">INDEX(Spec_Rack!$C$33:$G$33,E$6)</f>
        <v>1800</v>
      </c>
      <c r="F23" s="63" t="n">
        <f aca="false">INDEX(Spec_Rack!$C$33:$G$33,F$6)</f>
        <v>1400</v>
      </c>
      <c r="G23" s="63" t="n">
        <f aca="false">INDEX(Spec_Rack!$C$33:$G$33,G$6)</f>
        <v>1800</v>
      </c>
      <c r="H23" s="63" t="n">
        <f aca="false">INDEX(Spec_Rack!$C$33:$G$33,H$6)</f>
        <v>1400</v>
      </c>
      <c r="I23" s="63" t="n">
        <f aca="false">INDEX(Spec_Rack!$C$33:$G$33,I$6)</f>
        <v>1800</v>
      </c>
      <c r="J23" s="63" t="n">
        <f aca="false">INDEX(Spec_Rack!$C$33:$G$33,J$6)</f>
        <v>1400</v>
      </c>
      <c r="K23" s="63" t="n">
        <f aca="false">INDEX(Spec_Rack!$C$33:$G$33,K$6)</f>
        <v>1800</v>
      </c>
      <c r="L23" s="63" t="n">
        <f aca="false">INDEX(Spec_Rack!$C$33:$G$33,L$6)</f>
        <v>1400</v>
      </c>
      <c r="M23" s="63" t="n">
        <f aca="false">INDEX(Spec_Rack!$C$33:$G$33,M$6)</f>
        <v>1800</v>
      </c>
      <c r="N23" s="63" t="n">
        <f aca="false">INDEX(Spec_Rack!$C$33:$G$33,N$6)</f>
        <v>1400</v>
      </c>
      <c r="O23" s="63" t="n">
        <f aca="false">INDEX(Spec_Rack!$C$33:$G$33,O$6)</f>
        <v>1800</v>
      </c>
      <c r="P23" s="63" t="n">
        <f aca="false">INDEX(Spec_Rack!$C$33:$G$33,P$6)</f>
        <v>1400</v>
      </c>
      <c r="Q23" s="63" t="n">
        <f aca="false">INDEX(Spec_Rack!$C$33:$G$33,Q$6)</f>
        <v>1800</v>
      </c>
      <c r="R23" s="63" t="n">
        <f aca="false">INDEX(Spec_Rack!$C$33:$G$33,R$6)</f>
        <v>1400</v>
      </c>
      <c r="S23" s="63" t="n">
        <f aca="false">INDEX(Spec_Rack!$C$33:$G$33,S$6)</f>
        <v>1800</v>
      </c>
      <c r="T23" s="63" t="n">
        <f aca="false">INDEX(Spec_Rack!$C$33:$G$33,T$6)</f>
        <v>1400</v>
      </c>
      <c r="U23" s="63" t="n">
        <f aca="false">INDEX(Spec_Rack!$C$33:$G$33,U$6)</f>
        <v>1800</v>
      </c>
      <c r="V23" s="63" t="n">
        <f aca="false">INDEX(Spec_Rack!$C$33:$G$33,V$6)</f>
        <v>1400</v>
      </c>
      <c r="W23" s="63" t="n">
        <f aca="false">INDEX(Spec_Rack!$C$33:$G$33,W$6)</f>
        <v>1800</v>
      </c>
      <c r="X23" s="63" t="n">
        <f aca="false">INDEX(Spec_Rack!$C$33:$G$33,X$6)</f>
        <v>1400</v>
      </c>
      <c r="Y23" s="63" t="n">
        <f aca="false">INDEX(Spec_Rack!$C$33:$G$33,Y$6)</f>
        <v>1800</v>
      </c>
      <c r="Z23" s="63" t="n">
        <f aca="false">INDEX(Spec_Rack!$C$33:$G$33,Z$6)</f>
        <v>1400</v>
      </c>
      <c r="AA23" s="63" t="n">
        <f aca="false">INDEX(Spec_Rack!$C$33:$G$33,AA$6)</f>
        <v>1800</v>
      </c>
      <c r="AB23" s="63" t="n">
        <f aca="false">INDEX(Spec_Rack!$C$33:$G$33,AB$6)</f>
        <v>1400</v>
      </c>
      <c r="AC23" s="63" t="n">
        <f aca="false">INDEX(Spec_Rack!$C$33:$G$33,AC$6)</f>
        <v>1800</v>
      </c>
      <c r="AD23" s="63" t="n">
        <f aca="false">INDEX(Spec_Rack!$C$33:$G$33,AD$6)</f>
        <v>1400</v>
      </c>
      <c r="AE23" s="63" t="n">
        <f aca="false">INDEX(Spec_Rack!$C$33:$G$33,AE$6)</f>
        <v>1800</v>
      </c>
      <c r="AF23" s="63" t="n">
        <f aca="false">INDEX(Spec_Rack!$C$33:$G$33,AF$6)</f>
        <v>1400</v>
      </c>
      <c r="AG23" s="63" t="n">
        <f aca="false">INDEX(Spec_Rack!$C$33:$G$33,AG$6)</f>
        <v>1800</v>
      </c>
      <c r="AH23" s="63" t="n">
        <f aca="false">INDEX(Spec_Rack!$C$33:$G$33,AH$6)</f>
        <v>1400</v>
      </c>
    </row>
    <row r="24" customFormat="false" ht="15" hidden="false" customHeight="false" outlineLevel="0" collapsed="false">
      <c r="A24" s="62" t="s">
        <v>870</v>
      </c>
      <c r="B24" s="62" t="s">
        <v>871</v>
      </c>
      <c r="C24" s="63" t="n">
        <f aca="false">INDEX(Spec_Rack!$C$34:$G$34,C$6)</f>
        <v>20</v>
      </c>
      <c r="D24" s="63" t="n">
        <f aca="false">INDEX(Spec_Rack!$C$34:$G$34,D$6)</f>
        <v>25</v>
      </c>
      <c r="E24" s="63" t="n">
        <f aca="false">INDEX(Spec_Rack!$C$34:$G$34,E$6)</f>
        <v>20</v>
      </c>
      <c r="F24" s="63" t="n">
        <f aca="false">INDEX(Spec_Rack!$C$34:$G$34,F$6)</f>
        <v>25</v>
      </c>
      <c r="G24" s="63" t="n">
        <f aca="false">INDEX(Spec_Rack!$C$34:$G$34,G$6)</f>
        <v>20</v>
      </c>
      <c r="H24" s="63" t="n">
        <f aca="false">INDEX(Spec_Rack!$C$34:$G$34,H$6)</f>
        <v>25</v>
      </c>
      <c r="I24" s="63" t="n">
        <f aca="false">INDEX(Spec_Rack!$C$34:$G$34,I$6)</f>
        <v>20</v>
      </c>
      <c r="J24" s="63" t="n">
        <f aca="false">INDEX(Spec_Rack!$C$34:$G$34,J$6)</f>
        <v>25</v>
      </c>
      <c r="K24" s="63" t="n">
        <f aca="false">INDEX(Spec_Rack!$C$34:$G$34,K$6)</f>
        <v>20</v>
      </c>
      <c r="L24" s="63" t="n">
        <f aca="false">INDEX(Spec_Rack!$C$34:$G$34,L$6)</f>
        <v>25</v>
      </c>
      <c r="M24" s="63" t="n">
        <f aca="false">INDEX(Spec_Rack!$C$34:$G$34,M$6)</f>
        <v>20</v>
      </c>
      <c r="N24" s="63" t="n">
        <f aca="false">INDEX(Spec_Rack!$C$34:$G$34,N$6)</f>
        <v>25</v>
      </c>
      <c r="O24" s="63" t="n">
        <f aca="false">INDEX(Spec_Rack!$C$34:$G$34,O$6)</f>
        <v>20</v>
      </c>
      <c r="P24" s="63" t="n">
        <f aca="false">INDEX(Spec_Rack!$C$34:$G$34,P$6)</f>
        <v>25</v>
      </c>
      <c r="Q24" s="63" t="n">
        <f aca="false">INDEX(Spec_Rack!$C$34:$G$34,Q$6)</f>
        <v>20</v>
      </c>
      <c r="R24" s="63" t="n">
        <f aca="false">INDEX(Spec_Rack!$C$34:$G$34,R$6)</f>
        <v>25</v>
      </c>
      <c r="S24" s="63" t="n">
        <f aca="false">INDEX(Spec_Rack!$C$34:$G$34,S$6)</f>
        <v>20</v>
      </c>
      <c r="T24" s="63" t="n">
        <f aca="false">INDEX(Spec_Rack!$C$34:$G$34,T$6)</f>
        <v>25</v>
      </c>
      <c r="U24" s="63" t="n">
        <f aca="false">INDEX(Spec_Rack!$C$34:$G$34,U$6)</f>
        <v>20</v>
      </c>
      <c r="V24" s="63" t="n">
        <f aca="false">INDEX(Spec_Rack!$C$34:$G$34,V$6)</f>
        <v>25</v>
      </c>
      <c r="W24" s="63" t="n">
        <f aca="false">INDEX(Spec_Rack!$C$34:$G$34,W$6)</f>
        <v>20</v>
      </c>
      <c r="X24" s="63" t="n">
        <f aca="false">INDEX(Spec_Rack!$C$34:$G$34,X$6)</f>
        <v>25</v>
      </c>
      <c r="Y24" s="63" t="n">
        <f aca="false">INDEX(Spec_Rack!$C$34:$G$34,Y$6)</f>
        <v>20</v>
      </c>
      <c r="Z24" s="63" t="n">
        <f aca="false">INDEX(Spec_Rack!$C$34:$G$34,Z$6)</f>
        <v>25</v>
      </c>
      <c r="AA24" s="63" t="n">
        <f aca="false">INDEX(Spec_Rack!$C$34:$G$34,AA$6)</f>
        <v>20</v>
      </c>
      <c r="AB24" s="63" t="n">
        <f aca="false">INDEX(Spec_Rack!$C$34:$G$34,AB$6)</f>
        <v>25</v>
      </c>
      <c r="AC24" s="63" t="n">
        <f aca="false">INDEX(Spec_Rack!$C$34:$G$34,AC$6)</f>
        <v>20</v>
      </c>
      <c r="AD24" s="63" t="n">
        <f aca="false">INDEX(Spec_Rack!$C$34:$G$34,AD$6)</f>
        <v>25</v>
      </c>
      <c r="AE24" s="63" t="n">
        <f aca="false">INDEX(Spec_Rack!$C$34:$G$34,AE$6)</f>
        <v>20</v>
      </c>
      <c r="AF24" s="63" t="n">
        <f aca="false">INDEX(Spec_Rack!$C$34:$G$34,AF$6)</f>
        <v>25</v>
      </c>
      <c r="AG24" s="63" t="n">
        <f aca="false">INDEX(Spec_Rack!$C$34:$G$34,AG$6)</f>
        <v>20</v>
      </c>
      <c r="AH24" s="63" t="n">
        <f aca="false">INDEX(Spec_Rack!$C$34:$G$34,AH$6)</f>
        <v>25</v>
      </c>
    </row>
    <row r="25" customFormat="false" ht="15" hidden="false" customHeight="false" outlineLevel="0" collapsed="false">
      <c r="A25" s="61" t="s">
        <v>872</v>
      </c>
      <c r="B25" s="61" t="s">
        <v>873</v>
      </c>
      <c r="C25" s="63" t="n">
        <f aca="false">INDEX(DC_Cost!$C$12:$Q$12,3*(C$6-1)+2)/CTL_GW</f>
        <v>4052</v>
      </c>
      <c r="D25" s="63" t="n">
        <f aca="false">INDEX(DC_Cost!$C$12:$Q$12,3*(D$6-1)+2)/CTL_GW</f>
        <v>6764</v>
      </c>
      <c r="E25" s="63" t="n">
        <f aca="false">INDEX(DC_Cost!$C$12:$Q$12,3*(E$6-1)+2)/CTL_GW</f>
        <v>4052</v>
      </c>
      <c r="F25" s="63" t="n">
        <f aca="false">INDEX(DC_Cost!$C$12:$Q$12,3*(F$6-1)+2)/CTL_GW</f>
        <v>6764</v>
      </c>
      <c r="G25" s="63" t="n">
        <f aca="false">INDEX(DC_Cost!$C$12:$Q$12,3*(G$6-1)+2)/CTL_GW</f>
        <v>4052</v>
      </c>
      <c r="H25" s="63" t="n">
        <f aca="false">INDEX(DC_Cost!$C$12:$Q$12,3*(H$6-1)+2)/CTL_GW</f>
        <v>6764</v>
      </c>
      <c r="I25" s="63" t="n">
        <f aca="false">INDEX(DC_Cost!$C$12:$Q$12,3*(I$6-1)+2)/CTL_GW</f>
        <v>4052</v>
      </c>
      <c r="J25" s="63" t="n">
        <f aca="false">INDEX(DC_Cost!$C$12:$Q$12,3*(J$6-1)+2)/CTL_GW</f>
        <v>6764</v>
      </c>
      <c r="K25" s="63" t="n">
        <f aca="false">INDEX(DC_Cost!$C$12:$Q$12,3*(K$6-1)+2)/CTL_GW</f>
        <v>4052</v>
      </c>
      <c r="L25" s="63" t="n">
        <f aca="false">INDEX(DC_Cost!$C$12:$Q$12,3*(L$6-1)+2)/CTL_GW</f>
        <v>6764</v>
      </c>
      <c r="M25" s="63" t="n">
        <f aca="false">INDEX(DC_Cost!$C$12:$Q$12,3*(M$6-1)+2)/CTL_GW</f>
        <v>4052</v>
      </c>
      <c r="N25" s="63" t="n">
        <f aca="false">INDEX(DC_Cost!$C$12:$Q$12,3*(N$6-1)+2)/CTL_GW</f>
        <v>6764</v>
      </c>
      <c r="O25" s="63" t="n">
        <f aca="false">INDEX(DC_Cost!$C$12:$Q$12,3*(O$6-1)+2)/CTL_GW</f>
        <v>4052</v>
      </c>
      <c r="P25" s="63" t="n">
        <f aca="false">INDEX(DC_Cost!$C$12:$Q$12,3*(P$6-1)+2)/CTL_GW</f>
        <v>6764</v>
      </c>
      <c r="Q25" s="63" t="n">
        <f aca="false">INDEX(DC_Cost!$C$12:$Q$12,3*(Q$6-1)+2)/CTL_GW</f>
        <v>4052</v>
      </c>
      <c r="R25" s="63" t="n">
        <f aca="false">INDEX(DC_Cost!$C$12:$Q$12,3*(R$6-1)+2)/CTL_GW</f>
        <v>6764</v>
      </c>
      <c r="S25" s="63" t="n">
        <f aca="false">INDEX(DC_Cost!$C$12:$Q$12,3*(S$6-1)+2)/CTL_GW</f>
        <v>4052</v>
      </c>
      <c r="T25" s="63" t="n">
        <f aca="false">INDEX(DC_Cost!$C$12:$Q$12,3*(T$6-1)+2)/CTL_GW</f>
        <v>6764</v>
      </c>
      <c r="U25" s="63" t="n">
        <f aca="false">INDEX(DC_Cost!$C$12:$Q$12,3*(U$6-1)+2)/CTL_GW</f>
        <v>4052</v>
      </c>
      <c r="V25" s="63" t="n">
        <f aca="false">INDEX(DC_Cost!$C$12:$Q$12,3*(V$6-1)+2)/CTL_GW</f>
        <v>6764</v>
      </c>
      <c r="W25" s="63" t="n">
        <f aca="false">INDEX(DC_Cost!$C$12:$Q$12,3*(W$6-1)+2)/CTL_GW</f>
        <v>4052</v>
      </c>
      <c r="X25" s="63" t="n">
        <f aca="false">INDEX(DC_Cost!$C$12:$Q$12,3*(X$6-1)+2)/CTL_GW</f>
        <v>6764</v>
      </c>
      <c r="Y25" s="63" t="n">
        <f aca="false">INDEX(DC_Cost!$C$12:$Q$12,3*(Y$6-1)+2)/CTL_GW</f>
        <v>4052</v>
      </c>
      <c r="Z25" s="63" t="n">
        <f aca="false">INDEX(DC_Cost!$C$12:$Q$12,3*(Z$6-1)+2)/CTL_GW</f>
        <v>6764</v>
      </c>
      <c r="AA25" s="63" t="n">
        <f aca="false">INDEX(DC_Cost!$C$12:$Q$12,3*(AA$6-1)+2)/CTL_GW</f>
        <v>4052</v>
      </c>
      <c r="AB25" s="63" t="n">
        <f aca="false">INDEX(DC_Cost!$C$12:$Q$12,3*(AB$6-1)+2)/CTL_GW</f>
        <v>6764</v>
      </c>
      <c r="AC25" s="63" t="n">
        <f aca="false">INDEX(DC_Cost!$C$12:$Q$12,3*(AC$6-1)+2)/CTL_GW</f>
        <v>4052</v>
      </c>
      <c r="AD25" s="63" t="n">
        <f aca="false">INDEX(DC_Cost!$C$12:$Q$12,3*(AD$6-1)+2)/CTL_GW</f>
        <v>6764</v>
      </c>
      <c r="AE25" s="63" t="n">
        <f aca="false">INDEX(DC_Cost!$C$12:$Q$12,3*(AE$6-1)+2)/CTL_GW</f>
        <v>4052</v>
      </c>
      <c r="AF25" s="63" t="n">
        <f aca="false">INDEX(DC_Cost!$C$12:$Q$12,3*(AF$6-1)+2)/CTL_GW</f>
        <v>6764</v>
      </c>
      <c r="AG25" s="63" t="n">
        <f aca="false">INDEX(DC_Cost!$C$12:$Q$12,3*(AG$6-1)+2)/CTL_GW</f>
        <v>4052</v>
      </c>
      <c r="AH25" s="63" t="n">
        <f aca="false">INDEX(DC_Cost!$C$12:$Q$12,3*(AH$6-1)+2)/CTL_GW</f>
        <v>6764</v>
      </c>
    </row>
    <row r="26" customFormat="false" ht="15" hidden="false" customHeight="false" outlineLevel="0" collapsed="false">
      <c r="A26" s="61" t="s">
        <v>874</v>
      </c>
      <c r="B26" s="62" t="s">
        <v>875</v>
      </c>
      <c r="C26" s="63" t="n">
        <f aca="false">INDEX(DC_Cost!$C$11:$Q$11,3*(C$6-1)+2)</f>
        <v>227</v>
      </c>
      <c r="D26" s="63" t="n">
        <f aca="false">INDEX(DC_Cost!$C$11:$Q$11,3*(D$6-1)+2)</f>
        <v>136</v>
      </c>
      <c r="E26" s="63" t="n">
        <f aca="false">INDEX(DC_Cost!$C$11:$Q$11,3*(E$6-1)+2)</f>
        <v>227</v>
      </c>
      <c r="F26" s="63" t="n">
        <f aca="false">INDEX(DC_Cost!$C$11:$Q$11,3*(F$6-1)+2)</f>
        <v>136</v>
      </c>
      <c r="G26" s="63" t="n">
        <f aca="false">INDEX(DC_Cost!$C$11:$Q$11,3*(G$6-1)+2)</f>
        <v>227</v>
      </c>
      <c r="H26" s="63" t="n">
        <f aca="false">INDEX(DC_Cost!$C$11:$Q$11,3*(H$6-1)+2)</f>
        <v>136</v>
      </c>
      <c r="I26" s="63" t="n">
        <f aca="false">INDEX(DC_Cost!$C$11:$Q$11,3*(I$6-1)+2)</f>
        <v>227</v>
      </c>
      <c r="J26" s="63" t="n">
        <f aca="false">INDEX(DC_Cost!$C$11:$Q$11,3*(J$6-1)+2)</f>
        <v>136</v>
      </c>
      <c r="K26" s="63" t="n">
        <f aca="false">INDEX(DC_Cost!$C$11:$Q$11,3*(K$6-1)+2)</f>
        <v>227</v>
      </c>
      <c r="L26" s="63" t="n">
        <f aca="false">INDEX(DC_Cost!$C$11:$Q$11,3*(L$6-1)+2)</f>
        <v>136</v>
      </c>
      <c r="M26" s="63" t="n">
        <f aca="false">INDEX(DC_Cost!$C$11:$Q$11,3*(M$6-1)+2)</f>
        <v>227</v>
      </c>
      <c r="N26" s="63" t="n">
        <f aca="false">INDEX(DC_Cost!$C$11:$Q$11,3*(N$6-1)+2)</f>
        <v>136</v>
      </c>
      <c r="O26" s="63" t="n">
        <f aca="false">INDEX(DC_Cost!$C$11:$Q$11,3*(O$6-1)+2)</f>
        <v>227</v>
      </c>
      <c r="P26" s="63" t="n">
        <f aca="false">INDEX(DC_Cost!$C$11:$Q$11,3*(P$6-1)+2)</f>
        <v>136</v>
      </c>
      <c r="Q26" s="63" t="n">
        <f aca="false">INDEX(DC_Cost!$C$11:$Q$11,3*(Q$6-1)+2)</f>
        <v>227</v>
      </c>
      <c r="R26" s="63" t="n">
        <f aca="false">INDEX(DC_Cost!$C$11:$Q$11,3*(R$6-1)+2)</f>
        <v>136</v>
      </c>
      <c r="S26" s="63" t="n">
        <f aca="false">INDEX(DC_Cost!$C$11:$Q$11,3*(S$6-1)+2)</f>
        <v>227</v>
      </c>
      <c r="T26" s="63" t="n">
        <f aca="false">INDEX(DC_Cost!$C$11:$Q$11,3*(T$6-1)+2)</f>
        <v>136</v>
      </c>
      <c r="U26" s="63" t="n">
        <f aca="false">INDEX(DC_Cost!$C$11:$Q$11,3*(U$6-1)+2)</f>
        <v>227</v>
      </c>
      <c r="V26" s="63" t="n">
        <f aca="false">INDEX(DC_Cost!$C$11:$Q$11,3*(V$6-1)+2)</f>
        <v>136</v>
      </c>
      <c r="W26" s="63" t="n">
        <f aca="false">INDEX(DC_Cost!$C$11:$Q$11,3*(W$6-1)+2)</f>
        <v>227</v>
      </c>
      <c r="X26" s="63" t="n">
        <f aca="false">INDEX(DC_Cost!$C$11:$Q$11,3*(X$6-1)+2)</f>
        <v>136</v>
      </c>
      <c r="Y26" s="63" t="n">
        <f aca="false">INDEX(DC_Cost!$C$11:$Q$11,3*(Y$6-1)+2)</f>
        <v>227</v>
      </c>
      <c r="Z26" s="63" t="n">
        <f aca="false">INDEX(DC_Cost!$C$11:$Q$11,3*(Z$6-1)+2)</f>
        <v>136</v>
      </c>
      <c r="AA26" s="63" t="n">
        <f aca="false">INDEX(DC_Cost!$C$11:$Q$11,3*(AA$6-1)+2)</f>
        <v>227</v>
      </c>
      <c r="AB26" s="63" t="n">
        <f aca="false">INDEX(DC_Cost!$C$11:$Q$11,3*(AB$6-1)+2)</f>
        <v>136</v>
      </c>
      <c r="AC26" s="63" t="n">
        <f aca="false">INDEX(DC_Cost!$C$11:$Q$11,3*(AC$6-1)+2)</f>
        <v>227</v>
      </c>
      <c r="AD26" s="63" t="n">
        <f aca="false">INDEX(DC_Cost!$C$11:$Q$11,3*(AD$6-1)+2)</f>
        <v>136</v>
      </c>
      <c r="AE26" s="63" t="n">
        <f aca="false">INDEX(DC_Cost!$C$11:$Q$11,3*(AE$6-1)+2)</f>
        <v>227</v>
      </c>
      <c r="AF26" s="63" t="n">
        <f aca="false">INDEX(DC_Cost!$C$11:$Q$11,3*(AF$6-1)+2)</f>
        <v>136</v>
      </c>
      <c r="AG26" s="63" t="n">
        <f aca="false">INDEX(DC_Cost!$C$11:$Q$11,3*(AG$6-1)+2)</f>
        <v>227</v>
      </c>
      <c r="AH26" s="63" t="n">
        <f aca="false">INDEX(DC_Cost!$C$11:$Q$11,3*(AH$6-1)+2)</f>
        <v>136</v>
      </c>
    </row>
    <row r="27" customFormat="false" ht="15" hidden="false" customHeight="false" outlineLevel="0" collapsed="false">
      <c r="A27" s="76" t="s">
        <v>876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</row>
    <row r="28" customFormat="false" ht="15" hidden="false" customHeight="false" outlineLevel="0" collapsed="false">
      <c r="A28" s="61" t="s">
        <v>290</v>
      </c>
      <c r="B28" s="62" t="s">
        <v>287</v>
      </c>
      <c r="C28" s="63" t="n">
        <f aca="false">INDEX(Arch!$C$7:$E$7,C$7)*INDEX(ARCH_ScaleGen,1,C$6)</f>
        <v>49</v>
      </c>
      <c r="D28" s="63" t="n">
        <f aca="false">INDEX(Arch!$C$7:$E$7,D$7)*INDEX(ARCH_ScaleGen,1,D$6)</f>
        <v>49</v>
      </c>
      <c r="E28" s="63" t="n">
        <f aca="false">INDEX(Arch!$C$7:$E$7,E$7)*INDEX(ARCH_ScaleGen,1,E$6)</f>
        <v>49</v>
      </c>
      <c r="F28" s="63" t="n">
        <f aca="false">INDEX(Arch!$C$7:$E$7,F$7)*INDEX(ARCH_ScaleGen,1,F$6)</f>
        <v>49</v>
      </c>
      <c r="G28" s="63" t="n">
        <f aca="false">INDEX(Arch!$C$7:$E$7,G$7)*INDEX(ARCH_ScaleGen,1,G$6)</f>
        <v>49</v>
      </c>
      <c r="H28" s="63" t="n">
        <f aca="false">INDEX(Arch!$C$7:$E$7,H$7)*INDEX(ARCH_ScaleGen,1,H$6)</f>
        <v>49</v>
      </c>
      <c r="I28" s="63" t="n">
        <f aca="false">INDEX(Arch!$C$7:$E$7,I$7)*INDEX(ARCH_ScaleGen,1,I$6)</f>
        <v>49</v>
      </c>
      <c r="J28" s="63" t="n">
        <f aca="false">INDEX(Arch!$C$7:$E$7,J$7)*INDEX(ARCH_ScaleGen,1,J$6)</f>
        <v>49</v>
      </c>
      <c r="K28" s="63" t="n">
        <f aca="false">INDEX(Arch!$C$7:$E$7,K$7)*INDEX(ARCH_ScaleGen,1,K$6)</f>
        <v>49</v>
      </c>
      <c r="L28" s="63" t="n">
        <f aca="false">INDEX(Arch!$C$7:$E$7,L$7)*INDEX(ARCH_ScaleGen,1,L$6)</f>
        <v>49</v>
      </c>
      <c r="M28" s="63" t="n">
        <f aca="false">INDEX(Arch!$C$7:$E$7,M$7)*INDEX(ARCH_ScaleGen,1,M$6)</f>
        <v>49</v>
      </c>
      <c r="N28" s="63" t="n">
        <f aca="false">INDEX(Arch!$C$7:$E$7,N$7)*INDEX(ARCH_ScaleGen,1,N$6)</f>
        <v>49</v>
      </c>
      <c r="O28" s="63" t="n">
        <f aca="false">INDEX(Arch!$C$7:$E$7,O$7)*INDEX(ARCH_ScaleGen,1,O$6)</f>
        <v>49</v>
      </c>
      <c r="P28" s="63" t="n">
        <f aca="false">INDEX(Arch!$C$7:$E$7,P$7)*INDEX(ARCH_ScaleGen,1,P$6)</f>
        <v>49</v>
      </c>
      <c r="Q28" s="63" t="n">
        <f aca="false">INDEX(Arch!$C$7:$E$7,Q$7)*INDEX(ARCH_ScaleGen,1,Q$6)</f>
        <v>49</v>
      </c>
      <c r="R28" s="63" t="n">
        <f aca="false">INDEX(Arch!$C$7:$E$7,R$7)*INDEX(ARCH_ScaleGen,1,R$6)</f>
        <v>49</v>
      </c>
      <c r="S28" s="63" t="n">
        <f aca="false">INDEX(Arch!$C$7:$E$7,S$7)*INDEX(ARCH_ScaleGen,1,S$6)</f>
        <v>49</v>
      </c>
      <c r="T28" s="63" t="n">
        <f aca="false">INDEX(Arch!$C$7:$E$7,T$7)*INDEX(ARCH_ScaleGen,1,T$6)</f>
        <v>49</v>
      </c>
      <c r="U28" s="63" t="n">
        <f aca="false">INDEX(Arch!$C$7:$E$7,U$7)*INDEX(ARCH_ScaleGen,1,U$6)</f>
        <v>49</v>
      </c>
      <c r="V28" s="63" t="n">
        <f aca="false">INDEX(Arch!$C$7:$E$7,V$7)*INDEX(ARCH_ScaleGen,1,V$6)</f>
        <v>49</v>
      </c>
      <c r="W28" s="63" t="n">
        <f aca="false">INDEX(Arch!$C$7:$E$7,W$7)*INDEX(ARCH_ScaleGen,1,W$6)</f>
        <v>49</v>
      </c>
      <c r="X28" s="63" t="n">
        <f aca="false">INDEX(Arch!$C$7:$E$7,X$7)*INDEX(ARCH_ScaleGen,1,X$6)</f>
        <v>49</v>
      </c>
      <c r="Y28" s="63" t="n">
        <f aca="false">INDEX(Arch!$C$7:$E$7,Y$7)*INDEX(ARCH_ScaleGen,1,Y$6)</f>
        <v>49</v>
      </c>
      <c r="Z28" s="63" t="n">
        <f aca="false">INDEX(Arch!$C$7:$E$7,Z$7)*INDEX(ARCH_ScaleGen,1,Z$6)</f>
        <v>49</v>
      </c>
      <c r="AA28" s="63" t="n">
        <f aca="false">INDEX(Arch!$C$7:$E$7,AA$7)*INDEX(ARCH_ScaleGen,1,AA$6)</f>
        <v>49</v>
      </c>
      <c r="AB28" s="63" t="n">
        <f aca="false">INDEX(Arch!$C$7:$E$7,AB$7)*INDEX(ARCH_ScaleGen,1,AB$6)</f>
        <v>49</v>
      </c>
      <c r="AC28" s="63" t="n">
        <f aca="false">INDEX(Arch!$C$7:$E$7,AC$7)*INDEX(ARCH_ScaleGen,1,AC$6)</f>
        <v>180</v>
      </c>
      <c r="AD28" s="63" t="n">
        <f aca="false">INDEX(Arch!$C$7:$E$7,AD$7)*INDEX(ARCH_ScaleGen,1,AD$6)</f>
        <v>180</v>
      </c>
      <c r="AE28" s="63" t="n">
        <f aca="false">INDEX(Arch!$C$7:$E$7,AE$7)*INDEX(ARCH_ScaleGen,1,AE$6)</f>
        <v>180</v>
      </c>
      <c r="AF28" s="63" t="n">
        <f aca="false">INDEX(Arch!$C$7:$E$7,AF$7)*INDEX(ARCH_ScaleGen,1,AF$6)</f>
        <v>180</v>
      </c>
      <c r="AG28" s="63" t="n">
        <f aca="false">INDEX(Arch!$C$7:$E$7,AG$7)*INDEX(ARCH_ScaleGen,1,AG$6)</f>
        <v>180</v>
      </c>
      <c r="AH28" s="63" t="n">
        <f aca="false">INDEX(Arch!$C$7:$E$7,AH$7)*INDEX(ARCH_ScaleGen,1,AH$6)</f>
        <v>180</v>
      </c>
    </row>
    <row r="29" customFormat="false" ht="15" hidden="false" customHeight="false" outlineLevel="0" collapsed="false">
      <c r="A29" s="61" t="s">
        <v>292</v>
      </c>
      <c r="B29" s="61" t="s">
        <v>293</v>
      </c>
      <c r="C29" s="63" t="n">
        <f aca="false">INDEX(Arch!$C$8:$E$8,C$7)</f>
        <v>61</v>
      </c>
      <c r="D29" s="63" t="n">
        <f aca="false">INDEX(Arch!$C$8:$E$8,D$7)</f>
        <v>61</v>
      </c>
      <c r="E29" s="63" t="n">
        <f aca="false">INDEX(Arch!$C$8:$E$8,E$7)</f>
        <v>61</v>
      </c>
      <c r="F29" s="63" t="n">
        <f aca="false">INDEX(Arch!$C$8:$E$8,F$7)</f>
        <v>61</v>
      </c>
      <c r="G29" s="63" t="n">
        <f aca="false">INDEX(Arch!$C$8:$E$8,G$7)</f>
        <v>61</v>
      </c>
      <c r="H29" s="63" t="n">
        <f aca="false">INDEX(Arch!$C$8:$E$8,H$7)</f>
        <v>61</v>
      </c>
      <c r="I29" s="63" t="n">
        <f aca="false">INDEX(Arch!$C$8:$E$8,I$7)</f>
        <v>61</v>
      </c>
      <c r="J29" s="63" t="n">
        <f aca="false">INDEX(Arch!$C$8:$E$8,J$7)</f>
        <v>61</v>
      </c>
      <c r="K29" s="63" t="n">
        <f aca="false">INDEX(Arch!$C$8:$E$8,K$7)</f>
        <v>61</v>
      </c>
      <c r="L29" s="63" t="n">
        <f aca="false">INDEX(Arch!$C$8:$E$8,L$7)</f>
        <v>61</v>
      </c>
      <c r="M29" s="63" t="n">
        <f aca="false">INDEX(Arch!$C$8:$E$8,M$7)</f>
        <v>61</v>
      </c>
      <c r="N29" s="63" t="n">
        <f aca="false">INDEX(Arch!$C$8:$E$8,N$7)</f>
        <v>61</v>
      </c>
      <c r="O29" s="63" t="n">
        <f aca="false">INDEX(Arch!$C$8:$E$8,O$7)</f>
        <v>61</v>
      </c>
      <c r="P29" s="63" t="n">
        <f aca="false">INDEX(Arch!$C$8:$E$8,P$7)</f>
        <v>61</v>
      </c>
      <c r="Q29" s="63" t="n">
        <f aca="false">INDEX(Arch!$C$8:$E$8,Q$7)</f>
        <v>61</v>
      </c>
      <c r="R29" s="63" t="n">
        <f aca="false">INDEX(Arch!$C$8:$E$8,R$7)</f>
        <v>61</v>
      </c>
      <c r="S29" s="63" t="n">
        <f aca="false">INDEX(Arch!$C$8:$E$8,S$7)</f>
        <v>61</v>
      </c>
      <c r="T29" s="63" t="n">
        <f aca="false">INDEX(Arch!$C$8:$E$8,T$7)</f>
        <v>61</v>
      </c>
      <c r="U29" s="63" t="n">
        <f aca="false">INDEX(Arch!$C$8:$E$8,U$7)</f>
        <v>61</v>
      </c>
      <c r="V29" s="63" t="n">
        <f aca="false">INDEX(Arch!$C$8:$E$8,V$7)</f>
        <v>61</v>
      </c>
      <c r="W29" s="63" t="n">
        <f aca="false">INDEX(Arch!$C$8:$E$8,W$7)</f>
        <v>61</v>
      </c>
      <c r="X29" s="63" t="n">
        <f aca="false">INDEX(Arch!$C$8:$E$8,X$7)</f>
        <v>61</v>
      </c>
      <c r="Y29" s="63" t="n">
        <f aca="false">INDEX(Arch!$C$8:$E$8,Y$7)</f>
        <v>61</v>
      </c>
      <c r="Z29" s="63" t="n">
        <f aca="false">INDEX(Arch!$C$8:$E$8,Z$7)</f>
        <v>61</v>
      </c>
      <c r="AA29" s="63" t="n">
        <f aca="false">INDEX(Arch!$C$8:$E$8,AA$7)</f>
        <v>61</v>
      </c>
      <c r="AB29" s="63" t="n">
        <f aca="false">INDEX(Arch!$C$8:$E$8,AB$7)</f>
        <v>61</v>
      </c>
      <c r="AC29" s="63" t="n">
        <f aca="false">INDEX(Arch!$C$8:$E$8,AC$7)</f>
        <v>100</v>
      </c>
      <c r="AD29" s="63" t="n">
        <f aca="false">INDEX(Arch!$C$8:$E$8,AD$7)</f>
        <v>100</v>
      </c>
      <c r="AE29" s="63" t="n">
        <f aca="false">INDEX(Arch!$C$8:$E$8,AE$7)</f>
        <v>100</v>
      </c>
      <c r="AF29" s="63" t="n">
        <f aca="false">INDEX(Arch!$C$8:$E$8,AF$7)</f>
        <v>100</v>
      </c>
      <c r="AG29" s="63" t="n">
        <f aca="false">INDEX(Arch!$C$8:$E$8,AG$7)</f>
        <v>100</v>
      </c>
      <c r="AH29" s="63" t="n">
        <f aca="false">INDEX(Arch!$C$8:$E$8,AH$7)</f>
        <v>100</v>
      </c>
    </row>
    <row r="30" customFormat="false" ht="15" hidden="false" customHeight="false" outlineLevel="0" collapsed="false">
      <c r="A30" s="62" t="s">
        <v>295</v>
      </c>
      <c r="B30" s="61"/>
      <c r="C30" s="63" t="n">
        <f aca="false">INDEX(Arch!$C$9:$E$9,C$7)</f>
        <v>7168</v>
      </c>
      <c r="D30" s="63" t="n">
        <f aca="false">INDEX(Arch!$C$9:$E$9,D$7)</f>
        <v>7168</v>
      </c>
      <c r="E30" s="63" t="n">
        <f aca="false">INDEX(Arch!$C$9:$E$9,E$7)</f>
        <v>7168</v>
      </c>
      <c r="F30" s="63" t="n">
        <f aca="false">INDEX(Arch!$C$9:$E$9,F$7)</f>
        <v>7168</v>
      </c>
      <c r="G30" s="63" t="n">
        <f aca="false">INDEX(Arch!$C$9:$E$9,G$7)</f>
        <v>7168</v>
      </c>
      <c r="H30" s="63" t="n">
        <f aca="false">INDEX(Arch!$C$9:$E$9,H$7)</f>
        <v>7168</v>
      </c>
      <c r="I30" s="63" t="n">
        <f aca="false">INDEX(Arch!$C$9:$E$9,I$7)</f>
        <v>7168</v>
      </c>
      <c r="J30" s="63" t="n">
        <f aca="false">INDEX(Arch!$C$9:$E$9,J$7)</f>
        <v>7168</v>
      </c>
      <c r="K30" s="63" t="n">
        <f aca="false">INDEX(Arch!$C$9:$E$9,K$7)</f>
        <v>7168</v>
      </c>
      <c r="L30" s="63" t="n">
        <f aca="false">INDEX(Arch!$C$9:$E$9,L$7)</f>
        <v>7168</v>
      </c>
      <c r="M30" s="63" t="n">
        <f aca="false">INDEX(Arch!$C$9:$E$9,M$7)</f>
        <v>7168</v>
      </c>
      <c r="N30" s="63" t="n">
        <f aca="false">INDEX(Arch!$C$9:$E$9,N$7)</f>
        <v>7168</v>
      </c>
      <c r="O30" s="63" t="n">
        <f aca="false">INDEX(Arch!$C$9:$E$9,O$7)</f>
        <v>7168</v>
      </c>
      <c r="P30" s="63" t="n">
        <f aca="false">INDEX(Arch!$C$9:$E$9,P$7)</f>
        <v>7168</v>
      </c>
      <c r="Q30" s="63" t="n">
        <f aca="false">INDEX(Arch!$C$9:$E$9,Q$7)</f>
        <v>7168</v>
      </c>
      <c r="R30" s="63" t="n">
        <f aca="false">INDEX(Arch!$C$9:$E$9,R$7)</f>
        <v>7168</v>
      </c>
      <c r="S30" s="63" t="n">
        <f aca="false">INDEX(Arch!$C$9:$E$9,S$7)</f>
        <v>7168</v>
      </c>
      <c r="T30" s="63" t="n">
        <f aca="false">INDEX(Arch!$C$9:$E$9,T$7)</f>
        <v>7168</v>
      </c>
      <c r="U30" s="63" t="n">
        <f aca="false">INDEX(Arch!$C$9:$E$9,U$7)</f>
        <v>7168</v>
      </c>
      <c r="V30" s="63" t="n">
        <f aca="false">INDEX(Arch!$C$9:$E$9,V$7)</f>
        <v>7168</v>
      </c>
      <c r="W30" s="63" t="n">
        <f aca="false">INDEX(Arch!$C$9:$E$9,W$7)</f>
        <v>7168</v>
      </c>
      <c r="X30" s="63" t="n">
        <f aca="false">INDEX(Arch!$C$9:$E$9,X$7)</f>
        <v>7168</v>
      </c>
      <c r="Y30" s="63" t="n">
        <f aca="false">INDEX(Arch!$C$9:$E$9,Y$7)</f>
        <v>7168</v>
      </c>
      <c r="Z30" s="63" t="n">
        <f aca="false">INDEX(Arch!$C$9:$E$9,Z$7)</f>
        <v>7168</v>
      </c>
      <c r="AA30" s="63" t="n">
        <f aca="false">INDEX(Arch!$C$9:$E$9,AA$7)</f>
        <v>7168</v>
      </c>
      <c r="AB30" s="63" t="n">
        <f aca="false">INDEX(Arch!$C$9:$E$9,AB$7)</f>
        <v>7168</v>
      </c>
      <c r="AC30" s="63" t="n">
        <f aca="false">INDEX(Arch!$C$9:$E$9,AC$7)</f>
        <v>12288</v>
      </c>
      <c r="AD30" s="63" t="n">
        <f aca="false">INDEX(Arch!$C$9:$E$9,AD$7)</f>
        <v>12288</v>
      </c>
      <c r="AE30" s="63" t="n">
        <f aca="false">INDEX(Arch!$C$9:$E$9,AE$7)</f>
        <v>12288</v>
      </c>
      <c r="AF30" s="63" t="n">
        <f aca="false">INDEX(Arch!$C$9:$E$9,AF$7)</f>
        <v>12288</v>
      </c>
      <c r="AG30" s="63" t="n">
        <f aca="false">INDEX(Arch!$C$9:$E$9,AG$7)</f>
        <v>12288</v>
      </c>
      <c r="AH30" s="63" t="n">
        <f aca="false">INDEX(Arch!$C$9:$E$9,AH$7)</f>
        <v>12288</v>
      </c>
    </row>
    <row r="31" customFormat="false" ht="15" hidden="false" customHeight="false" outlineLevel="0" collapsed="false">
      <c r="A31" s="61" t="s">
        <v>877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6</v>
      </c>
      <c r="R31" s="63" t="n">
        <f aca="false">INDEX(Arch!$C$13:$E$13,R$7)</f>
        <v>6</v>
      </c>
      <c r="S31" s="63" t="n">
        <f aca="false">INDEX(Arch!$C$13:$E$13,S$7)</f>
        <v>6</v>
      </c>
      <c r="T31" s="63" t="n">
        <f aca="false">INDEX(Arch!$C$13:$E$13,T$7)</f>
        <v>6</v>
      </c>
      <c r="U31" s="63" t="n">
        <f aca="false">INDEX(Arch!$C$13:$E$13,U$7)</f>
        <v>6</v>
      </c>
      <c r="V31" s="63" t="n">
        <f aca="false">INDEX(Arch!$C$13:$E$13,V$7)</f>
        <v>6</v>
      </c>
      <c r="W31" s="63" t="n">
        <f aca="false">INDEX(Arch!$C$13:$E$13,W$7)</f>
        <v>6</v>
      </c>
      <c r="X31" s="63" t="n">
        <f aca="false">INDEX(Arch!$C$13:$E$13,X$7)</f>
        <v>6</v>
      </c>
      <c r="Y31" s="63" t="n">
        <f aca="false">INDEX(Arch!$C$13:$E$13,Y$7)</f>
        <v>6</v>
      </c>
      <c r="Z31" s="63" t="n">
        <f aca="false">INDEX(Arch!$C$13:$E$13,Z$7)</f>
        <v>6</v>
      </c>
      <c r="AA31" s="63" t="n">
        <f aca="false">INDEX(Arch!$C$13:$E$13,AA$7)</f>
        <v>6</v>
      </c>
      <c r="AB31" s="63" t="n">
        <f aca="false">INDEX(Arch!$C$13:$E$13,AB$7)</f>
        <v>6</v>
      </c>
      <c r="AC31" s="63" t="n">
        <f aca="false">INDEX(Arch!$C$13:$E$13,AC$7)</f>
        <v>16</v>
      </c>
      <c r="AD31" s="63" t="n">
        <f aca="false">INDEX(Arch!$C$13:$E$13,AD$7)</f>
        <v>16</v>
      </c>
      <c r="AE31" s="63" t="n">
        <f aca="false">INDEX(Arch!$C$13:$E$13,AE$7)</f>
        <v>16</v>
      </c>
      <c r="AF31" s="63" t="n">
        <f aca="false">INDEX(Arch!$C$13:$E$13,AF$7)</f>
        <v>16</v>
      </c>
      <c r="AG31" s="63" t="n">
        <f aca="false">INDEX(Arch!$C$13:$E$13,AG$7)</f>
        <v>16</v>
      </c>
      <c r="AH31" s="63" t="n">
        <f aca="false">INDEX(Arch!$C$13:$E$13,AH$7)</f>
        <v>16</v>
      </c>
    </row>
    <row r="32" customFormat="false" ht="15" hidden="false" customHeight="false" outlineLevel="0" collapsed="false">
      <c r="A32" s="61" t="s">
        <v>521</v>
      </c>
      <c r="B32" s="62" t="s">
        <v>287</v>
      </c>
      <c r="C32" s="98" t="n">
        <f aca="false">INDEX(Arch!$C$28:$E$28,C$7)*INDEX(ARCH_ScaleGen,1,C$6)</f>
        <v>20.2777777777778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20.2777777777778</v>
      </c>
      <c r="F32" s="98" t="n">
        <f aca="false">INDEX(Arch!$C$28:$E$28,F$7)*INDEX(ARCH_ScaleGen,1,F$6)</f>
        <v>20.2777777777778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20.2777777777778</v>
      </c>
      <c r="I32" s="98" t="n">
        <f aca="false">INDEX(Arch!$C$28:$E$28,I$7)*INDEX(ARCH_ScaleGen,1,I$6)</f>
        <v>20.2777777777778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20.2777777777778</v>
      </c>
      <c r="L32" s="98" t="n">
        <f aca="false">INDEX(Arch!$C$28:$E$28,L$7)*INDEX(ARCH_ScaleGen,1,L$6)</f>
        <v>20.2777777777778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20.2777777777778</v>
      </c>
      <c r="O32" s="98" t="n">
        <f aca="false">INDEX(Arch!$C$28:$E$28,O$7)*INDEX(ARCH_ScaleGen,1,O$6)</f>
        <v>20.2777777777778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20.2777777777778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20.2777777777778</v>
      </c>
      <c r="T32" s="98" t="n">
        <f aca="false">INDEX(Arch!$C$28:$E$28,T$7)*INDEX(ARCH_ScaleGen,1,T$6)</f>
        <v>20.2777777777778</v>
      </c>
      <c r="U32" s="98" t="n">
        <f aca="false">INDEX(Arch!$C$28:$E$28,U$7)*INDEX(ARCH_ScaleGen,1,U$6)</f>
        <v>20.2777777777778</v>
      </c>
      <c r="V32" s="98" t="n">
        <f aca="false">INDEX(Arch!$C$28:$E$28,V$7)*INDEX(ARCH_ScaleGen,1,V$6)</f>
        <v>20.2777777777778</v>
      </c>
      <c r="W32" s="98" t="n">
        <f aca="false">INDEX(Arch!$C$28:$E$28,W$7)*INDEX(ARCH_ScaleGen,1,W$6)</f>
        <v>20.2777777777778</v>
      </c>
      <c r="X32" s="98" t="n">
        <f aca="false">INDEX(Arch!$C$28:$E$28,X$7)*INDEX(ARCH_ScaleGen,1,X$6)</f>
        <v>20.2777777777778</v>
      </c>
      <c r="Y32" s="98" t="n">
        <f aca="false">INDEX(Arch!$C$28:$E$28,Y$7)*INDEX(ARCH_ScaleGen,1,Y$6)</f>
        <v>20.2777777777778</v>
      </c>
      <c r="Z32" s="98" t="n">
        <f aca="false">INDEX(Arch!$C$28:$E$28,Z$7)*INDEX(ARCH_ScaleGen,1,Z$6)</f>
        <v>20.2777777777778</v>
      </c>
      <c r="AA32" s="98" t="n">
        <f aca="false">INDEX(Arch!$C$28:$E$28,AA$7)*INDEX(ARCH_ScaleGen,1,AA$6)</f>
        <v>20.2777777777778</v>
      </c>
      <c r="AB32" s="98" t="n">
        <f aca="false">INDEX(Arch!$C$28:$E$28,AB$7)*INDEX(ARCH_ScaleGen,1,AB$6)</f>
        <v>20.2777777777778</v>
      </c>
      <c r="AC32" s="98" t="n">
        <f aca="false">INDEX(Arch!$C$28:$E$28,AC$7)*INDEX(ARCH_ScaleGen,1,AC$6)</f>
        <v>49.0725806451613</v>
      </c>
      <c r="AD32" s="98" t="n">
        <f aca="false">INDEX(Arch!$C$28:$E$28,AD$7)*INDEX(ARCH_ScaleGen,1,AD$6)</f>
        <v>49.0725806451613</v>
      </c>
      <c r="AE32" s="98" t="n">
        <f aca="false">INDEX(Arch!$C$28:$E$28,AE$7)*INDEX(ARCH_ScaleGen,1,AE$6)</f>
        <v>49.0725806451613</v>
      </c>
      <c r="AF32" s="98" t="n">
        <f aca="false">INDEX(Arch!$C$28:$E$28,AF$7)*INDEX(ARCH_ScaleGen,1,AF$6)</f>
        <v>49.0725806451613</v>
      </c>
      <c r="AG32" s="98" t="n">
        <f aca="false">INDEX(Arch!$C$28:$E$28,AG$7)*INDEX(ARCH_ScaleGen,1,AG$6)</f>
        <v>49.0725806451613</v>
      </c>
      <c r="AH32" s="98" t="n">
        <f aca="false">INDEX(Arch!$C$28:$E$28,AH$7)*INDEX(ARCH_ScaleGen,1,AH$6)</f>
        <v>49.0725806451613</v>
      </c>
    </row>
    <row r="33" customFormat="false" ht="15" hidden="false" customHeight="false" outlineLevel="0" collapsed="false">
      <c r="A33" s="61" t="s">
        <v>328</v>
      </c>
      <c r="B33" s="62" t="s">
        <v>287</v>
      </c>
      <c r="C33" s="63" t="n">
        <f aca="false">INDEX(Arch!$C$29:$E$29,C$7)*INDEX(ARCH_ScaleGen,1,C$6)</f>
        <v>1579.72222222222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1579.72222222222</v>
      </c>
      <c r="F33" s="63" t="n">
        <f aca="false">INDEX(Arch!$C$29:$E$29,F$7)*INDEX(ARCH_ScaleGen,1,F$6)</f>
        <v>1579.72222222222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1579.72222222222</v>
      </c>
      <c r="I33" s="63" t="n">
        <f aca="false">INDEX(Arch!$C$29:$E$29,I$7)*INDEX(ARCH_ScaleGen,1,I$6)</f>
        <v>1579.72222222222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1579.72222222222</v>
      </c>
      <c r="L33" s="63" t="n">
        <f aca="false">INDEX(Arch!$C$29:$E$29,L$7)*INDEX(ARCH_ScaleGen,1,L$6)</f>
        <v>1579.72222222222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1579.72222222222</v>
      </c>
      <c r="O33" s="63" t="n">
        <f aca="false">INDEX(Arch!$C$29:$E$29,O$7)*INDEX(ARCH_ScaleGen,1,O$6)</f>
        <v>1579.72222222222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1579.72222222222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1579.72222222222</v>
      </c>
      <c r="T33" s="63" t="n">
        <f aca="false">INDEX(Arch!$C$29:$E$29,T$7)*INDEX(ARCH_ScaleGen,1,T$6)</f>
        <v>1579.72222222222</v>
      </c>
      <c r="U33" s="63" t="n">
        <f aca="false">INDEX(Arch!$C$29:$E$29,U$7)*INDEX(ARCH_ScaleGen,1,U$6)</f>
        <v>1579.72222222222</v>
      </c>
      <c r="V33" s="63" t="n">
        <f aca="false">INDEX(Arch!$C$29:$E$29,V$7)*INDEX(ARCH_ScaleGen,1,V$6)</f>
        <v>1579.72222222222</v>
      </c>
      <c r="W33" s="63" t="n">
        <f aca="false">INDEX(Arch!$C$29:$E$29,W$7)*INDEX(ARCH_ScaleGen,1,W$6)</f>
        <v>1579.72222222222</v>
      </c>
      <c r="X33" s="63" t="n">
        <f aca="false">INDEX(Arch!$C$29:$E$29,X$7)*INDEX(ARCH_ScaleGen,1,X$6)</f>
        <v>1579.72222222222</v>
      </c>
      <c r="Y33" s="63" t="n">
        <f aca="false">INDEX(Arch!$C$29:$E$29,Y$7)*INDEX(ARCH_ScaleGen,1,Y$6)</f>
        <v>1579.72222222222</v>
      </c>
      <c r="Z33" s="63" t="n">
        <f aca="false">INDEX(Arch!$C$29:$E$29,Z$7)*INDEX(ARCH_ScaleGen,1,Z$6)</f>
        <v>1579.72222222222</v>
      </c>
      <c r="AA33" s="63" t="n">
        <f aca="false">INDEX(Arch!$C$29:$E$29,AA$7)*INDEX(ARCH_ScaleGen,1,AA$6)</f>
        <v>1579.72222222222</v>
      </c>
      <c r="AB33" s="63" t="n">
        <f aca="false">INDEX(Arch!$C$29:$E$29,AB$7)*INDEX(ARCH_ScaleGen,1,AB$6)</f>
        <v>1579.72222222222</v>
      </c>
      <c r="AC33" s="63" t="n">
        <f aca="false">INDEX(Arch!$C$29:$E$29,AC$7)*INDEX(ARCH_ScaleGen,1,AC$6)</f>
        <v>3950.92741935484</v>
      </c>
      <c r="AD33" s="63" t="n">
        <f aca="false">INDEX(Arch!$C$29:$E$29,AD$7)*INDEX(ARCH_ScaleGen,1,AD$6)</f>
        <v>3950.92741935484</v>
      </c>
      <c r="AE33" s="63" t="n">
        <f aca="false">INDEX(Arch!$C$29:$E$29,AE$7)*INDEX(ARCH_ScaleGen,1,AE$6)</f>
        <v>3950.92741935484</v>
      </c>
      <c r="AF33" s="63" t="n">
        <f aca="false">INDEX(Arch!$C$29:$E$29,AF$7)*INDEX(ARCH_ScaleGen,1,AF$6)</f>
        <v>3950.92741935484</v>
      </c>
      <c r="AG33" s="63" t="n">
        <f aca="false">INDEX(Arch!$C$29:$E$29,AG$7)*INDEX(ARCH_ScaleGen,1,AG$6)</f>
        <v>3950.92741935484</v>
      </c>
      <c r="AH33" s="63" t="n">
        <f aca="false">INDEX(Arch!$C$29:$E$29,AH$7)*INDEX(ARCH_ScaleGen,1,AH$6)</f>
        <v>3950.92741935484</v>
      </c>
    </row>
    <row r="34" customFormat="false" ht="15" hidden="false" customHeight="false" outlineLevel="0" collapsed="false">
      <c r="A34" s="62" t="s">
        <v>878</v>
      </c>
      <c r="B34" s="62" t="s">
        <v>287</v>
      </c>
      <c r="C34" s="63" t="n">
        <f aca="false">INDEX(Arch!$C$25:$E$25,C$7)*C11</f>
        <v>3965</v>
      </c>
      <c r="D34" s="63" t="n">
        <f aca="false">INDEX(Arch!$C$25:$E$25,D$7)*D11</f>
        <v>3965</v>
      </c>
      <c r="E34" s="63" t="n">
        <f aca="false">INDEX(Arch!$C$25:$E$25,E$7)*E11</f>
        <v>3965</v>
      </c>
      <c r="F34" s="63" t="n">
        <f aca="false">INDEX(Arch!$C$25:$E$25,F$7)*F11</f>
        <v>3965</v>
      </c>
      <c r="G34" s="63" t="n">
        <f aca="false">INDEX(Arch!$C$25:$E$25,G$7)*G11</f>
        <v>3965</v>
      </c>
      <c r="H34" s="63" t="n">
        <f aca="false">INDEX(Arch!$C$25:$E$25,H$7)*H11</f>
        <v>3965</v>
      </c>
      <c r="I34" s="63" t="n">
        <f aca="false">INDEX(Arch!$C$25:$E$25,I$7)*I11</f>
        <v>3965</v>
      </c>
      <c r="J34" s="63" t="n">
        <f aca="false">INDEX(Arch!$C$25:$E$25,J$7)*J11</f>
        <v>3965</v>
      </c>
      <c r="K34" s="63" t="n">
        <f aca="false">INDEX(Arch!$C$25:$E$25,K$7)*K11</f>
        <v>3965</v>
      </c>
      <c r="L34" s="63" t="n">
        <f aca="false">INDEX(Arch!$C$25:$E$25,L$7)*L11</f>
        <v>3965</v>
      </c>
      <c r="M34" s="63" t="n">
        <f aca="false">INDEX(Arch!$C$25:$E$25,M$7)*M11</f>
        <v>3965</v>
      </c>
      <c r="N34" s="63" t="n">
        <f aca="false">INDEX(Arch!$C$25:$E$25,N$7)*N11</f>
        <v>3965</v>
      </c>
      <c r="O34" s="63" t="n">
        <f aca="false">INDEX(Arch!$C$25:$E$25,O$7)*O11</f>
        <v>3965</v>
      </c>
      <c r="P34" s="63" t="n">
        <f aca="false">INDEX(Arch!$C$25:$E$25,P$7)*P11</f>
        <v>3965</v>
      </c>
      <c r="Q34" s="63" t="n">
        <f aca="false">INDEX(Arch!$C$25:$E$25,Q$7)*Q11</f>
        <v>3965</v>
      </c>
      <c r="R34" s="63" t="n">
        <f aca="false">INDEX(Arch!$C$25:$E$25,R$7)*R11</f>
        <v>3965</v>
      </c>
      <c r="S34" s="63" t="n">
        <f aca="false">INDEX(Arch!$C$25:$E$25,S$7)*S11</f>
        <v>3965</v>
      </c>
      <c r="T34" s="63" t="n">
        <f aca="false">INDEX(Arch!$C$25:$E$25,T$7)*T11</f>
        <v>3965</v>
      </c>
      <c r="U34" s="63" t="n">
        <f aca="false">INDEX(Arch!$C$25:$E$25,U$7)*U11</f>
        <v>3965</v>
      </c>
      <c r="V34" s="63" t="n">
        <f aca="false">INDEX(Arch!$C$25:$E$25,V$7)*V11</f>
        <v>3965</v>
      </c>
      <c r="W34" s="63" t="n">
        <f aca="false">INDEX(Arch!$C$25:$E$25,W$7)*W11</f>
        <v>3965</v>
      </c>
      <c r="X34" s="63" t="n">
        <f aca="false">INDEX(Arch!$C$25:$E$25,X$7)*X11</f>
        <v>3965</v>
      </c>
      <c r="Y34" s="63" t="n">
        <f aca="false">INDEX(Arch!$C$25:$E$25,Y$7)*Y11</f>
        <v>3965</v>
      </c>
      <c r="Z34" s="63" t="n">
        <f aca="false">INDEX(Arch!$C$25:$E$25,Z$7)*Z11</f>
        <v>3965</v>
      </c>
      <c r="AA34" s="63" t="n">
        <f aca="false">INDEX(Arch!$C$25:$E$25,AA$7)*AA11</f>
        <v>3965</v>
      </c>
      <c r="AB34" s="63" t="n">
        <f aca="false">INDEX(Arch!$C$25:$E$25,AB$7)*AB11</f>
        <v>3965</v>
      </c>
      <c r="AC34" s="122" t="n">
        <f aca="false">Arch!$E$21</f>
        <v>14976</v>
      </c>
      <c r="AD34" s="122" t="n">
        <f aca="false">Arch!$E$21</f>
        <v>14976</v>
      </c>
      <c r="AE34" s="122" t="n">
        <f aca="false">Arch!$E$22</f>
        <v>57600</v>
      </c>
      <c r="AF34" s="122" t="n">
        <f aca="false">Arch!$E$22</f>
        <v>57600</v>
      </c>
      <c r="AG34" s="122" t="n">
        <f aca="false">Arch!$E$23</f>
        <v>204800</v>
      </c>
      <c r="AH34" s="122" t="n">
        <f aca="false">Arch!$E$23</f>
        <v>204800</v>
      </c>
    </row>
    <row r="35" customFormat="false" ht="15" hidden="false" customHeight="false" outlineLevel="0" collapsed="false">
      <c r="A35" s="61" t="s">
        <v>526</v>
      </c>
      <c r="B35" s="62" t="s">
        <v>330</v>
      </c>
      <c r="C35" s="63" t="n">
        <f aca="false">INDEX(Arch!$C$30:$E$30,C$7)</f>
        <v>15990784</v>
      </c>
      <c r="D35" s="63" t="n">
        <f aca="false">INDEX(Arch!$C$30:$E$30,D$7)</f>
        <v>15990784</v>
      </c>
      <c r="E35" s="63" t="n">
        <f aca="false">INDEX(Arch!$C$30:$E$30,E$7)</f>
        <v>15990784</v>
      </c>
      <c r="F35" s="63" t="n">
        <f aca="false">INDEX(Arch!$C$30:$E$30,F$7)</f>
        <v>15990784</v>
      </c>
      <c r="G35" s="63" t="n">
        <f aca="false">INDEX(Arch!$C$30:$E$30,G$7)</f>
        <v>15990784</v>
      </c>
      <c r="H35" s="63" t="n">
        <f aca="false">INDEX(Arch!$C$30:$E$30,H$7)</f>
        <v>15990784</v>
      </c>
      <c r="I35" s="63" t="n">
        <f aca="false">INDEX(Arch!$C$30:$E$30,I$7)</f>
        <v>15990784</v>
      </c>
      <c r="J35" s="63" t="n">
        <f aca="false">INDEX(Arch!$C$30:$E$30,J$7)</f>
        <v>15990784</v>
      </c>
      <c r="K35" s="63" t="n">
        <f aca="false">INDEX(Arch!$C$30:$E$30,K$7)</f>
        <v>15990784</v>
      </c>
      <c r="L35" s="63" t="n">
        <f aca="false">INDEX(Arch!$C$30:$E$30,L$7)</f>
        <v>15990784</v>
      </c>
      <c r="M35" s="63" t="n">
        <f aca="false">INDEX(Arch!$C$30:$E$30,M$7)</f>
        <v>15990784</v>
      </c>
      <c r="N35" s="63" t="n">
        <f aca="false">INDEX(Arch!$C$30:$E$30,N$7)</f>
        <v>15990784</v>
      </c>
      <c r="O35" s="63" t="n">
        <f aca="false">INDEX(Arch!$C$30:$E$30,O$7)</f>
        <v>15990784</v>
      </c>
      <c r="P35" s="63" t="n">
        <f aca="false">INDEX(Arch!$C$30:$E$30,P$7)</f>
        <v>15990784</v>
      </c>
      <c r="Q35" s="63" t="n">
        <f aca="false">INDEX(Arch!$C$30:$E$30,Q$7)</f>
        <v>15990784</v>
      </c>
      <c r="R35" s="63" t="n">
        <f aca="false">INDEX(Arch!$C$30:$E$30,R$7)</f>
        <v>15990784</v>
      </c>
      <c r="S35" s="63" t="n">
        <f aca="false">INDEX(Arch!$C$30:$E$30,S$7)</f>
        <v>15990784</v>
      </c>
      <c r="T35" s="63" t="n">
        <f aca="false">INDEX(Arch!$C$30:$E$30,T$7)</f>
        <v>15990784</v>
      </c>
      <c r="U35" s="63" t="n">
        <f aca="false">INDEX(Arch!$C$30:$E$30,U$7)</f>
        <v>15990784</v>
      </c>
      <c r="V35" s="63" t="n">
        <f aca="false">INDEX(Arch!$C$30:$E$30,V$7)</f>
        <v>15990784</v>
      </c>
      <c r="W35" s="63" t="n">
        <f aca="false">INDEX(Arch!$C$30:$E$30,W$7)</f>
        <v>15990784</v>
      </c>
      <c r="X35" s="63" t="n">
        <f aca="false">INDEX(Arch!$C$30:$E$30,X$7)</f>
        <v>15990784</v>
      </c>
      <c r="Y35" s="63" t="n">
        <f aca="false">INDEX(Arch!$C$30:$E$30,Y$7)</f>
        <v>15990784</v>
      </c>
      <c r="Z35" s="63" t="n">
        <f aca="false">INDEX(Arch!$C$30:$E$30,Z$7)</f>
        <v>15990784</v>
      </c>
      <c r="AA35" s="63" t="n">
        <f aca="false">INDEX(Arch!$C$30:$E$30,AA$7)</f>
        <v>15990784</v>
      </c>
      <c r="AB35" s="63" t="n">
        <f aca="false">INDEX(Arch!$C$30:$E$30,AB$7)</f>
        <v>15990784</v>
      </c>
      <c r="AC35" s="63" t="n">
        <f aca="false">INDEX(Arch!$C$30:$E$30,AC$7)</f>
        <v>4915200</v>
      </c>
      <c r="AD35" s="63" t="n">
        <f aca="false">INDEX(Arch!$C$30:$E$30,AD$7)</f>
        <v>4915200</v>
      </c>
      <c r="AE35" s="63" t="n">
        <f aca="false">INDEX(Arch!$C$30:$E$30,AE$7)</f>
        <v>4915200</v>
      </c>
      <c r="AF35" s="63" t="n">
        <f aca="false">INDEX(Arch!$C$30:$E$30,AF$7)</f>
        <v>4915200</v>
      </c>
      <c r="AG35" s="63" t="n">
        <f aca="false">INDEX(Arch!$C$30:$E$30,AG$7)</f>
        <v>4915200</v>
      </c>
      <c r="AH35" s="63" t="n">
        <f aca="false">INDEX(Arch!$C$30:$E$30,AH$7)</f>
        <v>4915200</v>
      </c>
    </row>
    <row r="36" customFormat="false" ht="15" hidden="false" customHeight="false" outlineLevel="0" collapsed="false">
      <c r="A36" s="61" t="s">
        <v>305</v>
      </c>
      <c r="B36" s="62" t="s">
        <v>113</v>
      </c>
      <c r="C36" s="65" t="n">
        <f aca="false">INDEX(Arch!$C$16:$E$16,C$7)</f>
        <v>0.492</v>
      </c>
      <c r="D36" s="65" t="n">
        <f aca="false">INDEX(Arch!$C$16:$E$16,D$7)</f>
        <v>0.492</v>
      </c>
      <c r="E36" s="65" t="n">
        <f aca="false">INDEX(Arch!$C$16:$E$16,E$7)</f>
        <v>0.492</v>
      </c>
      <c r="F36" s="65" t="n">
        <f aca="false">INDEX(Arch!$C$16:$E$16,F$7)</f>
        <v>0.492</v>
      </c>
      <c r="G36" s="65" t="n">
        <f aca="false">INDEX(Arch!$C$16:$E$16,G$7)</f>
        <v>0.492</v>
      </c>
      <c r="H36" s="65" t="n">
        <f aca="false">INDEX(Arch!$C$16:$E$16,H$7)</f>
        <v>0.492</v>
      </c>
      <c r="I36" s="65" t="n">
        <f aca="false">INDEX(Arch!$C$16:$E$16,I$7)</f>
        <v>0.492</v>
      </c>
      <c r="J36" s="65" t="n">
        <f aca="false">INDEX(Arch!$C$16:$E$16,J$7)</f>
        <v>0.492</v>
      </c>
      <c r="K36" s="65" t="n">
        <f aca="false">INDEX(Arch!$C$16:$E$16,K$7)</f>
        <v>0.492</v>
      </c>
      <c r="L36" s="65" t="n">
        <f aca="false">INDEX(Arch!$C$16:$E$16,L$7)</f>
        <v>0.492</v>
      </c>
      <c r="M36" s="65" t="n">
        <f aca="false">INDEX(Arch!$C$16:$E$16,M$7)</f>
        <v>0.492</v>
      </c>
      <c r="N36" s="65" t="n">
        <f aca="false">INDEX(Arch!$C$16:$E$16,N$7)</f>
        <v>0.492</v>
      </c>
      <c r="O36" s="65" t="n">
        <f aca="false">INDEX(Arch!$C$16:$E$16,O$7)</f>
        <v>0.492</v>
      </c>
      <c r="P36" s="65" t="n">
        <f aca="false">INDEX(Arch!$C$16:$E$16,P$7)</f>
        <v>0.492</v>
      </c>
      <c r="Q36" s="65" t="n">
        <f aca="false">INDEX(Arch!$C$16:$E$16,Q$7)</f>
        <v>0.492</v>
      </c>
      <c r="R36" s="65" t="n">
        <f aca="false">INDEX(Arch!$C$16:$E$16,R$7)</f>
        <v>0.492</v>
      </c>
      <c r="S36" s="65" t="n">
        <f aca="false">INDEX(Arch!$C$16:$E$16,S$7)</f>
        <v>0.492</v>
      </c>
      <c r="T36" s="65" t="n">
        <f aca="false">INDEX(Arch!$C$16:$E$16,T$7)</f>
        <v>0.492</v>
      </c>
      <c r="U36" s="65" t="n">
        <f aca="false">INDEX(Arch!$C$16:$E$16,U$7)</f>
        <v>0.492</v>
      </c>
      <c r="V36" s="65" t="n">
        <f aca="false">INDEX(Arch!$C$16:$E$16,V$7)</f>
        <v>0.492</v>
      </c>
      <c r="W36" s="65" t="n">
        <f aca="false">INDEX(Arch!$C$16:$E$16,W$7)</f>
        <v>0.492</v>
      </c>
      <c r="X36" s="65" t="n">
        <f aca="false">INDEX(Arch!$C$16:$E$16,X$7)</f>
        <v>0.492</v>
      </c>
      <c r="Y36" s="65" t="n">
        <f aca="false">INDEX(Arch!$C$16:$E$16,Y$7)</f>
        <v>0.492</v>
      </c>
      <c r="Z36" s="65" t="n">
        <f aca="false">INDEX(Arch!$C$16:$E$16,Z$7)</f>
        <v>0.492</v>
      </c>
      <c r="AA36" s="65" t="n">
        <f aca="false">INDEX(Arch!$C$16:$E$16,AA$7)</f>
        <v>0.492</v>
      </c>
      <c r="AB36" s="65" t="n">
        <f aca="false">INDEX(Arch!$C$16:$E$16,AB$7)</f>
        <v>0.492</v>
      </c>
      <c r="AC36" s="65" t="n">
        <f aca="false">INDEX(Arch!$C$16:$E$16,AC$7)</f>
        <v>1</v>
      </c>
      <c r="AD36" s="65" t="n">
        <f aca="false">INDEX(Arch!$C$16:$E$16,AD$7)</f>
        <v>1</v>
      </c>
      <c r="AE36" s="65" t="n">
        <f aca="false">INDEX(Arch!$C$16:$E$16,AE$7)</f>
        <v>1</v>
      </c>
      <c r="AF36" s="65" t="n">
        <f aca="false">INDEX(Arch!$C$16:$E$16,AF$7)</f>
        <v>1</v>
      </c>
      <c r="AG36" s="65" t="n">
        <f aca="false">INDEX(Arch!$C$16:$E$16,AG$7)</f>
        <v>1</v>
      </c>
      <c r="AH36" s="65" t="n">
        <f aca="false">INDEX(Arch!$C$16:$E$16,AH$7)</f>
        <v>1</v>
      </c>
    </row>
    <row r="37" customFormat="false" ht="15" hidden="false" customHeight="false" outlineLevel="0" collapsed="false">
      <c r="A37" s="61" t="s">
        <v>879</v>
      </c>
      <c r="B37" s="62" t="s">
        <v>308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4224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4224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4224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4224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4224</v>
      </c>
      <c r="R37" s="63" t="n">
        <f aca="false">INDEX(Arch!$C$17:$E$17,R$7)</f>
        <v>4224</v>
      </c>
      <c r="S37" s="63" t="n">
        <f aca="false">INDEX(Arch!$C$17:$E$17,S$7)</f>
        <v>4224</v>
      </c>
      <c r="T37" s="63" t="n">
        <f aca="false">INDEX(Arch!$C$17:$E$17,T$7)</f>
        <v>4224</v>
      </c>
      <c r="U37" s="63" t="n">
        <f aca="false">INDEX(Arch!$C$17:$E$17,U$7)</f>
        <v>4224</v>
      </c>
      <c r="V37" s="63" t="n">
        <f aca="false">INDEX(Arch!$C$17:$E$17,V$7)</f>
        <v>4224</v>
      </c>
      <c r="W37" s="63" t="n">
        <f aca="false">INDEX(Arch!$C$17:$E$17,W$7)</f>
        <v>4224</v>
      </c>
      <c r="X37" s="63" t="n">
        <f aca="false">INDEX(Arch!$C$17:$E$17,X$7)</f>
        <v>4224</v>
      </c>
      <c r="Y37" s="63" t="n">
        <f aca="false">INDEX(Arch!$C$17:$E$17,Y$7)</f>
        <v>4224</v>
      </c>
      <c r="Z37" s="63" t="n">
        <f aca="false">INDEX(Arch!$C$17:$E$17,Z$7)</f>
        <v>4224</v>
      </c>
      <c r="AA37" s="63" t="n">
        <f aca="false">INDEX(Arch!$C$17:$E$17,AA$7)</f>
        <v>4224</v>
      </c>
      <c r="AB37" s="63" t="n">
        <f aca="false">INDEX(Arch!$C$17:$E$17,AB$7)</f>
        <v>4224</v>
      </c>
      <c r="AC37" s="63" t="n">
        <f aca="false">INDEX(Arch!$C$17:$E$17,AC$7)</f>
        <v>0</v>
      </c>
      <c r="AD37" s="63" t="n">
        <f aca="false">INDEX(Arch!$C$17:$E$17,AD$7)</f>
        <v>0</v>
      </c>
      <c r="AE37" s="63" t="n">
        <f aca="false">INDEX(Arch!$C$17:$E$17,AE$7)</f>
        <v>0</v>
      </c>
      <c r="AF37" s="63" t="n">
        <f aca="false">INDEX(Arch!$C$17:$E$17,AF$7)</f>
        <v>0</v>
      </c>
      <c r="AG37" s="63" t="n">
        <f aca="false">INDEX(Arch!$C$17:$E$17,AG$7)</f>
        <v>0</v>
      </c>
      <c r="AH37" s="63" t="n">
        <f aca="false">INDEX(Arch!$C$17:$E$17,AH$7)</f>
        <v>0</v>
      </c>
    </row>
    <row r="38" customFormat="false" ht="15" hidden="false" customHeight="false" outlineLevel="0" collapsed="false">
      <c r="A38" s="61" t="s">
        <v>310</v>
      </c>
      <c r="B38" s="62" t="s">
        <v>118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128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128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128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128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128</v>
      </c>
      <c r="R38" s="63" t="n">
        <f aca="false">INDEX(Arch!$C$18:$E$18,R$7)</f>
        <v>128</v>
      </c>
      <c r="S38" s="63" t="n">
        <f aca="false">INDEX(Arch!$C$18:$E$18,S$7)</f>
        <v>128</v>
      </c>
      <c r="T38" s="63" t="n">
        <f aca="false">INDEX(Arch!$C$18:$E$18,T$7)</f>
        <v>128</v>
      </c>
      <c r="U38" s="63" t="n">
        <f aca="false">INDEX(Arch!$C$18:$E$18,U$7)</f>
        <v>128</v>
      </c>
      <c r="V38" s="63" t="n">
        <f aca="false">INDEX(Arch!$C$18:$E$18,V$7)</f>
        <v>128</v>
      </c>
      <c r="W38" s="63" t="n">
        <f aca="false">INDEX(Arch!$C$18:$E$18,W$7)</f>
        <v>128</v>
      </c>
      <c r="X38" s="63" t="n">
        <f aca="false">INDEX(Arch!$C$18:$E$18,X$7)</f>
        <v>128</v>
      </c>
      <c r="Y38" s="63" t="n">
        <f aca="false">INDEX(Arch!$C$18:$E$18,Y$7)</f>
        <v>128</v>
      </c>
      <c r="Z38" s="63" t="n">
        <f aca="false">INDEX(Arch!$C$18:$E$18,Z$7)</f>
        <v>128</v>
      </c>
      <c r="AA38" s="63" t="n">
        <f aca="false">INDEX(Arch!$C$18:$E$18,AA$7)</f>
        <v>128</v>
      </c>
      <c r="AB38" s="63" t="n">
        <f aca="false">INDEX(Arch!$C$18:$E$18,AB$7)</f>
        <v>128</v>
      </c>
      <c r="AC38" s="63" t="n">
        <f aca="false">INDEX(Arch!$C$18:$E$18,AC$7)</f>
        <v>1</v>
      </c>
      <c r="AD38" s="63" t="n">
        <f aca="false">INDEX(Arch!$C$18:$E$18,AD$7)</f>
        <v>1</v>
      </c>
      <c r="AE38" s="63" t="n">
        <f aca="false">INDEX(Arch!$C$18:$E$18,AE$7)</f>
        <v>1</v>
      </c>
      <c r="AF38" s="63" t="n">
        <f aca="false">INDEX(Arch!$C$18:$E$18,AF$7)</f>
        <v>1</v>
      </c>
      <c r="AG38" s="63" t="n">
        <f aca="false">INDEX(Arch!$C$18:$E$18,AG$7)</f>
        <v>1</v>
      </c>
      <c r="AH38" s="63" t="n">
        <f aca="false">INDEX(Arch!$C$18:$E$18,AH$7)</f>
        <v>1</v>
      </c>
    </row>
    <row r="39" customFormat="false" ht="15" hidden="false" customHeight="false" outlineLevel="0" collapsed="false">
      <c r="A39" s="61" t="s">
        <v>312</v>
      </c>
      <c r="B39" s="62" t="s">
        <v>308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128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128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128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128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128</v>
      </c>
      <c r="R39" s="63" t="n">
        <f aca="false">INDEX(Arch!$C$19:$E$19,R$7)</f>
        <v>128</v>
      </c>
      <c r="S39" s="63" t="n">
        <f aca="false">INDEX(Arch!$C$19:$E$19,S$7)</f>
        <v>128</v>
      </c>
      <c r="T39" s="63" t="n">
        <f aca="false">INDEX(Arch!$C$19:$E$19,T$7)</f>
        <v>128</v>
      </c>
      <c r="U39" s="63" t="n">
        <f aca="false">INDEX(Arch!$C$19:$E$19,U$7)</f>
        <v>128</v>
      </c>
      <c r="V39" s="63" t="n">
        <f aca="false">INDEX(Arch!$C$19:$E$19,V$7)</f>
        <v>128</v>
      </c>
      <c r="W39" s="63" t="n">
        <f aca="false">INDEX(Arch!$C$19:$E$19,W$7)</f>
        <v>128</v>
      </c>
      <c r="X39" s="63" t="n">
        <f aca="false">INDEX(Arch!$C$19:$E$19,X$7)</f>
        <v>128</v>
      </c>
      <c r="Y39" s="63" t="n">
        <f aca="false">INDEX(Arch!$C$19:$E$19,Y$7)</f>
        <v>128</v>
      </c>
      <c r="Z39" s="63" t="n">
        <f aca="false">INDEX(Arch!$C$19:$E$19,Z$7)</f>
        <v>128</v>
      </c>
      <c r="AA39" s="63" t="n">
        <f aca="false">INDEX(Arch!$C$19:$E$19,AA$7)</f>
        <v>128</v>
      </c>
      <c r="AB39" s="63" t="n">
        <f aca="false">INDEX(Arch!$C$19:$E$19,AB$7)</f>
        <v>128</v>
      </c>
      <c r="AC39" s="63" t="n">
        <f aca="false">INDEX(Arch!$C$19:$E$19,AC$7)</f>
        <v>0</v>
      </c>
      <c r="AD39" s="63" t="n">
        <f aca="false">INDEX(Arch!$C$19:$E$19,AD$7)</f>
        <v>0</v>
      </c>
      <c r="AE39" s="63" t="n">
        <f aca="false">INDEX(Arch!$C$19:$E$19,AE$7)</f>
        <v>0</v>
      </c>
      <c r="AF39" s="63" t="n">
        <f aca="false">INDEX(Arch!$C$19:$E$19,AF$7)</f>
        <v>0</v>
      </c>
      <c r="AG39" s="63" t="n">
        <f aca="false">INDEX(Arch!$C$19:$E$19,AG$7)</f>
        <v>0</v>
      </c>
      <c r="AH39" s="63" t="n">
        <f aca="false">INDEX(Arch!$C$19:$E$19,AH$7)</f>
        <v>0</v>
      </c>
    </row>
    <row r="40" customFormat="false" ht="15" hidden="false" customHeight="false" outlineLevel="0" collapsed="false">
      <c r="A40" s="76" t="s">
        <v>880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</row>
    <row r="41" customFormat="false" ht="15" hidden="false" customHeight="false" outlineLevel="0" collapsed="false">
      <c r="A41" s="62" t="s">
        <v>388</v>
      </c>
      <c r="B41" s="62" t="s">
        <v>389</v>
      </c>
      <c r="C41" s="63" t="n">
        <f aca="false">INDEX(Serving!$C$21:$E$21,C$7)</f>
        <v>43.31166124729</v>
      </c>
      <c r="D41" s="63" t="n">
        <f aca="false">INDEX(Serving!$C$21:$E$21,D$7)</f>
        <v>43.31166124729</v>
      </c>
      <c r="E41" s="63" t="n">
        <f aca="false">INDEX(Serving!$C$21:$E$21,E$7)</f>
        <v>43.31166124729</v>
      </c>
      <c r="F41" s="63" t="n">
        <f aca="false">INDEX(Serving!$C$21:$E$21,F$7)</f>
        <v>43.31166124729</v>
      </c>
      <c r="G41" s="63" t="n">
        <f aca="false">INDEX(Serving!$C$21:$E$21,G$7)</f>
        <v>43.31166124729</v>
      </c>
      <c r="H41" s="63" t="n">
        <f aca="false">INDEX(Serving!$C$21:$E$21,H$7)</f>
        <v>43.31166124729</v>
      </c>
      <c r="I41" s="63" t="n">
        <f aca="false">INDEX(Serving!$C$21:$E$21,I$7)</f>
        <v>43.31166124729</v>
      </c>
      <c r="J41" s="63" t="n">
        <f aca="false">INDEX(Serving!$C$21:$E$21,J$7)</f>
        <v>43.31166124729</v>
      </c>
      <c r="K41" s="63" t="n">
        <f aca="false">INDEX(Serving!$C$21:$E$21,K$7)</f>
        <v>43.31166124729</v>
      </c>
      <c r="L41" s="63" t="n">
        <f aca="false">INDEX(Serving!$C$21:$E$21,L$7)</f>
        <v>43.31166124729</v>
      </c>
      <c r="M41" s="63" t="n">
        <f aca="false">INDEX(Serving!$C$21:$E$21,M$7)</f>
        <v>43.31166124729</v>
      </c>
      <c r="N41" s="63" t="n">
        <f aca="false">INDEX(Serving!$C$21:$E$21,N$7)</f>
        <v>43.31166124729</v>
      </c>
      <c r="O41" s="123" t="n">
        <v>40</v>
      </c>
      <c r="P41" s="123" t="n">
        <v>40</v>
      </c>
      <c r="Q41" s="123" t="n">
        <v>100</v>
      </c>
      <c r="R41" s="123" t="n">
        <v>100</v>
      </c>
      <c r="S41" s="63" t="n">
        <f aca="false">INDEX(Serving!$C$21:$E$21,S$7)</f>
        <v>43.31166124729</v>
      </c>
      <c r="T41" s="63" t="n">
        <f aca="false">INDEX(Serving!$C$21:$E$21,T$7)</f>
        <v>43.31166124729</v>
      </c>
      <c r="U41" s="63" t="n">
        <f aca="false">INDEX(Serving!$C$21:$E$21,U$7)</f>
        <v>43.31166124729</v>
      </c>
      <c r="V41" s="63" t="n">
        <f aca="false">INDEX(Serving!$C$21:$E$21,V$7)</f>
        <v>43.31166124729</v>
      </c>
      <c r="W41" s="63" t="n">
        <f aca="false">INDEX(Serving!$C$21:$E$21,W$7)</f>
        <v>43.31166124729</v>
      </c>
      <c r="X41" s="63" t="n">
        <f aca="false">INDEX(Serving!$C$21:$E$21,X$7)</f>
        <v>43.31166124729</v>
      </c>
      <c r="Y41" s="63" t="n">
        <f aca="false">INDEX(Serving!$C$21:$E$21,Y$7)</f>
        <v>43.31166124729</v>
      </c>
      <c r="Z41" s="63" t="n">
        <f aca="false">INDEX(Serving!$C$21:$E$21,Z$7)</f>
        <v>43.31166124729</v>
      </c>
      <c r="AA41" s="63" t="n">
        <f aca="false">INDEX(Serving!$C$21:$E$21,AA$7)</f>
        <v>43.31166124729</v>
      </c>
      <c r="AB41" s="63" t="n">
        <f aca="false">INDEX(Serving!$C$21:$E$21,AB$7)</f>
        <v>43.31166124729</v>
      </c>
      <c r="AC41" s="63" t="n">
        <f aca="false">INDEX(Serving!$C$21:$E$21,AC$7)</f>
        <v>40.8313604965595</v>
      </c>
      <c r="AD41" s="63" t="n">
        <f aca="false">INDEX(Serving!$C$21:$E$21,AD$7)</f>
        <v>40.8313604965595</v>
      </c>
      <c r="AE41" s="63" t="n">
        <f aca="false">INDEX(Serving!$C$21:$E$21,AE$7)</f>
        <v>40.8313604965595</v>
      </c>
      <c r="AF41" s="63" t="n">
        <f aca="false">INDEX(Serving!$C$21:$E$21,AF$7)</f>
        <v>40.8313604965595</v>
      </c>
      <c r="AG41" s="63" t="n">
        <f aca="false">INDEX(Serving!$C$21:$E$21,AG$7)</f>
        <v>40.8313604965595</v>
      </c>
      <c r="AH41" s="63" t="n">
        <f aca="false">INDEX(Serving!$C$21:$E$21,AH$7)</f>
        <v>40.8313604965595</v>
      </c>
    </row>
    <row r="42" customFormat="false" ht="15" hidden="false" customHeight="false" outlineLevel="0" collapsed="false">
      <c r="A42" s="62" t="s">
        <v>881</v>
      </c>
      <c r="B42" s="62" t="s">
        <v>392</v>
      </c>
      <c r="C42" s="111" t="n">
        <f aca="false">INDEX(Serving!$C$22:$E$22,C$7)</f>
        <v>3</v>
      </c>
      <c r="D42" s="111" t="n">
        <f aca="false">INDEX(Serving!$C$22:$E$22,D$7)</f>
        <v>3</v>
      </c>
      <c r="E42" s="111" t="n">
        <f aca="false">INDEX(Serving!$C$22:$E$22,E$7)</f>
        <v>3</v>
      </c>
      <c r="F42" s="111" t="n">
        <f aca="false">INDEX(Serving!$C$22:$E$22,F$7)</f>
        <v>3</v>
      </c>
      <c r="G42" s="111" t="n">
        <f aca="false">INDEX(Serving!$C$22:$E$22,G$7)</f>
        <v>3</v>
      </c>
      <c r="H42" s="111" t="n">
        <f aca="false">INDEX(Serving!$C$22:$E$22,H$7)</f>
        <v>3</v>
      </c>
      <c r="I42" s="111" t="n">
        <f aca="false">INDEX(Serving!$C$22:$E$22,I$7)</f>
        <v>3</v>
      </c>
      <c r="J42" s="111" t="n">
        <f aca="false">INDEX(Serving!$C$22:$E$22,J$7)</f>
        <v>3</v>
      </c>
      <c r="K42" s="111" t="n">
        <f aca="false">INDEX(Serving!$C$22:$E$22,K$7)</f>
        <v>3</v>
      </c>
      <c r="L42" s="111" t="n">
        <f aca="false">INDEX(Serving!$C$22:$E$22,L$7)</f>
        <v>3</v>
      </c>
      <c r="M42" s="111" t="n">
        <f aca="false">INDEX(Serving!$C$22:$E$22,M$7)</f>
        <v>3</v>
      </c>
      <c r="N42" s="111" t="n">
        <f aca="false">INDEX(Serving!$C$22:$E$22,N$7)</f>
        <v>3</v>
      </c>
      <c r="O42" s="111" t="n">
        <f aca="false">INDEX(Serving!$C$22:$E$22,O$7)</f>
        <v>3</v>
      </c>
      <c r="P42" s="111" t="n">
        <f aca="false">INDEX(Serving!$C$22:$E$22,P$7)</f>
        <v>3</v>
      </c>
      <c r="Q42" s="111" t="n">
        <f aca="false">INDEX(Serving!$C$22:$E$22,Q$7)</f>
        <v>3</v>
      </c>
      <c r="R42" s="111" t="n">
        <f aca="false">INDEX(Serving!$C$22:$E$22,R$7)</f>
        <v>3</v>
      </c>
      <c r="S42" s="111" t="n">
        <f aca="false">INDEX(Serving!$C$22:$E$22,S$7)</f>
        <v>3</v>
      </c>
      <c r="T42" s="111" t="n">
        <f aca="false">INDEX(Serving!$C$22:$E$22,T$7)</f>
        <v>3</v>
      </c>
      <c r="U42" s="111" t="n">
        <f aca="false">INDEX(Serving!$C$22:$E$22,U$7)</f>
        <v>3</v>
      </c>
      <c r="V42" s="111" t="n">
        <f aca="false">INDEX(Serving!$C$22:$E$22,V$7)</f>
        <v>3</v>
      </c>
      <c r="W42" s="111" t="n">
        <f aca="false">INDEX(Serving!$C$22:$E$22,W$7)</f>
        <v>3</v>
      </c>
      <c r="X42" s="111" t="n">
        <f aca="false">INDEX(Serving!$C$22:$E$22,X$7)</f>
        <v>3</v>
      </c>
      <c r="Y42" s="111" t="n">
        <f aca="false">INDEX(Serving!$C$22:$E$22,Y$7)</f>
        <v>3</v>
      </c>
      <c r="Z42" s="111" t="n">
        <f aca="false">INDEX(Serving!$C$22:$E$22,Z$7)</f>
        <v>3</v>
      </c>
      <c r="AA42" s="111" t="n">
        <f aca="false">INDEX(Serving!$C$22:$E$22,AA$7)</f>
        <v>3</v>
      </c>
      <c r="AB42" s="111" t="n">
        <f aca="false">INDEX(Serving!$C$22:$E$22,AB$7)</f>
        <v>3</v>
      </c>
      <c r="AC42" s="111" t="n">
        <f aca="false">INDEX(Serving!$C$22:$E$22,AC$7)</f>
        <v>5</v>
      </c>
      <c r="AD42" s="111" t="n">
        <f aca="false">INDEX(Serving!$C$22:$E$22,AD$7)</f>
        <v>5</v>
      </c>
      <c r="AE42" s="111" t="n">
        <f aca="false">INDEX(Serving!$C$22:$E$22,AE$7)</f>
        <v>5</v>
      </c>
      <c r="AF42" s="111" t="n">
        <f aca="false">INDEX(Serving!$C$22:$E$22,AF$7)</f>
        <v>5</v>
      </c>
      <c r="AG42" s="111" t="n">
        <f aca="false">INDEX(Serving!$C$22:$E$22,AG$7)</f>
        <v>5</v>
      </c>
      <c r="AH42" s="111" t="n">
        <f aca="false">INDEX(Serving!$C$22:$E$22,AH$7)</f>
        <v>5</v>
      </c>
    </row>
    <row r="43" customFormat="false" ht="15" hidden="false" customHeight="false" outlineLevel="0" collapsed="false">
      <c r="A43" s="61" t="s">
        <v>882</v>
      </c>
      <c r="B43" s="62" t="s">
        <v>308</v>
      </c>
      <c r="C43" s="63" t="n">
        <f aca="false">INDEX(Serving!$C$23:$E$23,C$7)</f>
        <v>16384</v>
      </c>
      <c r="D43" s="63" t="n">
        <f aca="false">INDEX(Serving!$C$23:$E$23,D$7)</f>
        <v>16384</v>
      </c>
      <c r="E43" s="63" t="n">
        <f aca="false">INDEX(Serving!$C$23:$E$23,E$7)</f>
        <v>16384</v>
      </c>
      <c r="F43" s="63" t="n">
        <f aca="false">INDEX(Serving!$C$23:$E$23,F$7)</f>
        <v>16384</v>
      </c>
      <c r="G43" s="63" t="n">
        <f aca="false">INDEX(Serving!$C$23:$E$23,G$7)</f>
        <v>16384</v>
      </c>
      <c r="H43" s="63" t="n">
        <f aca="false">INDEX(Serving!$C$23:$E$23,H$7)</f>
        <v>16384</v>
      </c>
      <c r="I43" s="63" t="n">
        <f aca="false">INDEX(Serving!$C$23:$E$23,I$7)</f>
        <v>16384</v>
      </c>
      <c r="J43" s="63" t="n">
        <f aca="false">INDEX(Serving!$C$23:$E$23,J$7)</f>
        <v>16384</v>
      </c>
      <c r="K43" s="63" t="n">
        <f aca="false">INDEX(Serving!$C$23:$E$23,K$7)</f>
        <v>16384</v>
      </c>
      <c r="L43" s="63" t="n">
        <f aca="false">INDEX(Serving!$C$23:$E$23,L$7)</f>
        <v>16384</v>
      </c>
      <c r="M43" s="63" t="n">
        <f aca="false">INDEX(Serving!$C$23:$E$23,M$7)</f>
        <v>16384</v>
      </c>
      <c r="N43" s="63" t="n">
        <f aca="false">INDEX(Serving!$C$23:$E$23,N$7)</f>
        <v>16384</v>
      </c>
      <c r="O43" s="63" t="n">
        <f aca="false">INDEX(Serving!$C$23:$E$23,O$7)</f>
        <v>16384</v>
      </c>
      <c r="P43" s="63" t="n">
        <f aca="false">INDEX(Serving!$C$23:$E$23,P$7)</f>
        <v>16384</v>
      </c>
      <c r="Q43" s="63" t="n">
        <f aca="false">INDEX(Serving!$C$23:$E$23,Q$7)</f>
        <v>16384</v>
      </c>
      <c r="R43" s="63" t="n">
        <f aca="false">INDEX(Serving!$C$23:$E$23,R$7)</f>
        <v>16384</v>
      </c>
      <c r="S43" s="63" t="n">
        <f aca="false">INDEX(Serving!$C$23:$E$23,S$7)</f>
        <v>16384</v>
      </c>
      <c r="T43" s="63" t="n">
        <f aca="false">INDEX(Serving!$C$23:$E$23,T$7)</f>
        <v>16384</v>
      </c>
      <c r="U43" s="63" t="n">
        <f aca="false">INDEX(Serving!$C$23:$E$23,U$7)</f>
        <v>16384</v>
      </c>
      <c r="V43" s="63" t="n">
        <f aca="false">INDEX(Serving!$C$23:$E$23,V$7)</f>
        <v>16384</v>
      </c>
      <c r="W43" s="123" t="n">
        <v>4096</v>
      </c>
      <c r="X43" s="123" t="n">
        <v>4096</v>
      </c>
      <c r="Y43" s="123" t="n">
        <v>65536</v>
      </c>
      <c r="Z43" s="123" t="n">
        <v>65536</v>
      </c>
      <c r="AA43" s="63" t="n">
        <f aca="false">INDEX(Serving!$C$23:$E$23,AA$7)</f>
        <v>16384</v>
      </c>
      <c r="AB43" s="63" t="n">
        <f aca="false">INDEX(Serving!$C$23:$E$23,AB$7)</f>
        <v>16384</v>
      </c>
      <c r="AC43" s="63" t="n">
        <f aca="false">INDEX(Serving!$C$23:$E$23,AC$7)</f>
        <v>32768</v>
      </c>
      <c r="AD43" s="63" t="n">
        <f aca="false">INDEX(Serving!$C$23:$E$23,AD$7)</f>
        <v>32768</v>
      </c>
      <c r="AE43" s="63" t="n">
        <f aca="false">INDEX(Serving!$C$23:$E$23,AE$7)</f>
        <v>32768</v>
      </c>
      <c r="AF43" s="63" t="n">
        <f aca="false">INDEX(Serving!$C$23:$E$23,AF$7)</f>
        <v>32768</v>
      </c>
      <c r="AG43" s="63" t="n">
        <f aca="false">INDEX(Serving!$C$23:$E$23,AG$7)</f>
        <v>32768</v>
      </c>
      <c r="AH43" s="63" t="n">
        <f aca="false">INDEX(Serving!$C$23:$E$23,AH$7)</f>
        <v>32768</v>
      </c>
    </row>
    <row r="44" customFormat="false" ht="15" hidden="false" customHeight="false" outlineLevel="0" collapsed="false">
      <c r="A44" s="61" t="s">
        <v>395</v>
      </c>
      <c r="B44" s="62" t="s">
        <v>308</v>
      </c>
      <c r="C44" s="63" t="n">
        <f aca="false">INDEX(Serving!$C$24:$E$24,C$7)</f>
        <v>2048</v>
      </c>
      <c r="D44" s="63" t="n">
        <f aca="false">INDEX(Serving!$C$24:$E$24,D$7)</f>
        <v>2048</v>
      </c>
      <c r="E44" s="63" t="n">
        <f aca="false">INDEX(Serving!$C$24:$E$24,E$7)</f>
        <v>2048</v>
      </c>
      <c r="F44" s="63" t="n">
        <f aca="false">INDEX(Serving!$C$24:$E$24,F$7)</f>
        <v>2048</v>
      </c>
      <c r="G44" s="63" t="n">
        <f aca="false">INDEX(Serving!$C$24:$E$24,G$7)</f>
        <v>2048</v>
      </c>
      <c r="H44" s="63" t="n">
        <f aca="false">INDEX(Serving!$C$24:$E$24,H$7)</f>
        <v>2048</v>
      </c>
      <c r="I44" s="63" t="n">
        <f aca="false">INDEX(Serving!$C$24:$E$24,I$7)</f>
        <v>2048</v>
      </c>
      <c r="J44" s="63" t="n">
        <f aca="false">INDEX(Serving!$C$24:$E$24,J$7)</f>
        <v>2048</v>
      </c>
      <c r="K44" s="63" t="n">
        <f aca="false">INDEX(Serving!$C$24:$E$24,K$7)</f>
        <v>2048</v>
      </c>
      <c r="L44" s="63" t="n">
        <f aca="false">INDEX(Serving!$C$24:$E$24,L$7)</f>
        <v>2048</v>
      </c>
      <c r="M44" s="63" t="n">
        <f aca="false">INDEX(Serving!$C$24:$E$24,M$7)</f>
        <v>2048</v>
      </c>
      <c r="N44" s="63" t="n">
        <f aca="false">INDEX(Serving!$C$24:$E$24,N$7)</f>
        <v>2048</v>
      </c>
      <c r="O44" s="63" t="n">
        <f aca="false">INDEX(Serving!$C$24:$E$24,O$7)</f>
        <v>2048</v>
      </c>
      <c r="P44" s="63" t="n">
        <f aca="false">INDEX(Serving!$C$24:$E$24,P$7)</f>
        <v>2048</v>
      </c>
      <c r="Q44" s="63" t="n">
        <f aca="false">INDEX(Serving!$C$24:$E$24,Q$7)</f>
        <v>2048</v>
      </c>
      <c r="R44" s="63" t="n">
        <f aca="false">INDEX(Serving!$C$24:$E$24,R$7)</f>
        <v>2048</v>
      </c>
      <c r="S44" s="63" t="n">
        <f aca="false">INDEX(Serving!$C$24:$E$24,S$7)</f>
        <v>2048</v>
      </c>
      <c r="T44" s="63" t="n">
        <f aca="false">INDEX(Serving!$C$24:$E$24,T$7)</f>
        <v>2048</v>
      </c>
      <c r="U44" s="63" t="n">
        <f aca="false">INDEX(Serving!$C$24:$E$24,U$7)</f>
        <v>2048</v>
      </c>
      <c r="V44" s="63" t="n">
        <f aca="false">INDEX(Serving!$C$24:$E$24,V$7)</f>
        <v>2048</v>
      </c>
      <c r="W44" s="63" t="n">
        <f aca="false">INDEX(Serving!$C$24:$E$24,W$7)</f>
        <v>2048</v>
      </c>
      <c r="X44" s="63" t="n">
        <f aca="false">INDEX(Serving!$C$24:$E$24,X$7)</f>
        <v>2048</v>
      </c>
      <c r="Y44" s="63" t="n">
        <f aca="false">INDEX(Serving!$C$24:$E$24,Y$7)</f>
        <v>2048</v>
      </c>
      <c r="Z44" s="63" t="n">
        <f aca="false">INDEX(Serving!$C$24:$E$24,Z$7)</f>
        <v>2048</v>
      </c>
      <c r="AA44" s="63" t="n">
        <f aca="false">INDEX(Serving!$C$24:$E$24,AA$7)</f>
        <v>2048</v>
      </c>
      <c r="AB44" s="63" t="n">
        <f aca="false">INDEX(Serving!$C$24:$E$24,AB$7)</f>
        <v>2048</v>
      </c>
      <c r="AC44" s="63" t="n">
        <f aca="false">INDEX(Serving!$C$24:$E$24,AC$7)</f>
        <v>4096</v>
      </c>
      <c r="AD44" s="63" t="n">
        <f aca="false">INDEX(Serving!$C$24:$E$24,AD$7)</f>
        <v>4096</v>
      </c>
      <c r="AE44" s="63" t="n">
        <f aca="false">INDEX(Serving!$C$24:$E$24,AE$7)</f>
        <v>4096</v>
      </c>
      <c r="AF44" s="63" t="n">
        <f aca="false">INDEX(Serving!$C$24:$E$24,AF$7)</f>
        <v>4096</v>
      </c>
      <c r="AG44" s="63" t="n">
        <f aca="false">INDEX(Serving!$C$24:$E$24,AG$7)</f>
        <v>4096</v>
      </c>
      <c r="AH44" s="63" t="n">
        <f aca="false">INDEX(Serving!$C$24:$E$24,AH$7)</f>
        <v>4096</v>
      </c>
    </row>
    <row r="45" customFormat="false" ht="15" hidden="false" customHeight="false" outlineLevel="0" collapsed="false">
      <c r="A45" s="62" t="s">
        <v>396</v>
      </c>
      <c r="B45" s="62" t="s">
        <v>308</v>
      </c>
      <c r="C45" s="68" t="n">
        <f aca="false">C43+C44/2</f>
        <v>17408</v>
      </c>
      <c r="D45" s="68" t="n">
        <f aca="false">D43+D44/2</f>
        <v>17408</v>
      </c>
      <c r="E45" s="68" t="n">
        <f aca="false">E43+E44/2</f>
        <v>17408</v>
      </c>
      <c r="F45" s="68" t="n">
        <f aca="false">F43+F44/2</f>
        <v>17408</v>
      </c>
      <c r="G45" s="68" t="n">
        <f aca="false">G43+G44/2</f>
        <v>17408</v>
      </c>
      <c r="H45" s="68" t="n">
        <f aca="false">H43+H44/2</f>
        <v>17408</v>
      </c>
      <c r="I45" s="68" t="n">
        <f aca="false">I43+I44/2</f>
        <v>17408</v>
      </c>
      <c r="J45" s="68" t="n">
        <f aca="false">J43+J44/2</f>
        <v>17408</v>
      </c>
      <c r="K45" s="68" t="n">
        <f aca="false">K43+K44/2</f>
        <v>17408</v>
      </c>
      <c r="L45" s="68" t="n">
        <f aca="false">L43+L44/2</f>
        <v>17408</v>
      </c>
      <c r="M45" s="68" t="n">
        <f aca="false">M43+M44/2</f>
        <v>17408</v>
      </c>
      <c r="N45" s="68" t="n">
        <f aca="false">N43+N44/2</f>
        <v>17408</v>
      </c>
      <c r="O45" s="68" t="n">
        <f aca="false">O43+O44/2</f>
        <v>17408</v>
      </c>
      <c r="P45" s="68" t="n">
        <f aca="false">P43+P44/2</f>
        <v>17408</v>
      </c>
      <c r="Q45" s="68" t="n">
        <f aca="false">Q43+Q44/2</f>
        <v>17408</v>
      </c>
      <c r="R45" s="68" t="n">
        <f aca="false">R43+R44/2</f>
        <v>17408</v>
      </c>
      <c r="S45" s="68" t="n">
        <f aca="false">S43+S44/2</f>
        <v>17408</v>
      </c>
      <c r="T45" s="68" t="n">
        <f aca="false">T43+T44/2</f>
        <v>17408</v>
      </c>
      <c r="U45" s="68" t="n">
        <f aca="false">U43+U44/2</f>
        <v>17408</v>
      </c>
      <c r="V45" s="68" t="n">
        <f aca="false">V43+V44/2</f>
        <v>17408</v>
      </c>
      <c r="W45" s="68" t="n">
        <f aca="false">W43+W44/2</f>
        <v>5120</v>
      </c>
      <c r="X45" s="68" t="n">
        <f aca="false">X43+X44/2</f>
        <v>5120</v>
      </c>
      <c r="Y45" s="68" t="n">
        <f aca="false">Y43+Y44/2</f>
        <v>66560</v>
      </c>
      <c r="Z45" s="68" t="n">
        <f aca="false">Z43+Z44/2</f>
        <v>66560</v>
      </c>
      <c r="AA45" s="68" t="n">
        <f aca="false">AA43+AA44/2</f>
        <v>17408</v>
      </c>
      <c r="AB45" s="68" t="n">
        <f aca="false">AB43+AB44/2</f>
        <v>17408</v>
      </c>
      <c r="AC45" s="68" t="n">
        <f aca="false">AC43+AC44/2</f>
        <v>34816</v>
      </c>
      <c r="AD45" s="68" t="n">
        <f aca="false">AD43+AD44/2</f>
        <v>34816</v>
      </c>
      <c r="AE45" s="68" t="n">
        <f aca="false">AE43+AE44/2</f>
        <v>34816</v>
      </c>
      <c r="AF45" s="68" t="n">
        <f aca="false">AF43+AF44/2</f>
        <v>34816</v>
      </c>
      <c r="AG45" s="68" t="n">
        <f aca="false">AG43+AG44/2</f>
        <v>34816</v>
      </c>
      <c r="AH45" s="68" t="n">
        <f aca="false">AH43+AH44/2</f>
        <v>34816</v>
      </c>
    </row>
    <row r="46" customFormat="false" ht="15" hidden="false" customHeight="false" outlineLevel="0" collapsed="false">
      <c r="A46" s="62" t="s">
        <v>397</v>
      </c>
      <c r="B46" s="62" t="s">
        <v>308</v>
      </c>
      <c r="C46" s="68" t="n">
        <f aca="false">C43/2</f>
        <v>8192</v>
      </c>
      <c r="D46" s="68" t="n">
        <f aca="false">D43/2</f>
        <v>8192</v>
      </c>
      <c r="E46" s="68" t="n">
        <f aca="false">E43/2</f>
        <v>8192</v>
      </c>
      <c r="F46" s="68" t="n">
        <f aca="false">F43/2</f>
        <v>8192</v>
      </c>
      <c r="G46" s="68" t="n">
        <f aca="false">G43/2</f>
        <v>8192</v>
      </c>
      <c r="H46" s="68" t="n">
        <f aca="false">H43/2</f>
        <v>8192</v>
      </c>
      <c r="I46" s="68" t="n">
        <f aca="false">I43/2</f>
        <v>8192</v>
      </c>
      <c r="J46" s="68" t="n">
        <f aca="false">J43/2</f>
        <v>8192</v>
      </c>
      <c r="K46" s="68" t="n">
        <f aca="false">K43/2</f>
        <v>8192</v>
      </c>
      <c r="L46" s="68" t="n">
        <f aca="false">L43/2</f>
        <v>8192</v>
      </c>
      <c r="M46" s="68" t="n">
        <f aca="false">M43/2</f>
        <v>8192</v>
      </c>
      <c r="N46" s="68" t="n">
        <f aca="false">N43/2</f>
        <v>8192</v>
      </c>
      <c r="O46" s="68" t="n">
        <f aca="false">O43/2</f>
        <v>8192</v>
      </c>
      <c r="P46" s="68" t="n">
        <f aca="false">P43/2</f>
        <v>8192</v>
      </c>
      <c r="Q46" s="68" t="n">
        <f aca="false">Q43/2</f>
        <v>8192</v>
      </c>
      <c r="R46" s="68" t="n">
        <f aca="false">R43/2</f>
        <v>8192</v>
      </c>
      <c r="S46" s="68" t="n">
        <f aca="false">S43/2</f>
        <v>8192</v>
      </c>
      <c r="T46" s="68" t="n">
        <f aca="false">T43/2</f>
        <v>8192</v>
      </c>
      <c r="U46" s="68" t="n">
        <f aca="false">U43/2</f>
        <v>8192</v>
      </c>
      <c r="V46" s="68" t="n">
        <f aca="false">V43/2</f>
        <v>8192</v>
      </c>
      <c r="W46" s="68" t="n">
        <f aca="false">W43/2</f>
        <v>2048</v>
      </c>
      <c r="X46" s="68" t="n">
        <f aca="false">X43/2</f>
        <v>2048</v>
      </c>
      <c r="Y46" s="68" t="n">
        <f aca="false">Y43/2</f>
        <v>32768</v>
      </c>
      <c r="Z46" s="68" t="n">
        <f aca="false">Z43/2</f>
        <v>32768</v>
      </c>
      <c r="AA46" s="68" t="n">
        <f aca="false">AA43/2</f>
        <v>8192</v>
      </c>
      <c r="AB46" s="68" t="n">
        <f aca="false">AB43/2</f>
        <v>8192</v>
      </c>
      <c r="AC46" s="68" t="n">
        <f aca="false">AC43/2</f>
        <v>16384</v>
      </c>
      <c r="AD46" s="68" t="n">
        <f aca="false">AD43/2</f>
        <v>16384</v>
      </c>
      <c r="AE46" s="68" t="n">
        <f aca="false">AE43/2</f>
        <v>16384</v>
      </c>
      <c r="AF46" s="68" t="n">
        <f aca="false">AF43/2</f>
        <v>16384</v>
      </c>
      <c r="AG46" s="68" t="n">
        <f aca="false">AG43/2</f>
        <v>16384</v>
      </c>
      <c r="AH46" s="68" t="n">
        <f aca="false">AH43/2</f>
        <v>16384</v>
      </c>
    </row>
    <row r="47" customFormat="false" ht="15" hidden="false" customHeight="false" outlineLevel="0" collapsed="false">
      <c r="A47" s="62" t="s">
        <v>883</v>
      </c>
      <c r="B47" s="62" t="s">
        <v>308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  <c r="R47" s="89" t="n">
        <f aca="false">Serving!$C$6</f>
        <v>3</v>
      </c>
      <c r="S47" s="89" t="n">
        <f aca="false">Serving!$C$6</f>
        <v>3</v>
      </c>
      <c r="T47" s="89" t="n">
        <f aca="false">Serving!$C$6</f>
        <v>3</v>
      </c>
      <c r="U47" s="89" t="n">
        <f aca="false">Serving!$C$6</f>
        <v>3</v>
      </c>
      <c r="V47" s="89" t="n">
        <f aca="false">Serving!$C$6</f>
        <v>3</v>
      </c>
      <c r="W47" s="89" t="n">
        <f aca="false">Serving!$C$6</f>
        <v>3</v>
      </c>
      <c r="X47" s="89" t="n">
        <f aca="false">Serving!$C$6</f>
        <v>3</v>
      </c>
      <c r="Y47" s="89" t="n">
        <f aca="false">Serving!$C$6</f>
        <v>3</v>
      </c>
      <c r="Z47" s="89" t="n">
        <f aca="false">Serving!$C$6</f>
        <v>3</v>
      </c>
      <c r="AA47" s="89" t="n">
        <f aca="false">Serving!$C$6</f>
        <v>3</v>
      </c>
      <c r="AB47" s="89" t="n">
        <f aca="false">Serving!$C$6</f>
        <v>3</v>
      </c>
      <c r="AC47" s="89" t="n">
        <f aca="false">Serving!$C$6</f>
        <v>3</v>
      </c>
      <c r="AD47" s="89" t="n">
        <f aca="false">Serving!$C$6</f>
        <v>3</v>
      </c>
      <c r="AE47" s="89" t="n">
        <f aca="false">Serving!$C$6</f>
        <v>3</v>
      </c>
      <c r="AF47" s="89" t="n">
        <f aca="false">Serving!$C$6</f>
        <v>3</v>
      </c>
      <c r="AG47" s="89" t="n">
        <f aca="false">Serving!$C$6</f>
        <v>3</v>
      </c>
      <c r="AH47" s="89" t="n">
        <f aca="false">Serving!$C$6</f>
        <v>3</v>
      </c>
    </row>
    <row r="48" customFormat="false" ht="15" hidden="false" customHeight="false" outlineLevel="0" collapsed="false">
      <c r="A48" s="61" t="s">
        <v>884</v>
      </c>
      <c r="B48" s="62" t="s">
        <v>113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  <c r="R48" s="65" t="n">
        <f aca="false">Serving!$C$7</f>
        <v>0.7</v>
      </c>
      <c r="S48" s="80" t="n">
        <v>0.6</v>
      </c>
      <c r="T48" s="80" t="n">
        <v>0.6</v>
      </c>
      <c r="U48" s="80" t="n">
        <v>0.8</v>
      </c>
      <c r="V48" s="80" t="n">
        <v>0.8</v>
      </c>
      <c r="W48" s="65" t="n">
        <f aca="false">Serving!$C$7</f>
        <v>0.7</v>
      </c>
      <c r="X48" s="65" t="n">
        <f aca="false">Serving!$C$7</f>
        <v>0.7</v>
      </c>
      <c r="Y48" s="65" t="n">
        <f aca="false">Serving!$C$7</f>
        <v>0.7</v>
      </c>
      <c r="Z48" s="65" t="n">
        <f aca="false">Serving!$C$7</f>
        <v>0.7</v>
      </c>
      <c r="AA48" s="65" t="n">
        <f aca="false">Serving!$C$7</f>
        <v>0.7</v>
      </c>
      <c r="AB48" s="65" t="n">
        <f aca="false">Serving!$C$7</f>
        <v>0.7</v>
      </c>
      <c r="AC48" s="65" t="n">
        <f aca="false">Serving!$C$7</f>
        <v>0.7</v>
      </c>
      <c r="AD48" s="65" t="n">
        <f aca="false">Serving!$C$7</f>
        <v>0.7</v>
      </c>
      <c r="AE48" s="65" t="n">
        <f aca="false">Serving!$C$7</f>
        <v>0.7</v>
      </c>
      <c r="AF48" s="65" t="n">
        <f aca="false">Serving!$C$7</f>
        <v>0.7</v>
      </c>
      <c r="AG48" s="65" t="n">
        <f aca="false">Serving!$C$7</f>
        <v>0.7</v>
      </c>
      <c r="AH48" s="65" t="n">
        <f aca="false">Serving!$C$7</f>
        <v>0.7</v>
      </c>
    </row>
    <row r="49" customFormat="false" ht="15" hidden="false" customHeight="false" outlineLevel="0" collapsed="false">
      <c r="A49" s="61" t="s">
        <v>885</v>
      </c>
      <c r="B49" s="62" t="s">
        <v>308</v>
      </c>
      <c r="C49" s="77" t="n">
        <f aca="false">(1-C48^(C47+1))/(1-C48)</f>
        <v>2.533</v>
      </c>
      <c r="D49" s="77" t="n">
        <f aca="false">(1-D48^(D47+1))/(1-D48)</f>
        <v>2.533</v>
      </c>
      <c r="E49" s="77" t="n">
        <f aca="false">(1-E48^(E47+1))/(1-E48)</f>
        <v>2.533</v>
      </c>
      <c r="F49" s="77" t="n">
        <f aca="false">(1-F48^(F47+1))/(1-F48)</f>
        <v>2.533</v>
      </c>
      <c r="G49" s="77" t="n">
        <f aca="false">(1-G48^(G47+1))/(1-G48)</f>
        <v>2.533</v>
      </c>
      <c r="H49" s="77" t="n">
        <f aca="false">(1-H48^(H47+1))/(1-H48)</f>
        <v>2.533</v>
      </c>
      <c r="I49" s="77" t="n">
        <f aca="false">(1-I48^(I47+1))/(1-I48)</f>
        <v>2.533</v>
      </c>
      <c r="J49" s="77" t="n">
        <f aca="false">(1-J48^(J47+1))/(1-J48)</f>
        <v>2.533</v>
      </c>
      <c r="K49" s="77" t="n">
        <f aca="false">(1-K48^(K47+1))/(1-K48)</f>
        <v>2.533</v>
      </c>
      <c r="L49" s="77" t="n">
        <f aca="false">(1-L48^(L47+1))/(1-L48)</f>
        <v>2.533</v>
      </c>
      <c r="M49" s="77" t="n">
        <f aca="false">(1-M48^(M47+1))/(1-M48)</f>
        <v>2.533</v>
      </c>
      <c r="N49" s="77" t="n">
        <f aca="false">(1-N48^(N47+1))/(1-N48)</f>
        <v>2.533</v>
      </c>
      <c r="O49" s="77" t="n">
        <f aca="false">(1-O48^(O47+1))/(1-O48)</f>
        <v>2.533</v>
      </c>
      <c r="P49" s="77" t="n">
        <f aca="false">(1-P48^(P47+1))/(1-P48)</f>
        <v>2.533</v>
      </c>
      <c r="Q49" s="77" t="n">
        <f aca="false">(1-Q48^(Q47+1))/(1-Q48)</f>
        <v>2.533</v>
      </c>
      <c r="R49" s="77" t="n">
        <f aca="false">(1-R48^(R47+1))/(1-R48)</f>
        <v>2.533</v>
      </c>
      <c r="S49" s="77" t="n">
        <f aca="false">(1-S48^(S47+1))/(1-S48)</f>
        <v>2.176</v>
      </c>
      <c r="T49" s="77" t="n">
        <f aca="false">(1-T48^(T47+1))/(1-T48)</f>
        <v>2.176</v>
      </c>
      <c r="U49" s="77" t="n">
        <f aca="false">(1-U48^(U47+1))/(1-U48)</f>
        <v>2.952</v>
      </c>
      <c r="V49" s="77" t="n">
        <f aca="false">(1-V48^(V47+1))/(1-V48)</f>
        <v>2.952</v>
      </c>
      <c r="W49" s="77" t="n">
        <f aca="false">(1-W48^(W47+1))/(1-W48)</f>
        <v>2.533</v>
      </c>
      <c r="X49" s="77" t="n">
        <f aca="false">(1-X48^(X47+1))/(1-X48)</f>
        <v>2.533</v>
      </c>
      <c r="Y49" s="77" t="n">
        <f aca="false">(1-Y48^(Y47+1))/(1-Y48)</f>
        <v>2.533</v>
      </c>
      <c r="Z49" s="77" t="n">
        <f aca="false">(1-Z48^(Z47+1))/(1-Z48)</f>
        <v>2.533</v>
      </c>
      <c r="AA49" s="77" t="n">
        <f aca="false">(1-AA48^(AA47+1))/(1-AA48)</f>
        <v>2.533</v>
      </c>
      <c r="AB49" s="77" t="n">
        <f aca="false">(1-AB48^(AB47+1))/(1-AB48)</f>
        <v>2.533</v>
      </c>
      <c r="AC49" s="77" t="n">
        <f aca="false">(1-AC48^(AC47+1))/(1-AC48)</f>
        <v>2.533</v>
      </c>
      <c r="AD49" s="77" t="n">
        <f aca="false">(1-AD48^(AD47+1))/(1-AD48)</f>
        <v>2.533</v>
      </c>
      <c r="AE49" s="77" t="n">
        <f aca="false">(1-AE48^(AE47+1))/(1-AE48)</f>
        <v>2.533</v>
      </c>
      <c r="AF49" s="77" t="n">
        <f aca="false">(1-AF48^(AF47+1))/(1-AF48)</f>
        <v>2.533</v>
      </c>
      <c r="AG49" s="77" t="n">
        <f aca="false">(1-AG48^(AG47+1))/(1-AG48)</f>
        <v>2.533</v>
      </c>
      <c r="AH49" s="77" t="n">
        <f aca="false">(1-AH48^(AH47+1))/(1-AH48)</f>
        <v>2.533</v>
      </c>
    </row>
    <row r="50" customFormat="false" ht="15" hidden="false" customHeight="false" outlineLevel="0" collapsed="false">
      <c r="A50" s="61" t="s">
        <v>383</v>
      </c>
      <c r="B50" s="62" t="s">
        <v>118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81" t="n">
        <v>0.7</v>
      </c>
      <c r="AB50" s="81" t="n">
        <v>0.7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  <c r="AH50" s="97" t="n">
        <f aca="false">Serving!$C$18</f>
        <v>1</v>
      </c>
    </row>
    <row r="51" customFormat="false" ht="15" hidden="false" customHeight="false" outlineLevel="0" collapsed="false">
      <c r="A51" s="62" t="s">
        <v>886</v>
      </c>
      <c r="B51" s="62" t="s">
        <v>113</v>
      </c>
      <c r="C51" s="112" t="n">
        <f aca="false">INDEX(Calib!$C$72:$G$72,C$6)*C50</f>
        <v>0.3</v>
      </c>
      <c r="D51" s="112" t="n">
        <f aca="false">INDEX(Calib!$C$72:$G$72,D$6)*D50</f>
        <v>0.3</v>
      </c>
      <c r="E51" s="112" t="n">
        <f aca="false">INDEX(Calib!$C$72:$G$72,E$6)*E50</f>
        <v>0.3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  <c r="R51" s="112" t="n">
        <f aca="false">INDEX(Calib!$C$72:$G$72,R$6)*R50</f>
        <v>0.3</v>
      </c>
      <c r="S51" s="112" t="n">
        <f aca="false">INDEX(Calib!$C$72:$G$72,S$6)*S50</f>
        <v>0.3</v>
      </c>
      <c r="T51" s="112" t="n">
        <f aca="false">INDEX(Calib!$C$72:$G$72,T$6)*T50</f>
        <v>0.3</v>
      </c>
      <c r="U51" s="112" t="n">
        <f aca="false">INDEX(Calib!$C$72:$G$72,U$6)*U50</f>
        <v>0.3</v>
      </c>
      <c r="V51" s="112" t="n">
        <f aca="false">INDEX(Calib!$C$72:$G$72,V$6)*V50</f>
        <v>0.3</v>
      </c>
      <c r="W51" s="112" t="n">
        <f aca="false">INDEX(Calib!$C$72:$G$72,W$6)*W50</f>
        <v>0.3</v>
      </c>
      <c r="X51" s="112" t="n">
        <f aca="false">INDEX(Calib!$C$72:$G$72,X$6)*X50</f>
        <v>0.3</v>
      </c>
      <c r="Y51" s="112" t="n">
        <f aca="false">INDEX(Calib!$C$72:$G$72,Y$6)*Y50</f>
        <v>0.3</v>
      </c>
      <c r="Z51" s="112" t="n">
        <f aca="false">INDEX(Calib!$C$72:$G$72,Z$6)*Z50</f>
        <v>0.3</v>
      </c>
      <c r="AA51" s="112" t="n">
        <f aca="false">INDEX(Calib!$C$72:$G$72,AA$6)*AA50</f>
        <v>0.21</v>
      </c>
      <c r="AB51" s="112" t="n">
        <f aca="false">INDEX(Calib!$C$72:$G$72,AB$6)*AB50</f>
        <v>0.21</v>
      </c>
      <c r="AC51" s="112" t="n">
        <f aca="false">INDEX(Calib!$C$72:$G$72,AC$6)*AC50</f>
        <v>0.3</v>
      </c>
      <c r="AD51" s="112" t="n">
        <f aca="false">INDEX(Calib!$C$72:$G$72,AD$6)*AD50</f>
        <v>0.3</v>
      </c>
      <c r="AE51" s="112" t="n">
        <f aca="false">INDEX(Calib!$C$72:$G$72,AE$6)*AE50</f>
        <v>0.3</v>
      </c>
      <c r="AF51" s="112" t="n">
        <f aca="false">INDEX(Calib!$C$72:$G$72,AF$6)*AF50</f>
        <v>0.3</v>
      </c>
      <c r="AG51" s="112" t="n">
        <f aca="false">INDEX(Calib!$C$72:$G$72,AG$6)*AG50</f>
        <v>0.3</v>
      </c>
      <c r="AH51" s="112" t="n">
        <f aca="false">INDEX(Calib!$C$72:$G$72,AH$6)*AH50</f>
        <v>0.3</v>
      </c>
    </row>
    <row r="52" customFormat="false" ht="15" hidden="false" customHeight="false" outlineLevel="0" collapsed="false">
      <c r="A52" s="62" t="s">
        <v>887</v>
      </c>
      <c r="B52" s="62" t="s">
        <v>118</v>
      </c>
      <c r="C52" s="97" t="n">
        <f aca="false">Tech_Registry!$E$20</f>
        <v>1</v>
      </c>
      <c r="D52" s="97" t="n">
        <f aca="false">Tech_Registry!$E$20</f>
        <v>1</v>
      </c>
      <c r="E52" s="81" t="n">
        <v>0.5</v>
      </c>
      <c r="F52" s="97" t="n">
        <f aca="false">Tech_Registry!$E$20</f>
        <v>1</v>
      </c>
      <c r="G52" s="81" t="n">
        <v>1.5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  <c r="T52" s="97" t="n">
        <f aca="false">Tech_Registry!$E$20</f>
        <v>1</v>
      </c>
      <c r="U52" s="97" t="n">
        <f aca="false">Tech_Registry!$E$20</f>
        <v>1</v>
      </c>
      <c r="V52" s="97" t="n">
        <f aca="false">Tech_Registry!$E$20</f>
        <v>1</v>
      </c>
      <c r="W52" s="97" t="n">
        <f aca="false">Tech_Registry!$E$20</f>
        <v>1</v>
      </c>
      <c r="X52" s="97" t="n">
        <f aca="false">Tech_Registry!$E$20</f>
        <v>1</v>
      </c>
      <c r="Y52" s="97" t="n">
        <f aca="false">Tech_Registry!$E$20</f>
        <v>1</v>
      </c>
      <c r="Z52" s="97" t="n">
        <f aca="false">Tech_Registry!$E$20</f>
        <v>1</v>
      </c>
      <c r="AA52" s="97" t="n">
        <f aca="false">Tech_Registry!$E$20</f>
        <v>1</v>
      </c>
      <c r="AB52" s="97" t="n">
        <f aca="false">Tech_Registry!$E$20</f>
        <v>1</v>
      </c>
      <c r="AC52" s="97" t="n">
        <f aca="false">Tech_Registry!$E$20</f>
        <v>1</v>
      </c>
      <c r="AD52" s="97" t="n">
        <f aca="false">Tech_Registry!$E$20</f>
        <v>1</v>
      </c>
      <c r="AE52" s="97" t="n">
        <f aca="false">Tech_Registry!$E$20</f>
        <v>1</v>
      </c>
      <c r="AF52" s="97" t="n">
        <f aca="false">Tech_Registry!$E$20</f>
        <v>1</v>
      </c>
      <c r="AG52" s="97" t="n">
        <f aca="false">Tech_Registry!$E$20</f>
        <v>1</v>
      </c>
      <c r="AH52" s="97" t="n">
        <f aca="false">Tech_Registry!$E$20</f>
        <v>1</v>
      </c>
    </row>
    <row r="53" customFormat="false" ht="15" hidden="false" customHeight="false" outlineLevel="0" collapsed="false">
      <c r="A53" s="62" t="s">
        <v>888</v>
      </c>
      <c r="B53" s="62" t="s">
        <v>113</v>
      </c>
      <c r="C53" s="113" t="n">
        <f aca="false">INDEX(Calib!$C$70:$G$70,C$6)*C52*C50</f>
        <v>0.0357550334998836</v>
      </c>
      <c r="D53" s="113" t="n">
        <f aca="false">INDEX(Calib!$C$70:$G$70,D$6)*D52*D50</f>
        <v>0.0357550334998836</v>
      </c>
      <c r="E53" s="113" t="n">
        <f aca="false">INDEX(Calib!$C$70:$G$70,E$6)*E52*E50</f>
        <v>0.0178775167499418</v>
      </c>
      <c r="F53" s="113" t="n">
        <f aca="false">INDEX(Calib!$C$70:$G$70,F$6)*F52*F50</f>
        <v>0.0357550334998836</v>
      </c>
      <c r="G53" s="113" t="n">
        <f aca="false">INDEX(Calib!$C$70:$G$70,G$6)*G52*G50</f>
        <v>0.0536325502498254</v>
      </c>
      <c r="H53" s="113" t="n">
        <f aca="false">INDEX(Calib!$C$70:$G$70,H$6)*H52*H50</f>
        <v>0.0357550334998836</v>
      </c>
      <c r="I53" s="113" t="n">
        <f aca="false">INDEX(Calib!$C$70:$G$70,I$6)*I52*I50</f>
        <v>0.0357550334998836</v>
      </c>
      <c r="J53" s="113" t="n">
        <f aca="false">INDEX(Calib!$C$70:$G$70,J$6)*J52*J50</f>
        <v>0.0357550334998836</v>
      </c>
      <c r="K53" s="113" t="n">
        <f aca="false">INDEX(Calib!$C$70:$G$70,K$6)*K52*K50</f>
        <v>0.0357550334998836</v>
      </c>
      <c r="L53" s="113" t="n">
        <f aca="false">INDEX(Calib!$C$70:$G$70,L$6)*L52*L50</f>
        <v>0.0357550334998836</v>
      </c>
      <c r="M53" s="113" t="n">
        <f aca="false">INDEX(Calib!$C$70:$G$70,M$6)*M52*M50</f>
        <v>0.0357550334998836</v>
      </c>
      <c r="N53" s="113" t="n">
        <f aca="false">INDEX(Calib!$C$70:$G$70,N$6)*N52*N50</f>
        <v>0.0357550334998836</v>
      </c>
      <c r="O53" s="113" t="n">
        <f aca="false">INDEX(Calib!$C$70:$G$70,O$6)*O52*O50</f>
        <v>0.0357550334998836</v>
      </c>
      <c r="P53" s="113" t="n">
        <f aca="false">INDEX(Calib!$C$70:$G$70,P$6)*P52*P50</f>
        <v>0.0357550334998836</v>
      </c>
      <c r="Q53" s="113" t="n">
        <f aca="false">INDEX(Calib!$C$70:$G$70,Q$6)*Q52*Q50</f>
        <v>0.0357550334998836</v>
      </c>
      <c r="R53" s="113" t="n">
        <f aca="false">INDEX(Calib!$C$70:$G$70,R$6)*R52*R50</f>
        <v>0.0357550334998836</v>
      </c>
      <c r="S53" s="113" t="n">
        <f aca="false">INDEX(Calib!$C$70:$G$70,S$6)*S52*S50</f>
        <v>0.0357550334998836</v>
      </c>
      <c r="T53" s="113" t="n">
        <f aca="false">INDEX(Calib!$C$70:$G$70,T$6)*T52*T50</f>
        <v>0.0357550334998836</v>
      </c>
      <c r="U53" s="113" t="n">
        <f aca="false">INDEX(Calib!$C$70:$G$70,U$6)*U52*U50</f>
        <v>0.0357550334998836</v>
      </c>
      <c r="V53" s="113" t="n">
        <f aca="false">INDEX(Calib!$C$70:$G$70,V$6)*V52*V50</f>
        <v>0.0357550334998836</v>
      </c>
      <c r="W53" s="113" t="n">
        <f aca="false">INDEX(Calib!$C$70:$G$70,W$6)*W52*W50</f>
        <v>0.0357550334998836</v>
      </c>
      <c r="X53" s="113" t="n">
        <f aca="false">INDEX(Calib!$C$70:$G$70,X$6)*X52*X50</f>
        <v>0.0357550334998836</v>
      </c>
      <c r="Y53" s="113" t="n">
        <f aca="false">INDEX(Calib!$C$70:$G$70,Y$6)*Y52*Y50</f>
        <v>0.0357550334998836</v>
      </c>
      <c r="Z53" s="113" t="n">
        <f aca="false">INDEX(Calib!$C$70:$G$70,Z$6)*Z52*Z50</f>
        <v>0.0357550334998836</v>
      </c>
      <c r="AA53" s="113" t="n">
        <f aca="false">INDEX(Calib!$C$70:$G$70,AA$6)*AA52*AA50</f>
        <v>0.0250285234499185</v>
      </c>
      <c r="AB53" s="113" t="n">
        <f aca="false">INDEX(Calib!$C$70:$G$70,AB$6)*AB52*AB50</f>
        <v>0.0250285234499185</v>
      </c>
      <c r="AC53" s="113" t="n">
        <f aca="false">INDEX(Calib!$C$70:$G$70,AC$6)*AC52*AC50</f>
        <v>0.0357550334998836</v>
      </c>
      <c r="AD53" s="113" t="n">
        <f aca="false">INDEX(Calib!$C$70:$G$70,AD$6)*AD52*AD50</f>
        <v>0.0357550334998836</v>
      </c>
      <c r="AE53" s="113" t="n">
        <f aca="false">INDEX(Calib!$C$70:$G$70,AE$6)*AE52*AE50</f>
        <v>0.0357550334998836</v>
      </c>
      <c r="AF53" s="113" t="n">
        <f aca="false">INDEX(Calib!$C$70:$G$70,AF$6)*AF52*AF50</f>
        <v>0.0357550334998836</v>
      </c>
      <c r="AG53" s="113" t="n">
        <f aca="false">INDEX(Calib!$C$70:$G$70,AG$6)*AG52*AG50</f>
        <v>0.0357550334998836</v>
      </c>
      <c r="AH53" s="113" t="n">
        <f aca="false">INDEX(Calib!$C$70:$G$70,AH$6)*AH52*AH50</f>
        <v>0.0357550334998836</v>
      </c>
    </row>
    <row r="54" customFormat="false" ht="15" hidden="false" customHeight="false" outlineLevel="0" collapsed="false">
      <c r="A54" s="61" t="s">
        <v>889</v>
      </c>
      <c r="B54" s="62" t="s">
        <v>118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81" t="n">
        <v>0.7</v>
      </c>
      <c r="J54" s="97" t="n">
        <f aca="false">Tech_Registry!$E$21</f>
        <v>1</v>
      </c>
      <c r="K54" s="81" t="n">
        <v>1.5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  <c r="T54" s="97" t="n">
        <f aca="false">Tech_Registry!$E$21</f>
        <v>1</v>
      </c>
      <c r="U54" s="97" t="n">
        <f aca="false">Tech_Registry!$E$21</f>
        <v>1</v>
      </c>
      <c r="V54" s="97" t="n">
        <f aca="false">Tech_Registry!$E$21</f>
        <v>1</v>
      </c>
      <c r="W54" s="97" t="n">
        <f aca="false">Tech_Registry!$E$21</f>
        <v>1</v>
      </c>
      <c r="X54" s="97" t="n">
        <f aca="false">Tech_Registry!$E$21</f>
        <v>1</v>
      </c>
      <c r="Y54" s="97" t="n">
        <f aca="false">Tech_Registry!$E$21</f>
        <v>1</v>
      </c>
      <c r="Z54" s="97" t="n">
        <f aca="false">Tech_Registry!$E$21</f>
        <v>1</v>
      </c>
      <c r="AA54" s="97" t="n">
        <f aca="false">Tech_Registry!$E$21</f>
        <v>1</v>
      </c>
      <c r="AB54" s="97" t="n">
        <f aca="false">Tech_Registry!$E$21</f>
        <v>1</v>
      </c>
      <c r="AC54" s="97" t="n">
        <f aca="false">Tech_Registry!$E$21</f>
        <v>1</v>
      </c>
      <c r="AD54" s="97" t="n">
        <f aca="false">Tech_Registry!$E$21</f>
        <v>1</v>
      </c>
      <c r="AE54" s="97" t="n">
        <f aca="false">Tech_Registry!$E$21</f>
        <v>1</v>
      </c>
      <c r="AF54" s="97" t="n">
        <f aca="false">Tech_Registry!$E$21</f>
        <v>1</v>
      </c>
      <c r="AG54" s="97" t="n">
        <f aca="false">Tech_Registry!$E$21</f>
        <v>1</v>
      </c>
      <c r="AH54" s="97" t="n">
        <f aca="false">Tech_Registry!$E$21</f>
        <v>1</v>
      </c>
    </row>
    <row r="55" customFormat="false" ht="15" hidden="false" customHeight="false" outlineLevel="0" collapsed="false">
      <c r="A55" s="61" t="s">
        <v>890</v>
      </c>
      <c r="B55" s="62" t="s">
        <v>574</v>
      </c>
      <c r="C55" s="63" t="n">
        <f aca="false">INDEX(Calib!$C$71:$G$71,C$6)*C54/C50</f>
        <v>161.185338133698</v>
      </c>
      <c r="D55" s="63" t="n">
        <f aca="false">INDEX(Calib!$C$71:$G$71,D$6)*D54/D50</f>
        <v>161.185338133698</v>
      </c>
      <c r="E55" s="63" t="n">
        <f aca="false">INDEX(Calib!$C$71:$G$71,E$6)*E54/E50</f>
        <v>161.185338133698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112.829736693588</v>
      </c>
      <c r="J55" s="63" t="n">
        <f aca="false">INDEX(Calib!$C$71:$G$71,J$6)*J54/J50</f>
        <v>161.185338133698</v>
      </c>
      <c r="K55" s="63" t="n">
        <f aca="false">INDEX(Calib!$C$71:$G$71,K$6)*K54/K50</f>
        <v>241.778007200547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  <c r="T55" s="63" t="n">
        <f aca="false">INDEX(Calib!$C$71:$G$71,T$6)*T54/T50</f>
        <v>161.185338133698</v>
      </c>
      <c r="U55" s="63" t="n">
        <f aca="false">INDEX(Calib!$C$71:$G$71,U$6)*U54/U50</f>
        <v>161.185338133698</v>
      </c>
      <c r="V55" s="63" t="n">
        <f aca="false">INDEX(Calib!$C$71:$G$71,V$6)*V54/V50</f>
        <v>161.185338133698</v>
      </c>
      <c r="W55" s="63" t="n">
        <f aca="false">INDEX(Calib!$C$71:$G$71,W$6)*W54/W50</f>
        <v>161.185338133698</v>
      </c>
      <c r="X55" s="63" t="n">
        <f aca="false">INDEX(Calib!$C$71:$G$71,X$6)*X54/X50</f>
        <v>161.185338133698</v>
      </c>
      <c r="Y55" s="63" t="n">
        <f aca="false">INDEX(Calib!$C$71:$G$71,Y$6)*Y54/Y50</f>
        <v>161.185338133698</v>
      </c>
      <c r="Z55" s="63" t="n">
        <f aca="false">INDEX(Calib!$C$71:$G$71,Z$6)*Z54/Z50</f>
        <v>161.185338133698</v>
      </c>
      <c r="AA55" s="63" t="n">
        <f aca="false">INDEX(Calib!$C$71:$G$71,AA$6)*AA54/AA50</f>
        <v>230.264768762425</v>
      </c>
      <c r="AB55" s="63" t="n">
        <f aca="false">INDEX(Calib!$C$71:$G$71,AB$6)*AB54/AB50</f>
        <v>230.264768762425</v>
      </c>
      <c r="AC55" s="63" t="n">
        <f aca="false">INDEX(Calib!$C$71:$G$71,AC$6)*AC54/AC50</f>
        <v>161.185338133698</v>
      </c>
      <c r="AD55" s="63" t="n">
        <f aca="false">INDEX(Calib!$C$71:$G$71,AD$6)*AD54/AD50</f>
        <v>161.185338133698</v>
      </c>
      <c r="AE55" s="63" t="n">
        <f aca="false">INDEX(Calib!$C$71:$G$71,AE$6)*AE54/AE50</f>
        <v>161.185338133698</v>
      </c>
      <c r="AF55" s="63" t="n">
        <f aca="false">INDEX(Calib!$C$71:$G$71,AF$6)*AF54/AF50</f>
        <v>161.185338133698</v>
      </c>
      <c r="AG55" s="63" t="n">
        <f aca="false">INDEX(Calib!$C$71:$G$71,AG$6)*AG54/AG50</f>
        <v>161.185338133698</v>
      </c>
      <c r="AH55" s="63" t="n">
        <f aca="false">INDEX(Calib!$C$71:$G$71,AH$6)*AH54/AH50</f>
        <v>161.185338133698</v>
      </c>
    </row>
    <row r="56" customFormat="false" ht="15" hidden="false" customHeight="false" outlineLevel="0" collapsed="false">
      <c r="A56" s="62" t="s">
        <v>891</v>
      </c>
      <c r="B56" s="62" t="s">
        <v>113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  <c r="R56" s="65" t="n">
        <f aca="false">Serving!$C$9</f>
        <v>0.1</v>
      </c>
      <c r="S56" s="65" t="n">
        <f aca="false">Serving!$C$9</f>
        <v>0.1</v>
      </c>
      <c r="T56" s="65" t="n">
        <f aca="false">Serving!$C$9</f>
        <v>0.1</v>
      </c>
      <c r="U56" s="65" t="n">
        <f aca="false">Serving!$C$9</f>
        <v>0.1</v>
      </c>
      <c r="V56" s="65" t="n">
        <f aca="false">Serving!$C$9</f>
        <v>0.1</v>
      </c>
      <c r="W56" s="65" t="n">
        <f aca="false">Serving!$C$9</f>
        <v>0.1</v>
      </c>
      <c r="X56" s="65" t="n">
        <f aca="false">Serving!$C$9</f>
        <v>0.1</v>
      </c>
      <c r="Y56" s="65" t="n">
        <f aca="false">Serving!$C$9</f>
        <v>0.1</v>
      </c>
      <c r="Z56" s="65" t="n">
        <f aca="false">Serving!$C$9</f>
        <v>0.1</v>
      </c>
      <c r="AA56" s="65" t="n">
        <f aca="false">Serving!$C$9</f>
        <v>0.1</v>
      </c>
      <c r="AB56" s="65" t="n">
        <f aca="false">Serving!$C$9</f>
        <v>0.1</v>
      </c>
      <c r="AC56" s="65" t="n">
        <f aca="false">Serving!$C$9</f>
        <v>0.1</v>
      </c>
      <c r="AD56" s="65" t="n">
        <f aca="false">Serving!$C$9</f>
        <v>0.1</v>
      </c>
      <c r="AE56" s="65" t="n">
        <f aca="false">Serving!$C$9</f>
        <v>0.1</v>
      </c>
      <c r="AF56" s="65" t="n">
        <f aca="false">Serving!$C$9</f>
        <v>0.1</v>
      </c>
      <c r="AG56" s="65" t="n">
        <f aca="false">Serving!$C$9</f>
        <v>0.1</v>
      </c>
      <c r="AH56" s="65" t="n">
        <f aca="false">Serving!$C$9</f>
        <v>0.1</v>
      </c>
    </row>
    <row r="57" customFormat="false" ht="15" hidden="false" customHeight="false" outlineLevel="0" collapsed="false">
      <c r="A57" s="61" t="s">
        <v>892</v>
      </c>
      <c r="B57" s="62" t="s">
        <v>113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  <c r="R57" s="65" t="n">
        <f aca="false">Serving!$C$10</f>
        <v>0.2</v>
      </c>
      <c r="S57" s="65" t="n">
        <f aca="false">Serving!$C$10</f>
        <v>0.2</v>
      </c>
      <c r="T57" s="65" t="n">
        <f aca="false">Serving!$C$10</f>
        <v>0.2</v>
      </c>
      <c r="U57" s="65" t="n">
        <f aca="false">Serving!$C$10</f>
        <v>0.2</v>
      </c>
      <c r="V57" s="65" t="n">
        <f aca="false">Serving!$C$10</f>
        <v>0.2</v>
      </c>
      <c r="W57" s="65" t="n">
        <f aca="false">Serving!$C$10</f>
        <v>0.2</v>
      </c>
      <c r="X57" s="65" t="n">
        <f aca="false">Serving!$C$10</f>
        <v>0.2</v>
      </c>
      <c r="Y57" s="65" t="n">
        <f aca="false">Serving!$C$10</f>
        <v>0.2</v>
      </c>
      <c r="Z57" s="65" t="n">
        <f aca="false">Serving!$C$10</f>
        <v>0.2</v>
      </c>
      <c r="AA57" s="65" t="n">
        <f aca="false">Serving!$C$10</f>
        <v>0.2</v>
      </c>
      <c r="AB57" s="65" t="n">
        <f aca="false">Serving!$C$10</f>
        <v>0.2</v>
      </c>
      <c r="AC57" s="65" t="n">
        <f aca="false">Serving!$C$10</f>
        <v>0.2</v>
      </c>
      <c r="AD57" s="65" t="n">
        <f aca="false">Serving!$C$10</f>
        <v>0.2</v>
      </c>
      <c r="AE57" s="65" t="n">
        <f aca="false">Serving!$C$10</f>
        <v>0.2</v>
      </c>
      <c r="AF57" s="65" t="n">
        <f aca="false">Serving!$C$10</f>
        <v>0.2</v>
      </c>
      <c r="AG57" s="65" t="n">
        <f aca="false">Serving!$C$10</f>
        <v>0.2</v>
      </c>
      <c r="AH57" s="65" t="n">
        <f aca="false">Serving!$C$10</f>
        <v>0.2</v>
      </c>
    </row>
    <row r="58" customFormat="false" ht="15" hidden="false" customHeight="false" outlineLevel="0" collapsed="false">
      <c r="A58" s="61" t="s">
        <v>893</v>
      </c>
      <c r="B58" s="62" t="s">
        <v>113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  <c r="R58" s="65" t="n">
        <f aca="false">Serving!$C$11</f>
        <v>0.4</v>
      </c>
      <c r="S58" s="65" t="n">
        <f aca="false">Serving!$C$11</f>
        <v>0.4</v>
      </c>
      <c r="T58" s="65" t="n">
        <f aca="false">Serving!$C$11</f>
        <v>0.4</v>
      </c>
      <c r="U58" s="65" t="n">
        <f aca="false">Serving!$C$11</f>
        <v>0.4</v>
      </c>
      <c r="V58" s="65" t="n">
        <f aca="false">Serving!$C$11</f>
        <v>0.4</v>
      </c>
      <c r="W58" s="65" t="n">
        <f aca="false">Serving!$C$11</f>
        <v>0.4</v>
      </c>
      <c r="X58" s="65" t="n">
        <f aca="false">Serving!$C$11</f>
        <v>0.4</v>
      </c>
      <c r="Y58" s="65" t="n">
        <f aca="false">Serving!$C$11</f>
        <v>0.4</v>
      </c>
      <c r="Z58" s="65" t="n">
        <f aca="false">Serving!$C$11</f>
        <v>0.4</v>
      </c>
      <c r="AA58" s="65" t="n">
        <f aca="false">Serving!$C$11</f>
        <v>0.4</v>
      </c>
      <c r="AB58" s="65" t="n">
        <f aca="false">Serving!$C$11</f>
        <v>0.4</v>
      </c>
      <c r="AC58" s="65" t="n">
        <f aca="false">Serving!$C$11</f>
        <v>0.4</v>
      </c>
      <c r="AD58" s="65" t="n">
        <f aca="false">Serving!$C$11</f>
        <v>0.4</v>
      </c>
      <c r="AE58" s="65" t="n">
        <f aca="false">Serving!$C$11</f>
        <v>0.4</v>
      </c>
      <c r="AF58" s="65" t="n">
        <f aca="false">Serving!$C$11</f>
        <v>0.4</v>
      </c>
      <c r="AG58" s="65" t="n">
        <f aca="false">Serving!$C$11</f>
        <v>0.4</v>
      </c>
      <c r="AH58" s="65" t="n">
        <f aca="false">Serving!$C$11</f>
        <v>0.4</v>
      </c>
    </row>
    <row r="59" customFormat="false" ht="15" hidden="false" customHeight="false" outlineLevel="0" collapsed="false">
      <c r="A59" s="62" t="s">
        <v>894</v>
      </c>
      <c r="B59" s="62" t="s">
        <v>287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  <c r="R59" s="111" t="n">
        <f aca="false">Serving!$C$12</f>
        <v>3</v>
      </c>
      <c r="S59" s="111" t="n">
        <f aca="false">Serving!$C$12</f>
        <v>3</v>
      </c>
      <c r="T59" s="111" t="n">
        <f aca="false">Serving!$C$12</f>
        <v>3</v>
      </c>
      <c r="U59" s="111" t="n">
        <f aca="false">Serving!$C$12</f>
        <v>3</v>
      </c>
      <c r="V59" s="111" t="n">
        <f aca="false">Serving!$C$12</f>
        <v>3</v>
      </c>
      <c r="W59" s="111" t="n">
        <f aca="false">Serving!$C$12</f>
        <v>3</v>
      </c>
      <c r="X59" s="111" t="n">
        <f aca="false">Serving!$C$12</f>
        <v>3</v>
      </c>
      <c r="Y59" s="111" t="n">
        <f aca="false">Serving!$C$12</f>
        <v>3</v>
      </c>
      <c r="Z59" s="111" t="n">
        <f aca="false">Serving!$C$12</f>
        <v>3</v>
      </c>
      <c r="AA59" s="111" t="n">
        <f aca="false">Serving!$C$12</f>
        <v>3</v>
      </c>
      <c r="AB59" s="111" t="n">
        <f aca="false">Serving!$C$12</f>
        <v>3</v>
      </c>
      <c r="AC59" s="111" t="n">
        <f aca="false">Serving!$C$12</f>
        <v>3</v>
      </c>
      <c r="AD59" s="111" t="n">
        <f aca="false">Serving!$C$12</f>
        <v>3</v>
      </c>
      <c r="AE59" s="111" t="n">
        <f aca="false">Serving!$C$12</f>
        <v>3</v>
      </c>
      <c r="AF59" s="111" t="n">
        <f aca="false">Serving!$C$12</f>
        <v>3</v>
      </c>
      <c r="AG59" s="111" t="n">
        <f aca="false">Serving!$C$12</f>
        <v>3</v>
      </c>
      <c r="AH59" s="111" t="n">
        <f aca="false">Serving!$C$12</f>
        <v>3</v>
      </c>
    </row>
    <row r="60" customFormat="false" ht="15" hidden="false" customHeight="false" outlineLevel="0" collapsed="false">
      <c r="A60" s="62" t="s">
        <v>895</v>
      </c>
      <c r="B60" s="62" t="s">
        <v>113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  <c r="R60" s="65" t="n">
        <f aca="false">Serving!$C$13</f>
        <v>0.7</v>
      </c>
      <c r="S60" s="65" t="n">
        <f aca="false">Serving!$C$13</f>
        <v>0.7</v>
      </c>
      <c r="T60" s="65" t="n">
        <f aca="false">Serving!$C$13</f>
        <v>0.7</v>
      </c>
      <c r="U60" s="65" t="n">
        <f aca="false">Serving!$C$13</f>
        <v>0.7</v>
      </c>
      <c r="V60" s="65" t="n">
        <f aca="false">Serving!$C$13</f>
        <v>0.7</v>
      </c>
      <c r="W60" s="65" t="n">
        <f aca="false">Serving!$C$13</f>
        <v>0.7</v>
      </c>
      <c r="X60" s="65" t="n">
        <f aca="false">Serving!$C$13</f>
        <v>0.7</v>
      </c>
      <c r="Y60" s="65" t="n">
        <f aca="false">Serving!$C$13</f>
        <v>0.7</v>
      </c>
      <c r="Z60" s="65" t="n">
        <f aca="false">Serving!$C$13</f>
        <v>0.7</v>
      </c>
      <c r="AA60" s="65" t="n">
        <f aca="false">Serving!$C$13</f>
        <v>0.7</v>
      </c>
      <c r="AB60" s="65" t="n">
        <f aca="false">Serving!$C$13</f>
        <v>0.7</v>
      </c>
      <c r="AC60" s="65" t="n">
        <f aca="false">Serving!$C$13</f>
        <v>0.7</v>
      </c>
      <c r="AD60" s="65" t="n">
        <f aca="false">Serving!$C$13</f>
        <v>0.7</v>
      </c>
      <c r="AE60" s="65" t="n">
        <f aca="false">Serving!$C$13</f>
        <v>0.7</v>
      </c>
      <c r="AF60" s="65" t="n">
        <f aca="false">Serving!$C$13</f>
        <v>0.7</v>
      </c>
      <c r="AG60" s="65" t="n">
        <f aca="false">Serving!$C$13</f>
        <v>0.7</v>
      </c>
      <c r="AH60" s="65" t="n">
        <f aca="false">Serving!$C$13</f>
        <v>0.7</v>
      </c>
    </row>
    <row r="61" customFormat="false" ht="15" hidden="false" customHeight="false" outlineLevel="0" collapsed="false">
      <c r="A61" s="62" t="s">
        <v>896</v>
      </c>
      <c r="B61" s="62" t="s">
        <v>113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  <c r="R61" s="65" t="n">
        <f aca="false">Serving!$C$14</f>
        <v>0.7</v>
      </c>
      <c r="S61" s="65" t="n">
        <f aca="false">Serving!$C$14</f>
        <v>0.7</v>
      </c>
      <c r="T61" s="65" t="n">
        <f aca="false">Serving!$C$14</f>
        <v>0.7</v>
      </c>
      <c r="U61" s="65" t="n">
        <f aca="false">Serving!$C$14</f>
        <v>0.7</v>
      </c>
      <c r="V61" s="65" t="n">
        <f aca="false">Serving!$C$14</f>
        <v>0.7</v>
      </c>
      <c r="W61" s="65" t="n">
        <f aca="false">Serving!$C$14</f>
        <v>0.7</v>
      </c>
      <c r="X61" s="65" t="n">
        <f aca="false">Serving!$C$14</f>
        <v>0.7</v>
      </c>
      <c r="Y61" s="65" t="n">
        <f aca="false">Serving!$C$14</f>
        <v>0.7</v>
      </c>
      <c r="Z61" s="65" t="n">
        <f aca="false">Serving!$C$14</f>
        <v>0.7</v>
      </c>
      <c r="AA61" s="65" t="n">
        <f aca="false">Serving!$C$14</f>
        <v>0.7</v>
      </c>
      <c r="AB61" s="65" t="n">
        <f aca="false">Serving!$C$14</f>
        <v>0.7</v>
      </c>
      <c r="AC61" s="65" t="n">
        <f aca="false">Serving!$C$14</f>
        <v>0.7</v>
      </c>
      <c r="AD61" s="65" t="n">
        <f aca="false">Serving!$C$14</f>
        <v>0.7</v>
      </c>
      <c r="AE61" s="65" t="n">
        <f aca="false">Serving!$C$14</f>
        <v>0.7</v>
      </c>
      <c r="AF61" s="65" t="n">
        <f aca="false">Serving!$C$14</f>
        <v>0.7</v>
      </c>
      <c r="AG61" s="65" t="n">
        <f aca="false">Serving!$C$14</f>
        <v>0.7</v>
      </c>
      <c r="AH61" s="65" t="n">
        <f aca="false">Serving!$C$14</f>
        <v>0.7</v>
      </c>
    </row>
    <row r="62" customFormat="false" ht="15" hidden="false" customHeight="false" outlineLevel="0" collapsed="false">
      <c r="A62" s="61" t="s">
        <v>897</v>
      </c>
      <c r="B62" s="62" t="s">
        <v>506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  <c r="T62" s="97" t="n">
        <f aca="false">Serving!$C$15</f>
        <v>0.1</v>
      </c>
      <c r="U62" s="97" t="n">
        <f aca="false">Serving!$C$15</f>
        <v>0.1</v>
      </c>
      <c r="V62" s="97" t="n">
        <f aca="false">Serving!$C$15</f>
        <v>0.1</v>
      </c>
      <c r="W62" s="97" t="n">
        <f aca="false">Serving!$C$15</f>
        <v>0.1</v>
      </c>
      <c r="X62" s="97" t="n">
        <f aca="false">Serving!$C$15</f>
        <v>0.1</v>
      </c>
      <c r="Y62" s="97" t="n">
        <f aca="false">Serving!$C$15</f>
        <v>0.1</v>
      </c>
      <c r="Z62" s="97" t="n">
        <f aca="false">Serving!$C$15</f>
        <v>0.1</v>
      </c>
      <c r="AA62" s="97" t="n">
        <f aca="false">Serving!$C$15</f>
        <v>0.1</v>
      </c>
      <c r="AB62" s="97" t="n">
        <f aca="false">Serving!$C$15</f>
        <v>0.1</v>
      </c>
      <c r="AC62" s="97" t="n">
        <f aca="false">Serving!$C$15</f>
        <v>0.1</v>
      </c>
      <c r="AD62" s="97" t="n">
        <f aca="false">Serving!$C$15</f>
        <v>0.1</v>
      </c>
      <c r="AE62" s="97" t="n">
        <f aca="false">Serving!$C$15</f>
        <v>0.1</v>
      </c>
      <c r="AF62" s="97" t="n">
        <f aca="false">Serving!$C$15</f>
        <v>0.1</v>
      </c>
      <c r="AG62" s="97" t="n">
        <f aca="false">Serving!$C$15</f>
        <v>0.1</v>
      </c>
      <c r="AH62" s="97" t="n">
        <f aca="false">Serving!$C$15</f>
        <v>0.1</v>
      </c>
    </row>
    <row r="63" customFormat="false" ht="15" hidden="false" customHeight="false" outlineLevel="0" collapsed="false">
      <c r="A63" s="76" t="s">
        <v>898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</row>
    <row r="64" customFormat="false" ht="15" hidden="false" customHeight="false" outlineLevel="0" collapsed="false">
      <c r="A64" s="62" t="s">
        <v>899</v>
      </c>
      <c r="B64" s="62" t="s">
        <v>308</v>
      </c>
      <c r="C64" s="68" t="n">
        <f aca="false">C36*IF(C37=0,C45,MIN(C45,C37))+(1-C36)*(C45/C38+C39)</f>
        <v>2212.32</v>
      </c>
      <c r="D64" s="68" t="n">
        <f aca="false">D36*IF(D37=0,D45,MIN(D45,D37))+(1-D36)*(D45/D38+D39)</f>
        <v>2212.32</v>
      </c>
      <c r="E64" s="68" t="n">
        <f aca="false">E36*IF(E37=0,E45,MIN(E45,E37))+(1-E36)*(E45/E38+E39)</f>
        <v>2212.32</v>
      </c>
      <c r="F64" s="68" t="n">
        <f aca="false">F36*IF(F37=0,F45,MIN(F45,F37))+(1-F36)*(F45/F38+F39)</f>
        <v>2212.32</v>
      </c>
      <c r="G64" s="68" t="n">
        <f aca="false">G36*IF(G37=0,G45,MIN(G45,G37))+(1-G36)*(G45/G38+G39)</f>
        <v>2212.32</v>
      </c>
      <c r="H64" s="68" t="n">
        <f aca="false">H36*IF(H37=0,H45,MIN(H45,H37))+(1-H36)*(H45/H38+H39)</f>
        <v>2212.32</v>
      </c>
      <c r="I64" s="68" t="n">
        <f aca="false">I36*IF(I37=0,I45,MIN(I45,I37))+(1-I36)*(I45/I38+I39)</f>
        <v>2212.32</v>
      </c>
      <c r="J64" s="68" t="n">
        <f aca="false">J36*IF(J37=0,J45,MIN(J45,J37))+(1-J36)*(J45/J38+J39)</f>
        <v>2212.32</v>
      </c>
      <c r="K64" s="68" t="n">
        <f aca="false">K36*IF(K37=0,K45,MIN(K45,K37))+(1-K36)*(K45/K38+K39)</f>
        <v>2212.32</v>
      </c>
      <c r="L64" s="68" t="n">
        <f aca="false">L36*IF(L37=0,L45,MIN(L45,L37))+(1-L36)*(L45/L38+L39)</f>
        <v>2212.32</v>
      </c>
      <c r="M64" s="68" t="n">
        <f aca="false">M36*IF(M37=0,M45,MIN(M45,M37))+(1-M36)*(M45/M38+M39)</f>
        <v>2212.32</v>
      </c>
      <c r="N64" s="68" t="n">
        <f aca="false">N36*IF(N37=0,N45,MIN(N45,N37))+(1-N36)*(N45/N38+N39)</f>
        <v>2212.32</v>
      </c>
      <c r="O64" s="68" t="n">
        <f aca="false">O36*IF(O37=0,O45,MIN(O45,O37))+(1-O36)*(O45/O38+O39)</f>
        <v>2212.32</v>
      </c>
      <c r="P64" s="68" t="n">
        <f aca="false">P36*IF(P37=0,P45,MIN(P45,P37))+(1-P36)*(P45/P38+P39)</f>
        <v>2212.32</v>
      </c>
      <c r="Q64" s="68" t="n">
        <f aca="false">Q36*IF(Q37=0,Q45,MIN(Q45,Q37))+(1-Q36)*(Q45/Q38+Q39)</f>
        <v>2212.32</v>
      </c>
      <c r="R64" s="68" t="n">
        <f aca="false">R36*IF(R37=0,R45,MIN(R45,R37))+(1-R36)*(R45/R38+R39)</f>
        <v>2212.32</v>
      </c>
      <c r="S64" s="68" t="n">
        <f aca="false">S36*IF(S37=0,S45,MIN(S45,S37))+(1-S36)*(S45/S38+S39)</f>
        <v>2212.32</v>
      </c>
      <c r="T64" s="68" t="n">
        <f aca="false">T36*IF(T37=0,T45,MIN(T45,T37))+(1-T36)*(T45/T38+T39)</f>
        <v>2212.32</v>
      </c>
      <c r="U64" s="68" t="n">
        <f aca="false">U36*IF(U37=0,U45,MIN(U45,U37))+(1-U36)*(U45/U38+U39)</f>
        <v>2212.32</v>
      </c>
      <c r="V64" s="68" t="n">
        <f aca="false">V36*IF(V37=0,V45,MIN(V45,V37))+(1-V36)*(V45/V38+V39)</f>
        <v>2212.32</v>
      </c>
      <c r="W64" s="68" t="n">
        <f aca="false">W36*IF(W37=0,W45,MIN(W45,W37))+(1-W36)*(W45/W38+W39)</f>
        <v>2163.552</v>
      </c>
      <c r="X64" s="68" t="n">
        <f aca="false">X36*IF(X37=0,X45,MIN(X45,X37))+(1-X36)*(X45/X38+X39)</f>
        <v>2163.552</v>
      </c>
      <c r="Y64" s="68" t="n">
        <f aca="false">Y36*IF(Y37=0,Y45,MIN(Y45,Y37))+(1-Y36)*(Y45/Y38+Y39)</f>
        <v>2407.392</v>
      </c>
      <c r="Z64" s="68" t="n">
        <f aca="false">Z36*IF(Z37=0,Z45,MIN(Z45,Z37))+(1-Z36)*(Z45/Z38+Z39)</f>
        <v>2407.392</v>
      </c>
      <c r="AA64" s="68" t="n">
        <f aca="false">AA36*IF(AA37=0,AA45,MIN(AA45,AA37))+(1-AA36)*(AA45/AA38+AA39)</f>
        <v>2212.32</v>
      </c>
      <c r="AB64" s="68" t="n">
        <f aca="false">AB36*IF(AB37=0,AB45,MIN(AB45,AB37))+(1-AB36)*(AB45/AB38+AB39)</f>
        <v>2212.32</v>
      </c>
      <c r="AC64" s="68" t="n">
        <f aca="false">AC36*IF(AC37=0,AC45,MIN(AC45,AC37))+(1-AC36)*(AC45/AC38+AC39)</f>
        <v>34816</v>
      </c>
      <c r="AD64" s="68" t="n">
        <f aca="false">AD36*IF(AD37=0,AD45,MIN(AD45,AD37))+(1-AD36)*(AD45/AD38+AD39)</f>
        <v>34816</v>
      </c>
      <c r="AE64" s="68" t="n">
        <f aca="false">AE36*IF(AE37=0,AE45,MIN(AE45,AE37))+(1-AE36)*(AE45/AE38+AE39)</f>
        <v>34816</v>
      </c>
      <c r="AF64" s="68" t="n">
        <f aca="false">AF36*IF(AF37=0,AF45,MIN(AF45,AF37))+(1-AF36)*(AF45/AF38+AF39)</f>
        <v>34816</v>
      </c>
      <c r="AG64" s="68" t="n">
        <f aca="false">AG36*IF(AG37=0,AG45,MIN(AG45,AG37))+(1-AG36)*(AG45/AG38+AG39)</f>
        <v>34816</v>
      </c>
      <c r="AH64" s="68" t="n">
        <f aca="false">AH36*IF(AH37=0,AH45,MIN(AH45,AH37))+(1-AH36)*(AH45/AH38+AH39)</f>
        <v>34816</v>
      </c>
    </row>
    <row r="65" customFormat="false" ht="15" hidden="false" customHeight="false" outlineLevel="0" collapsed="false">
      <c r="A65" s="62" t="s">
        <v>538</v>
      </c>
      <c r="B65" s="62" t="s">
        <v>539</v>
      </c>
      <c r="C65" s="75" t="n">
        <f aca="false">(2*C28*1000000000+C35*C64)*C10/1000000000</f>
        <v>133.37673125888</v>
      </c>
      <c r="D65" s="75" t="n">
        <f aca="false">(2*D28*1000000000+D35*D64)*D10/1000000000</f>
        <v>133.37673125888</v>
      </c>
      <c r="E65" s="75" t="n">
        <f aca="false">(2*E28*1000000000+E35*E64)*E10/1000000000</f>
        <v>133.37673125888</v>
      </c>
      <c r="F65" s="75" t="n">
        <f aca="false">(2*F28*1000000000+F35*F64)*F10/1000000000</f>
        <v>133.37673125888</v>
      </c>
      <c r="G65" s="75" t="n">
        <f aca="false">(2*G28*1000000000+G35*G64)*G10/1000000000</f>
        <v>133.37673125888</v>
      </c>
      <c r="H65" s="75" t="n">
        <f aca="false">(2*H28*1000000000+H35*H64)*H10/1000000000</f>
        <v>133.37673125888</v>
      </c>
      <c r="I65" s="75" t="n">
        <f aca="false">(2*I28*1000000000+I35*I64)*I10/1000000000</f>
        <v>133.37673125888</v>
      </c>
      <c r="J65" s="75" t="n">
        <f aca="false">(2*J28*1000000000+J35*J64)*J10/1000000000</f>
        <v>133.37673125888</v>
      </c>
      <c r="K65" s="75" t="n">
        <f aca="false">(2*K28*1000000000+K35*K64)*K10/1000000000</f>
        <v>133.37673125888</v>
      </c>
      <c r="L65" s="75" t="n">
        <f aca="false">(2*L28*1000000000+L35*L64)*L10/1000000000</f>
        <v>133.37673125888</v>
      </c>
      <c r="M65" s="75" t="n">
        <f aca="false">(2*M28*1000000000+M35*M64)*M10/1000000000</f>
        <v>133.37673125888</v>
      </c>
      <c r="N65" s="75" t="n">
        <f aca="false">(2*N28*1000000000+N35*N64)*N10/1000000000</f>
        <v>133.37673125888</v>
      </c>
      <c r="O65" s="75" t="n">
        <f aca="false">(2*O28*1000000000+O35*O64)*O10/1000000000</f>
        <v>133.37673125888</v>
      </c>
      <c r="P65" s="75" t="n">
        <f aca="false">(2*P28*1000000000+P35*P64)*P10/1000000000</f>
        <v>133.37673125888</v>
      </c>
      <c r="Q65" s="75" t="n">
        <f aca="false">(2*Q28*1000000000+Q35*Q64)*Q10/1000000000</f>
        <v>133.37673125888</v>
      </c>
      <c r="R65" s="75" t="n">
        <f aca="false">(2*R28*1000000000+R35*R64)*R10/1000000000</f>
        <v>133.37673125888</v>
      </c>
      <c r="S65" s="75" t="n">
        <f aca="false">(2*S28*1000000000+S35*S64)*S10/1000000000</f>
        <v>133.37673125888</v>
      </c>
      <c r="T65" s="75" t="n">
        <f aca="false">(2*T28*1000000000+T35*T64)*T10/1000000000</f>
        <v>133.37673125888</v>
      </c>
      <c r="U65" s="75" t="n">
        <f aca="false">(2*U28*1000000000+U35*U64)*U10/1000000000</f>
        <v>133.37673125888</v>
      </c>
      <c r="V65" s="75" t="n">
        <f aca="false">(2*V28*1000000000+V35*V64)*V10/1000000000</f>
        <v>133.37673125888</v>
      </c>
      <c r="W65" s="75" t="n">
        <f aca="false">(2*W28*1000000000+W35*W64)*W10/1000000000</f>
        <v>132.596892704768</v>
      </c>
      <c r="X65" s="75" t="n">
        <f aca="false">(2*X28*1000000000+X35*X64)*X10/1000000000</f>
        <v>132.596892704768</v>
      </c>
      <c r="Y65" s="75" t="n">
        <f aca="false">(2*Y28*1000000000+Y35*Y64)*Y10/1000000000</f>
        <v>136.496085475328</v>
      </c>
      <c r="Z65" s="75" t="n">
        <f aca="false">(2*Z28*1000000000+Z35*Z64)*Z10/1000000000</f>
        <v>136.496085475328</v>
      </c>
      <c r="AA65" s="75" t="n">
        <f aca="false">(2*AA28*1000000000+AA35*AA64)*AA10/1000000000</f>
        <v>133.37673125888</v>
      </c>
      <c r="AB65" s="75" t="n">
        <f aca="false">(2*AB28*1000000000+AB35*AB64)*AB10/1000000000</f>
        <v>133.37673125888</v>
      </c>
      <c r="AC65" s="75" t="n">
        <f aca="false">(2*AC28*1000000000+AC35*AC64)*AC10/1000000000</f>
        <v>531.1276032</v>
      </c>
      <c r="AD65" s="75" t="n">
        <f aca="false">(2*AD28*1000000000+AD35*AD64)*AD10/1000000000</f>
        <v>531.1276032</v>
      </c>
      <c r="AE65" s="75" t="n">
        <f aca="false">(2*AE28*1000000000+AE35*AE64)*AE10/1000000000</f>
        <v>531.1276032</v>
      </c>
      <c r="AF65" s="75" t="n">
        <f aca="false">(2*AF28*1000000000+AF35*AF64)*AF10/1000000000</f>
        <v>531.1276032</v>
      </c>
      <c r="AG65" s="75" t="n">
        <f aca="false">(2*AG28*1000000000+AG35*AG64)*AG10/1000000000</f>
        <v>531.1276032</v>
      </c>
      <c r="AH65" s="75" t="n">
        <f aca="false">(2*AH28*1000000000+AH35*AH64)*AH10/1000000000</f>
        <v>531.1276032</v>
      </c>
    </row>
    <row r="66" customFormat="false" ht="15" hidden="false" customHeight="false" outlineLevel="0" collapsed="false">
      <c r="A66" s="62" t="s">
        <v>900</v>
      </c>
      <c r="B66" s="62" t="s">
        <v>308</v>
      </c>
      <c r="C66" s="68" t="n">
        <f aca="false">C36*IF(C37=0,C46,MIN(C46,C37))+(1-C36)*(C46/C38+C39)</f>
        <v>2175.744</v>
      </c>
      <c r="D66" s="68" t="n">
        <f aca="false">D36*IF(D37=0,D46,MIN(D46,D37))+(1-D36)*(D46/D38+D39)</f>
        <v>2175.744</v>
      </c>
      <c r="E66" s="68" t="n">
        <f aca="false">E36*IF(E37=0,E46,MIN(E46,E37))+(1-E36)*(E46/E38+E39)</f>
        <v>2175.744</v>
      </c>
      <c r="F66" s="68" t="n">
        <f aca="false">F36*IF(F37=0,F46,MIN(F46,F37))+(1-F36)*(F46/F38+F39)</f>
        <v>2175.744</v>
      </c>
      <c r="G66" s="68" t="n">
        <f aca="false">G36*IF(G37=0,G46,MIN(G46,G37))+(1-G36)*(G46/G38+G39)</f>
        <v>2175.744</v>
      </c>
      <c r="H66" s="68" t="n">
        <f aca="false">H36*IF(H37=0,H46,MIN(H46,H37))+(1-H36)*(H46/H38+H39)</f>
        <v>2175.744</v>
      </c>
      <c r="I66" s="68" t="n">
        <f aca="false">I36*IF(I37=0,I46,MIN(I46,I37))+(1-I36)*(I46/I38+I39)</f>
        <v>2175.744</v>
      </c>
      <c r="J66" s="68" t="n">
        <f aca="false">J36*IF(J37=0,J46,MIN(J46,J37))+(1-J36)*(J46/J38+J39)</f>
        <v>2175.744</v>
      </c>
      <c r="K66" s="68" t="n">
        <f aca="false">K36*IF(K37=0,K46,MIN(K46,K37))+(1-K36)*(K46/K38+K39)</f>
        <v>2175.744</v>
      </c>
      <c r="L66" s="68" t="n">
        <f aca="false">L36*IF(L37=0,L46,MIN(L46,L37))+(1-L36)*(L46/L38+L39)</f>
        <v>2175.744</v>
      </c>
      <c r="M66" s="68" t="n">
        <f aca="false">M36*IF(M37=0,M46,MIN(M46,M37))+(1-M36)*(M46/M38+M39)</f>
        <v>2175.744</v>
      </c>
      <c r="N66" s="68" t="n">
        <f aca="false">N36*IF(N37=0,N46,MIN(N46,N37))+(1-N36)*(N46/N38+N39)</f>
        <v>2175.744</v>
      </c>
      <c r="O66" s="68" t="n">
        <f aca="false">O36*IF(O37=0,O46,MIN(O46,O37))+(1-O36)*(O46/O38+O39)</f>
        <v>2175.744</v>
      </c>
      <c r="P66" s="68" t="n">
        <f aca="false">P36*IF(P37=0,P46,MIN(P46,P37))+(1-P36)*(P46/P38+P39)</f>
        <v>2175.744</v>
      </c>
      <c r="Q66" s="68" t="n">
        <f aca="false">Q36*IF(Q37=0,Q46,MIN(Q46,Q37))+(1-Q36)*(Q46/Q38+Q39)</f>
        <v>2175.744</v>
      </c>
      <c r="R66" s="68" t="n">
        <f aca="false">R36*IF(R37=0,R46,MIN(R46,R37))+(1-R36)*(R46/R38+R39)</f>
        <v>2175.744</v>
      </c>
      <c r="S66" s="68" t="n">
        <f aca="false">S36*IF(S37=0,S46,MIN(S46,S37))+(1-S36)*(S46/S38+S39)</f>
        <v>2175.744</v>
      </c>
      <c r="T66" s="68" t="n">
        <f aca="false">T36*IF(T37=0,T46,MIN(T46,T37))+(1-T36)*(T46/T38+T39)</f>
        <v>2175.744</v>
      </c>
      <c r="U66" s="68" t="n">
        <f aca="false">U36*IF(U37=0,U46,MIN(U46,U37))+(1-U36)*(U46/U38+U39)</f>
        <v>2175.744</v>
      </c>
      <c r="V66" s="68" t="n">
        <f aca="false">V36*IF(V37=0,V46,MIN(V46,V37))+(1-V36)*(V46/V38+V39)</f>
        <v>2175.744</v>
      </c>
      <c r="W66" s="68" t="n">
        <f aca="false">W36*IF(W37=0,W46,MIN(W46,W37))+(1-W36)*(W46/W38+W39)</f>
        <v>1080.768</v>
      </c>
      <c r="X66" s="68" t="n">
        <f aca="false">X36*IF(X37=0,X46,MIN(X46,X37))+(1-X36)*(X46/X38+X39)</f>
        <v>1080.768</v>
      </c>
      <c r="Y66" s="68" t="n">
        <f aca="false">Y36*IF(Y37=0,Y46,MIN(Y46,Y37))+(1-Y36)*(Y46/Y38+Y39)</f>
        <v>2273.28</v>
      </c>
      <c r="Z66" s="68" t="n">
        <f aca="false">Z36*IF(Z37=0,Z46,MIN(Z46,Z37))+(1-Z36)*(Z46/Z38+Z39)</f>
        <v>2273.28</v>
      </c>
      <c r="AA66" s="68" t="n">
        <f aca="false">AA36*IF(AA37=0,AA46,MIN(AA46,AA37))+(1-AA36)*(AA46/AA38+AA39)</f>
        <v>2175.744</v>
      </c>
      <c r="AB66" s="68" t="n">
        <f aca="false">AB36*IF(AB37=0,AB46,MIN(AB46,AB37))+(1-AB36)*(AB46/AB38+AB39)</f>
        <v>2175.744</v>
      </c>
      <c r="AC66" s="68" t="n">
        <f aca="false">AC36*IF(AC37=0,AC46,MIN(AC46,AC37))+(1-AC36)*(AC46/AC38+AC39)</f>
        <v>16384</v>
      </c>
      <c r="AD66" s="68" t="n">
        <f aca="false">AD36*IF(AD37=0,AD46,MIN(AD46,AD37))+(1-AD36)*(AD46/AD38+AD39)</f>
        <v>16384</v>
      </c>
      <c r="AE66" s="68" t="n">
        <f aca="false">AE36*IF(AE37=0,AE46,MIN(AE46,AE37))+(1-AE36)*(AE46/AE38+AE39)</f>
        <v>16384</v>
      </c>
      <c r="AF66" s="68" t="n">
        <f aca="false">AF36*IF(AF37=0,AF46,MIN(AF46,AF37))+(1-AF36)*(AF46/AF38+AF39)</f>
        <v>16384</v>
      </c>
      <c r="AG66" s="68" t="n">
        <f aca="false">AG36*IF(AG37=0,AG46,MIN(AG46,AG37))+(1-AG36)*(AG46/AG38+AG39)</f>
        <v>16384</v>
      </c>
      <c r="AH66" s="68" t="n">
        <f aca="false">AH36*IF(AH37=0,AH46,MIN(AH46,AH37))+(1-AH36)*(AH46/AH38+AH39)</f>
        <v>16384</v>
      </c>
    </row>
    <row r="67" customFormat="false" ht="15" hidden="false" customHeight="false" outlineLevel="0" collapsed="false">
      <c r="A67" s="62" t="s">
        <v>544</v>
      </c>
      <c r="B67" s="62" t="s">
        <v>539</v>
      </c>
      <c r="C67" s="75" t="n">
        <f aca="false">(2*C28*1000000000+C35*C66)*C10/1000000000</f>
        <v>132.791852343296</v>
      </c>
      <c r="D67" s="75" t="n">
        <f aca="false">(2*D28*1000000000+D35*D66)*D10/1000000000</f>
        <v>132.791852343296</v>
      </c>
      <c r="E67" s="75" t="n">
        <f aca="false">(2*E28*1000000000+E35*E66)*E10/1000000000</f>
        <v>132.791852343296</v>
      </c>
      <c r="F67" s="75" t="n">
        <f aca="false">(2*F28*1000000000+F35*F66)*F10/1000000000</f>
        <v>132.791852343296</v>
      </c>
      <c r="G67" s="75" t="n">
        <f aca="false">(2*G28*1000000000+G35*G66)*G10/1000000000</f>
        <v>132.791852343296</v>
      </c>
      <c r="H67" s="75" t="n">
        <f aca="false">(2*H28*1000000000+H35*H66)*H10/1000000000</f>
        <v>132.791852343296</v>
      </c>
      <c r="I67" s="75" t="n">
        <f aca="false">(2*I28*1000000000+I35*I66)*I10/1000000000</f>
        <v>132.791852343296</v>
      </c>
      <c r="J67" s="75" t="n">
        <f aca="false">(2*J28*1000000000+J35*J66)*J10/1000000000</f>
        <v>132.791852343296</v>
      </c>
      <c r="K67" s="75" t="n">
        <f aca="false">(2*K28*1000000000+K35*K66)*K10/1000000000</f>
        <v>132.791852343296</v>
      </c>
      <c r="L67" s="75" t="n">
        <f aca="false">(2*L28*1000000000+L35*L66)*L10/1000000000</f>
        <v>132.791852343296</v>
      </c>
      <c r="M67" s="75" t="n">
        <f aca="false">(2*M28*1000000000+M35*M66)*M10/1000000000</f>
        <v>132.791852343296</v>
      </c>
      <c r="N67" s="75" t="n">
        <f aca="false">(2*N28*1000000000+N35*N66)*N10/1000000000</f>
        <v>132.791852343296</v>
      </c>
      <c r="O67" s="75" t="n">
        <f aca="false">(2*O28*1000000000+O35*O66)*O10/1000000000</f>
        <v>132.791852343296</v>
      </c>
      <c r="P67" s="75" t="n">
        <f aca="false">(2*P28*1000000000+P35*P66)*P10/1000000000</f>
        <v>132.791852343296</v>
      </c>
      <c r="Q67" s="75" t="n">
        <f aca="false">(2*Q28*1000000000+Q35*Q66)*Q10/1000000000</f>
        <v>132.791852343296</v>
      </c>
      <c r="R67" s="75" t="n">
        <f aca="false">(2*R28*1000000000+R35*R66)*R10/1000000000</f>
        <v>132.791852343296</v>
      </c>
      <c r="S67" s="75" t="n">
        <f aca="false">(2*S28*1000000000+S35*S66)*S10/1000000000</f>
        <v>132.791852343296</v>
      </c>
      <c r="T67" s="75" t="n">
        <f aca="false">(2*T28*1000000000+T35*T66)*T10/1000000000</f>
        <v>132.791852343296</v>
      </c>
      <c r="U67" s="75" t="n">
        <f aca="false">(2*U28*1000000000+U35*U66)*U10/1000000000</f>
        <v>132.791852343296</v>
      </c>
      <c r="V67" s="75" t="n">
        <f aca="false">(2*V28*1000000000+V35*V66)*V10/1000000000</f>
        <v>132.791852343296</v>
      </c>
      <c r="W67" s="75" t="n">
        <f aca="false">(2*W28*1000000000+W35*W66)*W10/1000000000</f>
        <v>115.282327642112</v>
      </c>
      <c r="X67" s="75" t="n">
        <f aca="false">(2*X28*1000000000+X35*X66)*X10/1000000000</f>
        <v>115.282327642112</v>
      </c>
      <c r="Y67" s="75" t="n">
        <f aca="false">(2*Y28*1000000000+Y35*Y66)*Y10/1000000000</f>
        <v>134.35152945152</v>
      </c>
      <c r="Z67" s="75" t="n">
        <f aca="false">(2*Z28*1000000000+Z35*Z66)*Z10/1000000000</f>
        <v>134.35152945152</v>
      </c>
      <c r="AA67" s="75" t="n">
        <f aca="false">(2*AA28*1000000000+AA35*AA66)*AA10/1000000000</f>
        <v>132.791852343296</v>
      </c>
      <c r="AB67" s="75" t="n">
        <f aca="false">(2*AB28*1000000000+AB35*AB66)*AB10/1000000000</f>
        <v>132.791852343296</v>
      </c>
      <c r="AC67" s="75" t="n">
        <f aca="false">(2*AC28*1000000000+AC35*AC66)*AC10/1000000000</f>
        <v>440.5306368</v>
      </c>
      <c r="AD67" s="75" t="n">
        <f aca="false">(2*AD28*1000000000+AD35*AD66)*AD10/1000000000</f>
        <v>440.5306368</v>
      </c>
      <c r="AE67" s="75" t="n">
        <f aca="false">(2*AE28*1000000000+AE35*AE66)*AE10/1000000000</f>
        <v>440.5306368</v>
      </c>
      <c r="AF67" s="75" t="n">
        <f aca="false">(2*AF28*1000000000+AF35*AF66)*AF10/1000000000</f>
        <v>440.5306368</v>
      </c>
      <c r="AG67" s="75" t="n">
        <f aca="false">(2*AG28*1000000000+AG35*AG66)*AG10/1000000000</f>
        <v>440.5306368</v>
      </c>
      <c r="AH67" s="75" t="n">
        <f aca="false">(2*AH28*1000000000+AH35*AH66)*AH10/1000000000</f>
        <v>440.5306368</v>
      </c>
    </row>
    <row r="68" customFormat="false" ht="15" hidden="false" customHeight="false" outlineLevel="0" collapsed="false">
      <c r="A68" s="76" t="s">
        <v>901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</row>
    <row r="69" customFormat="false" ht="15" hidden="false" customHeight="false" outlineLevel="0" collapsed="false">
      <c r="A69" s="61" t="s">
        <v>546</v>
      </c>
      <c r="B69" s="62" t="s">
        <v>332</v>
      </c>
      <c r="C69" s="68" t="n">
        <f aca="false">C15*(1-C56)</f>
        <v>259.2</v>
      </c>
      <c r="D69" s="68" t="n">
        <f aca="false">D15*(1-D56)</f>
        <v>259.2</v>
      </c>
      <c r="E69" s="68" t="n">
        <f aca="false">E15*(1-E56)</f>
        <v>259.2</v>
      </c>
      <c r="F69" s="68" t="n">
        <f aca="false">F15*(1-F56)</f>
        <v>259.2</v>
      </c>
      <c r="G69" s="68" t="n">
        <f aca="false">G15*(1-G56)</f>
        <v>259.2</v>
      </c>
      <c r="H69" s="68" t="n">
        <f aca="false">H15*(1-H56)</f>
        <v>259.2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259.2</v>
      </c>
      <c r="P69" s="68" t="n">
        <f aca="false">P15*(1-P56)</f>
        <v>259.2</v>
      </c>
      <c r="Q69" s="68" t="n">
        <f aca="false">Q15*(1-Q56)</f>
        <v>259.2</v>
      </c>
      <c r="R69" s="68" t="n">
        <f aca="false">R15*(1-R56)</f>
        <v>259.2</v>
      </c>
      <c r="S69" s="68" t="n">
        <f aca="false">S15*(1-S56)</f>
        <v>259.2</v>
      </c>
      <c r="T69" s="68" t="n">
        <f aca="false">T15*(1-T56)</f>
        <v>259.2</v>
      </c>
      <c r="U69" s="68" t="n">
        <f aca="false">U15*(1-U56)</f>
        <v>259.2</v>
      </c>
      <c r="V69" s="68" t="n">
        <f aca="false">V15*(1-V56)</f>
        <v>259.2</v>
      </c>
      <c r="W69" s="68" t="n">
        <f aca="false">W15*(1-W56)</f>
        <v>259.2</v>
      </c>
      <c r="X69" s="68" t="n">
        <f aca="false">X15*(1-X56)</f>
        <v>259.2</v>
      </c>
      <c r="Y69" s="68" t="n">
        <f aca="false">Y15*(1-Y56)</f>
        <v>259.2</v>
      </c>
      <c r="Z69" s="68" t="n">
        <f aca="false">Z15*(1-Z56)</f>
        <v>259.2</v>
      </c>
      <c r="AA69" s="68" t="n">
        <f aca="false">AA15*(1-AA56)</f>
        <v>259.2</v>
      </c>
      <c r="AB69" s="68" t="n">
        <f aca="false">AB15*(1-AB56)</f>
        <v>259.2</v>
      </c>
      <c r="AC69" s="68" t="n">
        <f aca="false">AC15*(1-AC56)</f>
        <v>259.2</v>
      </c>
      <c r="AD69" s="68" t="n">
        <f aca="false">AD15*(1-AD56)</f>
        <v>259.2</v>
      </c>
      <c r="AE69" s="68" t="n">
        <f aca="false">AE15*(1-AE56)</f>
        <v>259.2</v>
      </c>
      <c r="AF69" s="68" t="n">
        <f aca="false">AF15*(1-AF56)</f>
        <v>259.2</v>
      </c>
      <c r="AG69" s="68" t="n">
        <f aca="false">AG15*(1-AG56)</f>
        <v>259.2</v>
      </c>
      <c r="AH69" s="68" t="n">
        <f aca="false">AH15*(1-AH56)</f>
        <v>259.2</v>
      </c>
    </row>
    <row r="70" customFormat="false" ht="15" hidden="false" customHeight="false" outlineLevel="0" collapsed="false">
      <c r="A70" s="61" t="s">
        <v>902</v>
      </c>
      <c r="B70" s="61"/>
      <c r="C70" s="105" t="n">
        <f aca="false">MAX(1,CEILING(C32*C20/(C57*C69),1))</f>
        <v>1</v>
      </c>
      <c r="D70" s="105" t="n">
        <f aca="false">MAX(1,CEILING(D32*D20/(D57*D69),1))</f>
        <v>1</v>
      </c>
      <c r="E70" s="105" t="n">
        <f aca="false">MAX(1,CEILING(E32*E20/(E57*E69),1))</f>
        <v>1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1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  <c r="T70" s="105" t="n">
        <f aca="false">MAX(1,CEILING(T32*T20/(T57*T69),1))</f>
        <v>1</v>
      </c>
      <c r="U70" s="105" t="n">
        <f aca="false">MAX(1,CEILING(U32*U20/(U57*U69),1))</f>
        <v>1</v>
      </c>
      <c r="V70" s="105" t="n">
        <f aca="false">MAX(1,CEILING(V32*V20/(V57*V69),1))</f>
        <v>1</v>
      </c>
      <c r="W70" s="105" t="n">
        <f aca="false">MAX(1,CEILING(W32*W20/(W57*W69),1))</f>
        <v>1</v>
      </c>
      <c r="X70" s="105" t="n">
        <f aca="false">MAX(1,CEILING(X32*X20/(X57*X69),1))</f>
        <v>1</v>
      </c>
      <c r="Y70" s="105" t="n">
        <f aca="false">MAX(1,CEILING(Y32*Y20/(Y57*Y69),1))</f>
        <v>1</v>
      </c>
      <c r="Z70" s="105" t="n">
        <f aca="false">MAX(1,CEILING(Z32*Z20/(Z57*Z69),1))</f>
        <v>1</v>
      </c>
      <c r="AA70" s="105" t="n">
        <f aca="false">MAX(1,CEILING(AA32*AA20/(AA57*AA69),1))</f>
        <v>1</v>
      </c>
      <c r="AB70" s="105" t="n">
        <f aca="false">MAX(1,CEILING(AB32*AB20/(AB57*AB69),1))</f>
        <v>1</v>
      </c>
      <c r="AC70" s="105" t="n">
        <f aca="false">MAX(1,CEILING(AC32*AC20/(AC57*AC69),1))</f>
        <v>1</v>
      </c>
      <c r="AD70" s="105" t="n">
        <f aca="false">MAX(1,CEILING(AD32*AD20/(AD57*AD69),1))</f>
        <v>1</v>
      </c>
      <c r="AE70" s="105" t="n">
        <f aca="false">MAX(1,CEILING(AE32*AE20/(AE57*AE69),1))</f>
        <v>1</v>
      </c>
      <c r="AF70" s="105" t="n">
        <f aca="false">MAX(1,CEILING(AF32*AF20/(AF57*AF69),1))</f>
        <v>1</v>
      </c>
      <c r="AG70" s="105" t="n">
        <f aca="false">MAX(1,CEILING(AG32*AG20/(AG57*AG69),1))</f>
        <v>1</v>
      </c>
      <c r="AH70" s="105" t="n">
        <f aca="false">MAX(1,CEILING(AH32*AH20/(AH57*AH69),1))</f>
        <v>1</v>
      </c>
    </row>
    <row r="71" customFormat="false" ht="15" hidden="false" customHeight="false" outlineLevel="0" collapsed="false">
      <c r="A71" s="62" t="s">
        <v>903</v>
      </c>
      <c r="B71" s="62" t="s">
        <v>697</v>
      </c>
      <c r="C71" s="68" t="n">
        <f aca="false">MAX(C18,CEILING(C33*C19/(C58*C69),1))</f>
        <v>32</v>
      </c>
      <c r="D71" s="68" t="n">
        <f aca="false">MAX(D18,CEILING(D33*D19/(D58*D69),1))</f>
        <v>32</v>
      </c>
      <c r="E71" s="68" t="n">
        <f aca="false">MAX(E18,CEILING(E33*E19/(E58*E69),1))</f>
        <v>32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32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32</v>
      </c>
      <c r="P71" s="68" t="n">
        <f aca="false">MAX(P18,CEILING(P33*P19/(P58*P69),1))</f>
        <v>32</v>
      </c>
      <c r="Q71" s="68" t="n">
        <f aca="false">MAX(Q18,CEILING(Q33*Q19/(Q58*Q69),1))</f>
        <v>32</v>
      </c>
      <c r="R71" s="68" t="n">
        <f aca="false">MAX(R18,CEILING(R33*R19/(R58*R69),1))</f>
        <v>32</v>
      </c>
      <c r="S71" s="68" t="n">
        <f aca="false">MAX(S18,CEILING(S33*S19/(S58*S69),1))</f>
        <v>32</v>
      </c>
      <c r="T71" s="68" t="n">
        <f aca="false">MAX(T18,CEILING(T33*T19/(T58*T69),1))</f>
        <v>32</v>
      </c>
      <c r="U71" s="68" t="n">
        <f aca="false">MAX(U18,CEILING(U33*U19/(U58*U69),1))</f>
        <v>32</v>
      </c>
      <c r="V71" s="68" t="n">
        <f aca="false">MAX(V18,CEILING(V33*V19/(V58*V69),1))</f>
        <v>32</v>
      </c>
      <c r="W71" s="68" t="n">
        <f aca="false">MAX(W18,CEILING(W33*W19/(W58*W69),1))</f>
        <v>32</v>
      </c>
      <c r="X71" s="68" t="n">
        <f aca="false">MAX(X18,CEILING(X33*X19/(X58*X69),1))</f>
        <v>32</v>
      </c>
      <c r="Y71" s="68" t="n">
        <f aca="false">MAX(Y18,CEILING(Y33*Y19/(Y58*Y69),1))</f>
        <v>32</v>
      </c>
      <c r="Z71" s="68" t="n">
        <f aca="false">MAX(Z18,CEILING(Z33*Z19/(Z58*Z69),1))</f>
        <v>32</v>
      </c>
      <c r="AA71" s="68" t="n">
        <f aca="false">MAX(AA18,CEILING(AA33*AA19/(AA58*AA69),1))</f>
        <v>32</v>
      </c>
      <c r="AB71" s="68" t="n">
        <f aca="false">MAX(AB18,CEILING(AB33*AB19/(AB58*AB69),1))</f>
        <v>32</v>
      </c>
      <c r="AC71" s="68" t="n">
        <f aca="false">MAX(AC18,CEILING(AC33*AC19/(AC58*AC69),1))</f>
        <v>32</v>
      </c>
      <c r="AD71" s="68" t="n">
        <f aca="false">MAX(AD18,CEILING(AD33*AD19/(AD58*AD69),1))</f>
        <v>32</v>
      </c>
      <c r="AE71" s="68" t="n">
        <f aca="false">MAX(AE18,CEILING(AE33*AE19/(AE58*AE69),1))</f>
        <v>32</v>
      </c>
      <c r="AF71" s="68" t="n">
        <f aca="false">MAX(AF18,CEILING(AF33*AF19/(AF58*AF69),1))</f>
        <v>32</v>
      </c>
      <c r="AG71" s="68" t="n">
        <f aca="false">MAX(AG18,CEILING(AG33*AG19/(AG58*AG69),1))</f>
        <v>32</v>
      </c>
      <c r="AH71" s="68" t="n">
        <f aca="false">MAX(AH18,CEILING(AH33*AH19/(AH58*AH69),1))</f>
        <v>32</v>
      </c>
    </row>
    <row r="72" customFormat="false" ht="15" hidden="false" customHeight="false" outlineLevel="0" collapsed="false">
      <c r="A72" s="61" t="s">
        <v>552</v>
      </c>
      <c r="B72" s="62" t="s">
        <v>332</v>
      </c>
      <c r="C72" s="75" t="n">
        <f aca="false">C32*C20/C70+C33*C19/C71</f>
        <v>48.0463324652778</v>
      </c>
      <c r="D72" s="75" t="n">
        <f aca="false">D32*D20/D70+D33*D19/D71</f>
        <v>48.0463324652778</v>
      </c>
      <c r="E72" s="75" t="n">
        <f aca="false">E32*E20/E70+E33*E19/E71</f>
        <v>48.0463324652778</v>
      </c>
      <c r="F72" s="75" t="n">
        <f aca="false">F32*F20/F70+F33*F19/F71</f>
        <v>48.0463324652778</v>
      </c>
      <c r="G72" s="75" t="n">
        <f aca="false">G32*G20/G70+G33*G19/G71</f>
        <v>48.0463324652778</v>
      </c>
      <c r="H72" s="75" t="n">
        <f aca="false">H32*H20/H70+H33*H19/H71</f>
        <v>48.0463324652778</v>
      </c>
      <c r="I72" s="75" t="n">
        <f aca="false">I32*I20/I70+I33*I19/I71</f>
        <v>48.0463324652778</v>
      </c>
      <c r="J72" s="75" t="n">
        <f aca="false">J32*J20/J70+J33*J19/J71</f>
        <v>48.0463324652778</v>
      </c>
      <c r="K72" s="75" t="n">
        <f aca="false">K32*K20/K70+K33*K19/K71</f>
        <v>48.0463324652778</v>
      </c>
      <c r="L72" s="75" t="n">
        <f aca="false">L32*L20/L70+L33*L19/L71</f>
        <v>48.0463324652778</v>
      </c>
      <c r="M72" s="75" t="n">
        <f aca="false">M32*M20/M70+M33*M19/M71</f>
        <v>48.0463324652778</v>
      </c>
      <c r="N72" s="75" t="n">
        <f aca="false">N32*N20/N70+N33*N19/N71</f>
        <v>48.0463324652778</v>
      </c>
      <c r="O72" s="75" t="n">
        <f aca="false">O32*O20/O70+O33*O19/O71</f>
        <v>48.0463324652778</v>
      </c>
      <c r="P72" s="75" t="n">
        <f aca="false">P32*P20/P70+P33*P19/P71</f>
        <v>48.0463324652778</v>
      </c>
      <c r="Q72" s="75" t="n">
        <f aca="false">Q32*Q20/Q70+Q33*Q19/Q71</f>
        <v>48.0463324652778</v>
      </c>
      <c r="R72" s="75" t="n">
        <f aca="false">R32*R20/R70+R33*R19/R71</f>
        <v>48.0463324652778</v>
      </c>
      <c r="S72" s="75" t="n">
        <f aca="false">S32*S20/S70+S33*S19/S71</f>
        <v>48.0463324652778</v>
      </c>
      <c r="T72" s="75" t="n">
        <f aca="false">T32*T20/T70+T33*T19/T71</f>
        <v>48.0463324652778</v>
      </c>
      <c r="U72" s="75" t="n">
        <f aca="false">U32*U20/U70+U33*U19/U71</f>
        <v>48.0463324652778</v>
      </c>
      <c r="V72" s="75" t="n">
        <f aca="false">V32*V20/V70+V33*V19/V71</f>
        <v>48.0463324652778</v>
      </c>
      <c r="W72" s="75" t="n">
        <f aca="false">W32*W20/W70+W33*W19/W71</f>
        <v>48.0463324652778</v>
      </c>
      <c r="X72" s="75" t="n">
        <f aca="false">X32*X20/X70+X33*X19/X71</f>
        <v>48.0463324652778</v>
      </c>
      <c r="Y72" s="75" t="n">
        <f aca="false">Y32*Y20/Y70+Y33*Y19/Y71</f>
        <v>48.0463324652778</v>
      </c>
      <c r="Z72" s="75" t="n">
        <f aca="false">Z32*Z20/Z70+Z33*Z19/Z71</f>
        <v>48.0463324652778</v>
      </c>
      <c r="AA72" s="75" t="n">
        <f aca="false">AA32*AA20/AA70+AA33*AA19/AA71</f>
        <v>48.0463324652778</v>
      </c>
      <c r="AB72" s="75" t="n">
        <f aca="false">AB32*AB20/AB70+AB33*AB19/AB71</f>
        <v>48.0463324652778</v>
      </c>
      <c r="AC72" s="75" t="n">
        <f aca="false">AC32*AC20/AC70+AC33*AC19/AC71</f>
        <v>118.522476688508</v>
      </c>
      <c r="AD72" s="75" t="n">
        <f aca="false">AD32*AD20/AD70+AD33*AD19/AD71</f>
        <v>118.522476688508</v>
      </c>
      <c r="AE72" s="75" t="n">
        <f aca="false">AE32*AE20/AE70+AE33*AE19/AE71</f>
        <v>118.522476688508</v>
      </c>
      <c r="AF72" s="75" t="n">
        <f aca="false">AF32*AF20/AF70+AF33*AF19/AF71</f>
        <v>118.522476688508</v>
      </c>
      <c r="AG72" s="75" t="n">
        <f aca="false">AG32*AG20/AG70+AG33*AG19/AG71</f>
        <v>118.522476688508</v>
      </c>
      <c r="AH72" s="75" t="n">
        <f aca="false">AH32*AH20/AH70+AH33*AH19/AH71</f>
        <v>118.522476688508</v>
      </c>
    </row>
    <row r="73" customFormat="false" ht="15" hidden="false" customHeight="false" outlineLevel="0" collapsed="false">
      <c r="A73" s="61" t="s">
        <v>904</v>
      </c>
      <c r="B73" s="62" t="s">
        <v>113</v>
      </c>
      <c r="C73" s="85" t="n">
        <f aca="false">C72/C69</f>
        <v>0.185363936980238</v>
      </c>
      <c r="D73" s="85" t="n">
        <f aca="false">D72/D69</f>
        <v>0.185363936980238</v>
      </c>
      <c r="E73" s="85" t="n">
        <f aca="false">E72/E69</f>
        <v>0.185363936980238</v>
      </c>
      <c r="F73" s="85" t="n">
        <f aca="false">F72/F69</f>
        <v>0.185363936980238</v>
      </c>
      <c r="G73" s="85" t="n">
        <f aca="false">G72/G69</f>
        <v>0.185363936980238</v>
      </c>
      <c r="H73" s="85" t="n">
        <f aca="false">H72/H69</f>
        <v>0.185363936980238</v>
      </c>
      <c r="I73" s="85" t="n">
        <f aca="false">I72/I69</f>
        <v>0.185363936980238</v>
      </c>
      <c r="J73" s="85" t="n">
        <f aca="false">J72/J69</f>
        <v>0.185363936980238</v>
      </c>
      <c r="K73" s="85" t="n">
        <f aca="false">K72/K69</f>
        <v>0.185363936980238</v>
      </c>
      <c r="L73" s="85" t="n">
        <f aca="false">L72/L69</f>
        <v>0.185363936980238</v>
      </c>
      <c r="M73" s="85" t="n">
        <f aca="false">M72/M69</f>
        <v>0.185363936980238</v>
      </c>
      <c r="N73" s="85" t="n">
        <f aca="false">N72/N69</f>
        <v>0.185363936980238</v>
      </c>
      <c r="O73" s="85" t="n">
        <f aca="false">O72/O69</f>
        <v>0.185363936980238</v>
      </c>
      <c r="P73" s="85" t="n">
        <f aca="false">P72/P69</f>
        <v>0.185363936980238</v>
      </c>
      <c r="Q73" s="85" t="n">
        <f aca="false">Q72/Q69</f>
        <v>0.185363936980238</v>
      </c>
      <c r="R73" s="85" t="n">
        <f aca="false">R72/R69</f>
        <v>0.185363936980238</v>
      </c>
      <c r="S73" s="85" t="n">
        <f aca="false">S72/S69</f>
        <v>0.185363936980238</v>
      </c>
      <c r="T73" s="85" t="n">
        <f aca="false">T72/T69</f>
        <v>0.185363936980238</v>
      </c>
      <c r="U73" s="85" t="n">
        <f aca="false">U72/U69</f>
        <v>0.185363936980238</v>
      </c>
      <c r="V73" s="85" t="n">
        <f aca="false">V72/V69</f>
        <v>0.185363936980238</v>
      </c>
      <c r="W73" s="85" t="n">
        <f aca="false">W72/W69</f>
        <v>0.185363936980238</v>
      </c>
      <c r="X73" s="85" t="n">
        <f aca="false">X72/X69</f>
        <v>0.185363936980238</v>
      </c>
      <c r="Y73" s="85" t="n">
        <f aca="false">Y72/Y69</f>
        <v>0.185363936980238</v>
      </c>
      <c r="Z73" s="85" t="n">
        <f aca="false">Z72/Z69</f>
        <v>0.185363936980238</v>
      </c>
      <c r="AA73" s="85" t="n">
        <f aca="false">AA72/AA69</f>
        <v>0.185363936980238</v>
      </c>
      <c r="AB73" s="85" t="n">
        <f aca="false">AB72/AB69</f>
        <v>0.185363936980238</v>
      </c>
      <c r="AC73" s="85" t="n">
        <f aca="false">AC72/AC69</f>
        <v>0.45726264154517</v>
      </c>
      <c r="AD73" s="85" t="n">
        <f aca="false">AD72/AD69</f>
        <v>0.45726264154517</v>
      </c>
      <c r="AE73" s="85" t="n">
        <f aca="false">AE72/AE69</f>
        <v>0.45726264154517</v>
      </c>
      <c r="AF73" s="85" t="n">
        <f aca="false">AF72/AF69</f>
        <v>0.45726264154517</v>
      </c>
      <c r="AG73" s="85" t="n">
        <f aca="false">AG72/AG69</f>
        <v>0.45726264154517</v>
      </c>
      <c r="AH73" s="85" t="n">
        <f aca="false">AH72/AH69</f>
        <v>0.45726264154517</v>
      </c>
    </row>
    <row r="74" customFormat="false" ht="15" hidden="false" customHeight="false" outlineLevel="0" collapsed="false">
      <c r="A74" s="76" t="s">
        <v>905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</row>
    <row r="75" customFormat="false" ht="15" hidden="false" customHeight="false" outlineLevel="0" collapsed="false">
      <c r="A75" s="62" t="s">
        <v>906</v>
      </c>
      <c r="B75" s="62" t="s">
        <v>389</v>
      </c>
      <c r="C75" s="68" t="n">
        <f aca="false">C51*C14*1000000000000000/(C67*1000000000)</f>
        <v>79071.116297521</v>
      </c>
      <c r="D75" s="68" t="n">
        <f aca="false">D51*D14*1000000000000000/(D67*1000000000)</f>
        <v>33887.6212703662</v>
      </c>
      <c r="E75" s="68" t="n">
        <f aca="false">E51*E14*1000000000000000/(E67*1000000000)</f>
        <v>79071.116297521</v>
      </c>
      <c r="F75" s="68" t="n">
        <f aca="false">F51*F14*1000000000000000/(F67*1000000000)</f>
        <v>33887.6212703662</v>
      </c>
      <c r="G75" s="68" t="n">
        <f aca="false">G51*G14*1000000000000000/(G67*1000000000)</f>
        <v>79071.116297521</v>
      </c>
      <c r="H75" s="68" t="n">
        <f aca="false">H51*H14*1000000000000000/(H67*1000000000)</f>
        <v>33887.6212703662</v>
      </c>
      <c r="I75" s="68" t="n">
        <f aca="false">I51*I14*1000000000000000/(I67*1000000000)</f>
        <v>79071.116297521</v>
      </c>
      <c r="J75" s="68" t="n">
        <f aca="false">J51*J14*1000000000000000/(J67*1000000000)</f>
        <v>33887.6212703662</v>
      </c>
      <c r="K75" s="68" t="n">
        <f aca="false">K51*K14*1000000000000000/(K67*1000000000)</f>
        <v>79071.116297521</v>
      </c>
      <c r="L75" s="68" t="n">
        <f aca="false">L51*L14*1000000000000000/(L67*1000000000)</f>
        <v>33887.6212703662</v>
      </c>
      <c r="M75" s="68" t="n">
        <f aca="false">M51*M14*1000000000000000/(M67*1000000000)</f>
        <v>112958.737567887</v>
      </c>
      <c r="N75" s="68" t="n">
        <f aca="false">N51*N14*1000000000000000/(N67*1000000000)</f>
        <v>33887.6212703662</v>
      </c>
      <c r="O75" s="68" t="n">
        <f aca="false">O51*O14*1000000000000000/(O67*1000000000)</f>
        <v>79071.116297521</v>
      </c>
      <c r="P75" s="68" t="n">
        <f aca="false">P51*P14*1000000000000000/(P67*1000000000)</f>
        <v>33887.6212703662</v>
      </c>
      <c r="Q75" s="68" t="n">
        <f aca="false">Q51*Q14*1000000000000000/(Q67*1000000000)</f>
        <v>79071.116297521</v>
      </c>
      <c r="R75" s="68" t="n">
        <f aca="false">R51*R14*1000000000000000/(R67*1000000000)</f>
        <v>33887.6212703662</v>
      </c>
      <c r="S75" s="68" t="n">
        <f aca="false">S51*S14*1000000000000000/(S67*1000000000)</f>
        <v>79071.116297521</v>
      </c>
      <c r="T75" s="68" t="n">
        <f aca="false">T51*T14*1000000000000000/(T67*1000000000)</f>
        <v>33887.6212703662</v>
      </c>
      <c r="U75" s="68" t="n">
        <f aca="false">U51*U14*1000000000000000/(U67*1000000000)</f>
        <v>79071.116297521</v>
      </c>
      <c r="V75" s="68" t="n">
        <f aca="false">V51*V14*1000000000000000/(V67*1000000000)</f>
        <v>33887.6212703662</v>
      </c>
      <c r="W75" s="68" t="n">
        <f aca="false">W51*W14*1000000000000000/(W67*1000000000)</f>
        <v>91080.7425106535</v>
      </c>
      <c r="X75" s="68" t="n">
        <f aca="false">X51*X14*1000000000000000/(X67*1000000000)</f>
        <v>39034.6039331372</v>
      </c>
      <c r="Y75" s="68" t="n">
        <f aca="false">Y51*Y14*1000000000000000/(Y67*1000000000)</f>
        <v>78153.185474445</v>
      </c>
      <c r="Z75" s="68" t="n">
        <f aca="false">Z51*Z14*1000000000000000/(Z67*1000000000)</f>
        <v>33494.2223461907</v>
      </c>
      <c r="AA75" s="68" t="n">
        <f aca="false">AA51*AA14*1000000000000000/(AA67*1000000000)</f>
        <v>55349.7814082647</v>
      </c>
      <c r="AB75" s="68" t="n">
        <f aca="false">AB51*AB14*1000000000000000/(AB67*1000000000)</f>
        <v>23721.3348892563</v>
      </c>
      <c r="AC75" s="68" t="n">
        <f aca="false">AC51*AC14*1000000000000000/(AC67*1000000000)</f>
        <v>23834.8916576419</v>
      </c>
      <c r="AD75" s="68" t="n">
        <f aca="false">AD51*AD14*1000000000000000/(AD67*1000000000)</f>
        <v>10214.9535675608</v>
      </c>
      <c r="AE75" s="68" t="n">
        <f aca="false">AE51*AE14*1000000000000000/(AE67*1000000000)</f>
        <v>23834.8916576419</v>
      </c>
      <c r="AF75" s="68" t="n">
        <f aca="false">AF51*AF14*1000000000000000/(AF67*1000000000)</f>
        <v>10214.9535675608</v>
      </c>
      <c r="AG75" s="68" t="n">
        <f aca="false">AG51*AG14*1000000000000000/(AG67*1000000000)</f>
        <v>23834.8916576419</v>
      </c>
      <c r="AH75" s="68" t="n">
        <f aca="false">AH51*AH14*1000000000000000/(AH67*1000000000)</f>
        <v>10214.9535675608</v>
      </c>
    </row>
    <row r="76" customFormat="false" ht="15" hidden="false" customHeight="false" outlineLevel="0" collapsed="false">
      <c r="A76" s="62" t="s">
        <v>907</v>
      </c>
      <c r="B76" s="62" t="s">
        <v>392</v>
      </c>
      <c r="C76" s="77" t="n">
        <f aca="false">(C43*(1-B4_CacheHit))*C67*1000000000/(C51*C14*1000000000000000*C21)</f>
        <v>0.0233106611656346</v>
      </c>
      <c r="D76" s="77" t="n">
        <f aca="false">(D43*(1-B4_CacheHit))*D67*1000000000/(D51*D14*1000000000000000*D21)</f>
        <v>0.054391542719814</v>
      </c>
      <c r="E76" s="77" t="n">
        <f aca="false">(E43*(1-B4_CacheHit))*E67*1000000000/(E51*E14*1000000000000000*E21)</f>
        <v>0.0233106611656346</v>
      </c>
      <c r="F76" s="77" t="n">
        <f aca="false">(F43*(1-B4_CacheHit))*F67*1000000000/(F51*F14*1000000000000000*F21)</f>
        <v>0.054391542719814</v>
      </c>
      <c r="G76" s="77" t="n">
        <f aca="false">(G43*(1-B4_CacheHit))*G67*1000000000/(G51*G14*1000000000000000*G21)</f>
        <v>0.0233106611656346</v>
      </c>
      <c r="H76" s="77" t="n">
        <f aca="false">(H43*(1-B4_CacheHit))*H67*1000000000/(H51*H14*1000000000000000*H21)</f>
        <v>0.054391542719814</v>
      </c>
      <c r="I76" s="77" t="n">
        <f aca="false">(I43*(1-B4_CacheHit))*I67*1000000000/(I51*I14*1000000000000000*I21)</f>
        <v>0.0233106611656346</v>
      </c>
      <c r="J76" s="77" t="n">
        <f aca="false">(J43*(1-B4_CacheHit))*J67*1000000000/(J51*J14*1000000000000000*J21)</f>
        <v>0.054391542719814</v>
      </c>
      <c r="K76" s="77" t="n">
        <f aca="false">(K43*(1-B4_CacheHit))*K67*1000000000/(K51*K14*1000000000000000*K21)</f>
        <v>0.0233106611656346</v>
      </c>
      <c r="L76" s="77" t="n">
        <f aca="false">(L43*(1-B4_CacheHit))*L67*1000000000/(L51*L14*1000000000000000*L21)</f>
        <v>0.054391542719814</v>
      </c>
      <c r="M76" s="77" t="n">
        <f aca="false">(M43*(1-B4_CacheHit))*M67*1000000000/(M51*M14*1000000000000000*M21)</f>
        <v>0.0163174628159442</v>
      </c>
      <c r="N76" s="77" t="n">
        <f aca="false">(N43*(1-B4_CacheHit))*N67*1000000000/(N51*N14*1000000000000000*N21)</f>
        <v>0.054391542719814</v>
      </c>
      <c r="O76" s="77" t="n">
        <f aca="false">(O43*(1-B4_CacheHit))*O67*1000000000/(O51*O14*1000000000000000*O21)</f>
        <v>0.0233106611656346</v>
      </c>
      <c r="P76" s="77" t="n">
        <f aca="false">(P43*(1-B4_CacheHit))*P67*1000000000/(P51*P14*1000000000000000*P21)</f>
        <v>0.054391542719814</v>
      </c>
      <c r="Q76" s="77" t="n">
        <f aca="false">(Q43*(1-B4_CacheHit))*Q67*1000000000/(Q51*Q14*1000000000000000*Q21)</f>
        <v>0.0233106611656346</v>
      </c>
      <c r="R76" s="77" t="n">
        <f aca="false">(R43*(1-B4_CacheHit))*R67*1000000000/(R51*R14*1000000000000000*R21)</f>
        <v>0.054391542719814</v>
      </c>
      <c r="S76" s="77" t="n">
        <f aca="false">(S43*(1-B4_CacheHit))*S67*1000000000/(S51*S14*1000000000000000*S21)</f>
        <v>0.0233106611656346</v>
      </c>
      <c r="T76" s="77" t="n">
        <f aca="false">(T43*(1-B4_CacheHit))*T67*1000000000/(T51*T14*1000000000000000*T21)</f>
        <v>0.054391542719814</v>
      </c>
      <c r="U76" s="77" t="n">
        <f aca="false">(U43*(1-B4_CacheHit))*U67*1000000000/(U51*U14*1000000000000000*U21)</f>
        <v>0.0233106611656346</v>
      </c>
      <c r="V76" s="77" t="n">
        <f aca="false">(V43*(1-B4_CacheHit))*V67*1000000000/(V51*V14*1000000000000000*V21)</f>
        <v>0.054391542719814</v>
      </c>
      <c r="W76" s="77" t="n">
        <f aca="false">(W43*(1-B4_CacheHit))*W67*1000000000/(W51*W14*1000000000000000*W21)</f>
        <v>0.00505924729309383</v>
      </c>
      <c r="X76" s="77" t="n">
        <f aca="false">(X43*(1-B4_CacheHit))*X67*1000000000/(X51*X14*1000000000000000*X21)</f>
        <v>0.0118049103505523</v>
      </c>
      <c r="Y76" s="77" t="n">
        <f aca="false">(Y43*(1-B4_CacheHit))*Y67*1000000000/(Y51*Y14*1000000000000000*Y21)</f>
        <v>0.0943378053657302</v>
      </c>
      <c r="Z76" s="77" t="n">
        <f aca="false">(Z43*(1-B4_CacheHit))*Z67*1000000000/(Z51*Z14*1000000000000000*Z21)</f>
        <v>0.22012154585337</v>
      </c>
      <c r="AA76" s="77" t="n">
        <f aca="false">(AA43*(1-B4_CacheHit))*AA67*1000000000/(AA51*AA14*1000000000000000*AA21)</f>
        <v>0.0333009445223351</v>
      </c>
      <c r="AB76" s="77" t="n">
        <f aca="false">(AB43*(1-B4_CacheHit))*AB67*1000000000/(AB51*AB14*1000000000000000*AB21)</f>
        <v>0.0777022038854486</v>
      </c>
      <c r="AC76" s="77" t="n">
        <f aca="false">(AC43*(1-B4_CacheHit))*AC67*1000000000/(AC51*AC14*1000000000000000*AC21)</f>
        <v>0.154664013285669</v>
      </c>
      <c r="AD76" s="77" t="n">
        <f aca="false">(AD43*(1-B4_CacheHit))*AD67*1000000000/(AD51*AD14*1000000000000000*AD21)</f>
        <v>0.36088269766656</v>
      </c>
      <c r="AE76" s="77" t="n">
        <f aca="false">(AE43*(1-B4_CacheHit))*AE67*1000000000/(AE51*AE14*1000000000000000*AE21)</f>
        <v>0.154664013285669</v>
      </c>
      <c r="AF76" s="77" t="n">
        <f aca="false">(AF43*(1-B4_CacheHit))*AF67*1000000000/(AF51*AF14*1000000000000000*AF21)</f>
        <v>0.36088269766656</v>
      </c>
      <c r="AG76" s="77" t="n">
        <f aca="false">(AG43*(1-B4_CacheHit))*AG67*1000000000/(AG51*AG14*1000000000000000*AG21)</f>
        <v>0.154664013285669</v>
      </c>
      <c r="AH76" s="77" t="n">
        <f aca="false">(AH43*(1-B4_CacheHit))*AH67*1000000000/(AH51*AH14*1000000000000000*AH21)</f>
        <v>0.36088269766656</v>
      </c>
    </row>
    <row r="77" customFormat="false" ht="15" hidden="false" customHeight="false" outlineLevel="0" collapsed="false">
      <c r="A77" s="62" t="s">
        <v>908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  <c r="T77" s="61" t="str">
        <f aca="false">IF(T76&lt;=T42,"是","否")</f>
        <v>是</v>
      </c>
      <c r="U77" s="61" t="str">
        <f aca="false">IF(U76&lt;=U42,"是","否")</f>
        <v>是</v>
      </c>
      <c r="V77" s="61" t="str">
        <f aca="false">IF(V76&lt;=V42,"是","否")</f>
        <v>是</v>
      </c>
      <c r="W77" s="61" t="str">
        <f aca="false">IF(W76&lt;=W42,"是","否")</f>
        <v>是</v>
      </c>
      <c r="X77" s="61" t="str">
        <f aca="false">IF(X76&lt;=X42,"是","否")</f>
        <v>是</v>
      </c>
      <c r="Y77" s="61" t="str">
        <f aca="false">IF(Y76&lt;=Y42,"是","否")</f>
        <v>是</v>
      </c>
      <c r="Z77" s="61" t="str">
        <f aca="false">IF(Z76&lt;=Z42,"是","否")</f>
        <v>是</v>
      </c>
      <c r="AA77" s="61" t="str">
        <f aca="false">IF(AA76&lt;=AA42,"是","否")</f>
        <v>是</v>
      </c>
      <c r="AB77" s="61" t="str">
        <f aca="false">IF(AB76&lt;=AB42,"是","否")</f>
        <v>是</v>
      </c>
      <c r="AC77" s="61" t="str">
        <f aca="false">IF(AC76&lt;=AC42,"是","否")</f>
        <v>是</v>
      </c>
      <c r="AD77" s="61" t="str">
        <f aca="false">IF(AD76&lt;=AD42,"是","否")</f>
        <v>是</v>
      </c>
      <c r="AE77" s="61" t="str">
        <f aca="false">IF(AE76&lt;=AE42,"是","否")</f>
        <v>是</v>
      </c>
      <c r="AF77" s="61" t="str">
        <f aca="false">IF(AF76&lt;=AF42,"是","否")</f>
        <v>是</v>
      </c>
      <c r="AG77" s="61" t="str">
        <f aca="false">IF(AG76&lt;=AG42,"是","否")</f>
        <v>是</v>
      </c>
      <c r="AH77" s="61" t="str">
        <f aca="false">IF(AH76&lt;=AH42,"是","否")</f>
        <v>是</v>
      </c>
    </row>
    <row r="78" customFormat="false" ht="15" hidden="false" customHeight="false" outlineLevel="0" collapsed="false">
      <c r="A78" s="76" t="s">
        <v>909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</row>
    <row r="79" customFormat="false" ht="15" hidden="false" customHeight="false" outlineLevel="0" collapsed="false">
      <c r="A79" s="61" t="s">
        <v>910</v>
      </c>
      <c r="B79" s="62" t="s">
        <v>561</v>
      </c>
      <c r="C79" s="72" t="n">
        <f aca="false">C72/C16+(C29+C47)*C55/1000</f>
        <v>12.4997858435238</v>
      </c>
      <c r="D79" s="72" t="n">
        <f aca="false">D72/D16+(D29+D47)*D55/1000</f>
        <v>16.3216531987164</v>
      </c>
      <c r="E79" s="72" t="n">
        <f aca="false">E72/E16+(E29+E47)*E55/1000</f>
        <v>12.4997858435238</v>
      </c>
      <c r="F79" s="72" t="n">
        <f aca="false">F72/F16+(F29+F47)*F55/1000</f>
        <v>16.3216531987164</v>
      </c>
      <c r="G79" s="72" t="n">
        <f aca="false">G72/G16+(G29+G47)*G55/1000</f>
        <v>12.4997858435238</v>
      </c>
      <c r="H79" s="72" t="n">
        <f aca="false">H72/H16+(H29+H47)*H55/1000</f>
        <v>16.3216531987164</v>
      </c>
      <c r="I79" s="72" t="n">
        <f aca="false">I72/I16+(I29+I47)*I55/1000</f>
        <v>9.40502735135683</v>
      </c>
      <c r="J79" s="72" t="n">
        <f aca="false">J72/J16+(J29+J47)*J55/1000</f>
        <v>16.3216531987164</v>
      </c>
      <c r="K79" s="72" t="n">
        <f aca="false">K72/K16+(K29+K47)*K55/1000</f>
        <v>17.6577166638022</v>
      </c>
      <c r="L79" s="72" t="n">
        <f aca="false">L72/L16+(L29+L47)*L55/1000</f>
        <v>16.3216531987164</v>
      </c>
      <c r="M79" s="72" t="n">
        <f aca="false">M72/M16+(M29+M47)*M55/1000</f>
        <v>12.4997858435238</v>
      </c>
      <c r="N79" s="72" t="n">
        <f aca="false">N72/N16+(N29+N47)*N55/1000</f>
        <v>16.3216531987164</v>
      </c>
      <c r="O79" s="72" t="n">
        <f aca="false">O72/O16+(O29+O47)*O55/1000</f>
        <v>12.4997858435238</v>
      </c>
      <c r="P79" s="72" t="n">
        <f aca="false">P72/P16+(P29+P47)*P55/1000</f>
        <v>16.3216531987164</v>
      </c>
      <c r="Q79" s="72" t="n">
        <f aca="false">Q72/Q16+(Q29+Q47)*Q55/1000</f>
        <v>12.4997858435238</v>
      </c>
      <c r="R79" s="72" t="n">
        <f aca="false">R72/R16+(R29+R47)*R55/1000</f>
        <v>16.3216531987164</v>
      </c>
      <c r="S79" s="72" t="n">
        <f aca="false">S72/S16+(S29+S47)*S55/1000</f>
        <v>12.4997858435238</v>
      </c>
      <c r="T79" s="72" t="n">
        <f aca="false">T72/T16+(T29+T47)*T55/1000</f>
        <v>16.3216531987164</v>
      </c>
      <c r="U79" s="72" t="n">
        <f aca="false">U72/U16+(U29+U47)*U55/1000</f>
        <v>12.4997858435238</v>
      </c>
      <c r="V79" s="72" t="n">
        <f aca="false">V72/V16+(V29+V47)*V55/1000</f>
        <v>16.3216531987164</v>
      </c>
      <c r="W79" s="72" t="n">
        <f aca="false">W72/W16+(W29+W47)*W55/1000</f>
        <v>12.4997858435238</v>
      </c>
      <c r="X79" s="72" t="n">
        <f aca="false">X72/X16+(X29+X47)*X55/1000</f>
        <v>16.3216531987164</v>
      </c>
      <c r="Y79" s="72" t="n">
        <f aca="false">Y72/Y16+(Y29+Y47)*Y55/1000</f>
        <v>12.4997858435238</v>
      </c>
      <c r="Z79" s="72" t="n">
        <f aca="false">Z72/Z16+(Z29+Z47)*Z55/1000</f>
        <v>16.3216531987164</v>
      </c>
      <c r="AA79" s="72" t="n">
        <f aca="false">AA72/AA16+(AA29+AA47)*AA55/1000</f>
        <v>16.9208694037624</v>
      </c>
      <c r="AB79" s="72" t="n">
        <f aca="false">AB72/AB16+(AB29+AB47)*AB55/1000</f>
        <v>20.7427367589549</v>
      </c>
      <c r="AC79" s="72" t="n">
        <f aca="false">AC72/AC16+(AC29+AC47)*AC55/1000</f>
        <v>21.989475131794</v>
      </c>
      <c r="AD79" s="72" t="n">
        <f aca="false">AD72/AD16+(AD29+AD47)*AD55/1000</f>
        <v>31.4173994138344</v>
      </c>
      <c r="AE79" s="72" t="n">
        <f aca="false">AE72/AE16+(AE29+AE47)*AE55/1000</f>
        <v>21.989475131794</v>
      </c>
      <c r="AF79" s="72" t="n">
        <f aca="false">AF72/AF16+(AF29+AF47)*AF55/1000</f>
        <v>31.4173994138344</v>
      </c>
      <c r="AG79" s="72" t="n">
        <f aca="false">AG72/AG16+(AG29+AG47)*AG55/1000</f>
        <v>21.989475131794</v>
      </c>
      <c r="AH79" s="72" t="n">
        <f aca="false">AH72/AH16+(AH29+AH47)*AH55/1000</f>
        <v>31.4173994138344</v>
      </c>
    </row>
    <row r="80" customFormat="false" ht="15" hidden="false" customHeight="false" outlineLevel="0" collapsed="false">
      <c r="A80" s="61" t="s">
        <v>911</v>
      </c>
      <c r="B80" s="62" t="s">
        <v>561</v>
      </c>
      <c r="C80" s="73" t="n">
        <f aca="false">(C47+1)*C65/(C14*C53)/1000</f>
        <v>0.426319136327043</v>
      </c>
      <c r="D80" s="73" t="n">
        <f aca="false">(D47+1)*D65/(D14*D53)/1000</f>
        <v>0.994744651429766</v>
      </c>
      <c r="E80" s="73" t="n">
        <f aca="false">(E47+1)*E65/(E14*E53)/1000</f>
        <v>0.852638272654085</v>
      </c>
      <c r="F80" s="73" t="n">
        <f aca="false">(F47+1)*F65/(F14*F53)/1000</f>
        <v>0.994744651429766</v>
      </c>
      <c r="G80" s="73" t="n">
        <f aca="false">(G47+1)*G65/(G14*G53)/1000</f>
        <v>0.284212757551362</v>
      </c>
      <c r="H80" s="73" t="n">
        <f aca="false">(H47+1)*H65/(H14*H53)/1000</f>
        <v>0.994744651429766</v>
      </c>
      <c r="I80" s="73" t="n">
        <f aca="false">(I47+1)*I65/(I14*I53)/1000</f>
        <v>0.426319136327043</v>
      </c>
      <c r="J80" s="73" t="n">
        <f aca="false">(J47+1)*J65/(J14*J53)/1000</f>
        <v>0.994744651429766</v>
      </c>
      <c r="K80" s="73" t="n">
        <f aca="false">(K47+1)*K65/(K14*K53)/1000</f>
        <v>0.426319136327043</v>
      </c>
      <c r="L80" s="73" t="n">
        <f aca="false">(L47+1)*L65/(L14*L53)/1000</f>
        <v>0.994744651429766</v>
      </c>
      <c r="M80" s="73" t="n">
        <f aca="false">(M47+1)*M65/(M14*M53)/1000</f>
        <v>0.29842339542893</v>
      </c>
      <c r="N80" s="73" t="n">
        <f aca="false">(N47+1)*N65/(N14*N53)/1000</f>
        <v>0.994744651429766</v>
      </c>
      <c r="O80" s="73" t="n">
        <f aca="false">(O47+1)*O65/(O14*O53)/1000</f>
        <v>0.426319136327043</v>
      </c>
      <c r="P80" s="73" t="n">
        <f aca="false">(P47+1)*P65/(P14*P53)/1000</f>
        <v>0.994744651429766</v>
      </c>
      <c r="Q80" s="73" t="n">
        <f aca="false">(Q47+1)*Q65/(Q14*Q53)/1000</f>
        <v>0.426319136327043</v>
      </c>
      <c r="R80" s="73" t="n">
        <f aca="false">(R47+1)*R65/(R14*R53)/1000</f>
        <v>0.994744651429766</v>
      </c>
      <c r="S80" s="73" t="n">
        <f aca="false">(S47+1)*S65/(S14*S53)/1000</f>
        <v>0.426319136327043</v>
      </c>
      <c r="T80" s="73" t="n">
        <f aca="false">(T47+1)*T65/(T14*T53)/1000</f>
        <v>0.994744651429766</v>
      </c>
      <c r="U80" s="73" t="n">
        <f aca="false">(U47+1)*U65/(U14*U53)/1000</f>
        <v>0.426319136327043</v>
      </c>
      <c r="V80" s="73" t="n">
        <f aca="false">(V47+1)*V65/(V14*V53)/1000</f>
        <v>0.994744651429766</v>
      </c>
      <c r="W80" s="73" t="n">
        <f aca="false">(W47+1)*W65/(W14*W53)/1000</f>
        <v>0.423826496900918</v>
      </c>
      <c r="X80" s="73" t="n">
        <f aca="false">(X47+1)*X65/(X14*X53)/1000</f>
        <v>0.988928492768808</v>
      </c>
      <c r="Y80" s="73" t="n">
        <f aca="false">(Y47+1)*Y65/(Y14*Y53)/1000</f>
        <v>0.436289694031542</v>
      </c>
      <c r="Z80" s="73" t="n">
        <f aca="false">(Z47+1)*Z65/(Z14*Z53)/1000</f>
        <v>1.0180092860736</v>
      </c>
      <c r="AA80" s="73" t="n">
        <f aca="false">(AA47+1)*AA65/(AA14*AA53)/1000</f>
        <v>0.609027337610061</v>
      </c>
      <c r="AB80" s="73" t="n">
        <f aca="false">(AB47+1)*AB65/(AB14*AB53)/1000</f>
        <v>1.42106378775681</v>
      </c>
      <c r="AC80" s="73" t="n">
        <f aca="false">(AC47+1)*AC65/(AC14*AC53)/1000</f>
        <v>1.69767139244238</v>
      </c>
      <c r="AD80" s="73" t="n">
        <f aca="false">(AD47+1)*AD65/(AD14*AD53)/1000</f>
        <v>3.96123324903222</v>
      </c>
      <c r="AE80" s="73" t="n">
        <f aca="false">(AE47+1)*AE65/(AE14*AE53)/1000</f>
        <v>1.69767139244238</v>
      </c>
      <c r="AF80" s="73" t="n">
        <f aca="false">(AF47+1)*AF65/(AF14*AF53)/1000</f>
        <v>3.96123324903222</v>
      </c>
      <c r="AG80" s="73" t="n">
        <f aca="false">(AG47+1)*AG65/(AG14*AG53)/1000</f>
        <v>1.69767139244238</v>
      </c>
      <c r="AH80" s="73" t="n">
        <f aca="false">(AH47+1)*AH65/(AH14*AH53)/1000</f>
        <v>3.96123324903222</v>
      </c>
    </row>
    <row r="81" customFormat="false" ht="15" hidden="false" customHeight="false" outlineLevel="0" collapsed="false">
      <c r="A81" s="61" t="s">
        <v>912</v>
      </c>
      <c r="B81" s="62" t="s">
        <v>561</v>
      </c>
      <c r="C81" s="73" t="n">
        <f aca="false">C34*C45/(C16*C60)/1000000000</f>
        <v>0.00448199480519481</v>
      </c>
      <c r="D81" s="73" t="n">
        <f aca="false">D34*D45/(D16*D60)/1000000000</f>
        <v>0.0123254857142857</v>
      </c>
      <c r="E81" s="73" t="n">
        <f aca="false">E34*E45/(E16*E60)/1000000000</f>
        <v>0.00448199480519481</v>
      </c>
      <c r="F81" s="73" t="n">
        <f aca="false">F34*F45/(F16*F60)/1000000000</f>
        <v>0.0123254857142857</v>
      </c>
      <c r="G81" s="73" t="n">
        <f aca="false">G34*G45/(G16*G60)/1000000000</f>
        <v>0.00448199480519481</v>
      </c>
      <c r="H81" s="73" t="n">
        <f aca="false">H34*H45/(H16*H60)/1000000000</f>
        <v>0.0123254857142857</v>
      </c>
      <c r="I81" s="73" t="n">
        <f aca="false">I34*I45/(I16*I60)/1000000000</f>
        <v>0.00448199480519481</v>
      </c>
      <c r="J81" s="73" t="n">
        <f aca="false">J34*J45/(J16*J60)/1000000000</f>
        <v>0.0123254857142857</v>
      </c>
      <c r="K81" s="73" t="n">
        <f aca="false">K34*K45/(K16*K60)/1000000000</f>
        <v>0.00448199480519481</v>
      </c>
      <c r="L81" s="73" t="n">
        <f aca="false">L34*L45/(L16*L60)/1000000000</f>
        <v>0.0123254857142857</v>
      </c>
      <c r="M81" s="73" t="n">
        <f aca="false">M34*M45/(M16*M60)/1000000000</f>
        <v>0.00448199480519481</v>
      </c>
      <c r="N81" s="73" t="n">
        <f aca="false">N34*N45/(N16*N60)/1000000000</f>
        <v>0.0123254857142857</v>
      </c>
      <c r="O81" s="73" t="n">
        <f aca="false">O34*O45/(O16*O60)/1000000000</f>
        <v>0.00448199480519481</v>
      </c>
      <c r="P81" s="73" t="n">
        <f aca="false">P34*P45/(P16*P60)/1000000000</f>
        <v>0.0123254857142857</v>
      </c>
      <c r="Q81" s="73" t="n">
        <f aca="false">Q34*Q45/(Q16*Q60)/1000000000</f>
        <v>0.00448199480519481</v>
      </c>
      <c r="R81" s="73" t="n">
        <f aca="false">R34*R45/(R16*R60)/1000000000</f>
        <v>0.0123254857142857</v>
      </c>
      <c r="S81" s="73" t="n">
        <f aca="false">S34*S45/(S16*S60)/1000000000</f>
        <v>0.00448199480519481</v>
      </c>
      <c r="T81" s="73" t="n">
        <f aca="false">T34*T45/(T16*T60)/1000000000</f>
        <v>0.0123254857142857</v>
      </c>
      <c r="U81" s="73" t="n">
        <f aca="false">U34*U45/(U16*U60)/1000000000</f>
        <v>0.00448199480519481</v>
      </c>
      <c r="V81" s="73" t="n">
        <f aca="false">V34*V45/(V16*V60)/1000000000</f>
        <v>0.0123254857142857</v>
      </c>
      <c r="W81" s="73" t="n">
        <f aca="false">W34*W45/(W16*W60)/1000000000</f>
        <v>0.00131823376623377</v>
      </c>
      <c r="X81" s="73" t="n">
        <f aca="false">X34*X45/(X16*X60)/1000000000</f>
        <v>0.00362514285714286</v>
      </c>
      <c r="Y81" s="73" t="n">
        <f aca="false">Y34*Y45/(Y16*Y60)/1000000000</f>
        <v>0.017137038961039</v>
      </c>
      <c r="Z81" s="73" t="n">
        <f aca="false">Z34*Z45/(Z16*Z60)/1000000000</f>
        <v>0.0471268571428572</v>
      </c>
      <c r="AA81" s="73" t="n">
        <f aca="false">AA34*AA45/(AA16*AA60)/1000000000</f>
        <v>0.00448199480519481</v>
      </c>
      <c r="AB81" s="73" t="n">
        <f aca="false">AB34*AB45/(AB16*AB60)/1000000000</f>
        <v>0.0123254857142857</v>
      </c>
      <c r="AC81" s="73" t="n">
        <f aca="false">AC34*AC45/(AC16*AC60)/1000000000</f>
        <v>0.0338574296103896</v>
      </c>
      <c r="AD81" s="73" t="n">
        <f aca="false">AD34*AD45/(AD16*AD60)/1000000000</f>
        <v>0.0931079314285714</v>
      </c>
      <c r="AE81" s="73" t="n">
        <f aca="false">AE34*AE45/(AE16*AE60)/1000000000</f>
        <v>0.130220883116883</v>
      </c>
      <c r="AF81" s="73" t="n">
        <f aca="false">AF34*AF45/(AF16*AF60)/1000000000</f>
        <v>0.358107428571429</v>
      </c>
      <c r="AG81" s="73" t="n">
        <f aca="false">AG34*AG45/(AG16*AG60)/1000000000</f>
        <v>0.463007584415584</v>
      </c>
      <c r="AH81" s="73" t="n">
        <f aca="false">AH34*AH45/(AH16*AH60)/1000000000</f>
        <v>1.27327085714286</v>
      </c>
    </row>
    <row r="82" customFormat="false" ht="15" hidden="false" customHeight="false" outlineLevel="0" collapsed="false">
      <c r="A82" s="61" t="s">
        <v>913</v>
      </c>
      <c r="B82" s="62" t="s">
        <v>561</v>
      </c>
      <c r="C82" s="73" t="n">
        <f aca="false">(C47+1)*C29*C31*C30*C59*(C71-1)/C71/(C17*C61)/1000000000</f>
        <v>0.0242048</v>
      </c>
      <c r="D82" s="73" t="n">
        <f aca="false">(D47+1)*D29*D31*D30*D59*(D71-1)/D71/(D17*D61)/1000000000</f>
        <v>0.0484096</v>
      </c>
      <c r="E82" s="73" t="n">
        <f aca="false">(E47+1)*E29*E31*E30*E59*(E71-1)/E71/(E17*E61)/1000000000</f>
        <v>0.0242048</v>
      </c>
      <c r="F82" s="73" t="n">
        <f aca="false">(F47+1)*F29*F31*F30*F59*(F71-1)/F71/(F17*F61)/1000000000</f>
        <v>0.0484096</v>
      </c>
      <c r="G82" s="73" t="n">
        <f aca="false">(G47+1)*G29*G31*G30*G59*(G71-1)/G71/(G17*G61)/1000000000</f>
        <v>0.0242048</v>
      </c>
      <c r="H82" s="73" t="n">
        <f aca="false">(H47+1)*H29*H31*H30*H59*(H71-1)/H71/(H17*H61)/1000000000</f>
        <v>0.0484096</v>
      </c>
      <c r="I82" s="73" t="n">
        <f aca="false">(I47+1)*I29*I31*I30*I59*(I71-1)/I71/(I17*I61)/1000000000</f>
        <v>0.0242048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0.0242048</v>
      </c>
      <c r="L82" s="73" t="n">
        <f aca="false">(L47+1)*L29*L31*L30*L59*(L71-1)/L71/(L17*L61)/1000000000</f>
        <v>0.0484096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0.0484096</v>
      </c>
      <c r="O82" s="73" t="n">
        <f aca="false">(O47+1)*O29*O31*O30*O59*(O71-1)/O71/(O17*O61)/1000000000</f>
        <v>0.0242048</v>
      </c>
      <c r="P82" s="73" t="n">
        <f aca="false">(P47+1)*P29*P31*P30*P59*(P71-1)/P71/(P17*P61)/1000000000</f>
        <v>0.0484096</v>
      </c>
      <c r="Q82" s="73" t="n">
        <f aca="false">(Q47+1)*Q29*Q31*Q30*Q59*(Q71-1)/Q71/(Q17*Q61)/1000000000</f>
        <v>0.0242048</v>
      </c>
      <c r="R82" s="73" t="n">
        <f aca="false">(R47+1)*R29*R31*R30*R59*(R71-1)/R71/(R17*R61)/1000000000</f>
        <v>0.0484096</v>
      </c>
      <c r="S82" s="73" t="n">
        <f aca="false">(S47+1)*S29*S31*S30*S59*(S71-1)/S71/(S17*S61)/1000000000</f>
        <v>0.0242048</v>
      </c>
      <c r="T82" s="73" t="n">
        <f aca="false">(T47+1)*T29*T31*T30*T59*(T71-1)/T71/(T17*T61)/1000000000</f>
        <v>0.0484096</v>
      </c>
      <c r="U82" s="73" t="n">
        <f aca="false">(U47+1)*U29*U31*U30*U59*(U71-1)/U71/(U17*U61)/1000000000</f>
        <v>0.0242048</v>
      </c>
      <c r="V82" s="73" t="n">
        <f aca="false">(V47+1)*V29*V31*V30*V59*(V71-1)/V71/(V17*V61)/1000000000</f>
        <v>0.0484096</v>
      </c>
      <c r="W82" s="73" t="n">
        <f aca="false">(W47+1)*W29*W31*W30*W59*(W71-1)/W71/(W17*W61)/1000000000</f>
        <v>0.0242048</v>
      </c>
      <c r="X82" s="73" t="n">
        <f aca="false">(X47+1)*X29*X31*X30*X59*(X71-1)/X71/(X17*X61)/1000000000</f>
        <v>0.0484096</v>
      </c>
      <c r="Y82" s="73" t="n">
        <f aca="false">(Y47+1)*Y29*Y31*Y30*Y59*(Y71-1)/Y71/(Y17*Y61)/1000000000</f>
        <v>0.0242048</v>
      </c>
      <c r="Z82" s="73" t="n">
        <f aca="false">(Z47+1)*Z29*Z31*Z30*Z59*(Z71-1)/Z71/(Z17*Z61)/1000000000</f>
        <v>0.0484096</v>
      </c>
      <c r="AA82" s="73" t="n">
        <f aca="false">(AA47+1)*AA29*AA31*AA30*AA59*(AA71-1)/AA71/(AA17*AA61)/1000000000</f>
        <v>0.0242048</v>
      </c>
      <c r="AB82" s="73" t="n">
        <f aca="false">(AB47+1)*AB29*AB31*AB30*AB59*(AB71-1)/AB71/(AB17*AB61)/1000000000</f>
        <v>0.0484096</v>
      </c>
      <c r="AC82" s="73" t="n">
        <f aca="false">(AC47+1)*AC29*AC31*AC30*AC59*(AC71-1)/AC71/(AC17*AC61)/1000000000</f>
        <v>0.181394285714286</v>
      </c>
      <c r="AD82" s="73" t="n">
        <f aca="false">(AD47+1)*AD29*AD31*AD30*AD59*(AD71-1)/AD71/(AD17*AD61)/1000000000</f>
        <v>0.362788571428571</v>
      </c>
      <c r="AE82" s="73" t="n">
        <f aca="false">(AE47+1)*AE29*AE31*AE30*AE59*(AE71-1)/AE71/(AE17*AE61)/1000000000</f>
        <v>0.181394285714286</v>
      </c>
      <c r="AF82" s="73" t="n">
        <f aca="false">(AF47+1)*AF29*AF31*AF30*AF59*(AF71-1)/AF71/(AF17*AF61)/1000000000</f>
        <v>0.362788571428571</v>
      </c>
      <c r="AG82" s="73" t="n">
        <f aca="false">(AG47+1)*AG29*AG31*AG30*AG59*(AG71-1)/AG71/(AG17*AG61)/1000000000</f>
        <v>0.181394285714286</v>
      </c>
      <c r="AH82" s="73" t="n">
        <f aca="false">(AH47+1)*AH29*AH31*AH30*AH59*(AH71-1)/AH71/(AH17*AH61)/1000000000</f>
        <v>0.362788571428571</v>
      </c>
    </row>
    <row r="83" customFormat="false" ht="15" hidden="false" customHeight="false" outlineLevel="0" collapsed="false">
      <c r="A83" s="61" t="s">
        <v>914</v>
      </c>
      <c r="B83" s="62" t="s">
        <v>561</v>
      </c>
      <c r="C83" s="73" t="n">
        <f aca="false">MAX(C80,C81,C82)</f>
        <v>0.426319136327043</v>
      </c>
      <c r="D83" s="73" t="n">
        <f aca="false">MAX(D80,D81,D82)</f>
        <v>0.994744651429766</v>
      </c>
      <c r="E83" s="73" t="n">
        <f aca="false">MAX(E80,E81,E82)</f>
        <v>0.852638272654085</v>
      </c>
      <c r="F83" s="73" t="n">
        <f aca="false">MAX(F80,F81,F82)</f>
        <v>0.994744651429766</v>
      </c>
      <c r="G83" s="73" t="n">
        <f aca="false">MAX(G80,G81,G82)</f>
        <v>0.284212757551362</v>
      </c>
      <c r="H83" s="73" t="n">
        <f aca="false">MAX(H80,H81,H82)</f>
        <v>0.994744651429766</v>
      </c>
      <c r="I83" s="73" t="n">
        <f aca="false">MAX(I80,I81,I82)</f>
        <v>0.426319136327043</v>
      </c>
      <c r="J83" s="73" t="n">
        <f aca="false">MAX(J80,J81,J82)</f>
        <v>0.994744651429766</v>
      </c>
      <c r="K83" s="73" t="n">
        <f aca="false">MAX(K80,K81,K82)</f>
        <v>0.426319136327043</v>
      </c>
      <c r="L83" s="73" t="n">
        <f aca="false">MAX(L80,L81,L82)</f>
        <v>0.994744651429766</v>
      </c>
      <c r="M83" s="73" t="n">
        <f aca="false">MAX(M80,M81,M82)</f>
        <v>0.29842339542893</v>
      </c>
      <c r="N83" s="73" t="n">
        <f aca="false">MAX(N80,N81,N82)</f>
        <v>0.994744651429766</v>
      </c>
      <c r="O83" s="73" t="n">
        <f aca="false">MAX(O80,O81,O82)</f>
        <v>0.426319136327043</v>
      </c>
      <c r="P83" s="73" t="n">
        <f aca="false">MAX(P80,P81,P82)</f>
        <v>0.994744651429766</v>
      </c>
      <c r="Q83" s="73" t="n">
        <f aca="false">MAX(Q80,Q81,Q82)</f>
        <v>0.426319136327043</v>
      </c>
      <c r="R83" s="73" t="n">
        <f aca="false">MAX(R80,R81,R82)</f>
        <v>0.994744651429766</v>
      </c>
      <c r="S83" s="73" t="n">
        <f aca="false">MAX(S80,S81,S82)</f>
        <v>0.426319136327043</v>
      </c>
      <c r="T83" s="73" t="n">
        <f aca="false">MAX(T80,T81,T82)</f>
        <v>0.994744651429766</v>
      </c>
      <c r="U83" s="73" t="n">
        <f aca="false">MAX(U80,U81,U82)</f>
        <v>0.426319136327043</v>
      </c>
      <c r="V83" s="73" t="n">
        <f aca="false">MAX(V80,V81,V82)</f>
        <v>0.994744651429766</v>
      </c>
      <c r="W83" s="73" t="n">
        <f aca="false">MAX(W80,W81,W82)</f>
        <v>0.423826496900918</v>
      </c>
      <c r="X83" s="73" t="n">
        <f aca="false">MAX(X80,X81,X82)</f>
        <v>0.988928492768808</v>
      </c>
      <c r="Y83" s="73" t="n">
        <f aca="false">MAX(Y80,Y81,Y82)</f>
        <v>0.436289694031542</v>
      </c>
      <c r="Z83" s="73" t="n">
        <f aca="false">MAX(Z80,Z81,Z82)</f>
        <v>1.0180092860736</v>
      </c>
      <c r="AA83" s="73" t="n">
        <f aca="false">MAX(AA80,AA81,AA82)</f>
        <v>0.609027337610061</v>
      </c>
      <c r="AB83" s="73" t="n">
        <f aca="false">MAX(AB80,AB81,AB82)</f>
        <v>1.42106378775681</v>
      </c>
      <c r="AC83" s="73" t="n">
        <f aca="false">MAX(AC80,AC81,AC82)</f>
        <v>1.69767139244238</v>
      </c>
      <c r="AD83" s="73" t="n">
        <f aca="false">MAX(AD80,AD81,AD82)</f>
        <v>3.96123324903222</v>
      </c>
      <c r="AE83" s="73" t="n">
        <f aca="false">MAX(AE80,AE81,AE82)</f>
        <v>1.69767139244238</v>
      </c>
      <c r="AF83" s="73" t="n">
        <f aca="false">MAX(AF80,AF81,AF82)</f>
        <v>3.96123324903222</v>
      </c>
      <c r="AG83" s="73" t="n">
        <f aca="false">MAX(AG80,AG81,AG82)</f>
        <v>1.69767139244238</v>
      </c>
      <c r="AH83" s="73" t="n">
        <f aca="false">MAX(AH80,AH81,AH82)</f>
        <v>3.96123324903222</v>
      </c>
    </row>
    <row r="84" customFormat="false" ht="15" hidden="false" customHeight="false" outlineLevel="0" collapsed="false">
      <c r="A84" s="61" t="s">
        <v>915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  <c r="T84" s="61" t="str">
        <f aca="false">IF(T83=T80,"算力",IF(T83=T81,"KV 頻寬","EP 通訊"))</f>
        <v>算力</v>
      </c>
      <c r="U84" s="61" t="str">
        <f aca="false">IF(U83=U80,"算力",IF(U83=U81,"KV 頻寬","EP 通訊"))</f>
        <v>算力</v>
      </c>
      <c r="V84" s="61" t="str">
        <f aca="false">IF(V83=V80,"算力",IF(V83=V81,"KV 頻寬","EP 通訊"))</f>
        <v>算力</v>
      </c>
      <c r="W84" s="61" t="str">
        <f aca="false">IF(W83=W80,"算力",IF(W83=W81,"KV 頻寬","EP 通訊"))</f>
        <v>算力</v>
      </c>
      <c r="X84" s="61" t="str">
        <f aca="false">IF(X83=X80,"算力",IF(X83=X81,"KV 頻寬","EP 通訊"))</f>
        <v>算力</v>
      </c>
      <c r="Y84" s="61" t="str">
        <f aca="false">IF(Y83=Y80,"算力",IF(Y83=Y81,"KV 頻寬","EP 通訊"))</f>
        <v>算力</v>
      </c>
      <c r="Z84" s="61" t="str">
        <f aca="false">IF(Z83=Z80,"算力",IF(Z83=Z81,"KV 頻寬","EP 通訊"))</f>
        <v>算力</v>
      </c>
      <c r="AA84" s="61" t="str">
        <f aca="false">IF(AA83=AA80,"算力",IF(AA83=AA81,"KV 頻寬","EP 通訊"))</f>
        <v>算力</v>
      </c>
      <c r="AB84" s="61" t="str">
        <f aca="false">IF(AB83=AB80,"算力",IF(AB83=AB81,"KV 頻寬","EP 通訊"))</f>
        <v>算力</v>
      </c>
      <c r="AC84" s="61" t="str">
        <f aca="false">IF(AC83=AC80,"算力",IF(AC83=AC81,"KV 頻寬","EP 通訊"))</f>
        <v>算力</v>
      </c>
      <c r="AD84" s="61" t="str">
        <f aca="false">IF(AD83=AD80,"算力",IF(AD83=AD81,"KV 頻寬","EP 通訊"))</f>
        <v>算力</v>
      </c>
      <c r="AE84" s="61" t="str">
        <f aca="false">IF(AE83=AE80,"算力",IF(AE83=AE81,"KV 頻寬","EP 通訊"))</f>
        <v>算力</v>
      </c>
      <c r="AF84" s="61" t="str">
        <f aca="false">IF(AF83=AF80,"算力",IF(AF83=AF81,"KV 頻寬","EP 通訊"))</f>
        <v>算力</v>
      </c>
      <c r="AG84" s="61" t="str">
        <f aca="false">IF(AG83=AG80,"算力",IF(AG83=AG81,"KV 頻寬","EP 通訊"))</f>
        <v>算力</v>
      </c>
      <c r="AH84" s="61" t="str">
        <f aca="false">IF(AH83=AH80,"算力",IF(AH83=AH81,"KV 頻寬","EP 通訊"))</f>
        <v>算力</v>
      </c>
    </row>
    <row r="85" customFormat="false" ht="15" hidden="false" customHeight="false" outlineLevel="0" collapsed="false">
      <c r="A85" s="62" t="s">
        <v>916</v>
      </c>
      <c r="B85" s="61" t="s">
        <v>567</v>
      </c>
      <c r="C85" s="75" t="n">
        <f aca="false">(1000*C49/C41-C79)/C83</f>
        <v>107.861236462534</v>
      </c>
      <c r="D85" s="75" t="n">
        <f aca="false">(1000*D49/D41-D79)/D83</f>
        <v>42.3841854852724</v>
      </c>
      <c r="E85" s="75" t="n">
        <f aca="false">(1000*E49/E41-E79)/E83</f>
        <v>53.930618231267</v>
      </c>
      <c r="F85" s="75" t="n">
        <f aca="false">(1000*F49/F41-F79)/F83</f>
        <v>42.3841854852724</v>
      </c>
      <c r="G85" s="75" t="n">
        <f aca="false">(1000*G49/G41-G79)/G83</f>
        <v>161.791854693801</v>
      </c>
      <c r="H85" s="75" t="n">
        <f aca="false">(1000*H49/H41-H79)/H83</f>
        <v>42.3841854852724</v>
      </c>
      <c r="I85" s="75" t="n">
        <f aca="false">(1000*I49/I41-I79)/I83</f>
        <v>115.12048951608</v>
      </c>
      <c r="J85" s="75" t="n">
        <f aca="false">(1000*J49/J41-J79)/J83</f>
        <v>42.3841854852724</v>
      </c>
      <c r="K85" s="75" t="n">
        <f aca="false">(1000*K49/K41-K79)/K83</f>
        <v>95.7624813732913</v>
      </c>
      <c r="L85" s="75" t="n">
        <f aca="false">(1000*L49/L41-L79)/L83</f>
        <v>42.3841854852724</v>
      </c>
      <c r="M85" s="75" t="n">
        <f aca="false">(1000*M49/M41-M79)/M83</f>
        <v>154.087480660763</v>
      </c>
      <c r="N85" s="75" t="n">
        <f aca="false">(1000*N49/N41-N79)/N83</f>
        <v>42.3841854852724</v>
      </c>
      <c r="O85" s="75" t="n">
        <f aca="false">(1000*O49/O41-O79)/O83</f>
        <v>119.21870220127</v>
      </c>
      <c r="P85" s="75" t="n">
        <f aca="false">(1000*P49/P41-P79)/P83</f>
        <v>47.2516708018734</v>
      </c>
      <c r="Q85" s="75" t="n">
        <f aca="false">(1000*Q49/Q41-Q79)/Q83</f>
        <v>30.0953278030516</v>
      </c>
      <c r="R85" s="75" t="n">
        <f aca="false">(1000*R49/R41-R79)/R83</f>
        <v>9.0559389169228</v>
      </c>
      <c r="S85" s="75" t="n">
        <f aca="false">(1000*S49/S41-S79)/S83</f>
        <v>88.526932278479</v>
      </c>
      <c r="T85" s="75" t="n">
        <f aca="false">(1000*T49/T41-T79)/T83</f>
        <v>34.0980551206774</v>
      </c>
      <c r="U85" s="75" t="n">
        <f aca="false">(1000*U49/U41-U79)/U83</f>
        <v>130.553318964268</v>
      </c>
      <c r="V85" s="75" t="n">
        <f aca="false">(1000*V49/V41-V79)/V83</f>
        <v>52.1093637003012</v>
      </c>
      <c r="W85" s="75" t="n">
        <f aca="false">(1000*W49/W41-W79)/W83</f>
        <v>108.495597864011</v>
      </c>
      <c r="X85" s="75" t="n">
        <f aca="false">(1000*X49/X41-X79)/X83</f>
        <v>42.6334584603159</v>
      </c>
      <c r="Y85" s="75" t="n">
        <f aca="false">(1000*Y49/Y41-Y79)/Y83</f>
        <v>105.396276375371</v>
      </c>
      <c r="Z85" s="75" t="n">
        <f aca="false">(1000*Z49/Z41-Z79)/Z83</f>
        <v>41.4155768453704</v>
      </c>
      <c r="AA85" s="75" t="n">
        <f aca="false">(1000*AA49/AA41-AA79)/AA83</f>
        <v>68.2436124702282</v>
      </c>
      <c r="AB85" s="75" t="n">
        <f aca="false">(1000*AB49/AB41-AB79)/AB83</f>
        <v>26.5578213881711</v>
      </c>
      <c r="AC85" s="75" t="n">
        <f aca="false">(1000*AC49/AC41-AC79)/AC83</f>
        <v>23.5888849403159</v>
      </c>
      <c r="AD85" s="75" t="n">
        <f aca="false">(1000*AD49/AD41-AD79)/AD83</f>
        <v>7.72947436716313</v>
      </c>
      <c r="AE85" s="75" t="n">
        <f aca="false">(1000*AE49/AE41-AE79)/AE83</f>
        <v>23.5888849403159</v>
      </c>
      <c r="AF85" s="75" t="n">
        <f aca="false">(1000*AF49/AF41-AF79)/AF83</f>
        <v>7.72947436716313</v>
      </c>
      <c r="AG85" s="75" t="n">
        <f aca="false">(1000*AG49/AG41-AG79)/AG83</f>
        <v>23.5888849403159</v>
      </c>
      <c r="AH85" s="75" t="n">
        <f aca="false">(1000*AH49/AH41-AH79)/AH83</f>
        <v>7.72947436716313</v>
      </c>
    </row>
    <row r="86" customFormat="false" ht="15" hidden="false" customHeight="false" outlineLevel="0" collapsed="false">
      <c r="A86" s="62" t="s">
        <v>917</v>
      </c>
      <c r="B86" s="61" t="s">
        <v>567</v>
      </c>
      <c r="C86" s="68" t="n">
        <f aca="false">(C69-C72)*1000000000/(C34*C45)</f>
        <v>3059.19076406613</v>
      </c>
      <c r="D86" s="68" t="n">
        <f aca="false">(D69-D72)*1000000000/(D34*D45)</f>
        <v>3059.19076406613</v>
      </c>
      <c r="E86" s="68" t="n">
        <f aca="false">(E69-E72)*1000000000/(E34*E45)</f>
        <v>3059.19076406613</v>
      </c>
      <c r="F86" s="68" t="n">
        <f aca="false">(F69-F72)*1000000000/(F34*F45)</f>
        <v>3059.19076406613</v>
      </c>
      <c r="G86" s="68" t="n">
        <f aca="false">(G69-G72)*1000000000/(G34*G45)</f>
        <v>3059.19076406613</v>
      </c>
      <c r="H86" s="68" t="n">
        <f aca="false">(H69-H72)*1000000000/(H34*H45)</f>
        <v>3059.19076406613</v>
      </c>
      <c r="I86" s="68" t="n">
        <f aca="false">(I69-I72)*1000000000/(I34*I45)</f>
        <v>3059.19076406613</v>
      </c>
      <c r="J86" s="68" t="n">
        <f aca="false">(J69-J72)*1000000000/(J34*J45)</f>
        <v>3059.19076406613</v>
      </c>
      <c r="K86" s="68" t="n">
        <f aca="false">(K69-K72)*1000000000/(K34*K45)</f>
        <v>3059.19076406613</v>
      </c>
      <c r="L86" s="68" t="n">
        <f aca="false">(L69-L72)*1000000000/(L34*L45)</f>
        <v>3059.19076406613</v>
      </c>
      <c r="M86" s="68" t="n">
        <f aca="false">(M69-M72)*1000000000/(M34*M45)</f>
        <v>3059.19076406613</v>
      </c>
      <c r="N86" s="68" t="n">
        <f aca="false">(N69-N72)*1000000000/(N34*N45)</f>
        <v>3059.19076406613</v>
      </c>
      <c r="O86" s="68" t="n">
        <f aca="false">(O69-O72)*1000000000/(O34*O45)</f>
        <v>3059.19076406613</v>
      </c>
      <c r="P86" s="68" t="n">
        <f aca="false">(P69-P72)*1000000000/(P34*P45)</f>
        <v>3059.19076406613</v>
      </c>
      <c r="Q86" s="68" t="n">
        <f aca="false">(Q69-Q72)*1000000000/(Q34*Q45)</f>
        <v>3059.19076406613</v>
      </c>
      <c r="R86" s="68" t="n">
        <f aca="false">(R69-R72)*1000000000/(R34*R45)</f>
        <v>3059.19076406613</v>
      </c>
      <c r="S86" s="68" t="n">
        <f aca="false">(S69-S72)*1000000000/(S34*S45)</f>
        <v>3059.19076406613</v>
      </c>
      <c r="T86" s="68" t="n">
        <f aca="false">(T69-T72)*1000000000/(T34*T45)</f>
        <v>3059.19076406613</v>
      </c>
      <c r="U86" s="68" t="n">
        <f aca="false">(U69-U72)*1000000000/(U34*U45)</f>
        <v>3059.19076406613</v>
      </c>
      <c r="V86" s="68" t="n">
        <f aca="false">(V69-V72)*1000000000/(V34*V45)</f>
        <v>3059.19076406613</v>
      </c>
      <c r="W86" s="68" t="n">
        <f aca="false">(W69-W72)*1000000000/(W34*W45)</f>
        <v>10401.2485978248</v>
      </c>
      <c r="X86" s="68" t="n">
        <f aca="false">(X69-X72)*1000000000/(X34*X45)</f>
        <v>10401.2485978248</v>
      </c>
      <c r="Y86" s="68" t="n">
        <f aca="false">(Y69-Y72)*1000000000/(Y34*Y45)</f>
        <v>800.096045986525</v>
      </c>
      <c r="Z86" s="68" t="n">
        <f aca="false">(Z69-Z72)*1000000000/(Z34*Z45)</f>
        <v>800.096045986525</v>
      </c>
      <c r="AA86" s="68" t="n">
        <f aca="false">(AA69-AA72)*1000000000/(AA34*AA45)</f>
        <v>3059.19076406613</v>
      </c>
      <c r="AB86" s="68" t="n">
        <f aca="false">(AB69-AB72)*1000000000/(AB34*AB45)</f>
        <v>3059.19076406613</v>
      </c>
      <c r="AC86" s="68" t="n">
        <f aca="false">(AC69-AC72)*1000000000/(AC34*AC45)</f>
        <v>269.80500930681</v>
      </c>
      <c r="AD86" s="68" t="n">
        <f aca="false">(AD69-AD72)*1000000000/(AD34*AD45)</f>
        <v>269.80500930681</v>
      </c>
      <c r="AE86" s="68" t="n">
        <f aca="false">(AE69-AE72)*1000000000/(AE34*AE45)</f>
        <v>70.1493024197706</v>
      </c>
      <c r="AF86" s="68" t="n">
        <f aca="false">(AF69-AF72)*1000000000/(AF34*AF45)</f>
        <v>70.1493024197706</v>
      </c>
      <c r="AG86" s="68" t="n">
        <f aca="false">(AG69-AG72)*1000000000/(AG34*AG45)</f>
        <v>19.7294913055605</v>
      </c>
      <c r="AH86" s="68" t="n">
        <f aca="false">(AH69-AH72)*1000000000/(AH34*AH45)</f>
        <v>19.7294913055605</v>
      </c>
    </row>
    <row r="87" customFormat="false" ht="15" hidden="false" customHeight="false" outlineLevel="0" collapsed="false">
      <c r="A87" s="61" t="s">
        <v>918</v>
      </c>
      <c r="B87" s="61" t="s">
        <v>567</v>
      </c>
      <c r="C87" s="114" t="n">
        <f aca="false">MAX(0,MIN(C85,C86))</f>
        <v>107.861236462534</v>
      </c>
      <c r="D87" s="114" t="n">
        <f aca="false">MAX(0,MIN(D85,D86))</f>
        <v>42.3841854852724</v>
      </c>
      <c r="E87" s="114" t="n">
        <f aca="false">MAX(0,MIN(E85,E86))</f>
        <v>53.930618231267</v>
      </c>
      <c r="F87" s="114" t="n">
        <f aca="false">MAX(0,MIN(F85,F86))</f>
        <v>42.3841854852724</v>
      </c>
      <c r="G87" s="114" t="n">
        <f aca="false">MAX(0,MIN(G85,G86))</f>
        <v>161.791854693801</v>
      </c>
      <c r="H87" s="114" t="n">
        <f aca="false">MAX(0,MIN(H85,H86))</f>
        <v>42.3841854852724</v>
      </c>
      <c r="I87" s="114" t="n">
        <f aca="false">MAX(0,MIN(I85,I86))</f>
        <v>115.12048951608</v>
      </c>
      <c r="J87" s="114" t="n">
        <f aca="false">MAX(0,MIN(J85,J86))</f>
        <v>42.3841854852724</v>
      </c>
      <c r="K87" s="114" t="n">
        <f aca="false">MAX(0,MIN(K85,K86))</f>
        <v>95.7624813732913</v>
      </c>
      <c r="L87" s="114" t="n">
        <f aca="false">MAX(0,MIN(L85,L86))</f>
        <v>42.3841854852724</v>
      </c>
      <c r="M87" s="114" t="n">
        <f aca="false">MAX(0,MIN(M85,M86))</f>
        <v>154.087480660763</v>
      </c>
      <c r="N87" s="114" t="n">
        <f aca="false">MAX(0,MIN(N85,N86))</f>
        <v>42.3841854852724</v>
      </c>
      <c r="O87" s="114" t="n">
        <f aca="false">MAX(0,MIN(O85,O86))</f>
        <v>119.21870220127</v>
      </c>
      <c r="P87" s="114" t="n">
        <f aca="false">MAX(0,MIN(P85,P86))</f>
        <v>47.2516708018734</v>
      </c>
      <c r="Q87" s="114" t="n">
        <f aca="false">MAX(0,MIN(Q85,Q86))</f>
        <v>30.0953278030516</v>
      </c>
      <c r="R87" s="114" t="n">
        <f aca="false">MAX(0,MIN(R85,R86))</f>
        <v>9.0559389169228</v>
      </c>
      <c r="S87" s="114" t="n">
        <f aca="false">MAX(0,MIN(S85,S86))</f>
        <v>88.526932278479</v>
      </c>
      <c r="T87" s="114" t="n">
        <f aca="false">MAX(0,MIN(T85,T86))</f>
        <v>34.0980551206774</v>
      </c>
      <c r="U87" s="114" t="n">
        <f aca="false">MAX(0,MIN(U85,U86))</f>
        <v>130.553318964268</v>
      </c>
      <c r="V87" s="114" t="n">
        <f aca="false">MAX(0,MIN(V85,V86))</f>
        <v>52.1093637003012</v>
      </c>
      <c r="W87" s="114" t="n">
        <f aca="false">MAX(0,MIN(W85,W86))</f>
        <v>108.495597864011</v>
      </c>
      <c r="X87" s="114" t="n">
        <f aca="false">MAX(0,MIN(X85,X86))</f>
        <v>42.6334584603159</v>
      </c>
      <c r="Y87" s="114" t="n">
        <f aca="false">MAX(0,MIN(Y85,Y86))</f>
        <v>105.396276375371</v>
      </c>
      <c r="Z87" s="114" t="n">
        <f aca="false">MAX(0,MIN(Z85,Z86))</f>
        <v>41.4155768453704</v>
      </c>
      <c r="AA87" s="114" t="n">
        <f aca="false">MAX(0,MIN(AA85,AA86))</f>
        <v>68.2436124702282</v>
      </c>
      <c r="AB87" s="114" t="n">
        <f aca="false">MAX(0,MIN(AB85,AB86))</f>
        <v>26.5578213881711</v>
      </c>
      <c r="AC87" s="114" t="n">
        <f aca="false">MAX(0,MIN(AC85,AC86))</f>
        <v>23.5888849403159</v>
      </c>
      <c r="AD87" s="114" t="n">
        <f aca="false">MAX(0,MIN(AD85,AD86))</f>
        <v>7.72947436716313</v>
      </c>
      <c r="AE87" s="114" t="n">
        <f aca="false">MAX(0,MIN(AE85,AE86))</f>
        <v>23.5888849403159</v>
      </c>
      <c r="AF87" s="114" t="n">
        <f aca="false">MAX(0,MIN(AF85,AF86))</f>
        <v>7.72947436716313</v>
      </c>
      <c r="AG87" s="114" t="n">
        <f aca="false">MAX(0,MIN(AG85,AG86))</f>
        <v>19.7294913055605</v>
      </c>
      <c r="AH87" s="114" t="n">
        <f aca="false">MAX(0,MIN(AH85,AH86))</f>
        <v>7.72947436716313</v>
      </c>
    </row>
    <row r="88" customFormat="false" ht="15" hidden="false" customHeight="false" outlineLevel="0" collapsed="false">
      <c r="A88" s="62" t="s">
        <v>919</v>
      </c>
      <c r="B88" s="62" t="s">
        <v>389</v>
      </c>
      <c r="C88" s="71" t="n">
        <f aca="false">IF(C87&gt;0,C87*C49/((C79+C87*C83)/1000),0)</f>
        <v>4671.64933537911</v>
      </c>
      <c r="D88" s="71" t="n">
        <f aca="false">IF(D87&gt;0,D87*D49/((D79+D87*D83)/1000),0)</f>
        <v>1835.72948398042</v>
      </c>
      <c r="E88" s="71" t="n">
        <f aca="false">IF(E87&gt;0,E87*E49/((E79+E87*E83)/1000),0)</f>
        <v>2335.82466768956</v>
      </c>
      <c r="F88" s="71" t="n">
        <f aca="false">IF(F87&gt;0,F87*F49/((F79+F87*F83)/1000),0)</f>
        <v>1835.72948398042</v>
      </c>
      <c r="G88" s="71" t="n">
        <f aca="false">IF(G87&gt;0,G87*G49/((G79+G87*G83)/1000),0)</f>
        <v>7007.47400306867</v>
      </c>
      <c r="H88" s="71" t="n">
        <f aca="false">IF(H87&gt;0,H87*H49/((H79+H87*H83)/1000),0)</f>
        <v>1835.72948398042</v>
      </c>
      <c r="I88" s="71" t="n">
        <f aca="false">IF(I87&gt;0,I87*I49/((I79+I87*I83)/1000),0)</f>
        <v>4986.05964454263</v>
      </c>
      <c r="J88" s="71" t="n">
        <f aca="false">IF(J87&gt;0,J87*J49/((J79+J87*J83)/1000),0)</f>
        <v>1835.72948398042</v>
      </c>
      <c r="K88" s="71" t="n">
        <f aca="false">IF(K87&gt;0,K87*K49/((K79+K87*K83)/1000),0)</f>
        <v>4147.63215343991</v>
      </c>
      <c r="L88" s="71" t="n">
        <f aca="false">IF(L87&gt;0,L87*L49/((L79+L87*L83)/1000),0)</f>
        <v>1835.72948398042</v>
      </c>
      <c r="M88" s="71" t="n">
        <f aca="false">IF(M87&gt;0,M87*M49/((M79+M87*M83)/1000),0)</f>
        <v>6673.7847648273</v>
      </c>
      <c r="N88" s="71" t="n">
        <f aca="false">IF(N87&gt;0,N87*N49/((N79+N87*N83)/1000),0)</f>
        <v>1835.72948398042</v>
      </c>
      <c r="O88" s="71" t="n">
        <f aca="false">IF(O87&gt;0,O87*O49/((O79+O87*O83)/1000),0)</f>
        <v>4768.74808805079</v>
      </c>
      <c r="P88" s="71" t="n">
        <f aca="false">IF(P87&gt;0,P87*P49/((P79+P87*P83)/1000),0)</f>
        <v>1890.06683207494</v>
      </c>
      <c r="Q88" s="71" t="n">
        <f aca="false">IF(Q87&gt;0,Q87*Q49/((Q79+Q87*Q83)/1000),0)</f>
        <v>3009.53278030516</v>
      </c>
      <c r="R88" s="71" t="n">
        <f aca="false">IF(R87&gt;0,R87*R49/((R79+R87*R83)/1000),0)</f>
        <v>905.59389169228</v>
      </c>
      <c r="S88" s="71" t="n">
        <f aca="false">IF(S87&gt;0,S87*S49/((S79+S87*S83)/1000),0)</f>
        <v>3834.24850210727</v>
      </c>
      <c r="T88" s="71" t="n">
        <f aca="false">IF(T87&gt;0,T87*T49/((T79+T87*T83)/1000),0)</f>
        <v>1476.8434125782</v>
      </c>
      <c r="U88" s="71" t="n">
        <f aca="false">IF(U87&gt;0,U87*U49/((U79+U87*U83)/1000),0)</f>
        <v>5654.48112568977</v>
      </c>
      <c r="V88" s="71" t="n">
        <f aca="false">IF(V87&gt;0,V87*V49/((V79+V87*V83)/1000),0)</f>
        <v>2256.94310839928</v>
      </c>
      <c r="W88" s="71" t="n">
        <f aca="false">IF(W87&gt;0,W87*W49/((W79+W87*W83)/1000),0)</f>
        <v>4699.12458150823</v>
      </c>
      <c r="X88" s="71" t="n">
        <f aca="false">IF(X87&gt;0,X87*X49/((X79+X87*X83)/1000),0)</f>
        <v>1846.52591063361</v>
      </c>
      <c r="Y88" s="71" t="n">
        <f aca="false">IF(Y87&gt;0,Y87*Y49/((Y79+Y87*Y83)/1000),0)</f>
        <v>4564.88781909581</v>
      </c>
      <c r="Z88" s="71" t="n">
        <f aca="false">IF(Z87&gt;0,Z87*Z49/((Z79+Z87*Z83)/1000),0)</f>
        <v>1793.77743468779</v>
      </c>
      <c r="AA88" s="71" t="n">
        <f aca="false">IF(AA87&gt;0,AA87*AA49/((AA79+AA87*AA83)/1000),0)</f>
        <v>2955.74422560186</v>
      </c>
      <c r="AB88" s="71" t="n">
        <f aca="false">IF(AB87&gt;0,AB87*AB49/((AB79+AB87*AB83)/1000),0)</f>
        <v>1150.2633634305</v>
      </c>
      <c r="AC88" s="71" t="n">
        <f aca="false">IF(AC87&gt;0,AC87*AC49/((AC79+AC87*AC83)/1000),0)</f>
        <v>963.166264709904</v>
      </c>
      <c r="AD88" s="71" t="n">
        <f aca="false">IF(AD87&gt;0,AD87*AD49/((AD79+AD87*AD83)/1000),0)</f>
        <v>315.604954334554</v>
      </c>
      <c r="AE88" s="71" t="n">
        <f aca="false">IF(AE87&gt;0,AE87*AE49/((AE79+AE87*AE83)/1000),0)</f>
        <v>963.166264709904</v>
      </c>
      <c r="AF88" s="71" t="n">
        <f aca="false">IF(AF87&gt;0,AF87*AF49/((AF79+AF87*AF83)/1000),0)</f>
        <v>315.604954334554</v>
      </c>
      <c r="AG88" s="71" t="n">
        <f aca="false">IF(AG87&gt;0,AG87*AG49/((AG79+AG87*AG83)/1000),0)</f>
        <v>900.711924436775</v>
      </c>
      <c r="AH88" s="71" t="n">
        <f aca="false">IF(AH87&gt;0,AH87*AH49/((AH79+AH87*AH83)/1000),0)</f>
        <v>315.604954334554</v>
      </c>
    </row>
    <row r="89" customFormat="false" ht="15" hidden="false" customHeight="false" outlineLevel="0" collapsed="false">
      <c r="A89" s="61" t="s">
        <v>920</v>
      </c>
      <c r="B89" s="62" t="s">
        <v>389</v>
      </c>
      <c r="C89" s="68" t="n">
        <f aca="false">IF(C87&gt;0,C49/((C79+C87*C83)/1000),0)</f>
        <v>43.31166124729</v>
      </c>
      <c r="D89" s="68" t="n">
        <f aca="false">IF(D87&gt;0,D49/((D79+D87*D83)/1000),0)</f>
        <v>43.31166124729</v>
      </c>
      <c r="E89" s="68" t="n">
        <f aca="false">IF(E87&gt;0,E49/((E79+E87*E83)/1000),0)</f>
        <v>43.31166124729</v>
      </c>
      <c r="F89" s="68" t="n">
        <f aca="false">IF(F87&gt;0,F49/((F79+F87*F83)/1000),0)</f>
        <v>43.31166124729</v>
      </c>
      <c r="G89" s="68" t="n">
        <f aca="false">IF(G87&gt;0,G49/((G79+G87*G83)/1000),0)</f>
        <v>43.31166124729</v>
      </c>
      <c r="H89" s="68" t="n">
        <f aca="false">IF(H87&gt;0,H49/((H79+H87*H83)/1000),0)</f>
        <v>43.31166124729</v>
      </c>
      <c r="I89" s="68" t="n">
        <f aca="false">IF(I87&gt;0,I49/((I79+I87*I83)/1000),0)</f>
        <v>43.31166124729</v>
      </c>
      <c r="J89" s="68" t="n">
        <f aca="false">IF(J87&gt;0,J49/((J79+J87*J83)/1000),0)</f>
        <v>43.31166124729</v>
      </c>
      <c r="K89" s="68" t="n">
        <f aca="false">IF(K87&gt;0,K49/((K79+K87*K83)/1000),0)</f>
        <v>43.31166124729</v>
      </c>
      <c r="L89" s="68" t="n">
        <f aca="false">IF(L87&gt;0,L49/((L79+L87*L83)/1000),0)</f>
        <v>43.31166124729</v>
      </c>
      <c r="M89" s="68" t="n">
        <f aca="false">IF(M87&gt;0,M49/((M79+M87*M83)/1000),0)</f>
        <v>43.31166124729</v>
      </c>
      <c r="N89" s="68" t="n">
        <f aca="false">IF(N87&gt;0,N49/((N79+N87*N83)/1000),0)</f>
        <v>43.31166124729</v>
      </c>
      <c r="O89" s="68" t="n">
        <f aca="false">IF(O87&gt;0,O49/((O79+O87*O83)/1000),0)</f>
        <v>40</v>
      </c>
      <c r="P89" s="68" t="n">
        <f aca="false">IF(P87&gt;0,P49/((P79+P87*P83)/1000),0)</f>
        <v>40</v>
      </c>
      <c r="Q89" s="68" t="n">
        <f aca="false">IF(Q87&gt;0,Q49/((Q79+Q87*Q83)/1000),0)</f>
        <v>100</v>
      </c>
      <c r="R89" s="68" t="n">
        <f aca="false">IF(R87&gt;0,R49/((R79+R87*R83)/1000),0)</f>
        <v>100</v>
      </c>
      <c r="S89" s="68" t="n">
        <f aca="false">IF(S87&gt;0,S49/((S79+S87*S83)/1000),0)</f>
        <v>43.31166124729</v>
      </c>
      <c r="T89" s="68" t="n">
        <f aca="false">IF(T87&gt;0,T49/((T79+T87*T83)/1000),0)</f>
        <v>43.31166124729</v>
      </c>
      <c r="U89" s="68" t="n">
        <f aca="false">IF(U87&gt;0,U49/((U79+U87*U83)/1000),0)</f>
        <v>43.31166124729</v>
      </c>
      <c r="V89" s="68" t="n">
        <f aca="false">IF(V87&gt;0,V49/((V79+V87*V83)/1000),0)</f>
        <v>43.31166124729</v>
      </c>
      <c r="W89" s="68" t="n">
        <f aca="false">IF(W87&gt;0,W49/((W79+W87*W83)/1000),0)</f>
        <v>43.31166124729</v>
      </c>
      <c r="X89" s="68" t="n">
        <f aca="false">IF(X87&gt;0,X49/((X79+X87*X83)/1000),0)</f>
        <v>43.31166124729</v>
      </c>
      <c r="Y89" s="68" t="n">
        <f aca="false">IF(Y87&gt;0,Y49/((Y79+Y87*Y83)/1000),0)</f>
        <v>43.31166124729</v>
      </c>
      <c r="Z89" s="68" t="n">
        <f aca="false">IF(Z87&gt;0,Z49/((Z79+Z87*Z83)/1000),0)</f>
        <v>43.31166124729</v>
      </c>
      <c r="AA89" s="68" t="n">
        <f aca="false">IF(AA87&gt;0,AA49/((AA79+AA87*AA83)/1000),0)</f>
        <v>43.31166124729</v>
      </c>
      <c r="AB89" s="68" t="n">
        <f aca="false">IF(AB87&gt;0,AB49/((AB79+AB87*AB83)/1000),0)</f>
        <v>43.31166124729</v>
      </c>
      <c r="AC89" s="68" t="n">
        <f aca="false">IF(AC87&gt;0,AC49/((AC79+AC87*AC83)/1000),0)</f>
        <v>40.8313604965595</v>
      </c>
      <c r="AD89" s="68" t="n">
        <f aca="false">IF(AD87&gt;0,AD49/((AD79+AD87*AD83)/1000),0)</f>
        <v>40.8313604965595</v>
      </c>
      <c r="AE89" s="68" t="n">
        <f aca="false">IF(AE87&gt;0,AE49/((AE79+AE87*AE83)/1000),0)</f>
        <v>40.8313604965595</v>
      </c>
      <c r="AF89" s="68" t="n">
        <f aca="false">IF(AF87&gt;0,AF49/((AF79+AF87*AF83)/1000),0)</f>
        <v>40.8313604965595</v>
      </c>
      <c r="AG89" s="68" t="n">
        <f aca="false">IF(AG87&gt;0,AG49/((AG79+AG87*AG83)/1000),0)</f>
        <v>45.6530738926311</v>
      </c>
      <c r="AH89" s="68" t="n">
        <f aca="false">IF(AH87&gt;0,AH49/((AH79+AH87*AH83)/1000),0)</f>
        <v>40.8313604965595</v>
      </c>
    </row>
    <row r="90" customFormat="false" ht="15" hidden="false" customHeight="false" outlineLevel="0" collapsed="false">
      <c r="A90" s="61" t="s">
        <v>921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  <c r="R90" s="115" t="str">
        <f aca="false">IF(R87&lt;=0,"SLO 不可達",IF(R77&lt;&gt;"是","TTFT 不可達",IF(R85&lt;=R86,"SLO（"&amp;R84&amp;"）","HBM 容量")))</f>
        <v>SLO（算力）</v>
      </c>
      <c r="S90" s="115" t="str">
        <f aca="false">IF(S87&lt;=0,"SLO 不可達",IF(S77&lt;&gt;"是","TTFT 不可達",IF(S85&lt;=S86,"SLO（"&amp;S84&amp;"）","HBM 容量")))</f>
        <v>SLO（算力）</v>
      </c>
      <c r="T90" s="115" t="str">
        <f aca="false">IF(T87&lt;=0,"SLO 不可達",IF(T77&lt;&gt;"是","TTFT 不可達",IF(T85&lt;=T86,"SLO（"&amp;T84&amp;"）","HBM 容量")))</f>
        <v>SLO（算力）</v>
      </c>
      <c r="U90" s="115" t="str">
        <f aca="false">IF(U87&lt;=0,"SLO 不可達",IF(U77&lt;&gt;"是","TTFT 不可達",IF(U85&lt;=U86,"SLO（"&amp;U84&amp;"）","HBM 容量")))</f>
        <v>SLO（算力）</v>
      </c>
      <c r="V90" s="115" t="str">
        <f aca="false">IF(V87&lt;=0,"SLO 不可達",IF(V77&lt;&gt;"是","TTFT 不可達",IF(V85&lt;=V86,"SLO（"&amp;V84&amp;"）","HBM 容量")))</f>
        <v>SLO（算力）</v>
      </c>
      <c r="W90" s="115" t="str">
        <f aca="false">IF(W87&lt;=0,"SLO 不可達",IF(W77&lt;&gt;"是","TTFT 不可達",IF(W85&lt;=W86,"SLO（"&amp;W84&amp;"）","HBM 容量")))</f>
        <v>SLO（算力）</v>
      </c>
      <c r="X90" s="115" t="str">
        <f aca="false">IF(X87&lt;=0,"SLO 不可達",IF(X77&lt;&gt;"是","TTFT 不可達",IF(X85&lt;=X86,"SLO（"&amp;X84&amp;"）","HBM 容量")))</f>
        <v>SLO（算力）</v>
      </c>
      <c r="Y90" s="115" t="str">
        <f aca="false">IF(Y87&lt;=0,"SLO 不可達",IF(Y77&lt;&gt;"是","TTFT 不可達",IF(Y85&lt;=Y86,"SLO（"&amp;Y84&amp;"）","HBM 容量")))</f>
        <v>SLO（算力）</v>
      </c>
      <c r="Z90" s="115" t="str">
        <f aca="false">IF(Z87&lt;=0,"SLO 不可達",IF(Z77&lt;&gt;"是","TTFT 不可達",IF(Z85&lt;=Z86,"SLO（"&amp;Z84&amp;"）","HBM 容量")))</f>
        <v>SLO（算力）</v>
      </c>
      <c r="AA90" s="115" t="str">
        <f aca="false">IF(AA87&lt;=0,"SLO 不可達",IF(AA77&lt;&gt;"是","TTFT 不可達",IF(AA85&lt;=AA86,"SLO（"&amp;AA84&amp;"）","HBM 容量")))</f>
        <v>SLO（算力）</v>
      </c>
      <c r="AB90" s="115" t="str">
        <f aca="false">IF(AB87&lt;=0,"SLO 不可達",IF(AB77&lt;&gt;"是","TTFT 不可達",IF(AB85&lt;=AB86,"SLO（"&amp;AB84&amp;"）","HBM 容量")))</f>
        <v>SLO（算力）</v>
      </c>
      <c r="AC90" s="115" t="str">
        <f aca="false">IF(AC87&lt;=0,"SLO 不可達",IF(AC77&lt;&gt;"是","TTFT 不可達",IF(AC85&lt;=AC86,"SLO（"&amp;AC84&amp;"）","HBM 容量")))</f>
        <v>SLO（算力）</v>
      </c>
      <c r="AD90" s="115" t="str">
        <f aca="false">IF(AD87&lt;=0,"SLO 不可達",IF(AD77&lt;&gt;"是","TTFT 不可達",IF(AD85&lt;=AD86,"SLO（"&amp;AD84&amp;"）","HBM 容量")))</f>
        <v>SLO（算力）</v>
      </c>
      <c r="AE90" s="115" t="str">
        <f aca="false">IF(AE87&lt;=0,"SLO 不可達",IF(AE77&lt;&gt;"是","TTFT 不可達",IF(AE85&lt;=AE86,"SLO（"&amp;AE84&amp;"）","HBM 容量")))</f>
        <v>SLO（算力）</v>
      </c>
      <c r="AF90" s="115" t="str">
        <f aca="false">IF(AF87&lt;=0,"SLO 不可達",IF(AF77&lt;&gt;"是","TTFT 不可達",IF(AF85&lt;=AF86,"SLO（"&amp;AF84&amp;"）","HBM 容量")))</f>
        <v>SLO（算力）</v>
      </c>
      <c r="AG90" s="115" t="str">
        <f aca="false">IF(AG87&lt;=0,"SLO 不可達",IF(AG77&lt;&gt;"是","TTFT 不可達",IF(AG85&lt;=AG86,"SLO（"&amp;AG84&amp;"）","HBM 容量")))</f>
        <v>HBM 容量</v>
      </c>
      <c r="AH90" s="115" t="str">
        <f aca="false">IF(AH87&lt;=0,"SLO 不可達",IF(AH77&lt;&gt;"是","TTFT 不可達",IF(AH85&lt;=AH86,"SLO（"&amp;AH84&amp;"）","HBM 容量")))</f>
        <v>SLO（算力）</v>
      </c>
    </row>
    <row r="91" customFormat="false" ht="15" hidden="false" customHeight="false" outlineLevel="0" collapsed="false">
      <c r="A91" s="62" t="s">
        <v>922</v>
      </c>
      <c r="B91" s="62" t="s">
        <v>113</v>
      </c>
      <c r="C91" s="85" t="n">
        <f aca="false">C87*C34*C45/1000000000/C69</f>
        <v>0.0287225151358305</v>
      </c>
      <c r="D91" s="85" t="n">
        <f aca="false">D87*D34*D45/1000000000/D69</f>
        <v>0.0112865423116436</v>
      </c>
      <c r="E91" s="85" t="n">
        <f aca="false">E87*E34*E45/1000000000/E69</f>
        <v>0.0143612575679153</v>
      </c>
      <c r="F91" s="85" t="n">
        <f aca="false">F87*F34*F45/1000000000/F69</f>
        <v>0.0112865423116436</v>
      </c>
      <c r="G91" s="85" t="n">
        <f aca="false">G87*G34*G45/1000000000/G69</f>
        <v>0.0430837727037458</v>
      </c>
      <c r="H91" s="85" t="n">
        <f aca="false">H87*H34*H45/1000000000/H69</f>
        <v>0.0112865423116436</v>
      </c>
      <c r="I91" s="85" t="n">
        <f aca="false">I87*I34*I45/1000000000/I69</f>
        <v>0.0306555914897041</v>
      </c>
      <c r="J91" s="85" t="n">
        <f aca="false">J87*J34*J45/1000000000/J69</f>
        <v>0.0112865423116436</v>
      </c>
      <c r="K91" s="85" t="n">
        <f aca="false">K87*K34*K45/1000000000/K69</f>
        <v>0.025500721212708</v>
      </c>
      <c r="L91" s="85" t="n">
        <f aca="false">L87*L34*L45/1000000000/L69</f>
        <v>0.0112865423116436</v>
      </c>
      <c r="M91" s="85" t="n">
        <f aca="false">M87*M34*M45/1000000000/M69</f>
        <v>0.0410321644797579</v>
      </c>
      <c r="N91" s="85" t="n">
        <f aca="false">N87*N34*N45/1000000000/N69</f>
        <v>0.0112865423116436</v>
      </c>
      <c r="O91" s="85" t="n">
        <f aca="false">O87*O34*O45/1000000000/O69</f>
        <v>0.0317469101111174</v>
      </c>
      <c r="P91" s="85" t="n">
        <f aca="false">P87*P34*P45/1000000000/P69</f>
        <v>0.0125827115867665</v>
      </c>
      <c r="Q91" s="85" t="n">
        <f aca="false">Q87*Q34*Q45/1000000000/Q69</f>
        <v>0.00801412571087285</v>
      </c>
      <c r="R91" s="85" t="n">
        <f aca="false">R87*R34*R45/1000000000/R69</f>
        <v>0.00241151827237603</v>
      </c>
      <c r="S91" s="85" t="n">
        <f aca="false">S87*S34*S45/1000000000/S69</f>
        <v>0.0235739570181961</v>
      </c>
      <c r="T91" s="85" t="n">
        <f aca="false">T87*T34*T45/1000000000/T69</f>
        <v>0.00908001740408598</v>
      </c>
      <c r="U91" s="85" t="n">
        <f aca="false">U87*U34*U45/1000000000/U69</f>
        <v>0.0347652206016256</v>
      </c>
      <c r="V91" s="85" t="n">
        <f aca="false">V87*V34*V45/1000000000/V69</f>
        <v>0.0138762732255558</v>
      </c>
      <c r="W91" s="85" t="n">
        <f aca="false">W87*W34*W45/1000000000/W69</f>
        <v>0.00849748238085536</v>
      </c>
      <c r="X91" s="85" t="n">
        <f aca="false">X87*X34*X45/1000000000/X69</f>
        <v>0.00333909457373141</v>
      </c>
      <c r="Y91" s="85" t="n">
        <f aca="false">Y87*Y34*Y45/1000000000/Y69</f>
        <v>0.107311625990489</v>
      </c>
      <c r="Z91" s="85" t="n">
        <f aca="false">Z87*Z34*Z45/1000000000/Z69</f>
        <v>0.0421682154764369</v>
      </c>
      <c r="AA91" s="85" t="n">
        <f aca="false">AA87*AA34*AA45/1000000000/AA69</f>
        <v>0.0181726842412078</v>
      </c>
      <c r="AB91" s="85" t="n">
        <f aca="false">AB87*AB34*AB45/1000000000/AB69</f>
        <v>0.00707211832363329</v>
      </c>
      <c r="AC91" s="85" t="n">
        <f aca="false">AC87*AC34*AC45/1000000000/AC69</f>
        <v>0.0474511912669623</v>
      </c>
      <c r="AD91" s="85" t="n">
        <f aca="false">AD87*AD34*AD45/1000000000/AD69</f>
        <v>0.0155485419305465</v>
      </c>
      <c r="AE91" s="85" t="n">
        <f aca="false">AE87*AE34*AE45/1000000000/AE69</f>
        <v>0.182504581796009</v>
      </c>
      <c r="AF91" s="85" t="n">
        <f aca="false">AF87*AF34*AF45/1000000000/AF69</f>
        <v>0.0598020843482559</v>
      </c>
      <c r="AG91" s="85" t="n">
        <f aca="false">AG87*AG34*AG45/1000000000/AG69</f>
        <v>0.54273735845483</v>
      </c>
      <c r="AH91" s="85" t="n">
        <f aca="false">AH87*AH34*AH45/1000000000/AH69</f>
        <v>0.212629633238243</v>
      </c>
    </row>
    <row r="92" customFormat="false" ht="15" hidden="false" customHeight="false" outlineLevel="0" collapsed="false">
      <c r="A92" s="76" t="s">
        <v>923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</row>
    <row r="93" customFormat="false" ht="15" hidden="false" customHeight="false" outlineLevel="0" collapsed="false">
      <c r="A93" s="61" t="s">
        <v>924</v>
      </c>
      <c r="B93" s="62" t="s">
        <v>925</v>
      </c>
      <c r="C93" s="107" t="n">
        <f aca="false">IF(ISNUMBER(C88),IF(C88&gt;0,IF(C77="是",(C43*(1-B4_CacheHit))/C75+C44/C88,"TTFT 不可達"),"SLO 不可達"),"SLO 不可達")</f>
        <v>0.531631713056475</v>
      </c>
      <c r="D93" s="107" t="n">
        <f aca="false">IF(ISNUMBER(D88),IF(D88&gt;0,IF(D77="是",(D43*(1-B4_CacheHit))/D75+D44/D88,"TTFT 不可達"),"SLO 不可達"),"SLO 不可達")</f>
        <v>1.33319895766618</v>
      </c>
      <c r="E93" s="107" t="n">
        <f aca="false">IF(ISNUMBER(E88),IF(E88&gt;0,IF(E77="是",(E43*(1-B4_CacheHit))/E75+E44/E88,"TTFT 不可達"),"SLO 不可達"),"SLO 不可達")</f>
        <v>0.970020781450411</v>
      </c>
      <c r="F93" s="107" t="n">
        <f aca="false">IF(ISNUMBER(F88),IF(F88&gt;0,IF(F77="是",(F43*(1-B4_CacheHit))/F75+F44/F88,"TTFT 不可達"),"SLO 不可達"),"SLO 不可達")</f>
        <v>1.33319895766618</v>
      </c>
      <c r="G93" s="107" t="n">
        <f aca="false">IF(ISNUMBER(G88),IF(G88&gt;0,IF(G77="是",(G43*(1-B4_CacheHit))/G75+G44/G88,"TTFT 不可達"),"SLO 不可達"),"SLO 不可達")</f>
        <v>0.385502023591829</v>
      </c>
      <c r="H93" s="107" t="n">
        <f aca="false">IF(ISNUMBER(H88),IF(H88&gt;0,IF(H77="是",(H43*(1-B4_CacheHit))/H75+H44/H88,"TTFT 不可達"),"SLO 不可達"),"SLO 不可達")</f>
        <v>1.33319895766618</v>
      </c>
      <c r="I93" s="107" t="n">
        <f aca="false">IF(ISNUMBER(I88),IF(I88&gt;0,IF(I77="是",(I43*(1-B4_CacheHit))/I75+I44/I88,"TTFT 不可達"),"SLO 不可達"),"SLO 不可達")</f>
        <v>0.503987831443765</v>
      </c>
      <c r="J93" s="107" t="n">
        <f aca="false">IF(ISNUMBER(J88),IF(J88&gt;0,IF(J77="是",(J43*(1-B4_CacheHit))/J75+J44/J88,"TTFT 不可達"),"SLO 不可達"),"SLO 不可達")</f>
        <v>1.33319895766618</v>
      </c>
      <c r="K93" s="107" t="n">
        <f aca="false">IF(ISNUMBER(K88),IF(K88&gt;0,IF(K77="是",(K43*(1-B4_CacheHit))/K75+K44/K88,"TTFT 不可達"),"SLO 不可達"),"SLO 不可達")</f>
        <v>0.587018351917931</v>
      </c>
      <c r="L93" s="107" t="n">
        <f aca="false">IF(ISNUMBER(L88),IF(L88&gt;0,IF(L77="是",(L43*(1-B4_CacheHit))/L75+L44/L88,"TTFT 不可達"),"SLO 不可達"),"SLO 不可達")</f>
        <v>1.33319895766618</v>
      </c>
      <c r="M93" s="107" t="n">
        <f aca="false">IF(ISNUMBER(M88),IF(M88&gt;0,IF(M77="是",(M43*(1-B4_CacheHit))/M75+M44/M88,"TTFT 不可達"),"SLO 不可達"),"SLO 不可達")</f>
        <v>0.372142199139532</v>
      </c>
      <c r="N93" s="107" t="n">
        <f aca="false">IF(ISNUMBER(N88),IF(N88&gt;0,IF(N77="是",(N43*(1-B4_CacheHit))/N75+N44/N88,"TTFT 不可達"),"SLO 不可達"),"SLO 不可達")</f>
        <v>1.33319895766618</v>
      </c>
      <c r="O93" s="107" t="n">
        <f aca="false">IF(ISNUMBER(O88),IF(O88&gt;0,IF(O77="是",(O43*(1-B4_CacheHit))/O75+O44/O88,"TTFT 不可達"),"SLO 不可達"),"SLO 不可達")</f>
        <v>0.522705464292651</v>
      </c>
      <c r="P93" s="107" t="n">
        <f aca="false">IF(ISNUMBER(P88),IF(P88&gt;0,IF(P77="是",(P43*(1-B4_CacheHit))/P75+P44/P88,"TTFT 不可達"),"SLO 不可達"),"SLO 不可達")</f>
        <v>1.30112573885056</v>
      </c>
      <c r="Q93" s="107" t="n">
        <f aca="false">IF(ISNUMBER(Q88),IF(Q88&gt;0,IF(Q77="是",(Q43*(1-B4_CacheHit))/Q75+Q44/Q88,"TTFT 不可達"),"SLO 不可達"),"SLO 不可達")</f>
        <v>0.773746945330877</v>
      </c>
      <c r="R93" s="107" t="n">
        <f aca="false">IF(ISNUMBER(R88),IF(R88&gt;0,IF(R77="是",(R43*(1-B4_CacheHit))/R75+R44/R88,"TTFT 不可達"),"SLO 不可達"),"SLO 不可達")</f>
        <v>2.47906552372152</v>
      </c>
      <c r="S93" s="107" t="n">
        <f aca="false">IF(ISNUMBER(S88),IF(S88&gt;0,IF(S77="是",(S43*(1-B4_CacheHit))/S75+S44/S88,"TTFT 不可達"),"SLO 不可達"),"SLO 不可達")</f>
        <v>0.627375995402439</v>
      </c>
      <c r="T93" s="107" t="n">
        <f aca="false">IF(ISNUMBER(T88),IF(T88&gt;0,IF(T77="是",(T43*(1-B4_CacheHit))/T75+T44/T88,"TTFT 不可達"),"SLO 不可達"),"SLO 不可達")</f>
        <v>1.60430763754883</v>
      </c>
      <c r="U93" s="107" t="n">
        <f aca="false">IF(ISNUMBER(U88),IF(U88&gt;0,IF(U77="是",(U43*(1-B4_CacheHit))/U75+U44/U88,"TTFT 不可達"),"SLO 不可達"),"SLO 不可達")</f>
        <v>0.455433260295758</v>
      </c>
      <c r="V93" s="107" t="n">
        <f aca="false">IF(ISNUMBER(V88),IF(V88&gt;0,IF(V77="是",(V43*(1-B4_CacheHit))/V75+V44/V88,"TTFT 不可達"),"SLO 不可達"),"SLO 不可達")</f>
        <v>1.12498824650815</v>
      </c>
      <c r="W93" s="107" t="n">
        <f aca="false">IF(ISNUMBER(W88),IF(W88&gt;0,IF(W77="是",(W43*(1-B4_CacheHit))/W75+W44/W88,"TTFT 不可達"),"SLO 不可達"),"SLO 不可達")</f>
        <v>0.456062846622333</v>
      </c>
      <c r="X93" s="107" t="n">
        <f aca="false">IF(ISNUMBER(X88),IF(X88&gt;0,IF(X77="是",(X43*(1-B4_CacheHit))/X75+X44/X88,"TTFT 不可達"),"SLO 不可達"),"SLO 不可達")</f>
        <v>1.15632945037167</v>
      </c>
      <c r="Y93" s="107" t="n">
        <f aca="false">IF(ISNUMBER(Y88),IF(Y88&gt;0,IF(Y77="是",(Y43*(1-B4_CacheHit))/Y75+Y44/Y88,"TTFT 不可達"),"SLO 不可達"),"SLO 不可達")</f>
        <v>0.825993133632771</v>
      </c>
      <c r="Z93" s="107" t="n">
        <f aca="false">IF(ISNUMBER(Z88),IF(Z88&gt;0,IF(Z77="是",(Z43*(1-B4_CacheHit))/Z75+Z44/Z88,"TTFT 不可達"),"SLO 不可達"),"SLO 不可達")</f>
        <v>2.02221088147027</v>
      </c>
      <c r="AA93" s="107" t="n">
        <f aca="false">IF(ISNUMBER(AA88),IF(AA88&gt;0,IF(AA77="是",(AA43*(1-B4_CacheHit))/AA75+AA44/AA88,"TTFT 不可達"),"SLO 不可達"),"SLO 不可達")</f>
        <v>0.826091877898782</v>
      </c>
      <c r="AB93" s="107" t="n">
        <f aca="false">IF(ISNUMBER(AB88),IF(AB88&gt;0,IF(AB77="是",(AB43*(1-B4_CacheHit))/AB75+AB44/AB88,"TTFT 不可達"),"SLO 不可達"),"SLO 不可達")</f>
        <v>2.09127063420924</v>
      </c>
      <c r="AC93" s="107" t="n">
        <f aca="false">IF(ISNUMBER(AC88),IF(AC88&gt;0,IF(AC77="是",(AC43*(1-B4_CacheHit))/AC75+AC44/AC88,"TTFT 不可達"),"SLO 不可達"),"SLO 不可達")</f>
        <v>4.87129669274572</v>
      </c>
      <c r="AD93" s="107" t="n">
        <f aca="false">IF(ISNUMBER(AD88),IF(AD88&gt;0,IF(AD77="是",(AD43*(1-B4_CacheHit))/AD75+AD44/AD88,"TTFT 不可達"),"SLO 不可達"),"SLO 不可達")</f>
        <v>14.4217807951262</v>
      </c>
      <c r="AE93" s="107" t="n">
        <f aca="false">IF(ISNUMBER(AE88),IF(AE88&gt;0,IF(AE77="是",(AE43*(1-B4_CacheHit))/AE75+AE44/AE88,"TTFT 不可達"),"SLO 不可達"),"SLO 不可達")</f>
        <v>4.87129669274572</v>
      </c>
      <c r="AF93" s="107" t="n">
        <f aca="false">IF(ISNUMBER(AF88),IF(AF88&gt;0,IF(AF77="是",(AF43*(1-B4_CacheHit))/AF75+AF44/AF88,"TTFT 不可達"),"SLO 不可達"),"SLO 不可達")</f>
        <v>14.4217807951262</v>
      </c>
      <c r="AG93" s="107" t="n">
        <f aca="false">IF(ISNUMBER(AG88),IF(AG88&gt;0,IF(AG77="是",(AG43*(1-B4_CacheHit))/AG75+AG44/AG88,"TTFT 不可達"),"SLO 不可達"),"SLO 不可達")</f>
        <v>5.16616995728164</v>
      </c>
      <c r="AH93" s="107" t="n">
        <f aca="false">IF(ISNUMBER(AH88),IF(AH88&gt;0,IF(AH77="是",(AH43*(1-B4_CacheHit))/AH75+AH44/AH88,"TTFT 不可達"),"SLO 不可達"),"SLO 不可達")</f>
        <v>14.4217807951262</v>
      </c>
    </row>
    <row r="94" customFormat="false" ht="15" hidden="false" customHeight="false" outlineLevel="0" collapsed="false">
      <c r="A94" s="62" t="s">
        <v>926</v>
      </c>
      <c r="B94" s="62" t="s">
        <v>113</v>
      </c>
      <c r="C94" s="85" t="n">
        <f aca="false">IF(ISNUMBER(C93),IF(C93&gt;0,((C43*(1-B4_CacheHit))/C75)/C93,0),C93)</f>
        <v>0.175389545756149</v>
      </c>
      <c r="D94" s="85" t="n">
        <f aca="false">IF(ISNUMBER(D93),IF(D93&gt;0,((D43*(1-B4_CacheHit))/D75)/D93,0),D93)</f>
        <v>0.163191074841609</v>
      </c>
      <c r="E94" s="85" t="n">
        <f aca="false">IF(ISNUMBER(E93),IF(E93&gt;0,((E43*(1-B4_CacheHit))/E75)/E93,0),E93)</f>
        <v>0.096124378410861</v>
      </c>
      <c r="F94" s="85" t="n">
        <f aca="false">IF(ISNUMBER(F93),IF(F93&gt;0,((F43*(1-B4_CacheHit))/F75)/F93,0),F93)</f>
        <v>0.163191074841609</v>
      </c>
      <c r="G94" s="85" t="n">
        <f aca="false">IF(ISNUMBER(G93),IF(G93&gt;0,((G43*(1-B4_CacheHit))/G75)/G93,0),G93)</f>
        <v>0.241873294966835</v>
      </c>
      <c r="H94" s="85" t="n">
        <f aca="false">IF(ISNUMBER(H93),IF(H93&gt;0,((H43*(1-B4_CacheHit))/H75)/H93,0),H93)</f>
        <v>0.163191074841609</v>
      </c>
      <c r="I94" s="85" t="n">
        <f aca="false">IF(ISNUMBER(I93),IF(I93&gt;0,((I43*(1-B4_CacheHit))/I75)/I93,0),I93)</f>
        <v>0.185009714213591</v>
      </c>
      <c r="J94" s="85" t="n">
        <f aca="false">IF(ISNUMBER(J93),IF(J93&gt;0,((J43*(1-B4_CacheHit))/J75)/J93,0),J93)</f>
        <v>0.163191074841609</v>
      </c>
      <c r="K94" s="85" t="n">
        <f aca="false">IF(ISNUMBER(K93),IF(K93&gt;0,((K43*(1-B4_CacheHit))/K75)/K93,0),K93)</f>
        <v>0.15884110668413</v>
      </c>
      <c r="L94" s="85" t="n">
        <f aca="false">IF(ISNUMBER(L93),IF(L93&gt;0,((L43*(1-B4_CacheHit))/L75)/L93,0),L93)</f>
        <v>0.163191074841609</v>
      </c>
      <c r="M94" s="85" t="n">
        <f aca="false">IF(ISNUMBER(M93),IF(M93&gt;0,((M43*(1-B4_CacheHit))/M75)/M93,0),M93)</f>
        <v>0.175389545756149</v>
      </c>
      <c r="N94" s="85" t="n">
        <f aca="false">IF(ISNUMBER(N93),IF(N93&gt;0,((N43*(1-B4_CacheHit))/N75)/N93,0),N93)</f>
        <v>0.163191074841609</v>
      </c>
      <c r="O94" s="85" t="n">
        <f aca="false">IF(ISNUMBER(O93),IF(O93&gt;0,((O43*(1-B4_CacheHit))/O75)/O93,0),O93)</f>
        <v>0.1783846755624</v>
      </c>
      <c r="P94" s="85" t="n">
        <f aca="false">IF(ISNUMBER(P93),IF(P93&gt;0,((P43*(1-B4_CacheHit))/P75)/P93,0),P93)</f>
        <v>0.167213793704104</v>
      </c>
      <c r="Q94" s="85" t="n">
        <f aca="false">IF(ISNUMBER(Q93),IF(Q93&gt;0,((Q43*(1-B4_CacheHit))/Q75)/Q93,0),Q93)</f>
        <v>0.120507932503262</v>
      </c>
      <c r="R94" s="85" t="n">
        <f aca="false">IF(ISNUMBER(R93),IF(R93&gt;0,((R43*(1-B4_CacheHit))/R75)/R93,0),R93)</f>
        <v>0.0877613636256981</v>
      </c>
      <c r="S94" s="85" t="n">
        <f aca="false">IF(ISNUMBER(S93),IF(S93&gt;0,((S43*(1-B4_CacheHit))/S75)/S93,0),S93)</f>
        <v>0.148623226495503</v>
      </c>
      <c r="T94" s="85" t="n">
        <f aca="false">IF(ISNUMBER(T93),IF(T93&gt;0,((T43*(1-B4_CacheHit))/T75)/T93,0),T93)</f>
        <v>0.135613747505228</v>
      </c>
      <c r="U94" s="85" t="n">
        <f aca="false">IF(ISNUMBER(U93),IF(U93&gt;0,((U43*(1-B4_CacheHit))/U75)/U93,0),U93)</f>
        <v>0.204733937530137</v>
      </c>
      <c r="V94" s="85" t="n">
        <f aca="false">IF(ISNUMBER(V93),IF(V93&gt;0,((V43*(1-B4_CacheHit))/V75)/V93,0),V93)</f>
        <v>0.193394172387631</v>
      </c>
      <c r="W94" s="85" t="n">
        <f aca="false">IF(ISNUMBER(W93),IF(W93&gt;0,((W43*(1-B4_CacheHit))/W75)/W93,0),W93)</f>
        <v>0.0443732466309268</v>
      </c>
      <c r="X94" s="85" t="n">
        <f aca="false">IF(ISNUMBER(X93),IF(X93&gt;0,((X43*(1-B4_CacheHit))/X75)/X93,0),X93)</f>
        <v>0.0408358027956754</v>
      </c>
      <c r="Y94" s="85" t="n">
        <f aca="false">IF(ISNUMBER(Y93),IF(Y93&gt;0,((Y43*(1-B4_CacheHit))/Y75)/Y93,0),Y93)</f>
        <v>0.456845470135213</v>
      </c>
      <c r="Z94" s="85" t="n">
        <f aca="false">IF(ISNUMBER(Z93),IF(Z93&gt;0,((Z43*(1-B4_CacheHit))/Z75)/Z93,0),Z93)</f>
        <v>0.435407697328438</v>
      </c>
      <c r="AA94" s="85" t="n">
        <f aca="false">IF(ISNUMBER(AA93),IF(AA93&gt;0,((AA43*(1-B4_CacheHit))/AA75)/AA93,0),AA93)</f>
        <v>0.161245718125389</v>
      </c>
      <c r="AB94" s="85" t="n">
        <f aca="false">IF(ISNUMBER(AB93),IF(AB93&gt;0,((AB43*(1-B4_CacheHit))/AB75)/AB93,0),AB93)</f>
        <v>0.148621995861057</v>
      </c>
      <c r="AC94" s="85" t="n">
        <f aca="false">IF(ISNUMBER(AC93),IF(AC93&gt;0,((AC43*(1-B4_CacheHit))/AC75)/AC93,0),AC93)</f>
        <v>0.127000281888798</v>
      </c>
      <c r="AD94" s="85" t="n">
        <f aca="false">IF(ISNUMBER(AD93),IF(AD93&gt;0,((AD43*(1-B4_CacheHit))/AD75)/AD93,0),AD93)</f>
        <v>0.100093796402319</v>
      </c>
      <c r="AE94" s="85" t="n">
        <f aca="false">IF(ISNUMBER(AE93),IF(AE93&gt;0,((AE43*(1-B4_CacheHit))/AE75)/AE93,0),AE93)</f>
        <v>0.127000281888798</v>
      </c>
      <c r="AF94" s="85" t="n">
        <f aca="false">IF(ISNUMBER(AF93),IF(AF93&gt;0,((AF43*(1-B4_CacheHit))/AF75)/AF93,0),AF93)</f>
        <v>0.100093796402319</v>
      </c>
      <c r="AG94" s="85" t="n">
        <f aca="false">IF(ISNUMBER(AG93),IF(AG93&gt;0,((AG43*(1-B4_CacheHit))/AG75)/AG93,0),AG93)</f>
        <v>0.119751393829134</v>
      </c>
      <c r="AH94" s="85" t="n">
        <f aca="false">IF(ISNUMBER(AH93),IF(AH93&gt;0,((AH43*(1-B4_CacheHit))/AH75)/AH93,0),AH93)</f>
        <v>0.100093796402319</v>
      </c>
    </row>
    <row r="95" customFormat="false" ht="15" hidden="false" customHeight="false" outlineLevel="0" collapsed="false">
      <c r="A95" s="61" t="s">
        <v>927</v>
      </c>
      <c r="B95" s="62" t="s">
        <v>389</v>
      </c>
      <c r="C95" s="71" t="n">
        <f aca="false">IF(ISNUMBER(C93),IF(C93&gt;0,C22*(C43+C44)/C93,0),C93)</f>
        <v>2496284.49057369</v>
      </c>
      <c r="D95" s="71" t="n">
        <f aca="false">IF(ISNUMBER(D93),IF(D93&gt;0,D22*(D43+D44)/D93,0),D93)</f>
        <v>995428.321008554</v>
      </c>
      <c r="E95" s="71" t="n">
        <f aca="false">IF(ISNUMBER(E93),IF(E93&gt;0,E22*(E43+E44)/E93,0),E93)</f>
        <v>1368119.14278338</v>
      </c>
      <c r="F95" s="71" t="n">
        <f aca="false">IF(ISNUMBER(F93),IF(F93&gt;0,F22*(F43+F44)/F93,0),F93)</f>
        <v>995428.321008554</v>
      </c>
      <c r="G95" s="71" t="n">
        <f aca="false">IF(ISNUMBER(G93),IF(G93&gt;0,G22*(G43+G44)/G93,0),G93)</f>
        <v>3442534.4584057</v>
      </c>
      <c r="H95" s="71" t="n">
        <f aca="false">IF(ISNUMBER(H93),IF(H93&gt;0,H22*(H43+H44)/H93,0),H93)</f>
        <v>995428.321008554</v>
      </c>
      <c r="I95" s="71" t="n">
        <f aca="false">IF(ISNUMBER(I93),IF(I93&gt;0,I22*(I43+I44)/I93,0),I93)</f>
        <v>2633206.43317572</v>
      </c>
      <c r="J95" s="71" t="n">
        <f aca="false">IF(ISNUMBER(J93),IF(J93&gt;0,J22*(J43+J44)/J93,0),J93)</f>
        <v>995428.321008554</v>
      </c>
      <c r="K95" s="71" t="n">
        <f aca="false">IF(ISNUMBER(K93),IF(K93&gt;0,K22*(K43+K44)/K93,0),K93)</f>
        <v>2260753.8515006</v>
      </c>
      <c r="L95" s="71" t="n">
        <f aca="false">IF(ISNUMBER(L93),IF(L93&gt;0,L22*(L43+L44)/L93,0),L93)</f>
        <v>995428.321008554</v>
      </c>
      <c r="M95" s="71" t="n">
        <f aca="false">IF(ISNUMBER(M93),IF(M93&gt;0,M22*(M43+M44)/M93,0),M93)</f>
        <v>3566120.70081956</v>
      </c>
      <c r="N95" s="71" t="n">
        <f aca="false">IF(ISNUMBER(N93),IF(N93&gt;0,N22*(N43+N44)/N93,0),N93)</f>
        <v>995428.321008554</v>
      </c>
      <c r="O95" s="71" t="n">
        <f aca="false">IF(ISNUMBER(O93),IF(O93&gt;0,O22*(O43+O44)/O93,0),O93)</f>
        <v>2538913.57687622</v>
      </c>
      <c r="P95" s="71" t="n">
        <f aca="false">IF(ISNUMBER(P93),IF(P93&gt;0,P22*(P43+P44)/P93,0),P93)</f>
        <v>1019965.98820064</v>
      </c>
      <c r="Q95" s="71" t="n">
        <f aca="false">IF(ISNUMBER(Q93),IF(Q93&gt;0,Q22*(Q43+Q44)/Q93,0),Q93)</f>
        <v>1715165.41423306</v>
      </c>
      <c r="R95" s="71" t="n">
        <f aca="false">IF(ISNUMBER(R93),IF(R93&gt;0,R22*(R43+R44)/R93,0),R93)</f>
        <v>535324.293489338</v>
      </c>
      <c r="S95" s="71" t="n">
        <f aca="false">IF(ISNUMBER(S93),IF(S93&gt;0,S22*(S43+S44)/S93,0),S93)</f>
        <v>2115324.79681297</v>
      </c>
      <c r="T95" s="71" t="n">
        <f aca="false">IF(ISNUMBER(T93),IF(T93&gt;0,T22*(T43+T44)/T93,0),T93)</f>
        <v>827212.916612201</v>
      </c>
      <c r="U95" s="71" t="n">
        <f aca="false">IF(ISNUMBER(U93),IF(U93&gt;0,U22*(U43+U44)/U93,0),U93)</f>
        <v>2913937.37720908</v>
      </c>
      <c r="V95" s="71" t="n">
        <f aca="false">IF(ISNUMBER(V93),IF(V93&gt;0,V22*(V43+V44)/V93,0),V93)</f>
        <v>1179660.32455823</v>
      </c>
      <c r="W95" s="71" t="n">
        <f aca="false">IF(ISNUMBER(W93),IF(W93&gt;0,W22*(W43+W44)/W93,0),W93)</f>
        <v>969971.58018076</v>
      </c>
      <c r="X95" s="71" t="n">
        <f aca="false">IF(ISNUMBER(X93),IF(X93&gt;0,X22*(X43+X44)/X93,0),X93)</f>
        <v>382562.253221013</v>
      </c>
      <c r="Y95" s="71" t="n">
        <f aca="false">IF(ISNUMBER(Y93),IF(Y93&gt;0,Y22*(Y43+Y44)/Y93,0),Y93)</f>
        <v>5891148.24550515</v>
      </c>
      <c r="Z95" s="71" t="n">
        <f aca="false">IF(ISNUMBER(Z93),IF(Z93&gt;0,Z22*(Z43+Z44)/Z93,0),Z93)</f>
        <v>2406300.96721767</v>
      </c>
      <c r="AA95" s="71" t="n">
        <f aca="false">IF(ISNUMBER(AA93),IF(AA93&gt;0,AA22*(AA43+AA44)/AA93,0),AA93)</f>
        <v>1606484.74522661</v>
      </c>
      <c r="AB95" s="71" t="n">
        <f aca="false">IF(ISNUMBER(AB93),IF(AB93&gt;0,AB22*(AB43+AB44)/AB93,0),AB93)</f>
        <v>634592.184431362</v>
      </c>
      <c r="AC95" s="71" t="n">
        <f aca="false">IF(ISNUMBER(AC93),IF(AC93&gt;0,AC22*(AC43+AC44)/AC93,0),AC93)</f>
        <v>544866.832675706</v>
      </c>
      <c r="AD95" s="71" t="n">
        <f aca="false">IF(ISNUMBER(AD93),IF(AD93&gt;0,AD22*(AD43+AD44)/AD93,0),AD93)</f>
        <v>184041.626877104</v>
      </c>
      <c r="AE95" s="71" t="n">
        <f aca="false">IF(ISNUMBER(AE93),IF(AE93&gt;0,AE22*(AE43+AE44)/AE93,0),AE93)</f>
        <v>544866.832675706</v>
      </c>
      <c r="AF95" s="71" t="n">
        <f aca="false">IF(ISNUMBER(AF93),IF(AF93&gt;0,AF22*(AF43+AF44)/AF93,0),AF93)</f>
        <v>184041.626877104</v>
      </c>
      <c r="AG95" s="71" t="n">
        <f aca="false">IF(ISNUMBER(AG93),IF(AG93&gt;0,AG22*(AG43+AG44)/AG93,0),AG93)</f>
        <v>513767.069598423</v>
      </c>
      <c r="AH95" s="71" t="n">
        <f aca="false">IF(ISNUMBER(AH93),IF(AH93&gt;0,AH22*(AH43+AH44)/AH93,0),AH93)</f>
        <v>184041.626877104</v>
      </c>
    </row>
    <row r="96" customFormat="false" ht="15" hidden="false" customHeight="false" outlineLevel="0" collapsed="false">
      <c r="A96" s="61" t="s">
        <v>928</v>
      </c>
      <c r="B96" s="62" t="s">
        <v>389</v>
      </c>
      <c r="C96" s="68" t="n">
        <f aca="false">IF(ISNUMBER(C95),C95*C44/(C43+C44),C95)</f>
        <v>277364.943397077</v>
      </c>
      <c r="D96" s="68" t="n">
        <f aca="false">IF(ISNUMBER(D95),D95*D44/(D43+D44),D95)</f>
        <v>110603.146778728</v>
      </c>
      <c r="E96" s="68" t="n">
        <f aca="false">IF(ISNUMBER(E95),E95*E44/(E43+E44),E95)</f>
        <v>152013.238087042</v>
      </c>
      <c r="F96" s="68" t="n">
        <f aca="false">IF(ISNUMBER(F95),F95*F44/(F43+F44),F95)</f>
        <v>110603.146778728</v>
      </c>
      <c r="G96" s="68" t="n">
        <f aca="false">IF(ISNUMBER(G95),G95*G44/(G43+G44),G95)</f>
        <v>382503.828711745</v>
      </c>
      <c r="H96" s="68" t="n">
        <f aca="false">IF(ISNUMBER(H95),H95*H44/(H43+H44),H95)</f>
        <v>110603.146778728</v>
      </c>
      <c r="I96" s="68" t="n">
        <f aca="false">IF(ISNUMBER(I95),I95*I44/(I43+I44),I95)</f>
        <v>292578.492575079</v>
      </c>
      <c r="J96" s="68" t="n">
        <f aca="false">IF(ISNUMBER(J95),J95*J44/(J43+J44),J95)</f>
        <v>110603.146778728</v>
      </c>
      <c r="K96" s="68" t="n">
        <f aca="false">IF(ISNUMBER(K95),K95*K44/(K43+K44),K95)</f>
        <v>251194.872388956</v>
      </c>
      <c r="L96" s="68" t="n">
        <f aca="false">IF(ISNUMBER(L95),L95*L44/(L43+L44),L95)</f>
        <v>110603.146778728</v>
      </c>
      <c r="M96" s="68" t="n">
        <f aca="false">IF(ISNUMBER(M95),M95*M44/(M43+M44),M95)</f>
        <v>396235.633424395</v>
      </c>
      <c r="N96" s="68" t="n">
        <f aca="false">IF(ISNUMBER(N95),N95*N44/(N43+N44),N95)</f>
        <v>110603.146778728</v>
      </c>
      <c r="O96" s="68" t="n">
        <f aca="false">IF(ISNUMBER(O95),O95*O44/(O43+O44),O95)</f>
        <v>282101.508541802</v>
      </c>
      <c r="P96" s="68" t="n">
        <f aca="false">IF(ISNUMBER(P95),P95*P44/(P43+P44),P95)</f>
        <v>113329.554244516</v>
      </c>
      <c r="Q96" s="68" t="n">
        <f aca="false">IF(ISNUMBER(Q95),Q95*Q44/(Q43+Q44),Q95)</f>
        <v>190573.934914785</v>
      </c>
      <c r="R96" s="68" t="n">
        <f aca="false">IF(ISNUMBER(R95),R95*R44/(R43+R44),R95)</f>
        <v>59480.4770543709</v>
      </c>
      <c r="S96" s="68" t="n">
        <f aca="false">IF(ISNUMBER(S95),S95*S44/(S43+S44),S95)</f>
        <v>235036.088534774</v>
      </c>
      <c r="T96" s="68" t="n">
        <f aca="false">IF(ISNUMBER(T95),T95*T44/(T43+T44),T95)</f>
        <v>91912.5462902445</v>
      </c>
      <c r="U96" s="68" t="n">
        <f aca="false">IF(ISNUMBER(U95),U95*U44/(U43+U44),U95)</f>
        <v>323770.819689897</v>
      </c>
      <c r="V96" s="68" t="n">
        <f aca="false">IF(ISNUMBER(V95),V95*V44/(V43+V44),V95)</f>
        <v>131073.369395359</v>
      </c>
      <c r="W96" s="68" t="n">
        <f aca="false">IF(ISNUMBER(W95),W95*W44/(W43+W44),W95)</f>
        <v>323323.860060253</v>
      </c>
      <c r="X96" s="68" t="n">
        <f aca="false">IF(ISNUMBER(X95),X95*X44/(X43+X44),X95)</f>
        <v>127520.751073671</v>
      </c>
      <c r="Y96" s="68" t="n">
        <f aca="false">IF(ISNUMBER(Y95),Y95*Y44/(Y43+Y44),Y95)</f>
        <v>178519.643803186</v>
      </c>
      <c r="Z96" s="68" t="n">
        <f aca="false">IF(ISNUMBER(Z95),Z95*Z44/(Z43+Z44),Z95)</f>
        <v>72918.211127808</v>
      </c>
      <c r="AA96" s="68" t="n">
        <f aca="false">IF(ISNUMBER(AA95),AA95*AA44/(AA43+AA44),AA95)</f>
        <v>178498.305025179</v>
      </c>
      <c r="AB96" s="68" t="n">
        <f aca="false">IF(ISNUMBER(AB95),AB95*AB44/(AB43+AB44),AB95)</f>
        <v>70510.2427145958</v>
      </c>
      <c r="AC96" s="68" t="n">
        <f aca="false">IF(ISNUMBER(AC95),AC95*AC44/(AC43+AC44),AC95)</f>
        <v>60540.7591861895</v>
      </c>
      <c r="AD96" s="68" t="n">
        <f aca="false">IF(ISNUMBER(AD95),AD95*AD44/(AD43+AD44),AD95)</f>
        <v>20449.0696530116</v>
      </c>
      <c r="AE96" s="68" t="n">
        <f aca="false">IF(ISNUMBER(AE95),AE95*AE44/(AE43+AE44),AE95)</f>
        <v>60540.7591861895</v>
      </c>
      <c r="AF96" s="68" t="n">
        <f aca="false">IF(ISNUMBER(AF95),AF95*AF44/(AF43+AF44),AF95)</f>
        <v>20449.0696530116</v>
      </c>
      <c r="AG96" s="68" t="n">
        <f aca="false">IF(ISNUMBER(AG95),AG95*AG44/(AG43+AG44),AG95)</f>
        <v>57085.2299553804</v>
      </c>
      <c r="AH96" s="68" t="n">
        <f aca="false">IF(ISNUMBER(AH95),AH95*AH44/(AH43+AH44),AH95)</f>
        <v>20449.0696530116</v>
      </c>
    </row>
    <row r="97" customFormat="false" ht="15" hidden="false" customHeight="false" outlineLevel="0" collapsed="false">
      <c r="A97" s="61" t="s">
        <v>929</v>
      </c>
      <c r="B97" s="62" t="s">
        <v>389</v>
      </c>
      <c r="C97" s="68" t="n">
        <f aca="false">IF(ISNUMBER(C95),C95-C96,C95)</f>
        <v>2218919.54717661</v>
      </c>
      <c r="D97" s="68" t="n">
        <f aca="false">IF(ISNUMBER(D95),D95-D96,D95)</f>
        <v>884825.174229826</v>
      </c>
      <c r="E97" s="68" t="n">
        <f aca="false">IF(ISNUMBER(E95),E95-E96,E95)</f>
        <v>1216105.90469634</v>
      </c>
      <c r="F97" s="68" t="n">
        <f aca="false">IF(ISNUMBER(F95),F95-F96,F95)</f>
        <v>884825.174229826</v>
      </c>
      <c r="G97" s="68" t="n">
        <f aca="false">IF(ISNUMBER(G95),G95-G96,G95)</f>
        <v>3060030.62969396</v>
      </c>
      <c r="H97" s="68" t="n">
        <f aca="false">IF(ISNUMBER(H95),H95-H96,H95)</f>
        <v>884825.174229826</v>
      </c>
      <c r="I97" s="68" t="n">
        <f aca="false">IF(ISNUMBER(I95),I95-I96,I95)</f>
        <v>2340627.94060064</v>
      </c>
      <c r="J97" s="68" t="n">
        <f aca="false">IF(ISNUMBER(J95),J95-J96,J95)</f>
        <v>884825.174229826</v>
      </c>
      <c r="K97" s="68" t="n">
        <f aca="false">IF(ISNUMBER(K95),K95-K96,K95)</f>
        <v>2009558.97911165</v>
      </c>
      <c r="L97" s="68" t="n">
        <f aca="false">IF(ISNUMBER(L95),L95-L96,L95)</f>
        <v>884825.174229826</v>
      </c>
      <c r="M97" s="68" t="n">
        <f aca="false">IF(ISNUMBER(M95),M95-M96,M95)</f>
        <v>3169885.06739516</v>
      </c>
      <c r="N97" s="68" t="n">
        <f aca="false">IF(ISNUMBER(N95),N95-N96,N95)</f>
        <v>884825.174229826</v>
      </c>
      <c r="O97" s="68" t="n">
        <f aca="false">IF(ISNUMBER(O95),O95-O96,O95)</f>
        <v>2256812.06833442</v>
      </c>
      <c r="P97" s="68" t="n">
        <f aca="false">IF(ISNUMBER(P95),P95-P96,P95)</f>
        <v>906636.433956128</v>
      </c>
      <c r="Q97" s="68" t="n">
        <f aca="false">IF(ISNUMBER(Q95),Q95-Q96,Q95)</f>
        <v>1524591.47931828</v>
      </c>
      <c r="R97" s="68" t="n">
        <f aca="false">IF(ISNUMBER(R95),R95-R96,R95)</f>
        <v>475843.816434967</v>
      </c>
      <c r="S97" s="68" t="n">
        <f aca="false">IF(ISNUMBER(S95),S95-S96,S95)</f>
        <v>1880288.7082782</v>
      </c>
      <c r="T97" s="68" t="n">
        <f aca="false">IF(ISNUMBER(T95),T95-T96,T95)</f>
        <v>735300.370321956</v>
      </c>
      <c r="U97" s="68" t="n">
        <f aca="false">IF(ISNUMBER(U95),U95-U96,U95)</f>
        <v>2590166.55751918</v>
      </c>
      <c r="V97" s="68" t="n">
        <f aca="false">IF(ISNUMBER(V95),V95-V96,V95)</f>
        <v>1048586.95516287</v>
      </c>
      <c r="W97" s="68" t="n">
        <f aca="false">IF(ISNUMBER(W95),W95-W96,W95)</f>
        <v>646647.720120507</v>
      </c>
      <c r="X97" s="68" t="n">
        <f aca="false">IF(ISNUMBER(X95),X95-X96,X95)</f>
        <v>255041.502147342</v>
      </c>
      <c r="Y97" s="68" t="n">
        <f aca="false">IF(ISNUMBER(Y95),Y95-Y96,Y95)</f>
        <v>5712628.60170197</v>
      </c>
      <c r="Z97" s="68" t="n">
        <f aca="false">IF(ISNUMBER(Z95),Z95-Z96,Z95)</f>
        <v>2333382.75608986</v>
      </c>
      <c r="AA97" s="68" t="n">
        <f aca="false">IF(ISNUMBER(AA95),AA95-AA96,AA95)</f>
        <v>1427986.44020143</v>
      </c>
      <c r="AB97" s="68" t="n">
        <f aca="false">IF(ISNUMBER(AB95),AB95-AB96,AB95)</f>
        <v>564081.941716766</v>
      </c>
      <c r="AC97" s="68" t="n">
        <f aca="false">IF(ISNUMBER(AC95),AC95-AC96,AC95)</f>
        <v>484326.073489516</v>
      </c>
      <c r="AD97" s="68" t="n">
        <f aca="false">IF(ISNUMBER(AD95),AD95-AD96,AD95)</f>
        <v>163592.557224093</v>
      </c>
      <c r="AE97" s="68" t="n">
        <f aca="false">IF(ISNUMBER(AE95),AE95-AE96,AE95)</f>
        <v>484326.073489516</v>
      </c>
      <c r="AF97" s="68" t="n">
        <f aca="false">IF(ISNUMBER(AF95),AF95-AF96,AF95)</f>
        <v>163592.557224093</v>
      </c>
      <c r="AG97" s="68" t="n">
        <f aca="false">IF(ISNUMBER(AG95),AG95-AG96,AG95)</f>
        <v>456681.839643043</v>
      </c>
      <c r="AH97" s="68" t="n">
        <f aca="false">IF(ISNUMBER(AH95),AH95-AH96,AH95)</f>
        <v>163592.557224093</v>
      </c>
    </row>
    <row r="98" customFormat="false" ht="15" hidden="false" customHeight="false" outlineLevel="0" collapsed="false">
      <c r="A98" s="61" t="s">
        <v>930</v>
      </c>
      <c r="B98" s="62" t="s">
        <v>931</v>
      </c>
      <c r="C98" s="71" t="n">
        <f aca="false">IF(ISNUMBER(C95),C95*C25*8760*3600/1000000,C95)</f>
        <v>318984897819.054</v>
      </c>
      <c r="D98" s="71" t="n">
        <f aca="false">IF(ISNUMBER(D95),D95*D25*8760*3600/1000000,D95)</f>
        <v>212334321421.888</v>
      </c>
      <c r="E98" s="71" t="n">
        <f aca="false">IF(ISNUMBER(E95),E95*E25*8760*3600/1000000,E95)</f>
        <v>174823561422.181</v>
      </c>
      <c r="F98" s="71" t="n">
        <f aca="false">IF(ISNUMBER(F95),F95*F25*8760*3600/1000000,F95)</f>
        <v>212334321421.888</v>
      </c>
      <c r="G98" s="71" t="n">
        <f aca="false">IF(ISNUMBER(G95),G95*G25*8760*3600/1000000,G95)</f>
        <v>439900382588.504</v>
      </c>
      <c r="H98" s="71" t="n">
        <f aca="false">IF(ISNUMBER(H95),H95*H25*8760*3600/1000000,H95)</f>
        <v>212334321421.888</v>
      </c>
      <c r="I98" s="71" t="n">
        <f aca="false">IF(ISNUMBER(I95),I95*I25*8760*3600/1000000,I95)</f>
        <v>336481313806.502</v>
      </c>
      <c r="J98" s="71" t="n">
        <f aca="false">IF(ISNUMBER(J95),J95*J25*8760*3600/1000000,J95)</f>
        <v>212334321421.888</v>
      </c>
      <c r="K98" s="71" t="n">
        <f aca="false">IF(ISNUMBER(K95),K95*K25*8760*3600/1000000,K95)</f>
        <v>288887880783.66</v>
      </c>
      <c r="L98" s="71" t="n">
        <f aca="false">IF(ISNUMBER(L95),L95*L25*8760*3600/1000000,L95)</f>
        <v>212334321421.888</v>
      </c>
      <c r="M98" s="71" t="n">
        <f aca="false">IF(ISNUMBER(M95),M95*M25*8760*3600/1000000,M95)</f>
        <v>455692711170.077</v>
      </c>
      <c r="N98" s="71" t="n">
        <f aca="false">IF(ISNUMBER(N95),N95*N25*8760*3600/1000000,N95)</f>
        <v>212334321421.888</v>
      </c>
      <c r="O98" s="71" t="n">
        <f aca="false">IF(ISNUMBER(O95),O95*O25*8760*3600/1000000,O95)</f>
        <v>324432207526.613</v>
      </c>
      <c r="P98" s="71" t="n">
        <f aca="false">IF(ISNUMBER(P95),P95*P25*8760*3600/1000000,P95)</f>
        <v>217568439039.949</v>
      </c>
      <c r="Q98" s="71" t="n">
        <f aca="false">IF(ISNUMBER(Q95),Q95*Q25*8760*3600/1000000,Q95)</f>
        <v>219170477751.185</v>
      </c>
      <c r="R98" s="71" t="n">
        <f aca="false">IF(ISNUMBER(R95),R95*R25*8760*3600/1000000,R95)</f>
        <v>114189759523.361</v>
      </c>
      <c r="S98" s="71" t="n">
        <f aca="false">IF(ISNUMBER(S95),S95*S25*8760*3600/1000000,S95)</f>
        <v>270304393074.375</v>
      </c>
      <c r="T98" s="71" t="n">
        <f aca="false">IF(ISNUMBER(T95),T95*T25*8760*3600/1000000,T95)</f>
        <v>176452376944.942</v>
      </c>
      <c r="U98" s="71" t="n">
        <f aca="false">IF(ISNUMBER(U95),U95*U25*8760*3600/1000000,U95)</f>
        <v>372354200825.3</v>
      </c>
      <c r="V98" s="71" t="n">
        <f aca="false">IF(ISNUMBER(V95),V95*V25*8760*3600/1000000,V95)</f>
        <v>251632758719.995</v>
      </c>
      <c r="W98" s="71" t="n">
        <f aca="false">IF(ISNUMBER(W95),W95*W25*8760*3600/1000000,W95)</f>
        <v>123946724245.456</v>
      </c>
      <c r="X98" s="71" t="n">
        <f aca="false">IF(ISNUMBER(X95),X95*X25*8760*3600/1000000,X95)</f>
        <v>81604164483.6966</v>
      </c>
      <c r="Y98" s="71" t="n">
        <f aca="false">IF(ISNUMBER(Y95),Y95*Y25*8760*3600/1000000,Y95)</f>
        <v>752793733336.655</v>
      </c>
      <c r="Z98" s="71" t="n">
        <f aca="false">IF(ISNUMBER(Z95),Z95*Z25*8760*3600/1000000,Z95)</f>
        <v>513286865791.92</v>
      </c>
      <c r="AA98" s="71" t="n">
        <f aca="false">IF(ISNUMBER(AA95),AA95*AA25*8760*3600/1000000,AA95)</f>
        <v>205282841053.99</v>
      </c>
      <c r="AB98" s="71" t="n">
        <f aca="false">IF(ISNUMBER(AB95),AB95*AB25*8760*3600/1000000,AB95)</f>
        <v>135364544103.33</v>
      </c>
      <c r="AC98" s="71" t="n">
        <f aca="false">IF(ISNUMBER(AC95),AC95*AC25*8760*3600/1000000,AC95)</f>
        <v>69625193603.6778</v>
      </c>
      <c r="AD98" s="71" t="n">
        <f aca="false">IF(ISNUMBER(AD95),AD95*AD25*8760*3600/1000000,AD95)</f>
        <v>39257828144.5082</v>
      </c>
      <c r="AE98" s="71" t="n">
        <f aca="false">IF(ISNUMBER(AE95),AE95*AE25*8760*3600/1000000,AE95)</f>
        <v>69625193603.6778</v>
      </c>
      <c r="AF98" s="71" t="n">
        <f aca="false">IF(ISNUMBER(AF95),AF95*AF25*8760*3600/1000000,AF95)</f>
        <v>39257828144.5082</v>
      </c>
      <c r="AG98" s="71" t="n">
        <f aca="false">IF(ISNUMBER(AG95),AG95*AG25*8760*3600/1000000,AG95)</f>
        <v>65651145459.38</v>
      </c>
      <c r="AH98" s="71" t="n">
        <f aca="false">IF(ISNUMBER(AH95),AH95*AH25*8760*3600/1000000,AH95)</f>
        <v>39257828144.5082</v>
      </c>
    </row>
    <row r="99" customFormat="false" ht="15" hidden="false" customHeight="false" outlineLevel="0" collapsed="false">
      <c r="A99" s="61" t="s">
        <v>932</v>
      </c>
      <c r="B99" s="62" t="s">
        <v>931</v>
      </c>
      <c r="C99" s="68" t="n">
        <f aca="false">IF(ISNUMBER(C96),C96*C25*8760*3600/1000000,C96)</f>
        <v>35442766424.3393</v>
      </c>
      <c r="D99" s="68" t="n">
        <f aca="false">IF(ISNUMBER(D96),D96*D25*8760*3600/1000000,D96)</f>
        <v>23592702380.2097</v>
      </c>
      <c r="E99" s="68" t="n">
        <f aca="false">IF(ISNUMBER(E96),E96*E25*8760*3600/1000000,E96)</f>
        <v>19424840158.0201</v>
      </c>
      <c r="F99" s="68" t="n">
        <f aca="false">IF(ISNUMBER(F96),F96*F25*8760*3600/1000000,F96)</f>
        <v>23592702380.2097</v>
      </c>
      <c r="G99" s="68" t="n">
        <f aca="false">IF(ISNUMBER(G96),G96*G25*8760*3600/1000000,G96)</f>
        <v>48877820287.6115</v>
      </c>
      <c r="H99" s="68" t="n">
        <f aca="false">IF(ISNUMBER(H96),H96*H25*8760*3600/1000000,H96)</f>
        <v>23592702380.2097</v>
      </c>
      <c r="I99" s="68" t="n">
        <f aca="false">IF(ISNUMBER(I96),I96*I25*8760*3600/1000000,I96)</f>
        <v>37386812645.1669</v>
      </c>
      <c r="J99" s="68" t="n">
        <f aca="false">IF(ISNUMBER(J96),J96*J25*8760*3600/1000000,J96)</f>
        <v>23592702380.2097</v>
      </c>
      <c r="K99" s="68" t="n">
        <f aca="false">IF(ISNUMBER(K96),K96*K25*8760*3600/1000000,K96)</f>
        <v>32098653420.4067</v>
      </c>
      <c r="L99" s="68" t="n">
        <f aca="false">IF(ISNUMBER(L96),L96*L25*8760*3600/1000000,L96)</f>
        <v>23592702380.2097</v>
      </c>
      <c r="M99" s="68" t="n">
        <f aca="false">IF(ISNUMBER(M96),M96*M25*8760*3600/1000000,M96)</f>
        <v>50632523463.3419</v>
      </c>
      <c r="N99" s="68" t="n">
        <f aca="false">IF(ISNUMBER(N96),N96*N25*8760*3600/1000000,N96)</f>
        <v>23592702380.2097</v>
      </c>
      <c r="O99" s="68" t="n">
        <f aca="false">IF(ISNUMBER(O96),O96*O25*8760*3600/1000000,O96)</f>
        <v>36048023058.5126</v>
      </c>
      <c r="P99" s="68" t="n">
        <f aca="false">IF(ISNUMBER(P96),P96*P25*8760*3600/1000000,P96)</f>
        <v>24174271004.4388</v>
      </c>
      <c r="Q99" s="68" t="n">
        <f aca="false">IF(ISNUMBER(Q96),Q96*Q25*8760*3600/1000000,Q96)</f>
        <v>24352275305.6872</v>
      </c>
      <c r="R99" s="68" t="n">
        <f aca="false">IF(ISNUMBER(R96),R96*R25*8760*3600/1000000,R96)</f>
        <v>12687751058.1512</v>
      </c>
      <c r="S99" s="68" t="n">
        <f aca="false">IF(ISNUMBER(S96),S96*S25*8760*3600/1000000,S96)</f>
        <v>30033821452.7083</v>
      </c>
      <c r="T99" s="68" t="n">
        <f aca="false">IF(ISNUMBER(T96),T96*T25*8760*3600/1000000,T96)</f>
        <v>19605819660.5491</v>
      </c>
      <c r="U99" s="68" t="n">
        <f aca="false">IF(ISNUMBER(U96),U96*U25*8760*3600/1000000,U96)</f>
        <v>41372688980.5889</v>
      </c>
      <c r="V99" s="68" t="n">
        <f aca="false">IF(ISNUMBER(V96),V96*V25*8760*3600/1000000,V96)</f>
        <v>27959195413.3328</v>
      </c>
      <c r="W99" s="68" t="n">
        <f aca="false">IF(ISNUMBER(W96),W96*W25*8760*3600/1000000,W96)</f>
        <v>41315574748.4853</v>
      </c>
      <c r="X99" s="68" t="n">
        <f aca="false">IF(ISNUMBER(X96),X96*X25*8760*3600/1000000,X96)</f>
        <v>27201388161.2322</v>
      </c>
      <c r="Y99" s="68" t="n">
        <f aca="false">IF(ISNUMBER(Y96),Y96*Y25*8760*3600/1000000,Y96)</f>
        <v>22811931313.232</v>
      </c>
      <c r="Z99" s="68" t="n">
        <f aca="false">IF(ISNUMBER(Z96),Z96*Z25*8760*3600/1000000,Z96)</f>
        <v>15554147448.24</v>
      </c>
      <c r="AA99" s="68" t="n">
        <f aca="false">IF(ISNUMBER(AA96),AA96*AA25*8760*3600/1000000,AA96)</f>
        <v>22809204561.5545</v>
      </c>
      <c r="AB99" s="68" t="n">
        <f aca="false">IF(ISNUMBER(AB96),AB96*AB25*8760*3600/1000000,AB96)</f>
        <v>15040504900.37</v>
      </c>
      <c r="AC99" s="68" t="n">
        <f aca="false">IF(ISNUMBER(AC96),AC96*AC25*8760*3600/1000000,AC96)</f>
        <v>7736132622.63087</v>
      </c>
      <c r="AD99" s="68" t="n">
        <f aca="false">IF(ISNUMBER(AD96),AD96*AD25*8760*3600/1000000,AD96)</f>
        <v>4361980904.94536</v>
      </c>
      <c r="AE99" s="68" t="n">
        <f aca="false">IF(ISNUMBER(AE96),AE96*AE25*8760*3600/1000000,AE96)</f>
        <v>7736132622.63087</v>
      </c>
      <c r="AF99" s="68" t="n">
        <f aca="false">IF(ISNUMBER(AF96),AF96*AF25*8760*3600/1000000,AF96)</f>
        <v>4361980904.94536</v>
      </c>
      <c r="AG99" s="68" t="n">
        <f aca="false">IF(ISNUMBER(AG96),AG96*AG25*8760*3600/1000000,AG96)</f>
        <v>7294571717.70889</v>
      </c>
      <c r="AH99" s="68" t="n">
        <f aca="false">IF(ISNUMBER(AH96),AH96*AH25*8760*3600/1000000,AH96)</f>
        <v>4361980904.94536</v>
      </c>
    </row>
    <row r="100" customFormat="false" ht="15" hidden="false" customHeight="false" outlineLevel="0" collapsed="false">
      <c r="A100" s="76" t="s">
        <v>933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</row>
    <row r="101" customFormat="false" ht="15" hidden="false" customHeight="false" outlineLevel="0" collapsed="false">
      <c r="A101" s="61" t="s">
        <v>934</v>
      </c>
      <c r="B101" s="62" t="s">
        <v>935</v>
      </c>
      <c r="C101" s="75" t="n">
        <f aca="false">1000000/C75</f>
        <v>12.6468430803139</v>
      </c>
      <c r="D101" s="75" t="n">
        <f aca="false">1000000/D75</f>
        <v>29.5093005207324</v>
      </c>
      <c r="E101" s="75" t="n">
        <f aca="false">1000000/E75</f>
        <v>12.6468430803139</v>
      </c>
      <c r="F101" s="75" t="n">
        <f aca="false">1000000/F75</f>
        <v>29.5093005207324</v>
      </c>
      <c r="G101" s="75" t="n">
        <f aca="false">1000000/G75</f>
        <v>12.6468430803139</v>
      </c>
      <c r="H101" s="75" t="n">
        <f aca="false">1000000/H75</f>
        <v>29.5093005207324</v>
      </c>
      <c r="I101" s="75" t="n">
        <f aca="false">1000000/I75</f>
        <v>12.6468430803139</v>
      </c>
      <c r="J101" s="75" t="n">
        <f aca="false">1000000/J75</f>
        <v>29.5093005207324</v>
      </c>
      <c r="K101" s="75" t="n">
        <f aca="false">1000000/K75</f>
        <v>12.6468430803139</v>
      </c>
      <c r="L101" s="75" t="n">
        <f aca="false">1000000/L75</f>
        <v>29.5093005207324</v>
      </c>
      <c r="M101" s="75" t="n">
        <f aca="false">1000000/M75</f>
        <v>8.85279015621974</v>
      </c>
      <c r="N101" s="75" t="n">
        <f aca="false">1000000/N75</f>
        <v>29.5093005207324</v>
      </c>
      <c r="O101" s="75" t="n">
        <f aca="false">1000000/O75</f>
        <v>12.6468430803139</v>
      </c>
      <c r="P101" s="75" t="n">
        <f aca="false">1000000/P75</f>
        <v>29.5093005207324</v>
      </c>
      <c r="Q101" s="75" t="n">
        <f aca="false">1000000/Q75</f>
        <v>12.6468430803139</v>
      </c>
      <c r="R101" s="75" t="n">
        <f aca="false">1000000/R75</f>
        <v>29.5093005207324</v>
      </c>
      <c r="S101" s="75" t="n">
        <f aca="false">1000000/S75</f>
        <v>12.6468430803139</v>
      </c>
      <c r="T101" s="75" t="n">
        <f aca="false">1000000/T75</f>
        <v>29.5093005207324</v>
      </c>
      <c r="U101" s="75" t="n">
        <f aca="false">1000000/U75</f>
        <v>12.6468430803139</v>
      </c>
      <c r="V101" s="75" t="n">
        <f aca="false">1000000/V75</f>
        <v>29.5093005207324</v>
      </c>
      <c r="W101" s="75" t="n">
        <f aca="false">1000000/W75</f>
        <v>10.9792692992488</v>
      </c>
      <c r="X101" s="75" t="n">
        <f aca="false">1000000/X75</f>
        <v>25.6182950315804</v>
      </c>
      <c r="Y101" s="75" t="n">
        <f aca="false">1000000/Y75</f>
        <v>12.7953837572876</v>
      </c>
      <c r="Z101" s="75" t="n">
        <f aca="false">1000000/Z75</f>
        <v>29.8558954336711</v>
      </c>
      <c r="AA101" s="75" t="n">
        <f aca="false">1000000/AA75</f>
        <v>18.0669186861627</v>
      </c>
      <c r="AB101" s="75" t="n">
        <f aca="false">1000000/AB75</f>
        <v>42.1561436010464</v>
      </c>
      <c r="AC101" s="75" t="n">
        <f aca="false">1000000/AC75</f>
        <v>41.9552987428571</v>
      </c>
      <c r="AD101" s="75" t="n">
        <f aca="false">1000000/AD75</f>
        <v>97.8956970666667</v>
      </c>
      <c r="AE101" s="75" t="n">
        <f aca="false">1000000/AE75</f>
        <v>41.9552987428571</v>
      </c>
      <c r="AF101" s="75" t="n">
        <f aca="false">1000000/AF75</f>
        <v>97.8956970666667</v>
      </c>
      <c r="AG101" s="75" t="n">
        <f aca="false">1000000/AG75</f>
        <v>41.9552987428571</v>
      </c>
      <c r="AH101" s="75" t="n">
        <f aca="false">1000000/AH75</f>
        <v>97.8956970666667</v>
      </c>
    </row>
    <row r="102" customFormat="false" ht="15" hidden="false" customHeight="false" outlineLevel="0" collapsed="false">
      <c r="A102" s="61" t="s">
        <v>936</v>
      </c>
      <c r="B102" s="62" t="s">
        <v>935</v>
      </c>
      <c r="C102" s="116" t="n">
        <f aca="false">1000000*C34/(C62*1000000000000)</f>
        <v>0.03965</v>
      </c>
      <c r="D102" s="116" t="n">
        <f aca="false">1000000*D34/(D62*1000000000000)</f>
        <v>0.03965</v>
      </c>
      <c r="E102" s="116" t="n">
        <f aca="false">1000000*E34/(E62*1000000000000)</f>
        <v>0.03965</v>
      </c>
      <c r="F102" s="116" t="n">
        <f aca="false">1000000*F34/(F62*1000000000000)</f>
        <v>0.03965</v>
      </c>
      <c r="G102" s="116" t="n">
        <f aca="false">1000000*G34/(G62*1000000000000)</f>
        <v>0.03965</v>
      </c>
      <c r="H102" s="116" t="n">
        <f aca="false">1000000*H34/(H62*1000000000000)</f>
        <v>0.03965</v>
      </c>
      <c r="I102" s="116" t="n">
        <f aca="false">1000000*I34/(I62*1000000000000)</f>
        <v>0.03965</v>
      </c>
      <c r="J102" s="116" t="n">
        <f aca="false">1000000*J34/(J62*1000000000000)</f>
        <v>0.03965</v>
      </c>
      <c r="K102" s="116" t="n">
        <f aca="false">1000000*K34/(K62*1000000000000)</f>
        <v>0.03965</v>
      </c>
      <c r="L102" s="116" t="n">
        <f aca="false">1000000*L34/(L62*1000000000000)</f>
        <v>0.03965</v>
      </c>
      <c r="M102" s="116" t="n">
        <f aca="false">1000000*M34/(M62*1000000000000)</f>
        <v>0.03965</v>
      </c>
      <c r="N102" s="116" t="n">
        <f aca="false">1000000*N34/(N62*1000000000000)</f>
        <v>0.03965</v>
      </c>
      <c r="O102" s="116" t="n">
        <f aca="false">1000000*O34/(O62*1000000000000)</f>
        <v>0.03965</v>
      </c>
      <c r="P102" s="116" t="n">
        <f aca="false">1000000*P34/(P62*1000000000000)</f>
        <v>0.03965</v>
      </c>
      <c r="Q102" s="116" t="n">
        <f aca="false">1000000*Q34/(Q62*1000000000000)</f>
        <v>0.03965</v>
      </c>
      <c r="R102" s="116" t="n">
        <f aca="false">1000000*R34/(R62*1000000000000)</f>
        <v>0.03965</v>
      </c>
      <c r="S102" s="116" t="n">
        <f aca="false">1000000*S34/(S62*1000000000000)</f>
        <v>0.03965</v>
      </c>
      <c r="T102" s="116" t="n">
        <f aca="false">1000000*T34/(T62*1000000000000)</f>
        <v>0.03965</v>
      </c>
      <c r="U102" s="116" t="n">
        <f aca="false">1000000*U34/(U62*1000000000000)</f>
        <v>0.03965</v>
      </c>
      <c r="V102" s="116" t="n">
        <f aca="false">1000000*V34/(V62*1000000000000)</f>
        <v>0.03965</v>
      </c>
      <c r="W102" s="116" t="n">
        <f aca="false">1000000*W34/(W62*1000000000000)</f>
        <v>0.03965</v>
      </c>
      <c r="X102" s="116" t="n">
        <f aca="false">1000000*X34/(X62*1000000000000)</f>
        <v>0.03965</v>
      </c>
      <c r="Y102" s="116" t="n">
        <f aca="false">1000000*Y34/(Y62*1000000000000)</f>
        <v>0.03965</v>
      </c>
      <c r="Z102" s="116" t="n">
        <f aca="false">1000000*Z34/(Z62*1000000000000)</f>
        <v>0.03965</v>
      </c>
      <c r="AA102" s="116" t="n">
        <f aca="false">1000000*AA34/(AA62*1000000000000)</f>
        <v>0.03965</v>
      </c>
      <c r="AB102" s="116" t="n">
        <f aca="false">1000000*AB34/(AB62*1000000000000)</f>
        <v>0.03965</v>
      </c>
      <c r="AC102" s="116" t="n">
        <f aca="false">1000000*AC34/(AC62*1000000000000)</f>
        <v>0.14976</v>
      </c>
      <c r="AD102" s="116" t="n">
        <f aca="false">1000000*AD34/(AD62*1000000000000)</f>
        <v>0.14976</v>
      </c>
      <c r="AE102" s="116" t="n">
        <f aca="false">1000000*AE34/(AE62*1000000000000)</f>
        <v>0.576</v>
      </c>
      <c r="AF102" s="116" t="n">
        <f aca="false">1000000*AF34/(AF62*1000000000000)</f>
        <v>0.576</v>
      </c>
      <c r="AG102" s="116" t="n">
        <f aca="false">1000000*AG34/(AG62*1000000000000)</f>
        <v>2.048</v>
      </c>
      <c r="AH102" s="116" t="n">
        <f aca="false">1000000*AH34/(AH62*1000000000000)</f>
        <v>2.048</v>
      </c>
    </row>
    <row r="103" customFormat="false" ht="15" hidden="false" customHeight="false" outlineLevel="0" collapsed="false">
      <c r="A103" s="62" t="s">
        <v>937</v>
      </c>
      <c r="B103" s="62" t="s">
        <v>935</v>
      </c>
      <c r="C103" s="75" t="n">
        <f aca="false">IF(ISNUMBER(C88),IF(C88&gt;0,IF(C77="是",1000000/C88,"TTFT 不可達"),"SLO 不可達"),"SLO 不可達")</f>
        <v>214.057162301727</v>
      </c>
      <c r="D103" s="75" t="n">
        <f aca="false">IF(ISNUMBER(D88),IF(D88&gt;0,IF(D77="是",1000000/D88,"TTFT 不可達"),"SLO 不可達"),"SLO 不可達")</f>
        <v>544.742571673303</v>
      </c>
      <c r="E103" s="75" t="n">
        <f aca="false">IF(ISNUMBER(E88),IF(E88&gt;0,IF(E77="是",1000000/E88,"TTFT 不可達"),"SLO 不可達"),"SLO 不可達")</f>
        <v>428.114324603453</v>
      </c>
      <c r="F103" s="75" t="n">
        <f aca="false">IF(ISNUMBER(F88),IF(F88&gt;0,IF(F77="是",1000000/F88,"TTFT 不可達"),"SLO 不可達"),"SLO 不可達")</f>
        <v>544.742571673303</v>
      </c>
      <c r="G103" s="75" t="n">
        <f aca="false">IF(ISNUMBER(G88),IF(G88&gt;0,IF(G77="是",1000000/G88,"TTFT 不可達"),"SLO 不可達"),"SLO 不可達")</f>
        <v>142.704774867818</v>
      </c>
      <c r="H103" s="75" t="n">
        <f aca="false">IF(ISNUMBER(H88),IF(H88&gt;0,IF(H77="是",1000000/H88,"TTFT 不可達"),"SLO 不可達"),"SLO 不可達")</f>
        <v>544.742571673303</v>
      </c>
      <c r="I103" s="75" t="n">
        <f aca="false">IF(ISNUMBER(I88),IF(I88&gt;0,IF(I77="是",1000000/I88,"TTFT 不可達"),"SLO 不可達"),"SLO 不可達")</f>
        <v>200.559173233021</v>
      </c>
      <c r="J103" s="75" t="n">
        <f aca="false">IF(ISNUMBER(J88),IF(J88&gt;0,IF(J77="是",1000000/J88,"TTFT 不可達"),"SLO 不可達"),"SLO 不可達")</f>
        <v>544.742571673303</v>
      </c>
      <c r="K103" s="75" t="n">
        <f aca="false">IF(ISNUMBER(K88),IF(K88&gt;0,IF(K77="是",1000000/K88,"TTFT 不可達"),"SLO 不可達"),"SLO 不可達")</f>
        <v>241.101419558297</v>
      </c>
      <c r="L103" s="75" t="n">
        <f aca="false">IF(ISNUMBER(L88),IF(L88&gt;0,IF(L77="是",1000000/L88,"TTFT 不可達"),"SLO 不可達"),"SLO 不可達")</f>
        <v>544.742571673303</v>
      </c>
      <c r="M103" s="75" t="n">
        <f aca="false">IF(ISNUMBER(M88),IF(M88&gt;0,IF(M77="是",1000000/M88,"TTFT 不可達"),"SLO 不可達"),"SLO 不可達")</f>
        <v>149.840013611209</v>
      </c>
      <c r="N103" s="75" t="n">
        <f aca="false">IF(ISNUMBER(N88),IF(N88&gt;0,IF(N77="是",1000000/N88,"TTFT 不可達"),"SLO 不可達"),"SLO 不可達")</f>
        <v>544.742571673303</v>
      </c>
      <c r="O103" s="75" t="n">
        <f aca="false">IF(ISNUMBER(O88),IF(O88&gt;0,IF(O77="是",1000000/O88,"TTFT 不可達"),"SLO 不可達"),"SLO 不可達")</f>
        <v>209.698642397516</v>
      </c>
      <c r="P103" s="75" t="n">
        <f aca="false">IF(ISNUMBER(P88),IF(P88&gt;0,IF(P77="是",1000000/P88,"TTFT 不可達"),"SLO 不可達"),"SLO 不可達")</f>
        <v>529.081820298486</v>
      </c>
      <c r="Q103" s="75" t="n">
        <f aca="false">IF(ISNUMBER(Q88),IF(Q88&gt;0,IF(Q77="是",1000000/Q88,"TTFT 不可達"),"SLO 不可達"),"SLO 不可達")</f>
        <v>332.277490560712</v>
      </c>
      <c r="R103" s="75" t="n">
        <f aca="false">IF(ISNUMBER(R88),IF(R88&gt;0,IF(R77="是",1000000/R88,"TTFT 不可達"),"SLO 不可達"),"SLO 不可達")</f>
        <v>1104.24773088001</v>
      </c>
      <c r="S103" s="75" t="n">
        <f aca="false">IF(ISNUMBER(S88),IF(S88&gt;0,IF(S77="是",1000000/S88,"TTFT 不可達"),"SLO 不可達"),"SLO 不可達")</f>
        <v>260.807300165967</v>
      </c>
      <c r="T103" s="75" t="n">
        <f aca="false">IF(ISNUMBER(T88),IF(T88&gt;0,IF(T77="是",1000000/T88,"TTFT 不可達"),"SLO 不可達"),"SLO 不可達")</f>
        <v>677.119856772254</v>
      </c>
      <c r="U103" s="75" t="n">
        <f aca="false">IF(ISNUMBER(U88),IF(U88&gt;0,IF(U77="是",1000000/U88,"TTFT 不可達"),"SLO 不可達"),"SLO 不可達")</f>
        <v>176.850886539658</v>
      </c>
      <c r="V103" s="75" t="n">
        <f aca="false">IF(ISNUMBER(V88),IF(V88&gt;0,IF(V77="是",1000000/V88,"TTFT 不可達"),"SLO 不可達"),"SLO 不可達")</f>
        <v>443.077185365671</v>
      </c>
      <c r="W103" s="75" t="n">
        <f aca="false">IF(ISNUMBER(W88),IF(W88&gt;0,IF(W77="是",1000000/W88,"TTFT 不可達"),"SLO 不可達"),"SLO 不可達")</f>
        <v>212.805594457987</v>
      </c>
      <c r="X103" s="75" t="n">
        <f aca="false">IF(ISNUMBER(X88),IF(X88&gt;0,IF(X77="是",1000000/X88,"TTFT 不可達"),"SLO 不可達"),"SLO 不可達")</f>
        <v>541.557523910868</v>
      </c>
      <c r="Y103" s="75" t="n">
        <f aca="false">IF(ISNUMBER(Y88),IF(Y88&gt;0,IF(Y77="是",1000000/Y88,"TTFT 不可達"),"SLO 不可達"),"SLO 不可達")</f>
        <v>219.063433676685</v>
      </c>
      <c r="Z103" s="75" t="n">
        <f aca="false">IF(ISNUMBER(Z88),IF(Z88&gt;0,IF(Z77="是",1000000/Z88,"TTFT 不可達"),"SLO 不可達"),"SLO 不可達")</f>
        <v>557.482762723042</v>
      </c>
      <c r="AA103" s="75" t="n">
        <f aca="false">IF(ISNUMBER(AA88),IF(AA88&gt;0,IF(AA77="是",1000000/AA88,"TTFT 不可達"),"SLO 不可達"),"SLO 不可達")</f>
        <v>338.324267485079</v>
      </c>
      <c r="AB103" s="75" t="n">
        <f aca="false">IF(ISNUMBER(AB88),IF(AB88&gt;0,IF(AB77="是",1000000/AB88,"TTFT 不可達"),"SLO 不可達"),"SLO 不可達")</f>
        <v>869.366122396213</v>
      </c>
      <c r="AC103" s="75" t="n">
        <f aca="false">IF(ISNUMBER(AC88),IF(AC88&gt;0,IF(AC77="是",1000000/AC88,"TTFT 不可達"),"SLO 不可達"),"SLO 不可達")</f>
        <v>1038.24234365309</v>
      </c>
      <c r="AD103" s="75" t="n">
        <f aca="false">IF(ISNUMBER(AD88),IF(AD88&gt;0,IF(AD77="是",1000000/AD88,"TTFT 不可達"),"SLO 不可達"),"SLO 不可達")</f>
        <v>3168.5180674951</v>
      </c>
      <c r="AE103" s="75" t="n">
        <f aca="false">IF(ISNUMBER(AE88),IF(AE88&gt;0,IF(AE77="是",1000000/AE88,"TTFT 不可達"),"SLO 不可達"),"SLO 不可達")</f>
        <v>1038.24234365309</v>
      </c>
      <c r="AF103" s="75" t="n">
        <f aca="false">IF(ISNUMBER(AF88),IF(AF88&gt;0,IF(AF77="是",1000000/AF88,"TTFT 不可達"),"SLO 不可達"),"SLO 不可達")</f>
        <v>3168.5180674951</v>
      </c>
      <c r="AG103" s="75" t="n">
        <f aca="false">IF(ISNUMBER(AG88),IF(AG88&gt;0,IF(AG77="是",1000000/AG88,"TTFT 不可達"),"SLO 不可達"),"SLO 不可達")</f>
        <v>1110.23288675268</v>
      </c>
      <c r="AH103" s="75" t="n">
        <f aca="false">IF(ISNUMBER(AH88),IF(AH88&gt;0,IF(AH77="是",1000000/AH88,"TTFT 不可達"),"SLO 不可達"),"SLO 不可達")</f>
        <v>3168.5180674951</v>
      </c>
    </row>
    <row r="104" customFormat="false" ht="15" hidden="false" customHeight="false" outlineLevel="0" collapsed="false">
      <c r="A104" s="61" t="s">
        <v>975</v>
      </c>
      <c r="B104" s="62" t="s">
        <v>976</v>
      </c>
      <c r="C104" s="124" t="n">
        <f aca="false">INDEX(DC_Cost!$C$58:$Q$58,3*(C$6-1)+2)/3600*C101</f>
        <v>0.0168050260436256</v>
      </c>
      <c r="D104" s="124" t="n">
        <f aca="false">INDEX(DC_Cost!$C$58:$Q$58,3*(D$6-1)+2)/3600*D101</f>
        <v>0.0209170743182869</v>
      </c>
      <c r="E104" s="124" t="n">
        <f aca="false">INDEX(DC_Cost!$C$58:$Q$58,3*(E$6-1)+2)/3600*E101</f>
        <v>0.0168050260436256</v>
      </c>
      <c r="F104" s="124" t="n">
        <f aca="false">INDEX(DC_Cost!$C$58:$Q$58,3*(F$6-1)+2)/3600*F101</f>
        <v>0.0209170743182869</v>
      </c>
      <c r="G104" s="124" t="n">
        <f aca="false">INDEX(DC_Cost!$C$58:$Q$58,3*(G$6-1)+2)/3600*G101</f>
        <v>0.0168050260436256</v>
      </c>
      <c r="H104" s="124" t="n">
        <f aca="false">INDEX(DC_Cost!$C$58:$Q$58,3*(H$6-1)+2)/3600*H101</f>
        <v>0.0209170743182869</v>
      </c>
      <c r="I104" s="124" t="n">
        <f aca="false">INDEX(DC_Cost!$C$58:$Q$58,3*(I$6-1)+2)/3600*I101</f>
        <v>0.0168050260436256</v>
      </c>
      <c r="J104" s="124" t="n">
        <f aca="false">INDEX(DC_Cost!$C$58:$Q$58,3*(J$6-1)+2)/3600*J101</f>
        <v>0.0209170743182869</v>
      </c>
      <c r="K104" s="124" t="n">
        <f aca="false">INDEX(DC_Cost!$C$58:$Q$58,3*(K$6-1)+2)/3600*K101</f>
        <v>0.0168050260436256</v>
      </c>
      <c r="L104" s="124" t="n">
        <f aca="false">INDEX(DC_Cost!$C$58:$Q$58,3*(L$6-1)+2)/3600*L101</f>
        <v>0.0209170743182869</v>
      </c>
      <c r="M104" s="124" t="n">
        <f aca="false">INDEX(DC_Cost!$C$58:$Q$58,3*(M$6-1)+2)/3600*M101</f>
        <v>0.0117635182305379</v>
      </c>
      <c r="N104" s="124" t="n">
        <f aca="false">INDEX(DC_Cost!$C$58:$Q$58,3*(N$6-1)+2)/3600*N101</f>
        <v>0.0209170743182869</v>
      </c>
      <c r="O104" s="124" t="n">
        <f aca="false">INDEX(DC_Cost!$C$58:$Q$58,3*(O$6-1)+2)/3600*O101</f>
        <v>0.0168050260436256</v>
      </c>
      <c r="P104" s="124" t="n">
        <f aca="false">INDEX(DC_Cost!$C$58:$Q$58,3*(P$6-1)+2)/3600*P101</f>
        <v>0.0209170743182869</v>
      </c>
      <c r="Q104" s="124" t="n">
        <f aca="false">INDEX(DC_Cost!$C$58:$Q$58,3*(Q$6-1)+2)/3600*Q101</f>
        <v>0.0168050260436256</v>
      </c>
      <c r="R104" s="124" t="n">
        <f aca="false">INDEX(DC_Cost!$C$58:$Q$58,3*(R$6-1)+2)/3600*R101</f>
        <v>0.0209170743182869</v>
      </c>
      <c r="S104" s="124" t="n">
        <f aca="false">INDEX(DC_Cost!$C$58:$Q$58,3*(S$6-1)+2)/3600*S101</f>
        <v>0.0168050260436256</v>
      </c>
      <c r="T104" s="124" t="n">
        <f aca="false">INDEX(DC_Cost!$C$58:$Q$58,3*(T$6-1)+2)/3600*T101</f>
        <v>0.0209170743182869</v>
      </c>
      <c r="U104" s="124" t="n">
        <f aca="false">INDEX(DC_Cost!$C$58:$Q$58,3*(U$6-1)+2)/3600*U101</f>
        <v>0.0168050260436256</v>
      </c>
      <c r="V104" s="124" t="n">
        <f aca="false">INDEX(DC_Cost!$C$58:$Q$58,3*(V$6-1)+2)/3600*V101</f>
        <v>0.0209170743182869</v>
      </c>
      <c r="W104" s="124" t="n">
        <f aca="false">INDEX(DC_Cost!$C$58:$Q$58,3*(W$6-1)+2)/3600*W101</f>
        <v>0.0145891670626528</v>
      </c>
      <c r="X104" s="124" t="n">
        <f aca="false">INDEX(DC_Cost!$C$58:$Q$58,3*(X$6-1)+2)/3600*X101</f>
        <v>0.0181590133153745</v>
      </c>
      <c r="Y104" s="124" t="n">
        <f aca="false">INDEX(DC_Cost!$C$58:$Q$58,3*(Y$6-1)+2)/3600*Y101</f>
        <v>0.0170024057319184</v>
      </c>
      <c r="Z104" s="124" t="n">
        <f aca="false">INDEX(DC_Cost!$C$58:$Q$58,3*(Z$6-1)+2)/3600*Z101</f>
        <v>0.0211627511531947</v>
      </c>
      <c r="AA104" s="124" t="n">
        <f aca="false">INDEX(DC_Cost!$C$58:$Q$58,3*(AA$6-1)+2)/3600*AA101</f>
        <v>0.0240071800623222</v>
      </c>
      <c r="AB104" s="124" t="n">
        <f aca="false">INDEX(DC_Cost!$C$58:$Q$58,3*(AB$6-1)+2)/3600*AB101</f>
        <v>0.0298815347404098</v>
      </c>
      <c r="AC104" s="124" t="n">
        <f aca="false">INDEX(DC_Cost!$C$58:$Q$58,3*(AC$6-1)+2)/3600*AC101</f>
        <v>0.0557498724040708</v>
      </c>
      <c r="AD104" s="124" t="n">
        <f aca="false">INDEX(DC_Cost!$C$58:$Q$58,3*(AD$6-1)+2)/3600*AD101</f>
        <v>0.0693913964360257</v>
      </c>
      <c r="AE104" s="124" t="n">
        <f aca="false">INDEX(DC_Cost!$C$58:$Q$58,3*(AE$6-1)+2)/3600*AE101</f>
        <v>0.0557498724040708</v>
      </c>
      <c r="AF104" s="124" t="n">
        <f aca="false">INDEX(DC_Cost!$C$58:$Q$58,3*(AF$6-1)+2)/3600*AF101</f>
        <v>0.0693913964360257</v>
      </c>
      <c r="AG104" s="124" t="n">
        <f aca="false">INDEX(DC_Cost!$C$58:$Q$58,3*(AG$6-1)+2)/3600*AG101</f>
        <v>0.0557498724040708</v>
      </c>
      <c r="AH104" s="124" t="n">
        <f aca="false">INDEX(DC_Cost!$C$58:$Q$58,3*(AH$6-1)+2)/3600*AH101</f>
        <v>0.0693913964360257</v>
      </c>
    </row>
    <row r="105" customFormat="false" ht="15" hidden="false" customHeight="false" outlineLevel="0" collapsed="false">
      <c r="A105" s="61" t="s">
        <v>977</v>
      </c>
      <c r="B105" s="62" t="s">
        <v>976</v>
      </c>
      <c r="C105" s="124" t="n">
        <f aca="false">IF(ISNUMBER(C103),INDEX(DC_Cost!$C$58:$Q$58,3*(C$6-1)+2)/3600*C103,C103)</f>
        <v>0.284437480916053</v>
      </c>
      <c r="D105" s="124" t="n">
        <f aca="false">IF(ISNUMBER(D103),INDEX(DC_Cost!$C$58:$Q$58,3*(D$6-1)+2)/3600*D103,D103)</f>
        <v>0.386129818564143</v>
      </c>
      <c r="E105" s="124" t="n">
        <f aca="false">IF(ISNUMBER(E103),INDEX(DC_Cost!$C$58:$Q$58,3*(E$6-1)+2)/3600*E103,E103)</f>
        <v>0.568874961832106</v>
      </c>
      <c r="F105" s="124" t="n">
        <f aca="false">IF(ISNUMBER(F103),INDEX(DC_Cost!$C$58:$Q$58,3*(F$6-1)+2)/3600*F103,F103)</f>
        <v>0.386129818564143</v>
      </c>
      <c r="G105" s="124" t="n">
        <f aca="false">IF(ISNUMBER(G103),INDEX(DC_Cost!$C$58:$Q$58,3*(G$6-1)+2)/3600*G103,G103)</f>
        <v>0.189624987277369</v>
      </c>
      <c r="H105" s="124" t="n">
        <f aca="false">IF(ISNUMBER(H103),INDEX(DC_Cost!$C$58:$Q$58,3*(H$6-1)+2)/3600*H103,H103)</f>
        <v>0.386129818564143</v>
      </c>
      <c r="I105" s="124" t="n">
        <f aca="false">IF(ISNUMBER(I103),INDEX(DC_Cost!$C$58:$Q$58,3*(I$6-1)+2)/3600*I103,I103)</f>
        <v>0.26650145874865</v>
      </c>
      <c r="J105" s="124" t="n">
        <f aca="false">IF(ISNUMBER(J103),INDEX(DC_Cost!$C$58:$Q$58,3*(J$6-1)+2)/3600*J103,J103)</f>
        <v>0.386129818564143</v>
      </c>
      <c r="K105" s="124" t="n">
        <f aca="false">IF(ISNUMBER(K103),INDEX(DC_Cost!$C$58:$Q$58,3*(K$6-1)+2)/3600*K103,K103)</f>
        <v>0.320373678166308</v>
      </c>
      <c r="L105" s="124" t="n">
        <f aca="false">IF(ISNUMBER(L103),INDEX(DC_Cost!$C$58:$Q$58,3*(L$6-1)+2)/3600*L103,L103)</f>
        <v>0.386129818564143</v>
      </c>
      <c r="M105" s="124" t="n">
        <f aca="false">IF(ISNUMBER(M103),INDEX(DC_Cost!$C$58:$Q$58,3*(M$6-1)+2)/3600*M103,M103)</f>
        <v>0.199106236641237</v>
      </c>
      <c r="N105" s="124" t="n">
        <f aca="false">IF(ISNUMBER(N103),INDEX(DC_Cost!$C$58:$Q$58,3*(N$6-1)+2)/3600*N103,N103)</f>
        <v>0.386129818564143</v>
      </c>
      <c r="O105" s="124" t="n">
        <f aca="false">IF(ISNUMBER(O103),INDEX(DC_Cost!$C$58:$Q$58,3*(O$6-1)+2)/3600*O103,O103)</f>
        <v>0.278645913800309</v>
      </c>
      <c r="P105" s="124" t="n">
        <f aca="false">IF(ISNUMBER(P103),INDEX(DC_Cost!$C$58:$Q$58,3*(P$6-1)+2)/3600*P103,P103)</f>
        <v>0.375029009849375</v>
      </c>
      <c r="Q105" s="124" t="n">
        <f aca="false">IF(ISNUMBER(Q103),INDEX(DC_Cost!$C$58:$Q$58,3*(Q$6-1)+2)/3600*Q103,Q103)</f>
        <v>0.441527727285181</v>
      </c>
      <c r="R105" s="124" t="n">
        <f aca="false">IF(ISNUMBER(R103),INDEX(DC_Cost!$C$58:$Q$58,3*(R$6-1)+2)/3600*R103,R103)</f>
        <v>0.782723800463826</v>
      </c>
      <c r="S105" s="124" t="n">
        <f aca="false">IF(ISNUMBER(S103),INDEX(DC_Cost!$C$58:$Q$58,3*(S$6-1)+2)/3600*S103,S103)</f>
        <v>0.346558697994691</v>
      </c>
      <c r="T105" s="124" t="n">
        <f aca="false">IF(ISNUMBER(T103),INDEX(DC_Cost!$C$58:$Q$58,3*(T$6-1)+2)/3600*T103,T103)</f>
        <v>0.479962795341157</v>
      </c>
      <c r="U105" s="124" t="n">
        <f aca="false">IF(ISNUMBER(U103),INDEX(DC_Cost!$C$58:$Q$58,3*(U$6-1)+2)/3600*U103,U103)</f>
        <v>0.234998073057728</v>
      </c>
      <c r="V105" s="124" t="n">
        <f aca="false">IF(ISNUMBER(V103),INDEX(DC_Cost!$C$58:$Q$58,3*(V$6-1)+2)/3600*V103,V103)</f>
        <v>0.314066353708376</v>
      </c>
      <c r="W105" s="124" t="n">
        <f aca="false">IF(ISNUMBER(W103),INDEX(DC_Cost!$C$58:$Q$58,3*(W$6-1)+2)/3600*W103,W103)</f>
        <v>0.282774407366722</v>
      </c>
      <c r="X105" s="124" t="n">
        <f aca="false">IF(ISNUMBER(X103),INDEX(DC_Cost!$C$58:$Q$58,3*(X$6-1)+2)/3600*X103,X103)</f>
        <v>0.383872161500827</v>
      </c>
      <c r="Y105" s="124" t="n">
        <f aca="false">IF(ISNUMBER(Y103),INDEX(DC_Cost!$C$58:$Q$58,3*(Y$6-1)+2)/3600*Y103,Y103)</f>
        <v>0.291089775113376</v>
      </c>
      <c r="Z105" s="124" t="n">
        <f aca="false">IF(ISNUMBER(Z103),INDEX(DC_Cost!$C$58:$Q$58,3*(Z$6-1)+2)/3600*Z103,Z103)</f>
        <v>0.395160446817406</v>
      </c>
      <c r="AA105" s="124" t="n">
        <f aca="false">IF(ISNUMBER(AA103),INDEX(DC_Cost!$C$58:$Q$58,3*(AA$6-1)+2)/3600*AA103,AA103)</f>
        <v>0.449562637108025</v>
      </c>
      <c r="AB105" s="124" t="n">
        <f aca="false">IF(ISNUMBER(AB103),INDEX(DC_Cost!$C$58:$Q$58,3*(AB$6-1)+2)/3600*AB103,AB103)</f>
        <v>0.616232695152718</v>
      </c>
      <c r="AC105" s="124" t="n">
        <f aca="false">IF(ISNUMBER(AC103),INDEX(DC_Cost!$C$58:$Q$58,3*(AC$6-1)+2)/3600*AC103,AC103)</f>
        <v>1.37960829543652</v>
      </c>
      <c r="AD105" s="124" t="n">
        <f aca="false">IF(ISNUMBER(AD103),INDEX(DC_Cost!$C$58:$Q$58,3*(AD$6-1)+2)/3600*AD103,AD103)</f>
        <v>2.24594032142734</v>
      </c>
      <c r="AE105" s="124" t="n">
        <f aca="false">IF(ISNUMBER(AE103),INDEX(DC_Cost!$C$58:$Q$58,3*(AE$6-1)+2)/3600*AE103,AE103)</f>
        <v>1.37960829543652</v>
      </c>
      <c r="AF105" s="124" t="n">
        <f aca="false">IF(ISNUMBER(AF103),INDEX(DC_Cost!$C$58:$Q$58,3*(AF$6-1)+2)/3600*AF103,AF103)</f>
        <v>2.24594032142734</v>
      </c>
      <c r="AG105" s="124" t="n">
        <f aca="false">IF(ISNUMBER(AG103),INDEX(DC_Cost!$C$58:$Q$58,3*(AG$6-1)+2)/3600*AG103,AG103)</f>
        <v>1.47526876532616</v>
      </c>
      <c r="AH105" s="124" t="n">
        <f aca="false">IF(ISNUMBER(AH103),INDEX(DC_Cost!$C$58:$Q$58,3*(AH$6-1)+2)/3600*AH103,AH103)</f>
        <v>2.24594032142734</v>
      </c>
    </row>
    <row r="106" customFormat="false" ht="15" hidden="false" customHeight="false" outlineLevel="0" collapsed="false">
      <c r="A106" s="76" t="s">
        <v>939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</row>
    <row r="107" customFormat="false" ht="15" hidden="false" customHeight="false" outlineLevel="0" collapsed="false">
      <c r="A107" s="61" t="s">
        <v>940</v>
      </c>
      <c r="B107" s="62" t="s">
        <v>941</v>
      </c>
      <c r="C107" s="108" t="n">
        <f aca="false">C23*Energy!$C$5/(C14*1000000000000000)*1000000000000</f>
        <v>0.0308571428571429</v>
      </c>
      <c r="D107" s="108" t="n">
        <f aca="false">D23*Energy!$C$5/(D14*1000000000000000)*1000000000000</f>
        <v>0.056</v>
      </c>
      <c r="E107" s="108" t="n">
        <f aca="false">E23*Energy!$C$5/(E14*1000000000000000)*1000000000000</f>
        <v>0.0308571428571429</v>
      </c>
      <c r="F107" s="108" t="n">
        <f aca="false">F23*Energy!$C$5/(F14*1000000000000000)*1000000000000</f>
        <v>0.056</v>
      </c>
      <c r="G107" s="108" t="n">
        <f aca="false">G23*Energy!$C$5/(G14*1000000000000000)*1000000000000</f>
        <v>0.0308571428571429</v>
      </c>
      <c r="H107" s="108" t="n">
        <f aca="false">H23*Energy!$C$5/(H14*1000000000000000)*1000000000000</f>
        <v>0.056</v>
      </c>
      <c r="I107" s="108" t="n">
        <f aca="false">I23*Energy!$C$5/(I14*1000000000000000)*1000000000000</f>
        <v>0.0308571428571429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0.0308571428571429</v>
      </c>
      <c r="L107" s="108" t="n">
        <f aca="false">L23*Energy!$C$5/(L14*1000000000000000)*1000000000000</f>
        <v>0.056</v>
      </c>
      <c r="M107" s="108" t="n">
        <f aca="false">M23*Energy!$C$5/(M14*1000000000000000)*1000000000000</f>
        <v>0.0216</v>
      </c>
      <c r="N107" s="108" t="n">
        <f aca="false">N23*Energy!$C$5/(N14*1000000000000000)*1000000000000</f>
        <v>0.056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0.056</v>
      </c>
      <c r="Q107" s="108" t="n">
        <f aca="false">Q23*Energy!$C$5/(Q14*1000000000000000)*1000000000000</f>
        <v>0.0308571428571429</v>
      </c>
      <c r="R107" s="108" t="n">
        <f aca="false">R23*Energy!$C$5/(R14*1000000000000000)*1000000000000</f>
        <v>0.056</v>
      </c>
      <c r="S107" s="108" t="n">
        <f aca="false">S23*Energy!$C$5/(S14*1000000000000000)*1000000000000</f>
        <v>0.0308571428571429</v>
      </c>
      <c r="T107" s="108" t="n">
        <f aca="false">T23*Energy!$C$5/(T14*1000000000000000)*1000000000000</f>
        <v>0.056</v>
      </c>
      <c r="U107" s="108" t="n">
        <f aca="false">U23*Energy!$C$5/(U14*1000000000000000)*1000000000000</f>
        <v>0.0308571428571429</v>
      </c>
      <c r="V107" s="108" t="n">
        <f aca="false">V23*Energy!$C$5/(V14*1000000000000000)*1000000000000</f>
        <v>0.056</v>
      </c>
      <c r="W107" s="108" t="n">
        <f aca="false">W23*Energy!$C$5/(W14*1000000000000000)*1000000000000</f>
        <v>0.0308571428571429</v>
      </c>
      <c r="X107" s="108" t="n">
        <f aca="false">X23*Energy!$C$5/(X14*1000000000000000)*1000000000000</f>
        <v>0.056</v>
      </c>
      <c r="Y107" s="108" t="n">
        <f aca="false">Y23*Energy!$C$5/(Y14*1000000000000000)*1000000000000</f>
        <v>0.0308571428571429</v>
      </c>
      <c r="Z107" s="108" t="n">
        <f aca="false">Z23*Energy!$C$5/(Z14*1000000000000000)*1000000000000</f>
        <v>0.056</v>
      </c>
      <c r="AA107" s="108" t="n">
        <f aca="false">AA23*Energy!$C$5/(AA14*1000000000000000)*1000000000000</f>
        <v>0.0308571428571429</v>
      </c>
      <c r="AB107" s="108" t="n">
        <f aca="false">AB23*Energy!$C$5/(AB14*1000000000000000)*1000000000000</f>
        <v>0.056</v>
      </c>
      <c r="AC107" s="108" t="n">
        <f aca="false">AC23*Energy!$C$5/(AC14*1000000000000000)*1000000000000</f>
        <v>0.0308571428571429</v>
      </c>
      <c r="AD107" s="108" t="n">
        <f aca="false">AD23*Energy!$C$5/(AD14*1000000000000000)*1000000000000</f>
        <v>0.056</v>
      </c>
      <c r="AE107" s="108" t="n">
        <f aca="false">AE23*Energy!$C$5/(AE14*1000000000000000)*1000000000000</f>
        <v>0.0308571428571429</v>
      </c>
      <c r="AF107" s="108" t="n">
        <f aca="false">AF23*Energy!$C$5/(AF14*1000000000000000)*1000000000000</f>
        <v>0.056</v>
      </c>
      <c r="AG107" s="108" t="n">
        <f aca="false">AG23*Energy!$C$5/(AG14*1000000000000000)*1000000000000</f>
        <v>0.0308571428571429</v>
      </c>
      <c r="AH107" s="108" t="n">
        <f aca="false">AH23*Energy!$C$5/(AH14*1000000000000000)*1000000000000</f>
        <v>0.056</v>
      </c>
    </row>
    <row r="108" customFormat="false" ht="15" hidden="false" customHeight="false" outlineLevel="0" collapsed="false">
      <c r="A108" s="62" t="s">
        <v>942</v>
      </c>
      <c r="B108" s="62" t="s">
        <v>871</v>
      </c>
      <c r="C108" s="89" t="n">
        <f aca="false">IF(C$6=1,Energy!$C$7,Energy!$C$6)</f>
        <v>10</v>
      </c>
      <c r="D108" s="89" t="n">
        <f aca="false">IF(D$6=1,Energy!$C$7,Energy!$C$6)</f>
        <v>10</v>
      </c>
      <c r="E108" s="89" t="n">
        <f aca="false">IF(E$6=1,Energy!$C$7,Energy!$C$6)</f>
        <v>10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  <c r="R108" s="89" t="n">
        <f aca="false">IF(R$6=1,Energy!$C$7,Energy!$C$6)</f>
        <v>10</v>
      </c>
      <c r="S108" s="89" t="n">
        <f aca="false">IF(S$6=1,Energy!$C$7,Energy!$C$6)</f>
        <v>10</v>
      </c>
      <c r="T108" s="89" t="n">
        <f aca="false">IF(T$6=1,Energy!$C$7,Energy!$C$6)</f>
        <v>10</v>
      </c>
      <c r="U108" s="89" t="n">
        <f aca="false">IF(U$6=1,Energy!$C$7,Energy!$C$6)</f>
        <v>10</v>
      </c>
      <c r="V108" s="89" t="n">
        <f aca="false">IF(V$6=1,Energy!$C$7,Energy!$C$6)</f>
        <v>10</v>
      </c>
      <c r="W108" s="89" t="n">
        <f aca="false">IF(W$6=1,Energy!$C$7,Energy!$C$6)</f>
        <v>10</v>
      </c>
      <c r="X108" s="89" t="n">
        <f aca="false">IF(X$6=1,Energy!$C$7,Energy!$C$6)</f>
        <v>10</v>
      </c>
      <c r="Y108" s="89" t="n">
        <f aca="false">IF(Y$6=1,Energy!$C$7,Energy!$C$6)</f>
        <v>10</v>
      </c>
      <c r="Z108" s="89" t="n">
        <f aca="false">IF(Z$6=1,Energy!$C$7,Energy!$C$6)</f>
        <v>10</v>
      </c>
      <c r="AA108" s="89" t="n">
        <f aca="false">IF(AA$6=1,Energy!$C$7,Energy!$C$6)</f>
        <v>10</v>
      </c>
      <c r="AB108" s="89" t="n">
        <f aca="false">IF(AB$6=1,Energy!$C$7,Energy!$C$6)</f>
        <v>10</v>
      </c>
      <c r="AC108" s="89" t="n">
        <f aca="false">IF(AC$6=1,Energy!$C$7,Energy!$C$6)</f>
        <v>10</v>
      </c>
      <c r="AD108" s="89" t="n">
        <f aca="false">IF(AD$6=1,Energy!$C$7,Energy!$C$6)</f>
        <v>10</v>
      </c>
      <c r="AE108" s="89" t="n">
        <f aca="false">IF(AE$6=1,Energy!$C$7,Energy!$C$6)</f>
        <v>10</v>
      </c>
      <c r="AF108" s="89" t="n">
        <f aca="false">IF(AF$6=1,Energy!$C$7,Energy!$C$6)</f>
        <v>10</v>
      </c>
      <c r="AG108" s="89" t="n">
        <f aca="false">IF(AG$6=1,Energy!$C$7,Energy!$C$6)</f>
        <v>10</v>
      </c>
      <c r="AH108" s="89" t="n">
        <f aca="false">IF(AH$6=1,Energy!$C$7,Energy!$C$6)</f>
        <v>10</v>
      </c>
    </row>
    <row r="109" customFormat="false" ht="15" hidden="false" customHeight="false" outlineLevel="0" collapsed="false">
      <c r="A109" s="62" t="s">
        <v>943</v>
      </c>
      <c r="B109" s="62" t="s">
        <v>539</v>
      </c>
      <c r="C109" s="75" t="n">
        <f aca="false">(C47+1)*C65/C49</f>
        <v>210.622552323537</v>
      </c>
      <c r="D109" s="75" t="n">
        <f aca="false">(D47+1)*D65/D49</f>
        <v>210.622552323537</v>
      </c>
      <c r="E109" s="75" t="n">
        <f aca="false">(E47+1)*E65/E49</f>
        <v>210.622552323537</v>
      </c>
      <c r="F109" s="75" t="n">
        <f aca="false">(F47+1)*F65/F49</f>
        <v>210.622552323537</v>
      </c>
      <c r="G109" s="75" t="n">
        <f aca="false">(G47+1)*G65/G49</f>
        <v>210.622552323537</v>
      </c>
      <c r="H109" s="75" t="n">
        <f aca="false">(H47+1)*H65/H49</f>
        <v>210.622552323537</v>
      </c>
      <c r="I109" s="75" t="n">
        <f aca="false">(I47+1)*I65/I49</f>
        <v>210.622552323537</v>
      </c>
      <c r="J109" s="75" t="n">
        <f aca="false">(J47+1)*J65/J49</f>
        <v>210.622552323537</v>
      </c>
      <c r="K109" s="75" t="n">
        <f aca="false">(K47+1)*K65/K49</f>
        <v>210.622552323537</v>
      </c>
      <c r="L109" s="75" t="n">
        <f aca="false">(L47+1)*L65/L49</f>
        <v>210.622552323537</v>
      </c>
      <c r="M109" s="75" t="n">
        <f aca="false">(M47+1)*M65/M49</f>
        <v>210.622552323537</v>
      </c>
      <c r="N109" s="75" t="n">
        <f aca="false">(N47+1)*N65/N49</f>
        <v>210.622552323537</v>
      </c>
      <c r="O109" s="75" t="n">
        <f aca="false">(O47+1)*O65/O49</f>
        <v>210.622552323537</v>
      </c>
      <c r="P109" s="75" t="n">
        <f aca="false">(P47+1)*P65/P49</f>
        <v>210.622552323537</v>
      </c>
      <c r="Q109" s="75" t="n">
        <f aca="false">(Q47+1)*Q65/Q49</f>
        <v>210.622552323537</v>
      </c>
      <c r="R109" s="75" t="n">
        <f aca="false">(R47+1)*R65/R49</f>
        <v>210.622552323537</v>
      </c>
      <c r="S109" s="75" t="n">
        <f aca="false">(S47+1)*S65/S49</f>
        <v>245.177814814118</v>
      </c>
      <c r="T109" s="75" t="n">
        <f aca="false">(T47+1)*T65/T49</f>
        <v>245.177814814118</v>
      </c>
      <c r="U109" s="75" t="n">
        <f aca="false">(U47+1)*U65/U49</f>
        <v>180.727278128564</v>
      </c>
      <c r="V109" s="75" t="n">
        <f aca="false">(V47+1)*V65/V49</f>
        <v>180.727278128564</v>
      </c>
      <c r="W109" s="75" t="n">
        <f aca="false">(W47+1)*W65/W49</f>
        <v>209.391066253088</v>
      </c>
      <c r="X109" s="75" t="n">
        <f aca="false">(X47+1)*X65/X49</f>
        <v>209.391066253088</v>
      </c>
      <c r="Y109" s="75" t="n">
        <f aca="false">(Y47+1)*Y65/Y49</f>
        <v>215.548496605334</v>
      </c>
      <c r="Z109" s="75" t="n">
        <f aca="false">(Z47+1)*Z65/Z49</f>
        <v>215.548496605334</v>
      </c>
      <c r="AA109" s="75" t="n">
        <f aca="false">(AA47+1)*AA65/AA49</f>
        <v>210.622552323537</v>
      </c>
      <c r="AB109" s="75" t="n">
        <f aca="false">(AB47+1)*AB65/AB49</f>
        <v>210.622552323537</v>
      </c>
      <c r="AC109" s="75" t="n">
        <f aca="false">(AC47+1)*AC65/AC49</f>
        <v>838.732890959337</v>
      </c>
      <c r="AD109" s="75" t="n">
        <f aca="false">(AD47+1)*AD65/AD49</f>
        <v>838.732890959337</v>
      </c>
      <c r="AE109" s="75" t="n">
        <f aca="false">(AE47+1)*AE65/AE49</f>
        <v>838.732890959337</v>
      </c>
      <c r="AF109" s="75" t="n">
        <f aca="false">(AF47+1)*AF65/AF49</f>
        <v>838.732890959337</v>
      </c>
      <c r="AG109" s="75" t="n">
        <f aca="false">(AG47+1)*AG65/AG49</f>
        <v>838.732890959337</v>
      </c>
      <c r="AH109" s="75" t="n">
        <f aca="false">(AH47+1)*AH65/AH49</f>
        <v>838.732890959337</v>
      </c>
    </row>
    <row r="110" customFormat="false" ht="15" hidden="false" customHeight="false" outlineLevel="0" collapsed="false">
      <c r="A110" s="62" t="s">
        <v>944</v>
      </c>
      <c r="B110" s="62" t="s">
        <v>332</v>
      </c>
      <c r="C110" s="107" t="n">
        <f aca="false">IF(C87&gt;0,(C72+C87*C34*C45/1000000000)/(C87*C49),0)</f>
        <v>0.203106395056647</v>
      </c>
      <c r="D110" s="107" t="n">
        <f aca="false">IF(D87&gt;0,(D72+D87*D34*D45/1000000000)/(D87*D49),0)</f>
        <v>0.474778424655969</v>
      </c>
      <c r="E110" s="107" t="n">
        <f aca="false">IF(E87&gt;0,(E72+E87*E34*E45/1000000000)/(E87*E49),0)</f>
        <v>0.378963394140139</v>
      </c>
      <c r="F110" s="107" t="n">
        <f aca="false">IF(F87&gt;0,(F72+F87*F34*F45/1000000000)/(F87*F49),0)</f>
        <v>0.474778424655969</v>
      </c>
      <c r="G110" s="107" t="n">
        <f aca="false">IF(G87&gt;0,(G72+G87*G34*G45/1000000000)/(G87*G49),0)</f>
        <v>0.144487395362149</v>
      </c>
      <c r="H110" s="107" t="n">
        <f aca="false">IF(H87&gt;0,(H72+H87*H34*H45/1000000000)/(H87*H49),0)</f>
        <v>0.474778424655969</v>
      </c>
      <c r="I110" s="107" t="n">
        <f aca="false">IF(I87&gt;0,(I72+I87*I34*I45/1000000000)/(I87*I49),0)</f>
        <v>0.192017226977615</v>
      </c>
      <c r="J110" s="107" t="n">
        <f aca="false">IF(J87&gt;0,(J72+J87*J34*J45/1000000000)/(J87*J49),0)</f>
        <v>0.474778424655969</v>
      </c>
      <c r="K110" s="107" t="n">
        <f aca="false">IF(K87&gt;0,(K72+K87*K34*K45/1000000000)/(K87*K49),0)</f>
        <v>0.225324394550066</v>
      </c>
      <c r="L110" s="107" t="n">
        <f aca="false">IF(L87&gt;0,(L72+L87*L34*L45/1000000000)/(L87*L49),0)</f>
        <v>0.474778424655969</v>
      </c>
      <c r="M110" s="107" t="n">
        <f aca="false">IF(M87&gt;0,(M72+M87*M34*M45/1000000000)/(M87*M49),0)</f>
        <v>0.150349295331599</v>
      </c>
      <c r="N110" s="107" t="n">
        <f aca="false">IF(N87&gt;0,(N72+N87*N34*N45/1000000000)/(N87*N49),0)</f>
        <v>0.474778424655969</v>
      </c>
      <c r="O110" s="107" t="n">
        <f aca="false">IF(O87&gt;0,(O72+O87*O34*O45/1000000000)/(O87*O49),0)</f>
        <v>0.186353236322913</v>
      </c>
      <c r="P110" s="107" t="n">
        <f aca="false">IF(P87&gt;0,(P72+P87*P34*P45/1000000000)/(P87*P49),0)</f>
        <v>0.428677600306284</v>
      </c>
      <c r="Q110" s="107" t="n">
        <f aca="false">IF(Q87&gt;0,(Q72+Q87*Q34*Q45/1000000000)/(Q87*Q49),0)</f>
        <v>0.657518435933998</v>
      </c>
      <c r="R110" s="107" t="n">
        <f aca="false">IF(R87&gt;0,(R72+R87*R34*R45/1000000000)/(R87*R49),0)</f>
        <v>2.12180342684128</v>
      </c>
      <c r="S110" s="107" t="n">
        <f aca="false">IF(S87&gt;0,(S72+S87*S34*S45/1000000000)/(S87*S49),0)</f>
        <v>0.281136933969751</v>
      </c>
      <c r="T110" s="107" t="n">
        <f aca="false">IF(T87&gt;0,(T72+T87*T34*T45/1000000000)/(T87*T49),0)</f>
        <v>0.679267666413866</v>
      </c>
      <c r="U110" s="107" t="n">
        <f aca="false">IF(U87&gt;0,(U72+U87*U34*U45/1000000000)/(U87*U49),0)</f>
        <v>0.148049961424163</v>
      </c>
      <c r="V110" s="107" t="n">
        <f aca="false">IF(V87&gt;0,(V72+V87*V34*V45/1000000000)/(V87*V49),0)</f>
        <v>0.335722049114793</v>
      </c>
      <c r="W110" s="107" t="n">
        <f aca="false">IF(W87&gt;0,(W72+W87*W34*W45/1000000000)/(W87*W49),0)</f>
        <v>0.182843311469932</v>
      </c>
      <c r="X110" s="107" t="n">
        <f aca="false">IF(X87&gt;0,(X72+X87*X34*X45/1000000000)/(X87*X49),0)</f>
        <v>0.452926905659601</v>
      </c>
      <c r="Y110" s="107" t="n">
        <f aca="false">IF(Y87&gt;0,(Y72+Y87*Y34*Y45/1000000000)/(Y87*Y49),0)</f>
        <v>0.284158729403508</v>
      </c>
      <c r="Z110" s="107" t="n">
        <f aca="false">IF(Z87&gt;0,(Z72+Z87*Z34*Z45/1000000000)/(Z87*Z49),0)</f>
        <v>0.562184500641443</v>
      </c>
      <c r="AA110" s="107" t="n">
        <f aca="false">IF(AA87&gt;0,(AA72+AA87*AA34*AA45/1000000000)/(AA87*AA49),0)</f>
        <v>0.305197070123775</v>
      </c>
      <c r="AB110" s="107" t="n">
        <f aca="false">IF(AB87&gt;0,(AB72+AB87*AB34*AB45/1000000000)/(AB87*AB49),0)</f>
        <v>0.741470381365601</v>
      </c>
      <c r="AC110" s="107" t="n">
        <f aca="false">IF(AC87&gt;0,(AC72+AC87*AC34*AC45/1000000000)/(AC87*AC49),0)</f>
        <v>2.18946296315857</v>
      </c>
      <c r="AD110" s="107" t="n">
        <f aca="false">IF(AD87&gt;0,(AD72+AD87*AD34*AD45/1000000000)/(AD87*AD49),0)</f>
        <v>6.25947034926001</v>
      </c>
      <c r="AE110" s="107" t="n">
        <f aca="false">IF(AE87&gt;0,(AE72+AE87*AE34*AE45/1000000000)/(AE87*AE49),0)</f>
        <v>2.775328412823</v>
      </c>
      <c r="AF110" s="107" t="n">
        <f aca="false">IF(AF87&gt;0,(AF72+AF87*AF34*AF45/1000000000)/(AF87*AF49),0)</f>
        <v>6.84533579892444</v>
      </c>
      <c r="AG110" s="107" t="n">
        <f aca="false">IF(AG87&gt;0,(AG72+AG87*AG34*AG45/1000000000)/(AG87*AG49),0)</f>
        <v>5.18661390019471</v>
      </c>
      <c r="AH110" s="107" t="n">
        <f aca="false">IF(AH87&gt;0,(AH72+AH87*AH34*AH45/1000000000)/(AH87*AH49),0)</f>
        <v>8.86859485932713</v>
      </c>
    </row>
    <row r="111" customFormat="false" ht="15" hidden="false" customHeight="false" outlineLevel="0" collapsed="false">
      <c r="A111" s="62" t="s">
        <v>945</v>
      </c>
      <c r="B111" s="62" t="s">
        <v>332</v>
      </c>
      <c r="C111" s="73" t="n">
        <f aca="false">(C47+1)*C29*C31*C30*C59/C49/1000000000</f>
        <v>0.0124286837741808</v>
      </c>
      <c r="D111" s="73" t="n">
        <f aca="false">(D47+1)*D29*D31*D30*D59/D49/1000000000</f>
        <v>0.0124286837741808</v>
      </c>
      <c r="E111" s="73" t="n">
        <f aca="false">(E47+1)*E29*E31*E30*E59/E49/1000000000</f>
        <v>0.0124286837741808</v>
      </c>
      <c r="F111" s="73" t="n">
        <f aca="false">(F47+1)*F29*F31*F30*F59/F49/1000000000</f>
        <v>0.0124286837741808</v>
      </c>
      <c r="G111" s="73" t="n">
        <f aca="false">(G47+1)*G29*G31*G30*G59/G49/1000000000</f>
        <v>0.0124286837741808</v>
      </c>
      <c r="H111" s="73" t="n">
        <f aca="false">(H47+1)*H29*H31*H30*H59/H49/1000000000</f>
        <v>0.0124286837741808</v>
      </c>
      <c r="I111" s="73" t="n">
        <f aca="false">(I47+1)*I29*I31*I30*I59/I49/1000000000</f>
        <v>0.0124286837741808</v>
      </c>
      <c r="J111" s="73" t="n">
        <f aca="false">(J47+1)*J29*J31*J30*J59/J49/1000000000</f>
        <v>0.0124286837741808</v>
      </c>
      <c r="K111" s="73" t="n">
        <f aca="false">(K47+1)*K29*K31*K30*K59/K49/1000000000</f>
        <v>0.0124286837741808</v>
      </c>
      <c r="L111" s="73" t="n">
        <f aca="false">(L47+1)*L29*L31*L30*L59/L49/1000000000</f>
        <v>0.0124286837741808</v>
      </c>
      <c r="M111" s="73" t="n">
        <f aca="false">(M47+1)*M29*M31*M30*M59/M49/1000000000</f>
        <v>0.0124286837741808</v>
      </c>
      <c r="N111" s="73" t="n">
        <f aca="false">(N47+1)*N29*N31*N30*N59/N49/1000000000</f>
        <v>0.0124286837741808</v>
      </c>
      <c r="O111" s="73" t="n">
        <f aca="false">(O47+1)*O29*O31*O30*O59/O49/1000000000</f>
        <v>0.0124286837741808</v>
      </c>
      <c r="P111" s="73" t="n">
        <f aca="false">(P47+1)*P29*P31*P30*P59/P49/1000000000</f>
        <v>0.0124286837741808</v>
      </c>
      <c r="Q111" s="73" t="n">
        <f aca="false">(Q47+1)*Q29*Q31*Q30*Q59/Q49/1000000000</f>
        <v>0.0124286837741808</v>
      </c>
      <c r="R111" s="73" t="n">
        <f aca="false">(R47+1)*R29*R31*R30*R59/R49/1000000000</f>
        <v>0.0124286837741808</v>
      </c>
      <c r="S111" s="73" t="n">
        <f aca="false">(S47+1)*S29*S31*S30*S59/S49/1000000000</f>
        <v>0.0144677647058824</v>
      </c>
      <c r="T111" s="73" t="n">
        <f aca="false">(T47+1)*T29*T31*T30*T59/T49/1000000000</f>
        <v>0.0144677647058824</v>
      </c>
      <c r="U111" s="73" t="n">
        <f aca="false">(U47+1)*U29*U31*U30*U59/U49/1000000000</f>
        <v>0.0106645853658537</v>
      </c>
      <c r="V111" s="73" t="n">
        <f aca="false">(V47+1)*V29*V31*V30*V59/V49/1000000000</f>
        <v>0.0106645853658537</v>
      </c>
      <c r="W111" s="73" t="n">
        <f aca="false">(W47+1)*W29*W31*W30*W59/W49/1000000000</f>
        <v>0.0124286837741808</v>
      </c>
      <c r="X111" s="73" t="n">
        <f aca="false">(X47+1)*X29*X31*X30*X59/X49/1000000000</f>
        <v>0.0124286837741808</v>
      </c>
      <c r="Y111" s="73" t="n">
        <f aca="false">(Y47+1)*Y29*Y31*Y30*Y59/Y49/1000000000</f>
        <v>0.0124286837741808</v>
      </c>
      <c r="Z111" s="73" t="n">
        <f aca="false">(Z47+1)*Z29*Z31*Z30*Z59/Z49/1000000000</f>
        <v>0.0124286837741808</v>
      </c>
      <c r="AA111" s="73" t="n">
        <f aca="false">(AA47+1)*AA29*AA31*AA30*AA59/AA49/1000000000</f>
        <v>0.0124286837741808</v>
      </c>
      <c r="AB111" s="73" t="n">
        <f aca="false">(AB47+1)*AB29*AB31*AB30*AB59/AB49/1000000000</f>
        <v>0.0124286837741808</v>
      </c>
      <c r="AC111" s="73" t="n">
        <f aca="false">(AC47+1)*AC29*AC31*AC30*AC59/AC49/1000000000</f>
        <v>0.0931423608369523</v>
      </c>
      <c r="AD111" s="73" t="n">
        <f aca="false">(AD47+1)*AD29*AD31*AD30*AD59/AD49/1000000000</f>
        <v>0.0931423608369523</v>
      </c>
      <c r="AE111" s="73" t="n">
        <f aca="false">(AE47+1)*AE29*AE31*AE30*AE59/AE49/1000000000</f>
        <v>0.0931423608369523</v>
      </c>
      <c r="AF111" s="73" t="n">
        <f aca="false">(AF47+1)*AF29*AF31*AF30*AF59/AF49/1000000000</f>
        <v>0.0931423608369523</v>
      </c>
      <c r="AG111" s="73" t="n">
        <f aca="false">(AG47+1)*AG29*AG31*AG30*AG59/AG49/1000000000</f>
        <v>0.0931423608369523</v>
      </c>
      <c r="AH111" s="73" t="n">
        <f aca="false">(AH47+1)*AH29*AH31*AH30*AH59/AH49/1000000000</f>
        <v>0.0931423608369523</v>
      </c>
    </row>
    <row r="112" customFormat="false" ht="15" hidden="false" customHeight="false" outlineLevel="0" collapsed="false">
      <c r="A112" s="62" t="s">
        <v>946</v>
      </c>
      <c r="B112" s="62" t="s">
        <v>947</v>
      </c>
      <c r="C112" s="73" t="n">
        <f aca="false">(C109*C107+C110*C24+C111*C108)/1000</f>
        <v>0.0106856249248582</v>
      </c>
      <c r="D112" s="73" t="n">
        <f aca="false">(D109*D107+D110*D24+D111*D108)/1000</f>
        <v>0.0237886103842591</v>
      </c>
      <c r="E112" s="73" t="n">
        <f aca="false">(E109*E107+E110*E24+E111*E108)/1000</f>
        <v>0.014202764906528</v>
      </c>
      <c r="F112" s="73" t="n">
        <f aca="false">(F109*F107+F110*F24+F111*F108)/1000</f>
        <v>0.0237886103842591</v>
      </c>
      <c r="G112" s="73" t="n">
        <f aca="false">(G109*G107+G110*G24+G111*G108)/1000</f>
        <v>0.00951324493096823</v>
      </c>
      <c r="H112" s="73" t="n">
        <f aca="false">(H109*H107+H110*H24+H111*H108)/1000</f>
        <v>0.0237886103842591</v>
      </c>
      <c r="I112" s="73" t="n">
        <f aca="false">(I109*I107+I110*I24+I111*I108)/1000</f>
        <v>0.0104638415632776</v>
      </c>
      <c r="J112" s="73" t="n">
        <f aca="false">(J109*J107+J110*J24+J111*J108)/1000</f>
        <v>0.0237886103842591</v>
      </c>
      <c r="K112" s="73" t="n">
        <f aca="false">(K109*K107+K110*K24+K111*K108)/1000</f>
        <v>0.0111299849147266</v>
      </c>
      <c r="L112" s="73" t="n">
        <f aca="false">(L109*L107+L110*L24+L111*L108)/1000</f>
        <v>0.0237886103842591</v>
      </c>
      <c r="M112" s="73" t="n">
        <f aca="false">(M109*M107+M110*M24+M111*M108)/1000</f>
        <v>0.0076807198745622</v>
      </c>
      <c r="N112" s="73" t="n">
        <f aca="false">(N109*N107+N110*N24+N111*N108)/1000</f>
        <v>0.0237886103842591</v>
      </c>
      <c r="O112" s="73" t="n">
        <f aca="false">(O109*O107+O110*O24+O111*O108)/1000</f>
        <v>0.0103505617501835</v>
      </c>
      <c r="P112" s="73" t="n">
        <f aca="false">(P109*P107+P110*P24+P111*P108)/1000</f>
        <v>0.022636089775517</v>
      </c>
      <c r="Q112" s="73" t="n">
        <f aca="false">(Q109*Q107+Q110*Q24+Q111*Q108)/1000</f>
        <v>0.0197738657424052</v>
      </c>
      <c r="R112" s="73" t="n">
        <f aca="false">(R109*R107+R110*R24+R111*R108)/1000</f>
        <v>0.0649642354388919</v>
      </c>
      <c r="S112" s="73" t="n">
        <f aca="false">(S109*S107+S110*S24+S111*S108)/1000</f>
        <v>0.0133329031835752</v>
      </c>
      <c r="T112" s="73" t="n">
        <f aca="false">(T109*T107+T110*T24+T111*T108)/1000</f>
        <v>0.030856326936996</v>
      </c>
      <c r="U112" s="73" t="n">
        <f aca="false">(U109*U107+U110*U24+U111*U108)/1000</f>
        <v>0.00864437252153748</v>
      </c>
      <c r="V112" s="73" t="n">
        <f aca="false">(V109*V107+V110*V24+V111*V108)/1000</f>
        <v>0.0186204246567279</v>
      </c>
      <c r="W112" s="73" t="n">
        <f aca="false">(W109*W107+W110*W24+W111*W108)/1000</f>
        <v>0.0102423631115214</v>
      </c>
      <c r="X112" s="73" t="n">
        <f aca="false">(X109*X107+X110*X24+X111*X108)/1000</f>
        <v>0.0231733591894048</v>
      </c>
      <c r="Y112" s="73" t="n">
        <f aca="false">(Y109*Y107+Y110*Y24+Y111*Y108)/1000</f>
        <v>0.0124586721782051</v>
      </c>
      <c r="Z112" s="73" t="n">
        <f aca="false">(Z109*Z107+Z110*Z24+Z111*Z108)/1000</f>
        <v>0.0262496151636766</v>
      </c>
      <c r="AA112" s="73" t="n">
        <f aca="false">(AA109*AA107+AA110*AA24+AA111*AA108)/1000</f>
        <v>0.0127274384262007</v>
      </c>
      <c r="AB112" s="73" t="n">
        <f aca="false">(AB109*AB107+AB110*AB24+AB111*AB108)/1000</f>
        <v>0.0304559093019999</v>
      </c>
      <c r="AC112" s="73" t="n">
        <f aca="false">(AC109*AC107+AC110*AC24+AC111*AC108)/1000</f>
        <v>0.0706015835068576</v>
      </c>
      <c r="AD112" s="73" t="n">
        <f aca="false">(AD109*AD107+AD110*AD24+AD111*AD108)/1000</f>
        <v>0.204387224233593</v>
      </c>
      <c r="AE112" s="73" t="n">
        <f aca="false">(AE109*AE107+AE110*AE24+AE111*AE108)/1000</f>
        <v>0.0823188925001462</v>
      </c>
      <c r="AF112" s="73" t="n">
        <f aca="false">(AF109*AF107+AF110*AF24+AF111*AF108)/1000</f>
        <v>0.219033860475203</v>
      </c>
      <c r="AG112" s="73" t="n">
        <f aca="false">(AG109*AG107+AG110*AG24+AG111*AG108)/1000</f>
        <v>0.13054460224758</v>
      </c>
      <c r="AH112" s="73" t="n">
        <f aca="false">(AH109*AH107+AH110*AH24+AH111*AH108)/1000</f>
        <v>0.269615336985271</v>
      </c>
    </row>
    <row r="113" customFormat="false" ht="15" hidden="false" customHeight="false" outlineLevel="0" collapsed="false">
      <c r="A113" s="62" t="s">
        <v>948</v>
      </c>
      <c r="B113" s="62" t="s">
        <v>947</v>
      </c>
      <c r="C113" s="73" t="n">
        <f aca="false">C67*C107/1000</f>
        <v>0.00409757715802171</v>
      </c>
      <c r="D113" s="73" t="n">
        <f aca="false">D67*D107/1000</f>
        <v>0.00743634373122458</v>
      </c>
      <c r="E113" s="73" t="n">
        <f aca="false">E67*E107/1000</f>
        <v>0.00409757715802171</v>
      </c>
      <c r="F113" s="73" t="n">
        <f aca="false">F67*F107/1000</f>
        <v>0.00743634373122458</v>
      </c>
      <c r="G113" s="73" t="n">
        <f aca="false">G67*G107/1000</f>
        <v>0.00409757715802171</v>
      </c>
      <c r="H113" s="73" t="n">
        <f aca="false">H67*H107/1000</f>
        <v>0.00743634373122458</v>
      </c>
      <c r="I113" s="73" t="n">
        <f aca="false">I67*I107/1000</f>
        <v>0.00409757715802171</v>
      </c>
      <c r="J113" s="73" t="n">
        <f aca="false">J67*J107/1000</f>
        <v>0.00743634373122458</v>
      </c>
      <c r="K113" s="73" t="n">
        <f aca="false">K67*K107/1000</f>
        <v>0.00409757715802171</v>
      </c>
      <c r="L113" s="73" t="n">
        <f aca="false">L67*L107/1000</f>
        <v>0.00743634373122458</v>
      </c>
      <c r="M113" s="73" t="n">
        <f aca="false">M67*M107/1000</f>
        <v>0.00286830401061519</v>
      </c>
      <c r="N113" s="73" t="n">
        <f aca="false">N67*N107/1000</f>
        <v>0.00743634373122458</v>
      </c>
      <c r="O113" s="73" t="n">
        <f aca="false">O67*O107/1000</f>
        <v>0.00409757715802171</v>
      </c>
      <c r="P113" s="73" t="n">
        <f aca="false">P67*P107/1000</f>
        <v>0.00743634373122458</v>
      </c>
      <c r="Q113" s="73" t="n">
        <f aca="false">Q67*Q107/1000</f>
        <v>0.00409757715802171</v>
      </c>
      <c r="R113" s="73" t="n">
        <f aca="false">R67*R107/1000</f>
        <v>0.00743634373122458</v>
      </c>
      <c r="S113" s="73" t="n">
        <f aca="false">S67*S107/1000</f>
        <v>0.00409757715802171</v>
      </c>
      <c r="T113" s="73" t="n">
        <f aca="false">T67*T107/1000</f>
        <v>0.00743634373122458</v>
      </c>
      <c r="U113" s="73" t="n">
        <f aca="false">U67*U107/1000</f>
        <v>0.00409757715802171</v>
      </c>
      <c r="V113" s="73" t="n">
        <f aca="false">V67*V107/1000</f>
        <v>0.00743634373122458</v>
      </c>
      <c r="W113" s="73" t="n">
        <f aca="false">W67*W107/1000</f>
        <v>0.0035572832529566</v>
      </c>
      <c r="X113" s="73" t="n">
        <f aca="false">X67*X107/1000</f>
        <v>0.00645581034795827</v>
      </c>
      <c r="Y113" s="73" t="n">
        <f aca="false">Y67*Y107/1000</f>
        <v>0.00414570433736119</v>
      </c>
      <c r="Z113" s="73" t="n">
        <f aca="false">Z67*Z107/1000</f>
        <v>0.00752368564928512</v>
      </c>
      <c r="AA113" s="73" t="n">
        <f aca="false">AA67*AA107/1000</f>
        <v>0.00409757715802171</v>
      </c>
      <c r="AB113" s="73" t="n">
        <f aca="false">AB67*AB107/1000</f>
        <v>0.00743634373122458</v>
      </c>
      <c r="AC113" s="73" t="n">
        <f aca="false">AC67*AC107/1000</f>
        <v>0.0135935167926857</v>
      </c>
      <c r="AD113" s="73" t="n">
        <f aca="false">AD67*AD107/1000</f>
        <v>0.0246697156608</v>
      </c>
      <c r="AE113" s="73" t="n">
        <f aca="false">AE67*AE107/1000</f>
        <v>0.0135935167926857</v>
      </c>
      <c r="AF113" s="73" t="n">
        <f aca="false">AF67*AF107/1000</f>
        <v>0.0246697156608</v>
      </c>
      <c r="AG113" s="73" t="n">
        <f aca="false">AG67*AG107/1000</f>
        <v>0.0135935167926857</v>
      </c>
      <c r="AH113" s="73" t="n">
        <f aca="false">AH67*AH107/1000</f>
        <v>0.0246697156608</v>
      </c>
    </row>
    <row r="114" customFormat="false" ht="15" hidden="false" customHeight="false" outlineLevel="0" collapsed="false">
      <c r="A114" s="61" t="s">
        <v>949</v>
      </c>
      <c r="B114" s="62" t="s">
        <v>875</v>
      </c>
      <c r="C114" s="75" t="n">
        <f aca="false">IF(ISNUMBER(C95),(C97*C113+C96*C112)/1000,C95)</f>
        <v>12.0560118044444</v>
      </c>
      <c r="D114" s="75" t="n">
        <f aca="false">IF(ISNUMBER(D95),(D97*D113+D96*D112)/1000,D95)</f>
        <v>9.21095930360585</v>
      </c>
      <c r="E114" s="75" t="n">
        <f aca="false">IF(ISNUMBER(E95),(E97*E113+E96*E112)/1000,E95)</f>
        <v>7.14209606004936</v>
      </c>
      <c r="F114" s="75" t="n">
        <f aca="false">IF(ISNUMBER(F95),(F97*F113+F96*F112)/1000,F95)</f>
        <v>9.21095930360585</v>
      </c>
      <c r="G114" s="75" t="n">
        <f aca="false">IF(ISNUMBER(G95),(G97*G113+G96*G112)/1000,G95)</f>
        <v>16.1775642206487</v>
      </c>
      <c r="H114" s="75" t="n">
        <f aca="false">IF(ISNUMBER(H95),(H97*H113+H96*H112)/1000,H95)</f>
        <v>9.21095930360585</v>
      </c>
      <c r="I114" s="75" t="n">
        <f aca="false">IF(ISNUMBER(I95),(I97*I113+I96*I112)/1000,I95)</f>
        <v>12.6523985759608</v>
      </c>
      <c r="J114" s="75" t="n">
        <f aca="false">IF(ISNUMBER(J95),(J97*J113+J96*J112)/1000,J95)</f>
        <v>9.21095930360585</v>
      </c>
      <c r="K114" s="75" t="n">
        <f aca="false">IF(ISNUMBER(K95),(K97*K113+K96*K112)/1000,K95)</f>
        <v>11.030118110851</v>
      </c>
      <c r="L114" s="75" t="n">
        <f aca="false">IF(ISNUMBER(L95),(L97*L113+L96*L112)/1000,L95)</f>
        <v>9.21095930360585</v>
      </c>
      <c r="M114" s="75" t="n">
        <f aca="false">IF(ISNUMBER(M95),(M97*M113+M96*M112)/1000,M95)</f>
        <v>12.1355689566513</v>
      </c>
      <c r="N114" s="75" t="n">
        <f aca="false">IF(ISNUMBER(N95),(N97*N113+N96*N112)/1000,N95)</f>
        <v>9.21095930360585</v>
      </c>
      <c r="O114" s="75" t="n">
        <f aca="false">IF(ISNUMBER(O95),(O97*O113+O96*O112)/1000,O95)</f>
        <v>12.1673706651367</v>
      </c>
      <c r="P114" s="75" t="n">
        <f aca="false">IF(ISNUMBER(P95),(P97*P113+P96*P112)/1000,P95)</f>
        <v>9.30739812624765</v>
      </c>
      <c r="Q114" s="75" t="n">
        <f aca="false">IF(ISNUMBER(Q95),(Q97*Q113+Q96*Q112)/1000,Q95)</f>
        <v>10.0155146239759</v>
      </c>
      <c r="R114" s="75" t="n">
        <f aca="false">IF(ISNUMBER(R95),(R97*R113+R96*R112)/1000,R95)</f>
        <v>7.40264189676591</v>
      </c>
      <c r="S114" s="75" t="n">
        <f aca="false">IF(ISNUMBER(S95),(S97*S113+S96*S112)/1000,S95)</f>
        <v>10.8383414746072</v>
      </c>
      <c r="T114" s="75" t="n">
        <f aca="false">IF(ISNUMBER(T95),(T97*T113+T96*T112)/1000,T95)</f>
        <v>8.30402987735436</v>
      </c>
      <c r="U114" s="75" t="n">
        <f aca="false">IF(ISNUMBER(U95),(U97*U113+U96*U112)/1000,U95)</f>
        <v>13.4122028985653</v>
      </c>
      <c r="V114" s="75" t="n">
        <f aca="false">IF(ISNUMBER(V95),(V97*V113+V96*V112)/1000,V95)</f>
        <v>10.238294829999</v>
      </c>
      <c r="W114" s="75" t="n">
        <f aca="false">IF(ISNUMBER(W95),(W97*W113+W96*W112)/1000,W95)</f>
        <v>5.61190948270311</v>
      </c>
      <c r="X114" s="75" t="n">
        <f aca="false">IF(ISNUMBER(X95),(X97*X113+X96*X112)/1000,X95)</f>
        <v>4.60158373745448</v>
      </c>
      <c r="Y114" s="75" t="n">
        <f aca="false">IF(ISNUMBER(Y95),(Y97*Y113+Y96*Y112)/1000,Y95)</f>
        <v>25.9069868913233</v>
      </c>
      <c r="Z114" s="75" t="n">
        <f aca="false">IF(ISNUMBER(Z95),(Z97*Z113+Z96*Z112)/1000,Z95)</f>
        <v>19.4697133368113</v>
      </c>
      <c r="AA114" s="75" t="n">
        <f aca="false">IF(ISNUMBER(AA95),(AA97*AA113+AA96*AA112)/1000,AA95)</f>
        <v>8.12311080572329</v>
      </c>
      <c r="AB114" s="75" t="n">
        <f aca="false">IF(ISNUMBER(AB95),(AB97*AB113+AB96*AB112)/1000,AB95)</f>
        <v>6.34216076816019</v>
      </c>
      <c r="AC114" s="75" t="n">
        <f aca="false">IF(ISNUMBER(AC95),(AC97*AC113+AC96*AC112)/1000,AC95)</f>
        <v>10.8579680783676</v>
      </c>
      <c r="AD114" s="75" t="n">
        <f aca="false">IF(ISNUMBER(AD95),(AD97*AD113+AD96*AD112)/1000,AD95)</f>
        <v>8.21531045547996</v>
      </c>
      <c r="AE114" s="75" t="n">
        <f aca="false">IF(ISNUMBER(AE95),(AE97*AE113+AE96*AE112)/1000,AE95)</f>
        <v>11.5673428604405</v>
      </c>
      <c r="AF114" s="75" t="n">
        <f aca="false">IF(ISNUMBER(AF95),(AF97*AF113+AF96*AF112)/1000,AF95)</f>
        <v>8.51482054016698</v>
      </c>
      <c r="AG114" s="75" t="n">
        <f aca="false">IF(ISNUMBER(AG95),(AG97*AG113+AG96*AG112)/1000,AG95)</f>
        <v>13.6600808948391</v>
      </c>
      <c r="AH114" s="75" t="n">
        <f aca="false">IF(ISNUMBER(AH95),(AH97*AH113+AH96*AH112)/1000,AH95)</f>
        <v>9.54916467647351</v>
      </c>
    </row>
    <row r="115" customFormat="false" ht="15" hidden="false" customHeight="false" outlineLevel="0" collapsed="false">
      <c r="A115" s="61" t="s">
        <v>950</v>
      </c>
      <c r="B115" s="62" t="s">
        <v>875</v>
      </c>
      <c r="C115" s="98" t="n">
        <f aca="false">C26*Inputs!$E$10</f>
        <v>181.6</v>
      </c>
      <c r="D115" s="98" t="n">
        <f aca="false">D26*Inputs!$E$10</f>
        <v>108.8</v>
      </c>
      <c r="E115" s="98" t="n">
        <f aca="false">E26*Inputs!$E$10</f>
        <v>181.6</v>
      </c>
      <c r="F115" s="98" t="n">
        <f aca="false">F26*Inputs!$E$10</f>
        <v>108.8</v>
      </c>
      <c r="G115" s="98" t="n">
        <f aca="false">G26*Inputs!$E$10</f>
        <v>181.6</v>
      </c>
      <c r="H115" s="98" t="n">
        <f aca="false">H26*Inputs!$E$10</f>
        <v>108.8</v>
      </c>
      <c r="I115" s="98" t="n">
        <f aca="false">I26*Inputs!$E$10</f>
        <v>181.6</v>
      </c>
      <c r="J115" s="98" t="n">
        <f aca="false">J26*Inputs!$E$10</f>
        <v>108.8</v>
      </c>
      <c r="K115" s="98" t="n">
        <f aca="false">K26*Inputs!$E$10</f>
        <v>181.6</v>
      </c>
      <c r="L115" s="98" t="n">
        <f aca="false">L26*Inputs!$E$10</f>
        <v>108.8</v>
      </c>
      <c r="M115" s="98" t="n">
        <f aca="false">M26*Inputs!$E$10</f>
        <v>181.6</v>
      </c>
      <c r="N115" s="98" t="n">
        <f aca="false">N26*Inputs!$E$10</f>
        <v>108.8</v>
      </c>
      <c r="O115" s="98" t="n">
        <f aca="false">O26*Inputs!$E$10</f>
        <v>181.6</v>
      </c>
      <c r="P115" s="98" t="n">
        <f aca="false">P26*Inputs!$E$10</f>
        <v>108.8</v>
      </c>
      <c r="Q115" s="98" t="n">
        <f aca="false">Q26*Inputs!$E$10</f>
        <v>181.6</v>
      </c>
      <c r="R115" s="98" t="n">
        <f aca="false">R26*Inputs!$E$10</f>
        <v>108.8</v>
      </c>
      <c r="S115" s="98" t="n">
        <f aca="false">S26*Inputs!$E$10</f>
        <v>181.6</v>
      </c>
      <c r="T115" s="98" t="n">
        <f aca="false">T26*Inputs!$E$10</f>
        <v>108.8</v>
      </c>
      <c r="U115" s="98" t="n">
        <f aca="false">U26*Inputs!$E$10</f>
        <v>181.6</v>
      </c>
      <c r="V115" s="98" t="n">
        <f aca="false">V26*Inputs!$E$10</f>
        <v>108.8</v>
      </c>
      <c r="W115" s="98" t="n">
        <f aca="false">W26*Inputs!$E$10</f>
        <v>181.6</v>
      </c>
      <c r="X115" s="98" t="n">
        <f aca="false">X26*Inputs!$E$10</f>
        <v>108.8</v>
      </c>
      <c r="Y115" s="98" t="n">
        <f aca="false">Y26*Inputs!$E$10</f>
        <v>181.6</v>
      </c>
      <c r="Z115" s="98" t="n">
        <f aca="false">Z26*Inputs!$E$10</f>
        <v>108.8</v>
      </c>
      <c r="AA115" s="98" t="n">
        <f aca="false">AA26*Inputs!$E$10</f>
        <v>181.6</v>
      </c>
      <c r="AB115" s="98" t="n">
        <f aca="false">AB26*Inputs!$E$10</f>
        <v>108.8</v>
      </c>
      <c r="AC115" s="98" t="n">
        <f aca="false">AC26*Inputs!$E$10</f>
        <v>181.6</v>
      </c>
      <c r="AD115" s="98" t="n">
        <f aca="false">AD26*Inputs!$E$10</f>
        <v>108.8</v>
      </c>
      <c r="AE115" s="98" t="n">
        <f aca="false">AE26*Inputs!$E$10</f>
        <v>181.6</v>
      </c>
      <c r="AF115" s="98" t="n">
        <f aca="false">AF26*Inputs!$E$10</f>
        <v>108.8</v>
      </c>
      <c r="AG115" s="98" t="n">
        <f aca="false">AG26*Inputs!$E$10</f>
        <v>181.6</v>
      </c>
      <c r="AH115" s="98" t="n">
        <f aca="false">AH26*Inputs!$E$10</f>
        <v>108.8</v>
      </c>
    </row>
    <row r="116" customFormat="false" ht="15" hidden="false" customHeight="false" outlineLevel="0" collapsed="false">
      <c r="A116" s="61" t="s">
        <v>951</v>
      </c>
      <c r="B116" s="62" t="s">
        <v>113</v>
      </c>
      <c r="C116" s="117" t="n">
        <f aca="false">IF(ISNUMBER(C114),IF(C115&gt;0,C114/C115,0),C114)</f>
        <v>0.0663877302006852</v>
      </c>
      <c r="D116" s="117" t="n">
        <f aca="false">IF(ISNUMBER(D114),IF(D115&gt;0,D114/D115,0),D114)</f>
        <v>0.0846595524228479</v>
      </c>
      <c r="E116" s="117" t="n">
        <f aca="false">IF(ISNUMBER(E114),IF(E115&gt;0,E114/E115,0),E114)</f>
        <v>0.0393287227976287</v>
      </c>
      <c r="F116" s="117" t="n">
        <f aca="false">IF(ISNUMBER(F114),IF(F115&gt;0,F114/F115,0),F114)</f>
        <v>0.0846595524228479</v>
      </c>
      <c r="G116" s="117" t="n">
        <f aca="false">IF(ISNUMBER(G114),IF(G115&gt;0,G114/G115,0),G114)</f>
        <v>0.089083503417669</v>
      </c>
      <c r="H116" s="117" t="n">
        <f aca="false">IF(ISNUMBER(H114),IF(H115&gt;0,H114/H115,0),H114)</f>
        <v>0.0846595524228479</v>
      </c>
      <c r="I116" s="117" t="n">
        <f aca="false">IF(ISNUMBER(I114),IF(I115&gt;0,I114/I115,0),I114)</f>
        <v>0.0696717983257751</v>
      </c>
      <c r="J116" s="117" t="n">
        <f aca="false">IF(ISNUMBER(J114),IF(J115&gt;0,J114/J115,0),J114)</f>
        <v>0.0846595524228479</v>
      </c>
      <c r="K116" s="117" t="n">
        <f aca="false">IF(ISNUMBER(K114),IF(K115&gt;0,K114/K115,0),K114)</f>
        <v>0.060738535852704</v>
      </c>
      <c r="L116" s="117" t="n">
        <f aca="false">IF(ISNUMBER(L114),IF(L115&gt;0,L114/L115,0),L114)</f>
        <v>0.0846595524228479</v>
      </c>
      <c r="M116" s="117" t="n">
        <f aca="false">IF(ISNUMBER(M114),IF(M115&gt;0,M114/M115,0),M114)</f>
        <v>0.066825820245877</v>
      </c>
      <c r="N116" s="117" t="n">
        <f aca="false">IF(ISNUMBER(N114),IF(N115&gt;0,N114/N115,0),N114)</f>
        <v>0.0846595524228479</v>
      </c>
      <c r="O116" s="117" t="n">
        <f aca="false">IF(ISNUMBER(O114),IF(O115&gt;0,O114/O115,0),O114)</f>
        <v>0.0670009397859949</v>
      </c>
      <c r="P116" s="117" t="n">
        <f aca="false">IF(ISNUMBER(P114),IF(P115&gt;0,P114/P115,0),P114)</f>
        <v>0.0855459386603644</v>
      </c>
      <c r="Q116" s="117" t="n">
        <f aca="false">IF(ISNUMBER(Q114),IF(Q115&gt;0,Q114/Q115,0),Q114)</f>
        <v>0.0551515122465634</v>
      </c>
      <c r="R116" s="117" t="n">
        <f aca="false">IF(ISNUMBER(R114),IF(R115&gt;0,R114/R115,0),R114)</f>
        <v>0.0680389880217455</v>
      </c>
      <c r="S116" s="117" t="n">
        <f aca="false">IF(ISNUMBER(S114),IF(S115&gt;0,S114/S115,0),S114)</f>
        <v>0.059682497106868</v>
      </c>
      <c r="T116" s="117" t="n">
        <f aca="false">IF(ISNUMBER(T114),IF(T115&gt;0,T114/T115,0),T114)</f>
        <v>0.0763238040198011</v>
      </c>
      <c r="U116" s="117" t="n">
        <f aca="false">IF(ISNUMBER(U114),IF(U115&gt;0,U114/U115,0),U114)</f>
        <v>0.0738557428335094</v>
      </c>
      <c r="V116" s="117" t="n">
        <f aca="false">IF(ISNUMBER(V114),IF(V115&gt;0,V114/V115,0),V114)</f>
        <v>0.0941019745404323</v>
      </c>
      <c r="W116" s="117" t="n">
        <f aca="false">IF(ISNUMBER(W114),IF(W115&gt;0,W114/W115,0),W114)</f>
        <v>0.0309025852571757</v>
      </c>
      <c r="X116" s="117" t="n">
        <f aca="false">IF(ISNUMBER(X114),IF(X115&gt;0,X114/X115,0),X114)</f>
        <v>0.0422939681751331</v>
      </c>
      <c r="Y116" s="117" t="n">
        <f aca="false">IF(ISNUMBER(Y114),IF(Y115&gt;0,Y114/Y115,0),Y114)</f>
        <v>0.142659619445613</v>
      </c>
      <c r="Z116" s="117" t="n">
        <f aca="false">IF(ISNUMBER(Z114),IF(Z115&gt;0,Z114/Z115,0),Z114)</f>
        <v>0.178949571110398</v>
      </c>
      <c r="AA116" s="117" t="n">
        <f aca="false">IF(ISNUMBER(AA114),IF(AA115&gt;0,AA114/AA115,0),AA114)</f>
        <v>0.0447307863751283</v>
      </c>
      <c r="AB116" s="117" t="n">
        <f aca="false">IF(ISNUMBER(AB114),IF(AB115&gt;0,AB114/AB115,0),AB114)</f>
        <v>0.0582919188250018</v>
      </c>
      <c r="AC116" s="117" t="n">
        <f aca="false">IF(ISNUMBER(AC114),IF(AC115&gt;0,AC114/AC115,0),AC114)</f>
        <v>0.0597905731187643</v>
      </c>
      <c r="AD116" s="117" t="n">
        <f aca="false">IF(ISNUMBER(AD114),IF(AD115&gt;0,AD114/AD115,0),AD114)</f>
        <v>0.0755083681569849</v>
      </c>
      <c r="AE116" s="117" t="n">
        <f aca="false">IF(ISNUMBER(AE114),IF(AE115&gt;0,AE114/AE115,0),AE114)</f>
        <v>0.0636968219187249</v>
      </c>
      <c r="AF116" s="117" t="n">
        <f aca="false">IF(ISNUMBER(AF114),IF(AF115&gt;0,AF114/AF115,0),AF114)</f>
        <v>0.0782612182000641</v>
      </c>
      <c r="AG116" s="117" t="n">
        <f aca="false">IF(ISNUMBER(AG114),IF(AG115&gt;0,AG114/AG115,0),AG114)</f>
        <v>0.0752207097733431</v>
      </c>
      <c r="AH116" s="117" t="n">
        <f aca="false">IF(ISNUMBER(AH114),IF(AH115&gt;0,AH114/AH115,0),AH114)</f>
        <v>0.0877680576881757</v>
      </c>
    </row>
    <row r="117" customFormat="false" ht="15" hidden="false" customHeight="false" outlineLevel="0" collapsed="false">
      <c r="A117" s="62" t="s">
        <v>952</v>
      </c>
      <c r="B117" s="62" t="s">
        <v>953</v>
      </c>
      <c r="C117" s="118" t="n">
        <f aca="false">IF(ISNUMBER(C95),C95/(C115*1000),C95)</f>
        <v>13.7460599701194</v>
      </c>
      <c r="D117" s="118" t="n">
        <f aca="false">IF(ISNUMBER(D95),D95/(D115*1000),D95)</f>
        <v>9.14915736221098</v>
      </c>
      <c r="E117" s="118" t="n">
        <f aca="false">IF(ISNUMBER(E95),E95/(E115*1000),E95)</f>
        <v>7.53369572017279</v>
      </c>
      <c r="F117" s="118" t="n">
        <f aca="false">IF(ISNUMBER(F95),F95/(F115*1000),F95)</f>
        <v>9.14915736221098</v>
      </c>
      <c r="G117" s="118" t="n">
        <f aca="false">IF(ISNUMBER(G95),G95/(G115*1000),G95)</f>
        <v>18.9566875462869</v>
      </c>
      <c r="H117" s="118" t="n">
        <f aca="false">IF(ISNUMBER(H95),H95/(H115*1000),H95)</f>
        <v>9.14915736221098</v>
      </c>
      <c r="I117" s="118" t="n">
        <f aca="false">IF(ISNUMBER(I95),I95/(I115*1000),I95)</f>
        <v>14.5000354249764</v>
      </c>
      <c r="J117" s="118" t="n">
        <f aca="false">IF(ISNUMBER(J95),J95/(J115*1000),J95)</f>
        <v>9.14915736221098</v>
      </c>
      <c r="K117" s="118" t="n">
        <f aca="false">IF(ISNUMBER(K95),K95/(K115*1000),K95)</f>
        <v>12.4490850853557</v>
      </c>
      <c r="L117" s="118" t="n">
        <f aca="false">IF(ISNUMBER(L95),L95/(L115*1000),L95)</f>
        <v>9.14915736221098</v>
      </c>
      <c r="M117" s="118" t="n">
        <f aca="false">IF(ISNUMBER(M95),M95/(M115*1000),M95)</f>
        <v>19.6372285287421</v>
      </c>
      <c r="N117" s="118" t="n">
        <f aca="false">IF(ISNUMBER(N95),N95/(N115*1000),N95)</f>
        <v>9.14915736221098</v>
      </c>
      <c r="O117" s="118" t="n">
        <f aca="false">IF(ISNUMBER(O95),O95/(O115*1000),O95)</f>
        <v>13.9808016347809</v>
      </c>
      <c r="P117" s="118" t="n">
        <f aca="false">IF(ISNUMBER(P95),P95/(P115*1000),P95)</f>
        <v>9.37468739155004</v>
      </c>
      <c r="Q117" s="118" t="n">
        <f aca="false">IF(ISNUMBER(Q95),Q95/(Q115*1000),Q95)</f>
        <v>9.44474347044638</v>
      </c>
      <c r="R117" s="118" t="n">
        <f aca="false">IF(ISNUMBER(R95),R95/(R115*1000),R95)</f>
        <v>4.92026005045348</v>
      </c>
      <c r="S117" s="118" t="n">
        <f aca="false">IF(ISNUMBER(S95),S95/(S115*1000),S95)</f>
        <v>11.6482642996309</v>
      </c>
      <c r="T117" s="118" t="n">
        <f aca="false">IF(ISNUMBER(T95),T95/(T115*1000),T95)</f>
        <v>7.60305989533273</v>
      </c>
      <c r="U117" s="118" t="n">
        <f aca="false">IF(ISNUMBER(U95),U95/(U115*1000),U95)</f>
        <v>16.0459106674509</v>
      </c>
      <c r="V117" s="118" t="n">
        <f aca="false">IF(ISNUMBER(V95),V95/(V115*1000),V95)</f>
        <v>10.8424662183661</v>
      </c>
      <c r="W117" s="118" t="n">
        <f aca="false">IF(ISNUMBER(W95),W95/(W115*1000),W95)</f>
        <v>5.34125319482797</v>
      </c>
      <c r="X117" s="118" t="n">
        <f aca="false">IF(ISNUMBER(X95),X95/(X115*1000),X95)</f>
        <v>3.51619718034019</v>
      </c>
      <c r="Y117" s="118" t="n">
        <f aca="false">IF(ISNUMBER(Y95),Y95/(Y115*1000),Y95)</f>
        <v>32.4402436426495</v>
      </c>
      <c r="Z117" s="118" t="n">
        <f aca="false">IF(ISNUMBER(Z95),Z95/(Z115*1000),Z95)</f>
        <v>22.1167368310447</v>
      </c>
      <c r="AA117" s="118" t="n">
        <f aca="false">IF(ISNUMBER(AA95),AA95/(AA115*1000),AA95)</f>
        <v>8.84628163671043</v>
      </c>
      <c r="AB117" s="118" t="n">
        <f aca="false">IF(ISNUMBER(AB95),AB95/(AB115*1000),AB95)</f>
        <v>5.83264875396472</v>
      </c>
      <c r="AC117" s="118" t="n">
        <f aca="false">IF(ISNUMBER(AC95),AC95/(AC115*1000),AC95)</f>
        <v>3.00036802134199</v>
      </c>
      <c r="AD117" s="118" t="n">
        <f aca="false">IF(ISNUMBER(AD95),AD95/(AD115*1000),AD95)</f>
        <v>1.69155907056162</v>
      </c>
      <c r="AE117" s="118" t="n">
        <f aca="false">IF(ISNUMBER(AE95),AE95/(AE115*1000),AE95)</f>
        <v>3.00036802134199</v>
      </c>
      <c r="AF117" s="118" t="n">
        <f aca="false">IF(ISNUMBER(AF95),AF95/(AF115*1000),AF95)</f>
        <v>1.69155907056162</v>
      </c>
      <c r="AG117" s="118" t="n">
        <f aca="false">IF(ISNUMBER(AG95),AG95/(AG115*1000),AG95)</f>
        <v>2.82911381937458</v>
      </c>
      <c r="AH117" s="118" t="n">
        <f aca="false">IF(ISNUMBER(AH95),AH95/(AH115*1000),AH95)</f>
        <v>1.69155907056162</v>
      </c>
    </row>
    <row r="118" customFormat="false" ht="15" hidden="false" customHeight="false" outlineLevel="0" collapsed="false">
      <c r="A118" s="61" t="s">
        <v>954</v>
      </c>
      <c r="B118" s="62" t="s">
        <v>947</v>
      </c>
      <c r="C118" s="107" t="n">
        <f aca="false">IF(ISNUMBER(C96),IF(C96&gt;0,C115*1000*(1-C94)/C96,0),C96)</f>
        <v>0.539899731583244</v>
      </c>
      <c r="D118" s="107" t="n">
        <f aca="false">IF(ISNUMBER(D96),IF(D96&gt;0,D115*1000*(1-D94)/D96,0),D96)</f>
        <v>0.823166552750768</v>
      </c>
      <c r="E118" s="107" t="n">
        <f aca="false">IF(ISNUMBER(E96),IF(E96&gt;0,E115*1000*(1-E94)/E96,0),E96)</f>
        <v>1.07979946316649</v>
      </c>
      <c r="F118" s="107" t="n">
        <f aca="false">IF(ISNUMBER(F96),IF(F96&gt;0,F115*1000*(1-F94)/F96,0),F96)</f>
        <v>0.823166552750768</v>
      </c>
      <c r="G118" s="107" t="n">
        <f aca="false">IF(ISNUMBER(G96),IF(G96&gt;0,G115*1000*(1-G94)/G96,0),G96)</f>
        <v>0.359933154388829</v>
      </c>
      <c r="H118" s="107" t="n">
        <f aca="false">IF(ISNUMBER(H96),IF(H96&gt;0,H115*1000*(1-H94)/H96,0),H96)</f>
        <v>0.823166552750768</v>
      </c>
      <c r="I118" s="107" t="n">
        <f aca="false">IF(ISNUMBER(I96),IF(I96&gt;0,I115*1000*(1-I94)/I96,0),I96)</f>
        <v>0.505854803598842</v>
      </c>
      <c r="J118" s="107" t="n">
        <f aca="false">IF(ISNUMBER(J96),IF(J96&gt;0,J115*1000*(1-J94)/J96,0),J96)</f>
        <v>0.823166552750768</v>
      </c>
      <c r="K118" s="107" t="n">
        <f aca="false">IF(ISNUMBER(K96),IF(K96&gt;0,K115*1000*(1-K94)/K96,0),K96)</f>
        <v>0.608111358219261</v>
      </c>
      <c r="L118" s="107" t="n">
        <f aca="false">IF(ISNUMBER(L96),IF(L96&gt;0,L115*1000*(1-L94)/L96,0),L96)</f>
        <v>0.823166552750768</v>
      </c>
      <c r="M118" s="107" t="n">
        <f aca="false">IF(ISNUMBER(M96),IF(M96&gt;0,M115*1000*(1-M94)/M96,0),M96)</f>
        <v>0.377929812108271</v>
      </c>
      <c r="N118" s="107" t="n">
        <f aca="false">IF(ISNUMBER(N96),IF(N96&gt;0,N115*1000*(1-N94)/N96,0),N96)</f>
        <v>0.823166552750768</v>
      </c>
      <c r="O118" s="107" t="n">
        <f aca="false">IF(ISNUMBER(O96),IF(O96&gt;0,O115*1000*(1-O94)/O96,0),O96)</f>
        <v>0.528906575824846</v>
      </c>
      <c r="P118" s="107" t="n">
        <f aca="false">IF(ISNUMBER(P96),IF(P96&gt;0,P115*1000*(1-P94)/P96,0),P96)</f>
        <v>0.799501417339934</v>
      </c>
      <c r="Q118" s="107" t="n">
        <f aca="false">IF(ISNUMBER(Q96),IF(Q96&gt;0,Q115*1000*(1-Q94)/Q96,0),Q96)</f>
        <v>0.838077670636463</v>
      </c>
      <c r="R118" s="107" t="n">
        <f aca="false">IF(ISNUMBER(R96),IF(R96&gt;0,R115*1000*(1-R94)/R96,0),R96)</f>
        <v>1.66864101555202</v>
      </c>
      <c r="S118" s="107" t="n">
        <f aca="false">IF(ISNUMBER(S96),IF(S96&gt;0,S115*1000*(1-S94)/S96,0),S96)</f>
        <v>0.657813968196384</v>
      </c>
      <c r="T118" s="107" t="n">
        <f aca="false">IF(ISNUMBER(T96),IF(T96&gt;0,T115*1000*(1-T94)/T96,0),T96)</f>
        <v>1.02320333912252</v>
      </c>
      <c r="U118" s="107" t="n">
        <f aca="false">IF(ISNUMBER(U96),IF(U96&gt;0,U115*1000*(1-U94)/U96,0),U96)</f>
        <v>0.446057236050027</v>
      </c>
      <c r="V118" s="107" t="n">
        <f aca="false">IF(ISNUMBER(V96),IF(V96&gt;0,V115*1000*(1-V94)/V96,0),V96)</f>
        <v>0.669538857885903</v>
      </c>
      <c r="W118" s="107" t="n">
        <f aca="false">IF(ISNUMBER(W96),IF(W96&gt;0,W115*1000*(1-W94)/W96,0),W96)</f>
        <v>0.536742999355146</v>
      </c>
      <c r="X118" s="107" t="n">
        <f aca="false">IF(ISNUMBER(X96),IF(X96&gt;0,X115*1000*(1-X94)/X96,0),X96)</f>
        <v>0.818353591687534</v>
      </c>
      <c r="Y118" s="107" t="n">
        <f aca="false">IF(ISNUMBER(Y96),IF(Y96&gt;0,Y115*1000*(1-Y94)/Y96,0),Y96)</f>
        <v>0.552526660495638</v>
      </c>
      <c r="Z118" s="107" t="n">
        <f aca="false">IF(ISNUMBER(Z96),IF(Z96&gt;0,Z115*1000*(1-Z94)/Z96,0),Z96)</f>
        <v>0.842418397003708</v>
      </c>
      <c r="AA118" s="107" t="n">
        <f aca="false">IF(ISNUMBER(AA96),IF(AA96&gt;0,AA115*1000*(1-AA94)/AA96,0),AA96)</f>
        <v>0.853328985767922</v>
      </c>
      <c r="AB118" s="107" t="n">
        <f aca="false">IF(ISNUMBER(AB96),IF(AB96&gt;0,AB115*1000*(1-AB94)/AB96,0),AB96)</f>
        <v>1.3137088071765</v>
      </c>
      <c r="AC118" s="107" t="n">
        <f aca="false">IF(ISNUMBER(AC96),IF(AC96&gt;0,AC115*1000*(1-AC94)/AC96,0),AC96)</f>
        <v>2.6186779112139</v>
      </c>
      <c r="AD118" s="107" t="n">
        <f aca="false">IF(ISNUMBER(AD96),IF(AD96&gt;0,AD115*1000*(1-AD94)/AD96,0),AD96)</f>
        <v>4.78798285754815</v>
      </c>
      <c r="AE118" s="107" t="n">
        <f aca="false">IF(ISNUMBER(AE96),IF(AE96&gt;0,AE115*1000*(1-AE94)/AE96,0),AE96)</f>
        <v>2.6186779112139</v>
      </c>
      <c r="AF118" s="107" t="n">
        <f aca="false">IF(ISNUMBER(AF96),IF(AF96&gt;0,AF115*1000*(1-AF94)/AF96,0),AF96)</f>
        <v>4.78798285754815</v>
      </c>
      <c r="AG118" s="107" t="n">
        <f aca="false">IF(ISNUMBER(AG96),IF(AG96&gt;0,AG115*1000*(1-AG94)/AG96,0),AG96)</f>
        <v>2.80025405880953</v>
      </c>
      <c r="AH118" s="107" t="n">
        <f aca="false">IF(ISNUMBER(AH96),IF(AH96&gt;0,AH115*1000*(1-AH94)/AH96,0),AH96)</f>
        <v>4.78798285754815</v>
      </c>
    </row>
    <row r="119" customFormat="false" ht="15" hidden="false" customHeight="false" outlineLevel="0" collapsed="false">
      <c r="A119" s="76" t="s">
        <v>978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</row>
    <row r="120" customFormat="false" ht="15" hidden="false" customHeight="false" outlineLevel="0" collapsed="false">
      <c r="A120" s="62" t="s">
        <v>979</v>
      </c>
      <c r="B120" s="62" t="s">
        <v>118</v>
      </c>
      <c r="C120" s="104" t="n">
        <f aca="false">IF(AND(ISNUMBER(D98),ISNUMBER(C98)),IF(D98&gt;0,C98/D98,0),"SLO 不可達")</f>
        <v>1.50227667238619</v>
      </c>
      <c r="E120" s="104" t="n">
        <f aca="false">IF(AND(ISNUMBER(F98),ISNUMBER(E98)),IF(F98&gt;0,E98/F98,0),"SLO 不可達")</f>
        <v>0.823341041860226</v>
      </c>
      <c r="G120" s="104" t="n">
        <f aca="false">IF(AND(ISNUMBER(H98),ISNUMBER(G98)),IF(H98&gt;0,G98/H98,0),"SLO 不可達")</f>
        <v>2.07173470422836</v>
      </c>
      <c r="I120" s="104" t="n">
        <f aca="false">IF(AND(ISNUMBER(J98),ISNUMBER(I98)),IF(J98&gt;0,I98/J98,0),"SLO 不可達")</f>
        <v>1.58467699217569</v>
      </c>
      <c r="K120" s="104" t="n">
        <f aca="false">IF(AND(ISNUMBER(L98),ISNUMBER(K98)),IF(L98&gt;0,K98/L98,0),"SLO 不可達")</f>
        <v>1.36053313872734</v>
      </c>
      <c r="M120" s="104" t="n">
        <f aca="false">IF(AND(ISNUMBER(N98),ISNUMBER(M98)),IF(N98&gt;0,M98/N98,0),"SLO 不可達")</f>
        <v>2.14610953198028</v>
      </c>
      <c r="O120" s="104" t="n">
        <f aca="false">IF(AND(ISNUMBER(P98),ISNUMBER(O98)),IF(P98&gt;0,O98/P98,0),"SLO 不可達")</f>
        <v>1.49117311756344</v>
      </c>
      <c r="Q120" s="104" t="n">
        <f aca="false">IF(AND(ISNUMBER(R98),ISNUMBER(Q98)),IF(R98&gt;0,Q98/R98,0),"SLO 不可達")</f>
        <v>1.91935317725532</v>
      </c>
      <c r="S120" s="104" t="n">
        <f aca="false">IF(AND(ISNUMBER(T98),ISNUMBER(S98)),IF(T98&gt;0,S98/T98,0),"SLO 不可達")</f>
        <v>1.53188298029398</v>
      </c>
      <c r="U120" s="104" t="n">
        <f aca="false">IF(AND(ISNUMBER(V98),ISNUMBER(U98)),IF(V98&gt;0,U98/V98,0),"SLO 不可達")</f>
        <v>1.47975248818711</v>
      </c>
      <c r="W120" s="104" t="n">
        <f aca="false">IF(AND(ISNUMBER(X98),ISNUMBER(W98)),IF(X98&gt;0,W98/X98,0),"SLO 不可達")</f>
        <v>1.51887743756287</v>
      </c>
      <c r="Y120" s="104" t="n">
        <f aca="false">IF(AND(ISNUMBER(Z98),ISNUMBER(Y98)),IF(Z98&gt;0,Y98/Z98,0),"SLO 不可達")</f>
        <v>1.46661405834964</v>
      </c>
      <c r="AA120" s="104" t="n">
        <f aca="false">IF(AND(ISNUMBER(AB98),ISNUMBER(AA98)),IF(AB98&gt;0,AA98/AB98,0),"SLO 不可達")</f>
        <v>1.51651854194026</v>
      </c>
      <c r="AC120" s="104" t="n">
        <f aca="false">IF(AND(ISNUMBER(AD98),ISNUMBER(AC98)),IF(AD98&gt;0,AC98/AD98,0),"SLO 不可達")</f>
        <v>1.77353656313811</v>
      </c>
      <c r="AE120" s="104" t="n">
        <f aca="false">IF(AND(ISNUMBER(AF98),ISNUMBER(AE98)),IF(AF98&gt;0,AE98/AF98,0),"SLO 不可達")</f>
        <v>1.77353656313811</v>
      </c>
      <c r="AG120" s="104" t="n">
        <f aca="false">IF(AND(ISNUMBER(AH98),ISNUMBER(AG98)),IF(AH98&gt;0,AG98/AH98,0),"SLO 不可達")</f>
        <v>1.67230711841006</v>
      </c>
    </row>
    <row r="121" customFormat="false" ht="15" hidden="false" customHeight="false" outlineLevel="0" collapsed="false">
      <c r="A121" s="62" t="s">
        <v>980</v>
      </c>
      <c r="B121" s="62" t="s">
        <v>118</v>
      </c>
      <c r="C121" s="104" t="n">
        <f aca="false">IF(AND(ISNUMBER(D105),ISNUMBER(C105)),IF(AND(D105&gt;0,C105&gt;0),C105/D105,0),"SLO 不可達")</f>
        <v>0.736636921680274</v>
      </c>
      <c r="E121" s="104" t="n">
        <f aca="false">IF(AND(ISNUMBER(F105),ISNUMBER(E105)),IF(AND(F105&gt;0,E105&gt;0),E105/F105,0),"SLO 不可達")</f>
        <v>1.47327384336055</v>
      </c>
      <c r="G121" s="104" t="n">
        <f aca="false">IF(AND(ISNUMBER(H105),ISNUMBER(G105)),IF(AND(H105&gt;0,G105&gt;0),G105/H105,0),"SLO 不可達")</f>
        <v>0.491091281120182</v>
      </c>
      <c r="I121" s="104" t="n">
        <f aca="false">IF(AND(ISNUMBER(J105),ISNUMBER(I105)),IF(AND(J105&gt;0,I105&gt;0),I105/J105,0),"SLO 不可達")</f>
        <v>0.690186165211635</v>
      </c>
      <c r="K121" s="104" t="n">
        <f aca="false">IF(AND(ISNUMBER(L105),ISNUMBER(K105)),IF(AND(L105&gt;0,K105&gt;0),K105/L105,0),"SLO 不可達")</f>
        <v>0.829704578003442</v>
      </c>
      <c r="M121" s="104" t="n">
        <f aca="false">IF(AND(ISNUMBER(N105),ISNUMBER(M105)),IF(AND(N105&gt;0,M105&gt;0),M105/N105,0),"SLO 不可達")</f>
        <v>0.515645845176192</v>
      </c>
      <c r="O121" s="104" t="n">
        <f aca="false">IF(AND(ISNUMBER(P105),ISNUMBER(O105)),IF(AND(P105&gt;0,O105&gt;0),O105/P105,0),"SLO 不可達")</f>
        <v>0.742998292084719</v>
      </c>
      <c r="Q121" s="104" t="n">
        <f aca="false">IF(AND(ISNUMBER(R105),ISNUMBER(Q105)),IF(AND(R105&gt;0,Q105&gt;0),Q105/R105,0),"SLO 不可達")</f>
        <v>0.564091352560814</v>
      </c>
      <c r="S121" s="104" t="n">
        <f aca="false">IF(AND(ISNUMBER(T105),ISNUMBER(S105)),IF(AND(T105&gt;0,S105&gt;0),S105/T105,0),"SLO 不可達")</f>
        <v>0.722053253624288</v>
      </c>
      <c r="U121" s="104" t="n">
        <f aca="false">IF(AND(ISNUMBER(V105),ISNUMBER(U105)),IF(AND(V105&gt;0,U105&gt;0),U105/V105,0),"SLO 不可達")</f>
        <v>0.748243389598918</v>
      </c>
      <c r="W121" s="104" t="n">
        <f aca="false">IF(AND(ISNUMBER(X105),ISNUMBER(W105)),IF(AND(X105&gt;0,W105&gt;0),W105/X105,0),"SLO 不可達")</f>
        <v>0.736636921680274</v>
      </c>
      <c r="Y121" s="104" t="n">
        <f aca="false">IF(AND(ISNUMBER(Z105),ISNUMBER(Y105)),IF(AND(Z105&gt;0,Y105&gt;0),Y105/Z105,0),"SLO 不可達")</f>
        <v>0.736636921680274</v>
      </c>
      <c r="AA121" s="104" t="n">
        <f aca="false">IF(AND(ISNUMBER(AB105),ISNUMBER(AA105)),IF(AND(AB105&gt;0,AA105&gt;0),AA105/AB105,0),"SLO 不可達")</f>
        <v>0.729533893031449</v>
      </c>
      <c r="AC121" s="104" t="n">
        <f aca="false">IF(AND(ISNUMBER(AD105),ISNUMBER(AC105)),IF(AND(AD105&gt;0,AC105&gt;0),AC105/AD105,0),"SLO 不可達")</f>
        <v>0.61426756636158</v>
      </c>
      <c r="AE121" s="104" t="n">
        <f aca="false">IF(AND(ISNUMBER(AF105),ISNUMBER(AE105)),IF(AND(AF105&gt;0,AE105&gt;0),AE105/AF105,0),"SLO 不可達")</f>
        <v>0.61426756636158</v>
      </c>
      <c r="AG121" s="104" t="n">
        <f aca="false">IF(AND(ISNUMBER(AH105),ISNUMBER(AG105)),IF(AND(AH105&gt;0,AG105&gt;0),AG105/AH105,0),"SLO 不可達")</f>
        <v>0.656860180678619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981</v>
      </c>
    </row>
    <row r="2" customFormat="false" ht="15" hidden="false" customHeight="false" outlineLevel="0" collapsed="false">
      <c r="A2" s="74" t="s">
        <v>982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186</v>
      </c>
      <c r="C4" s="82" t="str">
        <f aca="false">DC_Cost!C4</f>
        <v>Hopper H100</v>
      </c>
      <c r="D4" s="82" t="str">
        <f aca="false">DC_Cost!D4</f>
        <v>Hopper H100</v>
      </c>
      <c r="E4" s="82" t="str">
        <f aca="false">DC_Cost!E4</f>
        <v>Hopper H100</v>
      </c>
      <c r="F4" s="82" t="str">
        <f aca="false">DC_Cost!F4</f>
        <v>GB200 NVL72</v>
      </c>
      <c r="G4" s="82" t="str">
        <f aca="false">DC_Cost!G4</f>
        <v>GB200 NVL72</v>
      </c>
      <c r="H4" s="82" t="str">
        <f aca="false">DC_Cost!H4</f>
        <v>GB200 NVL72</v>
      </c>
      <c r="I4" s="82" t="str">
        <f aca="false">DC_Cost!I4</f>
        <v>GB300 NVL72</v>
      </c>
      <c r="J4" s="82" t="str">
        <f aca="false">DC_Cost!J4</f>
        <v>GB300 NVL72</v>
      </c>
      <c r="K4" s="82" t="str">
        <f aca="false">DC_Cost!K4</f>
        <v>GB300 NVL72</v>
      </c>
      <c r="L4" s="82" t="str">
        <f aca="false">DC_Cost!L4</f>
        <v>VR200 NVL72</v>
      </c>
      <c r="M4" s="82" t="str">
        <f aca="false">DC_Cost!M4</f>
        <v>VR200 NVL72</v>
      </c>
      <c r="N4" s="82" t="str">
        <f aca="false">DC_Cost!N4</f>
        <v>VR200 NVL72</v>
      </c>
      <c r="O4" s="82" t="str">
        <f aca="false">DC_Cost!O4</f>
        <v>Rubin Ultra（MGX NVL 單架，72 GPU）</v>
      </c>
      <c r="P4" s="82" t="str">
        <f aca="false">DC_Cost!P4</f>
        <v>Rubin Ultra（MGX NVL 單架，72 GPU）</v>
      </c>
      <c r="Q4" s="82" t="str">
        <f aca="false">DC_Cost!Q4</f>
        <v>Rubin Ultra（MGX NVL 單架，72 GPU）</v>
      </c>
      <c r="R4" s="74" t="s">
        <v>853</v>
      </c>
    </row>
    <row r="5" customFormat="false" ht="15" hidden="false" customHeight="false" outlineLevel="0" collapsed="false">
      <c r="A5" s="60" t="s">
        <v>28</v>
      </c>
      <c r="C5" s="82" t="str">
        <f aca="false">DC_Cost!C5</f>
        <v>低成本</v>
      </c>
      <c r="D5" s="82" t="str">
        <f aca="false">DC_Cost!D5</f>
        <v>基準</v>
      </c>
      <c r="E5" s="82" t="str">
        <f aca="false">DC_Cost!E5</f>
        <v>高成本</v>
      </c>
      <c r="F5" s="82" t="str">
        <f aca="false">DC_Cost!F5</f>
        <v>低成本</v>
      </c>
      <c r="G5" s="82" t="str">
        <f aca="false">DC_Cost!G5</f>
        <v>基準</v>
      </c>
      <c r="H5" s="82" t="str">
        <f aca="false">DC_Cost!H5</f>
        <v>高成本</v>
      </c>
      <c r="I5" s="82" t="str">
        <f aca="false">DC_Cost!I5</f>
        <v>低成本</v>
      </c>
      <c r="J5" s="82" t="str">
        <f aca="false">DC_Cost!J5</f>
        <v>基準</v>
      </c>
      <c r="K5" s="82" t="str">
        <f aca="false">DC_Cost!K5</f>
        <v>高成本</v>
      </c>
      <c r="L5" s="82" t="str">
        <f aca="false">DC_Cost!L5</f>
        <v>低成本</v>
      </c>
      <c r="M5" s="82" t="str">
        <f aca="false">DC_Cost!M5</f>
        <v>基準</v>
      </c>
      <c r="N5" s="82" t="str">
        <f aca="false">DC_Cost!N5</f>
        <v>高成本</v>
      </c>
      <c r="O5" s="82" t="str">
        <f aca="false">DC_Cost!O5</f>
        <v>低成本</v>
      </c>
      <c r="P5" s="82" t="str">
        <f aca="false">DC_Cost!P5</f>
        <v>基準</v>
      </c>
      <c r="Q5" s="82" t="str">
        <f aca="false">DC_Cost!Q5</f>
        <v>高成本</v>
      </c>
      <c r="R5" s="74" t="s">
        <v>855</v>
      </c>
    </row>
    <row r="6" customFormat="false" ht="15" hidden="false" customHeight="false" outlineLevel="0" collapsed="false">
      <c r="A6" s="60" t="s">
        <v>469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69" t="s">
        <v>983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</row>
    <row r="8" customFormat="false" ht="15" hidden="false" customHeight="false" outlineLevel="0" collapsed="false">
      <c r="A8" s="61" t="s">
        <v>984</v>
      </c>
      <c r="B8" s="62" t="s">
        <v>985</v>
      </c>
      <c r="C8" s="95" t="n">
        <f aca="false">DC_Cost!C58</f>
        <v>1.07964486018265</v>
      </c>
      <c r="D8" s="95" t="n">
        <f aca="false">DC_Cost!D58</f>
        <v>1.54259654785589</v>
      </c>
      <c r="E8" s="95" t="n">
        <f aca="false">DC_Cost!E58</f>
        <v>2.64920565047995</v>
      </c>
      <c r="F8" s="95" t="n">
        <f aca="false">DC_Cost!F58</f>
        <v>1.50422814430785</v>
      </c>
      <c r="G8" s="95" t="n">
        <f aca="false">DC_Cost!G58</f>
        <v>2.00846099652078</v>
      </c>
      <c r="H8" s="95" t="n">
        <f aca="false">DC_Cost!H58</f>
        <v>3.25756227849869</v>
      </c>
      <c r="I8" s="95" t="n">
        <f aca="false">DC_Cost!I58</f>
        <v>1.97574392204647</v>
      </c>
      <c r="J8" s="95" t="n">
        <f aca="false">DC_Cost!J58</f>
        <v>2.55178761329595</v>
      </c>
      <c r="K8" s="95" t="n">
        <f aca="false">DC_Cost!K58</f>
        <v>4.34454282544458</v>
      </c>
      <c r="L8" s="95" t="n">
        <f aca="false">DC_Cost!L58</f>
        <v>3.72193954123947</v>
      </c>
      <c r="M8" s="95" t="n">
        <f aca="false">DC_Cost!M58</f>
        <v>4.78365180724219</v>
      </c>
      <c r="N8" s="95" t="n">
        <f aca="false">DC_Cost!N58</f>
        <v>7.72813762813851</v>
      </c>
      <c r="O8" s="95" t="n">
        <f aca="false">DC_Cost!O58</f>
        <v>5.92143420546319</v>
      </c>
      <c r="P8" s="95" t="n">
        <f aca="false">DC_Cost!P58</f>
        <v>8.99976806898525</v>
      </c>
      <c r="Q8" s="95" t="n">
        <f aca="false">DC_Cost!Q58</f>
        <v>16.4294498807254</v>
      </c>
    </row>
    <row r="9" customFormat="false" ht="15" hidden="false" customHeight="false" outlineLevel="0" collapsed="false">
      <c r="A9" s="61" t="s">
        <v>986</v>
      </c>
      <c r="B9" s="62" t="s">
        <v>985</v>
      </c>
      <c r="C9" s="95" t="n">
        <f aca="false">DC_Cost!C57</f>
        <v>0.825106655914003</v>
      </c>
      <c r="D9" s="95" t="n">
        <f aca="false">DC_Cost!D57</f>
        <v>1.12941277108671</v>
      </c>
      <c r="E9" s="95" t="n">
        <f aca="false">DC_Cost!E57</f>
        <v>1.94067973561919</v>
      </c>
      <c r="F9" s="95" t="n">
        <f aca="false">DC_Cost!F57</f>
        <v>1.14879517483916</v>
      </c>
      <c r="G9" s="95" t="n">
        <f aca="false">DC_Cost!G57</f>
        <v>1.46722704621019</v>
      </c>
      <c r="H9" s="95" t="n">
        <f aca="false">DC_Cost!H57</f>
        <v>2.37052162109775</v>
      </c>
      <c r="I9" s="95" t="n">
        <f aca="false">DC_Cost!I57</f>
        <v>1.51742016309999</v>
      </c>
      <c r="J9" s="95" t="n">
        <f aca="false">DC_Cost!J57</f>
        <v>1.87284720011301</v>
      </c>
      <c r="K9" s="95" t="n">
        <f aca="false">DC_Cost!K57</f>
        <v>3.19559687047063</v>
      </c>
      <c r="L9" s="95" t="n">
        <f aca="false">DC_Cost!L57</f>
        <v>2.86519456922153</v>
      </c>
      <c r="M9" s="95" t="n">
        <f aca="false">DC_Cost!M57</f>
        <v>3.51855992240582</v>
      </c>
      <c r="N9" s="95" t="n">
        <f aca="false">DC_Cost!N57</f>
        <v>5.69705162434053</v>
      </c>
      <c r="O9" s="95" t="n">
        <f aca="false">DC_Cost!O57</f>
        <v>4.56320652720479</v>
      </c>
      <c r="P9" s="95" t="n">
        <f aca="false">DC_Cost!P57</f>
        <v>6.64357830075911</v>
      </c>
      <c r="Q9" s="95" t="n">
        <f aca="false">DC_Cost!Q57</f>
        <v>12.2328438708331</v>
      </c>
    </row>
    <row r="10" customFormat="false" ht="15" hidden="false" customHeight="false" outlineLevel="0" collapsed="false">
      <c r="A10" s="61" t="s">
        <v>987</v>
      </c>
      <c r="B10" s="62" t="s">
        <v>113</v>
      </c>
      <c r="C10" s="65" t="n">
        <f aca="false">Serving!$C$17</f>
        <v>0.6</v>
      </c>
      <c r="D10" s="65" t="n">
        <f aca="false">Serving!$C$17</f>
        <v>0.6</v>
      </c>
      <c r="E10" s="65" t="n">
        <f aca="false">Serving!$C$17</f>
        <v>0.6</v>
      </c>
      <c r="F10" s="65" t="n">
        <f aca="false">Serving!$C$17</f>
        <v>0.6</v>
      </c>
      <c r="G10" s="65" t="n">
        <f aca="false">Serving!$C$17</f>
        <v>0.6</v>
      </c>
      <c r="H10" s="65" t="n">
        <f aca="false">Serving!$C$17</f>
        <v>0.6</v>
      </c>
      <c r="I10" s="65" t="n">
        <f aca="false">Serving!$C$17</f>
        <v>0.6</v>
      </c>
      <c r="J10" s="65" t="n">
        <f aca="false">Serving!$C$17</f>
        <v>0.6</v>
      </c>
      <c r="K10" s="65" t="n">
        <f aca="false">Serving!$C$17</f>
        <v>0.6</v>
      </c>
      <c r="L10" s="65" t="n">
        <f aca="false">Serving!$C$17</f>
        <v>0.6</v>
      </c>
      <c r="M10" s="65" t="n">
        <f aca="false">Serving!$C$17</f>
        <v>0.6</v>
      </c>
      <c r="N10" s="65" t="n">
        <f aca="false">Serving!$C$17</f>
        <v>0.6</v>
      </c>
      <c r="O10" s="65" t="n">
        <f aca="false">Serving!$C$17</f>
        <v>0.6</v>
      </c>
      <c r="P10" s="65" t="n">
        <f aca="false">Serving!$C$17</f>
        <v>0.6</v>
      </c>
      <c r="Q10" s="65" t="n">
        <f aca="false">Serving!$C$17</f>
        <v>0.6</v>
      </c>
      <c r="R10" s="74" t="s">
        <v>988</v>
      </c>
    </row>
    <row r="12" customFormat="false" ht="15" hidden="false" customHeight="false" outlineLevel="0" collapsed="false">
      <c r="A12" s="76" t="s">
        <v>278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</row>
    <row r="13" customFormat="false" ht="15" hidden="false" customHeight="false" outlineLevel="0" collapsed="false">
      <c r="A13" s="62" t="s">
        <v>989</v>
      </c>
      <c r="B13" s="62" t="s">
        <v>925</v>
      </c>
      <c r="C13" s="98" t="n">
        <f aca="false">INDEX(Perf!$C$101:$Q$101,3*(C$6-1)+1)</f>
        <v>128.951184274594</v>
      </c>
      <c r="D13" s="98" t="n">
        <f aca="false">INDEX(Perf!$C$101:$Q$101,3*(D$6-1)+1)</f>
        <v>128.951184274594</v>
      </c>
      <c r="E13" s="98" t="n">
        <f aca="false">INDEX(Perf!$C$101:$Q$101,3*(E$6-1)+1)</f>
        <v>128.951184274594</v>
      </c>
      <c r="F13" s="98" t="n">
        <f aca="false">INDEX(Perf!$C$101:$Q$101,3*(F$6-1)+1)</f>
        <v>12.7532721247573</v>
      </c>
      <c r="G13" s="98" t="n">
        <f aca="false">INDEX(Perf!$C$101:$Q$101,3*(G$6-1)+1)</f>
        <v>12.7532721247573</v>
      </c>
      <c r="H13" s="98" t="n">
        <f aca="false">INDEX(Perf!$C$101:$Q$101,3*(H$6-1)+1)</f>
        <v>12.7532721247573</v>
      </c>
      <c r="I13" s="98" t="n">
        <f aca="false">INDEX(Perf!$C$101:$Q$101,3*(I$6-1)+1)</f>
        <v>8.50218141650489</v>
      </c>
      <c r="J13" s="98" t="n">
        <f aca="false">INDEX(Perf!$C$101:$Q$101,3*(J$6-1)+1)</f>
        <v>8.50218141650489</v>
      </c>
      <c r="K13" s="98" t="n">
        <f aca="false">INDEX(Perf!$C$101:$Q$101,3*(K$6-1)+1)</f>
        <v>8.50218141650489</v>
      </c>
      <c r="L13" s="98" t="n">
        <f aca="false">INDEX(Perf!$C$101:$Q$101,3*(L$6-1)+1)</f>
        <v>3.64379203564495</v>
      </c>
      <c r="M13" s="98" t="n">
        <f aca="false">INDEX(Perf!$C$101:$Q$101,3*(M$6-1)+1)</f>
        <v>3.64379203564495</v>
      </c>
      <c r="N13" s="98" t="n">
        <f aca="false">INDEX(Perf!$C$101:$Q$101,3*(N$6-1)+1)</f>
        <v>3.64379203564495</v>
      </c>
      <c r="O13" s="98" t="n">
        <f aca="false">INDEX(Perf!$C$101:$Q$101,3*(O$6-1)+1)</f>
        <v>1.82189601782248</v>
      </c>
      <c r="P13" s="98" t="n">
        <f aca="false">INDEX(Perf!$C$101:$Q$101,3*(P$6-1)+1)</f>
        <v>1.82189601782248</v>
      </c>
      <c r="Q13" s="98" t="n">
        <f aca="false">INDEX(Perf!$C$101:$Q$101,3*(Q$6-1)+1)</f>
        <v>1.82189601782248</v>
      </c>
    </row>
    <row r="14" customFormat="false" ht="15" hidden="false" customHeight="false" outlineLevel="0" collapsed="false">
      <c r="A14" s="62" t="s">
        <v>990</v>
      </c>
      <c r="B14" s="62" t="s">
        <v>925</v>
      </c>
      <c r="C14" s="94" t="n">
        <f aca="false">INDEX(Perf!$C$102:$Q$102,3*(C$6-1)+1)</f>
        <v>0.02795</v>
      </c>
      <c r="D14" s="94" t="n">
        <f aca="false">INDEX(Perf!$C$102:$Q$102,3*(D$6-1)+1)</f>
        <v>0.02795</v>
      </c>
      <c r="E14" s="94" t="n">
        <f aca="false">INDEX(Perf!$C$102:$Q$102,3*(E$6-1)+1)</f>
        <v>0.02795</v>
      </c>
      <c r="F14" s="94" t="n">
        <f aca="false">INDEX(Perf!$C$102:$Q$102,3*(F$6-1)+1)</f>
        <v>0.02795</v>
      </c>
      <c r="G14" s="94" t="n">
        <f aca="false">INDEX(Perf!$C$102:$Q$102,3*(G$6-1)+1)</f>
        <v>0.02795</v>
      </c>
      <c r="H14" s="94" t="n">
        <f aca="false">INDEX(Perf!$C$102:$Q$102,3*(H$6-1)+1)</f>
        <v>0.02795</v>
      </c>
      <c r="I14" s="94" t="n">
        <f aca="false">INDEX(Perf!$C$102:$Q$102,3*(I$6-1)+1)</f>
        <v>0.02795</v>
      </c>
      <c r="J14" s="94" t="n">
        <f aca="false">INDEX(Perf!$C$102:$Q$102,3*(J$6-1)+1)</f>
        <v>0.02795</v>
      </c>
      <c r="K14" s="94" t="n">
        <f aca="false">INDEX(Perf!$C$102:$Q$102,3*(K$6-1)+1)</f>
        <v>0.02795</v>
      </c>
      <c r="L14" s="94" t="n">
        <f aca="false">INDEX(Perf!$C$102:$Q$102,3*(L$6-1)+1)</f>
        <v>0.02795</v>
      </c>
      <c r="M14" s="94" t="n">
        <f aca="false">INDEX(Perf!$C$102:$Q$102,3*(M$6-1)+1)</f>
        <v>0.02795</v>
      </c>
      <c r="N14" s="94" t="n">
        <f aca="false">INDEX(Perf!$C$102:$Q$102,3*(N$6-1)+1)</f>
        <v>0.02795</v>
      </c>
      <c r="O14" s="94" t="n">
        <f aca="false">INDEX(Perf!$C$102:$Q$102,3*(O$6-1)+1)</f>
        <v>0.02795</v>
      </c>
      <c r="P14" s="94" t="n">
        <f aca="false">INDEX(Perf!$C$102:$Q$102,3*(P$6-1)+1)</f>
        <v>0.02795</v>
      </c>
      <c r="Q14" s="94" t="n">
        <f aca="false">INDEX(Perf!$C$102:$Q$102,3*(Q$6-1)+1)</f>
        <v>0.02795</v>
      </c>
    </row>
    <row r="15" customFormat="false" ht="15" hidden="false" customHeight="false" outlineLevel="0" collapsed="false">
      <c r="A15" s="62" t="s">
        <v>991</v>
      </c>
      <c r="B15" s="62" t="s">
        <v>925</v>
      </c>
      <c r="C15" s="98" t="n">
        <f aca="false">INDEX(Perf!$C$103:$Q$103,3*(C$6-1)+1)</f>
        <v>1351.71132131828</v>
      </c>
      <c r="D15" s="98" t="n">
        <f aca="false">INDEX(Perf!$C$103:$Q$103,3*(D$6-1)+1)</f>
        <v>1351.71132131828</v>
      </c>
      <c r="E15" s="98" t="n">
        <f aca="false">INDEX(Perf!$C$103:$Q$103,3*(E$6-1)+1)</f>
        <v>1351.71132131828</v>
      </c>
      <c r="F15" s="98" t="n">
        <f aca="false">INDEX(Perf!$C$103:$Q$103,3*(F$6-1)+1)</f>
        <v>240.791354640817</v>
      </c>
      <c r="G15" s="98" t="n">
        <f aca="false">INDEX(Perf!$C$103:$Q$103,3*(G$6-1)+1)</f>
        <v>240.791354640817</v>
      </c>
      <c r="H15" s="98" t="n">
        <f aca="false">INDEX(Perf!$C$103:$Q$103,3*(H$6-1)+1)</f>
        <v>240.791354640817</v>
      </c>
      <c r="I15" s="98" t="n">
        <f aca="false">INDEX(Perf!$C$103:$Q$103,3*(I$6-1)+1)</f>
        <v>160.527569760545</v>
      </c>
      <c r="J15" s="98" t="n">
        <f aca="false">INDEX(Perf!$C$103:$Q$103,3*(J$6-1)+1)</f>
        <v>160.527569760545</v>
      </c>
      <c r="K15" s="98" t="n">
        <f aca="false">INDEX(Perf!$C$103:$Q$103,3*(K$6-1)+1)</f>
        <v>160.527569760545</v>
      </c>
      <c r="L15" s="98" t="n">
        <f aca="false">INDEX(Perf!$C$103:$Q$103,3*(L$6-1)+1)</f>
        <v>66.2521485861262</v>
      </c>
      <c r="M15" s="98" t="n">
        <f aca="false">INDEX(Perf!$C$103:$Q$103,3*(M$6-1)+1)</f>
        <v>66.2521485861262</v>
      </c>
      <c r="N15" s="98" t="n">
        <f aca="false">INDEX(Perf!$C$103:$Q$103,3*(N$6-1)+1)</f>
        <v>66.2521485861262</v>
      </c>
      <c r="O15" s="98" t="n">
        <f aca="false">INDEX(Perf!$C$103:$Q$103,3*(O$6-1)+1)</f>
        <v>32.7961758933546</v>
      </c>
      <c r="P15" s="98" t="n">
        <f aca="false">INDEX(Perf!$C$103:$Q$103,3*(P$6-1)+1)</f>
        <v>32.7961758933546</v>
      </c>
      <c r="Q15" s="98" t="n">
        <f aca="false">INDEX(Perf!$C$103:$Q$103,3*(Q$6-1)+1)</f>
        <v>32.7961758933546</v>
      </c>
    </row>
    <row r="16" customFormat="false" ht="15" hidden="false" customHeight="false" outlineLevel="0" collapsed="false">
      <c r="A16" s="61" t="s">
        <v>992</v>
      </c>
      <c r="B16" s="62" t="s">
        <v>976</v>
      </c>
      <c r="C16" s="125" t="n">
        <f aca="false">C$8/3600*C13</f>
        <v>0.0386726342545921</v>
      </c>
      <c r="D16" s="125" t="n">
        <f aca="false">D$8/3600*D13</f>
        <v>0.0552554588066438</v>
      </c>
      <c r="E16" s="125" t="n">
        <f aca="false">E$8/3600*E13</f>
        <v>0.0948939461156487</v>
      </c>
      <c r="F16" s="125" t="n">
        <f aca="false">F$8/3600*F13</f>
        <v>0.00532884190613242</v>
      </c>
      <c r="G16" s="125" t="n">
        <f aca="false">G$8/3600*G13</f>
        <v>0.00711512490016412</v>
      </c>
      <c r="H16" s="125" t="n">
        <f aca="false">H$8/3600*H13</f>
        <v>0.0115401606113995</v>
      </c>
      <c r="I16" s="125" t="n">
        <f aca="false">I$8/3600*I13</f>
        <v>0.00466614812716556</v>
      </c>
      <c r="J16" s="125" t="n">
        <f aca="false">J$8/3600*J13</f>
        <v>0.00602660034017561</v>
      </c>
      <c r="K16" s="125" t="n">
        <f aca="false">K$8/3600*K13</f>
        <v>0.0102605809093624</v>
      </c>
      <c r="L16" s="125" t="n">
        <f aca="false">L$8/3600*L13</f>
        <v>0.00376721490486678</v>
      </c>
      <c r="M16" s="125" t="n">
        <f aca="false">M$8/3600*M13</f>
        <v>0.00484184232125769</v>
      </c>
      <c r="N16" s="125" t="n">
        <f aca="false">N$8/3600*N13</f>
        <v>0.00782214620549421</v>
      </c>
      <c r="O16" s="125" t="n">
        <f aca="false">O$8/3600*O13</f>
        <v>0.00299673261075866</v>
      </c>
      <c r="P16" s="125" t="n">
        <f aca="false">P$8/3600*P13</f>
        <v>0.0045546226683917</v>
      </c>
      <c r="Q16" s="125" t="n">
        <f aca="false">Q$8/3600*Q13</f>
        <v>0.00831465258686319</v>
      </c>
    </row>
    <row r="17" customFormat="false" ht="15" hidden="false" customHeight="false" outlineLevel="0" collapsed="false">
      <c r="A17" s="61" t="s">
        <v>993</v>
      </c>
      <c r="B17" s="62" t="s">
        <v>976</v>
      </c>
      <c r="C17" s="126" t="n">
        <f aca="false">C$8/3600*C14</f>
        <v>8.3822427339181E-006</v>
      </c>
      <c r="D17" s="126" t="n">
        <f aca="false">D$8/3600*D14</f>
        <v>1.19765481979367E-005</v>
      </c>
      <c r="E17" s="126" t="n">
        <f aca="false">E$8/3600*E14</f>
        <v>2.05681383141429E-005</v>
      </c>
      <c r="F17" s="126" t="n">
        <f aca="false">F$8/3600*F14</f>
        <v>1.16786601759456E-005</v>
      </c>
      <c r="G17" s="126" t="n">
        <f aca="false">G$8/3600*G14</f>
        <v>1.55934680146544E-005</v>
      </c>
      <c r="H17" s="126" t="n">
        <f aca="false">H$8/3600*H14</f>
        <v>2.52913515788996E-005</v>
      </c>
      <c r="I17" s="126" t="n">
        <f aca="false">I$8/3600*I14</f>
        <v>1.53394562836664E-005</v>
      </c>
      <c r="J17" s="126" t="n">
        <f aca="false">J$8/3600*J14</f>
        <v>1.98117954976727E-005</v>
      </c>
      <c r="K17" s="126" t="n">
        <f aca="false">K$8/3600*K14</f>
        <v>3.37305477697711E-005</v>
      </c>
      <c r="L17" s="126" t="n">
        <f aca="false">L$8/3600*L14</f>
        <v>2.88967250493453E-005</v>
      </c>
      <c r="M17" s="126" t="n">
        <f aca="false">M$8/3600*M14</f>
        <v>3.71397411145609E-005</v>
      </c>
      <c r="N17" s="126" t="n">
        <f aca="false">N$8/3600*N14</f>
        <v>6.00004018629087E-005</v>
      </c>
      <c r="O17" s="126" t="n">
        <f aca="false">O$8/3600*O14</f>
        <v>4.59733572340822E-005</v>
      </c>
      <c r="P17" s="126" t="n">
        <f aca="false">P$8/3600*P14</f>
        <v>6.98731993133716E-005</v>
      </c>
      <c r="Q17" s="126" t="n">
        <f aca="false">Q$8/3600*Q14</f>
        <v>0.000127556423379521</v>
      </c>
    </row>
    <row r="18" customFormat="false" ht="15" hidden="false" customHeight="false" outlineLevel="0" collapsed="false">
      <c r="A18" s="62" t="s">
        <v>994</v>
      </c>
      <c r="B18" s="62" t="s">
        <v>976</v>
      </c>
      <c r="C18" s="125" t="n">
        <f aca="false">IF(ISNUMBER(C15),C$8/3600*C15,"SLO 不可達")</f>
        <v>0.405380050142216</v>
      </c>
      <c r="D18" s="125" t="n">
        <f aca="false">IF(ISNUMBER(D15),D$8/3600*D15,"SLO 不可達")</f>
        <v>0.579207004989805</v>
      </c>
      <c r="E18" s="125" t="n">
        <f aca="false">IF(ISNUMBER(E15),E$8/3600*E15,"SLO 不可達")</f>
        <v>0.99471146395947</v>
      </c>
      <c r="F18" s="125" t="n">
        <f aca="false">IF(ISNUMBER(F15),F$8/3600*F15,"SLO 不可達")</f>
        <v>0.100612536821314</v>
      </c>
      <c r="G18" s="125" t="n">
        <f aca="false">IF(ISNUMBER(G15),G$8/3600*G15,"SLO 不可達")</f>
        <v>0.134338901137635</v>
      </c>
      <c r="H18" s="125" t="n">
        <f aca="false">IF(ISNUMBER(H15),H$8/3600*H15,"SLO 不可達")</f>
        <v>0.217886898296258</v>
      </c>
      <c r="I18" s="125" t="n">
        <f aca="false">IF(ISNUMBER(I15),I$8/3600*I15,"SLO 不可達")</f>
        <v>0.0881003806320243</v>
      </c>
      <c r="J18" s="125" t="n">
        <f aca="false">IF(ISNUMBER(J15),J$8/3600*J15,"SLO 不可達")</f>
        <v>0.11378674002985</v>
      </c>
      <c r="K18" s="125" t="n">
        <f aca="false">IF(ISNUMBER(K15),K$8/3600*K15,"SLO 不可達")</f>
        <v>0.193727472635897</v>
      </c>
      <c r="L18" s="125" t="n">
        <f aca="false">IF(ISNUMBER(L15),L$8/3600*L15,"SLO 不可達")</f>
        <v>0.0684962476429933</v>
      </c>
      <c r="M18" s="125" t="n">
        <f aca="false">IF(ISNUMBER(M15),M$8/3600*M15,"SLO 不可達")</f>
        <v>0.0880353361993613</v>
      </c>
      <c r="N18" s="125" t="n">
        <f aca="false">IF(ISNUMBER(N15),N$8/3600*N15,"SLO 不可達")</f>
        <v>0.142223811787074</v>
      </c>
      <c r="O18" s="125" t="n">
        <f aca="false">IF(ISNUMBER(O15),O$8/3600*O15,"SLO 不可達")</f>
        <v>0.0539445549286936</v>
      </c>
      <c r="P18" s="125" t="n">
        <f aca="false">IF(ISNUMBER(P15),P$8/3600*P15,"SLO 不可達")</f>
        <v>0.0819883268305102</v>
      </c>
      <c r="Q18" s="125" t="n">
        <f aca="false">IF(ISNUMBER(Q15),Q$8/3600*Q15,"SLO 不可達")</f>
        <v>0.149673091144256</v>
      </c>
    </row>
    <row r="19" customFormat="false" ht="15" hidden="false" customHeight="false" outlineLevel="0" collapsed="false">
      <c r="A19" s="61" t="s">
        <v>995</v>
      </c>
      <c r="B19" s="62" t="s">
        <v>976</v>
      </c>
      <c r="C19" s="116" t="n">
        <f aca="false">C16/C$10</f>
        <v>0.0644543904243201</v>
      </c>
      <c r="D19" s="116" t="n">
        <f aca="false">D16/D$10</f>
        <v>0.0920924313444063</v>
      </c>
      <c r="E19" s="116" t="n">
        <f aca="false">E16/E$10</f>
        <v>0.158156576859415</v>
      </c>
      <c r="F19" s="116" t="n">
        <f aca="false">F16/F$10</f>
        <v>0.00888140317688737</v>
      </c>
      <c r="G19" s="116" t="n">
        <f aca="false">G16/G$10</f>
        <v>0.0118585415002735</v>
      </c>
      <c r="H19" s="116" t="n">
        <f aca="false">H16/H$10</f>
        <v>0.0192336010189992</v>
      </c>
      <c r="I19" s="116" t="n">
        <f aca="false">I16/I$10</f>
        <v>0.00777691354527593</v>
      </c>
      <c r="J19" s="116" t="n">
        <f aca="false">J16/J$10</f>
        <v>0.0100443339002927</v>
      </c>
      <c r="K19" s="116" t="n">
        <f aca="false">K16/K$10</f>
        <v>0.0171009681822706</v>
      </c>
      <c r="L19" s="116" t="n">
        <f aca="false">L16/L$10</f>
        <v>0.0062786915081113</v>
      </c>
      <c r="M19" s="116" t="n">
        <f aca="false">M16/M$10</f>
        <v>0.00806973720209615</v>
      </c>
      <c r="N19" s="116" t="n">
        <f aca="false">N16/N$10</f>
        <v>0.0130369103424904</v>
      </c>
      <c r="O19" s="116" t="n">
        <f aca="false">O16/O$10</f>
        <v>0.00499455435126443</v>
      </c>
      <c r="P19" s="116" t="n">
        <f aca="false">P16/P$10</f>
        <v>0.00759103778065283</v>
      </c>
      <c r="Q19" s="116" t="n">
        <f aca="false">Q16/Q$10</f>
        <v>0.0138577543114387</v>
      </c>
      <c r="R19" s="74" t="s">
        <v>996</v>
      </c>
    </row>
    <row r="20" customFormat="false" ht="15" hidden="false" customHeight="false" outlineLevel="0" collapsed="false">
      <c r="A20" s="61" t="s">
        <v>997</v>
      </c>
      <c r="B20" s="62" t="s">
        <v>976</v>
      </c>
      <c r="C20" s="126" t="n">
        <f aca="false">C17/C$10</f>
        <v>1.39704045565302E-005</v>
      </c>
      <c r="D20" s="126" t="n">
        <f aca="false">D17/D$10</f>
        <v>1.99609136632279E-005</v>
      </c>
      <c r="E20" s="126" t="n">
        <f aca="false">E17/E$10</f>
        <v>3.42802305235716E-005</v>
      </c>
      <c r="F20" s="126" t="n">
        <f aca="false">F17/F$10</f>
        <v>1.94644336265761E-005</v>
      </c>
      <c r="G20" s="126" t="n">
        <f aca="false">G17/G$10</f>
        <v>2.59891133577573E-005</v>
      </c>
      <c r="H20" s="126" t="n">
        <f aca="false">H17/H$10</f>
        <v>4.21522526314993E-005</v>
      </c>
      <c r="I20" s="126" t="n">
        <f aca="false">I17/I$10</f>
        <v>2.55657604727773E-005</v>
      </c>
      <c r="J20" s="126" t="n">
        <f aca="false">J17/J$10</f>
        <v>3.30196591627879E-005</v>
      </c>
      <c r="K20" s="126" t="n">
        <f aca="false">K17/K$10</f>
        <v>5.62175796162852E-005</v>
      </c>
      <c r="L20" s="126" t="n">
        <f aca="false">L17/L$10</f>
        <v>4.81612084155756E-005</v>
      </c>
      <c r="M20" s="126" t="n">
        <f aca="false">M17/M$10</f>
        <v>6.18995685242682E-005</v>
      </c>
      <c r="N20" s="126" t="n">
        <f aca="false">N17/N$10</f>
        <v>0.000100000669771514</v>
      </c>
      <c r="O20" s="126" t="n">
        <f aca="false">O17/O$10</f>
        <v>7.66222620568037E-005</v>
      </c>
      <c r="P20" s="126" t="n">
        <f aca="false">P17/P$10</f>
        <v>0.000116455332188953</v>
      </c>
      <c r="Q20" s="126" t="n">
        <f aca="false">Q17/Q$10</f>
        <v>0.000212594038965868</v>
      </c>
      <c r="R20" s="74" t="s">
        <v>998</v>
      </c>
    </row>
    <row r="21" customFormat="false" ht="15" hidden="false" customHeight="false" outlineLevel="0" collapsed="false">
      <c r="A21" s="62" t="s">
        <v>999</v>
      </c>
      <c r="B21" s="62" t="s">
        <v>976</v>
      </c>
      <c r="C21" s="125" t="n">
        <f aca="false">IF(ISNUMBER(C18),C18/C$10,C18)</f>
        <v>0.675633416903694</v>
      </c>
      <c r="D21" s="125" t="n">
        <f aca="false">IF(ISNUMBER(D18),D18/D$10,D18)</f>
        <v>0.965345008316342</v>
      </c>
      <c r="E21" s="125" t="n">
        <f aca="false">IF(ISNUMBER(E18),E18/E$10,E18)</f>
        <v>1.65785243993245</v>
      </c>
      <c r="F21" s="125" t="n">
        <f aca="false">IF(ISNUMBER(F18),F18/F$10,F18)</f>
        <v>0.167687561368856</v>
      </c>
      <c r="G21" s="125" t="n">
        <f aca="false">IF(ISNUMBER(G18),G18/G$10,G18)</f>
        <v>0.223898168562724</v>
      </c>
      <c r="H21" s="125" t="n">
        <f aca="false">IF(ISNUMBER(H18),H18/H$10,H18)</f>
        <v>0.363144830493763</v>
      </c>
      <c r="I21" s="125" t="n">
        <f aca="false">IF(ISNUMBER(I18),I18/I$10,I18)</f>
        <v>0.146833967720041</v>
      </c>
      <c r="J21" s="125" t="n">
        <f aca="false">IF(ISNUMBER(J18),J18/J$10,J18)</f>
        <v>0.189644566716417</v>
      </c>
      <c r="K21" s="125" t="n">
        <f aca="false">IF(ISNUMBER(K18),K18/K$10,K18)</f>
        <v>0.322879121059829</v>
      </c>
      <c r="L21" s="125" t="n">
        <f aca="false">IF(ISNUMBER(L18),L18/L$10,L18)</f>
        <v>0.114160412738322</v>
      </c>
      <c r="M21" s="125" t="n">
        <f aca="false">IF(ISNUMBER(M18),M18/M$10,M18)</f>
        <v>0.146725560332269</v>
      </c>
      <c r="N21" s="125" t="n">
        <f aca="false">IF(ISNUMBER(N18),N18/N$10,N18)</f>
        <v>0.237039686311789</v>
      </c>
      <c r="O21" s="125" t="n">
        <f aca="false">IF(ISNUMBER(O18),O18/O$10,O18)</f>
        <v>0.0899075915478227</v>
      </c>
      <c r="P21" s="125" t="n">
        <f aca="false">IF(ISNUMBER(P18),P18/P$10,P18)</f>
        <v>0.136647211384184</v>
      </c>
      <c r="Q21" s="125" t="n">
        <f aca="false">IF(ISNUMBER(Q18),Q18/Q$10,Q18)</f>
        <v>0.249455151907094</v>
      </c>
      <c r="R21" s="74" t="s">
        <v>1000</v>
      </c>
    </row>
    <row r="22" customFormat="false" ht="15" hidden="false" customHeight="false" outlineLevel="0" collapsed="false">
      <c r="A22" s="62" t="s">
        <v>1001</v>
      </c>
      <c r="B22" s="62" t="s">
        <v>976</v>
      </c>
      <c r="C22" s="116" t="n">
        <f aca="false">IF(ISNUMBER(C15),C$9/3600*C15,"SLO 不可達")</f>
        <v>0.309807224470561</v>
      </c>
      <c r="D22" s="116" t="n">
        <f aca="false">IF(ISNUMBER(D15),D$9/3600*D15,"SLO 不可達")</f>
        <v>0.424066674755377</v>
      </c>
      <c r="E22" s="116" t="n">
        <f aca="false">IF(ISNUMBER(E15),E$9/3600*E15,"SLO 不可達")</f>
        <v>0.728677436024838</v>
      </c>
      <c r="F22" s="116" t="n">
        <f aca="false">IF(ISNUMBER(F15),F$9/3600*F15,"SLO 不可達")</f>
        <v>0.0768388739873208</v>
      </c>
      <c r="G22" s="116" t="n">
        <f aca="false">IF(ISNUMBER(G15),G$9/3600*G15,"SLO 不可達")</f>
        <v>0.09813766333961</v>
      </c>
      <c r="H22" s="116" t="n">
        <f aca="false">IF(ISNUMBER(H15),H$9/3600*H15,"SLO 不可達")</f>
        <v>0.158555864541521</v>
      </c>
      <c r="I22" s="116" t="n">
        <f aca="false">IF(ISNUMBER(I15),I$9/3600*I15,"SLO 不可達")</f>
        <v>0.0676632697466918</v>
      </c>
      <c r="J22" s="116" t="n">
        <f aca="false">IF(ISNUMBER(J15),J$9/3600*J15,"SLO 不可達")</f>
        <v>0.0835121137686063</v>
      </c>
      <c r="K22" s="116" t="n">
        <f aca="false">IF(ISNUMBER(K15),K$9/3600*K15,"SLO 不可達")</f>
        <v>0.142494833208626</v>
      </c>
      <c r="L22" s="116" t="n">
        <f aca="false">IF(ISNUMBER(L15),L$9/3600*L15,"SLO 不可達")</f>
        <v>0.0527292489800629</v>
      </c>
      <c r="M22" s="116" t="n">
        <f aca="false">IF(ISNUMBER(M15),M$9/3600*M15,"SLO 不可達")</f>
        <v>0.0647533763301163</v>
      </c>
      <c r="N22" s="116" t="n">
        <f aca="false">IF(ISNUMBER(N15),N$9/3600*N15,"SLO 不可達")</f>
        <v>0.104844975199622</v>
      </c>
      <c r="O22" s="116" t="n">
        <f aca="false">IF(ISNUMBER(O15),O$9/3600*O15,"SLO 不可達")</f>
        <v>0.0415710344177534</v>
      </c>
      <c r="P22" s="116" t="n">
        <f aca="false">IF(ISNUMBER(P15),P$9/3600*P15,"SLO 不可達")</f>
        <v>0.0605233229202693</v>
      </c>
      <c r="Q22" s="116" t="n">
        <f aca="false">IF(ISNUMBER(Q15),Q$9/3600*Q15,"SLO 不可達")</f>
        <v>0.111441805351052</v>
      </c>
    </row>
    <row r="23" customFormat="false" ht="15" hidden="false" customHeight="false" outlineLevel="0" collapsed="false">
      <c r="A23" s="61" t="s">
        <v>1002</v>
      </c>
      <c r="B23" s="62" t="s">
        <v>976</v>
      </c>
      <c r="C23" s="94" t="n">
        <f aca="false">IF(ISNUMBER(C18),(Serving!$C$23*C16+Serving!$C$24*C18)/(Serving!$C$23+Serving!$C$24),C18)</f>
        <v>0.0794179026865503</v>
      </c>
      <c r="D23" s="94" t="n">
        <f aca="false">IF(ISNUMBER(D18),(Serving!$C$23*D16+Serving!$C$24*D18)/(Serving!$C$23+Serving!$C$24),D18)</f>
        <v>0.113472297271439</v>
      </c>
      <c r="E23" s="94" t="n">
        <f aca="false">IF(ISNUMBER(E18),(Serving!$C$23*E16+Serving!$C$24*E18)/(Serving!$C$23+Serving!$C$24),E18)</f>
        <v>0.194873670320518</v>
      </c>
      <c r="F23" s="94" t="n">
        <f aca="false">IF(ISNUMBER(F18),(Serving!$C$23*F16+Serving!$C$24*F18)/(Serving!$C$23+Serving!$C$24),F18)</f>
        <v>0.0159159191189303</v>
      </c>
      <c r="G23" s="94" t="n">
        <f aca="false">IF(ISNUMBER(G18),(Serving!$C$23*G16+Serving!$C$24*G18)/(Serving!$C$23+Serving!$C$24),G18)</f>
        <v>0.0212511000376608</v>
      </c>
      <c r="H23" s="94" t="n">
        <f aca="false">IF(ISNUMBER(H18),(Serving!$C$23*H16+Serving!$C$24*H18)/(Serving!$C$23+Serving!$C$24),H18)</f>
        <v>0.0344675759097171</v>
      </c>
      <c r="I23" s="94" t="n">
        <f aca="false">IF(ISNUMBER(I18),(Serving!$C$23*I16+Serving!$C$24*I18)/(Serving!$C$23+Serving!$C$24),I18)</f>
        <v>0.0139366184054832</v>
      </c>
      <c r="J23" s="94" t="n">
        <f aca="false">IF(ISNUMBER(J18),(Serving!$C$23*J16+Serving!$C$24*J18)/(Serving!$C$23+Serving!$C$24),J18)</f>
        <v>0.0179999491945839</v>
      </c>
      <c r="K23" s="94" t="n">
        <f aca="false">IF(ISNUMBER(K18),(Serving!$C$23*K16+Serving!$C$24*K18)/(Serving!$C$23+Serving!$C$24),K18)</f>
        <v>0.0306457911011996</v>
      </c>
      <c r="L23" s="94" t="n">
        <f aca="false">IF(ISNUMBER(L18),(Serving!$C$23*L16+Serving!$C$24*L18)/(Serving!$C$23+Serving!$C$24),L18)</f>
        <v>0.0109593296535475</v>
      </c>
      <c r="M23" s="94" t="n">
        <f aca="false">IF(ISNUMBER(M18),(Serving!$C$23*M16+Serving!$C$24*M18)/(Serving!$C$23+Serving!$C$24),M18)</f>
        <v>0.0140855638632692</v>
      </c>
      <c r="N23" s="94" t="n">
        <f aca="false">IF(ISNUMBER(N18),(Serving!$C$23*N16+Serving!$C$24*N18)/(Serving!$C$23+Serving!$C$24),N18)</f>
        <v>0.0227556646034475</v>
      </c>
      <c r="O23" s="94" t="n">
        <f aca="false">IF(ISNUMBER(O18),(Serving!$C$23*O16+Serving!$C$24*O18)/(Serving!$C$23+Serving!$C$24),O18)</f>
        <v>0.00865760175719588</v>
      </c>
      <c r="P23" s="94" t="n">
        <f aca="false">IF(ISNUMBER(P18),(Serving!$C$23*P16+Serving!$C$24*P18)/(Serving!$C$23+Serving!$C$24),P18)</f>
        <v>0.0131583675752938</v>
      </c>
      <c r="Q23" s="94" t="n">
        <f aca="false">IF(ISNUMBER(Q18),(Serving!$C$23*Q16+Serving!$C$24*Q18)/(Serving!$C$23+Serving!$C$24),Q18)</f>
        <v>0.0240211457599069</v>
      </c>
    </row>
    <row r="25" customFormat="false" ht="15" hidden="false" customHeight="false" outlineLevel="0" collapsed="false">
      <c r="A25" s="76" t="s">
        <v>279</v>
      </c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</row>
    <row r="26" customFormat="false" ht="15" hidden="false" customHeight="false" outlineLevel="0" collapsed="false">
      <c r="A26" s="62" t="s">
        <v>989</v>
      </c>
      <c r="B26" s="62" t="s">
        <v>925</v>
      </c>
      <c r="C26" s="98" t="n">
        <f aca="false">INDEX(Perf!$C$101:$Q$101,3*(C$6-1)+2)</f>
        <v>447.562697483303</v>
      </c>
      <c r="D26" s="98" t="n">
        <f aca="false">INDEX(Perf!$C$101:$Q$101,3*(D$6-1)+2)</f>
        <v>447.562697483303</v>
      </c>
      <c r="E26" s="98" t="n">
        <f aca="false">INDEX(Perf!$C$101:$Q$101,3*(E$6-1)+2)</f>
        <v>447.562697483303</v>
      </c>
      <c r="F26" s="98" t="n">
        <f aca="false">INDEX(Perf!$C$101:$Q$101,3*(F$6-1)+2)</f>
        <v>44.2639507810987</v>
      </c>
      <c r="G26" s="98" t="n">
        <f aca="false">INDEX(Perf!$C$101:$Q$101,3*(G$6-1)+2)</f>
        <v>44.2639507810987</v>
      </c>
      <c r="H26" s="98" t="n">
        <f aca="false">INDEX(Perf!$C$101:$Q$101,3*(H$6-1)+2)</f>
        <v>44.2639507810987</v>
      </c>
      <c r="I26" s="98" t="n">
        <f aca="false">INDEX(Perf!$C$101:$Q$101,3*(I$6-1)+2)</f>
        <v>29.5093005207324</v>
      </c>
      <c r="J26" s="98" t="n">
        <f aca="false">INDEX(Perf!$C$101:$Q$101,3*(J$6-1)+2)</f>
        <v>29.5093005207324</v>
      </c>
      <c r="K26" s="98" t="n">
        <f aca="false">INDEX(Perf!$C$101:$Q$101,3*(K$6-1)+2)</f>
        <v>29.5093005207324</v>
      </c>
      <c r="L26" s="98" t="n">
        <f aca="false">INDEX(Perf!$C$101:$Q$101,3*(L$6-1)+2)</f>
        <v>12.6468430803139</v>
      </c>
      <c r="M26" s="98" t="n">
        <f aca="false">INDEX(Perf!$C$101:$Q$101,3*(M$6-1)+2)</f>
        <v>12.6468430803139</v>
      </c>
      <c r="N26" s="98" t="n">
        <f aca="false">INDEX(Perf!$C$101:$Q$101,3*(N$6-1)+2)</f>
        <v>12.6468430803139</v>
      </c>
      <c r="O26" s="98" t="n">
        <f aca="false">INDEX(Perf!$C$101:$Q$101,3*(O$6-1)+2)</f>
        <v>6.32342154015695</v>
      </c>
      <c r="P26" s="98" t="n">
        <f aca="false">INDEX(Perf!$C$101:$Q$101,3*(P$6-1)+2)</f>
        <v>6.32342154015695</v>
      </c>
      <c r="Q26" s="98" t="n">
        <f aca="false">INDEX(Perf!$C$101:$Q$101,3*(Q$6-1)+2)</f>
        <v>6.32342154015695</v>
      </c>
    </row>
    <row r="27" customFormat="false" ht="15" hidden="false" customHeight="false" outlineLevel="0" collapsed="false">
      <c r="A27" s="62" t="s">
        <v>990</v>
      </c>
      <c r="B27" s="62" t="s">
        <v>925</v>
      </c>
      <c r="C27" s="94" t="n">
        <f aca="false">INDEX(Perf!$C$102:$Q$102,3*(C$6-1)+2)</f>
        <v>0.03965</v>
      </c>
      <c r="D27" s="94" t="n">
        <f aca="false">INDEX(Perf!$C$102:$Q$102,3*(D$6-1)+2)</f>
        <v>0.03965</v>
      </c>
      <c r="E27" s="94" t="n">
        <f aca="false">INDEX(Perf!$C$102:$Q$102,3*(E$6-1)+2)</f>
        <v>0.03965</v>
      </c>
      <c r="F27" s="94" t="n">
        <f aca="false">INDEX(Perf!$C$102:$Q$102,3*(F$6-1)+2)</f>
        <v>0.03965</v>
      </c>
      <c r="G27" s="94" t="n">
        <f aca="false">INDEX(Perf!$C$102:$Q$102,3*(G$6-1)+2)</f>
        <v>0.03965</v>
      </c>
      <c r="H27" s="94" t="n">
        <f aca="false">INDEX(Perf!$C$102:$Q$102,3*(H$6-1)+2)</f>
        <v>0.03965</v>
      </c>
      <c r="I27" s="94" t="n">
        <f aca="false">INDEX(Perf!$C$102:$Q$102,3*(I$6-1)+2)</f>
        <v>0.03965</v>
      </c>
      <c r="J27" s="94" t="n">
        <f aca="false">INDEX(Perf!$C$102:$Q$102,3*(J$6-1)+2)</f>
        <v>0.03965</v>
      </c>
      <c r="K27" s="94" t="n">
        <f aca="false">INDEX(Perf!$C$102:$Q$102,3*(K$6-1)+2)</f>
        <v>0.03965</v>
      </c>
      <c r="L27" s="94" t="n">
        <f aca="false">INDEX(Perf!$C$102:$Q$102,3*(L$6-1)+2)</f>
        <v>0.03965</v>
      </c>
      <c r="M27" s="94" t="n">
        <f aca="false">INDEX(Perf!$C$102:$Q$102,3*(M$6-1)+2)</f>
        <v>0.03965</v>
      </c>
      <c r="N27" s="94" t="n">
        <f aca="false">INDEX(Perf!$C$102:$Q$102,3*(N$6-1)+2)</f>
        <v>0.03965</v>
      </c>
      <c r="O27" s="94" t="n">
        <f aca="false">INDEX(Perf!$C$102:$Q$102,3*(O$6-1)+2)</f>
        <v>0.03965</v>
      </c>
      <c r="P27" s="94" t="n">
        <f aca="false">INDEX(Perf!$C$102:$Q$102,3*(P$6-1)+2)</f>
        <v>0.03965</v>
      </c>
      <c r="Q27" s="94" t="n">
        <f aca="false">INDEX(Perf!$C$102:$Q$102,3*(Q$6-1)+2)</f>
        <v>0.03965</v>
      </c>
    </row>
    <row r="28" customFormat="false" ht="15" hidden="false" customHeight="false" outlineLevel="0" collapsed="false">
      <c r="A28" s="62" t="s">
        <v>991</v>
      </c>
      <c r="B28" s="62" t="s">
        <v>925</v>
      </c>
      <c r="C28" s="98" t="n">
        <f aca="false">INDEX(Perf!$C$103:$Q$103,3*(C$6-1)+2)</f>
        <v>4447.93179021334</v>
      </c>
      <c r="D28" s="98" t="n">
        <f aca="false">INDEX(Perf!$C$103:$Q$103,3*(D$6-1)+2)</f>
        <v>4447.93179021334</v>
      </c>
      <c r="E28" s="98" t="n">
        <f aca="false">INDEX(Perf!$C$103:$Q$103,3*(E$6-1)+2)</f>
        <v>4447.93179021334</v>
      </c>
      <c r="F28" s="98" t="n">
        <f aca="false">INDEX(Perf!$C$103:$Q$103,3*(F$6-1)+2)</f>
        <v>817.113857509954</v>
      </c>
      <c r="G28" s="98" t="n">
        <f aca="false">INDEX(Perf!$C$103:$Q$103,3*(G$6-1)+2)</f>
        <v>817.113857509954</v>
      </c>
      <c r="H28" s="98" t="n">
        <f aca="false">INDEX(Perf!$C$103:$Q$103,3*(H$6-1)+2)</f>
        <v>817.113857509954</v>
      </c>
      <c r="I28" s="98" t="n">
        <f aca="false">INDEX(Perf!$C$103:$Q$103,3*(I$6-1)+2)</f>
        <v>544.742571673303</v>
      </c>
      <c r="J28" s="98" t="n">
        <f aca="false">INDEX(Perf!$C$103:$Q$103,3*(J$6-1)+2)</f>
        <v>544.742571673303</v>
      </c>
      <c r="K28" s="98" t="n">
        <f aca="false">INDEX(Perf!$C$103:$Q$103,3*(K$6-1)+2)</f>
        <v>544.742571673303</v>
      </c>
      <c r="L28" s="98" t="n">
        <f aca="false">INDEX(Perf!$C$103:$Q$103,3*(L$6-1)+2)</f>
        <v>214.057162301727</v>
      </c>
      <c r="M28" s="98" t="n">
        <f aca="false">INDEX(Perf!$C$103:$Q$103,3*(M$6-1)+2)</f>
        <v>214.057162301727</v>
      </c>
      <c r="N28" s="98" t="n">
        <f aca="false">INDEX(Perf!$C$103:$Q$103,3*(N$6-1)+2)</f>
        <v>214.057162301727</v>
      </c>
      <c r="O28" s="98" t="n">
        <f aca="false">INDEX(Perf!$C$103:$Q$103,3*(O$6-1)+2)</f>
        <v>104.491781489457</v>
      </c>
      <c r="P28" s="98" t="n">
        <f aca="false">INDEX(Perf!$C$103:$Q$103,3*(P$6-1)+2)</f>
        <v>104.491781489457</v>
      </c>
      <c r="Q28" s="98" t="n">
        <f aca="false">INDEX(Perf!$C$103:$Q$103,3*(Q$6-1)+2)</f>
        <v>104.491781489457</v>
      </c>
    </row>
    <row r="29" customFormat="false" ht="15" hidden="false" customHeight="false" outlineLevel="0" collapsed="false">
      <c r="A29" s="61" t="s">
        <v>992</v>
      </c>
      <c r="B29" s="62" t="s">
        <v>976</v>
      </c>
      <c r="C29" s="125" t="n">
        <f aca="false">C$8/3600*C26</f>
        <v>0.134224657207592</v>
      </c>
      <c r="D29" s="125" t="n">
        <f aca="false">D$8/3600*D26</f>
        <v>0.191780186690782</v>
      </c>
      <c r="E29" s="125" t="n">
        <f aca="false">E$8/3600*E26</f>
        <v>0.32935711864356</v>
      </c>
      <c r="F29" s="125" t="n">
        <f aca="false">F$8/3600*F26</f>
        <v>0.018495300150885</v>
      </c>
      <c r="G29" s="125" t="n">
        <f aca="false">G$8/3600*G26</f>
        <v>0.0246951163043756</v>
      </c>
      <c r="H29" s="125" t="n">
        <f aca="false">H$8/3600*H26</f>
        <v>0.0400534934338416</v>
      </c>
      <c r="I29" s="125" t="n">
        <f aca="false">I$8/3600*I26</f>
        <v>0.0161952280965778</v>
      </c>
      <c r="J29" s="125" t="n">
        <f aca="false">J$8/3600*J26</f>
        <v>0.0209170743182869</v>
      </c>
      <c r="K29" s="125" t="n">
        <f aca="false">K$8/3600*K26</f>
        <v>0.0356123388503434</v>
      </c>
      <c r="L29" s="125" t="n">
        <f aca="false">L$8/3600*L26</f>
        <v>0.0130752181479087</v>
      </c>
      <c r="M29" s="125" t="n">
        <f aca="false">M$8/3600*M26</f>
        <v>0.0168050260436256</v>
      </c>
      <c r="N29" s="125" t="n">
        <f aca="false">N$8/3600*N26</f>
        <v>0.0271490399683714</v>
      </c>
      <c r="O29" s="125" t="n">
        <f aca="false">O$8/3600*O26</f>
        <v>0.0104010346120689</v>
      </c>
      <c r="P29" s="125" t="n">
        <f aca="false">P$8/3600*P26</f>
        <v>0.0158081464621773</v>
      </c>
      <c r="Q29" s="125" t="n">
        <f aca="false">Q$8/3600*Q26</f>
        <v>0.0288584270190855</v>
      </c>
    </row>
    <row r="30" customFormat="false" ht="15" hidden="false" customHeight="false" outlineLevel="0" collapsed="false">
      <c r="A30" s="61" t="s">
        <v>993</v>
      </c>
      <c r="B30" s="62" t="s">
        <v>976</v>
      </c>
      <c r="C30" s="126" t="n">
        <f aca="false">C$8/3600*C27</f>
        <v>1.18910885295117E-005</v>
      </c>
      <c r="D30" s="126" t="n">
        <f aca="false">D$8/3600*D27</f>
        <v>1.69899869784684E-005</v>
      </c>
      <c r="E30" s="126" t="n">
        <f aca="false">E$8/3600*E27</f>
        <v>2.91780566782028E-005</v>
      </c>
      <c r="F30" s="126" t="n">
        <f aca="false">F$8/3600*F27</f>
        <v>1.65674016449461E-005</v>
      </c>
      <c r="G30" s="126" t="n">
        <f aca="false">G$8/3600*G27</f>
        <v>2.21209662533469E-005</v>
      </c>
      <c r="H30" s="126" t="n">
        <f aca="false">H$8/3600*H27</f>
        <v>3.58784289840203E-005</v>
      </c>
      <c r="I30" s="126" t="n">
        <f aca="false">I$8/3600*I27</f>
        <v>2.17606240303174E-005</v>
      </c>
      <c r="J30" s="126" t="n">
        <f aca="false">J$8/3600*J27</f>
        <v>2.81051052408846E-005</v>
      </c>
      <c r="K30" s="126" t="n">
        <f aca="false">K$8/3600*K27</f>
        <v>4.7850311952466E-005</v>
      </c>
      <c r="L30" s="126" t="n">
        <f aca="false">L$8/3600*L27</f>
        <v>4.09930285583736E-005</v>
      </c>
      <c r="M30" s="126" t="n">
        <f aca="false">M$8/3600*M27</f>
        <v>5.2686609488098E-005</v>
      </c>
      <c r="N30" s="126" t="n">
        <f aca="false">N$8/3600*N27</f>
        <v>8.51168491543588E-005</v>
      </c>
      <c r="O30" s="126" t="n">
        <f aca="false">O$8/3600*O27</f>
        <v>6.52180184018376E-005</v>
      </c>
      <c r="P30" s="126" t="n">
        <f aca="false">P$8/3600*P27</f>
        <v>9.91224455375737E-005</v>
      </c>
      <c r="Q30" s="126" t="n">
        <f aca="false">Q$8/3600*Q27</f>
        <v>0.000180952135491878</v>
      </c>
    </row>
    <row r="31" customFormat="false" ht="15" hidden="false" customHeight="false" outlineLevel="0" collapsed="false">
      <c r="A31" s="62" t="s">
        <v>994</v>
      </c>
      <c r="B31" s="62" t="s">
        <v>976</v>
      </c>
      <c r="C31" s="125" t="n">
        <f aca="false">IF(ISNUMBER(C28),C$8/3600*C28,"SLO 不可達")</f>
        <v>1.33394074881857</v>
      </c>
      <c r="D31" s="125" t="n">
        <f aca="false">IF(ISNUMBER(D28),D$8/3600*D28,"SLO 不可達")</f>
        <v>1.905934506856</v>
      </c>
      <c r="E31" s="125" t="n">
        <f aca="false">IF(ISNUMBER(E28),E$8/3600*E28,"SLO 不可達")</f>
        <v>3.2731905643285</v>
      </c>
      <c r="F31" s="125" t="n">
        <f aca="false">IF(ISNUMBER(F28),F$8/3600*F28,"SLO 不可達")</f>
        <v>0.341423794880673</v>
      </c>
      <c r="G31" s="125" t="n">
        <f aca="false">IF(ISNUMBER(G28),G$8/3600*G28,"SLO 不可達")</f>
        <v>0.455872586812606</v>
      </c>
      <c r="H31" s="125" t="n">
        <f aca="false">IF(ISNUMBER(H28),H$8/3600*H28,"SLO 不可達")</f>
        <v>0.739388688739717</v>
      </c>
      <c r="I31" s="125" t="n">
        <f aca="false">IF(ISNUMBER(I28),I$8/3600*I28,"SLO 不可達")</f>
        <v>0.29896439585097</v>
      </c>
      <c r="J31" s="125" t="n">
        <f aca="false">IF(ISNUMBER(J28),J$8/3600*J28,"SLO 不可達")</f>
        <v>0.386129818564143</v>
      </c>
      <c r="K31" s="125" t="n">
        <f aca="false">IF(ISNUMBER(K28),K$8/3600*K28,"SLO 不可達")</f>
        <v>0.657404842077077</v>
      </c>
      <c r="L31" s="125" t="n">
        <f aca="false">IF(ISNUMBER(L28),L$8/3600*L28,"SLO 不可達")</f>
        <v>0.22130772679342</v>
      </c>
      <c r="M31" s="125" t="n">
        <f aca="false">IF(ISNUMBER(M28),M$8/3600*M28,"SLO 不可達")</f>
        <v>0.284437480916053</v>
      </c>
      <c r="N31" s="125" t="n">
        <f aca="false">IF(ISNUMBER(N28),N$8/3600*N28,"SLO 不可達")</f>
        <v>0.459517558487924</v>
      </c>
      <c r="O31" s="125" t="n">
        <f aca="false">IF(ISNUMBER(O28),O$8/3600*O28,"SLO 不可達")</f>
        <v>0.171872558083737</v>
      </c>
      <c r="P31" s="125" t="n">
        <f aca="false">IF(ISNUMBER(P28),P$8/3600*P28,"SLO 不可達")</f>
        <v>0.261222721811166</v>
      </c>
      <c r="Q31" s="125" t="n">
        <f aca="false">IF(ISNUMBER(Q28),Q$8/3600*Q28,"SLO 不可達")</f>
        <v>0.47687291303576</v>
      </c>
    </row>
    <row r="32" customFormat="false" ht="15" hidden="false" customHeight="false" outlineLevel="0" collapsed="false">
      <c r="A32" s="61" t="s">
        <v>995</v>
      </c>
      <c r="B32" s="62" t="s">
        <v>976</v>
      </c>
      <c r="C32" s="116" t="n">
        <f aca="false">C29/C$10</f>
        <v>0.223707762012654</v>
      </c>
      <c r="D32" s="116" t="n">
        <f aca="false">D29/D$10</f>
        <v>0.319633644484636</v>
      </c>
      <c r="E32" s="116" t="n">
        <f aca="false">E29/E$10</f>
        <v>0.548928531072599</v>
      </c>
      <c r="F32" s="116" t="n">
        <f aca="false">F29/F$10</f>
        <v>0.030825500251475</v>
      </c>
      <c r="G32" s="116" t="n">
        <f aca="false">G29/G$10</f>
        <v>0.0411585271739594</v>
      </c>
      <c r="H32" s="116" t="n">
        <f aca="false">H29/H$10</f>
        <v>0.066755822389736</v>
      </c>
      <c r="I32" s="116" t="n">
        <f aca="false">I29/I$10</f>
        <v>0.0269920468276296</v>
      </c>
      <c r="J32" s="116" t="n">
        <f aca="false">J29/J$10</f>
        <v>0.0348617905304781</v>
      </c>
      <c r="K32" s="116" t="n">
        <f aca="false">K29/K$10</f>
        <v>0.0593538980839057</v>
      </c>
      <c r="L32" s="116" t="n">
        <f aca="false">L29/L$10</f>
        <v>0.0217920302465144</v>
      </c>
      <c r="M32" s="116" t="n">
        <f aca="false">M29/M$10</f>
        <v>0.028008376739376</v>
      </c>
      <c r="N32" s="116" t="n">
        <f aca="false">N29/N$10</f>
        <v>0.0452483999472857</v>
      </c>
      <c r="O32" s="116" t="n">
        <f aca="false">O29/O$10</f>
        <v>0.0173350576867815</v>
      </c>
      <c r="P32" s="116" t="n">
        <f aca="false">P29/P$10</f>
        <v>0.0263469107702954</v>
      </c>
      <c r="Q32" s="116" t="n">
        <f aca="false">Q29/Q$10</f>
        <v>0.0480973783651425</v>
      </c>
      <c r="R32" s="74" t="s">
        <v>1003</v>
      </c>
    </row>
    <row r="33" customFormat="false" ht="15" hidden="false" customHeight="false" outlineLevel="0" collapsed="false">
      <c r="A33" s="61" t="s">
        <v>997</v>
      </c>
      <c r="B33" s="62" t="s">
        <v>976</v>
      </c>
      <c r="C33" s="126" t="n">
        <f aca="false">C30/C$10</f>
        <v>1.98184808825195E-005</v>
      </c>
      <c r="D33" s="126" t="n">
        <f aca="false">D30/D$10</f>
        <v>2.83166449641139E-005</v>
      </c>
      <c r="E33" s="126" t="n">
        <f aca="false">E30/E$10</f>
        <v>4.86300944636713E-005</v>
      </c>
      <c r="F33" s="126" t="n">
        <f aca="false">F30/F$10</f>
        <v>2.76123360749102E-005</v>
      </c>
      <c r="G33" s="126" t="n">
        <f aca="false">G30/G$10</f>
        <v>3.68682770889116E-005</v>
      </c>
      <c r="H33" s="126" t="n">
        <f aca="false">H30/H$10</f>
        <v>5.97973816400338E-005</v>
      </c>
      <c r="I33" s="126" t="n">
        <f aca="false">I30/I$10</f>
        <v>3.62677067171957E-005</v>
      </c>
      <c r="J33" s="126" t="n">
        <f aca="false">J30/J$10</f>
        <v>4.68418420681409E-005</v>
      </c>
      <c r="K33" s="126" t="n">
        <f aca="false">K30/K$10</f>
        <v>7.97505199207767E-005</v>
      </c>
      <c r="L33" s="126" t="n">
        <f aca="false">L30/L$10</f>
        <v>6.8321714263956E-005</v>
      </c>
      <c r="M33" s="126" t="n">
        <f aca="false">M30/M$10</f>
        <v>8.78110158134967E-005</v>
      </c>
      <c r="N33" s="126" t="n">
        <f aca="false">N30/N$10</f>
        <v>0.000141861415257265</v>
      </c>
      <c r="O33" s="126" t="n">
        <f aca="false">O30/O$10</f>
        <v>0.000108696697336396</v>
      </c>
      <c r="P33" s="126" t="n">
        <f aca="false">P30/P$10</f>
        <v>0.000165204075895956</v>
      </c>
      <c r="Q33" s="126" t="n">
        <f aca="false">Q30/Q$10</f>
        <v>0.000301586892486463</v>
      </c>
      <c r="R33" s="74" t="s">
        <v>1004</v>
      </c>
    </row>
    <row r="34" customFormat="false" ht="15" hidden="false" customHeight="false" outlineLevel="0" collapsed="false">
      <c r="A34" s="62" t="s">
        <v>999</v>
      </c>
      <c r="B34" s="62" t="s">
        <v>976</v>
      </c>
      <c r="C34" s="125" t="n">
        <f aca="false">IF(ISNUMBER(C31),C31/C$10,C31)</f>
        <v>2.22323458136429</v>
      </c>
      <c r="D34" s="125" t="n">
        <f aca="false">IF(ISNUMBER(D31),D31/D$10,D31)</f>
        <v>3.17655751142666</v>
      </c>
      <c r="E34" s="125" t="n">
        <f aca="false">IF(ISNUMBER(E31),E31/E$10,E31)</f>
        <v>5.45531760721416</v>
      </c>
      <c r="F34" s="125" t="n">
        <f aca="false">IF(ISNUMBER(F31),F31/F$10,F31)</f>
        <v>0.569039658134456</v>
      </c>
      <c r="G34" s="125" t="n">
        <f aca="false">IF(ISNUMBER(G31),G31/G$10,G31)</f>
        <v>0.759787644687677</v>
      </c>
      <c r="H34" s="125" t="n">
        <f aca="false">IF(ISNUMBER(H31),H31/H$10,H31)</f>
        <v>1.23231448123286</v>
      </c>
      <c r="I34" s="125" t="n">
        <f aca="false">IF(ISNUMBER(I31),I31/I$10,I31)</f>
        <v>0.49827399308495</v>
      </c>
      <c r="J34" s="125" t="n">
        <f aca="false">IF(ISNUMBER(J31),J31/J$10,J31)</f>
        <v>0.643549697606905</v>
      </c>
      <c r="K34" s="125" t="n">
        <f aca="false">IF(ISNUMBER(K31),K31/K$10,K31)</f>
        <v>1.09567473679513</v>
      </c>
      <c r="L34" s="125" t="n">
        <f aca="false">IF(ISNUMBER(L31),L31/L$10,L31)</f>
        <v>0.368846211322367</v>
      </c>
      <c r="M34" s="125" t="n">
        <f aca="false">IF(ISNUMBER(M31),M31/M$10,M31)</f>
        <v>0.474062468193422</v>
      </c>
      <c r="N34" s="125" t="n">
        <f aca="false">IF(ISNUMBER(N31),N31/N$10,N31)</f>
        <v>0.765862597479873</v>
      </c>
      <c r="O34" s="125" t="n">
        <f aca="false">IF(ISNUMBER(O31),O31/O$10,O31)</f>
        <v>0.286454263472896</v>
      </c>
      <c r="P34" s="125" t="n">
        <f aca="false">IF(ISNUMBER(P31),P31/P$10,P31)</f>
        <v>0.43537120301861</v>
      </c>
      <c r="Q34" s="125" t="n">
        <f aca="false">IF(ISNUMBER(Q31),Q31/Q$10,Q31)</f>
        <v>0.794788188392934</v>
      </c>
      <c r="R34" s="74" t="s">
        <v>1005</v>
      </c>
    </row>
    <row r="35" customFormat="false" ht="15" hidden="false" customHeight="false" outlineLevel="0" collapsed="false">
      <c r="A35" s="62" t="s">
        <v>1001</v>
      </c>
      <c r="B35" s="62" t="s">
        <v>976</v>
      </c>
      <c r="C35" s="116" t="n">
        <f aca="false">IF(ISNUMBER(C28),C$9/3600*C28,"SLO 不可達")</f>
        <v>1.01944947921014</v>
      </c>
      <c r="D35" s="116" t="n">
        <f aca="false">IF(ISNUMBER(D28),D$9/3600*D28,"SLO 不可達")</f>
        <v>1.39543082466376</v>
      </c>
      <c r="E35" s="116" t="n">
        <f aca="false">IF(ISNUMBER(E28),E$9/3600*E28,"SLO 不可達")</f>
        <v>2.39778085852317</v>
      </c>
      <c r="F35" s="116" t="n">
        <f aca="false">IF(ISNUMBER(F28),F$9/3600*F28,"SLO 不可達")</f>
        <v>0.260749015778235</v>
      </c>
      <c r="G35" s="116" t="n">
        <f aca="false">IF(ISNUMBER(G28),G$9/3600*G28,"SLO 不可達")</f>
        <v>0.33302543099215</v>
      </c>
      <c r="H35" s="116" t="n">
        <f aca="false">IF(ISNUMBER(H28),H$9/3600*H28,"SLO 不可達")</f>
        <v>0.538051685034982</v>
      </c>
      <c r="I35" s="116" t="n">
        <f aca="false">IF(ISNUMBER(I28),I$9/3600*I28,"SLO 不可達")</f>
        <v>0.22961204498778</v>
      </c>
      <c r="J35" s="116" t="n">
        <f aca="false">IF(ISNUMBER(J28),J$9/3600*J28,"SLO 不可達")</f>
        <v>0.283394333372419</v>
      </c>
      <c r="K35" s="116" t="n">
        <f aca="false">IF(ISNUMBER(K28),K$9/3600*K28,"SLO 不可達")</f>
        <v>0.48354934923648</v>
      </c>
      <c r="L35" s="116" t="n">
        <f aca="false">IF(ISNUMBER(L28),L$9/3600*L28,"SLO 不可達")</f>
        <v>0.170365394147188</v>
      </c>
      <c r="M35" s="116" t="n">
        <f aca="false">IF(ISNUMBER(M28),M$9/3600*M28,"SLO 不可達")</f>
        <v>0.209214708994104</v>
      </c>
      <c r="N35" s="116" t="n">
        <f aca="false">IF(ISNUMBER(N28),N$9/3600*N28,"SLO 不可達")</f>
        <v>0.338748528942438</v>
      </c>
      <c r="O35" s="116" t="n">
        <f aca="false">IF(ISNUMBER(O28),O$9/3600*O28,"SLO 不可達")</f>
        <v>0.132449327592207</v>
      </c>
      <c r="P35" s="116" t="n">
        <f aca="false">IF(ISNUMBER(P28),P$9/3600*P28,"SLO 不可達")</f>
        <v>0.192833147808616</v>
      </c>
      <c r="Q35" s="116" t="n">
        <f aca="false">IF(ISNUMBER(Q28),Q$9/3600*Q28,"SLO 不可達")</f>
        <v>0.355064346873816</v>
      </c>
    </row>
    <row r="36" customFormat="false" ht="15" hidden="false" customHeight="false" outlineLevel="0" collapsed="false">
      <c r="A36" s="61" t="s">
        <v>1002</v>
      </c>
      <c r="B36" s="62" t="s">
        <v>976</v>
      </c>
      <c r="C36" s="94" t="n">
        <f aca="false">IF(ISNUMBER(C31),(Serving!$D$23*C29+Serving!$D$24*C31)/(Serving!$D$23+Serving!$D$24),C31)</f>
        <v>0.267526445164368</v>
      </c>
      <c r="D36" s="94" t="n">
        <f aca="false">IF(ISNUMBER(D31),(Serving!$D$23*D29+Serving!$D$24*D31)/(Serving!$D$23+Serving!$D$24),D31)</f>
        <v>0.38224177782025</v>
      </c>
      <c r="E36" s="94" t="n">
        <f aca="false">IF(ISNUMBER(E31),(Serving!$D$23*E29+Serving!$D$24*E31)/(Serving!$D$23+Serving!$D$24),E31)</f>
        <v>0.656449723719664</v>
      </c>
      <c r="F36" s="94" t="n">
        <f aca="false">IF(ISNUMBER(F31),(Serving!$D$23*F29+Serving!$D$24*F31)/(Serving!$D$23+Serving!$D$24),F31)</f>
        <v>0.0543762440097504</v>
      </c>
      <c r="G36" s="94" t="n">
        <f aca="false">IF(ISNUMBER(G31),(Serving!$D$23*G29+Serving!$D$24*G31)/(Serving!$D$23+Serving!$D$24),G31)</f>
        <v>0.0726037241386234</v>
      </c>
      <c r="H36" s="94" t="n">
        <f aca="false">IF(ISNUMBER(H31),(Serving!$D$23*H29+Serving!$D$24*H31)/(Serving!$D$23+Serving!$D$24),H31)</f>
        <v>0.117757404023383</v>
      </c>
      <c r="I36" s="94" t="n">
        <f aca="false">IF(ISNUMBER(I31),(Serving!$D$23*I29+Serving!$D$24*I31)/(Serving!$D$23+Serving!$D$24),I31)</f>
        <v>0.0476140245137325</v>
      </c>
      <c r="J36" s="94" t="n">
        <f aca="false">IF(ISNUMBER(J31),(Serving!$D$23*J29+Serving!$D$24*J31)/(Serving!$D$23+Serving!$D$24),J31)</f>
        <v>0.061496268123382</v>
      </c>
      <c r="K36" s="94" t="n">
        <f aca="false">IF(ISNUMBER(K31),(Serving!$D$23*K29+Serving!$D$24*K31)/(Serving!$D$23+Serving!$D$24),K31)</f>
        <v>0.104700394764425</v>
      </c>
      <c r="L36" s="94" t="n">
        <f aca="false">IF(ISNUMBER(L31),(Serving!$D$23*L29+Serving!$D$24*L31)/(Serving!$D$23+Serving!$D$24),L31)</f>
        <v>0.0362121635529655</v>
      </c>
      <c r="M36" s="94" t="n">
        <f aca="false">IF(ISNUMBER(M31),(Serving!$D$23*M29+Serving!$D$24*M31)/(Serving!$D$23+Serving!$D$24),M31)</f>
        <v>0.0465419654738953</v>
      </c>
      <c r="N36" s="94" t="n">
        <f aca="false">IF(ISNUMBER(N31),(Serving!$D$23*N29+Serving!$D$24*N31)/(Serving!$D$23+Serving!$D$24),N31)</f>
        <v>0.0751899864705439</v>
      </c>
      <c r="O36" s="94" t="n">
        <f aca="false">IF(ISNUMBER(O31),(Serving!$D$23*O29+Serving!$D$24*O31)/(Serving!$D$23+Serving!$D$24),O31)</f>
        <v>0.0283423149978099</v>
      </c>
      <c r="P36" s="94" t="n">
        <f aca="false">IF(ISNUMBER(P31),(Serving!$D$23*P29+Serving!$D$24*P31)/(Serving!$D$23+Serving!$D$24),P31)</f>
        <v>0.0430764326120649</v>
      </c>
      <c r="Q36" s="94" t="n">
        <f aca="false">IF(ISNUMBER(Q31),(Serving!$D$23*Q29+Serving!$D$24*Q31)/(Serving!$D$23+Serving!$D$24),Q31)</f>
        <v>0.0786378143542716</v>
      </c>
    </row>
    <row r="38" customFormat="false" ht="15" hidden="false" customHeight="false" outlineLevel="0" collapsed="false">
      <c r="A38" s="76" t="s">
        <v>280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</row>
    <row r="39" customFormat="false" ht="15" hidden="false" customHeight="false" outlineLevel="0" collapsed="false">
      <c r="A39" s="62" t="s">
        <v>989</v>
      </c>
      <c r="B39" s="62" t="s">
        <v>925</v>
      </c>
      <c r="C39" s="98" t="n">
        <f aca="false">INDEX(Perf!$C$101:$Q$101,3*(C$6-1)+3)</f>
        <v>1484.76790293225</v>
      </c>
      <c r="D39" s="98" t="n">
        <f aca="false">INDEX(Perf!$C$101:$Q$101,3*(D$6-1)+3)</f>
        <v>1484.76790293225</v>
      </c>
      <c r="E39" s="98" t="n">
        <f aca="false">INDEX(Perf!$C$101:$Q$101,3*(E$6-1)+3)</f>
        <v>1484.76790293225</v>
      </c>
      <c r="F39" s="98" t="n">
        <f aca="false">INDEX(Perf!$C$101:$Q$101,3*(F$6-1)+3)</f>
        <v>146.8435456</v>
      </c>
      <c r="G39" s="98" t="n">
        <f aca="false">INDEX(Perf!$C$101:$Q$101,3*(G$6-1)+3)</f>
        <v>146.8435456</v>
      </c>
      <c r="H39" s="98" t="n">
        <f aca="false">INDEX(Perf!$C$101:$Q$101,3*(H$6-1)+3)</f>
        <v>146.8435456</v>
      </c>
      <c r="I39" s="98" t="n">
        <f aca="false">INDEX(Perf!$C$101:$Q$101,3*(I$6-1)+3)</f>
        <v>97.8956970666667</v>
      </c>
      <c r="J39" s="98" t="n">
        <f aca="false">INDEX(Perf!$C$101:$Q$101,3*(J$6-1)+3)</f>
        <v>97.8956970666667</v>
      </c>
      <c r="K39" s="98" t="n">
        <f aca="false">INDEX(Perf!$C$101:$Q$101,3*(K$6-1)+3)</f>
        <v>97.8956970666667</v>
      </c>
      <c r="L39" s="98" t="n">
        <f aca="false">INDEX(Perf!$C$101:$Q$101,3*(L$6-1)+3)</f>
        <v>41.9552987428571</v>
      </c>
      <c r="M39" s="98" t="n">
        <f aca="false">INDEX(Perf!$C$101:$Q$101,3*(M$6-1)+3)</f>
        <v>41.9552987428571</v>
      </c>
      <c r="N39" s="98" t="n">
        <f aca="false">INDEX(Perf!$C$101:$Q$101,3*(N$6-1)+3)</f>
        <v>41.9552987428571</v>
      </c>
      <c r="O39" s="98" t="n">
        <f aca="false">INDEX(Perf!$C$101:$Q$101,3*(O$6-1)+3)</f>
        <v>20.9776493714286</v>
      </c>
      <c r="P39" s="98" t="n">
        <f aca="false">INDEX(Perf!$C$101:$Q$101,3*(P$6-1)+3)</f>
        <v>20.9776493714286</v>
      </c>
      <c r="Q39" s="98" t="n">
        <f aca="false">INDEX(Perf!$C$101:$Q$101,3*(Q$6-1)+3)</f>
        <v>20.9776493714286</v>
      </c>
    </row>
    <row r="40" customFormat="false" ht="15" hidden="false" customHeight="false" outlineLevel="0" collapsed="false">
      <c r="A40" s="62" t="s">
        <v>990</v>
      </c>
      <c r="B40" s="62" t="s">
        <v>925</v>
      </c>
      <c r="C40" s="94" t="n">
        <f aca="false">INDEX(Perf!$C$102:$Q$102,3*(C$6-1)+3)</f>
        <v>0.576</v>
      </c>
      <c r="D40" s="94" t="n">
        <f aca="false">INDEX(Perf!$C$102:$Q$102,3*(D$6-1)+3)</f>
        <v>0.576</v>
      </c>
      <c r="E40" s="94" t="n">
        <f aca="false">INDEX(Perf!$C$102:$Q$102,3*(E$6-1)+3)</f>
        <v>0.576</v>
      </c>
      <c r="F40" s="94" t="n">
        <f aca="false">INDEX(Perf!$C$102:$Q$102,3*(F$6-1)+3)</f>
        <v>0.576</v>
      </c>
      <c r="G40" s="94" t="n">
        <f aca="false">INDEX(Perf!$C$102:$Q$102,3*(G$6-1)+3)</f>
        <v>0.576</v>
      </c>
      <c r="H40" s="94" t="n">
        <f aca="false">INDEX(Perf!$C$102:$Q$102,3*(H$6-1)+3)</f>
        <v>0.576</v>
      </c>
      <c r="I40" s="94" t="n">
        <f aca="false">INDEX(Perf!$C$102:$Q$102,3*(I$6-1)+3)</f>
        <v>0.576</v>
      </c>
      <c r="J40" s="94" t="n">
        <f aca="false">INDEX(Perf!$C$102:$Q$102,3*(J$6-1)+3)</f>
        <v>0.576</v>
      </c>
      <c r="K40" s="94" t="n">
        <f aca="false">INDEX(Perf!$C$102:$Q$102,3*(K$6-1)+3)</f>
        <v>0.576</v>
      </c>
      <c r="L40" s="94" t="n">
        <f aca="false">INDEX(Perf!$C$102:$Q$102,3*(L$6-1)+3)</f>
        <v>0.576</v>
      </c>
      <c r="M40" s="94" t="n">
        <f aca="false">INDEX(Perf!$C$102:$Q$102,3*(M$6-1)+3)</f>
        <v>0.576</v>
      </c>
      <c r="N40" s="94" t="n">
        <f aca="false">INDEX(Perf!$C$102:$Q$102,3*(N$6-1)+3)</f>
        <v>0.576</v>
      </c>
      <c r="O40" s="94" t="n">
        <f aca="false">INDEX(Perf!$C$102:$Q$102,3*(O$6-1)+3)</f>
        <v>0.576</v>
      </c>
      <c r="P40" s="94" t="n">
        <f aca="false">INDEX(Perf!$C$102:$Q$102,3*(P$6-1)+3)</f>
        <v>0.576</v>
      </c>
      <c r="Q40" s="94" t="n">
        <f aca="false">INDEX(Perf!$C$102:$Q$102,3*(Q$6-1)+3)</f>
        <v>0.576</v>
      </c>
    </row>
    <row r="41" customFormat="false" ht="15" hidden="false" customHeight="false" outlineLevel="0" collapsed="false">
      <c r="A41" s="62" t="s">
        <v>991</v>
      </c>
      <c r="B41" s="62" t="s">
        <v>925</v>
      </c>
      <c r="C41" s="98" t="n">
        <f aca="false">INDEX(Perf!$C$103:$Q$103,3*(C$6-1)+3)</f>
        <v>24585.5869303147</v>
      </c>
      <c r="D41" s="98" t="n">
        <f aca="false">INDEX(Perf!$C$103:$Q$103,3*(D$6-1)+3)</f>
        <v>24585.5869303147</v>
      </c>
      <c r="E41" s="98" t="n">
        <f aca="false">INDEX(Perf!$C$103:$Q$103,3*(E$6-1)+3)</f>
        <v>24585.5869303147</v>
      </c>
      <c r="F41" s="98" t="n">
        <f aca="false">INDEX(Perf!$C$103:$Q$103,3*(F$6-1)+3)</f>
        <v>4255.52527237513</v>
      </c>
      <c r="G41" s="98" t="n">
        <f aca="false">INDEX(Perf!$C$103:$Q$103,3*(G$6-1)+3)</f>
        <v>4255.52527237513</v>
      </c>
      <c r="H41" s="98" t="n">
        <f aca="false">INDEX(Perf!$C$103:$Q$103,3*(H$6-1)+3)</f>
        <v>4255.52527237513</v>
      </c>
      <c r="I41" s="98" t="n">
        <f aca="false">INDEX(Perf!$C$103:$Q$103,3*(I$6-1)+3)</f>
        <v>3168.5180674951</v>
      </c>
      <c r="J41" s="98" t="n">
        <f aca="false">INDEX(Perf!$C$103:$Q$103,3*(J$6-1)+3)</f>
        <v>3168.5180674951</v>
      </c>
      <c r="K41" s="98" t="n">
        <f aca="false">INDEX(Perf!$C$103:$Q$103,3*(K$6-1)+3)</f>
        <v>3168.5180674951</v>
      </c>
      <c r="L41" s="98" t="n">
        <f aca="false">INDEX(Perf!$C$103:$Q$103,3*(L$6-1)+3)</f>
        <v>1038.24234365309</v>
      </c>
      <c r="M41" s="98" t="n">
        <f aca="false">INDEX(Perf!$C$103:$Q$103,3*(M$6-1)+3)</f>
        <v>1038.24234365309</v>
      </c>
      <c r="N41" s="98" t="n">
        <f aca="false">INDEX(Perf!$C$103:$Q$103,3*(N$6-1)+3)</f>
        <v>1038.24234365309</v>
      </c>
      <c r="O41" s="98" t="n">
        <f aca="false">INDEX(Perf!$C$103:$Q$103,3*(O$6-1)+3)</f>
        <v>485.551136432426</v>
      </c>
      <c r="P41" s="98" t="n">
        <f aca="false">INDEX(Perf!$C$103:$Q$103,3*(P$6-1)+3)</f>
        <v>485.551136432426</v>
      </c>
      <c r="Q41" s="98" t="n">
        <f aca="false">INDEX(Perf!$C$103:$Q$103,3*(Q$6-1)+3)</f>
        <v>485.551136432426</v>
      </c>
    </row>
    <row r="42" customFormat="false" ht="15" hidden="false" customHeight="false" outlineLevel="0" collapsed="false">
      <c r="A42" s="61" t="s">
        <v>992</v>
      </c>
      <c r="B42" s="62" t="s">
        <v>976</v>
      </c>
      <c r="C42" s="125" t="n">
        <f aca="false">C$8/3600*C39</f>
        <v>0.445283898601385</v>
      </c>
      <c r="D42" s="125" t="n">
        <f aca="false">D$8/3600*D39</f>
        <v>0.636221622619591</v>
      </c>
      <c r="E42" s="125" t="n">
        <f aca="false">E$8/3600*E39</f>
        <v>1.09262653280539</v>
      </c>
      <c r="F42" s="125" t="n">
        <f aca="false">F$8/3600*F39</f>
        <v>0.061357276139298</v>
      </c>
      <c r="G42" s="125" t="n">
        <f aca="false">G$8/3600*G39</f>
        <v>0.0819248705356724</v>
      </c>
      <c r="H42" s="125" t="n">
        <f aca="false">H$8/3600*H39</f>
        <v>0.132875554163212</v>
      </c>
      <c r="I42" s="125" t="n">
        <f aca="false">I$8/3600*I39</f>
        <v>0.0537268967983248</v>
      </c>
      <c r="J42" s="125" t="n">
        <f aca="false">J$8/3600*J39</f>
        <v>0.0693913964360257</v>
      </c>
      <c r="K42" s="125" t="n">
        <f aca="false">K$8/3600*K39</f>
        <v>0.118142235648023</v>
      </c>
      <c r="L42" s="125" t="n">
        <f aca="false">L$8/3600*L39</f>
        <v>0.0433764125987652</v>
      </c>
      <c r="M42" s="125" t="n">
        <f aca="false">M$8/3600*M39</f>
        <v>0.0557498724040708</v>
      </c>
      <c r="N42" s="125" t="n">
        <f aca="false">N$8/3600*N39</f>
        <v>0.0900656452540185</v>
      </c>
      <c r="O42" s="125" t="n">
        <f aca="false">O$8/3600*O39</f>
        <v>0.0345049362606085</v>
      </c>
      <c r="P42" s="125" t="n">
        <f aca="false">P$8/3600*P39</f>
        <v>0.0524427719375976</v>
      </c>
      <c r="Q42" s="125" t="n">
        <f aca="false">Q$8/3600*Q39</f>
        <v>0.0957364552675877</v>
      </c>
    </row>
    <row r="43" customFormat="false" ht="15" hidden="false" customHeight="false" outlineLevel="0" collapsed="false">
      <c r="A43" s="61" t="s">
        <v>993</v>
      </c>
      <c r="B43" s="62" t="s">
        <v>976</v>
      </c>
      <c r="C43" s="126" t="n">
        <f aca="false">C$8/3600*C40</f>
        <v>0.000172743177629224</v>
      </c>
      <c r="D43" s="126" t="n">
        <f aca="false">D$8/3600*D40</f>
        <v>0.000246815447656943</v>
      </c>
      <c r="E43" s="126" t="n">
        <f aca="false">E$8/3600*E40</f>
        <v>0.000423872904076792</v>
      </c>
      <c r="F43" s="126" t="n">
        <f aca="false">F$8/3600*F40</f>
        <v>0.000240676503089255</v>
      </c>
      <c r="G43" s="126" t="n">
        <f aca="false">G$8/3600*G40</f>
        <v>0.000321353759443325</v>
      </c>
      <c r="H43" s="126" t="n">
        <f aca="false">H$8/3600*H40</f>
        <v>0.000521209964559791</v>
      </c>
      <c r="I43" s="126" t="n">
        <f aca="false">I$8/3600*I40</f>
        <v>0.000316119027527436</v>
      </c>
      <c r="J43" s="126" t="n">
        <f aca="false">J$8/3600*J40</f>
        <v>0.000408286018127352</v>
      </c>
      <c r="K43" s="126" t="n">
        <f aca="false">K$8/3600*K40</f>
        <v>0.000695126852071133</v>
      </c>
      <c r="L43" s="126" t="n">
        <f aca="false">L$8/3600*L40</f>
        <v>0.000595510326598316</v>
      </c>
      <c r="M43" s="126" t="n">
        <f aca="false">M$8/3600*M40</f>
        <v>0.000765384289158751</v>
      </c>
      <c r="N43" s="126" t="n">
        <f aca="false">N$8/3600*N40</f>
        <v>0.00123650202050216</v>
      </c>
      <c r="O43" s="126" t="n">
        <f aca="false">O$8/3600*O40</f>
        <v>0.00094742947287411</v>
      </c>
      <c r="P43" s="126" t="n">
        <f aca="false">P$8/3600*P40</f>
        <v>0.00143996289103764</v>
      </c>
      <c r="Q43" s="126" t="n">
        <f aca="false">Q$8/3600*Q40</f>
        <v>0.00262871198091606</v>
      </c>
    </row>
    <row r="44" customFormat="false" ht="15" hidden="false" customHeight="false" outlineLevel="0" collapsed="false">
      <c r="A44" s="62" t="s">
        <v>994</v>
      </c>
      <c r="B44" s="62" t="s">
        <v>976</v>
      </c>
      <c r="C44" s="125" t="n">
        <f aca="false">IF(ISNUMBER(C41),C$8/3600*C41,"SLO 不可達")</f>
        <v>7.37325071219114</v>
      </c>
      <c r="D44" s="125" t="n">
        <f aca="false">IF(ISNUMBER(D41),D$8/3600*D41,"SLO 不可達")</f>
        <v>10.5349004238096</v>
      </c>
      <c r="E44" s="125" t="n">
        <f aca="false">IF(ISNUMBER(E41),E$8/3600*E41,"SLO 不可達")</f>
        <v>18.0922988378211</v>
      </c>
      <c r="F44" s="125" t="n">
        <f aca="false">IF(ISNUMBER(F41),F$8/3600*F41,"SLO 不可達")</f>
        <v>1.77813357875555</v>
      </c>
      <c r="G44" s="125" t="n">
        <f aca="false">IF(ISNUMBER(G41),G$8/3600*G41,"SLO 不可達")</f>
        <v>2.37418236924275</v>
      </c>
      <c r="H44" s="125" t="n">
        <f aca="false">IF(ISNUMBER(H41),H$8/3600*H41,"SLO 不可達")</f>
        <v>3.8507329451353</v>
      </c>
      <c r="I44" s="125" t="n">
        <f aca="false">IF(ISNUMBER(I41),I$8/3600*I41,"SLO 不可達")</f>
        <v>1.73893897604108</v>
      </c>
      <c r="J44" s="125" t="n">
        <f aca="false">IF(ISNUMBER(J41),J$8/3600*J41,"SLO 不可達")</f>
        <v>2.24594032142734</v>
      </c>
      <c r="K44" s="125" t="n">
        <f aca="false">IF(ISNUMBER(K41),K$8/3600*K41,"SLO 不可達")</f>
        <v>3.82382289928538</v>
      </c>
      <c r="L44" s="125" t="n">
        <f aca="false">IF(ISNUMBER(L41),L$8/3600*L41,"SLO 不可達")</f>
        <v>1.07340978673099</v>
      </c>
      <c r="M44" s="125" t="n">
        <f aca="false">IF(ISNUMBER(M41),M$8/3600*M41,"SLO 不可達")</f>
        <v>1.37960829543652</v>
      </c>
      <c r="N44" s="125" t="n">
        <f aca="false">IF(ISNUMBER(N41),N$8/3600*N41,"SLO 不可達")</f>
        <v>2.2287999230867</v>
      </c>
      <c r="O44" s="125" t="n">
        <f aca="false">IF(ISNUMBER(O41),O$8/3600*O41,"SLO 不可達")</f>
        <v>0.798655307714581</v>
      </c>
      <c r="P44" s="125" t="n">
        <f aca="false">IF(ISNUMBER(P41),P$8/3600*P41,"SLO 不可達")</f>
        <v>1.21384655931224</v>
      </c>
      <c r="Q44" s="125" t="n">
        <f aca="false">IF(ISNUMBER(Q41),Q$8/3600*Q41,"SLO 不可達")</f>
        <v>2.2159272390405</v>
      </c>
    </row>
    <row r="45" customFormat="false" ht="15" hidden="false" customHeight="false" outlineLevel="0" collapsed="false">
      <c r="A45" s="61" t="s">
        <v>995</v>
      </c>
      <c r="B45" s="62" t="s">
        <v>976</v>
      </c>
      <c r="C45" s="116" t="n">
        <f aca="false">C42/C$10</f>
        <v>0.742139831002308</v>
      </c>
      <c r="D45" s="116" t="n">
        <f aca="false">D42/D$10</f>
        <v>1.06036937103265</v>
      </c>
      <c r="E45" s="116" t="n">
        <f aca="false">E42/E$10</f>
        <v>1.82104422134231</v>
      </c>
      <c r="F45" s="116" t="n">
        <f aca="false">F42/F$10</f>
        <v>0.10226212689883</v>
      </c>
      <c r="G45" s="116" t="n">
        <f aca="false">G42/G$10</f>
        <v>0.136541450892787</v>
      </c>
      <c r="H45" s="116" t="n">
        <f aca="false">H42/H$10</f>
        <v>0.221459256938686</v>
      </c>
      <c r="I45" s="116" t="n">
        <f aca="false">I42/I$10</f>
        <v>0.089544827997208</v>
      </c>
      <c r="J45" s="116" t="n">
        <f aca="false">J42/J$10</f>
        <v>0.115652327393376</v>
      </c>
      <c r="K45" s="116" t="n">
        <f aca="false">K42/K$10</f>
        <v>0.196903726080038</v>
      </c>
      <c r="L45" s="116" t="n">
        <f aca="false">L42/L$10</f>
        <v>0.072294020997942</v>
      </c>
      <c r="M45" s="116" t="n">
        <f aca="false">M42/M$10</f>
        <v>0.0929164540067846</v>
      </c>
      <c r="N45" s="116" t="n">
        <f aca="false">N42/N$10</f>
        <v>0.150109408756697</v>
      </c>
      <c r="O45" s="116" t="n">
        <f aca="false">O42/O$10</f>
        <v>0.0575082271010141</v>
      </c>
      <c r="P45" s="116" t="n">
        <f aca="false">P42/P$10</f>
        <v>0.0874046198959961</v>
      </c>
      <c r="Q45" s="116" t="n">
        <f aca="false">Q42/Q$10</f>
        <v>0.159560758779313</v>
      </c>
      <c r="R45" s="74" t="s">
        <v>1006</v>
      </c>
    </row>
    <row r="46" customFormat="false" ht="15" hidden="false" customHeight="false" outlineLevel="0" collapsed="false">
      <c r="A46" s="61" t="s">
        <v>997</v>
      </c>
      <c r="B46" s="62" t="s">
        <v>976</v>
      </c>
      <c r="C46" s="126" t="n">
        <f aca="false">C43/C$10</f>
        <v>0.000287905296048707</v>
      </c>
      <c r="D46" s="126" t="n">
        <f aca="false">D43/D$10</f>
        <v>0.000411359079428238</v>
      </c>
      <c r="E46" s="126" t="n">
        <f aca="false">E43/E$10</f>
        <v>0.000706454840127987</v>
      </c>
      <c r="F46" s="126" t="n">
        <f aca="false">F43/F$10</f>
        <v>0.000401127505148759</v>
      </c>
      <c r="G46" s="126" t="n">
        <f aca="false">G43/G$10</f>
        <v>0.000535589599072208</v>
      </c>
      <c r="H46" s="126" t="n">
        <f aca="false">H43/H$10</f>
        <v>0.000868683274266317</v>
      </c>
      <c r="I46" s="126" t="n">
        <f aca="false">I43/I$10</f>
        <v>0.000526865045879059</v>
      </c>
      <c r="J46" s="126" t="n">
        <f aca="false">J43/J$10</f>
        <v>0.00068047669687892</v>
      </c>
      <c r="K46" s="126" t="n">
        <f aca="false">K43/K$10</f>
        <v>0.00115854475345189</v>
      </c>
      <c r="L46" s="126" t="n">
        <f aca="false">L43/L$10</f>
        <v>0.000992517210997193</v>
      </c>
      <c r="M46" s="126" t="n">
        <f aca="false">M43/M$10</f>
        <v>0.00127564048193125</v>
      </c>
      <c r="N46" s="126" t="n">
        <f aca="false">N43/N$10</f>
        <v>0.00206083670083694</v>
      </c>
      <c r="O46" s="126" t="n">
        <f aca="false">O43/O$10</f>
        <v>0.00157904912145685</v>
      </c>
      <c r="P46" s="126" t="n">
        <f aca="false">P43/P$10</f>
        <v>0.0023999381517294</v>
      </c>
      <c r="Q46" s="126" t="n">
        <f aca="false">Q43/Q$10</f>
        <v>0.0043811866348601</v>
      </c>
      <c r="R46" s="74" t="s">
        <v>1007</v>
      </c>
    </row>
    <row r="47" customFormat="false" ht="15" hidden="false" customHeight="false" outlineLevel="0" collapsed="false">
      <c r="A47" s="62" t="s">
        <v>999</v>
      </c>
      <c r="B47" s="62" t="s">
        <v>976</v>
      </c>
      <c r="C47" s="125" t="n">
        <f aca="false">IF(ISNUMBER(C44),C44/C$10,C44)</f>
        <v>12.2887511869852</v>
      </c>
      <c r="D47" s="125" t="n">
        <f aca="false">IF(ISNUMBER(D44),D44/D$10,D44)</f>
        <v>17.558167373016</v>
      </c>
      <c r="E47" s="125" t="n">
        <f aca="false">IF(ISNUMBER(E44),E44/E$10,E44)</f>
        <v>30.1538313963684</v>
      </c>
      <c r="F47" s="125" t="n">
        <f aca="false">IF(ISNUMBER(F44),F44/F$10,F44)</f>
        <v>2.96355596459258</v>
      </c>
      <c r="G47" s="125" t="n">
        <f aca="false">IF(ISNUMBER(G44),G44/G$10,G44)</f>
        <v>3.95697061540459</v>
      </c>
      <c r="H47" s="125" t="n">
        <f aca="false">IF(ISNUMBER(H44),H44/H$10,H44)</f>
        <v>6.41788824189217</v>
      </c>
      <c r="I47" s="125" t="n">
        <f aca="false">IF(ISNUMBER(I44),I44/I$10,I44)</f>
        <v>2.89823162673513</v>
      </c>
      <c r="J47" s="125" t="n">
        <f aca="false">IF(ISNUMBER(J44),J44/J$10,J44)</f>
        <v>3.74323386904556</v>
      </c>
      <c r="K47" s="125" t="n">
        <f aca="false">IF(ISNUMBER(K44),K44/K$10,K44)</f>
        <v>6.37303816547564</v>
      </c>
      <c r="L47" s="125" t="n">
        <f aca="false">IF(ISNUMBER(L44),L44/L$10,L44)</f>
        <v>1.78901631121832</v>
      </c>
      <c r="M47" s="125" t="n">
        <f aca="false">IF(ISNUMBER(M44),M44/M$10,M44)</f>
        <v>2.29934715906086</v>
      </c>
      <c r="N47" s="125" t="n">
        <f aca="false">IF(ISNUMBER(N44),N44/N$10,N44)</f>
        <v>3.71466653847784</v>
      </c>
      <c r="O47" s="125" t="n">
        <f aca="false">IF(ISNUMBER(O44),O44/O$10,O44)</f>
        <v>1.3310921795243</v>
      </c>
      <c r="P47" s="125" t="n">
        <f aca="false">IF(ISNUMBER(P44),P44/P$10,P44)</f>
        <v>2.02307759885373</v>
      </c>
      <c r="Q47" s="125" t="n">
        <f aca="false">IF(ISNUMBER(Q44),Q44/Q$10,Q44)</f>
        <v>3.6932120650675</v>
      </c>
      <c r="R47" s="74" t="s">
        <v>1008</v>
      </c>
    </row>
    <row r="48" customFormat="false" ht="15" hidden="false" customHeight="false" outlineLevel="0" collapsed="false">
      <c r="A48" s="62" t="s">
        <v>1001</v>
      </c>
      <c r="B48" s="62" t="s">
        <v>976</v>
      </c>
      <c r="C48" s="116" t="n">
        <f aca="false">IF(ISNUMBER(C41),C$9/3600*C41,"SLO 不可達")</f>
        <v>5.63492539326528</v>
      </c>
      <c r="D48" s="116" t="n">
        <f aca="false">IF(ISNUMBER(D41),D$9/3600*D41,"SLO 不可達")</f>
        <v>7.7131321843778</v>
      </c>
      <c r="E48" s="116" t="n">
        <f aca="false">IF(ISNUMBER(E41),E$9/3600*E41,"SLO 不可達")</f>
        <v>13.2535417622127</v>
      </c>
      <c r="F48" s="116" t="n">
        <f aca="false">IF(ISNUMBER(F41),F$9/3600*F41,"SLO 不可達")</f>
        <v>1.35797969425295</v>
      </c>
      <c r="G48" s="116" t="n">
        <f aca="false">IF(ISNUMBER(G41),G$9/3600*G41,"SLO 不可達")</f>
        <v>1.73439493762771</v>
      </c>
      <c r="H48" s="116" t="n">
        <f aca="false">IF(ISNUMBER(H41),H$9/3600*H41,"SLO 不可達")</f>
        <v>2.80217074091476</v>
      </c>
      <c r="I48" s="116" t="n">
        <f aca="false">IF(ISNUMBER(I41),I$9/3600*I41,"SLO 不可達")</f>
        <v>1.3355481118788</v>
      </c>
      <c r="J48" s="116" t="n">
        <f aca="false">IF(ISNUMBER(J41),J$9/3600*J41,"SLO 不可達")</f>
        <v>1.64837505311547</v>
      </c>
      <c r="K48" s="116" t="n">
        <f aca="false">IF(ISNUMBER(K41),K$9/3600*K41,"SLO 不可達")</f>
        <v>2.81258511681028</v>
      </c>
      <c r="L48" s="116" t="n">
        <f aca="false">IF(ISNUMBER(L41),L$9/3600*L41,"SLO 不可達")</f>
        <v>0.826323979047403</v>
      </c>
      <c r="M48" s="116" t="n">
        <f aca="false">IF(ISNUMBER(M41),M$9/3600*M41,"SLO 不可達")</f>
        <v>1.01475497225623</v>
      </c>
      <c r="N48" s="116" t="n">
        <f aca="false">IF(ISNUMBER(N41),N$9/3600*N41,"SLO 不可達")</f>
        <v>1.64303339732443</v>
      </c>
      <c r="O48" s="116" t="n">
        <f aca="false">IF(ISNUMBER(O41),O$9/3600*O41,"SLO 不可達")</f>
        <v>0.615463920850042</v>
      </c>
      <c r="P48" s="116" t="n">
        <f aca="false">IF(ISNUMBER(P41),P$9/3600*P41,"SLO 不可達")</f>
        <v>0.896054720530943</v>
      </c>
      <c r="Q48" s="116" t="n">
        <f aca="false">IF(ISNUMBER(Q41),Q$9/3600*Q41,"SLO 不可達")</f>
        <v>1.64990867868985</v>
      </c>
    </row>
    <row r="49" customFormat="false" ht="15" hidden="false" customHeight="false" outlineLevel="0" collapsed="false">
      <c r="A49" s="61" t="s">
        <v>1002</v>
      </c>
      <c r="B49" s="62" t="s">
        <v>976</v>
      </c>
      <c r="C49" s="94" t="n">
        <f aca="false">IF(ISNUMBER(C44),(Serving!$E$23*C42+Serving!$E$24*C44)/(Serving!$E$23+Serving!$E$24),C44)</f>
        <v>1.21505798900025</v>
      </c>
      <c r="D49" s="94" t="n">
        <f aca="false">IF(ISNUMBER(D44),(Serving!$E$23*D42+Serving!$E$24*D44)/(Serving!$E$23+Serving!$E$24),D44)</f>
        <v>1.73607482275181</v>
      </c>
      <c r="E49" s="94" t="n">
        <f aca="false">IF(ISNUMBER(E44),(Serving!$E$23*E42+Serving!$E$24*E44)/(Serving!$E$23+Serving!$E$24),E44)</f>
        <v>2.98147901114046</v>
      </c>
      <c r="F49" s="94" t="n">
        <f aca="false">IF(ISNUMBER(F44),(Serving!$E$23*F42+Serving!$E$24*F44)/(Serving!$E$23+Serving!$E$24),F44)</f>
        <v>0.252110198652215</v>
      </c>
      <c r="G49" s="94" t="n">
        <f aca="false">IF(ISNUMBER(G44),(Serving!$E$23*G42+Serving!$E$24*G44)/(Serving!$E$23+Serving!$E$24),G44)</f>
        <v>0.336620148169793</v>
      </c>
      <c r="H49" s="94" t="n">
        <f aca="false">IF(ISNUMBER(H44),(Serving!$E$23*H42+Serving!$E$24*H44)/(Serving!$E$23+Serving!$E$24),H44)</f>
        <v>0.545970819826777</v>
      </c>
      <c r="I49" s="94" t="n">
        <f aca="false">IF(ISNUMBER(I44),(Serving!$E$23*I42+Serving!$E$24*I44)/(Serving!$E$23+Serving!$E$24),I44)</f>
        <v>0.240972683380853</v>
      </c>
      <c r="J49" s="94" t="n">
        <f aca="false">IF(ISNUMBER(J44),(Serving!$E$23*J42+Serving!$E$24*J44)/(Serving!$E$23+Serving!$E$24),J44)</f>
        <v>0.311230165879505</v>
      </c>
      <c r="K49" s="94" t="n">
        <f aca="false">IF(ISNUMBER(K44),(Serving!$E$23*K42+Serving!$E$24*K44)/(Serving!$E$23+Serving!$E$24),K44)</f>
        <v>0.52988453160773</v>
      </c>
      <c r="L49" s="94" t="n">
        <f aca="false">IF(ISNUMBER(L44),(Serving!$E$23*L42+Serving!$E$24*L44)/(Serving!$E$23+Serving!$E$24),L44)</f>
        <v>0.157824565280124</v>
      </c>
      <c r="M49" s="94" t="n">
        <f aca="false">IF(ISNUMBER(M44),(Serving!$E$23*M42+Serving!$E$24*M44)/(Serving!$E$23+Serving!$E$24),M44)</f>
        <v>0.202845252741009</v>
      </c>
      <c r="N49" s="94" t="n">
        <f aca="false">IF(ISNUMBER(N44),(Serving!$E$23*N42+Serving!$E$24*N44)/(Serving!$E$23+Serving!$E$24),N44)</f>
        <v>0.327702787235428</v>
      </c>
      <c r="O49" s="94" t="n">
        <f aca="false">IF(ISNUMBER(O44),(Serving!$E$23*O42+Serving!$E$24*O44)/(Serving!$E$23+Serving!$E$24),O44)</f>
        <v>0.119410533088828</v>
      </c>
      <c r="P49" s="94" t="n">
        <f aca="false">IF(ISNUMBER(P44),(Serving!$E$23*P42+Serving!$E$24*P44)/(Serving!$E$23+Serving!$E$24),P44)</f>
        <v>0.181487637201447</v>
      </c>
      <c r="Q49" s="94" t="n">
        <f aca="false">IF(ISNUMBER(Q44),(Serving!$E$23*Q42+Serving!$E$24*Q44)/(Serving!$E$23+Serving!$E$24),Q44)</f>
        <v>0.331313209020133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46"/>
  </cols>
  <sheetData>
    <row r="1" customFormat="false" ht="19.5" hidden="false" customHeight="true" outlineLevel="0" collapsed="false">
      <c r="A1" s="2" t="s">
        <v>1009</v>
      </c>
    </row>
    <row r="2" customFormat="false" ht="15" hidden="false" customHeight="true" outlineLevel="0" collapsed="false">
      <c r="A2" s="11" t="s">
        <v>1010</v>
      </c>
    </row>
    <row r="3" customFormat="false" ht="15" hidden="false" customHeight="true" outlineLevel="0" collapsed="false">
      <c r="R3" s="13" t="s">
        <v>2</v>
      </c>
    </row>
    <row r="4" customFormat="false" ht="15" hidden="false" customHeight="true" outlineLevel="0" collapsed="false">
      <c r="A4" s="22" t="s">
        <v>186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21" t="s">
        <v>1011</v>
      </c>
    </row>
    <row r="5" customFormat="false" ht="15" hidden="false" customHeight="true" outlineLevel="0" collapsed="false">
      <c r="A5" s="22" t="s">
        <v>28</v>
      </c>
      <c r="C5" s="36" t="s">
        <v>96</v>
      </c>
      <c r="D5" s="36" t="s">
        <v>97</v>
      </c>
      <c r="E5" s="36" t="s">
        <v>98</v>
      </c>
      <c r="F5" s="36" t="s">
        <v>96</v>
      </c>
      <c r="G5" s="36" t="s">
        <v>97</v>
      </c>
      <c r="H5" s="36" t="s">
        <v>98</v>
      </c>
      <c r="I5" s="36" t="s">
        <v>96</v>
      </c>
      <c r="J5" s="36" t="s">
        <v>97</v>
      </c>
      <c r="K5" s="36" t="s">
        <v>98</v>
      </c>
      <c r="L5" s="36" t="s">
        <v>96</v>
      </c>
      <c r="M5" s="36" t="s">
        <v>97</v>
      </c>
      <c r="N5" s="36" t="s">
        <v>98</v>
      </c>
      <c r="O5" s="36" t="s">
        <v>96</v>
      </c>
      <c r="P5" s="36" t="s">
        <v>97</v>
      </c>
      <c r="Q5" s="36" t="s">
        <v>98</v>
      </c>
    </row>
    <row r="7" customFormat="false" ht="15" hidden="false" customHeight="true" outlineLevel="0" collapsed="false">
      <c r="A7" s="27" t="s">
        <v>1012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customFormat="false" ht="15" hidden="false" customHeight="true" outlineLevel="0" collapsed="false">
      <c r="A8" s="16" t="s">
        <v>1013</v>
      </c>
      <c r="B8" s="17" t="s">
        <v>1014</v>
      </c>
      <c r="C8" s="18" t="n">
        <f aca="false">Inputs!$E$5*1000</f>
        <v>1000</v>
      </c>
      <c r="D8" s="18" t="n">
        <f aca="false">Inputs!$E$5*1000</f>
        <v>1000</v>
      </c>
      <c r="E8" s="18" t="n">
        <f aca="false">Inputs!$E$5*1000</f>
        <v>1000</v>
      </c>
      <c r="F8" s="18" t="n">
        <f aca="false">Inputs!$E$5*1000</f>
        <v>1000</v>
      </c>
      <c r="G8" s="18" t="n">
        <f aca="false">Inputs!$E$5*1000</f>
        <v>1000</v>
      </c>
      <c r="H8" s="18" t="n">
        <f aca="false">Inputs!$E$5*1000</f>
        <v>1000</v>
      </c>
      <c r="I8" s="18" t="n">
        <f aca="false">Inputs!$E$5*1000</f>
        <v>1000</v>
      </c>
      <c r="J8" s="18" t="n">
        <f aca="false">Inputs!$E$5*1000</f>
        <v>1000</v>
      </c>
      <c r="K8" s="18" t="n">
        <f aca="false">Inputs!$E$5*1000</f>
        <v>1000</v>
      </c>
      <c r="L8" s="18" t="n">
        <f aca="false">Inputs!$E$5*1000</f>
        <v>1000</v>
      </c>
      <c r="M8" s="18" t="n">
        <f aca="false">Inputs!$E$5*1000</f>
        <v>1000</v>
      </c>
      <c r="N8" s="18" t="n">
        <f aca="false">Inputs!$E$5*1000</f>
        <v>1000</v>
      </c>
      <c r="O8" s="18" t="n">
        <f aca="false">Inputs!$E$5*1000</f>
        <v>1000</v>
      </c>
      <c r="P8" s="18" t="n">
        <f aca="false">Inputs!$E$5*1000</f>
        <v>1000</v>
      </c>
      <c r="Q8" s="18" t="n">
        <f aca="false">Inputs!$E$5*1000</f>
        <v>1000</v>
      </c>
    </row>
    <row r="9" customFormat="false" ht="15" hidden="false" customHeight="true" outlineLevel="0" collapsed="false">
      <c r="A9" s="22" t="s">
        <v>112</v>
      </c>
      <c r="B9" s="17" t="s">
        <v>113</v>
      </c>
      <c r="C9" s="28" t="n">
        <f aca="false">Inputs!$E$8</f>
        <v>0.08</v>
      </c>
      <c r="D9" s="28" t="n">
        <f aca="false">Inputs!$E$8</f>
        <v>0.08</v>
      </c>
      <c r="E9" s="28" t="n">
        <f aca="false">Inputs!$E$8</f>
        <v>0.08</v>
      </c>
      <c r="F9" s="28" t="n">
        <f aca="false">Inputs!$E$8</f>
        <v>0.08</v>
      </c>
      <c r="G9" s="28" t="n">
        <f aca="false">Inputs!$E$8</f>
        <v>0.08</v>
      </c>
      <c r="H9" s="28" t="n">
        <f aca="false">Inputs!$E$8</f>
        <v>0.08</v>
      </c>
      <c r="I9" s="28" t="n">
        <f aca="false">Inputs!$E$8</f>
        <v>0.08</v>
      </c>
      <c r="J9" s="28" t="n">
        <f aca="false">Inputs!$E$8</f>
        <v>0.08</v>
      </c>
      <c r="K9" s="28" t="n">
        <f aca="false">Inputs!$E$8</f>
        <v>0.08</v>
      </c>
      <c r="L9" s="28" t="n">
        <f aca="false">Inputs!$E$8</f>
        <v>0.08</v>
      </c>
      <c r="M9" s="28" t="n">
        <f aca="false">Inputs!$E$8</f>
        <v>0.08</v>
      </c>
      <c r="N9" s="28" t="n">
        <f aca="false">Inputs!$E$8</f>
        <v>0.08</v>
      </c>
      <c r="O9" s="28" t="n">
        <f aca="false">Inputs!$E$8</f>
        <v>0.08</v>
      </c>
      <c r="P9" s="28" t="n">
        <f aca="false">Inputs!$E$8</f>
        <v>0.08</v>
      </c>
      <c r="Q9" s="28" t="n">
        <f aca="false">Inputs!$E$8</f>
        <v>0.08</v>
      </c>
    </row>
    <row r="10" customFormat="false" ht="15" hidden="false" customHeight="true" outlineLevel="0" collapsed="false">
      <c r="A10" s="22" t="s">
        <v>1015</v>
      </c>
      <c r="B10" s="17" t="s">
        <v>1014</v>
      </c>
      <c r="C10" s="18" t="n">
        <f aca="false">C8*(1-C9)</f>
        <v>920</v>
      </c>
      <c r="D10" s="18" t="n">
        <f aca="false">D8*(1-D9)</f>
        <v>920</v>
      </c>
      <c r="E10" s="18" t="n">
        <f aca="false">E8*(1-E9)</f>
        <v>920</v>
      </c>
      <c r="F10" s="18" t="n">
        <f aca="false">F8*(1-F9)</f>
        <v>920</v>
      </c>
      <c r="G10" s="18" t="n">
        <f aca="false">G8*(1-G9)</f>
        <v>920</v>
      </c>
      <c r="H10" s="18" t="n">
        <f aca="false">H8*(1-H9)</f>
        <v>920</v>
      </c>
      <c r="I10" s="18" t="n">
        <f aca="false">I8*(1-I9)</f>
        <v>920</v>
      </c>
      <c r="J10" s="18" t="n">
        <f aca="false">J8*(1-J9)</f>
        <v>920</v>
      </c>
      <c r="K10" s="18" t="n">
        <f aca="false">K8*(1-K9)</f>
        <v>920</v>
      </c>
      <c r="L10" s="18" t="n">
        <f aca="false">L8*(1-L9)</f>
        <v>920</v>
      </c>
      <c r="M10" s="18" t="n">
        <f aca="false">M8*(1-M9)</f>
        <v>920</v>
      </c>
      <c r="N10" s="18" t="n">
        <f aca="false">N8*(1-N9)</f>
        <v>920</v>
      </c>
      <c r="O10" s="18" t="n">
        <f aca="false">O8*(1-O9)</f>
        <v>920</v>
      </c>
      <c r="P10" s="18" t="n">
        <f aca="false">P8*(1-P9)</f>
        <v>920</v>
      </c>
      <c r="Q10" s="18" t="n">
        <f aca="false">Q8*(1-Q9)</f>
        <v>920</v>
      </c>
    </row>
    <row r="11" customFormat="false" ht="15" hidden="false" customHeight="true" outlineLevel="0" collapsed="false">
      <c r="A11" s="22" t="s">
        <v>874</v>
      </c>
      <c r="B11" s="17" t="s">
        <v>875</v>
      </c>
      <c r="C11" s="29" t="n">
        <f aca="false">CHOOSE(Inputs!$E$6,Spec_Rack!C8,Spec_Rack!C9,Spec_Rack!C10)</f>
        <v>41</v>
      </c>
      <c r="D11" s="29" t="n">
        <f aca="false">CHOOSE(Inputs!$E$6,Spec_Rack!C8,Spec_Rack!C9,Spec_Rack!C10)</f>
        <v>41</v>
      </c>
      <c r="E11" s="29" t="n">
        <f aca="false">CHOOSE(Inputs!$E$6,Spec_Rack!C8,Spec_Rack!C9,Spec_Rack!C10)</f>
        <v>41</v>
      </c>
      <c r="F11" s="29" t="n">
        <f aca="false">CHOOSE(Inputs!$E$6,Spec_Rack!D8,Spec_Rack!D9,Spec_Rack!D10)</f>
        <v>132</v>
      </c>
      <c r="G11" s="29" t="n">
        <f aca="false">CHOOSE(Inputs!$E$6,Spec_Rack!D8,Spec_Rack!D9,Spec_Rack!D10)</f>
        <v>132</v>
      </c>
      <c r="H11" s="29" t="n">
        <f aca="false">CHOOSE(Inputs!$E$6,Spec_Rack!D8,Spec_Rack!D9,Spec_Rack!D10)</f>
        <v>132</v>
      </c>
      <c r="I11" s="29" t="n">
        <f aca="false">CHOOSE(Inputs!$E$6,Spec_Rack!E8,Spec_Rack!E9,Spec_Rack!E10)</f>
        <v>136</v>
      </c>
      <c r="J11" s="29" t="n">
        <f aca="false">CHOOSE(Inputs!$E$6,Spec_Rack!E8,Spec_Rack!E9,Spec_Rack!E10)</f>
        <v>136</v>
      </c>
      <c r="K11" s="29" t="n">
        <f aca="false">CHOOSE(Inputs!$E$6,Spec_Rack!E8,Spec_Rack!E9,Spec_Rack!E10)</f>
        <v>136</v>
      </c>
      <c r="L11" s="29" t="n">
        <f aca="false">CHOOSE(Inputs!$E$6,Spec_Rack!F8,Spec_Rack!F9,Spec_Rack!F10)</f>
        <v>227</v>
      </c>
      <c r="M11" s="29" t="n">
        <f aca="false">CHOOSE(Inputs!$E$6,Spec_Rack!F8,Spec_Rack!F9,Spec_Rack!F10)</f>
        <v>227</v>
      </c>
      <c r="N11" s="29" t="n">
        <f aca="false">CHOOSE(Inputs!$E$6,Spec_Rack!F8,Spec_Rack!F9,Spec_Rack!F10)</f>
        <v>227</v>
      </c>
      <c r="O11" s="29" t="n">
        <f aca="false">CHOOSE(Inputs!$E$6,Spec_Rack!G8,Spec_Rack!G9,Spec_Rack!G10)</f>
        <v>340</v>
      </c>
      <c r="P11" s="29" t="n">
        <f aca="false">CHOOSE(Inputs!$E$6,Spec_Rack!G8,Spec_Rack!G9,Spec_Rack!G10)</f>
        <v>340</v>
      </c>
      <c r="Q11" s="29" t="n">
        <f aca="false">CHOOSE(Inputs!$E$6,Spec_Rack!G8,Spec_Rack!G9,Spec_Rack!G10)</f>
        <v>340</v>
      </c>
    </row>
    <row r="12" customFormat="false" ht="15" hidden="false" customHeight="true" outlineLevel="0" collapsed="false">
      <c r="A12" s="22" t="s">
        <v>1016</v>
      </c>
      <c r="B12" s="23" t="s">
        <v>873</v>
      </c>
      <c r="C12" s="128" t="n">
        <f aca="false">FLOOR(C10*1000/C11,1)</f>
        <v>22439</v>
      </c>
      <c r="D12" s="128" t="n">
        <f aca="false">FLOOR(D10*1000/D11,1)</f>
        <v>22439</v>
      </c>
      <c r="E12" s="128" t="n">
        <f aca="false">FLOOR(E10*1000/E11,1)</f>
        <v>22439</v>
      </c>
      <c r="F12" s="128" t="n">
        <f aca="false">FLOOR(F10*1000/F11,1)</f>
        <v>6969</v>
      </c>
      <c r="G12" s="128" t="n">
        <f aca="false">FLOOR(G10*1000/G11,1)</f>
        <v>6969</v>
      </c>
      <c r="H12" s="128" t="n">
        <f aca="false">FLOOR(H10*1000/H11,1)</f>
        <v>6969</v>
      </c>
      <c r="I12" s="128" t="n">
        <f aca="false">FLOOR(I10*1000/I11,1)</f>
        <v>6764</v>
      </c>
      <c r="J12" s="128" t="n">
        <f aca="false">FLOOR(J10*1000/J11,1)</f>
        <v>6764</v>
      </c>
      <c r="K12" s="128" t="n">
        <f aca="false">FLOOR(K10*1000/K11,1)</f>
        <v>6764</v>
      </c>
      <c r="L12" s="128" t="n">
        <f aca="false">FLOOR(L10*1000/L11,1)</f>
        <v>4052</v>
      </c>
      <c r="M12" s="128" t="n">
        <f aca="false">FLOOR(M10*1000/M11,1)</f>
        <v>4052</v>
      </c>
      <c r="N12" s="128" t="n">
        <f aca="false">FLOOR(N10*1000/N11,1)</f>
        <v>4052</v>
      </c>
      <c r="O12" s="128" t="n">
        <f aca="false">FLOOR(O10*1000/O11,1)</f>
        <v>2705</v>
      </c>
      <c r="P12" s="128" t="n">
        <f aca="false">FLOOR(P10*1000/P11,1)</f>
        <v>2705</v>
      </c>
      <c r="Q12" s="128" t="n">
        <f aca="false">FLOOR(Q10*1000/Q11,1)</f>
        <v>2705</v>
      </c>
    </row>
    <row r="13" customFormat="false" ht="15" hidden="false" customHeight="true" outlineLevel="0" collapsed="false">
      <c r="A13" s="16" t="s">
        <v>199</v>
      </c>
      <c r="B13" s="23" t="s">
        <v>867</v>
      </c>
      <c r="C13" s="29" t="n">
        <f aca="false">Spec_Rack!C6</f>
        <v>32</v>
      </c>
      <c r="D13" s="29" t="n">
        <f aca="false">Spec_Rack!C6</f>
        <v>32</v>
      </c>
      <c r="E13" s="29" t="n">
        <f aca="false">Spec_Rack!C6</f>
        <v>32</v>
      </c>
      <c r="F13" s="29" t="n">
        <f aca="false">Spec_Rack!D6</f>
        <v>72</v>
      </c>
      <c r="G13" s="29" t="n">
        <f aca="false">Spec_Rack!D6</f>
        <v>72</v>
      </c>
      <c r="H13" s="29" t="n">
        <f aca="false">Spec_Rack!D6</f>
        <v>72</v>
      </c>
      <c r="I13" s="29" t="n">
        <f aca="false">Spec_Rack!E6</f>
        <v>72</v>
      </c>
      <c r="J13" s="29" t="n">
        <f aca="false">Spec_Rack!E6</f>
        <v>72</v>
      </c>
      <c r="K13" s="29" t="n">
        <f aca="false">Spec_Rack!E6</f>
        <v>72</v>
      </c>
      <c r="L13" s="29" t="n">
        <f aca="false">Spec_Rack!F6</f>
        <v>72</v>
      </c>
      <c r="M13" s="29" t="n">
        <f aca="false">Spec_Rack!F6</f>
        <v>72</v>
      </c>
      <c r="N13" s="29" t="n">
        <f aca="false">Spec_Rack!F6</f>
        <v>72</v>
      </c>
      <c r="O13" s="29" t="n">
        <f aca="false">Spec_Rack!G6</f>
        <v>72</v>
      </c>
      <c r="P13" s="29" t="n">
        <f aca="false">Spec_Rack!G6</f>
        <v>72</v>
      </c>
      <c r="Q13" s="29" t="n">
        <f aca="false">Spec_Rack!G6</f>
        <v>72</v>
      </c>
    </row>
    <row r="14" customFormat="false" ht="15" hidden="false" customHeight="true" outlineLevel="0" collapsed="false">
      <c r="A14" s="129" t="s">
        <v>1017</v>
      </c>
      <c r="B14" s="23" t="s">
        <v>867</v>
      </c>
      <c r="C14" s="18" t="n">
        <f aca="false">C12*C13</f>
        <v>718048</v>
      </c>
      <c r="D14" s="18" t="n">
        <f aca="false">D12*D13</f>
        <v>718048</v>
      </c>
      <c r="E14" s="18" t="n">
        <f aca="false">E12*E13</f>
        <v>718048</v>
      </c>
      <c r="F14" s="18" t="n">
        <f aca="false">F12*F13</f>
        <v>501768</v>
      </c>
      <c r="G14" s="18" t="n">
        <f aca="false">G12*G13</f>
        <v>501768</v>
      </c>
      <c r="H14" s="18" t="n">
        <f aca="false">H12*H13</f>
        <v>501768</v>
      </c>
      <c r="I14" s="18" t="n">
        <f aca="false">I12*I13</f>
        <v>487008</v>
      </c>
      <c r="J14" s="18" t="n">
        <f aca="false">J12*J13</f>
        <v>487008</v>
      </c>
      <c r="K14" s="18" t="n">
        <f aca="false">K12*K13</f>
        <v>487008</v>
      </c>
      <c r="L14" s="18" t="n">
        <f aca="false">L12*L13</f>
        <v>291744</v>
      </c>
      <c r="M14" s="18" t="n">
        <f aca="false">M12*M13</f>
        <v>291744</v>
      </c>
      <c r="N14" s="18" t="n">
        <f aca="false">N12*N13</f>
        <v>291744</v>
      </c>
      <c r="O14" s="18" t="n">
        <f aca="false">O12*O13</f>
        <v>194760</v>
      </c>
      <c r="P14" s="18" t="n">
        <f aca="false">P12*P13</f>
        <v>194760</v>
      </c>
      <c r="Q14" s="18" t="n">
        <f aca="false">Q12*Q13</f>
        <v>194760</v>
      </c>
    </row>
    <row r="15" customFormat="false" ht="15" hidden="false" customHeight="true" outlineLevel="0" collapsed="false">
      <c r="A15" s="16" t="s">
        <v>117</v>
      </c>
      <c r="B15" s="17" t="s">
        <v>118</v>
      </c>
      <c r="C15" s="130" t="n">
        <f aca="false">Inputs!D9</f>
        <v>1.1</v>
      </c>
      <c r="D15" s="130" t="n">
        <f aca="false">Inputs!E9</f>
        <v>1.2</v>
      </c>
      <c r="E15" s="130" t="n">
        <f aca="false">Inputs!F9</f>
        <v>1.3</v>
      </c>
      <c r="F15" s="130" t="n">
        <f aca="false">Inputs!D9</f>
        <v>1.1</v>
      </c>
      <c r="G15" s="130" t="n">
        <f aca="false">Inputs!E9</f>
        <v>1.2</v>
      </c>
      <c r="H15" s="130" t="n">
        <f aca="false">Inputs!F9</f>
        <v>1.3</v>
      </c>
      <c r="I15" s="130" t="n">
        <f aca="false">Inputs!D9</f>
        <v>1.1</v>
      </c>
      <c r="J15" s="130" t="n">
        <f aca="false">Inputs!E9</f>
        <v>1.2</v>
      </c>
      <c r="K15" s="130" t="n">
        <f aca="false">Inputs!F9</f>
        <v>1.3</v>
      </c>
      <c r="L15" s="130" t="n">
        <f aca="false">Inputs!D9</f>
        <v>1.1</v>
      </c>
      <c r="M15" s="130" t="n">
        <f aca="false">Inputs!E9</f>
        <v>1.2</v>
      </c>
      <c r="N15" s="130" t="n">
        <f aca="false">Inputs!F9</f>
        <v>1.3</v>
      </c>
      <c r="O15" s="130" t="n">
        <f aca="false">Inputs!D9</f>
        <v>1.1</v>
      </c>
      <c r="P15" s="130" t="n">
        <f aca="false">Inputs!E9</f>
        <v>1.2</v>
      </c>
      <c r="Q15" s="130" t="n">
        <f aca="false">Inputs!F9</f>
        <v>1.3</v>
      </c>
    </row>
    <row r="16" customFormat="false" ht="15" hidden="false" customHeight="true" outlineLevel="0" collapsed="false">
      <c r="A16" s="22" t="s">
        <v>1018</v>
      </c>
      <c r="B16" s="17" t="s">
        <v>1014</v>
      </c>
      <c r="C16" s="18" t="n">
        <f aca="false">C8*C15</f>
        <v>1100</v>
      </c>
      <c r="D16" s="18" t="n">
        <f aca="false">D8*D15</f>
        <v>1200</v>
      </c>
      <c r="E16" s="18" t="n">
        <f aca="false">E8*E15</f>
        <v>1300</v>
      </c>
      <c r="F16" s="18" t="n">
        <f aca="false">F8*F15</f>
        <v>1100</v>
      </c>
      <c r="G16" s="18" t="n">
        <f aca="false">G8*G15</f>
        <v>1200</v>
      </c>
      <c r="H16" s="18" t="n">
        <f aca="false">H8*H15</f>
        <v>1300</v>
      </c>
      <c r="I16" s="18" t="n">
        <f aca="false">I8*I15</f>
        <v>1100</v>
      </c>
      <c r="J16" s="18" t="n">
        <f aca="false">J8*J15</f>
        <v>1200</v>
      </c>
      <c r="K16" s="18" t="n">
        <f aca="false">K8*K15</f>
        <v>1300</v>
      </c>
      <c r="L16" s="18" t="n">
        <f aca="false">L8*L15</f>
        <v>1100</v>
      </c>
      <c r="M16" s="18" t="n">
        <f aca="false">M8*M15</f>
        <v>1200</v>
      </c>
      <c r="N16" s="18" t="n">
        <f aca="false">N8*N15</f>
        <v>1300</v>
      </c>
      <c r="O16" s="18" t="n">
        <f aca="false">O8*O15</f>
        <v>1100</v>
      </c>
      <c r="P16" s="18" t="n">
        <f aca="false">P8*P15</f>
        <v>1200</v>
      </c>
      <c r="Q16" s="18" t="n">
        <f aca="false">Q8*Q15</f>
        <v>1300</v>
      </c>
    </row>
    <row r="17" customFormat="false" ht="15" hidden="false" customHeight="true" outlineLevel="0" collapsed="false">
      <c r="A17" s="27" t="s">
        <v>1019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22" t="s">
        <v>1020</v>
      </c>
      <c r="B18" s="17" t="s">
        <v>1021</v>
      </c>
      <c r="C18" s="38" t="n">
        <f aca="false">Spec_Rack!C11</f>
        <v>0.9</v>
      </c>
      <c r="D18" s="38" t="n">
        <f aca="false">Spec_Rack!C12</f>
        <v>1.1</v>
      </c>
      <c r="E18" s="38" t="n">
        <f aca="false">Spec_Rack!C13</f>
        <v>1.3</v>
      </c>
      <c r="F18" s="38" t="n">
        <f aca="false">Spec_Rack!D11</f>
        <v>2.8</v>
      </c>
      <c r="G18" s="38" t="n">
        <f aca="false">Spec_Rack!D12</f>
        <v>3.1</v>
      </c>
      <c r="H18" s="38" t="n">
        <f aca="false">Spec_Rack!D13</f>
        <v>3.4</v>
      </c>
      <c r="I18" s="38" t="n">
        <f aca="false">Spec_Rack!E11</f>
        <v>4</v>
      </c>
      <c r="J18" s="38" t="n">
        <f aca="false">Spec_Rack!E12</f>
        <v>4.3</v>
      </c>
      <c r="K18" s="38" t="n">
        <f aca="false">Spec_Rack!E13</f>
        <v>5</v>
      </c>
      <c r="L18" s="38" t="n">
        <f aca="false">Spec_Rack!F11</f>
        <v>7.8</v>
      </c>
      <c r="M18" s="38" t="n">
        <f aca="false">Spec_Rack!F12</f>
        <v>8.4</v>
      </c>
      <c r="N18" s="38" t="n">
        <f aca="false">Spec_Rack!F13</f>
        <v>9.1</v>
      </c>
      <c r="O18" s="38" t="n">
        <f aca="false">Spec_Rack!G11</f>
        <v>12.6</v>
      </c>
      <c r="P18" s="38" t="n">
        <f aca="false">Spec_Rack!G12</f>
        <v>16.8</v>
      </c>
      <c r="Q18" s="38" t="n">
        <f aca="false">Spec_Rack!G13</f>
        <v>21</v>
      </c>
    </row>
    <row r="19" customFormat="false" ht="15" hidden="false" customHeight="true" outlineLevel="0" collapsed="false">
      <c r="A19" s="22" t="s">
        <v>1022</v>
      </c>
      <c r="B19" s="17" t="s">
        <v>1023</v>
      </c>
      <c r="C19" s="131" t="n">
        <f aca="false">C12*C18/1000</f>
        <v>20.1951</v>
      </c>
      <c r="D19" s="131" t="n">
        <f aca="false">D12*D18/1000</f>
        <v>24.6829</v>
      </c>
      <c r="E19" s="131" t="n">
        <f aca="false">E12*E18/1000</f>
        <v>29.1707</v>
      </c>
      <c r="F19" s="131" t="n">
        <f aca="false">F12*F18/1000</f>
        <v>19.5132</v>
      </c>
      <c r="G19" s="131" t="n">
        <f aca="false">G12*G18/1000</f>
        <v>21.6039</v>
      </c>
      <c r="H19" s="131" t="n">
        <f aca="false">H12*H18/1000</f>
        <v>23.6946</v>
      </c>
      <c r="I19" s="131" t="n">
        <f aca="false">I12*I18/1000</f>
        <v>27.056</v>
      </c>
      <c r="J19" s="131" t="n">
        <f aca="false">J12*J18/1000</f>
        <v>29.0852</v>
      </c>
      <c r="K19" s="131" t="n">
        <f aca="false">K12*K18/1000</f>
        <v>33.82</v>
      </c>
      <c r="L19" s="131" t="n">
        <f aca="false">L12*L18/1000</f>
        <v>31.6056</v>
      </c>
      <c r="M19" s="131" t="n">
        <f aca="false">M12*M18/1000</f>
        <v>34.0368</v>
      </c>
      <c r="N19" s="131" t="n">
        <f aca="false">N12*N18/1000</f>
        <v>36.8732</v>
      </c>
      <c r="O19" s="131" t="n">
        <f aca="false">O12*O18/1000</f>
        <v>34.083</v>
      </c>
      <c r="P19" s="131" t="n">
        <f aca="false">P12*P18/1000</f>
        <v>45.444</v>
      </c>
      <c r="Q19" s="131" t="n">
        <f aca="false">Q12*Q18/1000</f>
        <v>56.805</v>
      </c>
    </row>
    <row r="20" customFormat="false" ht="15" hidden="false" customHeight="true" outlineLevel="0" collapsed="false">
      <c r="A20" s="16" t="s">
        <v>128</v>
      </c>
      <c r="B20" s="17" t="s">
        <v>113</v>
      </c>
      <c r="C20" s="28" t="n">
        <f aca="false">Inputs!D13</f>
        <v>0.05</v>
      </c>
      <c r="D20" s="28" t="n">
        <f aca="false">Inputs!E13</f>
        <v>0.1</v>
      </c>
      <c r="E20" s="28" t="n">
        <f aca="false">Inputs!F13</f>
        <v>0.15</v>
      </c>
      <c r="F20" s="28" t="n">
        <f aca="false">Inputs!D13</f>
        <v>0.05</v>
      </c>
      <c r="G20" s="28" t="n">
        <f aca="false">Inputs!E13</f>
        <v>0.1</v>
      </c>
      <c r="H20" s="28" t="n">
        <f aca="false">Inputs!F13</f>
        <v>0.15</v>
      </c>
      <c r="I20" s="28" t="n">
        <f aca="false">Inputs!D13</f>
        <v>0.05</v>
      </c>
      <c r="J20" s="28" t="n">
        <f aca="false">Inputs!E13</f>
        <v>0.1</v>
      </c>
      <c r="K20" s="28" t="n">
        <f aca="false">Inputs!F13</f>
        <v>0.15</v>
      </c>
      <c r="L20" s="28" t="n">
        <f aca="false">Inputs!D13</f>
        <v>0.05</v>
      </c>
      <c r="M20" s="28" t="n">
        <f aca="false">Inputs!E13</f>
        <v>0.1</v>
      </c>
      <c r="N20" s="28" t="n">
        <f aca="false">Inputs!F13</f>
        <v>0.15</v>
      </c>
      <c r="O20" s="28" t="n">
        <f aca="false">Inputs!D13</f>
        <v>0.05</v>
      </c>
      <c r="P20" s="28" t="n">
        <f aca="false">Inputs!E13</f>
        <v>0.1</v>
      </c>
      <c r="Q20" s="28" t="n">
        <f aca="false">Inputs!F13</f>
        <v>0.15</v>
      </c>
    </row>
    <row r="21" customFormat="false" ht="15" hidden="false" customHeight="true" outlineLevel="0" collapsed="false">
      <c r="A21" s="16" t="s">
        <v>1024</v>
      </c>
      <c r="B21" s="17" t="s">
        <v>1023</v>
      </c>
      <c r="C21" s="131" t="n">
        <f aca="false">C19*C20</f>
        <v>1.009755</v>
      </c>
      <c r="D21" s="131" t="n">
        <f aca="false">D19*D20</f>
        <v>2.46829</v>
      </c>
      <c r="E21" s="131" t="n">
        <f aca="false">E19*E20</f>
        <v>4.375605</v>
      </c>
      <c r="F21" s="131" t="n">
        <f aca="false">F19*F20</f>
        <v>0.97566</v>
      </c>
      <c r="G21" s="131" t="n">
        <f aca="false">G19*G20</f>
        <v>2.16039</v>
      </c>
      <c r="H21" s="131" t="n">
        <f aca="false">H19*H20</f>
        <v>3.55419</v>
      </c>
      <c r="I21" s="131" t="n">
        <f aca="false">I19*I20</f>
        <v>1.3528</v>
      </c>
      <c r="J21" s="131" t="n">
        <f aca="false">J19*J20</f>
        <v>2.90852</v>
      </c>
      <c r="K21" s="131" t="n">
        <f aca="false">K19*K20</f>
        <v>5.073</v>
      </c>
      <c r="L21" s="131" t="n">
        <f aca="false">L19*L20</f>
        <v>1.58028</v>
      </c>
      <c r="M21" s="131" t="n">
        <f aca="false">M19*M20</f>
        <v>3.40368</v>
      </c>
      <c r="N21" s="131" t="n">
        <f aca="false">N19*N20</f>
        <v>5.53098</v>
      </c>
      <c r="O21" s="131" t="n">
        <f aca="false">O19*O20</f>
        <v>1.70415</v>
      </c>
      <c r="P21" s="131" t="n">
        <f aca="false">P19*P20</f>
        <v>4.5444</v>
      </c>
      <c r="Q21" s="131" t="n">
        <f aca="false">Q19*Q20</f>
        <v>8.52075</v>
      </c>
    </row>
    <row r="22" customFormat="false" ht="15" hidden="false" customHeight="true" outlineLevel="0" collapsed="false">
      <c r="A22" s="22" t="s">
        <v>1025</v>
      </c>
      <c r="B22" s="17" t="s">
        <v>131</v>
      </c>
      <c r="C22" s="29" t="n">
        <f aca="false">Inputs!D14</f>
        <v>300</v>
      </c>
      <c r="D22" s="29" t="n">
        <f aca="false">Inputs!E14</f>
        <v>500</v>
      </c>
      <c r="E22" s="29" t="n">
        <f aca="false">Inputs!F14</f>
        <v>800</v>
      </c>
      <c r="F22" s="29" t="n">
        <f aca="false">Inputs!D14</f>
        <v>300</v>
      </c>
      <c r="G22" s="29" t="n">
        <f aca="false">Inputs!E14</f>
        <v>500</v>
      </c>
      <c r="H22" s="29" t="n">
        <f aca="false">Inputs!F14</f>
        <v>800</v>
      </c>
      <c r="I22" s="29" t="n">
        <f aca="false">Inputs!D14</f>
        <v>300</v>
      </c>
      <c r="J22" s="29" t="n">
        <f aca="false">Inputs!E14</f>
        <v>500</v>
      </c>
      <c r="K22" s="29" t="n">
        <f aca="false">Inputs!F14</f>
        <v>800</v>
      </c>
      <c r="L22" s="29" t="n">
        <f aca="false">Inputs!D14</f>
        <v>300</v>
      </c>
      <c r="M22" s="29" t="n">
        <f aca="false">Inputs!E14</f>
        <v>500</v>
      </c>
      <c r="N22" s="29" t="n">
        <f aca="false">Inputs!F14</f>
        <v>800</v>
      </c>
      <c r="O22" s="29" t="n">
        <f aca="false">Inputs!D14</f>
        <v>300</v>
      </c>
      <c r="P22" s="29" t="n">
        <f aca="false">Inputs!E14</f>
        <v>500</v>
      </c>
      <c r="Q22" s="29" t="n">
        <f aca="false">Inputs!F14</f>
        <v>800</v>
      </c>
    </row>
    <row r="23" customFormat="false" ht="15" hidden="false" customHeight="true" outlineLevel="0" collapsed="false">
      <c r="A23" s="22" t="s">
        <v>1025</v>
      </c>
      <c r="B23" s="17" t="s">
        <v>1023</v>
      </c>
      <c r="C23" s="131" t="n">
        <f aca="false">C14*C22/1000000000</f>
        <v>0.2154144</v>
      </c>
      <c r="D23" s="131" t="n">
        <f aca="false">D14*D22/1000000000</f>
        <v>0.359024</v>
      </c>
      <c r="E23" s="131" t="n">
        <f aca="false">E14*E22/1000000000</f>
        <v>0.5744384</v>
      </c>
      <c r="F23" s="131" t="n">
        <f aca="false">F14*F22/1000000000</f>
        <v>0.1505304</v>
      </c>
      <c r="G23" s="131" t="n">
        <f aca="false">G14*G22/1000000000</f>
        <v>0.250884</v>
      </c>
      <c r="H23" s="131" t="n">
        <f aca="false">H14*H22/1000000000</f>
        <v>0.4014144</v>
      </c>
      <c r="I23" s="131" t="n">
        <f aca="false">I14*I22/1000000000</f>
        <v>0.1461024</v>
      </c>
      <c r="J23" s="131" t="n">
        <f aca="false">J14*J22/1000000000</f>
        <v>0.243504</v>
      </c>
      <c r="K23" s="131" t="n">
        <f aca="false">K14*K22/1000000000</f>
        <v>0.3896064</v>
      </c>
      <c r="L23" s="131" t="n">
        <f aca="false">L14*L22/1000000000</f>
        <v>0.0875232</v>
      </c>
      <c r="M23" s="131" t="n">
        <f aca="false">M14*M22/1000000000</f>
        <v>0.145872</v>
      </c>
      <c r="N23" s="131" t="n">
        <f aca="false">N14*N22/1000000000</f>
        <v>0.2333952</v>
      </c>
      <c r="O23" s="131" t="n">
        <f aca="false">O14*O22/1000000000</f>
        <v>0.058428</v>
      </c>
      <c r="P23" s="131" t="n">
        <f aca="false">P14*P22/1000000000</f>
        <v>0.09738</v>
      </c>
      <c r="Q23" s="131" t="n">
        <f aca="false">Q14*Q22/1000000000</f>
        <v>0.155808</v>
      </c>
    </row>
    <row r="24" customFormat="false" ht="15" hidden="false" customHeight="true" outlineLevel="0" collapsed="false">
      <c r="A24" s="16" t="s">
        <v>1026</v>
      </c>
      <c r="B24" s="17" t="s">
        <v>1023</v>
      </c>
      <c r="C24" s="131" t="n">
        <f aca="false">C19+C21+C23</f>
        <v>21.4202694</v>
      </c>
      <c r="D24" s="131" t="n">
        <f aca="false">D19+D21+D23</f>
        <v>27.510214</v>
      </c>
      <c r="E24" s="131" t="n">
        <f aca="false">E19+E21+E23</f>
        <v>34.1207434</v>
      </c>
      <c r="F24" s="131" t="n">
        <f aca="false">F19+F21+F23</f>
        <v>20.6393904</v>
      </c>
      <c r="G24" s="131" t="n">
        <f aca="false">G19+G21+G23</f>
        <v>24.015174</v>
      </c>
      <c r="H24" s="131" t="n">
        <f aca="false">H19+H21+H23</f>
        <v>27.6502044</v>
      </c>
      <c r="I24" s="131" t="n">
        <f aca="false">I19+I21+I23</f>
        <v>28.5549024</v>
      </c>
      <c r="J24" s="131" t="n">
        <f aca="false">J19+J21+J23</f>
        <v>32.237224</v>
      </c>
      <c r="K24" s="131" t="n">
        <f aca="false">K19+K21+K23</f>
        <v>39.2826064</v>
      </c>
      <c r="L24" s="131" t="n">
        <f aca="false">L19+L21+L23</f>
        <v>33.2734032</v>
      </c>
      <c r="M24" s="131" t="n">
        <f aca="false">M19+M21+M23</f>
        <v>37.586352</v>
      </c>
      <c r="N24" s="131" t="n">
        <f aca="false">N19+N21+N23</f>
        <v>42.6375752</v>
      </c>
      <c r="O24" s="131" t="n">
        <f aca="false">O19+O21+O23</f>
        <v>35.845578</v>
      </c>
      <c r="P24" s="131" t="n">
        <f aca="false">P19+P21+P23</f>
        <v>50.08578</v>
      </c>
      <c r="Q24" s="131" t="n">
        <f aca="false">Q19+Q21+Q23</f>
        <v>65.481558</v>
      </c>
    </row>
    <row r="25" customFormat="false" ht="15" hidden="false" customHeight="true" outlineLevel="0" collapsed="false">
      <c r="A25" s="22" t="s">
        <v>134</v>
      </c>
      <c r="B25" s="17" t="s">
        <v>1023</v>
      </c>
      <c r="C25" s="131" t="n">
        <f aca="false">C8*Inputs!D16/1000</f>
        <v>0.02</v>
      </c>
      <c r="D25" s="131" t="n">
        <f aca="false">D8*Inputs!E16/1000</f>
        <v>0.02</v>
      </c>
      <c r="E25" s="131" t="n">
        <f aca="false">E8*Inputs!F16/1000</f>
        <v>0.02</v>
      </c>
      <c r="F25" s="131" t="n">
        <f aca="false">F8*Inputs!D16/1000</f>
        <v>0.02</v>
      </c>
      <c r="G25" s="131" t="n">
        <f aca="false">G8*Inputs!E16/1000</f>
        <v>0.02</v>
      </c>
      <c r="H25" s="131" t="n">
        <f aca="false">H8*Inputs!F16/1000</f>
        <v>0.02</v>
      </c>
      <c r="I25" s="131" t="n">
        <f aca="false">I8*Inputs!D16/1000</f>
        <v>0.02</v>
      </c>
      <c r="J25" s="131" t="n">
        <f aca="false">J8*Inputs!E16/1000</f>
        <v>0.02</v>
      </c>
      <c r="K25" s="131" t="n">
        <f aca="false">K8*Inputs!F16/1000</f>
        <v>0.02</v>
      </c>
      <c r="L25" s="131" t="n">
        <f aca="false">L8*Inputs!D16/1000</f>
        <v>0.02</v>
      </c>
      <c r="M25" s="131" t="n">
        <f aca="false">M8*Inputs!E16/1000</f>
        <v>0.02</v>
      </c>
      <c r="N25" s="131" t="n">
        <f aca="false">N8*Inputs!F16/1000</f>
        <v>0.02</v>
      </c>
      <c r="O25" s="131" t="n">
        <f aca="false">O8*Inputs!D16/1000</f>
        <v>0.02</v>
      </c>
      <c r="P25" s="131" t="n">
        <f aca="false">P8*Inputs!E16/1000</f>
        <v>0.02</v>
      </c>
      <c r="Q25" s="131" t="n">
        <f aca="false">Q8*Inputs!F16/1000</f>
        <v>0.02</v>
      </c>
    </row>
    <row r="26" customFormat="false" ht="15" hidden="false" customHeight="true" outlineLevel="0" collapsed="false">
      <c r="A26" s="22" t="s">
        <v>1027</v>
      </c>
      <c r="B26" s="17" t="s">
        <v>1023</v>
      </c>
      <c r="C26" s="131" t="n">
        <f aca="false">C8*Inputs!D17/1000</f>
        <v>3</v>
      </c>
      <c r="D26" s="131" t="n">
        <f aca="false">D8*Inputs!E17/1000</f>
        <v>3.6</v>
      </c>
      <c r="E26" s="131" t="n">
        <f aca="false">E8*Inputs!F17/1000</f>
        <v>4.5</v>
      </c>
      <c r="F26" s="131" t="n">
        <f aca="false">F8*Inputs!D17/1000</f>
        <v>3</v>
      </c>
      <c r="G26" s="131" t="n">
        <f aca="false">G8*Inputs!E17/1000</f>
        <v>3.6</v>
      </c>
      <c r="H26" s="131" t="n">
        <f aca="false">H8*Inputs!F17/1000</f>
        <v>4.5</v>
      </c>
      <c r="I26" s="131" t="n">
        <f aca="false">I8*Inputs!D17/1000</f>
        <v>3</v>
      </c>
      <c r="J26" s="131" t="n">
        <f aca="false">J8*Inputs!E17/1000</f>
        <v>3.6</v>
      </c>
      <c r="K26" s="131" t="n">
        <f aca="false">K8*Inputs!F17/1000</f>
        <v>4.5</v>
      </c>
      <c r="L26" s="131" t="n">
        <f aca="false">L8*Inputs!D17/1000</f>
        <v>3</v>
      </c>
      <c r="M26" s="131" t="n">
        <f aca="false">M8*Inputs!E17/1000</f>
        <v>3.6</v>
      </c>
      <c r="N26" s="131" t="n">
        <f aca="false">N8*Inputs!F17/1000</f>
        <v>4.5</v>
      </c>
      <c r="O26" s="131" t="n">
        <f aca="false">O8*Inputs!D17/1000</f>
        <v>3</v>
      </c>
      <c r="P26" s="131" t="n">
        <f aca="false">P8*Inputs!E17/1000</f>
        <v>3.6</v>
      </c>
      <c r="Q26" s="131" t="n">
        <f aca="false">Q8*Inputs!F17/1000</f>
        <v>4.5</v>
      </c>
    </row>
    <row r="27" customFormat="false" ht="15" hidden="false" customHeight="true" outlineLevel="0" collapsed="false">
      <c r="A27" s="22" t="s">
        <v>1028</v>
      </c>
      <c r="B27" s="17" t="s">
        <v>1023</v>
      </c>
      <c r="C27" s="131" t="n">
        <f aca="false">C8*Inputs!D18/1000</f>
        <v>3.8</v>
      </c>
      <c r="D27" s="131" t="n">
        <f aca="false">D8*Inputs!E18/1000</f>
        <v>4.5</v>
      </c>
      <c r="E27" s="131" t="n">
        <f aca="false">E8*Inputs!F18/1000</f>
        <v>5.5</v>
      </c>
      <c r="F27" s="131" t="n">
        <f aca="false">F8*Inputs!D18/1000</f>
        <v>3.8</v>
      </c>
      <c r="G27" s="131" t="n">
        <f aca="false">G8*Inputs!E18/1000</f>
        <v>4.5</v>
      </c>
      <c r="H27" s="131" t="n">
        <f aca="false">H8*Inputs!F18/1000</f>
        <v>5.5</v>
      </c>
      <c r="I27" s="131" t="n">
        <f aca="false">I8*Inputs!D18/1000</f>
        <v>3.8</v>
      </c>
      <c r="J27" s="131" t="n">
        <f aca="false">J8*Inputs!E18/1000</f>
        <v>4.5</v>
      </c>
      <c r="K27" s="131" t="n">
        <f aca="false">K8*Inputs!F18/1000</f>
        <v>5.5</v>
      </c>
      <c r="L27" s="131" t="n">
        <f aca="false">L8*Inputs!D18/1000</f>
        <v>3.8</v>
      </c>
      <c r="M27" s="131" t="n">
        <f aca="false">M8*Inputs!E18/1000</f>
        <v>4.5</v>
      </c>
      <c r="N27" s="131" t="n">
        <f aca="false">N8*Inputs!F18/1000</f>
        <v>5.5</v>
      </c>
      <c r="O27" s="131" t="n">
        <f aca="false">O8*Inputs!D18/1000</f>
        <v>3.8</v>
      </c>
      <c r="P27" s="131" t="n">
        <f aca="false">P8*Inputs!E18/1000</f>
        <v>4.5</v>
      </c>
      <c r="Q27" s="131" t="n">
        <f aca="false">Q8*Inputs!F18/1000</f>
        <v>5.5</v>
      </c>
    </row>
    <row r="28" customFormat="false" ht="15" hidden="false" customHeight="true" outlineLevel="0" collapsed="false">
      <c r="A28" s="22" t="s">
        <v>1029</v>
      </c>
      <c r="B28" s="17" t="s">
        <v>1023</v>
      </c>
      <c r="C28" s="131" t="n">
        <f aca="false">C8*Inputs!D19/1000</f>
        <v>2</v>
      </c>
      <c r="D28" s="131" t="n">
        <f aca="false">D8*Inputs!E19/1000</f>
        <v>2.5</v>
      </c>
      <c r="E28" s="131" t="n">
        <f aca="false">E8*Inputs!F19/1000</f>
        <v>3.2</v>
      </c>
      <c r="F28" s="131" t="n">
        <f aca="false">F8*Inputs!D19/1000</f>
        <v>2</v>
      </c>
      <c r="G28" s="131" t="n">
        <f aca="false">G8*Inputs!E19/1000</f>
        <v>2.5</v>
      </c>
      <c r="H28" s="131" t="n">
        <f aca="false">H8*Inputs!F19/1000</f>
        <v>3.2</v>
      </c>
      <c r="I28" s="131" t="n">
        <f aca="false">I8*Inputs!D19/1000</f>
        <v>2</v>
      </c>
      <c r="J28" s="131" t="n">
        <f aca="false">J8*Inputs!E19/1000</f>
        <v>2.5</v>
      </c>
      <c r="K28" s="131" t="n">
        <f aca="false">K8*Inputs!F19/1000</f>
        <v>3.2</v>
      </c>
      <c r="L28" s="131" t="n">
        <f aca="false">L8*Inputs!D19/1000</f>
        <v>2</v>
      </c>
      <c r="M28" s="131" t="n">
        <f aca="false">M8*Inputs!E19/1000</f>
        <v>2.5</v>
      </c>
      <c r="N28" s="131" t="n">
        <f aca="false">N8*Inputs!F19/1000</f>
        <v>3.2</v>
      </c>
      <c r="O28" s="131" t="n">
        <f aca="false">O8*Inputs!D19/1000</f>
        <v>2</v>
      </c>
      <c r="P28" s="131" t="n">
        <f aca="false">P8*Inputs!E19/1000</f>
        <v>2.5</v>
      </c>
      <c r="Q28" s="131" t="n">
        <f aca="false">Q8*Inputs!F19/1000</f>
        <v>3.2</v>
      </c>
    </row>
    <row r="29" customFormat="false" ht="15" hidden="false" customHeight="true" outlineLevel="0" collapsed="false">
      <c r="A29" s="22" t="s">
        <v>1030</v>
      </c>
      <c r="B29" s="17" t="s">
        <v>1023</v>
      </c>
      <c r="C29" s="131" t="n">
        <f aca="false">C8*Inputs!D20/1000</f>
        <v>0.3</v>
      </c>
      <c r="D29" s="131" t="n">
        <f aca="false">D8*Inputs!E20/1000</f>
        <v>0.4</v>
      </c>
      <c r="E29" s="131" t="n">
        <f aca="false">E8*Inputs!F20/1000</f>
        <v>0.5</v>
      </c>
      <c r="F29" s="131" t="n">
        <f aca="false">F8*Inputs!D20/1000</f>
        <v>0.3</v>
      </c>
      <c r="G29" s="131" t="n">
        <f aca="false">G8*Inputs!E20/1000</f>
        <v>0.4</v>
      </c>
      <c r="H29" s="131" t="n">
        <f aca="false">H8*Inputs!F20/1000</f>
        <v>0.5</v>
      </c>
      <c r="I29" s="131" t="n">
        <f aca="false">I8*Inputs!D20/1000</f>
        <v>0.3</v>
      </c>
      <c r="J29" s="131" t="n">
        <f aca="false">J8*Inputs!E20/1000</f>
        <v>0.4</v>
      </c>
      <c r="K29" s="131" t="n">
        <f aca="false">K8*Inputs!F20/1000</f>
        <v>0.5</v>
      </c>
      <c r="L29" s="131" t="n">
        <f aca="false">L8*Inputs!D20/1000</f>
        <v>0.3</v>
      </c>
      <c r="M29" s="131" t="n">
        <f aca="false">M8*Inputs!E20/1000</f>
        <v>0.4</v>
      </c>
      <c r="N29" s="131" t="n">
        <f aca="false">N8*Inputs!F20/1000</f>
        <v>0.5</v>
      </c>
      <c r="O29" s="131" t="n">
        <f aca="false">O8*Inputs!D20/1000</f>
        <v>0.3</v>
      </c>
      <c r="P29" s="131" t="n">
        <f aca="false">P8*Inputs!E20/1000</f>
        <v>0.4</v>
      </c>
      <c r="Q29" s="131" t="n">
        <f aca="false">Q8*Inputs!F20/1000</f>
        <v>0.5</v>
      </c>
    </row>
    <row r="30" customFormat="false" ht="15" hidden="false" customHeight="true" outlineLevel="0" collapsed="false">
      <c r="A30" s="22" t="s">
        <v>1031</v>
      </c>
      <c r="B30" s="17" t="s">
        <v>113</v>
      </c>
      <c r="C30" s="28" t="n">
        <f aca="false">Inputs!D21</f>
        <v>0.12</v>
      </c>
      <c r="D30" s="28" t="n">
        <f aca="false">Inputs!E21</f>
        <v>0.15</v>
      </c>
      <c r="E30" s="28" t="n">
        <f aca="false">Inputs!F21</f>
        <v>0.18</v>
      </c>
      <c r="F30" s="28" t="n">
        <f aca="false">Inputs!D21</f>
        <v>0.12</v>
      </c>
      <c r="G30" s="28" t="n">
        <f aca="false">Inputs!E21</f>
        <v>0.15</v>
      </c>
      <c r="H30" s="28" t="n">
        <f aca="false">Inputs!F21</f>
        <v>0.18</v>
      </c>
      <c r="I30" s="28" t="n">
        <f aca="false">Inputs!D21</f>
        <v>0.12</v>
      </c>
      <c r="J30" s="28" t="n">
        <f aca="false">Inputs!E21</f>
        <v>0.15</v>
      </c>
      <c r="K30" s="28" t="n">
        <f aca="false">Inputs!F21</f>
        <v>0.18</v>
      </c>
      <c r="L30" s="28" t="n">
        <f aca="false">Inputs!D21</f>
        <v>0.12</v>
      </c>
      <c r="M30" s="28" t="n">
        <f aca="false">Inputs!E21</f>
        <v>0.15</v>
      </c>
      <c r="N30" s="28" t="n">
        <f aca="false">Inputs!F21</f>
        <v>0.18</v>
      </c>
      <c r="O30" s="28" t="n">
        <f aca="false">Inputs!D21</f>
        <v>0.12</v>
      </c>
      <c r="P30" s="28" t="n">
        <f aca="false">Inputs!E21</f>
        <v>0.15</v>
      </c>
      <c r="Q30" s="28" t="n">
        <f aca="false">Inputs!F21</f>
        <v>0.18</v>
      </c>
    </row>
    <row r="31" customFormat="false" ht="15" hidden="false" customHeight="true" outlineLevel="0" collapsed="false">
      <c r="A31" s="22" t="s">
        <v>144</v>
      </c>
      <c r="B31" s="17" t="s">
        <v>1023</v>
      </c>
      <c r="C31" s="131" t="n">
        <f aca="false">(C26+C27+C28+C29)*C30</f>
        <v>1.092</v>
      </c>
      <c r="D31" s="131" t="n">
        <f aca="false">(D26+D27+D28+D29)*D30</f>
        <v>1.65</v>
      </c>
      <c r="E31" s="131" t="n">
        <f aca="false">(E26+E27+E28+E29)*E30</f>
        <v>2.466</v>
      </c>
      <c r="F31" s="131" t="n">
        <f aca="false">(F26+F27+F28+F29)*F30</f>
        <v>1.092</v>
      </c>
      <c r="G31" s="131" t="n">
        <f aca="false">(G26+G27+G28+G29)*G30</f>
        <v>1.65</v>
      </c>
      <c r="H31" s="131" t="n">
        <f aca="false">(H26+H27+H28+H29)*H30</f>
        <v>2.466</v>
      </c>
      <c r="I31" s="131" t="n">
        <f aca="false">(I26+I27+I28+I29)*I30</f>
        <v>1.092</v>
      </c>
      <c r="J31" s="131" t="n">
        <f aca="false">(J26+J27+J28+J29)*J30</f>
        <v>1.65</v>
      </c>
      <c r="K31" s="131" t="n">
        <f aca="false">(K26+K27+K28+K29)*K30</f>
        <v>2.466</v>
      </c>
      <c r="L31" s="131" t="n">
        <f aca="false">(L26+L27+L28+L29)*L30</f>
        <v>1.092</v>
      </c>
      <c r="M31" s="131" t="n">
        <f aca="false">(M26+M27+M28+M29)*M30</f>
        <v>1.65</v>
      </c>
      <c r="N31" s="131" t="n">
        <f aca="false">(N26+N27+N28+N29)*N30</f>
        <v>2.466</v>
      </c>
      <c r="O31" s="131" t="n">
        <f aca="false">(O26+O27+O28+O29)*O30</f>
        <v>1.092</v>
      </c>
      <c r="P31" s="131" t="n">
        <f aca="false">(P26+P27+P28+P29)*P30</f>
        <v>1.65</v>
      </c>
      <c r="Q31" s="131" t="n">
        <f aca="false">(Q26+Q27+Q28+Q29)*Q30</f>
        <v>2.466</v>
      </c>
    </row>
    <row r="32" customFormat="false" ht="15" hidden="false" customHeight="true" outlineLevel="0" collapsed="false">
      <c r="A32" s="22" t="s">
        <v>1032</v>
      </c>
      <c r="B32" s="17" t="s">
        <v>1023</v>
      </c>
      <c r="C32" s="131" t="n">
        <f aca="false">C25+C26+C27+C28+C29+C31</f>
        <v>10.212</v>
      </c>
      <c r="D32" s="131" t="n">
        <f aca="false">D25+D26+D27+D28+D29+D31</f>
        <v>12.67</v>
      </c>
      <c r="E32" s="131" t="n">
        <f aca="false">E25+E26+E27+E28+E29+E31</f>
        <v>16.186</v>
      </c>
      <c r="F32" s="131" t="n">
        <f aca="false">F25+F26+F27+F28+F29+F31</f>
        <v>10.212</v>
      </c>
      <c r="G32" s="131" t="n">
        <f aca="false">G25+G26+G27+G28+G29+G31</f>
        <v>12.67</v>
      </c>
      <c r="H32" s="131" t="n">
        <f aca="false">H25+H26+H27+H28+H29+H31</f>
        <v>16.186</v>
      </c>
      <c r="I32" s="131" t="n">
        <f aca="false">I25+I26+I27+I28+I29+I31</f>
        <v>10.212</v>
      </c>
      <c r="J32" s="131" t="n">
        <f aca="false">J25+J26+J27+J28+J29+J31</f>
        <v>12.67</v>
      </c>
      <c r="K32" s="131" t="n">
        <f aca="false">K25+K26+K27+K28+K29+K31</f>
        <v>16.186</v>
      </c>
      <c r="L32" s="131" t="n">
        <f aca="false">L25+L26+L27+L28+L29+L31</f>
        <v>10.212</v>
      </c>
      <c r="M32" s="131" t="n">
        <f aca="false">M25+M26+M27+M28+M29+M31</f>
        <v>12.67</v>
      </c>
      <c r="N32" s="131" t="n">
        <f aca="false">N25+N26+N27+N28+N29+N31</f>
        <v>16.186</v>
      </c>
      <c r="O32" s="131" t="n">
        <f aca="false">O25+O26+O27+O28+O29+O31</f>
        <v>10.212</v>
      </c>
      <c r="P32" s="131" t="n">
        <f aca="false">P25+P26+P27+P28+P29+P31</f>
        <v>12.67</v>
      </c>
      <c r="Q32" s="131" t="n">
        <f aca="false">Q25+Q26+Q27+Q28+Q29+Q31</f>
        <v>16.186</v>
      </c>
    </row>
    <row r="33" customFormat="false" ht="15" hidden="false" customHeight="true" outlineLevel="0" collapsed="false">
      <c r="A33" s="22" t="s">
        <v>1033</v>
      </c>
      <c r="B33" s="17" t="s">
        <v>1023</v>
      </c>
      <c r="C33" s="132" t="n">
        <f aca="false">C24+C32</f>
        <v>31.6322694</v>
      </c>
      <c r="D33" s="132" t="n">
        <f aca="false">D24+D32</f>
        <v>40.180214</v>
      </c>
      <c r="E33" s="132" t="n">
        <f aca="false">E24+E32</f>
        <v>50.3067434</v>
      </c>
      <c r="F33" s="132" t="n">
        <f aca="false">F24+F32</f>
        <v>30.8513904</v>
      </c>
      <c r="G33" s="132" t="n">
        <f aca="false">G24+G32</f>
        <v>36.685174</v>
      </c>
      <c r="H33" s="132" t="n">
        <f aca="false">H24+H32</f>
        <v>43.8362044</v>
      </c>
      <c r="I33" s="132" t="n">
        <f aca="false">I24+I32</f>
        <v>38.7669024</v>
      </c>
      <c r="J33" s="132" t="n">
        <f aca="false">J24+J32</f>
        <v>44.907224</v>
      </c>
      <c r="K33" s="132" t="n">
        <f aca="false">K24+K32</f>
        <v>55.4686064</v>
      </c>
      <c r="L33" s="132" t="n">
        <f aca="false">L24+L32</f>
        <v>43.4854032</v>
      </c>
      <c r="M33" s="132" t="n">
        <f aca="false">M24+M32</f>
        <v>50.256352</v>
      </c>
      <c r="N33" s="132" t="n">
        <f aca="false">N24+N32</f>
        <v>58.8235752</v>
      </c>
      <c r="O33" s="132" t="n">
        <f aca="false">O24+O32</f>
        <v>46.057578</v>
      </c>
      <c r="P33" s="132" t="n">
        <f aca="false">P24+P32</f>
        <v>62.75578</v>
      </c>
      <c r="Q33" s="132" t="n">
        <f aca="false">Q24+Q32</f>
        <v>81.667558</v>
      </c>
    </row>
    <row r="34" customFormat="false" ht="15" hidden="false" customHeight="true" outlineLevel="0" collapsed="false">
      <c r="A34" s="22" t="s">
        <v>1034</v>
      </c>
      <c r="B34" s="17" t="s">
        <v>1035</v>
      </c>
      <c r="C34" s="39" t="n">
        <f aca="false">C33*1000000/C14</f>
        <v>44.0531404585766</v>
      </c>
      <c r="D34" s="39" t="n">
        <f aca="false">D33*1000000/D14</f>
        <v>55.9575599402826</v>
      </c>
      <c r="E34" s="39" t="n">
        <f aca="false">E33*1000000/E14</f>
        <v>70.0604185235527</v>
      </c>
      <c r="F34" s="39" t="n">
        <f aca="false">F33*1000000/F14</f>
        <v>61.4853685368537</v>
      </c>
      <c r="G34" s="39" t="n">
        <f aca="false">G33*1000000/G14</f>
        <v>73.1118245882559</v>
      </c>
      <c r="H34" s="39" t="n">
        <f aca="false">H33*1000000/H14</f>
        <v>87.3634914940769</v>
      </c>
      <c r="I34" s="39" t="n">
        <f aca="false">I33*1000000/I14</f>
        <v>79.6021880544057</v>
      </c>
      <c r="J34" s="39" t="n">
        <f aca="false">J33*1000000/J14</f>
        <v>92.2104441816151</v>
      </c>
      <c r="K34" s="39" t="n">
        <f aca="false">K33*1000000/K14</f>
        <v>113.896704776924</v>
      </c>
      <c r="L34" s="39" t="n">
        <f aca="false">L33*1000000/L14</f>
        <v>149.053290556104</v>
      </c>
      <c r="M34" s="39" t="n">
        <f aca="false">M33*1000000/M14</f>
        <v>172.261818580673</v>
      </c>
      <c r="N34" s="39" t="n">
        <f aca="false">N33*1000000/N14</f>
        <v>201.627369200395</v>
      </c>
      <c r="O34" s="39" t="n">
        <f aca="false">O33*1000000/O14</f>
        <v>236.483764633395</v>
      </c>
      <c r="P34" s="39" t="n">
        <f aca="false">P33*1000000/P14</f>
        <v>322.221092626823</v>
      </c>
      <c r="Q34" s="39" t="n">
        <f aca="false">Q33*1000000/Q14</f>
        <v>419.324080920107</v>
      </c>
    </row>
    <row r="35" customFormat="false" ht="15" hidden="false" customHeight="true" outlineLevel="0" collapsed="false">
      <c r="A35" s="22" t="s">
        <v>1036</v>
      </c>
      <c r="B35" s="17" t="s">
        <v>1021</v>
      </c>
      <c r="C35" s="39" t="n">
        <f aca="false">C33*1000/C8</f>
        <v>31.6322694</v>
      </c>
      <c r="D35" s="39" t="n">
        <f aca="false">D33*1000/D8</f>
        <v>40.180214</v>
      </c>
      <c r="E35" s="39" t="n">
        <f aca="false">E33*1000/E8</f>
        <v>50.3067434</v>
      </c>
      <c r="F35" s="39" t="n">
        <f aca="false">F33*1000/F8</f>
        <v>30.8513904</v>
      </c>
      <c r="G35" s="39" t="n">
        <f aca="false">G33*1000/G8</f>
        <v>36.685174</v>
      </c>
      <c r="H35" s="39" t="n">
        <f aca="false">H33*1000/H8</f>
        <v>43.8362044</v>
      </c>
      <c r="I35" s="39" t="n">
        <f aca="false">I33*1000/I8</f>
        <v>38.7669024</v>
      </c>
      <c r="J35" s="39" t="n">
        <f aca="false">J33*1000/J8</f>
        <v>44.907224</v>
      </c>
      <c r="K35" s="39" t="n">
        <f aca="false">K33*1000/K8</f>
        <v>55.4686064</v>
      </c>
      <c r="L35" s="39" t="n">
        <f aca="false">L33*1000/L8</f>
        <v>43.4854032</v>
      </c>
      <c r="M35" s="39" t="n">
        <f aca="false">M33*1000/M8</f>
        <v>50.256352</v>
      </c>
      <c r="N35" s="39" t="n">
        <f aca="false">N33*1000/N8</f>
        <v>58.8235752</v>
      </c>
      <c r="O35" s="39" t="n">
        <f aca="false">O33*1000/O8</f>
        <v>46.057578</v>
      </c>
      <c r="P35" s="39" t="n">
        <f aca="false">P33*1000/P8</f>
        <v>62.75578</v>
      </c>
      <c r="Q35" s="39" t="n">
        <f aca="false">Q33*1000/Q8</f>
        <v>81.667558</v>
      </c>
    </row>
    <row r="36" customFormat="false" ht="15" hidden="false" customHeight="true" outlineLevel="0" collapsed="false">
      <c r="A36" s="22" t="s">
        <v>1037</v>
      </c>
      <c r="B36" s="17" t="s">
        <v>1021</v>
      </c>
      <c r="C36" s="131" t="n">
        <f aca="false">C32*1000/C8</f>
        <v>10.212</v>
      </c>
      <c r="D36" s="131" t="n">
        <f aca="false">D32*1000/D8</f>
        <v>12.67</v>
      </c>
      <c r="E36" s="131" t="n">
        <f aca="false">E32*1000/E8</f>
        <v>16.186</v>
      </c>
      <c r="F36" s="131" t="n">
        <f aca="false">F32*1000/F8</f>
        <v>10.212</v>
      </c>
      <c r="G36" s="131" t="n">
        <f aca="false">G32*1000/G8</f>
        <v>12.67</v>
      </c>
      <c r="H36" s="131" t="n">
        <f aca="false">H32*1000/H8</f>
        <v>16.186</v>
      </c>
      <c r="I36" s="131" t="n">
        <f aca="false">I32*1000/I8</f>
        <v>10.212</v>
      </c>
      <c r="J36" s="131" t="n">
        <f aca="false">J32*1000/J8</f>
        <v>12.67</v>
      </c>
      <c r="K36" s="131" t="n">
        <f aca="false">K32*1000/K8</f>
        <v>16.186</v>
      </c>
      <c r="L36" s="131" t="n">
        <f aca="false">L32*1000/L8</f>
        <v>10.212</v>
      </c>
      <c r="M36" s="131" t="n">
        <f aca="false">M32*1000/M8</f>
        <v>12.67</v>
      </c>
      <c r="N36" s="131" t="n">
        <f aca="false">N32*1000/N8</f>
        <v>16.186</v>
      </c>
      <c r="O36" s="131" t="n">
        <f aca="false">O32*1000/O8</f>
        <v>10.212</v>
      </c>
      <c r="P36" s="131" t="n">
        <f aca="false">P32*1000/P8</f>
        <v>12.67</v>
      </c>
      <c r="Q36" s="131" t="n">
        <f aca="false">Q32*1000/Q8</f>
        <v>16.186</v>
      </c>
      <c r="R36" s="21" t="s">
        <v>1038</v>
      </c>
    </row>
    <row r="37" customFormat="false" ht="15" hidden="false" customHeight="true" outlineLevel="0" collapsed="false">
      <c r="A37" s="27" t="s">
        <v>1039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Format="false" ht="15" hidden="false" customHeight="true" outlineLevel="0" collapsed="false">
      <c r="A38" s="16" t="s">
        <v>1040</v>
      </c>
      <c r="B38" s="23" t="s">
        <v>149</v>
      </c>
      <c r="C38" s="133" t="n">
        <f aca="false">Inputs!D23</f>
        <v>6</v>
      </c>
      <c r="D38" s="133" t="n">
        <f aca="false">Inputs!E23</f>
        <v>6</v>
      </c>
      <c r="E38" s="133" t="n">
        <f aca="false">Inputs!F23</f>
        <v>4</v>
      </c>
      <c r="F38" s="133" t="n">
        <f aca="false">Inputs!D23</f>
        <v>6</v>
      </c>
      <c r="G38" s="133" t="n">
        <f aca="false">Inputs!E23</f>
        <v>6</v>
      </c>
      <c r="H38" s="133" t="n">
        <f aca="false">Inputs!F23</f>
        <v>4</v>
      </c>
      <c r="I38" s="133" t="n">
        <f aca="false">Inputs!D23</f>
        <v>6</v>
      </c>
      <c r="J38" s="133" t="n">
        <f aca="false">Inputs!E23</f>
        <v>6</v>
      </c>
      <c r="K38" s="133" t="n">
        <f aca="false">Inputs!F23</f>
        <v>4</v>
      </c>
      <c r="L38" s="133" t="n">
        <f aca="false">Inputs!D23</f>
        <v>6</v>
      </c>
      <c r="M38" s="133" t="n">
        <f aca="false">Inputs!E23</f>
        <v>6</v>
      </c>
      <c r="N38" s="133" t="n">
        <f aca="false">Inputs!F23</f>
        <v>4</v>
      </c>
      <c r="O38" s="133" t="n">
        <f aca="false">Inputs!D23</f>
        <v>6</v>
      </c>
      <c r="P38" s="133" t="n">
        <f aca="false">Inputs!E23</f>
        <v>6</v>
      </c>
      <c r="Q38" s="133" t="n">
        <f aca="false">Inputs!F23</f>
        <v>4</v>
      </c>
    </row>
    <row r="39" customFormat="false" ht="15" hidden="false" customHeight="true" outlineLevel="0" collapsed="false">
      <c r="A39" s="16" t="s">
        <v>1041</v>
      </c>
      <c r="B39" s="17" t="s">
        <v>1023</v>
      </c>
      <c r="C39" s="131" t="n">
        <f aca="false">C24/C38</f>
        <v>3.5700449</v>
      </c>
      <c r="D39" s="131" t="n">
        <f aca="false">D24/D38</f>
        <v>4.58503566666667</v>
      </c>
      <c r="E39" s="131" t="n">
        <f aca="false">E24/E38</f>
        <v>8.53018585</v>
      </c>
      <c r="F39" s="131" t="n">
        <f aca="false">F24/F38</f>
        <v>3.4398984</v>
      </c>
      <c r="G39" s="131" t="n">
        <f aca="false">G24/G38</f>
        <v>4.002529</v>
      </c>
      <c r="H39" s="131" t="n">
        <f aca="false">H24/H38</f>
        <v>6.9125511</v>
      </c>
      <c r="I39" s="131" t="n">
        <f aca="false">I24/I38</f>
        <v>4.7591504</v>
      </c>
      <c r="J39" s="131" t="n">
        <f aca="false">J24/J38</f>
        <v>5.37287066666667</v>
      </c>
      <c r="K39" s="131" t="n">
        <f aca="false">K24/K38</f>
        <v>9.8206516</v>
      </c>
      <c r="L39" s="131" t="n">
        <f aca="false">L24/L38</f>
        <v>5.5455672</v>
      </c>
      <c r="M39" s="131" t="n">
        <f aca="false">M24/M38</f>
        <v>6.264392</v>
      </c>
      <c r="N39" s="131" t="n">
        <f aca="false">N24/N38</f>
        <v>10.6593938</v>
      </c>
      <c r="O39" s="131" t="n">
        <f aca="false">O24/O38</f>
        <v>5.974263</v>
      </c>
      <c r="P39" s="131" t="n">
        <f aca="false">P24/P38</f>
        <v>8.34763</v>
      </c>
      <c r="Q39" s="131" t="n">
        <f aca="false">Q24/Q38</f>
        <v>16.3703895</v>
      </c>
    </row>
    <row r="40" customFormat="false" ht="15" hidden="false" customHeight="true" outlineLevel="0" collapsed="false">
      <c r="A40" s="22" t="s">
        <v>1042</v>
      </c>
      <c r="B40" s="17" t="s">
        <v>1023</v>
      </c>
      <c r="C40" s="131" t="n">
        <f aca="false">(C26/Inputs!D24+C27/Inputs!D25+C28/Inputs!D26+C29/Inputs!D27)*(1+C30)</f>
        <v>0.507733333333333</v>
      </c>
      <c r="D40" s="131" t="n">
        <f aca="false">(D26/Inputs!E24+D27/Inputs!E25+D28/Inputs!E26+D29/Inputs!E27)*(1+D30)</f>
        <v>0.634416666666667</v>
      </c>
      <c r="E40" s="131" t="n">
        <f aca="false">(E26/Inputs!F24+E27/Inputs!F25+E28/Inputs!F26+E29/Inputs!F27)*(1+E30)</f>
        <v>0.812233333333334</v>
      </c>
      <c r="F40" s="131" t="n">
        <f aca="false">(F26/Inputs!D24+F27/Inputs!D25+F28/Inputs!D26+F29/Inputs!D27)*(1+F30)</f>
        <v>0.507733333333333</v>
      </c>
      <c r="G40" s="131" t="n">
        <f aca="false">(G26/Inputs!E24+G27/Inputs!E25+G28/Inputs!E26+G29/Inputs!E27)*(1+G30)</f>
        <v>0.634416666666667</v>
      </c>
      <c r="H40" s="131" t="n">
        <f aca="false">(H26/Inputs!F24+H27/Inputs!F25+H28/Inputs!F26+H29/Inputs!F27)*(1+H30)</f>
        <v>0.812233333333334</v>
      </c>
      <c r="I40" s="131" t="n">
        <f aca="false">(I26/Inputs!D24+I27/Inputs!D25+I28/Inputs!D26+I29/Inputs!D27)*(1+I30)</f>
        <v>0.507733333333333</v>
      </c>
      <c r="J40" s="131" t="n">
        <f aca="false">(J26/Inputs!E24+J27/Inputs!E25+J28/Inputs!E26+J29/Inputs!E27)*(1+J30)</f>
        <v>0.634416666666667</v>
      </c>
      <c r="K40" s="131" t="n">
        <f aca="false">(K26/Inputs!F24+K27/Inputs!F25+K28/Inputs!F26+K29/Inputs!F27)*(1+K30)</f>
        <v>0.812233333333334</v>
      </c>
      <c r="L40" s="131" t="n">
        <f aca="false">(L26/Inputs!D24+L27/Inputs!D25+L28/Inputs!D26+L29/Inputs!D27)*(1+L30)</f>
        <v>0.507733333333333</v>
      </c>
      <c r="M40" s="131" t="n">
        <f aca="false">(M26/Inputs!E24+M27/Inputs!E25+M28/Inputs!E26+M29/Inputs!E27)*(1+M30)</f>
        <v>0.634416666666667</v>
      </c>
      <c r="N40" s="131" t="n">
        <f aca="false">(N26/Inputs!F24+N27/Inputs!F25+N28/Inputs!F26+N29/Inputs!F27)*(1+N30)</f>
        <v>0.812233333333334</v>
      </c>
      <c r="O40" s="131" t="n">
        <f aca="false">(O26/Inputs!D24+O27/Inputs!D25+O28/Inputs!D26+O29/Inputs!D27)*(1+O30)</f>
        <v>0.507733333333333</v>
      </c>
      <c r="P40" s="131" t="n">
        <f aca="false">(P26/Inputs!E24+P27/Inputs!E25+P28/Inputs!E26+P29/Inputs!E27)*(1+P30)</f>
        <v>0.634416666666667</v>
      </c>
      <c r="Q40" s="131" t="n">
        <f aca="false">(Q26/Inputs!F24+Q27/Inputs!F25+Q28/Inputs!F26+Q29/Inputs!F27)*(1+Q30)</f>
        <v>0.812233333333334</v>
      </c>
    </row>
    <row r="41" customFormat="false" ht="15" hidden="false" customHeight="true" outlineLevel="0" collapsed="false">
      <c r="A41" s="22" t="s">
        <v>121</v>
      </c>
      <c r="B41" s="17" t="s">
        <v>113</v>
      </c>
      <c r="C41" s="28" t="n">
        <f aca="false">Inputs!D10</f>
        <v>0.7</v>
      </c>
      <c r="D41" s="28" t="n">
        <f aca="false">Inputs!E10</f>
        <v>0.8</v>
      </c>
      <c r="E41" s="28" t="n">
        <f aca="false">Inputs!F10</f>
        <v>0.9</v>
      </c>
      <c r="F41" s="28" t="n">
        <f aca="false">Inputs!D10</f>
        <v>0.7</v>
      </c>
      <c r="G41" s="28" t="n">
        <f aca="false">Inputs!E10</f>
        <v>0.8</v>
      </c>
      <c r="H41" s="28" t="n">
        <f aca="false">Inputs!F10</f>
        <v>0.9</v>
      </c>
      <c r="I41" s="28" t="n">
        <f aca="false">Inputs!D10</f>
        <v>0.7</v>
      </c>
      <c r="J41" s="28" t="n">
        <f aca="false">Inputs!E10</f>
        <v>0.8</v>
      </c>
      <c r="K41" s="28" t="n">
        <f aca="false">Inputs!F10</f>
        <v>0.9</v>
      </c>
      <c r="L41" s="28" t="n">
        <f aca="false">Inputs!D10</f>
        <v>0.7</v>
      </c>
      <c r="M41" s="28" t="n">
        <f aca="false">Inputs!E10</f>
        <v>0.8</v>
      </c>
      <c r="N41" s="28" t="n">
        <f aca="false">Inputs!F10</f>
        <v>0.9</v>
      </c>
      <c r="O41" s="28" t="n">
        <f aca="false">Inputs!D10</f>
        <v>0.7</v>
      </c>
      <c r="P41" s="28" t="n">
        <f aca="false">Inputs!E10</f>
        <v>0.8</v>
      </c>
      <c r="Q41" s="28" t="n">
        <f aca="false">Inputs!F10</f>
        <v>0.9</v>
      </c>
    </row>
    <row r="42" customFormat="false" ht="15" hidden="false" customHeight="true" outlineLevel="0" collapsed="false">
      <c r="A42" s="22" t="s">
        <v>123</v>
      </c>
      <c r="B42" s="17" t="s">
        <v>124</v>
      </c>
      <c r="C42" s="134" t="n">
        <f aca="false">Inputs!D11</f>
        <v>0.06</v>
      </c>
      <c r="D42" s="134" t="n">
        <f aca="false">Inputs!E11</f>
        <v>0.08</v>
      </c>
      <c r="E42" s="134" t="n">
        <f aca="false">Inputs!F11</f>
        <v>0.1</v>
      </c>
      <c r="F42" s="134" t="n">
        <f aca="false">Inputs!D11</f>
        <v>0.06</v>
      </c>
      <c r="G42" s="134" t="n">
        <f aca="false">Inputs!E11</f>
        <v>0.08</v>
      </c>
      <c r="H42" s="134" t="n">
        <f aca="false">Inputs!F11</f>
        <v>0.1</v>
      </c>
      <c r="I42" s="134" t="n">
        <f aca="false">Inputs!D11</f>
        <v>0.06</v>
      </c>
      <c r="J42" s="134" t="n">
        <f aca="false">Inputs!E11</f>
        <v>0.08</v>
      </c>
      <c r="K42" s="134" t="n">
        <f aca="false">Inputs!F11</f>
        <v>0.1</v>
      </c>
      <c r="L42" s="134" t="n">
        <f aca="false">Inputs!D11</f>
        <v>0.06</v>
      </c>
      <c r="M42" s="134" t="n">
        <f aca="false">Inputs!E11</f>
        <v>0.08</v>
      </c>
      <c r="N42" s="134" t="n">
        <f aca="false">Inputs!F11</f>
        <v>0.1</v>
      </c>
      <c r="O42" s="134" t="n">
        <f aca="false">Inputs!D11</f>
        <v>0.06</v>
      </c>
      <c r="P42" s="134" t="n">
        <f aca="false">Inputs!E11</f>
        <v>0.08</v>
      </c>
      <c r="Q42" s="134" t="n">
        <f aca="false">Inputs!F11</f>
        <v>0.1</v>
      </c>
    </row>
    <row r="43" customFormat="false" ht="15" hidden="false" customHeight="true" outlineLevel="0" collapsed="false">
      <c r="A43" s="22" t="s">
        <v>1043</v>
      </c>
      <c r="B43" s="17" t="s">
        <v>1023</v>
      </c>
      <c r="C43" s="131" t="n">
        <f aca="false">C8*1000*C41*C15*8760*C42/1000000000</f>
        <v>0.404712</v>
      </c>
      <c r="D43" s="131" t="n">
        <f aca="false">D8*1000*D41*D15*8760*D42/1000000000</f>
        <v>0.672768</v>
      </c>
      <c r="E43" s="131" t="n">
        <f aca="false">E8*1000*E41*E15*8760*E42/1000000000</f>
        <v>1.02492</v>
      </c>
      <c r="F43" s="131" t="n">
        <f aca="false">F8*1000*F41*F15*8760*F42/1000000000</f>
        <v>0.404712</v>
      </c>
      <c r="G43" s="131" t="n">
        <f aca="false">G8*1000*G41*G15*8760*G42/1000000000</f>
        <v>0.672768</v>
      </c>
      <c r="H43" s="131" t="n">
        <f aca="false">H8*1000*H41*H15*8760*H42/1000000000</f>
        <v>1.02492</v>
      </c>
      <c r="I43" s="131" t="n">
        <f aca="false">I8*1000*I41*I15*8760*I42/1000000000</f>
        <v>0.404712</v>
      </c>
      <c r="J43" s="131" t="n">
        <f aca="false">J8*1000*J41*J15*8760*J42/1000000000</f>
        <v>0.672768</v>
      </c>
      <c r="K43" s="131" t="n">
        <f aca="false">K8*1000*K41*K15*8760*K42/1000000000</f>
        <v>1.02492</v>
      </c>
      <c r="L43" s="131" t="n">
        <f aca="false">L8*1000*L41*L15*8760*L42/1000000000</f>
        <v>0.404712</v>
      </c>
      <c r="M43" s="131" t="n">
        <f aca="false">M8*1000*M41*M15*8760*M42/1000000000</f>
        <v>0.672768</v>
      </c>
      <c r="N43" s="131" t="n">
        <f aca="false">N8*1000*N41*N15*8760*N42/1000000000</f>
        <v>1.02492</v>
      </c>
      <c r="O43" s="131" t="n">
        <f aca="false">O8*1000*O41*O15*8760*O42/1000000000</f>
        <v>0.404712</v>
      </c>
      <c r="P43" s="131" t="n">
        <f aca="false">P8*1000*P41*P15*8760*P42/1000000000</f>
        <v>0.672768</v>
      </c>
      <c r="Q43" s="131" t="n">
        <f aca="false">Q8*1000*Q41*Q15*8760*Q42/1000000000</f>
        <v>1.02492</v>
      </c>
    </row>
    <row r="44" customFormat="false" ht="15" hidden="false" customHeight="true" outlineLevel="0" collapsed="false">
      <c r="A44" s="16" t="s">
        <v>1044</v>
      </c>
      <c r="B44" s="17" t="s">
        <v>1023</v>
      </c>
      <c r="C44" s="131" t="n">
        <f aca="false">C24*Inputs!D30</f>
        <v>0.219436730882534</v>
      </c>
      <c r="D44" s="131" t="n">
        <f aca="false">D24*Inputs!E30</f>
        <v>0.43259841019734</v>
      </c>
      <c r="E44" s="131" t="n">
        <f aca="false">E24*Inputs!F30</f>
        <v>0.6226274060112</v>
      </c>
      <c r="F44" s="131" t="n">
        <f aca="false">F24*Inputs!D30</f>
        <v>0.211437133315623</v>
      </c>
      <c r="G44" s="131" t="n">
        <f aca="false">G24*Inputs!E30</f>
        <v>0.377638868712999</v>
      </c>
      <c r="H44" s="131" t="n">
        <f aca="false">H24*Inputs!F30</f>
        <v>0.504554512175472</v>
      </c>
      <c r="I44" s="131" t="n">
        <f aca="false">I24*Inputs!D30</f>
        <v>0.292526406475813</v>
      </c>
      <c r="J44" s="131" t="n">
        <f aca="false">J24*Inputs!E30</f>
        <v>0.506930693144573</v>
      </c>
      <c r="K44" s="131" t="n">
        <f aca="false">K24*Inputs!F30</f>
        <v>0.716819883947515</v>
      </c>
      <c r="L44" s="131" t="n">
        <f aca="false">L24*Inputs!D30</f>
        <v>0.340864378836638</v>
      </c>
      <c r="M44" s="131" t="n">
        <f aca="false">M24*Inputs!E30</f>
        <v>0.591045788314028</v>
      </c>
      <c r="N44" s="131" t="n">
        <f aca="false">N24*Inputs!F30</f>
        <v>0.778040575909124</v>
      </c>
      <c r="O44" s="131" t="n">
        <f aca="false">O24*Inputs!D30</f>
        <v>0.367214637035091</v>
      </c>
      <c r="P44" s="131" t="n">
        <f aca="false">P24*Inputs!E30</f>
        <v>0.787599427670528</v>
      </c>
      <c r="Q44" s="131" t="n">
        <f aca="false">Q24*Inputs!F30</f>
        <v>1.19489227186978</v>
      </c>
    </row>
    <row r="45" customFormat="false" ht="15" hidden="false" customHeight="true" outlineLevel="0" collapsed="false">
      <c r="A45" s="22" t="s">
        <v>164</v>
      </c>
      <c r="B45" s="17" t="s">
        <v>1023</v>
      </c>
      <c r="C45" s="131" t="n">
        <f aca="false">C32*Inputs!D31</f>
        <v>0.15318</v>
      </c>
      <c r="D45" s="131" t="n">
        <f aca="false">D32*Inputs!E31</f>
        <v>0.2534</v>
      </c>
      <c r="E45" s="131" t="n">
        <f aca="false">E32*Inputs!F31</f>
        <v>0.40465</v>
      </c>
      <c r="F45" s="131" t="n">
        <f aca="false">F32*Inputs!D31</f>
        <v>0.15318</v>
      </c>
      <c r="G45" s="131" t="n">
        <f aca="false">G32*Inputs!E31</f>
        <v>0.2534</v>
      </c>
      <c r="H45" s="131" t="n">
        <f aca="false">H32*Inputs!F31</f>
        <v>0.40465</v>
      </c>
      <c r="I45" s="131" t="n">
        <f aca="false">I32*Inputs!D31</f>
        <v>0.15318</v>
      </c>
      <c r="J45" s="131" t="n">
        <f aca="false">J32*Inputs!E31</f>
        <v>0.2534</v>
      </c>
      <c r="K45" s="131" t="n">
        <f aca="false">K32*Inputs!F31</f>
        <v>0.40465</v>
      </c>
      <c r="L45" s="131" t="n">
        <f aca="false">L32*Inputs!D31</f>
        <v>0.15318</v>
      </c>
      <c r="M45" s="131" t="n">
        <f aca="false">M32*Inputs!E31</f>
        <v>0.2534</v>
      </c>
      <c r="N45" s="131" t="n">
        <f aca="false">N32*Inputs!F31</f>
        <v>0.40465</v>
      </c>
      <c r="O45" s="131" t="n">
        <f aca="false">O32*Inputs!D31</f>
        <v>0.15318</v>
      </c>
      <c r="P45" s="131" t="n">
        <f aca="false">P32*Inputs!E31</f>
        <v>0.2534</v>
      </c>
      <c r="Q45" s="131" t="n">
        <f aca="false">Q32*Inputs!F31</f>
        <v>0.40465</v>
      </c>
    </row>
    <row r="46" customFormat="false" ht="15" hidden="false" customHeight="true" outlineLevel="0" collapsed="false">
      <c r="A46" s="22" t="s">
        <v>1045</v>
      </c>
      <c r="B46" s="17" t="s">
        <v>1023</v>
      </c>
      <c r="C46" s="131" t="n">
        <f aca="false">(Inputs!D32*C8/1000+Inputs!D33*C8/1000+Inputs!D34*C8)/1000</f>
        <v>0.24</v>
      </c>
      <c r="D46" s="131" t="n">
        <f aca="false">(Inputs!E32*D8/1000+Inputs!E33*D8/1000+Inputs!E34*D8)/1000</f>
        <v>0.325</v>
      </c>
      <c r="E46" s="131" t="n">
        <f aca="false">(Inputs!F32*E8/1000+Inputs!F33*E8/1000+Inputs!F34*E8)/1000</f>
        <v>0.41</v>
      </c>
      <c r="F46" s="131" t="n">
        <f aca="false">(Inputs!D32*F8/1000+Inputs!D33*F8/1000+Inputs!D34*F8)/1000</f>
        <v>0.24</v>
      </c>
      <c r="G46" s="131" t="n">
        <f aca="false">(Inputs!E32*G8/1000+Inputs!E33*G8/1000+Inputs!E34*G8)/1000</f>
        <v>0.325</v>
      </c>
      <c r="H46" s="131" t="n">
        <f aca="false">(Inputs!F32*H8/1000+Inputs!F33*H8/1000+Inputs!F34*H8)/1000</f>
        <v>0.41</v>
      </c>
      <c r="I46" s="131" t="n">
        <f aca="false">(Inputs!D32*I8/1000+Inputs!D33*I8/1000+Inputs!D34*I8)/1000</f>
        <v>0.24</v>
      </c>
      <c r="J46" s="131" t="n">
        <f aca="false">(Inputs!E32*J8/1000+Inputs!E33*J8/1000+Inputs!E34*J8)/1000</f>
        <v>0.325</v>
      </c>
      <c r="K46" s="131" t="n">
        <f aca="false">(Inputs!F32*K8/1000+Inputs!F33*K8/1000+Inputs!F34*K8)/1000</f>
        <v>0.41</v>
      </c>
      <c r="L46" s="131" t="n">
        <f aca="false">(Inputs!D32*L8/1000+Inputs!D33*L8/1000+Inputs!D34*L8)/1000</f>
        <v>0.24</v>
      </c>
      <c r="M46" s="131" t="n">
        <f aca="false">(Inputs!E32*M8/1000+Inputs!E33*M8/1000+Inputs!E34*M8)/1000</f>
        <v>0.325</v>
      </c>
      <c r="N46" s="131" t="n">
        <f aca="false">(Inputs!F32*N8/1000+Inputs!F33*N8/1000+Inputs!F34*N8)/1000</f>
        <v>0.41</v>
      </c>
      <c r="O46" s="131" t="n">
        <f aca="false">(Inputs!D32*O8/1000+Inputs!D33*O8/1000+Inputs!D34*O8)/1000</f>
        <v>0.24</v>
      </c>
      <c r="P46" s="131" t="n">
        <f aca="false">(Inputs!E32*P8/1000+Inputs!E33*P8/1000+Inputs!E34*P8)/1000</f>
        <v>0.325</v>
      </c>
      <c r="Q46" s="131" t="n">
        <f aca="false">(Inputs!F32*Q8/1000+Inputs!F33*Q8/1000+Inputs!F34*Q8)/1000</f>
        <v>0.41</v>
      </c>
    </row>
    <row r="47" customFormat="false" ht="15" hidden="false" customHeight="true" outlineLevel="0" collapsed="false">
      <c r="A47" s="22" t="s">
        <v>175</v>
      </c>
      <c r="B47" s="17" t="s">
        <v>1023</v>
      </c>
      <c r="C47" s="131" t="n">
        <f aca="false">C33*Inputs!D35</f>
        <v>0.0948968082</v>
      </c>
      <c r="D47" s="131" t="n">
        <f aca="false">D33*Inputs!E35</f>
        <v>0.20090107</v>
      </c>
      <c r="E47" s="131" t="n">
        <f aca="false">E33*Inputs!F35</f>
        <v>0.4024539472</v>
      </c>
      <c r="F47" s="131" t="n">
        <f aca="false">F33*Inputs!D35</f>
        <v>0.0925541712</v>
      </c>
      <c r="G47" s="131" t="n">
        <f aca="false">G33*Inputs!E35</f>
        <v>0.18342587</v>
      </c>
      <c r="H47" s="131" t="n">
        <f aca="false">H33*Inputs!F35</f>
        <v>0.3506896352</v>
      </c>
      <c r="I47" s="131" t="n">
        <f aca="false">I33*Inputs!D35</f>
        <v>0.1163007072</v>
      </c>
      <c r="J47" s="131" t="n">
        <f aca="false">J33*Inputs!E35</f>
        <v>0.22453612</v>
      </c>
      <c r="K47" s="131" t="n">
        <f aca="false">K33*Inputs!F35</f>
        <v>0.4437488512</v>
      </c>
      <c r="L47" s="131" t="n">
        <f aca="false">L33*Inputs!D35</f>
        <v>0.1304562096</v>
      </c>
      <c r="M47" s="131" t="n">
        <f aca="false">M33*Inputs!E35</f>
        <v>0.25128176</v>
      </c>
      <c r="N47" s="131" t="n">
        <f aca="false">N33*Inputs!F35</f>
        <v>0.4705886016</v>
      </c>
      <c r="O47" s="131" t="n">
        <f aca="false">O33*Inputs!D35</f>
        <v>0.138172734</v>
      </c>
      <c r="P47" s="131" t="n">
        <f aca="false">P33*Inputs!E35</f>
        <v>0.3137789</v>
      </c>
      <c r="Q47" s="131" t="n">
        <f aca="false">Q33*Inputs!F35</f>
        <v>0.653340464</v>
      </c>
    </row>
    <row r="48" customFormat="false" ht="15" hidden="false" customHeight="true" outlineLevel="0" collapsed="false">
      <c r="A48" s="22" t="s">
        <v>1046</v>
      </c>
      <c r="B48" s="17" t="s">
        <v>1023</v>
      </c>
      <c r="C48" s="131" t="n">
        <f aca="false">C43+C44+C45+C46+C47</f>
        <v>1.11222553908253</v>
      </c>
      <c r="D48" s="131" t="n">
        <f aca="false">D43+D44+D45+D46+D47</f>
        <v>1.88466748019734</v>
      </c>
      <c r="E48" s="131" t="n">
        <f aca="false">E43+E44+E45+E46+E47</f>
        <v>2.8646513532112</v>
      </c>
      <c r="F48" s="131" t="n">
        <f aca="false">F43+F44+F45+F46+F47</f>
        <v>1.10188330451562</v>
      </c>
      <c r="G48" s="131" t="n">
        <f aca="false">G43+G44+G45+G46+G47</f>
        <v>1.812232738713</v>
      </c>
      <c r="H48" s="131" t="n">
        <f aca="false">H43+H44+H45+H46+H47</f>
        <v>2.69481414737547</v>
      </c>
      <c r="I48" s="131" t="n">
        <f aca="false">I43+I44+I45+I46+I47</f>
        <v>1.20671911367581</v>
      </c>
      <c r="J48" s="131" t="n">
        <f aca="false">J43+J44+J45+J46+J47</f>
        <v>1.98263481314457</v>
      </c>
      <c r="K48" s="131" t="n">
        <f aca="false">K43+K44+K45+K46+K47</f>
        <v>3.00013873514752</v>
      </c>
      <c r="L48" s="131" t="n">
        <f aca="false">L43+L44+L45+L46+L47</f>
        <v>1.26921258843664</v>
      </c>
      <c r="M48" s="131" t="n">
        <f aca="false">M43+M44+M45+M46+M47</f>
        <v>2.09349554831403</v>
      </c>
      <c r="N48" s="131" t="n">
        <f aca="false">N43+N44+N45+N46+N47</f>
        <v>3.08819917750912</v>
      </c>
      <c r="O48" s="131" t="n">
        <f aca="false">O43+O44+O45+O46+O47</f>
        <v>1.30327937103509</v>
      </c>
      <c r="P48" s="131" t="n">
        <f aca="false">P43+P44+P45+P46+P47</f>
        <v>2.35254632767053</v>
      </c>
      <c r="Q48" s="131" t="n">
        <f aca="false">Q43+Q44+Q45+Q46+Q47</f>
        <v>3.68780273586978</v>
      </c>
    </row>
    <row r="49" customFormat="false" ht="15" hidden="false" customHeight="true" outlineLevel="0" collapsed="false">
      <c r="A49" s="22" t="s">
        <v>1047</v>
      </c>
      <c r="B49" s="17" t="s">
        <v>1023</v>
      </c>
      <c r="C49" s="132" t="n">
        <f aca="false">C39+C40+C48</f>
        <v>5.19000377241587</v>
      </c>
      <c r="D49" s="132" t="n">
        <f aca="false">D39+D40+D48</f>
        <v>7.10411981353067</v>
      </c>
      <c r="E49" s="132" t="n">
        <f aca="false">E39+E40+E48</f>
        <v>12.2070705365445</v>
      </c>
      <c r="F49" s="132" t="n">
        <f aca="false">F39+F40+F48</f>
        <v>5.04951503784896</v>
      </c>
      <c r="G49" s="132" t="n">
        <f aca="false">G39+G40+G48</f>
        <v>6.44917840537967</v>
      </c>
      <c r="H49" s="132" t="n">
        <f aca="false">H39+H40+H48</f>
        <v>10.4195985807088</v>
      </c>
      <c r="I49" s="132" t="n">
        <f aca="false">I39+I40+I48</f>
        <v>6.47360284700915</v>
      </c>
      <c r="J49" s="132" t="n">
        <f aca="false">J39+J40+J48</f>
        <v>7.98992214647791</v>
      </c>
      <c r="K49" s="132" t="n">
        <f aca="false">K39+K40+K48</f>
        <v>13.6330236684808</v>
      </c>
      <c r="L49" s="132" t="n">
        <f aca="false">L39+L40+L48</f>
        <v>7.32251312176997</v>
      </c>
      <c r="M49" s="132" t="n">
        <f aca="false">M39+M40+M48</f>
        <v>8.9923042149807</v>
      </c>
      <c r="N49" s="132" t="n">
        <f aca="false">N39+N40+N48</f>
        <v>14.5598263108425</v>
      </c>
      <c r="O49" s="132" t="n">
        <f aca="false">O39+O40+O48</f>
        <v>7.78527570436843</v>
      </c>
      <c r="P49" s="132" t="n">
        <f aca="false">P39+P40+P48</f>
        <v>11.3345929943372</v>
      </c>
      <c r="Q49" s="132" t="n">
        <f aca="false">Q39+Q40+Q48</f>
        <v>20.8704255692031</v>
      </c>
    </row>
    <row r="50" customFormat="false" ht="15" hidden="false" customHeight="true" outlineLevel="0" collapsed="false">
      <c r="A50" s="27" t="s">
        <v>1048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Format="false" ht="15" hidden="false" customHeight="true" outlineLevel="0" collapsed="false">
      <c r="A51" s="16" t="s">
        <v>1049</v>
      </c>
      <c r="B51" s="17" t="s">
        <v>113</v>
      </c>
      <c r="C51" s="28" t="n">
        <f aca="false">Inputs!D28</f>
        <v>0.08</v>
      </c>
      <c r="D51" s="28" t="n">
        <f aca="false">Inputs!E28</f>
        <v>0.1</v>
      </c>
      <c r="E51" s="28" t="n">
        <f aca="false">Inputs!F28</f>
        <v>0.13</v>
      </c>
      <c r="F51" s="28" t="n">
        <f aca="false">Inputs!D28</f>
        <v>0.08</v>
      </c>
      <c r="G51" s="28" t="n">
        <f aca="false">Inputs!E28</f>
        <v>0.1</v>
      </c>
      <c r="H51" s="28" t="n">
        <f aca="false">Inputs!F28</f>
        <v>0.13</v>
      </c>
      <c r="I51" s="28" t="n">
        <f aca="false">Inputs!D28</f>
        <v>0.08</v>
      </c>
      <c r="J51" s="28" t="n">
        <f aca="false">Inputs!E28</f>
        <v>0.1</v>
      </c>
      <c r="K51" s="28" t="n">
        <f aca="false">Inputs!F28</f>
        <v>0.13</v>
      </c>
      <c r="L51" s="28" t="n">
        <f aca="false">Inputs!D28</f>
        <v>0.08</v>
      </c>
      <c r="M51" s="28" t="n">
        <f aca="false">Inputs!E28</f>
        <v>0.1</v>
      </c>
      <c r="N51" s="28" t="n">
        <f aca="false">Inputs!F28</f>
        <v>0.13</v>
      </c>
      <c r="O51" s="28" t="n">
        <f aca="false">Inputs!D28</f>
        <v>0.08</v>
      </c>
      <c r="P51" s="28" t="n">
        <f aca="false">Inputs!E28</f>
        <v>0.1</v>
      </c>
      <c r="Q51" s="28" t="n">
        <f aca="false">Inputs!F28</f>
        <v>0.13</v>
      </c>
    </row>
    <row r="52" customFormat="false" ht="15" hidden="false" customHeight="true" outlineLevel="0" collapsed="false">
      <c r="A52" s="16" t="s">
        <v>1050</v>
      </c>
      <c r="B52" s="17" t="s">
        <v>118</v>
      </c>
      <c r="C52" s="135" t="n">
        <f aca="false">C51/(1-(1+C51)^(-C38))</f>
        <v>0.21631538622901</v>
      </c>
      <c r="D52" s="135" t="n">
        <f aca="false">D51/(1-(1+D51)^(-D38))</f>
        <v>0.229607380362667</v>
      </c>
      <c r="E52" s="135" t="n">
        <f aca="false">E51/(1-(1+E51)^(-E38))</f>
        <v>0.336194197406613</v>
      </c>
      <c r="F52" s="135" t="n">
        <f aca="false">F51/(1-(1+F51)^(-F38))</f>
        <v>0.21631538622901</v>
      </c>
      <c r="G52" s="135" t="n">
        <f aca="false">G51/(1-(1+G51)^(-G38))</f>
        <v>0.229607380362667</v>
      </c>
      <c r="H52" s="135" t="n">
        <f aca="false">H51/(1-(1+H51)^(-H38))</f>
        <v>0.336194197406613</v>
      </c>
      <c r="I52" s="135" t="n">
        <f aca="false">I51/(1-(1+I51)^(-I38))</f>
        <v>0.21631538622901</v>
      </c>
      <c r="J52" s="135" t="n">
        <f aca="false">J51/(1-(1+J51)^(-J38))</f>
        <v>0.229607380362667</v>
      </c>
      <c r="K52" s="135" t="n">
        <f aca="false">K51/(1-(1+K51)^(-K38))</f>
        <v>0.336194197406613</v>
      </c>
      <c r="L52" s="135" t="n">
        <f aca="false">L51/(1-(1+L51)^(-L38))</f>
        <v>0.21631538622901</v>
      </c>
      <c r="M52" s="135" t="n">
        <f aca="false">M51/(1-(1+M51)^(-M38))</f>
        <v>0.229607380362667</v>
      </c>
      <c r="N52" s="135" t="n">
        <f aca="false">N51/(1-(1+N51)^(-N38))</f>
        <v>0.336194197406613</v>
      </c>
      <c r="O52" s="135" t="n">
        <f aca="false">O51/(1-(1+O51)^(-O38))</f>
        <v>0.21631538622901</v>
      </c>
      <c r="P52" s="135" t="n">
        <f aca="false">P51/(1-(1+P51)^(-P38))</f>
        <v>0.229607380362667</v>
      </c>
      <c r="Q52" s="135" t="n">
        <f aca="false">Q51/(1-(1+Q51)^(-Q38))</f>
        <v>0.336194197406613</v>
      </c>
    </row>
    <row r="53" customFormat="false" ht="15" hidden="false" customHeight="true" outlineLevel="0" collapsed="false">
      <c r="A53" s="16" t="s">
        <v>1051</v>
      </c>
      <c r="B53" s="17" t="s">
        <v>1023</v>
      </c>
      <c r="C53" s="131" t="n">
        <f aca="false">C24*C52</f>
        <v>4.63353384839044</v>
      </c>
      <c r="D53" s="131" t="n">
        <f aca="false">D24*D52</f>
        <v>6.31654816975637</v>
      </c>
      <c r="E53" s="131" t="n">
        <f aca="false">E24*E52</f>
        <v>11.47119594228</v>
      </c>
      <c r="F53" s="131" t="n">
        <f aca="false">F24*F52</f>
        <v>4.46461770590731</v>
      </c>
      <c r="G53" s="131" t="n">
        <f aca="false">G24*G52</f>
        <v>5.51406119109364</v>
      </c>
      <c r="H53" s="131" t="n">
        <f aca="false">H24*H52</f>
        <v>9.29583827638681</v>
      </c>
      <c r="I53" s="131" t="n">
        <f aca="false">I24*I52</f>
        <v>6.17686474138768</v>
      </c>
      <c r="J53" s="131" t="n">
        <f aca="false">J24*J52</f>
        <v>7.4019045528045</v>
      </c>
      <c r="K53" s="131" t="n">
        <f aca="false">K24*K52</f>
        <v>13.2065843306879</v>
      </c>
      <c r="L53" s="131" t="n">
        <f aca="false">L24*L52</f>
        <v>7.19754906436157</v>
      </c>
      <c r="M53" s="131" t="n">
        <f aca="false">M24*M52</f>
        <v>8.6301038201091</v>
      </c>
      <c r="N53" s="131" t="n">
        <f aca="false">N24*N52</f>
        <v>14.3345053737281</v>
      </c>
      <c r="O53" s="131" t="n">
        <f aca="false">O24*O52</f>
        <v>7.75395004967209</v>
      </c>
      <c r="P53" s="131" t="n">
        <f aca="false">P24*P52</f>
        <v>11.5000647392209</v>
      </c>
      <c r="Q53" s="131" t="n">
        <f aca="false">Q24*Q52</f>
        <v>22.0145198367446</v>
      </c>
    </row>
    <row r="54" customFormat="false" ht="15" hidden="false" customHeight="true" outlineLevel="0" collapsed="false">
      <c r="A54" s="22" t="s">
        <v>1052</v>
      </c>
      <c r="B54" s="17" t="s">
        <v>1023</v>
      </c>
      <c r="C54" s="131" t="n">
        <f aca="false">(C26*C51/(1-(1+C51)^(-Inputs!D24))+C27*C51/(1-(1+C51)^(-Inputs!D25))+C28*C51/(1-(1+C51)^(-Inputs!D26))+C29*C51/(1-(1+C51)^(-Inputs!D27)))*(1+C30)+C25*C51</f>
        <v>1.04531526579147</v>
      </c>
      <c r="D54" s="131" t="n">
        <f aca="false">(D26*D51/(1-(1+D51)^(-Inputs!E24))+D27*D51/(1-(1+D51)^(-Inputs!E25))+D28*D51/(1-(1+D51)^(-Inputs!E26))+D29*D51/(1-(1+D51)^(-Inputs!E27)))*(1+D30)+D25*D51</f>
        <v>1.50187163616098</v>
      </c>
      <c r="E54" s="131" t="n">
        <f aca="false">(E26*E51/(1-(1+E51)^(-Inputs!F24))+E27*E51/(1-(1+E51)^(-Inputs!F25))+E28*E51/(1-(1+E51)^(-Inputs!F26))+E29*E51/(1-(1+E51)^(-Inputs!F27)))*(1+E30)+E25*E51</f>
        <v>2.32792243821144</v>
      </c>
      <c r="F54" s="131" t="n">
        <f aca="false">(F26*F51/(1-(1+F51)^(-Inputs!D24))+F27*F51/(1-(1+F51)^(-Inputs!D25))+F28*F51/(1-(1+F51)^(-Inputs!D26))+F29*F51/(1-(1+F51)^(-Inputs!D27)))*(1+F30)+F25*F51</f>
        <v>1.04531526579147</v>
      </c>
      <c r="G54" s="131" t="n">
        <f aca="false">(G26*G51/(1-(1+G51)^(-Inputs!E24))+G27*G51/(1-(1+G51)^(-Inputs!E25))+G28*G51/(1-(1+G51)^(-Inputs!E26))+G29*G51/(1-(1+G51)^(-Inputs!E27)))*(1+G30)+G25*G51</f>
        <v>1.50187163616098</v>
      </c>
      <c r="H54" s="131" t="n">
        <f aca="false">(H26*H51/(1-(1+H51)^(-Inputs!F24))+H27*H51/(1-(1+H51)^(-Inputs!F25))+H28*H51/(1-(1+H51)^(-Inputs!F26))+H29*H51/(1-(1+H51)^(-Inputs!F27)))*(1+H30)+H25*H51</f>
        <v>2.32792243821144</v>
      </c>
      <c r="I54" s="131" t="n">
        <f aca="false">(I26*I51/(1-(1+I51)^(-Inputs!D24))+I27*I51/(1-(1+I51)^(-Inputs!D25))+I28*I51/(1-(1+I51)^(-Inputs!D26))+I29*I51/(1-(1+I51)^(-Inputs!D27)))*(1+I30)+I25*I51</f>
        <v>1.04531526579147</v>
      </c>
      <c r="J54" s="131" t="n">
        <f aca="false">(J26*J51/(1-(1+J51)^(-Inputs!E24))+J27*J51/(1-(1+J51)^(-Inputs!E25))+J28*J51/(1-(1+J51)^(-Inputs!E26))+J29*J51/(1-(1+J51)^(-Inputs!E27)))*(1+J30)+J25*J51</f>
        <v>1.50187163616098</v>
      </c>
      <c r="K54" s="131" t="n">
        <f aca="false">(K26*K51/(1-(1+K51)^(-Inputs!F24))+K27*K51/(1-(1+K51)^(-Inputs!F25))+K28*K51/(1-(1+K51)^(-Inputs!F26))+K29*K51/(1-(1+K51)^(-Inputs!F27)))*(1+K30)+K25*K51</f>
        <v>2.32792243821144</v>
      </c>
      <c r="L54" s="131" t="n">
        <f aca="false">(L26*L51/(1-(1+L51)^(-Inputs!D24))+L27*L51/(1-(1+L51)^(-Inputs!D25))+L28*L51/(1-(1+L51)^(-Inputs!D26))+L29*L51/(1-(1+L51)^(-Inputs!D27)))*(1+L30)+L25*L51</f>
        <v>1.04531526579147</v>
      </c>
      <c r="M54" s="131" t="n">
        <f aca="false">(M26*M51/(1-(1+M51)^(-Inputs!E24))+M27*M51/(1-(1+M51)^(-Inputs!E25))+M28*M51/(1-(1+M51)^(-Inputs!E26))+M29*M51/(1-(1+M51)^(-Inputs!E27)))*(1+M30)+M25*M51</f>
        <v>1.50187163616098</v>
      </c>
      <c r="N54" s="131" t="n">
        <f aca="false">(N26*N51/(1-(1+N51)^(-Inputs!F24))+N27*N51/(1-(1+N51)^(-Inputs!F25))+N28*N51/(1-(1+N51)^(-Inputs!F26))+N29*N51/(1-(1+N51)^(-Inputs!F27)))*(1+N30)+N25*N51</f>
        <v>2.32792243821144</v>
      </c>
      <c r="O54" s="131" t="n">
        <f aca="false">(O26*O51/(1-(1+O51)^(-Inputs!D24))+O27*O51/(1-(1+O51)^(-Inputs!D25))+O28*O51/(1-(1+O51)^(-Inputs!D26))+O29*O51/(1-(1+O51)^(-Inputs!D27)))*(1+O30)+O25*O51</f>
        <v>1.04531526579147</v>
      </c>
      <c r="P54" s="131" t="n">
        <f aca="false">(P26*P51/(1-(1+P51)^(-Inputs!E24))+P27*P51/(1-(1+P51)^(-Inputs!E25))+P28*P51/(1-(1+P51)^(-Inputs!E26))+P29*P51/(1-(1+P51)^(-Inputs!E27)))*(1+P30)+P25*P51</f>
        <v>1.50187163616098</v>
      </c>
      <c r="Q54" s="131" t="n">
        <f aca="false">(Q26*Q51/(1-(1+Q51)^(-Inputs!F24))+Q27*Q51/(1-(1+Q51)^(-Inputs!F25))+Q28*Q51/(1-(1+Q51)^(-Inputs!F26))+Q29*Q51/(1-(1+Q51)^(-Inputs!F27)))*(1+Q30)+Q25*Q51</f>
        <v>2.32792243821144</v>
      </c>
    </row>
    <row r="55" customFormat="false" ht="15" hidden="false" customHeight="true" outlineLevel="0" collapsed="false">
      <c r="A55" s="22" t="s">
        <v>1053</v>
      </c>
      <c r="B55" s="17" t="s">
        <v>1023</v>
      </c>
      <c r="C55" s="132" t="n">
        <f aca="false">C53+C54+C48</f>
        <v>6.79107465326444</v>
      </c>
      <c r="D55" s="132" t="n">
        <f aca="false">D53+D54+D48</f>
        <v>9.70308728611469</v>
      </c>
      <c r="E55" s="132" t="n">
        <f aca="false">E53+E54+E48</f>
        <v>16.6637697337026</v>
      </c>
      <c r="F55" s="132" t="n">
        <f aca="false">F53+F54+F48</f>
        <v>6.6118162762144</v>
      </c>
      <c r="G55" s="132" t="n">
        <f aca="false">G53+G54+G48</f>
        <v>8.82816556596761</v>
      </c>
      <c r="H55" s="132" t="n">
        <f aca="false">H53+H54+H48</f>
        <v>14.3185748619737</v>
      </c>
      <c r="I55" s="132" t="n">
        <f aca="false">I53+I54+I48</f>
        <v>8.42889912085495</v>
      </c>
      <c r="J55" s="132" t="n">
        <f aca="false">J53+J54+J48</f>
        <v>10.8864110021101</v>
      </c>
      <c r="K55" s="132" t="n">
        <f aca="false">K53+K54+K48</f>
        <v>18.5346455040469</v>
      </c>
      <c r="L55" s="132" t="n">
        <f aca="false">L53+L54+L48</f>
        <v>9.51207691858967</v>
      </c>
      <c r="M55" s="132" t="n">
        <f aca="false">M53+M54+M48</f>
        <v>12.2254710045841</v>
      </c>
      <c r="N55" s="132" t="n">
        <f aca="false">N53+N54+N48</f>
        <v>19.7506269894487</v>
      </c>
      <c r="O55" s="132" t="n">
        <f aca="false">O53+O54+O48</f>
        <v>10.1025446864987</v>
      </c>
      <c r="P55" s="132" t="n">
        <f aca="false">P53+P54+P48</f>
        <v>15.3544827030524</v>
      </c>
      <c r="Q55" s="132" t="n">
        <f aca="false">Q53+Q54+Q48</f>
        <v>28.0302450108258</v>
      </c>
    </row>
    <row r="56" customFormat="false" ht="15" hidden="false" customHeight="true" outlineLevel="0" collapsed="false">
      <c r="A56" s="27" t="s">
        <v>1054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</row>
    <row r="57" customFormat="false" ht="15" hidden="false" customHeight="true" outlineLevel="0" collapsed="false">
      <c r="A57" s="22" t="s">
        <v>1055</v>
      </c>
      <c r="B57" s="17" t="s">
        <v>985</v>
      </c>
      <c r="C57" s="131" t="n">
        <f aca="false">C49*1000000000/(C14*8760)</f>
        <v>0.825106655914003</v>
      </c>
      <c r="D57" s="131" t="n">
        <f aca="false">D49*1000000000/(D14*8760)</f>
        <v>1.12941277108671</v>
      </c>
      <c r="E57" s="131" t="n">
        <f aca="false">E49*1000000000/(E14*8760)</f>
        <v>1.94067973561919</v>
      </c>
      <c r="F57" s="131" t="n">
        <f aca="false">F49*1000000000/(F14*8760)</f>
        <v>1.14879517483916</v>
      </c>
      <c r="G57" s="131" t="n">
        <f aca="false">G49*1000000000/(G14*8760)</f>
        <v>1.46722704621019</v>
      </c>
      <c r="H57" s="131" t="n">
        <f aca="false">H49*1000000000/(H14*8760)</f>
        <v>2.37052162109775</v>
      </c>
      <c r="I57" s="131" t="n">
        <f aca="false">I49*1000000000/(I14*8760)</f>
        <v>1.51742016309999</v>
      </c>
      <c r="J57" s="131" t="n">
        <f aca="false">J49*1000000000/(J14*8760)</f>
        <v>1.87284720011301</v>
      </c>
      <c r="K57" s="131" t="n">
        <f aca="false">K49*1000000000/(K14*8760)</f>
        <v>3.19559687047063</v>
      </c>
      <c r="L57" s="131" t="n">
        <f aca="false">L49*1000000000/(L14*8760)</f>
        <v>2.86519456922153</v>
      </c>
      <c r="M57" s="131" t="n">
        <f aca="false">M49*1000000000/(M14*8760)</f>
        <v>3.51855992240582</v>
      </c>
      <c r="N57" s="131" t="n">
        <f aca="false">N49*1000000000/(N14*8760)</f>
        <v>5.69705162434053</v>
      </c>
      <c r="O57" s="131" t="n">
        <f aca="false">O49*1000000000/(O14*8760)</f>
        <v>4.56320652720479</v>
      </c>
      <c r="P57" s="131" t="n">
        <f aca="false">P49*1000000000/(P14*8760)</f>
        <v>6.64357830075911</v>
      </c>
      <c r="Q57" s="131" t="n">
        <f aca="false">Q49*1000000000/(Q14*8760)</f>
        <v>12.2328438708331</v>
      </c>
    </row>
    <row r="58" customFormat="false" ht="15" hidden="false" customHeight="true" outlineLevel="0" collapsed="false">
      <c r="A58" s="22" t="s">
        <v>1056</v>
      </c>
      <c r="B58" s="17" t="s">
        <v>985</v>
      </c>
      <c r="C58" s="132" t="n">
        <f aca="false">C55*1000000000/(C14*8760)</f>
        <v>1.07964486018265</v>
      </c>
      <c r="D58" s="132" t="n">
        <f aca="false">D55*1000000000/(D14*8760)</f>
        <v>1.54259654785589</v>
      </c>
      <c r="E58" s="132" t="n">
        <f aca="false">E55*1000000000/(E14*8760)</f>
        <v>2.64920565047995</v>
      </c>
      <c r="F58" s="132" t="n">
        <f aca="false">F55*1000000000/(F14*8760)</f>
        <v>1.50422814430785</v>
      </c>
      <c r="G58" s="132" t="n">
        <f aca="false">G55*1000000000/(G14*8760)</f>
        <v>2.00846099652078</v>
      </c>
      <c r="H58" s="132" t="n">
        <f aca="false">H55*1000000000/(H14*8760)</f>
        <v>3.25756227849869</v>
      </c>
      <c r="I58" s="132" t="n">
        <f aca="false">I55*1000000000/(I14*8760)</f>
        <v>1.97574392204647</v>
      </c>
      <c r="J58" s="132" t="n">
        <f aca="false">J55*1000000000/(J14*8760)</f>
        <v>2.55178761329595</v>
      </c>
      <c r="K58" s="132" t="n">
        <f aca="false">K55*1000000000/(K14*8760)</f>
        <v>4.34454282544458</v>
      </c>
      <c r="L58" s="132" t="n">
        <f aca="false">L55*1000000000/(L14*8760)</f>
        <v>3.72193954123947</v>
      </c>
      <c r="M58" s="132" t="n">
        <f aca="false">M55*1000000000/(M14*8760)</f>
        <v>4.78365180724219</v>
      </c>
      <c r="N58" s="132" t="n">
        <f aca="false">N55*1000000000/(N14*8760)</f>
        <v>7.72813762813851</v>
      </c>
      <c r="O58" s="132" t="n">
        <f aca="false">O55*1000000000/(O14*8760)</f>
        <v>5.92143420546319</v>
      </c>
      <c r="P58" s="132" t="n">
        <f aca="false">P55*1000000000/(P14*8760)</f>
        <v>8.99976806898525</v>
      </c>
      <c r="Q58" s="132" t="n">
        <f aca="false">Q55*1000000000/(Q14*8760)</f>
        <v>16.4294498807254</v>
      </c>
    </row>
    <row r="59" customFormat="false" ht="15" hidden="false" customHeight="true" outlineLevel="0" collapsed="false">
      <c r="A59" s="22" t="s">
        <v>1057</v>
      </c>
      <c r="B59" s="17" t="s">
        <v>1058</v>
      </c>
      <c r="C59" s="18" t="n">
        <f aca="false">C55*1000000000/(C12*8760)</f>
        <v>34.5486355258449</v>
      </c>
      <c r="D59" s="18" t="n">
        <f aca="false">D55*1000000000/(D12*8760)</f>
        <v>49.3630895313886</v>
      </c>
      <c r="E59" s="18" t="n">
        <f aca="false">E55*1000000000/(E12*8760)</f>
        <v>84.7745808153584</v>
      </c>
      <c r="F59" s="18" t="n">
        <f aca="false">F55*1000000000/(F12*8760)</f>
        <v>108.304426390165</v>
      </c>
      <c r="G59" s="18" t="n">
        <f aca="false">G55*1000000000/(G12*8760)</f>
        <v>144.609191749496</v>
      </c>
      <c r="H59" s="18" t="n">
        <f aca="false">H55*1000000000/(H12*8760)</f>
        <v>234.544484051906</v>
      </c>
      <c r="I59" s="18" t="n">
        <f aca="false">I55*1000000000/(I12*8760)</f>
        <v>142.253562387346</v>
      </c>
      <c r="J59" s="18" t="n">
        <f aca="false">J55*1000000000/(J12*8760)</f>
        <v>183.728708157308</v>
      </c>
      <c r="K59" s="18" t="n">
        <f aca="false">K55*1000000000/(K12*8760)</f>
        <v>312.80708343201</v>
      </c>
      <c r="L59" s="18" t="n">
        <f aca="false">L55*1000000000/(L12*8760)</f>
        <v>267.979646969242</v>
      </c>
      <c r="M59" s="18" t="n">
        <f aca="false">M55*1000000000/(M12*8760)</f>
        <v>344.422930121438</v>
      </c>
      <c r="N59" s="18" t="n">
        <f aca="false">N55*1000000000/(N12*8760)</f>
        <v>556.425909225972</v>
      </c>
      <c r="O59" s="18" t="n">
        <f aca="false">O55*1000000000/(O12*8760)</f>
        <v>426.343262793349</v>
      </c>
      <c r="P59" s="18" t="n">
        <f aca="false">P55*1000000000/(P12*8760)</f>
        <v>647.983300966938</v>
      </c>
      <c r="Q59" s="18" t="n">
        <f aca="false">Q55*1000000000/(Q12*8760)</f>
        <v>1182.92039141223</v>
      </c>
    </row>
    <row r="60" customFormat="false" ht="15" hidden="false" customHeight="true" outlineLevel="0" collapsed="false">
      <c r="A60" s="22" t="s">
        <v>1059</v>
      </c>
      <c r="B60" s="17" t="s">
        <v>1060</v>
      </c>
      <c r="C60" s="131" t="n">
        <f aca="false">C8*C41*C15*8760/1000000</f>
        <v>6.7452</v>
      </c>
      <c r="D60" s="131" t="n">
        <f aca="false">D8*D41*D15*8760/1000000</f>
        <v>8.4096</v>
      </c>
      <c r="E60" s="131" t="n">
        <f aca="false">E8*E41*E15*8760/1000000</f>
        <v>10.2492</v>
      </c>
      <c r="F60" s="131" t="n">
        <f aca="false">F8*F41*F15*8760/1000000</f>
        <v>6.7452</v>
      </c>
      <c r="G60" s="131" t="n">
        <f aca="false">G8*G41*G15*8760/1000000</f>
        <v>8.4096</v>
      </c>
      <c r="H60" s="131" t="n">
        <f aca="false">H8*H41*H15*8760/1000000</f>
        <v>10.2492</v>
      </c>
      <c r="I60" s="131" t="n">
        <f aca="false">I8*I41*I15*8760/1000000</f>
        <v>6.7452</v>
      </c>
      <c r="J60" s="131" t="n">
        <f aca="false">J8*J41*J15*8760/1000000</f>
        <v>8.4096</v>
      </c>
      <c r="K60" s="131" t="n">
        <f aca="false">K8*K41*K15*8760/1000000</f>
        <v>10.2492</v>
      </c>
      <c r="L60" s="131" t="n">
        <f aca="false">L8*L41*L15*8760/1000000</f>
        <v>6.7452</v>
      </c>
      <c r="M60" s="131" t="n">
        <f aca="false">M8*M41*M15*8760/1000000</f>
        <v>8.4096</v>
      </c>
      <c r="N60" s="131" t="n">
        <f aca="false">N8*N41*N15*8760/1000000</f>
        <v>10.2492</v>
      </c>
      <c r="O60" s="131" t="n">
        <f aca="false">O8*O41*O15*8760/1000000</f>
        <v>6.7452</v>
      </c>
      <c r="P60" s="131" t="n">
        <f aca="false">P8*P41*P15*8760/1000000</f>
        <v>8.4096</v>
      </c>
      <c r="Q60" s="131" t="n">
        <f aca="false">Q8*Q41*Q15*8760/1000000</f>
        <v>10.2492</v>
      </c>
    </row>
    <row r="61" customFormat="false" ht="15" hidden="false" customHeight="true" outlineLevel="0" collapsed="false">
      <c r="A61" s="22" t="s">
        <v>1061</v>
      </c>
      <c r="B61" s="17" t="s">
        <v>113</v>
      </c>
      <c r="C61" s="24" t="n">
        <f aca="false">(C53+C54)/C55</f>
        <v>0.83622245434338</v>
      </c>
      <c r="D61" s="24" t="n">
        <f aca="false">(D53+D54)/D55</f>
        <v>0.805766203619096</v>
      </c>
      <c r="E61" s="24" t="n">
        <f aca="false">(E53+E54)/E55</f>
        <v>0.828091038283048</v>
      </c>
      <c r="F61" s="24" t="n">
        <f aca="false">(F53+F54)/F55</f>
        <v>0.833346351670481</v>
      </c>
      <c r="G61" s="24" t="n">
        <f aca="false">(G53+G54)/G55</f>
        <v>0.794721482603462</v>
      </c>
      <c r="H61" s="24" t="n">
        <f aca="false">(H53+H54)/H55</f>
        <v>0.81179592429047</v>
      </c>
      <c r="I61" s="24" t="n">
        <f aca="false">(I53+I54)/I55</f>
        <v>0.856835501721675</v>
      </c>
      <c r="J61" s="24" t="n">
        <f aca="false">(J53+J54)/J55</f>
        <v>0.817879849221172</v>
      </c>
      <c r="K61" s="24" t="n">
        <f aca="false">(K53+K54)/K55</f>
        <v>0.838133470937307</v>
      </c>
      <c r="L61" s="24" t="n">
        <f aca="false">(L53+L54)/L55</f>
        <v>0.866568300561554</v>
      </c>
      <c r="M61" s="24" t="n">
        <f aca="false">(M53+M54)/M55</f>
        <v>0.82875951793358</v>
      </c>
      <c r="N61" s="24" t="n">
        <f aca="false">(N53+N54)/N55</f>
        <v>0.843640448520499</v>
      </c>
      <c r="O61" s="24" t="n">
        <f aca="false">(O53+O54)/O55</f>
        <v>0.870994941227349</v>
      </c>
      <c r="P61" s="24" t="n">
        <f aca="false">(P53+P54)/P55</f>
        <v>0.846784396897796</v>
      </c>
      <c r="Q61" s="24" t="n">
        <f aca="false">(Q53+Q54)/Q55</f>
        <v>0.868434873314683</v>
      </c>
    </row>
    <row r="62" customFormat="false" ht="15" hidden="false" customHeight="true" outlineLevel="0" collapsed="false">
      <c r="A62" s="22" t="s">
        <v>1062</v>
      </c>
      <c r="B62" s="17" t="s">
        <v>113</v>
      </c>
      <c r="C62" s="24" t="n">
        <f aca="false">C43/C55</f>
        <v>0.0595946916598034</v>
      </c>
      <c r="D62" s="24" t="n">
        <f aca="false">D43/D55</f>
        <v>0.0693354578972761</v>
      </c>
      <c r="E62" s="24" t="n">
        <f aca="false">E43/E55</f>
        <v>0.0615058907065362</v>
      </c>
      <c r="F62" s="24" t="n">
        <f aca="false">F43/F55</f>
        <v>0.061210412251763</v>
      </c>
      <c r="G62" s="24" t="n">
        <f aca="false">G43/G55</f>
        <v>0.0762069984950788</v>
      </c>
      <c r="H62" s="24" t="n">
        <f aca="false">H43/H55</f>
        <v>0.0715797493730966</v>
      </c>
      <c r="I62" s="24" t="n">
        <f aca="false">I43/I55</f>
        <v>0.0480148112104763</v>
      </c>
      <c r="J62" s="24" t="n">
        <f aca="false">J43/J55</f>
        <v>0.0617988793432106</v>
      </c>
      <c r="K62" s="24" t="n">
        <f aca="false">K43/K55</f>
        <v>0.0552975237522735</v>
      </c>
      <c r="L62" s="24" t="n">
        <f aca="false">L43/L55</f>
        <v>0.0425471748666227</v>
      </c>
      <c r="M62" s="24" t="n">
        <f aca="false">M43/M55</f>
        <v>0.0550300270433537</v>
      </c>
      <c r="N62" s="24" t="n">
        <f aca="false">N43/N55</f>
        <v>0.0518930361323486</v>
      </c>
      <c r="O62" s="24" t="n">
        <f aca="false">O43/O55</f>
        <v>0.0400604018649746</v>
      </c>
      <c r="P62" s="24" t="n">
        <f aca="false">P43/P55</f>
        <v>0.0438157385703563</v>
      </c>
      <c r="Q62" s="24" t="n">
        <f aca="false">Q43/Q55</f>
        <v>0.0365647891983875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9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1063</v>
      </c>
    </row>
    <row r="2" customFormat="false" ht="15" hidden="false" customHeight="false" outlineLevel="0" collapsed="false">
      <c r="A2" s="59" t="s">
        <v>1064</v>
      </c>
    </row>
    <row r="3" customFormat="false" ht="15" hidden="false" customHeight="false" outlineLevel="0" collapsed="false">
      <c r="I3" s="60" t="s">
        <v>2</v>
      </c>
    </row>
    <row r="4" customFormat="false" ht="15" hidden="false" customHeight="false" outlineLevel="0" collapsed="false">
      <c r="A4" s="60" t="s">
        <v>352</v>
      </c>
      <c r="B4" s="60" t="s">
        <v>95</v>
      </c>
      <c r="C4" s="60" t="s">
        <v>353</v>
      </c>
      <c r="D4" s="60" t="s">
        <v>99</v>
      </c>
      <c r="H4" s="60" t="s">
        <v>354</v>
      </c>
    </row>
    <row r="5" customFormat="false" ht="15" hidden="false" customHeight="false" outlineLevel="0" collapsed="false">
      <c r="A5" s="61" t="s">
        <v>1065</v>
      </c>
      <c r="B5" s="61"/>
      <c r="C5" s="136" t="s">
        <v>1066</v>
      </c>
      <c r="D5" s="59" t="s">
        <v>104</v>
      </c>
      <c r="H5" s="87" t="s">
        <v>1067</v>
      </c>
    </row>
    <row r="6" customFormat="false" ht="26.85" hidden="false" customHeight="false" outlineLevel="0" collapsed="false">
      <c r="A6" s="61" t="s">
        <v>1068</v>
      </c>
      <c r="B6" s="62" t="s">
        <v>113</v>
      </c>
      <c r="C6" s="66" t="n">
        <v>0.25</v>
      </c>
      <c r="D6" s="59" t="s">
        <v>119</v>
      </c>
      <c r="H6" s="87" t="s">
        <v>1069</v>
      </c>
    </row>
    <row r="7" customFormat="false" ht="15" hidden="false" customHeight="false" outlineLevel="0" collapsed="false">
      <c r="A7" s="62" t="s">
        <v>1070</v>
      </c>
      <c r="B7" s="62" t="s">
        <v>113</v>
      </c>
      <c r="C7" s="66" t="n">
        <v>0.9</v>
      </c>
      <c r="D7" s="59" t="s">
        <v>119</v>
      </c>
      <c r="H7" s="87" t="s">
        <v>1071</v>
      </c>
    </row>
    <row r="8" customFormat="false" ht="15" hidden="false" customHeight="false" outlineLevel="0" collapsed="false">
      <c r="A8" s="62" t="s">
        <v>1072</v>
      </c>
      <c r="B8" s="62" t="s">
        <v>118</v>
      </c>
      <c r="C8" s="79" t="n">
        <v>0.8</v>
      </c>
      <c r="D8" s="59" t="s">
        <v>114</v>
      </c>
      <c r="H8" s="93" t="s">
        <v>1073</v>
      </c>
    </row>
    <row r="9" customFormat="false" ht="15" hidden="false" customHeight="false" outlineLevel="0" collapsed="false">
      <c r="A9" s="62" t="s">
        <v>1074</v>
      </c>
      <c r="B9" s="62" t="s">
        <v>118</v>
      </c>
      <c r="C9" s="79" t="n">
        <v>0.6</v>
      </c>
      <c r="D9" s="59" t="s">
        <v>114</v>
      </c>
      <c r="H9" s="93" t="s">
        <v>1075</v>
      </c>
    </row>
    <row r="10" customFormat="false" ht="15" hidden="false" customHeight="false" outlineLevel="0" collapsed="false">
      <c r="A10" s="61" t="s">
        <v>1076</v>
      </c>
      <c r="B10" s="61" t="s">
        <v>108</v>
      </c>
      <c r="C10" s="67" t="n">
        <v>0</v>
      </c>
      <c r="D10" s="59" t="s">
        <v>114</v>
      </c>
      <c r="H10" s="87" t="s">
        <v>1077</v>
      </c>
    </row>
    <row r="11" customFormat="false" ht="26.85" hidden="false" customHeight="false" outlineLevel="0" collapsed="false">
      <c r="A11" s="62" t="s">
        <v>1078</v>
      </c>
      <c r="B11" s="62" t="s">
        <v>113</v>
      </c>
      <c r="C11" s="66" t="n">
        <v>0.85</v>
      </c>
      <c r="D11" s="59" t="s">
        <v>119</v>
      </c>
      <c r="H11" s="87" t="s">
        <v>1079</v>
      </c>
    </row>
    <row r="12" customFormat="false" ht="15" hidden="false" customHeight="false" outlineLevel="0" collapsed="false">
      <c r="A12" s="62" t="s">
        <v>1080</v>
      </c>
      <c r="B12" s="61" t="s">
        <v>345</v>
      </c>
      <c r="C12" s="67" t="n">
        <v>16</v>
      </c>
      <c r="D12" s="59" t="s">
        <v>119</v>
      </c>
      <c r="H12" s="87" t="s">
        <v>1081</v>
      </c>
    </row>
    <row r="13" customFormat="false" ht="26.85" hidden="false" customHeight="false" outlineLevel="0" collapsed="false">
      <c r="A13" s="61" t="s">
        <v>1082</v>
      </c>
      <c r="B13" s="62" t="s">
        <v>118</v>
      </c>
      <c r="C13" s="78" t="n">
        <v>8</v>
      </c>
      <c r="D13" s="59" t="s">
        <v>119</v>
      </c>
      <c r="H13" s="87" t="s">
        <v>1083</v>
      </c>
    </row>
    <row r="14" customFormat="false" ht="15" hidden="false" customHeight="false" outlineLevel="0" collapsed="false">
      <c r="A14" s="61" t="s">
        <v>1084</v>
      </c>
      <c r="B14" s="61"/>
      <c r="C14" s="109" t="s">
        <v>1085</v>
      </c>
      <c r="D14" s="59" t="s">
        <v>104</v>
      </c>
      <c r="H14" s="87" t="s">
        <v>1086</v>
      </c>
    </row>
    <row r="15" customFormat="false" ht="15" hidden="false" customHeight="false" outlineLevel="0" collapsed="false">
      <c r="A15" s="61" t="s">
        <v>1087</v>
      </c>
      <c r="B15" s="61" t="s">
        <v>108</v>
      </c>
      <c r="C15" s="67" t="n">
        <v>3</v>
      </c>
      <c r="D15" s="59" t="s">
        <v>114</v>
      </c>
      <c r="H15" s="93" t="s">
        <v>1088</v>
      </c>
    </row>
    <row r="16" customFormat="false" ht="15" hidden="false" customHeight="false" outlineLevel="0" collapsed="false">
      <c r="A16" s="61" t="s">
        <v>1089</v>
      </c>
      <c r="B16" s="61" t="s">
        <v>1090</v>
      </c>
      <c r="C16" s="67" t="n">
        <v>4</v>
      </c>
      <c r="D16" s="59" t="s">
        <v>104</v>
      </c>
      <c r="E16" s="82" t="str">
        <f aca="false">INDEX(Spec_Rack!$C$4:$G$4,$C$16)</f>
        <v>VR200 NVL72</v>
      </c>
      <c r="H16" s="87" t="s">
        <v>1091</v>
      </c>
      <c r="I16" s="74" t="s">
        <v>1092</v>
      </c>
    </row>
    <row r="17" customFormat="false" ht="15" hidden="false" customHeight="false" outlineLevel="0" collapsed="false">
      <c r="A17" s="61" t="s">
        <v>1093</v>
      </c>
      <c r="B17" s="61" t="s">
        <v>1090</v>
      </c>
      <c r="C17" s="67" t="n">
        <v>3</v>
      </c>
      <c r="D17" s="59" t="s">
        <v>104</v>
      </c>
      <c r="E17" s="82" t="str">
        <f aca="false">INDEX(Spec_Rack!$C$4:$G$4,$C$17)</f>
        <v>GB300 NVL72</v>
      </c>
      <c r="H17" s="87" t="s">
        <v>1094</v>
      </c>
      <c r="I17" s="74" t="s">
        <v>1095</v>
      </c>
    </row>
    <row r="19" customFormat="false" ht="15" hidden="false" customHeight="false" outlineLevel="0" collapsed="false">
      <c r="A19" s="69" t="s">
        <v>1096</v>
      </c>
      <c r="B19" s="70"/>
      <c r="C19" s="70"/>
      <c r="D19" s="70"/>
      <c r="E19" s="70"/>
      <c r="F19" s="70"/>
      <c r="G19" s="70"/>
      <c r="H19" s="70"/>
    </row>
    <row r="20" customFormat="false" ht="15" hidden="false" customHeight="false" outlineLevel="0" collapsed="false">
      <c r="A20" s="60" t="s">
        <v>186</v>
      </c>
      <c r="C20" s="82" t="str">
        <f aca="false">Spec_Rack!C4</f>
        <v>Hopper H100</v>
      </c>
      <c r="D20" s="82" t="str">
        <f aca="false">Spec_Rack!D4</f>
        <v>GB200 NVL72</v>
      </c>
      <c r="E20" s="82" t="str">
        <f aca="false">Spec_Rack!E4</f>
        <v>GB300 NVL72</v>
      </c>
      <c r="F20" s="82" t="str">
        <f aca="false">Spec_Rack!F4</f>
        <v>VR200 NVL72</v>
      </c>
      <c r="G20" s="82" t="str">
        <f aca="false">Spec_Rack!G4</f>
        <v>Rubin Ultra（MGX NVL 單架，72 GPU）</v>
      </c>
      <c r="I20" s="74" t="s">
        <v>1097</v>
      </c>
    </row>
    <row r="21" customFormat="false" ht="37.3" hidden="false" customHeight="false" outlineLevel="0" collapsed="false">
      <c r="A21" s="61" t="s">
        <v>1098</v>
      </c>
      <c r="B21" s="62" t="s">
        <v>118</v>
      </c>
      <c r="C21" s="79" t="n">
        <v>1</v>
      </c>
      <c r="D21" s="79" t="n">
        <v>1</v>
      </c>
      <c r="E21" s="79" t="n">
        <v>1</v>
      </c>
      <c r="F21" s="79" t="n">
        <v>0.9</v>
      </c>
      <c r="G21" s="79" t="n">
        <v>0.9</v>
      </c>
      <c r="H21" s="87" t="s">
        <v>1099</v>
      </c>
    </row>
    <row r="23" customFormat="false" ht="15" hidden="false" customHeight="false" outlineLevel="0" collapsed="false">
      <c r="A23" s="69" t="s">
        <v>1100</v>
      </c>
      <c r="B23" s="70"/>
      <c r="C23" s="70"/>
      <c r="D23" s="70"/>
      <c r="E23" s="70"/>
      <c r="F23" s="70"/>
      <c r="G23" s="70"/>
      <c r="H23" s="70"/>
    </row>
    <row r="24" customFormat="false" ht="15" hidden="false" customHeight="false" outlineLevel="0" collapsed="false">
      <c r="A24" s="60" t="s">
        <v>386</v>
      </c>
      <c r="B24" s="60" t="s">
        <v>95</v>
      </c>
      <c r="C24" s="82" t="str">
        <f aca="false">Arch!C4</f>
        <v>Luna（低層）</v>
      </c>
      <c r="D24" s="82" t="str">
        <f aca="false">Arch!D4</f>
        <v>Sol（中層）</v>
      </c>
      <c r="E24" s="82" t="str">
        <f aca="false">Arch!E4</f>
        <v>Astra（頂層）</v>
      </c>
      <c r="H24" s="60" t="s">
        <v>354</v>
      </c>
      <c r="I24" s="74" t="s">
        <v>1101</v>
      </c>
    </row>
    <row r="25" customFormat="false" ht="24.6" hidden="false" customHeight="false" outlineLevel="0" collapsed="false">
      <c r="A25" s="61" t="s">
        <v>1102</v>
      </c>
      <c r="B25" s="62" t="s">
        <v>1103</v>
      </c>
      <c r="C25" s="98" t="n">
        <f aca="false">SRC_MOD_029</f>
        <v>32</v>
      </c>
      <c r="D25" s="98" t="n">
        <f aca="false">SRC_MOD_030</f>
        <v>33</v>
      </c>
      <c r="E25" s="137" t="n">
        <v>60</v>
      </c>
      <c r="H25" s="87" t="s">
        <v>1104</v>
      </c>
    </row>
    <row r="26" customFormat="false" ht="15" hidden="false" customHeight="false" outlineLevel="0" collapsed="false">
      <c r="A26" s="61" t="s">
        <v>1105</v>
      </c>
      <c r="B26" s="62" t="s">
        <v>308</v>
      </c>
      <c r="C26" s="63" t="n">
        <f aca="false">SRC_MOD_031</f>
        <v>4096</v>
      </c>
      <c r="D26" s="63" t="n">
        <f aca="false">SRC_MOD_031</f>
        <v>4096</v>
      </c>
      <c r="E26" s="64" t="n">
        <v>8192</v>
      </c>
      <c r="H26" s="87" t="s">
        <v>1106</v>
      </c>
    </row>
    <row r="27" customFormat="false" ht="15" hidden="false" customHeight="false" outlineLevel="0" collapsed="false">
      <c r="A27" s="61" t="s">
        <v>1107</v>
      </c>
      <c r="B27" s="62" t="s">
        <v>1103</v>
      </c>
      <c r="C27" s="137" t="n">
        <v>1</v>
      </c>
      <c r="D27" s="137" t="n">
        <v>1</v>
      </c>
      <c r="E27" s="137" t="n">
        <v>2</v>
      </c>
      <c r="H27" s="87" t="s">
        <v>1108</v>
      </c>
    </row>
    <row r="28" customFormat="false" ht="15" hidden="false" customHeight="false" outlineLevel="0" collapsed="false">
      <c r="A28" s="61" t="s">
        <v>1109</v>
      </c>
      <c r="B28" s="62" t="s">
        <v>308</v>
      </c>
      <c r="C28" s="64" t="n">
        <v>131072</v>
      </c>
      <c r="D28" s="64" t="n">
        <v>131072</v>
      </c>
      <c r="E28" s="64" t="n">
        <v>131072</v>
      </c>
      <c r="H28" s="87" t="s">
        <v>114</v>
      </c>
    </row>
    <row r="29" customFormat="false" ht="15" hidden="false" customHeight="false" outlineLevel="0" collapsed="false">
      <c r="A29" s="62" t="s">
        <v>1110</v>
      </c>
      <c r="B29" s="62" t="s">
        <v>1103</v>
      </c>
      <c r="C29" s="138" t="n">
        <v>0.05</v>
      </c>
      <c r="D29" s="138" t="n">
        <v>0.05</v>
      </c>
      <c r="E29" s="138" t="n">
        <v>0.1</v>
      </c>
      <c r="H29" s="87" t="s">
        <v>1111</v>
      </c>
    </row>
    <row r="30" customFormat="false" ht="15" hidden="false" customHeight="false" outlineLevel="0" collapsed="false">
      <c r="A30" s="62" t="s">
        <v>1112</v>
      </c>
      <c r="B30" s="62" t="s">
        <v>308</v>
      </c>
      <c r="C30" s="64" t="n">
        <v>16384</v>
      </c>
      <c r="D30" s="64" t="n">
        <v>16384</v>
      </c>
      <c r="E30" s="64" t="n">
        <v>16384</v>
      </c>
      <c r="H30" s="87" t="s">
        <v>114</v>
      </c>
    </row>
    <row r="31" customFormat="false" ht="15" hidden="false" customHeight="false" outlineLevel="0" collapsed="false">
      <c r="A31" s="61" t="s">
        <v>1113</v>
      </c>
      <c r="B31" s="62" t="s">
        <v>389</v>
      </c>
      <c r="C31" s="64" t="n">
        <v>20</v>
      </c>
      <c r="D31" s="64" t="n">
        <v>20</v>
      </c>
      <c r="E31" s="64" t="n">
        <v>20</v>
      </c>
      <c r="H31" s="93" t="s">
        <v>1114</v>
      </c>
    </row>
    <row r="32" customFormat="false" ht="15" hidden="false" customHeight="false" outlineLevel="0" collapsed="false">
      <c r="A32" s="62" t="s">
        <v>1115</v>
      </c>
      <c r="B32" s="62" t="s">
        <v>308</v>
      </c>
      <c r="C32" s="64" t="n">
        <v>4096</v>
      </c>
      <c r="D32" s="64" t="n">
        <v>8192</v>
      </c>
      <c r="E32" s="64" t="n">
        <v>16384</v>
      </c>
      <c r="H32" s="87" t="s">
        <v>114</v>
      </c>
    </row>
    <row r="33" customFormat="false" ht="15" hidden="false" customHeight="false" outlineLevel="0" collapsed="false">
      <c r="A33" s="62" t="s">
        <v>1116</v>
      </c>
      <c r="B33" s="62" t="s">
        <v>308</v>
      </c>
      <c r="C33" s="64" t="n">
        <v>8192</v>
      </c>
      <c r="D33" s="64" t="n">
        <v>16384</v>
      </c>
      <c r="E33" s="64" t="n">
        <v>32768</v>
      </c>
      <c r="H33" s="87" t="s">
        <v>1117</v>
      </c>
    </row>
    <row r="34" customFormat="false" ht="90.25" hidden="false" customHeight="false" outlineLevel="0" collapsed="false">
      <c r="A34" s="62" t="s">
        <v>1118</v>
      </c>
      <c r="B34" s="62" t="s">
        <v>1103</v>
      </c>
      <c r="C34" s="139" t="n">
        <v>2.36</v>
      </c>
      <c r="D34" s="139" t="n">
        <v>2.36</v>
      </c>
      <c r="E34" s="139" t="n">
        <v>9.6</v>
      </c>
      <c r="H34" s="87" t="s">
        <v>1119</v>
      </c>
    </row>
    <row r="35" customFormat="false" ht="15" hidden="false" customHeight="false" outlineLevel="0" collapsed="false">
      <c r="A35" s="62" t="s">
        <v>1120</v>
      </c>
      <c r="B35" s="62" t="s">
        <v>1103</v>
      </c>
      <c r="C35" s="138" t="n">
        <v>0.2</v>
      </c>
      <c r="D35" s="138" t="n">
        <v>0.2</v>
      </c>
      <c r="E35" s="138" t="n">
        <v>0.2</v>
      </c>
      <c r="H35" s="87" t="s">
        <v>1121</v>
      </c>
    </row>
    <row r="36" customFormat="false" ht="15" hidden="false" customHeight="false" outlineLevel="0" collapsed="false">
      <c r="A36" s="61" t="s">
        <v>1122</v>
      </c>
      <c r="B36" s="61" t="s">
        <v>108</v>
      </c>
      <c r="C36" s="67" t="n">
        <v>1</v>
      </c>
      <c r="D36" s="67" t="n">
        <v>2</v>
      </c>
      <c r="E36" s="67" t="n">
        <v>3</v>
      </c>
      <c r="H36" s="87" t="s">
        <v>1123</v>
      </c>
    </row>
    <row r="37" customFormat="false" ht="15" hidden="false" customHeight="false" outlineLevel="0" collapsed="false">
      <c r="A37" s="61" t="s">
        <v>1124</v>
      </c>
      <c r="B37" s="62" t="s">
        <v>1103</v>
      </c>
      <c r="C37" s="137" t="n">
        <v>1</v>
      </c>
      <c r="D37" s="137" t="n">
        <v>2</v>
      </c>
      <c r="E37" s="137" t="n">
        <v>3</v>
      </c>
      <c r="H37" s="87" t="s">
        <v>1125</v>
      </c>
    </row>
    <row r="38" customFormat="false" ht="15" hidden="false" customHeight="false" outlineLevel="0" collapsed="false">
      <c r="A38" s="61" t="s">
        <v>1126</v>
      </c>
      <c r="B38" s="62" t="s">
        <v>1103</v>
      </c>
      <c r="C38" s="138" t="n">
        <v>0.02</v>
      </c>
      <c r="D38" s="138" t="n">
        <v>0.05</v>
      </c>
      <c r="E38" s="138" t="n">
        <v>0.1</v>
      </c>
      <c r="H38" s="87" t="s">
        <v>114</v>
      </c>
    </row>
    <row r="40" customFormat="false" ht="15" hidden="false" customHeight="false" outlineLevel="0" collapsed="false">
      <c r="A40" s="69" t="s">
        <v>1127</v>
      </c>
      <c r="B40" s="70"/>
      <c r="C40" s="70"/>
      <c r="D40" s="70"/>
      <c r="E40" s="70"/>
      <c r="F40" s="70"/>
      <c r="G40" s="70"/>
      <c r="H40" s="70"/>
    </row>
    <row r="41" customFormat="false" ht="15" hidden="false" customHeight="false" outlineLevel="0" collapsed="false">
      <c r="A41" s="62" t="s">
        <v>1128</v>
      </c>
      <c r="B41" s="62" t="s">
        <v>1103</v>
      </c>
      <c r="C41" s="98" t="n">
        <f aca="false">SRC_MOD_039</f>
        <v>14.8</v>
      </c>
      <c r="H41" s="87" t="s">
        <v>1129</v>
      </c>
    </row>
    <row r="42" customFormat="false" ht="15" hidden="false" customHeight="false" outlineLevel="0" collapsed="false">
      <c r="A42" s="62" t="s">
        <v>1130</v>
      </c>
      <c r="B42" s="62" t="s">
        <v>1131</v>
      </c>
      <c r="C42" s="94" t="n">
        <f aca="false">SRC_MOD_040</f>
        <v>2.664</v>
      </c>
      <c r="H42" s="87" t="s">
        <v>1132</v>
      </c>
    </row>
    <row r="43" customFormat="false" ht="15" hidden="false" customHeight="false" outlineLevel="0" collapsed="false">
      <c r="A43" s="62" t="s">
        <v>1133</v>
      </c>
      <c r="B43" s="62" t="s">
        <v>308</v>
      </c>
      <c r="C43" s="63" t="n">
        <f aca="false">SRC_MOD_042</f>
        <v>4096</v>
      </c>
      <c r="H43" s="87" t="s">
        <v>1134</v>
      </c>
    </row>
    <row r="44" customFormat="false" ht="15" hidden="false" customHeight="false" outlineLevel="0" collapsed="false">
      <c r="A44" s="62" t="s">
        <v>1135</v>
      </c>
      <c r="B44" s="62" t="s">
        <v>118</v>
      </c>
      <c r="C44" s="112" t="n">
        <f aca="false">SRC_MOD_034/SRC_MOD_040</f>
        <v>0.0551801801801802</v>
      </c>
      <c r="H44" s="87" t="s">
        <v>1136</v>
      </c>
    </row>
    <row r="45" customFormat="false" ht="15" hidden="false" customHeight="false" outlineLevel="0" collapsed="false">
      <c r="A45" s="62" t="s">
        <v>1137</v>
      </c>
      <c r="B45" s="62" t="s">
        <v>118</v>
      </c>
      <c r="C45" s="111" t="n">
        <f aca="false">SRC_MOD_036</f>
        <v>1</v>
      </c>
      <c r="H45" s="87" t="s">
        <v>1138</v>
      </c>
    </row>
    <row r="46" customFormat="false" ht="15" hidden="false" customHeight="false" outlineLevel="0" collapsed="false">
      <c r="A46" s="61" t="s">
        <v>1139</v>
      </c>
      <c r="B46" s="62" t="s">
        <v>330</v>
      </c>
      <c r="C46" s="140" t="n">
        <v>2E+026</v>
      </c>
      <c r="H46" s="87" t="s">
        <v>1140</v>
      </c>
    </row>
    <row r="47" customFormat="false" ht="15" hidden="false" customHeight="false" outlineLevel="0" collapsed="false">
      <c r="A47" s="61" t="s">
        <v>1141</v>
      </c>
      <c r="B47" s="62" t="s">
        <v>330</v>
      </c>
      <c r="C47" s="140" t="n">
        <v>5E+026</v>
      </c>
      <c r="H47" s="93" t="s">
        <v>140</v>
      </c>
    </row>
    <row r="48" customFormat="false" ht="15" hidden="false" customHeight="false" outlineLevel="0" collapsed="false">
      <c r="A48" s="61" t="s">
        <v>1142</v>
      </c>
      <c r="B48" s="62" t="s">
        <v>330</v>
      </c>
      <c r="C48" s="140" t="n">
        <v>2E+027</v>
      </c>
      <c r="H48" s="93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9" min="3" style="0" width="13"/>
    <col collapsed="false" customWidth="true" hidden="false" outlineLevel="0" max="20" min="20" style="0" width="46"/>
  </cols>
  <sheetData>
    <row r="1" customFormat="false" ht="20.1" hidden="false" customHeight="false" outlineLevel="0" collapsed="false">
      <c r="A1" s="58" t="s">
        <v>1143</v>
      </c>
    </row>
    <row r="2" customFormat="false" ht="15" hidden="false" customHeight="false" outlineLevel="0" collapsed="false">
      <c r="A2" s="59" t="s">
        <v>1144</v>
      </c>
    </row>
    <row r="3" customFormat="false" ht="15" hidden="false" customHeight="false" outlineLevel="0" collapsed="false">
      <c r="A3" s="60" t="s">
        <v>1145</v>
      </c>
      <c r="R3" s="60" t="s">
        <v>1146</v>
      </c>
      <c r="S3" s="60" t="s">
        <v>1146</v>
      </c>
      <c r="T3" s="60" t="s">
        <v>2</v>
      </c>
    </row>
    <row r="4" customFormat="false" ht="15" hidden="false" customHeight="false" outlineLevel="0" collapsed="false">
      <c r="A4" s="60" t="s">
        <v>186</v>
      </c>
      <c r="C4" s="82" t="str">
        <f aca="false">INDEX(Spec_Rack!$C$4:$G$4,C6)</f>
        <v>Hopper H100</v>
      </c>
      <c r="D4" s="82" t="str">
        <f aca="false">INDEX(Spec_Rack!$C$4:$G$4,D6)</f>
        <v>Hopper H100</v>
      </c>
      <c r="E4" s="82" t="str">
        <f aca="false">INDEX(Spec_Rack!$C$4:$G$4,E6)</f>
        <v>Hopper H100</v>
      </c>
      <c r="F4" s="82" t="str">
        <f aca="false">INDEX(Spec_Rack!$C$4:$G$4,F6)</f>
        <v>GB200 NVL72</v>
      </c>
      <c r="G4" s="82" t="str">
        <f aca="false">INDEX(Spec_Rack!$C$4:$G$4,G6)</f>
        <v>GB200 NVL72</v>
      </c>
      <c r="H4" s="82" t="str">
        <f aca="false">INDEX(Spec_Rack!$C$4:$G$4,H6)</f>
        <v>GB200 NVL72</v>
      </c>
      <c r="I4" s="82" t="str">
        <f aca="false">INDEX(Spec_Rack!$C$4:$G$4,I6)</f>
        <v>GB300 NVL72</v>
      </c>
      <c r="J4" s="82" t="str">
        <f aca="false">INDEX(Spec_Rack!$C$4:$G$4,J6)</f>
        <v>GB300 NVL72</v>
      </c>
      <c r="K4" s="82" t="str">
        <f aca="false">INDEX(Spec_Rack!$C$4:$G$4,K6)</f>
        <v>GB300 NVL72</v>
      </c>
      <c r="L4" s="82" t="str">
        <f aca="false">INDEX(Spec_Rack!$C$4:$G$4,L6)</f>
        <v>VR200 NVL72</v>
      </c>
      <c r="M4" s="82" t="str">
        <f aca="false">INDEX(Spec_Rack!$C$4:$G$4,M6)</f>
        <v>VR200 NVL72</v>
      </c>
      <c r="N4" s="82" t="str">
        <f aca="false">INDEX(Spec_Rack!$C$4:$G$4,N6)</f>
        <v>VR200 NVL72</v>
      </c>
      <c r="O4" s="82" t="str">
        <f aca="false">INDEX(Spec_Rack!$C$4:$G$4,O6)</f>
        <v>Rubin Ultra（MGX NVL 單架，72 GPU）</v>
      </c>
      <c r="P4" s="82" t="str">
        <f aca="false">INDEX(Spec_Rack!$C$4:$G$4,P6)</f>
        <v>Rubin Ultra（MGX NVL 單架，72 GPU）</v>
      </c>
      <c r="Q4" s="82" t="str">
        <f aca="false">INDEX(Spec_Rack!$C$4:$G$4,Q6)</f>
        <v>Rubin Ultra（MGX NVL 單架，72 GPU）</v>
      </c>
      <c r="R4" s="82" t="str">
        <f aca="false">INDEX(Spec_Rack!$C$4:$G$4,R6)</f>
        <v>VR200 NVL72</v>
      </c>
      <c r="S4" s="82" t="str">
        <f aca="false">INDEX(Spec_Rack!$C$4:$G$4,S6)</f>
        <v>VR200 NVL72</v>
      </c>
      <c r="T4" s="74" t="s">
        <v>1147</v>
      </c>
    </row>
    <row r="5" customFormat="false" ht="15" hidden="false" customHeight="false" outlineLevel="0" collapsed="false">
      <c r="A5" s="60" t="s">
        <v>854</v>
      </c>
      <c r="C5" s="82" t="str">
        <f aca="false">INDEX(Arch!$C$4:$E$4,C7)</f>
        <v>Luna（低層）</v>
      </c>
      <c r="D5" s="82" t="str">
        <f aca="false">INDEX(Arch!$C$4:$E$4,D7)</f>
        <v>Sol（中層）</v>
      </c>
      <c r="E5" s="82" t="str">
        <f aca="false">INDEX(Arch!$C$4:$E$4,E7)</f>
        <v>Astra（頂層）</v>
      </c>
      <c r="F5" s="82" t="str">
        <f aca="false">INDEX(Arch!$C$4:$E$4,F7)</f>
        <v>Luna（低層）</v>
      </c>
      <c r="G5" s="82" t="str">
        <f aca="false">INDEX(Arch!$C$4:$E$4,G7)</f>
        <v>Sol（中層）</v>
      </c>
      <c r="H5" s="82" t="str">
        <f aca="false">INDEX(Arch!$C$4:$E$4,H7)</f>
        <v>Astra（頂層）</v>
      </c>
      <c r="I5" s="82" t="str">
        <f aca="false">INDEX(Arch!$C$4:$E$4,I7)</f>
        <v>Luna（低層）</v>
      </c>
      <c r="J5" s="82" t="str">
        <f aca="false">INDEX(Arch!$C$4:$E$4,J7)</f>
        <v>Sol（中層）</v>
      </c>
      <c r="K5" s="82" t="str">
        <f aca="false">INDEX(Arch!$C$4:$E$4,K7)</f>
        <v>Astra（頂層）</v>
      </c>
      <c r="L5" s="82" t="str">
        <f aca="false">INDEX(Arch!$C$4:$E$4,L7)</f>
        <v>Luna（低層）</v>
      </c>
      <c r="M5" s="82" t="str">
        <f aca="false">INDEX(Arch!$C$4:$E$4,M7)</f>
        <v>Sol（中層）</v>
      </c>
      <c r="N5" s="82" t="str">
        <f aca="false">INDEX(Arch!$C$4:$E$4,N7)</f>
        <v>Astra（頂層）</v>
      </c>
      <c r="O5" s="82" t="str">
        <f aca="false">INDEX(Arch!$C$4:$E$4,O7)</f>
        <v>Luna（低層）</v>
      </c>
      <c r="P5" s="82" t="str">
        <f aca="false">INDEX(Arch!$C$4:$E$4,P7)</f>
        <v>Sol（中層）</v>
      </c>
      <c r="Q5" s="82" t="str">
        <f aca="false">INDEX(Arch!$C$4:$E$4,Q7)</f>
        <v>Astra（頂層）</v>
      </c>
      <c r="R5" s="82" t="str">
        <f aca="false">INDEX(Arch!$C$4:$E$4,R7)</f>
        <v>Sol（中層）</v>
      </c>
      <c r="S5" s="82" t="str">
        <f aca="false">INDEX(Arch!$C$4:$E$4,S7)</f>
        <v>Astra（頂層）</v>
      </c>
      <c r="T5" s="74" t="s">
        <v>1148</v>
      </c>
    </row>
    <row r="6" customFormat="false" ht="15" hidden="false" customHeight="false" outlineLevel="0" collapsed="false">
      <c r="A6" s="60" t="s">
        <v>469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  <c r="R6" s="67" t="n">
        <v>4</v>
      </c>
      <c r="S6" s="67" t="n">
        <v>4</v>
      </c>
    </row>
    <row r="7" customFormat="false" ht="15" hidden="false" customHeight="false" outlineLevel="0" collapsed="false">
      <c r="A7" s="60" t="s">
        <v>856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  <c r="R7" s="67" t="n">
        <v>2</v>
      </c>
      <c r="S7" s="67" t="n">
        <v>3</v>
      </c>
    </row>
    <row r="9" customFormat="false" ht="15" hidden="false" customHeight="false" outlineLevel="0" collapsed="false">
      <c r="A9" s="76" t="s">
        <v>857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858</v>
      </c>
      <c r="B10" s="62" t="s">
        <v>118</v>
      </c>
      <c r="C10" s="97" t="n">
        <f aca="false">Tech_Registry!$E$22</f>
        <v>1</v>
      </c>
      <c r="D10" s="97" t="n">
        <f aca="false">Tech_Registry!$E$22</f>
        <v>1</v>
      </c>
      <c r="E10" s="97" t="n">
        <f aca="false">Tech_Registry!$E$22</f>
        <v>1</v>
      </c>
      <c r="F10" s="97" t="n">
        <f aca="false">Tech_Registry!$E$22</f>
        <v>1</v>
      </c>
      <c r="G10" s="97" t="n">
        <f aca="false">Tech_Registry!$E$22</f>
        <v>1</v>
      </c>
      <c r="H10" s="97" t="n">
        <f aca="false">Tech_Registry!$E$22</f>
        <v>1</v>
      </c>
      <c r="I10" s="97" t="n">
        <f aca="false">Tech_Registry!$E$22</f>
        <v>1</v>
      </c>
      <c r="J10" s="97" t="n">
        <f aca="false">Tech_Registry!$E$22</f>
        <v>1</v>
      </c>
      <c r="K10" s="97" t="n">
        <f aca="false">Tech_Registry!$E$22</f>
        <v>1</v>
      </c>
      <c r="L10" s="97" t="n">
        <f aca="false">Tech_Registry!$E$22</f>
        <v>1</v>
      </c>
      <c r="M10" s="97" t="n">
        <f aca="false">Tech_Registry!$E$22</f>
        <v>1</v>
      </c>
      <c r="N10" s="97" t="n">
        <f aca="false">Tech_Registry!$E$22</f>
        <v>1</v>
      </c>
      <c r="O10" s="97" t="n">
        <f aca="false">Tech_Registry!$E$22</f>
        <v>1</v>
      </c>
      <c r="P10" s="97" t="n">
        <f aca="false">Tech_Registry!$E$22</f>
        <v>1</v>
      </c>
      <c r="Q10" s="97" t="n">
        <f aca="false">Tech_Registry!$E$22</f>
        <v>1</v>
      </c>
      <c r="R10" s="97" t="n">
        <f aca="false">Tech_Registry!$E$22</f>
        <v>1</v>
      </c>
      <c r="S10" s="97" t="n">
        <f aca="false">Tech_Registry!$E$22</f>
        <v>1</v>
      </c>
    </row>
    <row r="11" customFormat="false" ht="15" hidden="false" customHeight="false" outlineLevel="0" collapsed="false">
      <c r="A11" s="62" t="s">
        <v>859</v>
      </c>
      <c r="B11" s="62" t="s">
        <v>118</v>
      </c>
      <c r="C11" s="97" t="n">
        <f aca="false">Tech_Registry!$E$23</f>
        <v>1</v>
      </c>
      <c r="D11" s="97" t="n">
        <f aca="false">Tech_Registry!$E$23</f>
        <v>1</v>
      </c>
      <c r="E11" s="97" t="n">
        <f aca="false">Tech_Registry!$E$23</f>
        <v>1</v>
      </c>
      <c r="F11" s="97" t="n">
        <f aca="false">Tech_Registry!$E$23</f>
        <v>1</v>
      </c>
      <c r="G11" s="97" t="n">
        <f aca="false">Tech_Registry!$E$23</f>
        <v>1</v>
      </c>
      <c r="H11" s="97" t="n">
        <f aca="false">Tech_Registry!$E$23</f>
        <v>1</v>
      </c>
      <c r="I11" s="97" t="n">
        <f aca="false">Tech_Registry!$E$23</f>
        <v>1</v>
      </c>
      <c r="J11" s="97" t="n">
        <f aca="false">Tech_Registry!$E$23</f>
        <v>1</v>
      </c>
      <c r="K11" s="97" t="n">
        <f aca="false">Tech_Registry!$E$23</f>
        <v>1</v>
      </c>
      <c r="L11" s="97" t="n">
        <f aca="false">Tech_Registry!$E$23</f>
        <v>1</v>
      </c>
      <c r="M11" s="97" t="n">
        <f aca="false">Tech_Registry!$E$23</f>
        <v>1</v>
      </c>
      <c r="N11" s="97" t="n">
        <f aca="false">Tech_Registry!$E$23</f>
        <v>1</v>
      </c>
      <c r="O11" s="97" t="n">
        <f aca="false">Tech_Registry!$E$23</f>
        <v>1</v>
      </c>
      <c r="P11" s="97" t="n">
        <f aca="false">Tech_Registry!$E$23</f>
        <v>1</v>
      </c>
      <c r="Q11" s="97" t="n">
        <f aca="false">Tech_Registry!$E$23</f>
        <v>1</v>
      </c>
      <c r="R11" s="97" t="n">
        <f aca="false">Tech_Registry!$E$23</f>
        <v>1</v>
      </c>
      <c r="S11" s="97" t="n">
        <f aca="false">Tech_Registry!$E$23</f>
        <v>1</v>
      </c>
    </row>
    <row r="12" customFormat="false" ht="15" hidden="false" customHeight="false" outlineLevel="0" collapsed="false">
      <c r="A12" s="61" t="s">
        <v>860</v>
      </c>
      <c r="B12" s="62" t="s">
        <v>118</v>
      </c>
      <c r="C12" s="97" t="n">
        <f aca="false">Tech_Registry!$E$24</f>
        <v>1</v>
      </c>
      <c r="D12" s="97" t="n">
        <f aca="false">Tech_Registry!$E$24</f>
        <v>1</v>
      </c>
      <c r="E12" s="97" t="n">
        <f aca="false">Tech_Registry!$E$24</f>
        <v>1</v>
      </c>
      <c r="F12" s="97" t="n">
        <f aca="false">Tech_Registry!$E$24</f>
        <v>1</v>
      </c>
      <c r="G12" s="97" t="n">
        <f aca="false">Tech_Registry!$E$24</f>
        <v>1</v>
      </c>
      <c r="H12" s="97" t="n">
        <f aca="false">Tech_Registry!$E$24</f>
        <v>1</v>
      </c>
      <c r="I12" s="97" t="n">
        <f aca="false">Tech_Registry!$E$24</f>
        <v>1</v>
      </c>
      <c r="J12" s="97" t="n">
        <f aca="false">Tech_Registry!$E$24</f>
        <v>1</v>
      </c>
      <c r="K12" s="97" t="n">
        <f aca="false">Tech_Registry!$E$24</f>
        <v>1</v>
      </c>
      <c r="L12" s="97" t="n">
        <f aca="false">Tech_Registry!$E$24</f>
        <v>1</v>
      </c>
      <c r="M12" s="97" t="n">
        <f aca="false">Tech_Registry!$E$24</f>
        <v>1</v>
      </c>
      <c r="N12" s="97" t="n">
        <f aca="false">Tech_Registry!$E$24</f>
        <v>1</v>
      </c>
      <c r="O12" s="97" t="n">
        <f aca="false">Tech_Registry!$E$24</f>
        <v>1</v>
      </c>
      <c r="P12" s="97" t="n">
        <f aca="false">Tech_Registry!$E$24</f>
        <v>1</v>
      </c>
      <c r="Q12" s="97" t="n">
        <f aca="false">Tech_Registry!$E$24</f>
        <v>1</v>
      </c>
      <c r="R12" s="97" t="n">
        <f aca="false">Tech_Registry!$E$24</f>
        <v>1</v>
      </c>
      <c r="S12" s="97" t="n">
        <f aca="false">Tech_Registry!$E$24</f>
        <v>1</v>
      </c>
    </row>
    <row r="13" customFormat="false" ht="15" hidden="false" customHeight="false" outlineLevel="0" collapsed="false">
      <c r="A13" s="76" t="s">
        <v>861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</row>
    <row r="14" customFormat="false" ht="15" hidden="false" customHeight="false" outlineLevel="0" collapsed="false">
      <c r="A14" s="61" t="s">
        <v>500</v>
      </c>
      <c r="B14" s="62" t="s">
        <v>501</v>
      </c>
      <c r="C14" s="94" t="n">
        <f aca="false">INDEX(Spec_Rack!$C$35:$G$35,C$6)</f>
        <v>1.979</v>
      </c>
      <c r="D14" s="94" t="n">
        <f aca="false">INDEX(Spec_Rack!$C$35:$G$35,D$6)</f>
        <v>1.979</v>
      </c>
      <c r="E14" s="94" t="n">
        <f aca="false">INDEX(Spec_Rack!$C$35:$G$35,E$6)</f>
        <v>1.979</v>
      </c>
      <c r="F14" s="94" t="n">
        <f aca="false">INDEX(Spec_Rack!$C$35:$G$35,F$6)</f>
        <v>10</v>
      </c>
      <c r="G14" s="94" t="n">
        <f aca="false">INDEX(Spec_Rack!$C$35:$G$35,G$6)</f>
        <v>10</v>
      </c>
      <c r="H14" s="94" t="n">
        <f aca="false">INDEX(Spec_Rack!$C$35:$G$35,H$6)</f>
        <v>10</v>
      </c>
      <c r="I14" s="94" t="n">
        <f aca="false">INDEX(Spec_Rack!$C$35:$G$35,I$6)</f>
        <v>15</v>
      </c>
      <c r="J14" s="94" t="n">
        <f aca="false">INDEX(Spec_Rack!$C$35:$G$35,J$6)</f>
        <v>15</v>
      </c>
      <c r="K14" s="94" t="n">
        <f aca="false">INDEX(Spec_Rack!$C$35:$G$35,K$6)</f>
        <v>15</v>
      </c>
      <c r="L14" s="94" t="n">
        <f aca="false">INDEX(Spec_Rack!$C$35:$G$35,L$6)</f>
        <v>35</v>
      </c>
      <c r="M14" s="94" t="n">
        <f aca="false">INDEX(Spec_Rack!$C$35:$G$35,M$6)</f>
        <v>35</v>
      </c>
      <c r="N14" s="94" t="n">
        <f aca="false">INDEX(Spec_Rack!$C$35:$G$35,N$6)</f>
        <v>35</v>
      </c>
      <c r="O14" s="94" t="n">
        <f aca="false">INDEX(Spec_Rack!$C$35:$G$35,O$6)</f>
        <v>70</v>
      </c>
      <c r="P14" s="94" t="n">
        <f aca="false">INDEX(Spec_Rack!$C$35:$G$35,P$6)</f>
        <v>70</v>
      </c>
      <c r="Q14" s="94" t="n">
        <f aca="false">INDEX(Spec_Rack!$C$35:$G$35,Q$6)</f>
        <v>70</v>
      </c>
      <c r="R14" s="141" t="n">
        <f aca="false">Spec_Rack!$F$40</f>
        <v>17.5</v>
      </c>
      <c r="S14" s="141" t="n">
        <f aca="false">Spec_Rack!$F$40</f>
        <v>17.5</v>
      </c>
    </row>
    <row r="15" customFormat="false" ht="15" hidden="false" customHeight="false" outlineLevel="0" collapsed="false">
      <c r="A15" s="62" t="s">
        <v>503</v>
      </c>
      <c r="B15" s="62" t="s">
        <v>862</v>
      </c>
      <c r="C15" s="63" t="n">
        <f aca="false">INDEX(Spec_Rack!$C$25:$G$25,C$6)</f>
        <v>80</v>
      </c>
      <c r="D15" s="63" t="n">
        <f aca="false">INDEX(Spec_Rack!$C$25:$G$25,D$6)</f>
        <v>80</v>
      </c>
      <c r="E15" s="63" t="n">
        <f aca="false">INDEX(Spec_Rack!$C$25:$G$25,E$6)</f>
        <v>80</v>
      </c>
      <c r="F15" s="63" t="n">
        <f aca="false">INDEX(Spec_Rack!$C$25:$G$25,F$6)</f>
        <v>186</v>
      </c>
      <c r="G15" s="63" t="n">
        <f aca="false">INDEX(Spec_Rack!$C$25:$G$25,G$6)</f>
        <v>186</v>
      </c>
      <c r="H15" s="63" t="n">
        <f aca="false">INDEX(Spec_Rack!$C$25:$G$25,H$6)</f>
        <v>186</v>
      </c>
      <c r="I15" s="63" t="n">
        <f aca="false">INDEX(Spec_Rack!$C$25:$G$25,I$6)</f>
        <v>288</v>
      </c>
      <c r="J15" s="63" t="n">
        <f aca="false">INDEX(Spec_Rack!$C$25:$G$25,J$6)</f>
        <v>288</v>
      </c>
      <c r="K15" s="63" t="n">
        <f aca="false">INDEX(Spec_Rack!$C$25:$G$25,K$6)</f>
        <v>288</v>
      </c>
      <c r="L15" s="63" t="n">
        <f aca="false">INDEX(Spec_Rack!$C$25:$G$25,L$6)</f>
        <v>288</v>
      </c>
      <c r="M15" s="63" t="n">
        <f aca="false">INDEX(Spec_Rack!$C$25:$G$25,M$6)</f>
        <v>288</v>
      </c>
      <c r="N15" s="63" t="n">
        <f aca="false">INDEX(Spec_Rack!$C$25:$G$25,N$6)</f>
        <v>288</v>
      </c>
      <c r="O15" s="63" t="n">
        <f aca="false">INDEX(Spec_Rack!$C$25:$G$25,O$6)</f>
        <v>1024</v>
      </c>
      <c r="P15" s="63" t="n">
        <f aca="false">INDEX(Spec_Rack!$C$25:$G$25,P$6)</f>
        <v>1024</v>
      </c>
      <c r="Q15" s="63" t="n">
        <f aca="false">INDEX(Spec_Rack!$C$25:$G$25,Q$6)</f>
        <v>1024</v>
      </c>
      <c r="R15" s="63" t="n">
        <f aca="false">INDEX(Spec_Rack!$C$25:$G$25,R$6)</f>
        <v>288</v>
      </c>
      <c r="S15" s="63" t="n">
        <f aca="false">INDEX(Spec_Rack!$C$25:$G$25,S$6)</f>
        <v>288</v>
      </c>
    </row>
    <row r="16" customFormat="false" ht="15" hidden="false" customHeight="false" outlineLevel="0" collapsed="false">
      <c r="A16" s="62" t="s">
        <v>505</v>
      </c>
      <c r="B16" s="62" t="s">
        <v>377</v>
      </c>
      <c r="C16" s="95" t="n">
        <f aca="false">INDEX(Spec_Rack!$C$26:$G$26,C$6)</f>
        <v>3.35</v>
      </c>
      <c r="D16" s="95" t="n">
        <f aca="false">INDEX(Spec_Rack!$C$26:$G$26,D$6)</f>
        <v>3.35</v>
      </c>
      <c r="E16" s="95" t="n">
        <f aca="false">INDEX(Spec_Rack!$C$26:$G$26,E$6)</f>
        <v>3.35</v>
      </c>
      <c r="F16" s="95" t="n">
        <f aca="false">INDEX(Spec_Rack!$C$26:$G$26,F$6)</f>
        <v>8</v>
      </c>
      <c r="G16" s="95" t="n">
        <f aca="false">INDEX(Spec_Rack!$C$26:$G$26,G$6)</f>
        <v>8</v>
      </c>
      <c r="H16" s="95" t="n">
        <f aca="false">INDEX(Spec_Rack!$C$26:$G$26,H$6)</f>
        <v>8</v>
      </c>
      <c r="I16" s="95" t="n">
        <f aca="false">INDEX(Spec_Rack!$C$26:$G$26,I$6)</f>
        <v>8</v>
      </c>
      <c r="J16" s="95" t="n">
        <f aca="false">INDEX(Spec_Rack!$C$26:$G$26,J$6)</f>
        <v>8</v>
      </c>
      <c r="K16" s="95" t="n">
        <f aca="false">INDEX(Spec_Rack!$C$26:$G$26,K$6)</f>
        <v>8</v>
      </c>
      <c r="L16" s="95" t="n">
        <f aca="false">INDEX(Spec_Rack!$C$26:$G$26,L$6)</f>
        <v>22</v>
      </c>
      <c r="M16" s="95" t="n">
        <f aca="false">INDEX(Spec_Rack!$C$26:$G$26,M$6)</f>
        <v>22</v>
      </c>
      <c r="N16" s="95" t="n">
        <f aca="false">INDEX(Spec_Rack!$C$26:$G$26,N$6)</f>
        <v>22</v>
      </c>
      <c r="O16" s="95" t="n">
        <f aca="false">INDEX(Spec_Rack!$C$26:$G$26,O$6)</f>
        <v>32</v>
      </c>
      <c r="P16" s="95" t="n">
        <f aca="false">INDEX(Spec_Rack!$C$26:$G$26,P$6)</f>
        <v>32</v>
      </c>
      <c r="Q16" s="95" t="n">
        <f aca="false">INDEX(Spec_Rack!$C$26:$G$26,Q$6)</f>
        <v>32</v>
      </c>
      <c r="R16" s="95" t="n">
        <f aca="false">INDEX(Spec_Rack!$C$26:$G$26,R$6)</f>
        <v>22</v>
      </c>
      <c r="S16" s="95" t="n">
        <f aca="false">INDEX(Spec_Rack!$C$26:$G$26,S$6)</f>
        <v>22</v>
      </c>
    </row>
    <row r="17" customFormat="false" ht="15" hidden="false" customHeight="false" outlineLevel="0" collapsed="false">
      <c r="A17" s="62" t="s">
        <v>863</v>
      </c>
      <c r="B17" s="62" t="s">
        <v>377</v>
      </c>
      <c r="C17" s="95" t="n">
        <f aca="false">INDEX(Spec_Rack!$C$27:$G$27,C$6)</f>
        <v>0.05</v>
      </c>
      <c r="D17" s="95" t="n">
        <f aca="false">INDEX(Spec_Rack!$C$27:$G$27,D$6)</f>
        <v>0.05</v>
      </c>
      <c r="E17" s="95" t="n">
        <f aca="false">INDEX(Spec_Rack!$C$27:$G$27,E$6)</f>
        <v>0.05</v>
      </c>
      <c r="F17" s="95" t="n">
        <f aca="false">INDEX(Spec_Rack!$C$27:$G$27,F$6)</f>
        <v>0.9</v>
      </c>
      <c r="G17" s="95" t="n">
        <f aca="false">INDEX(Spec_Rack!$C$27:$G$27,G$6)</f>
        <v>0.9</v>
      </c>
      <c r="H17" s="95" t="n">
        <f aca="false">INDEX(Spec_Rack!$C$27:$G$27,H$6)</f>
        <v>0.9</v>
      </c>
      <c r="I17" s="95" t="n">
        <f aca="false">INDEX(Spec_Rack!$C$27:$G$27,I$6)</f>
        <v>0.9</v>
      </c>
      <c r="J17" s="95" t="n">
        <f aca="false">INDEX(Spec_Rack!$C$27:$G$27,J$6)</f>
        <v>0.9</v>
      </c>
      <c r="K17" s="95" t="n">
        <f aca="false">INDEX(Spec_Rack!$C$27:$G$27,K$6)</f>
        <v>0.9</v>
      </c>
      <c r="L17" s="95" t="n">
        <f aca="false">INDEX(Spec_Rack!$C$27:$G$27,L$6)</f>
        <v>1.8</v>
      </c>
      <c r="M17" s="95" t="n">
        <f aca="false">INDEX(Spec_Rack!$C$27:$G$27,M$6)</f>
        <v>1.8</v>
      </c>
      <c r="N17" s="95" t="n">
        <f aca="false">INDEX(Spec_Rack!$C$27:$G$27,N$6)</f>
        <v>1.8</v>
      </c>
      <c r="O17" s="95" t="n">
        <f aca="false">INDEX(Spec_Rack!$C$27:$G$27,O$6)</f>
        <v>1.8</v>
      </c>
      <c r="P17" s="95" t="n">
        <f aca="false">INDEX(Spec_Rack!$C$27:$G$27,P$6)</f>
        <v>1.8</v>
      </c>
      <c r="Q17" s="95" t="n">
        <f aca="false">INDEX(Spec_Rack!$C$27:$G$27,Q$6)</f>
        <v>1.8</v>
      </c>
      <c r="R17" s="95" t="n">
        <f aca="false">INDEX(Spec_Rack!$C$27:$G$27,R$6)</f>
        <v>1.8</v>
      </c>
      <c r="S17" s="95" t="n">
        <f aca="false">INDEX(Spec_Rack!$C$27:$G$27,S$6)</f>
        <v>1.8</v>
      </c>
    </row>
    <row r="18" customFormat="false" ht="15" hidden="false" customHeight="false" outlineLevel="0" collapsed="false">
      <c r="A18" s="62" t="s">
        <v>247</v>
      </c>
      <c r="B18" s="62" t="s">
        <v>697</v>
      </c>
      <c r="C18" s="63" t="n">
        <f aca="false">INDEX(Spec_Rack!$C$29:$G$29,C$6)</f>
        <v>64</v>
      </c>
      <c r="D18" s="63" t="n">
        <f aca="false">INDEX(Spec_Rack!$C$29:$G$29,D$6)</f>
        <v>64</v>
      </c>
      <c r="E18" s="63" t="n">
        <f aca="false">INDEX(Spec_Rack!$C$29:$G$29,E$6)</f>
        <v>64</v>
      </c>
      <c r="F18" s="63" t="n">
        <f aca="false">INDEX(Spec_Rack!$C$29:$G$29,F$6)</f>
        <v>32</v>
      </c>
      <c r="G18" s="63" t="n">
        <f aca="false">INDEX(Spec_Rack!$C$29:$G$29,G$6)</f>
        <v>32</v>
      </c>
      <c r="H18" s="63" t="n">
        <f aca="false">INDEX(Spec_Rack!$C$29:$G$29,H$6)</f>
        <v>32</v>
      </c>
      <c r="I18" s="63" t="n">
        <f aca="false">INDEX(Spec_Rack!$C$29:$G$29,I$6)</f>
        <v>32</v>
      </c>
      <c r="J18" s="63" t="n">
        <f aca="false">INDEX(Spec_Rack!$C$29:$G$29,J$6)</f>
        <v>32</v>
      </c>
      <c r="K18" s="63" t="n">
        <f aca="false">INDEX(Spec_Rack!$C$29:$G$29,K$6)</f>
        <v>32</v>
      </c>
      <c r="L18" s="63" t="n">
        <f aca="false">INDEX(Spec_Rack!$C$29:$G$29,L$6)</f>
        <v>32</v>
      </c>
      <c r="M18" s="63" t="n">
        <f aca="false">INDEX(Spec_Rack!$C$29:$G$29,M$6)</f>
        <v>32</v>
      </c>
      <c r="N18" s="63" t="n">
        <f aca="false">INDEX(Spec_Rack!$C$29:$G$29,N$6)</f>
        <v>32</v>
      </c>
      <c r="O18" s="63" t="n">
        <f aca="false">INDEX(Spec_Rack!$C$29:$G$29,O$6)</f>
        <v>64</v>
      </c>
      <c r="P18" s="63" t="n">
        <f aca="false">INDEX(Spec_Rack!$C$29:$G$29,P$6)</f>
        <v>64</v>
      </c>
      <c r="Q18" s="63" t="n">
        <f aca="false">INDEX(Spec_Rack!$C$29:$G$29,Q$6)</f>
        <v>64</v>
      </c>
      <c r="R18" s="63" t="n">
        <f aca="false">INDEX(Spec_Rack!$C$29:$G$29,R$6)</f>
        <v>32</v>
      </c>
      <c r="S18" s="63" t="n">
        <f aca="false">INDEX(Spec_Rack!$C$29:$G$29,S$6)</f>
        <v>32</v>
      </c>
    </row>
    <row r="19" customFormat="false" ht="15" hidden="false" customHeight="false" outlineLevel="0" collapsed="false">
      <c r="A19" s="61" t="s">
        <v>864</v>
      </c>
      <c r="B19" s="62" t="s">
        <v>287</v>
      </c>
      <c r="C19" s="96" t="n">
        <f aca="false">INDEX(Spec_Rack!$C$30:$G$30,C$6)*C12</f>
        <v>1</v>
      </c>
      <c r="D19" s="96" t="n">
        <f aca="false">INDEX(Spec_Rack!$C$30:$G$30,D$6)*D12</f>
        <v>1</v>
      </c>
      <c r="E19" s="96" t="n">
        <f aca="false">INDEX(Spec_Rack!$C$30:$G$30,E$6)*E12</f>
        <v>1</v>
      </c>
      <c r="F19" s="96" t="n">
        <f aca="false">INDEX(Spec_Rack!$C$30:$G$30,F$6)*F12</f>
        <v>0.5625</v>
      </c>
      <c r="G19" s="96" t="n">
        <f aca="false">INDEX(Spec_Rack!$C$30:$G$30,G$6)*G12</f>
        <v>0.5625</v>
      </c>
      <c r="H19" s="96" t="n">
        <f aca="false">INDEX(Spec_Rack!$C$30:$G$30,H$6)*H12</f>
        <v>0.5625</v>
      </c>
      <c r="I19" s="96" t="n">
        <f aca="false">INDEX(Spec_Rack!$C$30:$G$30,I$6)*I12</f>
        <v>0.5625</v>
      </c>
      <c r="J19" s="96" t="n">
        <f aca="false">INDEX(Spec_Rack!$C$30:$G$30,J$6)*J12</f>
        <v>0.5625</v>
      </c>
      <c r="K19" s="96" t="n">
        <f aca="false">INDEX(Spec_Rack!$C$30:$G$30,K$6)*K12</f>
        <v>0.5625</v>
      </c>
      <c r="L19" s="96" t="n">
        <f aca="false">INDEX(Spec_Rack!$C$30:$G$30,L$6)*L12</f>
        <v>0.5625</v>
      </c>
      <c r="M19" s="96" t="n">
        <f aca="false">INDEX(Spec_Rack!$C$30:$G$30,M$6)*M12</f>
        <v>0.5625</v>
      </c>
      <c r="N19" s="96" t="n">
        <f aca="false">INDEX(Spec_Rack!$C$30:$G$30,N$6)*N12</f>
        <v>0.5625</v>
      </c>
      <c r="O19" s="96" t="n">
        <f aca="false">INDEX(Spec_Rack!$C$30:$G$30,O$6)*O12</f>
        <v>0.5625</v>
      </c>
      <c r="P19" s="96" t="n">
        <f aca="false">INDEX(Spec_Rack!$C$30:$G$30,P$6)*P12</f>
        <v>0.5625</v>
      </c>
      <c r="Q19" s="96" t="n">
        <f aca="false">INDEX(Spec_Rack!$C$30:$G$30,Q$6)*Q12</f>
        <v>0.5625</v>
      </c>
      <c r="R19" s="142" t="n">
        <v>1</v>
      </c>
      <c r="S19" s="142" t="n">
        <v>1</v>
      </c>
    </row>
    <row r="20" customFormat="false" ht="15" hidden="false" customHeight="false" outlineLevel="0" collapsed="false">
      <c r="A20" s="61" t="s">
        <v>865</v>
      </c>
      <c r="B20" s="62" t="s">
        <v>287</v>
      </c>
      <c r="C20" s="97" t="n">
        <f aca="false">INDEX(Spec_Rack!$C$31:$G$31,C$6)*C12</f>
        <v>1</v>
      </c>
      <c r="D20" s="97" t="n">
        <f aca="false">INDEX(Spec_Rack!$C$31:$G$31,D$6)*D12</f>
        <v>1</v>
      </c>
      <c r="E20" s="97" t="n">
        <f aca="false">INDEX(Spec_Rack!$C$31:$G$31,E$6)*E12</f>
        <v>1</v>
      </c>
      <c r="F20" s="97" t="n">
        <f aca="false">INDEX(Spec_Rack!$C$31:$G$31,F$6)*F12</f>
        <v>1</v>
      </c>
      <c r="G20" s="97" t="n">
        <f aca="false">INDEX(Spec_Rack!$C$31:$G$31,G$6)*G12</f>
        <v>1</v>
      </c>
      <c r="H20" s="97" t="n">
        <f aca="false">INDEX(Spec_Rack!$C$31:$G$31,H$6)*H12</f>
        <v>1</v>
      </c>
      <c r="I20" s="97" t="n">
        <f aca="false">INDEX(Spec_Rack!$C$31:$G$31,I$6)*I12</f>
        <v>1</v>
      </c>
      <c r="J20" s="97" t="n">
        <f aca="false">INDEX(Spec_Rack!$C$31:$G$31,J$6)*J12</f>
        <v>1</v>
      </c>
      <c r="K20" s="97" t="n">
        <f aca="false">INDEX(Spec_Rack!$C$31:$G$31,K$6)*K12</f>
        <v>1</v>
      </c>
      <c r="L20" s="97" t="n">
        <f aca="false">INDEX(Spec_Rack!$C$31:$G$31,L$6)*L12</f>
        <v>1</v>
      </c>
      <c r="M20" s="97" t="n">
        <f aca="false">INDEX(Spec_Rack!$C$31:$G$31,M$6)*M12</f>
        <v>1</v>
      </c>
      <c r="N20" s="97" t="n">
        <f aca="false">INDEX(Spec_Rack!$C$31:$G$31,N$6)*N12</f>
        <v>1</v>
      </c>
      <c r="O20" s="97" t="n">
        <f aca="false">INDEX(Spec_Rack!$C$31:$G$31,O$6)*O12</f>
        <v>1</v>
      </c>
      <c r="P20" s="97" t="n">
        <f aca="false">INDEX(Spec_Rack!$C$31:$G$31,P$6)*P12</f>
        <v>1</v>
      </c>
      <c r="Q20" s="97" t="n">
        <f aca="false">INDEX(Spec_Rack!$C$31:$G$31,Q$6)*Q12</f>
        <v>1</v>
      </c>
      <c r="R20" s="81" t="n">
        <v>1</v>
      </c>
      <c r="S20" s="81" t="n">
        <v>1</v>
      </c>
    </row>
    <row r="21" customFormat="false" ht="15" hidden="false" customHeight="false" outlineLevel="0" collapsed="false">
      <c r="A21" s="61" t="s">
        <v>866</v>
      </c>
      <c r="B21" s="62" t="s">
        <v>697</v>
      </c>
      <c r="C21" s="63" t="n">
        <f aca="false">INDEX(Spec_Rack!$C$32:$G$32,C$6)</f>
        <v>8</v>
      </c>
      <c r="D21" s="63" t="n">
        <f aca="false">INDEX(Spec_Rack!$C$32:$G$32,D$6)</f>
        <v>8</v>
      </c>
      <c r="E21" s="63" t="n">
        <f aca="false">INDEX(Spec_Rack!$C$32:$G$32,E$6)</f>
        <v>8</v>
      </c>
      <c r="F21" s="63" t="n">
        <f aca="false">INDEX(Spec_Rack!$C$32:$G$32,F$6)</f>
        <v>4</v>
      </c>
      <c r="G21" s="63" t="n">
        <f aca="false">INDEX(Spec_Rack!$C$32:$G$32,G$6)</f>
        <v>4</v>
      </c>
      <c r="H21" s="63" t="n">
        <f aca="false">INDEX(Spec_Rack!$C$32:$G$32,H$6)</f>
        <v>4</v>
      </c>
      <c r="I21" s="63" t="n">
        <f aca="false">INDEX(Spec_Rack!$C$32:$G$32,I$6)</f>
        <v>4</v>
      </c>
      <c r="J21" s="63" t="n">
        <f aca="false">INDEX(Spec_Rack!$C$32:$G$32,J$6)</f>
        <v>4</v>
      </c>
      <c r="K21" s="63" t="n">
        <f aca="false">INDEX(Spec_Rack!$C$32:$G$32,K$6)</f>
        <v>4</v>
      </c>
      <c r="L21" s="63" t="n">
        <f aca="false">INDEX(Spec_Rack!$C$32:$G$32,L$6)</f>
        <v>4</v>
      </c>
      <c r="M21" s="63" t="n">
        <f aca="false">INDEX(Spec_Rack!$C$32:$G$32,M$6)</f>
        <v>4</v>
      </c>
      <c r="N21" s="63" t="n">
        <f aca="false">INDEX(Spec_Rack!$C$32:$G$32,N$6)</f>
        <v>4</v>
      </c>
      <c r="O21" s="63" t="n">
        <f aca="false">INDEX(Spec_Rack!$C$32:$G$32,O$6)</f>
        <v>8</v>
      </c>
      <c r="P21" s="63" t="n">
        <f aca="false">INDEX(Spec_Rack!$C$32:$G$32,P$6)</f>
        <v>8</v>
      </c>
      <c r="Q21" s="63" t="n">
        <f aca="false">INDEX(Spec_Rack!$C$32:$G$32,Q$6)</f>
        <v>8</v>
      </c>
      <c r="R21" s="63" t="n">
        <f aca="false">INDEX(Spec_Rack!$C$32:$G$32,R$6)</f>
        <v>4</v>
      </c>
      <c r="S21" s="63" t="n">
        <f aca="false">INDEX(Spec_Rack!$C$32:$G$32,S$6)</f>
        <v>4</v>
      </c>
    </row>
    <row r="22" customFormat="false" ht="15" hidden="false" customHeight="false" outlineLevel="0" collapsed="false">
      <c r="A22" s="62" t="s">
        <v>199</v>
      </c>
      <c r="B22" s="61" t="s">
        <v>867</v>
      </c>
      <c r="C22" s="63" t="n">
        <f aca="false">INDEX(Spec_Rack!$C$6:$G$6,C$6)</f>
        <v>32</v>
      </c>
      <c r="D22" s="63" t="n">
        <f aca="false">INDEX(Spec_Rack!$C$6:$G$6,D$6)</f>
        <v>32</v>
      </c>
      <c r="E22" s="63" t="n">
        <f aca="false">INDEX(Spec_Rack!$C$6:$G$6,E$6)</f>
        <v>32</v>
      </c>
      <c r="F22" s="63" t="n">
        <f aca="false">INDEX(Spec_Rack!$C$6:$G$6,F$6)</f>
        <v>72</v>
      </c>
      <c r="G22" s="63" t="n">
        <f aca="false">INDEX(Spec_Rack!$C$6:$G$6,G$6)</f>
        <v>72</v>
      </c>
      <c r="H22" s="63" t="n">
        <f aca="false">INDEX(Spec_Rack!$C$6:$G$6,H$6)</f>
        <v>72</v>
      </c>
      <c r="I22" s="63" t="n">
        <f aca="false">INDEX(Spec_Rack!$C$6:$G$6,I$6)</f>
        <v>72</v>
      </c>
      <c r="J22" s="63" t="n">
        <f aca="false">INDEX(Spec_Rack!$C$6:$G$6,J$6)</f>
        <v>72</v>
      </c>
      <c r="K22" s="63" t="n">
        <f aca="false">INDEX(Spec_Rack!$C$6:$G$6,K$6)</f>
        <v>72</v>
      </c>
      <c r="L22" s="63" t="n">
        <f aca="false">INDEX(Spec_Rack!$C$6:$G$6,L$6)</f>
        <v>72</v>
      </c>
      <c r="M22" s="63" t="n">
        <f aca="false">INDEX(Spec_Rack!$C$6:$G$6,M$6)</f>
        <v>72</v>
      </c>
      <c r="N22" s="63" t="n">
        <f aca="false">INDEX(Spec_Rack!$C$6:$G$6,N$6)</f>
        <v>72</v>
      </c>
      <c r="O22" s="63" t="n">
        <f aca="false">INDEX(Spec_Rack!$C$6:$G$6,O$6)</f>
        <v>72</v>
      </c>
      <c r="P22" s="63" t="n">
        <f aca="false">INDEX(Spec_Rack!$C$6:$G$6,P$6)</f>
        <v>72</v>
      </c>
      <c r="Q22" s="63" t="n">
        <f aca="false">INDEX(Spec_Rack!$C$6:$G$6,Q$6)</f>
        <v>72</v>
      </c>
      <c r="R22" s="63" t="n">
        <f aca="false">INDEX(Spec_Rack!$C$6:$G$6,R$6)</f>
        <v>72</v>
      </c>
      <c r="S22" s="63" t="n">
        <f aca="false">INDEX(Spec_Rack!$C$6:$G$6,S$6)</f>
        <v>72</v>
      </c>
    </row>
    <row r="23" customFormat="false" ht="15" hidden="false" customHeight="false" outlineLevel="0" collapsed="false">
      <c r="A23" s="62" t="s">
        <v>868</v>
      </c>
      <c r="B23" s="62" t="s">
        <v>869</v>
      </c>
      <c r="C23" s="63" t="n">
        <f aca="false">INDEX(Spec_Rack!$C$33:$G$33,C$6)</f>
        <v>700</v>
      </c>
      <c r="D23" s="63" t="n">
        <f aca="false">INDEX(Spec_Rack!$C$33:$G$33,D$6)</f>
        <v>700</v>
      </c>
      <c r="E23" s="63" t="n">
        <f aca="false">INDEX(Spec_Rack!$C$33:$G$33,E$6)</f>
        <v>700</v>
      </c>
      <c r="F23" s="63" t="n">
        <f aca="false">INDEX(Spec_Rack!$C$33:$G$33,F$6)</f>
        <v>1200</v>
      </c>
      <c r="G23" s="63" t="n">
        <f aca="false">INDEX(Spec_Rack!$C$33:$G$33,G$6)</f>
        <v>1200</v>
      </c>
      <c r="H23" s="63" t="n">
        <f aca="false">INDEX(Spec_Rack!$C$33:$G$33,H$6)</f>
        <v>1200</v>
      </c>
      <c r="I23" s="63" t="n">
        <f aca="false">INDEX(Spec_Rack!$C$33:$G$33,I$6)</f>
        <v>1400</v>
      </c>
      <c r="J23" s="63" t="n">
        <f aca="false">INDEX(Spec_Rack!$C$33:$G$33,J$6)</f>
        <v>1400</v>
      </c>
      <c r="K23" s="63" t="n">
        <f aca="false">INDEX(Spec_Rack!$C$33:$G$33,K$6)</f>
        <v>1400</v>
      </c>
      <c r="L23" s="63" t="n">
        <f aca="false">INDEX(Spec_Rack!$C$33:$G$33,L$6)</f>
        <v>1800</v>
      </c>
      <c r="M23" s="63" t="n">
        <f aca="false">INDEX(Spec_Rack!$C$33:$G$33,M$6)</f>
        <v>1800</v>
      </c>
      <c r="N23" s="63" t="n">
        <f aca="false">INDEX(Spec_Rack!$C$33:$G$33,N$6)</f>
        <v>1800</v>
      </c>
      <c r="O23" s="63" t="n">
        <f aca="false">INDEX(Spec_Rack!$C$33:$G$33,O$6)</f>
        <v>3600</v>
      </c>
      <c r="P23" s="63" t="n">
        <f aca="false">INDEX(Spec_Rack!$C$33:$G$33,P$6)</f>
        <v>3600</v>
      </c>
      <c r="Q23" s="63" t="n">
        <f aca="false">INDEX(Spec_Rack!$C$33:$G$33,Q$6)</f>
        <v>3600</v>
      </c>
      <c r="R23" s="63" t="n">
        <f aca="false">INDEX(Spec_Rack!$C$33:$G$33,R$6)</f>
        <v>1800</v>
      </c>
      <c r="S23" s="63" t="n">
        <f aca="false">INDEX(Spec_Rack!$C$33:$G$33,S$6)</f>
        <v>1800</v>
      </c>
    </row>
    <row r="24" customFormat="false" ht="15" hidden="false" customHeight="false" outlineLevel="0" collapsed="false">
      <c r="A24" s="62" t="s">
        <v>870</v>
      </c>
      <c r="B24" s="62" t="s">
        <v>871</v>
      </c>
      <c r="C24" s="63" t="n">
        <f aca="false">INDEX(Spec_Rack!$C$34:$G$34,C$6)</f>
        <v>31</v>
      </c>
      <c r="D24" s="63" t="n">
        <f aca="false">INDEX(Spec_Rack!$C$34:$G$34,D$6)</f>
        <v>31</v>
      </c>
      <c r="E24" s="63" t="n">
        <f aca="false">INDEX(Spec_Rack!$C$34:$G$34,E$6)</f>
        <v>31</v>
      </c>
      <c r="F24" s="63" t="n">
        <f aca="false">INDEX(Spec_Rack!$C$34:$G$34,F$6)</f>
        <v>25</v>
      </c>
      <c r="G24" s="63" t="n">
        <f aca="false">INDEX(Spec_Rack!$C$34:$G$34,G$6)</f>
        <v>25</v>
      </c>
      <c r="H24" s="63" t="n">
        <f aca="false">INDEX(Spec_Rack!$C$34:$G$34,H$6)</f>
        <v>25</v>
      </c>
      <c r="I24" s="63" t="n">
        <f aca="false">INDEX(Spec_Rack!$C$34:$G$34,I$6)</f>
        <v>25</v>
      </c>
      <c r="J24" s="63" t="n">
        <f aca="false">INDEX(Spec_Rack!$C$34:$G$34,J$6)</f>
        <v>25</v>
      </c>
      <c r="K24" s="63" t="n">
        <f aca="false">INDEX(Spec_Rack!$C$34:$G$34,K$6)</f>
        <v>25</v>
      </c>
      <c r="L24" s="63" t="n">
        <f aca="false">INDEX(Spec_Rack!$C$34:$G$34,L$6)</f>
        <v>20</v>
      </c>
      <c r="M24" s="63" t="n">
        <f aca="false">INDEX(Spec_Rack!$C$34:$G$34,M$6)</f>
        <v>20</v>
      </c>
      <c r="N24" s="63" t="n">
        <f aca="false">INDEX(Spec_Rack!$C$34:$G$34,N$6)</f>
        <v>20</v>
      </c>
      <c r="O24" s="63" t="n">
        <f aca="false">INDEX(Spec_Rack!$C$34:$G$34,O$6)</f>
        <v>18</v>
      </c>
      <c r="P24" s="63" t="n">
        <f aca="false">INDEX(Spec_Rack!$C$34:$G$34,P$6)</f>
        <v>18</v>
      </c>
      <c r="Q24" s="63" t="n">
        <f aca="false">INDEX(Spec_Rack!$C$34:$G$34,Q$6)</f>
        <v>18</v>
      </c>
      <c r="R24" s="63" t="n">
        <f aca="false">INDEX(Spec_Rack!$C$34:$G$34,R$6)</f>
        <v>20</v>
      </c>
      <c r="S24" s="63" t="n">
        <f aca="false">INDEX(Spec_Rack!$C$34:$G$34,S$6)</f>
        <v>20</v>
      </c>
    </row>
    <row r="25" customFormat="false" ht="15" hidden="false" customHeight="false" outlineLevel="0" collapsed="false">
      <c r="A25" s="61" t="s">
        <v>872</v>
      </c>
      <c r="B25" s="61" t="s">
        <v>873</v>
      </c>
      <c r="C25" s="63" t="n">
        <f aca="false">INDEX(DC_Cost!$C$12:$Q$12,3*(C$6-1)+2)/CTL_GW</f>
        <v>22439</v>
      </c>
      <c r="D25" s="63" t="n">
        <f aca="false">INDEX(DC_Cost!$C$12:$Q$12,3*(D$6-1)+2)/CTL_GW</f>
        <v>22439</v>
      </c>
      <c r="E25" s="63" t="n">
        <f aca="false">INDEX(DC_Cost!$C$12:$Q$12,3*(E$6-1)+2)/CTL_GW</f>
        <v>22439</v>
      </c>
      <c r="F25" s="63" t="n">
        <f aca="false">INDEX(DC_Cost!$C$12:$Q$12,3*(F$6-1)+2)/CTL_GW</f>
        <v>6969</v>
      </c>
      <c r="G25" s="63" t="n">
        <f aca="false">INDEX(DC_Cost!$C$12:$Q$12,3*(G$6-1)+2)/CTL_GW</f>
        <v>6969</v>
      </c>
      <c r="H25" s="63" t="n">
        <f aca="false">INDEX(DC_Cost!$C$12:$Q$12,3*(H$6-1)+2)/CTL_GW</f>
        <v>6969</v>
      </c>
      <c r="I25" s="63" t="n">
        <f aca="false">INDEX(DC_Cost!$C$12:$Q$12,3*(I$6-1)+2)/CTL_GW</f>
        <v>6764</v>
      </c>
      <c r="J25" s="63" t="n">
        <f aca="false">INDEX(DC_Cost!$C$12:$Q$12,3*(J$6-1)+2)/CTL_GW</f>
        <v>6764</v>
      </c>
      <c r="K25" s="63" t="n">
        <f aca="false">INDEX(DC_Cost!$C$12:$Q$12,3*(K$6-1)+2)/CTL_GW</f>
        <v>6764</v>
      </c>
      <c r="L25" s="63" t="n">
        <f aca="false">INDEX(DC_Cost!$C$12:$Q$12,3*(L$6-1)+2)/CTL_GW</f>
        <v>4052</v>
      </c>
      <c r="M25" s="63" t="n">
        <f aca="false">INDEX(DC_Cost!$C$12:$Q$12,3*(M$6-1)+2)/CTL_GW</f>
        <v>4052</v>
      </c>
      <c r="N25" s="63" t="n">
        <f aca="false">INDEX(DC_Cost!$C$12:$Q$12,3*(N$6-1)+2)/CTL_GW</f>
        <v>4052</v>
      </c>
      <c r="O25" s="63" t="n">
        <f aca="false">INDEX(DC_Cost!$C$12:$Q$12,3*(O$6-1)+2)/CTL_GW</f>
        <v>2705</v>
      </c>
      <c r="P25" s="63" t="n">
        <f aca="false">INDEX(DC_Cost!$C$12:$Q$12,3*(P$6-1)+2)/CTL_GW</f>
        <v>2705</v>
      </c>
      <c r="Q25" s="63" t="n">
        <f aca="false">INDEX(DC_Cost!$C$12:$Q$12,3*(Q$6-1)+2)/CTL_GW</f>
        <v>2705</v>
      </c>
      <c r="R25" s="63" t="n">
        <f aca="false">INDEX(DC_Cost!$C$12:$Q$12,3*(R$6-1)+2)/CTL_GW</f>
        <v>4052</v>
      </c>
      <c r="S25" s="63" t="n">
        <f aca="false">INDEX(DC_Cost!$C$12:$Q$12,3*(S$6-1)+2)/CTL_GW</f>
        <v>4052</v>
      </c>
    </row>
    <row r="26" customFormat="false" ht="15" hidden="false" customHeight="false" outlineLevel="0" collapsed="false">
      <c r="A26" s="61" t="s">
        <v>874</v>
      </c>
      <c r="B26" s="62" t="s">
        <v>875</v>
      </c>
      <c r="C26" s="63" t="n">
        <f aca="false">INDEX(DC_Cost!$C$11:$Q$11,3*(C$6-1)+2)</f>
        <v>41</v>
      </c>
      <c r="D26" s="63" t="n">
        <f aca="false">INDEX(DC_Cost!$C$11:$Q$11,3*(D$6-1)+2)</f>
        <v>41</v>
      </c>
      <c r="E26" s="63" t="n">
        <f aca="false">INDEX(DC_Cost!$C$11:$Q$11,3*(E$6-1)+2)</f>
        <v>41</v>
      </c>
      <c r="F26" s="63" t="n">
        <f aca="false">INDEX(DC_Cost!$C$11:$Q$11,3*(F$6-1)+2)</f>
        <v>132</v>
      </c>
      <c r="G26" s="63" t="n">
        <f aca="false">INDEX(DC_Cost!$C$11:$Q$11,3*(G$6-1)+2)</f>
        <v>132</v>
      </c>
      <c r="H26" s="63" t="n">
        <f aca="false">INDEX(DC_Cost!$C$11:$Q$11,3*(H$6-1)+2)</f>
        <v>132</v>
      </c>
      <c r="I26" s="63" t="n">
        <f aca="false">INDEX(DC_Cost!$C$11:$Q$11,3*(I$6-1)+2)</f>
        <v>136</v>
      </c>
      <c r="J26" s="63" t="n">
        <f aca="false">INDEX(DC_Cost!$C$11:$Q$11,3*(J$6-1)+2)</f>
        <v>136</v>
      </c>
      <c r="K26" s="63" t="n">
        <f aca="false">INDEX(DC_Cost!$C$11:$Q$11,3*(K$6-1)+2)</f>
        <v>136</v>
      </c>
      <c r="L26" s="63" t="n">
        <f aca="false">INDEX(DC_Cost!$C$11:$Q$11,3*(L$6-1)+2)</f>
        <v>227</v>
      </c>
      <c r="M26" s="63" t="n">
        <f aca="false">INDEX(DC_Cost!$C$11:$Q$11,3*(M$6-1)+2)</f>
        <v>227</v>
      </c>
      <c r="N26" s="63" t="n">
        <f aca="false">INDEX(DC_Cost!$C$11:$Q$11,3*(N$6-1)+2)</f>
        <v>227</v>
      </c>
      <c r="O26" s="63" t="n">
        <f aca="false">INDEX(DC_Cost!$C$11:$Q$11,3*(O$6-1)+2)</f>
        <v>340</v>
      </c>
      <c r="P26" s="63" t="n">
        <f aca="false">INDEX(DC_Cost!$C$11:$Q$11,3*(P$6-1)+2)</f>
        <v>340</v>
      </c>
      <c r="Q26" s="63" t="n">
        <f aca="false">INDEX(DC_Cost!$C$11:$Q$11,3*(Q$6-1)+2)</f>
        <v>340</v>
      </c>
      <c r="R26" s="63" t="n">
        <f aca="false">INDEX(DC_Cost!$C$11:$Q$11,3*(R$6-1)+2)</f>
        <v>227</v>
      </c>
      <c r="S26" s="63" t="n">
        <f aca="false">INDEX(DC_Cost!$C$11:$Q$11,3*(S$6-1)+2)</f>
        <v>227</v>
      </c>
    </row>
    <row r="27" customFormat="false" ht="15" hidden="false" customHeight="false" outlineLevel="0" collapsed="false">
      <c r="A27" s="76" t="s">
        <v>876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1" t="s">
        <v>290</v>
      </c>
      <c r="B28" s="62" t="s">
        <v>287</v>
      </c>
      <c r="C28" s="63" t="n">
        <f aca="false">INDEX(Arch!$C$7:$E$7,C$7)*INDEX(ARCH_ScaleGen,1,C$6)</f>
        <v>13</v>
      </c>
      <c r="D28" s="63" t="n">
        <f aca="false">INDEX(Arch!$C$7:$E$7,D$7)*INDEX(ARCH_ScaleGen,1,D$6)</f>
        <v>49</v>
      </c>
      <c r="E28" s="63" t="n">
        <f aca="false">INDEX(Arch!$C$7:$E$7,E$7)*INDEX(ARCH_ScaleGen,1,E$6)</f>
        <v>180</v>
      </c>
      <c r="F28" s="63" t="n">
        <f aca="false">INDEX(Arch!$C$7:$E$7,F$7)*INDEX(ARCH_ScaleGen,1,F$6)</f>
        <v>13</v>
      </c>
      <c r="G28" s="63" t="n">
        <f aca="false">INDEX(Arch!$C$7:$E$7,G$7)*INDEX(ARCH_ScaleGen,1,G$6)</f>
        <v>49</v>
      </c>
      <c r="H28" s="63" t="n">
        <f aca="false">INDEX(Arch!$C$7:$E$7,H$7)*INDEX(ARCH_ScaleGen,1,H$6)</f>
        <v>180</v>
      </c>
      <c r="I28" s="63" t="n">
        <f aca="false">INDEX(Arch!$C$7:$E$7,I$7)*INDEX(ARCH_ScaleGen,1,I$6)</f>
        <v>13</v>
      </c>
      <c r="J28" s="63" t="n">
        <f aca="false">INDEX(Arch!$C$7:$E$7,J$7)*INDEX(ARCH_ScaleGen,1,J$6)</f>
        <v>49</v>
      </c>
      <c r="K28" s="63" t="n">
        <f aca="false">INDEX(Arch!$C$7:$E$7,K$7)*INDEX(ARCH_ScaleGen,1,K$6)</f>
        <v>180</v>
      </c>
      <c r="L28" s="63" t="n">
        <f aca="false">INDEX(Arch!$C$7:$E$7,L$7)*INDEX(ARCH_ScaleGen,1,L$6)</f>
        <v>13</v>
      </c>
      <c r="M28" s="63" t="n">
        <f aca="false">INDEX(Arch!$C$7:$E$7,M$7)*INDEX(ARCH_ScaleGen,1,M$6)</f>
        <v>49</v>
      </c>
      <c r="N28" s="63" t="n">
        <f aca="false">INDEX(Arch!$C$7:$E$7,N$7)*INDEX(ARCH_ScaleGen,1,N$6)</f>
        <v>180</v>
      </c>
      <c r="O28" s="63" t="n">
        <f aca="false">INDEX(Arch!$C$7:$E$7,O$7)*INDEX(ARCH_ScaleGen,1,O$6)</f>
        <v>13</v>
      </c>
      <c r="P28" s="63" t="n">
        <f aca="false">INDEX(Arch!$C$7:$E$7,P$7)*INDEX(ARCH_ScaleGen,1,P$6)</f>
        <v>49</v>
      </c>
      <c r="Q28" s="63" t="n">
        <f aca="false">INDEX(Arch!$C$7:$E$7,Q$7)*INDEX(ARCH_ScaleGen,1,Q$6)</f>
        <v>180</v>
      </c>
      <c r="R28" s="63" t="n">
        <f aca="false">INDEX(Arch!$C$7:$E$7,R$7)*INDEX(ARCH_ScaleGen,1,R$6)</f>
        <v>49</v>
      </c>
      <c r="S28" s="63" t="n">
        <f aca="false">INDEX(Arch!$C$7:$E$7,S$7)*INDEX(ARCH_ScaleGen,1,S$6)</f>
        <v>180</v>
      </c>
    </row>
    <row r="29" customFormat="false" ht="15" hidden="false" customHeight="false" outlineLevel="0" collapsed="false">
      <c r="A29" s="61" t="s">
        <v>292</v>
      </c>
      <c r="B29" s="61" t="s">
        <v>293</v>
      </c>
      <c r="C29" s="63" t="n">
        <f aca="false">INDEX(Arch!$C$8:$E$8,C$7)</f>
        <v>43</v>
      </c>
      <c r="D29" s="63" t="n">
        <f aca="false">INDEX(Arch!$C$8:$E$8,D$7)</f>
        <v>61</v>
      </c>
      <c r="E29" s="63" t="n">
        <f aca="false">INDEX(Arch!$C$8:$E$8,E$7)</f>
        <v>100</v>
      </c>
      <c r="F29" s="63" t="n">
        <f aca="false">INDEX(Arch!$C$8:$E$8,F$7)</f>
        <v>43</v>
      </c>
      <c r="G29" s="63" t="n">
        <f aca="false">INDEX(Arch!$C$8:$E$8,G$7)</f>
        <v>61</v>
      </c>
      <c r="H29" s="63" t="n">
        <f aca="false">INDEX(Arch!$C$8:$E$8,H$7)</f>
        <v>100</v>
      </c>
      <c r="I29" s="63" t="n">
        <f aca="false">INDEX(Arch!$C$8:$E$8,I$7)</f>
        <v>43</v>
      </c>
      <c r="J29" s="63" t="n">
        <f aca="false">INDEX(Arch!$C$8:$E$8,J$7)</f>
        <v>61</v>
      </c>
      <c r="K29" s="63" t="n">
        <f aca="false">INDEX(Arch!$C$8:$E$8,K$7)</f>
        <v>100</v>
      </c>
      <c r="L29" s="63" t="n">
        <f aca="false">INDEX(Arch!$C$8:$E$8,L$7)</f>
        <v>43</v>
      </c>
      <c r="M29" s="63" t="n">
        <f aca="false">INDEX(Arch!$C$8:$E$8,M$7)</f>
        <v>61</v>
      </c>
      <c r="N29" s="63" t="n">
        <f aca="false">INDEX(Arch!$C$8:$E$8,N$7)</f>
        <v>100</v>
      </c>
      <c r="O29" s="63" t="n">
        <f aca="false">INDEX(Arch!$C$8:$E$8,O$7)</f>
        <v>43</v>
      </c>
      <c r="P29" s="63" t="n">
        <f aca="false">INDEX(Arch!$C$8:$E$8,P$7)</f>
        <v>61</v>
      </c>
      <c r="Q29" s="63" t="n">
        <f aca="false">INDEX(Arch!$C$8:$E$8,Q$7)</f>
        <v>100</v>
      </c>
      <c r="R29" s="63" t="n">
        <f aca="false">INDEX(Arch!$C$8:$E$8,R$7)</f>
        <v>61</v>
      </c>
      <c r="S29" s="63" t="n">
        <f aca="false">INDEX(Arch!$C$8:$E$8,S$7)</f>
        <v>100</v>
      </c>
    </row>
    <row r="30" customFormat="false" ht="15" hidden="false" customHeight="false" outlineLevel="0" collapsed="false">
      <c r="A30" s="62" t="s">
        <v>295</v>
      </c>
      <c r="B30" s="61"/>
      <c r="C30" s="63" t="n">
        <f aca="false">INDEX(Arch!$C$9:$E$9,C$7)</f>
        <v>4096</v>
      </c>
      <c r="D30" s="63" t="n">
        <f aca="false">INDEX(Arch!$C$9:$E$9,D$7)</f>
        <v>7168</v>
      </c>
      <c r="E30" s="63" t="n">
        <f aca="false">INDEX(Arch!$C$9:$E$9,E$7)</f>
        <v>12288</v>
      </c>
      <c r="F30" s="63" t="n">
        <f aca="false">INDEX(Arch!$C$9:$E$9,F$7)</f>
        <v>4096</v>
      </c>
      <c r="G30" s="63" t="n">
        <f aca="false">INDEX(Arch!$C$9:$E$9,G$7)</f>
        <v>7168</v>
      </c>
      <c r="H30" s="63" t="n">
        <f aca="false">INDEX(Arch!$C$9:$E$9,H$7)</f>
        <v>12288</v>
      </c>
      <c r="I30" s="63" t="n">
        <f aca="false">INDEX(Arch!$C$9:$E$9,I$7)</f>
        <v>4096</v>
      </c>
      <c r="J30" s="63" t="n">
        <f aca="false">INDEX(Arch!$C$9:$E$9,J$7)</f>
        <v>7168</v>
      </c>
      <c r="K30" s="63" t="n">
        <f aca="false">INDEX(Arch!$C$9:$E$9,K$7)</f>
        <v>12288</v>
      </c>
      <c r="L30" s="63" t="n">
        <f aca="false">INDEX(Arch!$C$9:$E$9,L$7)</f>
        <v>4096</v>
      </c>
      <c r="M30" s="63" t="n">
        <f aca="false">INDEX(Arch!$C$9:$E$9,M$7)</f>
        <v>7168</v>
      </c>
      <c r="N30" s="63" t="n">
        <f aca="false">INDEX(Arch!$C$9:$E$9,N$7)</f>
        <v>12288</v>
      </c>
      <c r="O30" s="63" t="n">
        <f aca="false">INDEX(Arch!$C$9:$E$9,O$7)</f>
        <v>4096</v>
      </c>
      <c r="P30" s="63" t="n">
        <f aca="false">INDEX(Arch!$C$9:$E$9,P$7)</f>
        <v>7168</v>
      </c>
      <c r="Q30" s="63" t="n">
        <f aca="false">INDEX(Arch!$C$9:$E$9,Q$7)</f>
        <v>12288</v>
      </c>
      <c r="R30" s="63" t="n">
        <f aca="false">INDEX(Arch!$C$9:$E$9,R$7)</f>
        <v>7168</v>
      </c>
      <c r="S30" s="63" t="n">
        <f aca="false">INDEX(Arch!$C$9:$E$9,S$7)</f>
        <v>12288</v>
      </c>
    </row>
    <row r="31" customFormat="false" ht="15" hidden="false" customHeight="false" outlineLevel="0" collapsed="false">
      <c r="A31" s="61" t="s">
        <v>877</v>
      </c>
      <c r="B31" s="61"/>
      <c r="C31" s="63" t="n">
        <f aca="false">INDEX(Arch!$C$13:$E$13,C$7)</f>
        <v>6</v>
      </c>
      <c r="D31" s="63" t="n">
        <f aca="false">INDEX(Arch!$C$13:$E$13,D$7)</f>
        <v>6</v>
      </c>
      <c r="E31" s="63" t="n">
        <f aca="false">INDEX(Arch!$C$13:$E$13,E$7)</f>
        <v>16</v>
      </c>
      <c r="F31" s="63" t="n">
        <f aca="false">INDEX(Arch!$C$13:$E$13,F$7)</f>
        <v>6</v>
      </c>
      <c r="G31" s="63" t="n">
        <f aca="false">INDEX(Arch!$C$13:$E$13,G$7)</f>
        <v>6</v>
      </c>
      <c r="H31" s="63" t="n">
        <f aca="false">INDEX(Arch!$C$13:$E$13,H$7)</f>
        <v>16</v>
      </c>
      <c r="I31" s="63" t="n">
        <f aca="false">INDEX(Arch!$C$13:$E$13,I$7)</f>
        <v>6</v>
      </c>
      <c r="J31" s="63" t="n">
        <f aca="false">INDEX(Arch!$C$13:$E$13,J$7)</f>
        <v>6</v>
      </c>
      <c r="K31" s="63" t="n">
        <f aca="false">INDEX(Arch!$C$13:$E$13,K$7)</f>
        <v>16</v>
      </c>
      <c r="L31" s="63" t="n">
        <f aca="false">INDEX(Arch!$C$13:$E$13,L$7)</f>
        <v>6</v>
      </c>
      <c r="M31" s="63" t="n">
        <f aca="false">INDEX(Arch!$C$13:$E$13,M$7)</f>
        <v>6</v>
      </c>
      <c r="N31" s="63" t="n">
        <f aca="false">INDEX(Arch!$C$13:$E$13,N$7)</f>
        <v>16</v>
      </c>
      <c r="O31" s="63" t="n">
        <f aca="false">INDEX(Arch!$C$13:$E$13,O$7)</f>
        <v>6</v>
      </c>
      <c r="P31" s="63" t="n">
        <f aca="false">INDEX(Arch!$C$13:$E$13,P$7)</f>
        <v>6</v>
      </c>
      <c r="Q31" s="63" t="n">
        <f aca="false">INDEX(Arch!$C$13:$E$13,Q$7)</f>
        <v>16</v>
      </c>
      <c r="R31" s="63" t="n">
        <f aca="false">INDEX(Arch!$C$13:$E$13,R$7)</f>
        <v>6</v>
      </c>
      <c r="S31" s="63" t="n">
        <f aca="false">INDEX(Arch!$C$13:$E$13,S$7)</f>
        <v>16</v>
      </c>
    </row>
    <row r="32" customFormat="false" ht="15" hidden="false" customHeight="false" outlineLevel="0" collapsed="false">
      <c r="A32" s="61" t="s">
        <v>521</v>
      </c>
      <c r="B32" s="62" t="s">
        <v>287</v>
      </c>
      <c r="C32" s="98" t="n">
        <f aca="false">INDEX(Arch!$C$28:$E$28,C$7)*INDEX(ARCH_ScaleGen,1,C$6)</f>
        <v>5.412</v>
      </c>
      <c r="D32" s="98" t="n">
        <f aca="false">INDEX(Arch!$C$28:$E$28,D$7)*INDEX(ARCH_ScaleGen,1,D$6)</f>
        <v>20.2777777777778</v>
      </c>
      <c r="E32" s="98" t="n">
        <f aca="false">INDEX(Arch!$C$28:$E$28,E$7)*INDEX(ARCH_ScaleGen,1,E$6)</f>
        <v>49.0725806451613</v>
      </c>
      <c r="F32" s="98" t="n">
        <f aca="false">INDEX(Arch!$C$28:$E$28,F$7)*INDEX(ARCH_ScaleGen,1,F$6)</f>
        <v>5.412</v>
      </c>
      <c r="G32" s="98" t="n">
        <f aca="false">INDEX(Arch!$C$28:$E$28,G$7)*INDEX(ARCH_ScaleGen,1,G$6)</f>
        <v>20.2777777777778</v>
      </c>
      <c r="H32" s="98" t="n">
        <f aca="false">INDEX(Arch!$C$28:$E$28,H$7)*INDEX(ARCH_ScaleGen,1,H$6)</f>
        <v>49.0725806451613</v>
      </c>
      <c r="I32" s="98" t="n">
        <f aca="false">INDEX(Arch!$C$28:$E$28,I$7)*INDEX(ARCH_ScaleGen,1,I$6)</f>
        <v>5.412</v>
      </c>
      <c r="J32" s="98" t="n">
        <f aca="false">INDEX(Arch!$C$28:$E$28,J$7)*INDEX(ARCH_ScaleGen,1,J$6)</f>
        <v>20.2777777777778</v>
      </c>
      <c r="K32" s="98" t="n">
        <f aca="false">INDEX(Arch!$C$28:$E$28,K$7)*INDEX(ARCH_ScaleGen,1,K$6)</f>
        <v>49.0725806451613</v>
      </c>
      <c r="L32" s="98" t="n">
        <f aca="false">INDEX(Arch!$C$28:$E$28,L$7)*INDEX(ARCH_ScaleGen,1,L$6)</f>
        <v>5.412</v>
      </c>
      <c r="M32" s="98" t="n">
        <f aca="false">INDEX(Arch!$C$28:$E$28,M$7)*INDEX(ARCH_ScaleGen,1,M$6)</f>
        <v>20.2777777777778</v>
      </c>
      <c r="N32" s="98" t="n">
        <f aca="false">INDEX(Arch!$C$28:$E$28,N$7)*INDEX(ARCH_ScaleGen,1,N$6)</f>
        <v>49.0725806451613</v>
      </c>
      <c r="O32" s="98" t="n">
        <f aca="false">INDEX(Arch!$C$28:$E$28,O$7)*INDEX(ARCH_ScaleGen,1,O$6)</f>
        <v>5.412</v>
      </c>
      <c r="P32" s="98" t="n">
        <f aca="false">INDEX(Arch!$C$28:$E$28,P$7)*INDEX(ARCH_ScaleGen,1,P$6)</f>
        <v>20.2777777777778</v>
      </c>
      <c r="Q32" s="98" t="n">
        <f aca="false">INDEX(Arch!$C$28:$E$28,Q$7)*INDEX(ARCH_ScaleGen,1,Q$6)</f>
        <v>49.0725806451613</v>
      </c>
      <c r="R32" s="98" t="n">
        <f aca="false">INDEX(Arch!$C$28:$E$28,R$7)*INDEX(ARCH_ScaleGen,1,R$6)</f>
        <v>20.2777777777778</v>
      </c>
      <c r="S32" s="98" t="n">
        <f aca="false">INDEX(Arch!$C$28:$E$28,S$7)*INDEX(ARCH_ScaleGen,1,S$6)</f>
        <v>49.0725806451613</v>
      </c>
    </row>
    <row r="33" customFormat="false" ht="15" hidden="false" customHeight="false" outlineLevel="0" collapsed="false">
      <c r="A33" s="61" t="s">
        <v>328</v>
      </c>
      <c r="B33" s="62" t="s">
        <v>287</v>
      </c>
      <c r="C33" s="63" t="n">
        <f aca="false">INDEX(Arch!$C$29:$E$29,C$7)*INDEX(ARCH_ScaleGen,1,C$6)</f>
        <v>278.588</v>
      </c>
      <c r="D33" s="63" t="n">
        <f aca="false">INDEX(Arch!$C$29:$E$29,D$7)*INDEX(ARCH_ScaleGen,1,D$6)</f>
        <v>1579.72222222222</v>
      </c>
      <c r="E33" s="63" t="n">
        <f aca="false">INDEX(Arch!$C$29:$E$29,E$7)*INDEX(ARCH_ScaleGen,1,E$6)</f>
        <v>3950.92741935484</v>
      </c>
      <c r="F33" s="63" t="n">
        <f aca="false">INDEX(Arch!$C$29:$E$29,F$7)*INDEX(ARCH_ScaleGen,1,F$6)</f>
        <v>278.588</v>
      </c>
      <c r="G33" s="63" t="n">
        <f aca="false">INDEX(Arch!$C$29:$E$29,G$7)*INDEX(ARCH_ScaleGen,1,G$6)</f>
        <v>1579.72222222222</v>
      </c>
      <c r="H33" s="63" t="n">
        <f aca="false">INDEX(Arch!$C$29:$E$29,H$7)*INDEX(ARCH_ScaleGen,1,H$6)</f>
        <v>3950.92741935484</v>
      </c>
      <c r="I33" s="63" t="n">
        <f aca="false">INDEX(Arch!$C$29:$E$29,I$7)*INDEX(ARCH_ScaleGen,1,I$6)</f>
        <v>278.588</v>
      </c>
      <c r="J33" s="63" t="n">
        <f aca="false">INDEX(Arch!$C$29:$E$29,J$7)*INDEX(ARCH_ScaleGen,1,J$6)</f>
        <v>1579.72222222222</v>
      </c>
      <c r="K33" s="63" t="n">
        <f aca="false">INDEX(Arch!$C$29:$E$29,K$7)*INDEX(ARCH_ScaleGen,1,K$6)</f>
        <v>3950.92741935484</v>
      </c>
      <c r="L33" s="63" t="n">
        <f aca="false">INDEX(Arch!$C$29:$E$29,L$7)*INDEX(ARCH_ScaleGen,1,L$6)</f>
        <v>278.588</v>
      </c>
      <c r="M33" s="63" t="n">
        <f aca="false">INDEX(Arch!$C$29:$E$29,M$7)*INDEX(ARCH_ScaleGen,1,M$6)</f>
        <v>1579.72222222222</v>
      </c>
      <c r="N33" s="63" t="n">
        <f aca="false">INDEX(Arch!$C$29:$E$29,N$7)*INDEX(ARCH_ScaleGen,1,N$6)</f>
        <v>3950.92741935484</v>
      </c>
      <c r="O33" s="63" t="n">
        <f aca="false">INDEX(Arch!$C$29:$E$29,O$7)*INDEX(ARCH_ScaleGen,1,O$6)</f>
        <v>278.588</v>
      </c>
      <c r="P33" s="63" t="n">
        <f aca="false">INDEX(Arch!$C$29:$E$29,P$7)*INDEX(ARCH_ScaleGen,1,P$6)</f>
        <v>1579.72222222222</v>
      </c>
      <c r="Q33" s="63" t="n">
        <f aca="false">INDEX(Arch!$C$29:$E$29,Q$7)*INDEX(ARCH_ScaleGen,1,Q$6)</f>
        <v>3950.92741935484</v>
      </c>
      <c r="R33" s="63" t="n">
        <f aca="false">INDEX(Arch!$C$29:$E$29,R$7)*INDEX(ARCH_ScaleGen,1,R$6)</f>
        <v>1579.72222222222</v>
      </c>
      <c r="S33" s="63" t="n">
        <f aca="false">INDEX(Arch!$C$29:$E$29,S$7)*INDEX(ARCH_ScaleGen,1,S$6)</f>
        <v>3950.92741935484</v>
      </c>
    </row>
    <row r="34" customFormat="false" ht="15" hidden="false" customHeight="false" outlineLevel="0" collapsed="false">
      <c r="A34" s="62" t="s">
        <v>878</v>
      </c>
      <c r="B34" s="62" t="s">
        <v>287</v>
      </c>
      <c r="C34" s="63" t="n">
        <f aca="false">INDEX(Arch!$C$25:$E$25,C$7)*C11</f>
        <v>2795</v>
      </c>
      <c r="D34" s="63" t="n">
        <f aca="false">INDEX(Arch!$C$25:$E$25,D$7)*D11</f>
        <v>3965</v>
      </c>
      <c r="E34" s="63" t="n">
        <f aca="false">INDEX(Arch!$C$25:$E$25,E$7)*E11</f>
        <v>57600</v>
      </c>
      <c r="F34" s="63" t="n">
        <f aca="false">INDEX(Arch!$C$25:$E$25,F$7)*F11</f>
        <v>2795</v>
      </c>
      <c r="G34" s="63" t="n">
        <f aca="false">INDEX(Arch!$C$25:$E$25,G$7)*G11</f>
        <v>3965</v>
      </c>
      <c r="H34" s="63" t="n">
        <f aca="false">INDEX(Arch!$C$25:$E$25,H$7)*H11</f>
        <v>57600</v>
      </c>
      <c r="I34" s="63" t="n">
        <f aca="false">INDEX(Arch!$C$25:$E$25,I$7)*I11</f>
        <v>2795</v>
      </c>
      <c r="J34" s="63" t="n">
        <f aca="false">INDEX(Arch!$C$25:$E$25,J$7)*J11</f>
        <v>3965</v>
      </c>
      <c r="K34" s="63" t="n">
        <f aca="false">INDEX(Arch!$C$25:$E$25,K$7)*K11</f>
        <v>57600</v>
      </c>
      <c r="L34" s="63" t="n">
        <f aca="false">INDEX(Arch!$C$25:$E$25,L$7)*L11</f>
        <v>2795</v>
      </c>
      <c r="M34" s="63" t="n">
        <f aca="false">INDEX(Arch!$C$25:$E$25,M$7)*M11</f>
        <v>3965</v>
      </c>
      <c r="N34" s="63" t="n">
        <f aca="false">INDEX(Arch!$C$25:$E$25,N$7)*N11</f>
        <v>57600</v>
      </c>
      <c r="O34" s="63" t="n">
        <f aca="false">INDEX(Arch!$C$25:$E$25,O$7)*O11</f>
        <v>2795</v>
      </c>
      <c r="P34" s="63" t="n">
        <f aca="false">INDEX(Arch!$C$25:$E$25,P$7)*P11</f>
        <v>3965</v>
      </c>
      <c r="Q34" s="63" t="n">
        <f aca="false">INDEX(Arch!$C$25:$E$25,Q$7)*Q11</f>
        <v>57600</v>
      </c>
      <c r="R34" s="63" t="n">
        <f aca="false">INDEX(Arch!$C$25:$E$25,R$7)*R11</f>
        <v>3965</v>
      </c>
      <c r="S34" s="63" t="n">
        <f aca="false">INDEX(Arch!$C$25:$E$25,S$7)*S11</f>
        <v>57600</v>
      </c>
    </row>
    <row r="35" customFormat="false" ht="15" hidden="false" customHeight="false" outlineLevel="0" collapsed="false">
      <c r="A35" s="61" t="s">
        <v>526</v>
      </c>
      <c r="B35" s="62" t="s">
        <v>330</v>
      </c>
      <c r="C35" s="63" t="n">
        <f aca="false">INDEX(Arch!$C$30:$E$30,C$7)</f>
        <v>5636096</v>
      </c>
      <c r="D35" s="63" t="n">
        <f aca="false">INDEX(Arch!$C$30:$E$30,D$7)</f>
        <v>15990784</v>
      </c>
      <c r="E35" s="63" t="n">
        <f aca="false">INDEX(Arch!$C$30:$E$30,E$7)</f>
        <v>4915200</v>
      </c>
      <c r="F35" s="63" t="n">
        <f aca="false">INDEX(Arch!$C$30:$E$30,F$7)</f>
        <v>5636096</v>
      </c>
      <c r="G35" s="63" t="n">
        <f aca="false">INDEX(Arch!$C$30:$E$30,G$7)</f>
        <v>15990784</v>
      </c>
      <c r="H35" s="63" t="n">
        <f aca="false">INDEX(Arch!$C$30:$E$30,H$7)</f>
        <v>4915200</v>
      </c>
      <c r="I35" s="63" t="n">
        <f aca="false">INDEX(Arch!$C$30:$E$30,I$7)</f>
        <v>5636096</v>
      </c>
      <c r="J35" s="63" t="n">
        <f aca="false">INDEX(Arch!$C$30:$E$30,J$7)</f>
        <v>15990784</v>
      </c>
      <c r="K35" s="63" t="n">
        <f aca="false">INDEX(Arch!$C$30:$E$30,K$7)</f>
        <v>4915200</v>
      </c>
      <c r="L35" s="63" t="n">
        <f aca="false">INDEX(Arch!$C$30:$E$30,L$7)</f>
        <v>5636096</v>
      </c>
      <c r="M35" s="63" t="n">
        <f aca="false">INDEX(Arch!$C$30:$E$30,M$7)</f>
        <v>15990784</v>
      </c>
      <c r="N35" s="63" t="n">
        <f aca="false">INDEX(Arch!$C$30:$E$30,N$7)</f>
        <v>4915200</v>
      </c>
      <c r="O35" s="63" t="n">
        <f aca="false">INDEX(Arch!$C$30:$E$30,O$7)</f>
        <v>5636096</v>
      </c>
      <c r="P35" s="63" t="n">
        <f aca="false">INDEX(Arch!$C$30:$E$30,P$7)</f>
        <v>15990784</v>
      </c>
      <c r="Q35" s="63" t="n">
        <f aca="false">INDEX(Arch!$C$30:$E$30,Q$7)</f>
        <v>4915200</v>
      </c>
      <c r="R35" s="63" t="n">
        <f aca="false">INDEX(Arch!$C$30:$E$30,R$7)</f>
        <v>15990784</v>
      </c>
      <c r="S35" s="63" t="n">
        <f aca="false">INDEX(Arch!$C$30:$E$30,S$7)</f>
        <v>4915200</v>
      </c>
    </row>
    <row r="36" customFormat="false" ht="15" hidden="false" customHeight="false" outlineLevel="0" collapsed="false">
      <c r="A36" s="61" t="s">
        <v>305</v>
      </c>
      <c r="B36" s="62" t="s">
        <v>113</v>
      </c>
      <c r="C36" s="65" t="n">
        <f aca="false">INDEX(Arch!$C$16:$E$16,C$7)</f>
        <v>0.512</v>
      </c>
      <c r="D36" s="65" t="n">
        <f aca="false">INDEX(Arch!$C$16:$E$16,D$7)</f>
        <v>0.492</v>
      </c>
      <c r="E36" s="65" t="n">
        <f aca="false">INDEX(Arch!$C$16:$E$16,E$7)</f>
        <v>1</v>
      </c>
      <c r="F36" s="65" t="n">
        <f aca="false">INDEX(Arch!$C$16:$E$16,F$7)</f>
        <v>0.512</v>
      </c>
      <c r="G36" s="65" t="n">
        <f aca="false">INDEX(Arch!$C$16:$E$16,G$7)</f>
        <v>0.492</v>
      </c>
      <c r="H36" s="65" t="n">
        <f aca="false">INDEX(Arch!$C$16:$E$16,H$7)</f>
        <v>1</v>
      </c>
      <c r="I36" s="65" t="n">
        <f aca="false">INDEX(Arch!$C$16:$E$16,I$7)</f>
        <v>0.512</v>
      </c>
      <c r="J36" s="65" t="n">
        <f aca="false">INDEX(Arch!$C$16:$E$16,J$7)</f>
        <v>0.492</v>
      </c>
      <c r="K36" s="65" t="n">
        <f aca="false">INDEX(Arch!$C$16:$E$16,K$7)</f>
        <v>1</v>
      </c>
      <c r="L36" s="65" t="n">
        <f aca="false">INDEX(Arch!$C$16:$E$16,L$7)</f>
        <v>0.512</v>
      </c>
      <c r="M36" s="65" t="n">
        <f aca="false">INDEX(Arch!$C$16:$E$16,M$7)</f>
        <v>0.492</v>
      </c>
      <c r="N36" s="65" t="n">
        <f aca="false">INDEX(Arch!$C$16:$E$16,N$7)</f>
        <v>1</v>
      </c>
      <c r="O36" s="65" t="n">
        <f aca="false">INDEX(Arch!$C$16:$E$16,O$7)</f>
        <v>0.512</v>
      </c>
      <c r="P36" s="65" t="n">
        <f aca="false">INDEX(Arch!$C$16:$E$16,P$7)</f>
        <v>0.492</v>
      </c>
      <c r="Q36" s="65" t="n">
        <f aca="false">INDEX(Arch!$C$16:$E$16,Q$7)</f>
        <v>1</v>
      </c>
      <c r="R36" s="65" t="n">
        <f aca="false">INDEX(Arch!$C$16:$E$16,R$7)</f>
        <v>0.492</v>
      </c>
      <c r="S36" s="65" t="n">
        <f aca="false">INDEX(Arch!$C$16:$E$16,S$7)</f>
        <v>1</v>
      </c>
    </row>
    <row r="37" customFormat="false" ht="15" hidden="false" customHeight="false" outlineLevel="0" collapsed="false">
      <c r="A37" s="61" t="s">
        <v>879</v>
      </c>
      <c r="B37" s="62" t="s">
        <v>308</v>
      </c>
      <c r="C37" s="63" t="n">
        <f aca="false">INDEX(Arch!$C$17:$E$17,C$7)</f>
        <v>4224</v>
      </c>
      <c r="D37" s="63" t="n">
        <f aca="false">INDEX(Arch!$C$17:$E$17,D$7)</f>
        <v>4224</v>
      </c>
      <c r="E37" s="63" t="n">
        <f aca="false">INDEX(Arch!$C$17:$E$17,E$7)</f>
        <v>0</v>
      </c>
      <c r="F37" s="63" t="n">
        <f aca="false">INDEX(Arch!$C$17:$E$17,F$7)</f>
        <v>4224</v>
      </c>
      <c r="G37" s="63" t="n">
        <f aca="false">INDEX(Arch!$C$17:$E$17,G$7)</f>
        <v>4224</v>
      </c>
      <c r="H37" s="63" t="n">
        <f aca="false">INDEX(Arch!$C$17:$E$17,H$7)</f>
        <v>0</v>
      </c>
      <c r="I37" s="63" t="n">
        <f aca="false">INDEX(Arch!$C$17:$E$17,I$7)</f>
        <v>4224</v>
      </c>
      <c r="J37" s="63" t="n">
        <f aca="false">INDEX(Arch!$C$17:$E$17,J$7)</f>
        <v>4224</v>
      </c>
      <c r="K37" s="63" t="n">
        <f aca="false">INDEX(Arch!$C$17:$E$17,K$7)</f>
        <v>0</v>
      </c>
      <c r="L37" s="63" t="n">
        <f aca="false">INDEX(Arch!$C$17:$E$17,L$7)</f>
        <v>4224</v>
      </c>
      <c r="M37" s="63" t="n">
        <f aca="false">INDEX(Arch!$C$17:$E$17,M$7)</f>
        <v>4224</v>
      </c>
      <c r="N37" s="63" t="n">
        <f aca="false">INDEX(Arch!$C$17:$E$17,N$7)</f>
        <v>0</v>
      </c>
      <c r="O37" s="63" t="n">
        <f aca="false">INDEX(Arch!$C$17:$E$17,O$7)</f>
        <v>4224</v>
      </c>
      <c r="P37" s="63" t="n">
        <f aca="false">INDEX(Arch!$C$17:$E$17,P$7)</f>
        <v>4224</v>
      </c>
      <c r="Q37" s="63" t="n">
        <f aca="false">INDEX(Arch!$C$17:$E$17,Q$7)</f>
        <v>0</v>
      </c>
      <c r="R37" s="63" t="n">
        <f aca="false">INDEX(Arch!$C$17:$E$17,R$7)</f>
        <v>4224</v>
      </c>
      <c r="S37" s="63" t="n">
        <f aca="false">INDEX(Arch!$C$17:$E$17,S$7)</f>
        <v>0</v>
      </c>
    </row>
    <row r="38" customFormat="false" ht="15" hidden="false" customHeight="false" outlineLevel="0" collapsed="false">
      <c r="A38" s="61" t="s">
        <v>310</v>
      </c>
      <c r="B38" s="62" t="s">
        <v>118</v>
      </c>
      <c r="C38" s="63" t="n">
        <f aca="false">INDEX(Arch!$C$18:$E$18,C$7)</f>
        <v>128</v>
      </c>
      <c r="D38" s="63" t="n">
        <f aca="false">INDEX(Arch!$C$18:$E$18,D$7)</f>
        <v>128</v>
      </c>
      <c r="E38" s="63" t="n">
        <f aca="false">INDEX(Arch!$C$18:$E$18,E$7)</f>
        <v>1</v>
      </c>
      <c r="F38" s="63" t="n">
        <f aca="false">INDEX(Arch!$C$18:$E$18,F$7)</f>
        <v>128</v>
      </c>
      <c r="G38" s="63" t="n">
        <f aca="false">INDEX(Arch!$C$18:$E$18,G$7)</f>
        <v>128</v>
      </c>
      <c r="H38" s="63" t="n">
        <f aca="false">INDEX(Arch!$C$18:$E$18,H$7)</f>
        <v>1</v>
      </c>
      <c r="I38" s="63" t="n">
        <f aca="false">INDEX(Arch!$C$18:$E$18,I$7)</f>
        <v>128</v>
      </c>
      <c r="J38" s="63" t="n">
        <f aca="false">INDEX(Arch!$C$18:$E$18,J$7)</f>
        <v>128</v>
      </c>
      <c r="K38" s="63" t="n">
        <f aca="false">INDEX(Arch!$C$18:$E$18,K$7)</f>
        <v>1</v>
      </c>
      <c r="L38" s="63" t="n">
        <f aca="false">INDEX(Arch!$C$18:$E$18,L$7)</f>
        <v>128</v>
      </c>
      <c r="M38" s="63" t="n">
        <f aca="false">INDEX(Arch!$C$18:$E$18,M$7)</f>
        <v>128</v>
      </c>
      <c r="N38" s="63" t="n">
        <f aca="false">INDEX(Arch!$C$18:$E$18,N$7)</f>
        <v>1</v>
      </c>
      <c r="O38" s="63" t="n">
        <f aca="false">INDEX(Arch!$C$18:$E$18,O$7)</f>
        <v>128</v>
      </c>
      <c r="P38" s="63" t="n">
        <f aca="false">INDEX(Arch!$C$18:$E$18,P$7)</f>
        <v>128</v>
      </c>
      <c r="Q38" s="63" t="n">
        <f aca="false">INDEX(Arch!$C$18:$E$18,Q$7)</f>
        <v>1</v>
      </c>
      <c r="R38" s="63" t="n">
        <f aca="false">INDEX(Arch!$C$18:$E$18,R$7)</f>
        <v>128</v>
      </c>
      <c r="S38" s="63" t="n">
        <f aca="false">INDEX(Arch!$C$18:$E$18,S$7)</f>
        <v>1</v>
      </c>
    </row>
    <row r="39" customFormat="false" ht="15" hidden="false" customHeight="false" outlineLevel="0" collapsed="false">
      <c r="A39" s="61" t="s">
        <v>312</v>
      </c>
      <c r="B39" s="62" t="s">
        <v>308</v>
      </c>
      <c r="C39" s="63" t="n">
        <f aca="false">INDEX(Arch!$C$19:$E$19,C$7)</f>
        <v>128</v>
      </c>
      <c r="D39" s="63" t="n">
        <f aca="false">INDEX(Arch!$C$19:$E$19,D$7)</f>
        <v>128</v>
      </c>
      <c r="E39" s="63" t="n">
        <f aca="false">INDEX(Arch!$C$19:$E$19,E$7)</f>
        <v>0</v>
      </c>
      <c r="F39" s="63" t="n">
        <f aca="false">INDEX(Arch!$C$19:$E$19,F$7)</f>
        <v>128</v>
      </c>
      <c r="G39" s="63" t="n">
        <f aca="false">INDEX(Arch!$C$19:$E$19,G$7)</f>
        <v>128</v>
      </c>
      <c r="H39" s="63" t="n">
        <f aca="false">INDEX(Arch!$C$19:$E$19,H$7)</f>
        <v>0</v>
      </c>
      <c r="I39" s="63" t="n">
        <f aca="false">INDEX(Arch!$C$19:$E$19,I$7)</f>
        <v>128</v>
      </c>
      <c r="J39" s="63" t="n">
        <f aca="false">INDEX(Arch!$C$19:$E$19,J$7)</f>
        <v>128</v>
      </c>
      <c r="K39" s="63" t="n">
        <f aca="false">INDEX(Arch!$C$19:$E$19,K$7)</f>
        <v>0</v>
      </c>
      <c r="L39" s="63" t="n">
        <f aca="false">INDEX(Arch!$C$19:$E$19,L$7)</f>
        <v>128</v>
      </c>
      <c r="M39" s="63" t="n">
        <f aca="false">INDEX(Arch!$C$19:$E$19,M$7)</f>
        <v>128</v>
      </c>
      <c r="N39" s="63" t="n">
        <f aca="false">INDEX(Arch!$C$19:$E$19,N$7)</f>
        <v>0</v>
      </c>
      <c r="O39" s="63" t="n">
        <f aca="false">INDEX(Arch!$C$19:$E$19,O$7)</f>
        <v>128</v>
      </c>
      <c r="P39" s="63" t="n">
        <f aca="false">INDEX(Arch!$C$19:$E$19,P$7)</f>
        <v>128</v>
      </c>
      <c r="Q39" s="63" t="n">
        <f aca="false">INDEX(Arch!$C$19:$E$19,Q$7)</f>
        <v>0</v>
      </c>
      <c r="R39" s="63" t="n">
        <f aca="false">INDEX(Arch!$C$19:$E$19,R$7)</f>
        <v>128</v>
      </c>
      <c r="S39" s="63" t="n">
        <f aca="false">INDEX(Arch!$C$19:$E$19,S$7)</f>
        <v>0</v>
      </c>
    </row>
    <row r="40" customFormat="false" ht="15" hidden="false" customHeight="false" outlineLevel="0" collapsed="false">
      <c r="A40" s="76" t="s">
        <v>880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</row>
    <row r="41" customFormat="false" ht="15" hidden="false" customHeight="false" outlineLevel="0" collapsed="false">
      <c r="A41" s="62" t="s">
        <v>388</v>
      </c>
      <c r="B41" s="62" t="s">
        <v>389</v>
      </c>
      <c r="C41" s="63" t="n">
        <f aca="false">INDEX(Train_In!$C$31:$E$31,C$7)</f>
        <v>20</v>
      </c>
      <c r="D41" s="63" t="n">
        <f aca="false">INDEX(Train_In!$C$31:$E$31,D$7)</f>
        <v>20</v>
      </c>
      <c r="E41" s="63" t="n">
        <f aca="false">INDEX(Train_In!$C$31:$E$31,E$7)</f>
        <v>20</v>
      </c>
      <c r="F41" s="63" t="n">
        <f aca="false">INDEX(Train_In!$C$31:$E$31,F$7)</f>
        <v>20</v>
      </c>
      <c r="G41" s="63" t="n">
        <f aca="false">INDEX(Train_In!$C$31:$E$31,G$7)</f>
        <v>20</v>
      </c>
      <c r="H41" s="63" t="n">
        <f aca="false">INDEX(Train_In!$C$31:$E$31,H$7)</f>
        <v>20</v>
      </c>
      <c r="I41" s="63" t="n">
        <f aca="false">INDEX(Train_In!$C$31:$E$31,I$7)</f>
        <v>20</v>
      </c>
      <c r="J41" s="63" t="n">
        <f aca="false">INDEX(Train_In!$C$31:$E$31,J$7)</f>
        <v>20</v>
      </c>
      <c r="K41" s="63" t="n">
        <f aca="false">INDEX(Train_In!$C$31:$E$31,K$7)</f>
        <v>20</v>
      </c>
      <c r="L41" s="63" t="n">
        <f aca="false">INDEX(Train_In!$C$31:$E$31,L$7)</f>
        <v>20</v>
      </c>
      <c r="M41" s="63" t="n">
        <f aca="false">INDEX(Train_In!$C$31:$E$31,M$7)</f>
        <v>20</v>
      </c>
      <c r="N41" s="63" t="n">
        <f aca="false">INDEX(Train_In!$C$31:$E$31,N$7)</f>
        <v>20</v>
      </c>
      <c r="O41" s="63" t="n">
        <f aca="false">INDEX(Train_In!$C$31:$E$31,O$7)</f>
        <v>20</v>
      </c>
      <c r="P41" s="63" t="n">
        <f aca="false">INDEX(Train_In!$C$31:$E$31,P$7)</f>
        <v>20</v>
      </c>
      <c r="Q41" s="63" t="n">
        <f aca="false">INDEX(Train_In!$C$31:$E$31,Q$7)</f>
        <v>20</v>
      </c>
      <c r="R41" s="63" t="n">
        <f aca="false">INDEX(Train_In!$C$31:$E$31,R$7)</f>
        <v>20</v>
      </c>
      <c r="S41" s="63" t="n">
        <f aca="false">INDEX(Train_In!$C$31:$E$31,S$7)</f>
        <v>20</v>
      </c>
    </row>
    <row r="42" customFormat="false" ht="15" hidden="false" customHeight="false" outlineLevel="0" collapsed="false">
      <c r="A42" s="62" t="s">
        <v>881</v>
      </c>
      <c r="B42" s="62" t="s">
        <v>392</v>
      </c>
      <c r="C42" s="111" t="n">
        <f aca="false">INDEX(Serving!$C$22:$E$22,C$7)</f>
        <v>2</v>
      </c>
      <c r="D42" s="111" t="n">
        <f aca="false">INDEX(Serving!$C$22:$E$22,D$7)</f>
        <v>3</v>
      </c>
      <c r="E42" s="111" t="n">
        <f aca="false">INDEX(Serving!$C$22:$E$22,E$7)</f>
        <v>5</v>
      </c>
      <c r="F42" s="111" t="n">
        <f aca="false">INDEX(Serving!$C$22:$E$22,F$7)</f>
        <v>2</v>
      </c>
      <c r="G42" s="111" t="n">
        <f aca="false">INDEX(Serving!$C$22:$E$22,G$7)</f>
        <v>3</v>
      </c>
      <c r="H42" s="111" t="n">
        <f aca="false">INDEX(Serving!$C$22:$E$22,H$7)</f>
        <v>5</v>
      </c>
      <c r="I42" s="111" t="n">
        <f aca="false">INDEX(Serving!$C$22:$E$22,I$7)</f>
        <v>2</v>
      </c>
      <c r="J42" s="111" t="n">
        <f aca="false">INDEX(Serving!$C$22:$E$22,J$7)</f>
        <v>3</v>
      </c>
      <c r="K42" s="111" t="n">
        <f aca="false">INDEX(Serving!$C$22:$E$22,K$7)</f>
        <v>5</v>
      </c>
      <c r="L42" s="111" t="n">
        <f aca="false">INDEX(Serving!$C$22:$E$22,L$7)</f>
        <v>2</v>
      </c>
      <c r="M42" s="111" t="n">
        <f aca="false">INDEX(Serving!$C$22:$E$22,M$7)</f>
        <v>3</v>
      </c>
      <c r="N42" s="111" t="n">
        <f aca="false">INDEX(Serving!$C$22:$E$22,N$7)</f>
        <v>5</v>
      </c>
      <c r="O42" s="111" t="n">
        <f aca="false">INDEX(Serving!$C$22:$E$22,O$7)</f>
        <v>2</v>
      </c>
      <c r="P42" s="111" t="n">
        <f aca="false">INDEX(Serving!$C$22:$E$22,P$7)</f>
        <v>3</v>
      </c>
      <c r="Q42" s="111" t="n">
        <f aca="false">INDEX(Serving!$C$22:$E$22,Q$7)</f>
        <v>5</v>
      </c>
      <c r="R42" s="111" t="n">
        <f aca="false">INDEX(Serving!$C$22:$E$22,R$7)</f>
        <v>3</v>
      </c>
      <c r="S42" s="111" t="n">
        <f aca="false">INDEX(Serving!$C$22:$E$22,S$7)</f>
        <v>5</v>
      </c>
    </row>
    <row r="43" customFormat="false" ht="15" hidden="false" customHeight="false" outlineLevel="0" collapsed="false">
      <c r="A43" s="61" t="s">
        <v>882</v>
      </c>
      <c r="B43" s="62" t="s">
        <v>308</v>
      </c>
      <c r="C43" s="63" t="n">
        <f aca="false">INDEX(Train_In!$C$32:$E$32,C$7)</f>
        <v>4096</v>
      </c>
      <c r="D43" s="63" t="n">
        <f aca="false">INDEX(Train_In!$C$32:$E$32,D$7)</f>
        <v>8192</v>
      </c>
      <c r="E43" s="63" t="n">
        <f aca="false">INDEX(Train_In!$C$32:$E$32,E$7)</f>
        <v>16384</v>
      </c>
      <c r="F43" s="63" t="n">
        <f aca="false">INDEX(Train_In!$C$32:$E$32,F$7)</f>
        <v>4096</v>
      </c>
      <c r="G43" s="63" t="n">
        <f aca="false">INDEX(Train_In!$C$32:$E$32,G$7)</f>
        <v>8192</v>
      </c>
      <c r="H43" s="63" t="n">
        <f aca="false">INDEX(Train_In!$C$32:$E$32,H$7)</f>
        <v>16384</v>
      </c>
      <c r="I43" s="63" t="n">
        <f aca="false">INDEX(Train_In!$C$32:$E$32,I$7)</f>
        <v>4096</v>
      </c>
      <c r="J43" s="63" t="n">
        <f aca="false">INDEX(Train_In!$C$32:$E$32,J$7)</f>
        <v>8192</v>
      </c>
      <c r="K43" s="63" t="n">
        <f aca="false">INDEX(Train_In!$C$32:$E$32,K$7)</f>
        <v>16384</v>
      </c>
      <c r="L43" s="63" t="n">
        <f aca="false">INDEX(Train_In!$C$32:$E$32,L$7)</f>
        <v>4096</v>
      </c>
      <c r="M43" s="63" t="n">
        <f aca="false">INDEX(Train_In!$C$32:$E$32,M$7)</f>
        <v>8192</v>
      </c>
      <c r="N43" s="63" t="n">
        <f aca="false">INDEX(Train_In!$C$32:$E$32,N$7)</f>
        <v>16384</v>
      </c>
      <c r="O43" s="63" t="n">
        <f aca="false">INDEX(Train_In!$C$32:$E$32,O$7)</f>
        <v>4096</v>
      </c>
      <c r="P43" s="63" t="n">
        <f aca="false">INDEX(Train_In!$C$32:$E$32,P$7)</f>
        <v>8192</v>
      </c>
      <c r="Q43" s="63" t="n">
        <f aca="false">INDEX(Train_In!$C$32:$E$32,Q$7)</f>
        <v>16384</v>
      </c>
      <c r="R43" s="63" t="n">
        <f aca="false">INDEX(Train_In!$C$32:$E$32,R$7)</f>
        <v>8192</v>
      </c>
      <c r="S43" s="63" t="n">
        <f aca="false">INDEX(Train_In!$C$32:$E$32,S$7)</f>
        <v>16384</v>
      </c>
    </row>
    <row r="44" customFormat="false" ht="15" hidden="false" customHeight="false" outlineLevel="0" collapsed="false">
      <c r="A44" s="61" t="s">
        <v>395</v>
      </c>
      <c r="B44" s="62" t="s">
        <v>308</v>
      </c>
      <c r="C44" s="63" t="n">
        <f aca="false">INDEX(Train_In!$C$33:$E$33,C$7)</f>
        <v>8192</v>
      </c>
      <c r="D44" s="63" t="n">
        <f aca="false">INDEX(Train_In!$C$33:$E$33,D$7)</f>
        <v>16384</v>
      </c>
      <c r="E44" s="63" t="n">
        <f aca="false">INDEX(Train_In!$C$33:$E$33,E$7)</f>
        <v>32768</v>
      </c>
      <c r="F44" s="63" t="n">
        <f aca="false">INDEX(Train_In!$C$33:$E$33,F$7)</f>
        <v>8192</v>
      </c>
      <c r="G44" s="63" t="n">
        <f aca="false">INDEX(Train_In!$C$33:$E$33,G$7)</f>
        <v>16384</v>
      </c>
      <c r="H44" s="63" t="n">
        <f aca="false">INDEX(Train_In!$C$33:$E$33,H$7)</f>
        <v>32768</v>
      </c>
      <c r="I44" s="63" t="n">
        <f aca="false">INDEX(Train_In!$C$33:$E$33,I$7)</f>
        <v>8192</v>
      </c>
      <c r="J44" s="63" t="n">
        <f aca="false">INDEX(Train_In!$C$33:$E$33,J$7)</f>
        <v>16384</v>
      </c>
      <c r="K44" s="63" t="n">
        <f aca="false">INDEX(Train_In!$C$33:$E$33,K$7)</f>
        <v>32768</v>
      </c>
      <c r="L44" s="63" t="n">
        <f aca="false">INDEX(Train_In!$C$33:$E$33,L$7)</f>
        <v>8192</v>
      </c>
      <c r="M44" s="63" t="n">
        <f aca="false">INDEX(Train_In!$C$33:$E$33,M$7)</f>
        <v>16384</v>
      </c>
      <c r="N44" s="63" t="n">
        <f aca="false">INDEX(Train_In!$C$33:$E$33,N$7)</f>
        <v>32768</v>
      </c>
      <c r="O44" s="63" t="n">
        <f aca="false">INDEX(Train_In!$C$33:$E$33,O$7)</f>
        <v>8192</v>
      </c>
      <c r="P44" s="63" t="n">
        <f aca="false">INDEX(Train_In!$C$33:$E$33,P$7)</f>
        <v>16384</v>
      </c>
      <c r="Q44" s="63" t="n">
        <f aca="false">INDEX(Train_In!$C$33:$E$33,Q$7)</f>
        <v>32768</v>
      </c>
      <c r="R44" s="63" t="n">
        <f aca="false">INDEX(Train_In!$C$33:$E$33,R$7)</f>
        <v>16384</v>
      </c>
      <c r="S44" s="63" t="n">
        <f aca="false">INDEX(Train_In!$C$33:$E$33,S$7)</f>
        <v>32768</v>
      </c>
    </row>
    <row r="45" customFormat="false" ht="15" hidden="false" customHeight="false" outlineLevel="0" collapsed="false">
      <c r="A45" s="62" t="s">
        <v>396</v>
      </c>
      <c r="B45" s="62" t="s">
        <v>308</v>
      </c>
      <c r="C45" s="68" t="n">
        <f aca="false">C43+C44/2</f>
        <v>8192</v>
      </c>
      <c r="D45" s="68" t="n">
        <f aca="false">D43+D44/2</f>
        <v>16384</v>
      </c>
      <c r="E45" s="68" t="n">
        <f aca="false">E43+E44/2</f>
        <v>32768</v>
      </c>
      <c r="F45" s="68" t="n">
        <f aca="false">F43+F44/2</f>
        <v>8192</v>
      </c>
      <c r="G45" s="68" t="n">
        <f aca="false">G43+G44/2</f>
        <v>16384</v>
      </c>
      <c r="H45" s="68" t="n">
        <f aca="false">H43+H44/2</f>
        <v>32768</v>
      </c>
      <c r="I45" s="68" t="n">
        <f aca="false">I43+I44/2</f>
        <v>8192</v>
      </c>
      <c r="J45" s="68" t="n">
        <f aca="false">J43+J44/2</f>
        <v>16384</v>
      </c>
      <c r="K45" s="68" t="n">
        <f aca="false">K43+K44/2</f>
        <v>32768</v>
      </c>
      <c r="L45" s="68" t="n">
        <f aca="false">L43+L44/2</f>
        <v>8192</v>
      </c>
      <c r="M45" s="68" t="n">
        <f aca="false">M43+M44/2</f>
        <v>16384</v>
      </c>
      <c r="N45" s="68" t="n">
        <f aca="false">N43+N44/2</f>
        <v>32768</v>
      </c>
      <c r="O45" s="68" t="n">
        <f aca="false">O43+O44/2</f>
        <v>8192</v>
      </c>
      <c r="P45" s="68" t="n">
        <f aca="false">P43+P44/2</f>
        <v>16384</v>
      </c>
      <c r="Q45" s="68" t="n">
        <f aca="false">Q43+Q44/2</f>
        <v>32768</v>
      </c>
      <c r="R45" s="68" t="n">
        <f aca="false">R43+R44/2</f>
        <v>16384</v>
      </c>
      <c r="S45" s="68" t="n">
        <f aca="false">S43+S44/2</f>
        <v>32768</v>
      </c>
    </row>
    <row r="46" customFormat="false" ht="15" hidden="false" customHeight="false" outlineLevel="0" collapsed="false">
      <c r="A46" s="62" t="s">
        <v>397</v>
      </c>
      <c r="B46" s="62" t="s">
        <v>308</v>
      </c>
      <c r="C46" s="68" t="n">
        <f aca="false">C43/2</f>
        <v>2048</v>
      </c>
      <c r="D46" s="68" t="n">
        <f aca="false">D43/2</f>
        <v>4096</v>
      </c>
      <c r="E46" s="68" t="n">
        <f aca="false">E43/2</f>
        <v>8192</v>
      </c>
      <c r="F46" s="68" t="n">
        <f aca="false">F43/2</f>
        <v>2048</v>
      </c>
      <c r="G46" s="68" t="n">
        <f aca="false">G43/2</f>
        <v>4096</v>
      </c>
      <c r="H46" s="68" t="n">
        <f aca="false">H43/2</f>
        <v>8192</v>
      </c>
      <c r="I46" s="68" t="n">
        <f aca="false">I43/2</f>
        <v>2048</v>
      </c>
      <c r="J46" s="68" t="n">
        <f aca="false">J43/2</f>
        <v>4096</v>
      </c>
      <c r="K46" s="68" t="n">
        <f aca="false">K43/2</f>
        <v>8192</v>
      </c>
      <c r="L46" s="68" t="n">
        <f aca="false">L43/2</f>
        <v>2048</v>
      </c>
      <c r="M46" s="68" t="n">
        <f aca="false">M43/2</f>
        <v>4096</v>
      </c>
      <c r="N46" s="68" t="n">
        <f aca="false">N43/2</f>
        <v>8192</v>
      </c>
      <c r="O46" s="68" t="n">
        <f aca="false">O43/2</f>
        <v>2048</v>
      </c>
      <c r="P46" s="68" t="n">
        <f aca="false">P43/2</f>
        <v>4096</v>
      </c>
      <c r="Q46" s="68" t="n">
        <f aca="false">Q43/2</f>
        <v>8192</v>
      </c>
      <c r="R46" s="68" t="n">
        <f aca="false">R43/2</f>
        <v>4096</v>
      </c>
      <c r="S46" s="68" t="n">
        <f aca="false">S43/2</f>
        <v>8192</v>
      </c>
    </row>
    <row r="47" customFormat="false" ht="15" hidden="false" customHeight="false" outlineLevel="0" collapsed="false">
      <c r="A47" s="62" t="s">
        <v>883</v>
      </c>
      <c r="B47" s="62" t="s">
        <v>308</v>
      </c>
      <c r="C47" s="89" t="n">
        <f aca="false">Serving!$C$6</f>
        <v>3</v>
      </c>
      <c r="D47" s="89" t="n">
        <f aca="false">Serving!$C$6</f>
        <v>3</v>
      </c>
      <c r="E47" s="89" t="n">
        <f aca="false">Serving!$C$6</f>
        <v>3</v>
      </c>
      <c r="F47" s="89" t="n">
        <f aca="false">Serving!$C$6</f>
        <v>3</v>
      </c>
      <c r="G47" s="89" t="n">
        <f aca="false">Serving!$C$6</f>
        <v>3</v>
      </c>
      <c r="H47" s="89" t="n">
        <f aca="false">Serving!$C$6</f>
        <v>3</v>
      </c>
      <c r="I47" s="89" t="n">
        <f aca="false">Serving!$C$6</f>
        <v>3</v>
      </c>
      <c r="J47" s="89" t="n">
        <f aca="false">Serving!$C$6</f>
        <v>3</v>
      </c>
      <c r="K47" s="89" t="n">
        <f aca="false">Serving!$C$6</f>
        <v>3</v>
      </c>
      <c r="L47" s="89" t="n">
        <f aca="false">Serving!$C$6</f>
        <v>3</v>
      </c>
      <c r="M47" s="89" t="n">
        <f aca="false">Serving!$C$6</f>
        <v>3</v>
      </c>
      <c r="N47" s="89" t="n">
        <f aca="false">Serving!$C$6</f>
        <v>3</v>
      </c>
      <c r="O47" s="89" t="n">
        <f aca="false">Serving!$C$6</f>
        <v>3</v>
      </c>
      <c r="P47" s="89" t="n">
        <f aca="false">Serving!$C$6</f>
        <v>3</v>
      </c>
      <c r="Q47" s="89" t="n">
        <f aca="false">Serving!$C$6</f>
        <v>3</v>
      </c>
      <c r="R47" s="89" t="n">
        <f aca="false">Serving!$C$6</f>
        <v>3</v>
      </c>
      <c r="S47" s="89" t="n">
        <f aca="false">Serving!$C$6</f>
        <v>3</v>
      </c>
    </row>
    <row r="48" customFormat="false" ht="15" hidden="false" customHeight="false" outlineLevel="0" collapsed="false">
      <c r="A48" s="61" t="s">
        <v>884</v>
      </c>
      <c r="B48" s="62" t="s">
        <v>113</v>
      </c>
      <c r="C48" s="65" t="n">
        <f aca="false">Serving!$C$7</f>
        <v>0.7</v>
      </c>
      <c r="D48" s="65" t="n">
        <f aca="false">Serving!$C$7</f>
        <v>0.7</v>
      </c>
      <c r="E48" s="65" t="n">
        <f aca="false">Serving!$C$7</f>
        <v>0.7</v>
      </c>
      <c r="F48" s="65" t="n">
        <f aca="false">Serving!$C$7</f>
        <v>0.7</v>
      </c>
      <c r="G48" s="65" t="n">
        <f aca="false">Serving!$C$7</f>
        <v>0.7</v>
      </c>
      <c r="H48" s="65" t="n">
        <f aca="false">Serving!$C$7</f>
        <v>0.7</v>
      </c>
      <c r="I48" s="65" t="n">
        <f aca="false">Serving!$C$7</f>
        <v>0.7</v>
      </c>
      <c r="J48" s="65" t="n">
        <f aca="false">Serving!$C$7</f>
        <v>0.7</v>
      </c>
      <c r="K48" s="65" t="n">
        <f aca="false">Serving!$C$7</f>
        <v>0.7</v>
      </c>
      <c r="L48" s="65" t="n">
        <f aca="false">Serving!$C$7</f>
        <v>0.7</v>
      </c>
      <c r="M48" s="65" t="n">
        <f aca="false">Serving!$C$7</f>
        <v>0.7</v>
      </c>
      <c r="N48" s="65" t="n">
        <f aca="false">Serving!$C$7</f>
        <v>0.7</v>
      </c>
      <c r="O48" s="65" t="n">
        <f aca="false">Serving!$C$7</f>
        <v>0.7</v>
      </c>
      <c r="P48" s="65" t="n">
        <f aca="false">Serving!$C$7</f>
        <v>0.7</v>
      </c>
      <c r="Q48" s="65" t="n">
        <f aca="false">Serving!$C$7</f>
        <v>0.7</v>
      </c>
      <c r="R48" s="65" t="n">
        <f aca="false">Serving!$C$7</f>
        <v>0.7</v>
      </c>
      <c r="S48" s="65" t="n">
        <f aca="false">Serving!$C$7</f>
        <v>0.7</v>
      </c>
    </row>
    <row r="49" customFormat="false" ht="15" hidden="false" customHeight="false" outlineLevel="0" collapsed="false">
      <c r="A49" s="61" t="s">
        <v>885</v>
      </c>
      <c r="B49" s="62" t="s">
        <v>308</v>
      </c>
      <c r="C49" s="77" t="n">
        <f aca="false">(1-C48^(C47+1))/(1-C48)</f>
        <v>2.533</v>
      </c>
      <c r="D49" s="77" t="n">
        <f aca="false">(1-D48^(D47+1))/(1-D48)</f>
        <v>2.533</v>
      </c>
      <c r="E49" s="77" t="n">
        <f aca="false">(1-E48^(E47+1))/(1-E48)</f>
        <v>2.533</v>
      </c>
      <c r="F49" s="77" t="n">
        <f aca="false">(1-F48^(F47+1))/(1-F48)</f>
        <v>2.533</v>
      </c>
      <c r="G49" s="77" t="n">
        <f aca="false">(1-G48^(G47+1))/(1-G48)</f>
        <v>2.533</v>
      </c>
      <c r="H49" s="77" t="n">
        <f aca="false">(1-H48^(H47+1))/(1-H48)</f>
        <v>2.533</v>
      </c>
      <c r="I49" s="77" t="n">
        <f aca="false">(1-I48^(I47+1))/(1-I48)</f>
        <v>2.533</v>
      </c>
      <c r="J49" s="77" t="n">
        <f aca="false">(1-J48^(J47+1))/(1-J48)</f>
        <v>2.533</v>
      </c>
      <c r="K49" s="77" t="n">
        <f aca="false">(1-K48^(K47+1))/(1-K48)</f>
        <v>2.533</v>
      </c>
      <c r="L49" s="77" t="n">
        <f aca="false">(1-L48^(L47+1))/(1-L48)</f>
        <v>2.533</v>
      </c>
      <c r="M49" s="77" t="n">
        <f aca="false">(1-M48^(M47+1))/(1-M48)</f>
        <v>2.533</v>
      </c>
      <c r="N49" s="77" t="n">
        <f aca="false">(1-N48^(N47+1))/(1-N48)</f>
        <v>2.533</v>
      </c>
      <c r="O49" s="77" t="n">
        <f aca="false">(1-O48^(O47+1))/(1-O48)</f>
        <v>2.533</v>
      </c>
      <c r="P49" s="77" t="n">
        <f aca="false">(1-P48^(P47+1))/(1-P48)</f>
        <v>2.533</v>
      </c>
      <c r="Q49" s="77" t="n">
        <f aca="false">(1-Q48^(Q47+1))/(1-Q48)</f>
        <v>2.533</v>
      </c>
      <c r="R49" s="77" t="n">
        <f aca="false">(1-R48^(R47+1))/(1-R48)</f>
        <v>2.533</v>
      </c>
      <c r="S49" s="77" t="n">
        <f aca="false">(1-S48^(S47+1))/(1-S48)</f>
        <v>2.533</v>
      </c>
    </row>
    <row r="50" customFormat="false" ht="15" hidden="false" customHeight="false" outlineLevel="0" collapsed="false">
      <c r="A50" s="61" t="s">
        <v>383</v>
      </c>
      <c r="B50" s="62" t="s">
        <v>118</v>
      </c>
      <c r="C50" s="97" t="n">
        <f aca="false">Serving!$C$18</f>
        <v>1</v>
      </c>
      <c r="D50" s="97" t="n">
        <f aca="false">Serving!$C$18</f>
        <v>1</v>
      </c>
      <c r="E50" s="97" t="n">
        <f aca="false">Serving!$C$18</f>
        <v>1</v>
      </c>
      <c r="F50" s="97" t="n">
        <f aca="false">Serving!$C$18</f>
        <v>1</v>
      </c>
      <c r="G50" s="97" t="n">
        <f aca="false">Serving!$C$18</f>
        <v>1</v>
      </c>
      <c r="H50" s="97" t="n">
        <f aca="false">Serving!$C$18</f>
        <v>1</v>
      </c>
      <c r="I50" s="97" t="n">
        <f aca="false">Serving!$C$18</f>
        <v>1</v>
      </c>
      <c r="J50" s="97" t="n">
        <f aca="false">Serving!$C$18</f>
        <v>1</v>
      </c>
      <c r="K50" s="97" t="n">
        <f aca="false">Serving!$C$18</f>
        <v>1</v>
      </c>
      <c r="L50" s="97" t="n">
        <f aca="false">Serving!$C$18</f>
        <v>1</v>
      </c>
      <c r="M50" s="97" t="n">
        <f aca="false">Serving!$C$18</f>
        <v>1</v>
      </c>
      <c r="N50" s="97" t="n">
        <f aca="false">Serving!$C$18</f>
        <v>1</v>
      </c>
      <c r="O50" s="97" t="n">
        <f aca="false">Serving!$C$18</f>
        <v>1</v>
      </c>
      <c r="P50" s="97" t="n">
        <f aca="false">Serving!$C$18</f>
        <v>1</v>
      </c>
      <c r="Q50" s="97" t="n">
        <f aca="false">Serving!$C$18</f>
        <v>1</v>
      </c>
      <c r="R50" s="97" t="n">
        <f aca="false">Serving!$C$18</f>
        <v>1</v>
      </c>
      <c r="S50" s="97" t="n">
        <f aca="false">Serving!$C$18</f>
        <v>1</v>
      </c>
    </row>
    <row r="51" customFormat="false" ht="15" hidden="false" customHeight="false" outlineLevel="0" collapsed="false">
      <c r="A51" s="62" t="s">
        <v>886</v>
      </c>
      <c r="B51" s="62" t="s">
        <v>113</v>
      </c>
      <c r="C51" s="112" t="n">
        <f aca="false">INDEX(Calib!$C$72:$G$72,C$6)*C50</f>
        <v>0.149924204143507</v>
      </c>
      <c r="D51" s="112" t="n">
        <f aca="false">INDEX(Calib!$C$72:$G$72,D$6)*D50</f>
        <v>0.149924204143507</v>
      </c>
      <c r="E51" s="112" t="n">
        <f aca="false">INDEX(Calib!$C$72:$G$72,E$6)*E50</f>
        <v>0.149924204143507</v>
      </c>
      <c r="F51" s="112" t="n">
        <f aca="false">INDEX(Calib!$C$72:$G$72,F$6)*F50</f>
        <v>0.3</v>
      </c>
      <c r="G51" s="112" t="n">
        <f aca="false">INDEX(Calib!$C$72:$G$72,G$6)*G50</f>
        <v>0.3</v>
      </c>
      <c r="H51" s="112" t="n">
        <f aca="false">INDEX(Calib!$C$72:$G$72,H$6)*H50</f>
        <v>0.3</v>
      </c>
      <c r="I51" s="112" t="n">
        <f aca="false">INDEX(Calib!$C$72:$G$72,I$6)*I50</f>
        <v>0.3</v>
      </c>
      <c r="J51" s="112" t="n">
        <f aca="false">INDEX(Calib!$C$72:$G$72,J$6)*J50</f>
        <v>0.3</v>
      </c>
      <c r="K51" s="112" t="n">
        <f aca="false">INDEX(Calib!$C$72:$G$72,K$6)*K50</f>
        <v>0.3</v>
      </c>
      <c r="L51" s="112" t="n">
        <f aca="false">INDEX(Calib!$C$72:$G$72,L$6)*L50</f>
        <v>0.3</v>
      </c>
      <c r="M51" s="112" t="n">
        <f aca="false">INDEX(Calib!$C$72:$G$72,M$6)*M50</f>
        <v>0.3</v>
      </c>
      <c r="N51" s="112" t="n">
        <f aca="false">INDEX(Calib!$C$72:$G$72,N$6)*N50</f>
        <v>0.3</v>
      </c>
      <c r="O51" s="112" t="n">
        <f aca="false">INDEX(Calib!$C$72:$G$72,O$6)*O50</f>
        <v>0.3</v>
      </c>
      <c r="P51" s="112" t="n">
        <f aca="false">INDEX(Calib!$C$72:$G$72,P$6)*P50</f>
        <v>0.3</v>
      </c>
      <c r="Q51" s="112" t="n">
        <f aca="false">INDEX(Calib!$C$72:$G$72,Q$6)*Q50</f>
        <v>0.3</v>
      </c>
      <c r="R51" s="112" t="n">
        <f aca="false">INDEX(Calib!$C$72:$G$72,R$6)*R50</f>
        <v>0.3</v>
      </c>
      <c r="S51" s="112" t="n">
        <f aca="false">INDEX(Calib!$C$72:$G$72,S$6)*S50</f>
        <v>0.3</v>
      </c>
    </row>
    <row r="52" customFormat="false" ht="15" hidden="false" customHeight="false" outlineLevel="0" collapsed="false">
      <c r="A52" s="62" t="s">
        <v>887</v>
      </c>
      <c r="B52" s="62" t="s">
        <v>118</v>
      </c>
      <c r="C52" s="97" t="n">
        <f aca="false">Tech_Registry!$E$20</f>
        <v>1</v>
      </c>
      <c r="D52" s="97" t="n">
        <f aca="false">Tech_Registry!$E$20</f>
        <v>1</v>
      </c>
      <c r="E52" s="97" t="n">
        <f aca="false">Tech_Registry!$E$20</f>
        <v>1</v>
      </c>
      <c r="F52" s="97" t="n">
        <f aca="false">Tech_Registry!$E$20</f>
        <v>1</v>
      </c>
      <c r="G52" s="97" t="n">
        <f aca="false">Tech_Registry!$E$20</f>
        <v>1</v>
      </c>
      <c r="H52" s="97" t="n">
        <f aca="false">Tech_Registry!$E$20</f>
        <v>1</v>
      </c>
      <c r="I52" s="97" t="n">
        <f aca="false">Tech_Registry!$E$20</f>
        <v>1</v>
      </c>
      <c r="J52" s="97" t="n">
        <f aca="false">Tech_Registry!$E$20</f>
        <v>1</v>
      </c>
      <c r="K52" s="97" t="n">
        <f aca="false">Tech_Registry!$E$20</f>
        <v>1</v>
      </c>
      <c r="L52" s="97" t="n">
        <f aca="false">Tech_Registry!$E$20</f>
        <v>1</v>
      </c>
      <c r="M52" s="97" t="n">
        <f aca="false">Tech_Registry!$E$20</f>
        <v>1</v>
      </c>
      <c r="N52" s="97" t="n">
        <f aca="false">Tech_Registry!$E$20</f>
        <v>1</v>
      </c>
      <c r="O52" s="97" t="n">
        <f aca="false">Tech_Registry!$E$20</f>
        <v>1</v>
      </c>
      <c r="P52" s="97" t="n">
        <f aca="false">Tech_Registry!$E$20</f>
        <v>1</v>
      </c>
      <c r="Q52" s="97" t="n">
        <f aca="false">Tech_Registry!$E$20</f>
        <v>1</v>
      </c>
      <c r="R52" s="97" t="n">
        <f aca="false">Tech_Registry!$E$20</f>
        <v>1</v>
      </c>
      <c r="S52" s="97" t="n">
        <f aca="false">Tech_Registry!$E$20</f>
        <v>1</v>
      </c>
    </row>
    <row r="53" customFormat="false" ht="15" hidden="false" customHeight="false" outlineLevel="0" collapsed="false">
      <c r="A53" s="62" t="s">
        <v>888</v>
      </c>
      <c r="B53" s="62" t="s">
        <v>113</v>
      </c>
      <c r="C53" s="113" t="n">
        <f aca="false">INDEX(Calib!$C$70:$G$70,C$6)*C52*C50*INDEX(CAL_BatchEtaD,1,C$6)</f>
        <v>0.0429060401998604</v>
      </c>
      <c r="D53" s="113" t="n">
        <f aca="false">INDEX(Calib!$C$70:$G$70,D$6)*D52*D50*INDEX(CAL_BatchEtaD,1,D$6)</f>
        <v>0.0429060401998604</v>
      </c>
      <c r="E53" s="113" t="n">
        <f aca="false">INDEX(Calib!$C$70:$G$70,E$6)*E52*E50*INDEX(CAL_BatchEtaD,1,E$6)</f>
        <v>0.0429060401998604</v>
      </c>
      <c r="F53" s="113" t="n">
        <f aca="false">INDEX(Calib!$C$70:$G$70,F$6)*F52*F50*INDEX(CAL_BatchEtaD,1,F$6)</f>
        <v>0.0357550334998836</v>
      </c>
      <c r="G53" s="113" t="n">
        <f aca="false">INDEX(Calib!$C$70:$G$70,G$6)*G52*G50*INDEX(CAL_BatchEtaD,1,G$6)</f>
        <v>0.0357550334998836</v>
      </c>
      <c r="H53" s="113" t="n">
        <f aca="false">INDEX(Calib!$C$70:$G$70,H$6)*H52*H50*INDEX(CAL_BatchEtaD,1,H$6)</f>
        <v>0.0357550334998836</v>
      </c>
      <c r="I53" s="113" t="n">
        <f aca="false">INDEX(Calib!$C$70:$G$70,I$6)*I52*I50*INDEX(CAL_BatchEtaD,1,I$6)</f>
        <v>0.0357550334998836</v>
      </c>
      <c r="J53" s="113" t="n">
        <f aca="false">INDEX(Calib!$C$70:$G$70,J$6)*J52*J50*INDEX(CAL_BatchEtaD,1,J$6)</f>
        <v>0.0357550334998836</v>
      </c>
      <c r="K53" s="113" t="n">
        <f aca="false">INDEX(Calib!$C$70:$G$70,K$6)*K52*K50*INDEX(CAL_BatchEtaD,1,K$6)</f>
        <v>0.0357550334998836</v>
      </c>
      <c r="L53" s="113" t="n">
        <f aca="false">INDEX(Calib!$C$70:$G$70,L$6)*L52*L50*INDEX(CAL_BatchEtaD,1,L$6)</f>
        <v>0.0268162751249127</v>
      </c>
      <c r="M53" s="113" t="n">
        <f aca="false">INDEX(Calib!$C$70:$G$70,M$6)*M52*M50*INDEX(CAL_BatchEtaD,1,M$6)</f>
        <v>0.0268162751249127</v>
      </c>
      <c r="N53" s="113" t="n">
        <f aca="false">INDEX(Calib!$C$70:$G$70,N$6)*N52*N50*INDEX(CAL_BatchEtaD,1,N$6)</f>
        <v>0.0268162751249127</v>
      </c>
      <c r="O53" s="113" t="n">
        <f aca="false">INDEX(Calib!$C$70:$G$70,O$6)*O52*O50*INDEX(CAL_BatchEtaD,1,O$6)</f>
        <v>0.0357550334998836</v>
      </c>
      <c r="P53" s="113" t="n">
        <f aca="false">INDEX(Calib!$C$70:$G$70,P$6)*P52*P50*INDEX(CAL_BatchEtaD,1,P$6)</f>
        <v>0.0357550334998836</v>
      </c>
      <c r="Q53" s="113" t="n">
        <f aca="false">INDEX(Calib!$C$70:$G$70,Q$6)*Q52*Q50*INDEX(CAL_BatchEtaD,1,Q$6)</f>
        <v>0.0357550334998836</v>
      </c>
      <c r="R53" s="113" t="n">
        <f aca="false">INDEX(Calib!$C$70:$G$70,R$6)*R52*R50</f>
        <v>0.0357550334998836</v>
      </c>
      <c r="S53" s="113" t="n">
        <f aca="false">INDEX(Calib!$C$70:$G$70,S$6)*S52*S50</f>
        <v>0.0357550334998836</v>
      </c>
    </row>
    <row r="54" customFormat="false" ht="15" hidden="false" customHeight="false" outlineLevel="0" collapsed="false">
      <c r="A54" s="61" t="s">
        <v>889</v>
      </c>
      <c r="B54" s="62" t="s">
        <v>118</v>
      </c>
      <c r="C54" s="97" t="n">
        <f aca="false">Tech_Registry!$E$21</f>
        <v>1</v>
      </c>
      <c r="D54" s="97" t="n">
        <f aca="false">Tech_Registry!$E$21</f>
        <v>1</v>
      </c>
      <c r="E54" s="97" t="n">
        <f aca="false">Tech_Registry!$E$21</f>
        <v>1</v>
      </c>
      <c r="F54" s="97" t="n">
        <f aca="false">Tech_Registry!$E$21</f>
        <v>1</v>
      </c>
      <c r="G54" s="97" t="n">
        <f aca="false">Tech_Registry!$E$21</f>
        <v>1</v>
      </c>
      <c r="H54" s="97" t="n">
        <f aca="false">Tech_Registry!$E$21</f>
        <v>1</v>
      </c>
      <c r="I54" s="97" t="n">
        <f aca="false">Tech_Registry!$E$21</f>
        <v>1</v>
      </c>
      <c r="J54" s="97" t="n">
        <f aca="false">Tech_Registry!$E$21</f>
        <v>1</v>
      </c>
      <c r="K54" s="97" t="n">
        <f aca="false">Tech_Registry!$E$21</f>
        <v>1</v>
      </c>
      <c r="L54" s="97" t="n">
        <f aca="false">Tech_Registry!$E$21</f>
        <v>1</v>
      </c>
      <c r="M54" s="97" t="n">
        <f aca="false">Tech_Registry!$E$21</f>
        <v>1</v>
      </c>
      <c r="N54" s="97" t="n">
        <f aca="false">Tech_Registry!$E$21</f>
        <v>1</v>
      </c>
      <c r="O54" s="97" t="n">
        <f aca="false">Tech_Registry!$E$21</f>
        <v>1</v>
      </c>
      <c r="P54" s="97" t="n">
        <f aca="false">Tech_Registry!$E$21</f>
        <v>1</v>
      </c>
      <c r="Q54" s="97" t="n">
        <f aca="false">Tech_Registry!$E$21</f>
        <v>1</v>
      </c>
      <c r="R54" s="97" t="n">
        <f aca="false">Tech_Registry!$E$21</f>
        <v>1</v>
      </c>
      <c r="S54" s="97" t="n">
        <f aca="false">Tech_Registry!$E$21</f>
        <v>1</v>
      </c>
    </row>
    <row r="55" customFormat="false" ht="15" hidden="false" customHeight="false" outlineLevel="0" collapsed="false">
      <c r="A55" s="61" t="s">
        <v>890</v>
      </c>
      <c r="B55" s="62" t="s">
        <v>574</v>
      </c>
      <c r="C55" s="63" t="n">
        <f aca="false">INDEX(Calib!$C$71:$G$71,C$6)*C54/C50</f>
        <v>241.778007200547</v>
      </c>
      <c r="D55" s="63" t="n">
        <f aca="false">INDEX(Calib!$C$71:$G$71,D$6)*D54/D50</f>
        <v>241.778007200547</v>
      </c>
      <c r="E55" s="63" t="n">
        <f aca="false">INDEX(Calib!$C$71:$G$71,E$6)*E54/E50</f>
        <v>241.778007200547</v>
      </c>
      <c r="F55" s="63" t="n">
        <f aca="false">INDEX(Calib!$C$71:$G$71,F$6)*F54/F50</f>
        <v>161.185338133698</v>
      </c>
      <c r="G55" s="63" t="n">
        <f aca="false">INDEX(Calib!$C$71:$G$71,G$6)*G54/G50</f>
        <v>161.185338133698</v>
      </c>
      <c r="H55" s="63" t="n">
        <f aca="false">INDEX(Calib!$C$71:$G$71,H$6)*H54/H50</f>
        <v>161.185338133698</v>
      </c>
      <c r="I55" s="63" t="n">
        <f aca="false">INDEX(Calib!$C$71:$G$71,I$6)*I54/I50</f>
        <v>161.185338133698</v>
      </c>
      <c r="J55" s="63" t="n">
        <f aca="false">INDEX(Calib!$C$71:$G$71,J$6)*J54/J50</f>
        <v>161.185338133698</v>
      </c>
      <c r="K55" s="63" t="n">
        <f aca="false">INDEX(Calib!$C$71:$G$71,K$6)*K54/K50</f>
        <v>161.185338133698</v>
      </c>
      <c r="L55" s="63" t="n">
        <f aca="false">INDEX(Calib!$C$71:$G$71,L$6)*L54/L50</f>
        <v>161.185338133698</v>
      </c>
      <c r="M55" s="63" t="n">
        <f aca="false">INDEX(Calib!$C$71:$G$71,M$6)*M54/M50</f>
        <v>161.185338133698</v>
      </c>
      <c r="N55" s="63" t="n">
        <f aca="false">INDEX(Calib!$C$71:$G$71,N$6)*N54/N50</f>
        <v>161.185338133698</v>
      </c>
      <c r="O55" s="63" t="n">
        <f aca="false">INDEX(Calib!$C$71:$G$71,O$6)*O54/O50</f>
        <v>161.185338133698</v>
      </c>
      <c r="P55" s="63" t="n">
        <f aca="false">INDEX(Calib!$C$71:$G$71,P$6)*P54/P50</f>
        <v>161.185338133698</v>
      </c>
      <c r="Q55" s="63" t="n">
        <f aca="false">INDEX(Calib!$C$71:$G$71,Q$6)*Q54/Q50</f>
        <v>161.185338133698</v>
      </c>
      <c r="R55" s="63" t="n">
        <f aca="false">INDEX(Calib!$C$71:$G$71,R$6)*R54/R50</f>
        <v>161.185338133698</v>
      </c>
      <c r="S55" s="63" t="n">
        <f aca="false">INDEX(Calib!$C$71:$G$71,S$6)*S54/S50</f>
        <v>161.185338133698</v>
      </c>
    </row>
    <row r="56" customFormat="false" ht="15" hidden="false" customHeight="false" outlineLevel="0" collapsed="false">
      <c r="A56" s="62" t="s">
        <v>891</v>
      </c>
      <c r="B56" s="62" t="s">
        <v>113</v>
      </c>
      <c r="C56" s="65" t="n">
        <f aca="false">Serving!$C$9</f>
        <v>0.1</v>
      </c>
      <c r="D56" s="65" t="n">
        <f aca="false">Serving!$C$9</f>
        <v>0.1</v>
      </c>
      <c r="E56" s="65" t="n">
        <f aca="false">Serving!$C$9</f>
        <v>0.1</v>
      </c>
      <c r="F56" s="65" t="n">
        <f aca="false">Serving!$C$9</f>
        <v>0.1</v>
      </c>
      <c r="G56" s="65" t="n">
        <f aca="false">Serving!$C$9</f>
        <v>0.1</v>
      </c>
      <c r="H56" s="65" t="n">
        <f aca="false">Serving!$C$9</f>
        <v>0.1</v>
      </c>
      <c r="I56" s="65" t="n">
        <f aca="false">Serving!$C$9</f>
        <v>0.1</v>
      </c>
      <c r="J56" s="65" t="n">
        <f aca="false">Serving!$C$9</f>
        <v>0.1</v>
      </c>
      <c r="K56" s="65" t="n">
        <f aca="false">Serving!$C$9</f>
        <v>0.1</v>
      </c>
      <c r="L56" s="65" t="n">
        <f aca="false">Serving!$C$9</f>
        <v>0.1</v>
      </c>
      <c r="M56" s="65" t="n">
        <f aca="false">Serving!$C$9</f>
        <v>0.1</v>
      </c>
      <c r="N56" s="65" t="n">
        <f aca="false">Serving!$C$9</f>
        <v>0.1</v>
      </c>
      <c r="O56" s="65" t="n">
        <f aca="false">Serving!$C$9</f>
        <v>0.1</v>
      </c>
      <c r="P56" s="65" t="n">
        <f aca="false">Serving!$C$9</f>
        <v>0.1</v>
      </c>
      <c r="Q56" s="65" t="n">
        <f aca="false">Serving!$C$9</f>
        <v>0.1</v>
      </c>
      <c r="R56" s="65" t="n">
        <f aca="false">Serving!$C$9</f>
        <v>0.1</v>
      </c>
      <c r="S56" s="65" t="n">
        <f aca="false">Serving!$C$9</f>
        <v>0.1</v>
      </c>
    </row>
    <row r="57" customFormat="false" ht="15" hidden="false" customHeight="false" outlineLevel="0" collapsed="false">
      <c r="A57" s="61" t="s">
        <v>892</v>
      </c>
      <c r="B57" s="62" t="s">
        <v>113</v>
      </c>
      <c r="C57" s="65" t="n">
        <f aca="false">Serving!$C$10</f>
        <v>0.2</v>
      </c>
      <c r="D57" s="65" t="n">
        <f aca="false">Serving!$C$10</f>
        <v>0.2</v>
      </c>
      <c r="E57" s="65" t="n">
        <f aca="false">Serving!$C$10</f>
        <v>0.2</v>
      </c>
      <c r="F57" s="65" t="n">
        <f aca="false">Serving!$C$10</f>
        <v>0.2</v>
      </c>
      <c r="G57" s="65" t="n">
        <f aca="false">Serving!$C$10</f>
        <v>0.2</v>
      </c>
      <c r="H57" s="65" t="n">
        <f aca="false">Serving!$C$10</f>
        <v>0.2</v>
      </c>
      <c r="I57" s="65" t="n">
        <f aca="false">Serving!$C$10</f>
        <v>0.2</v>
      </c>
      <c r="J57" s="65" t="n">
        <f aca="false">Serving!$C$10</f>
        <v>0.2</v>
      </c>
      <c r="K57" s="65" t="n">
        <f aca="false">Serving!$C$10</f>
        <v>0.2</v>
      </c>
      <c r="L57" s="65" t="n">
        <f aca="false">Serving!$C$10</f>
        <v>0.2</v>
      </c>
      <c r="M57" s="65" t="n">
        <f aca="false">Serving!$C$10</f>
        <v>0.2</v>
      </c>
      <c r="N57" s="65" t="n">
        <f aca="false">Serving!$C$10</f>
        <v>0.2</v>
      </c>
      <c r="O57" s="65" t="n">
        <f aca="false">Serving!$C$10</f>
        <v>0.2</v>
      </c>
      <c r="P57" s="65" t="n">
        <f aca="false">Serving!$C$10</f>
        <v>0.2</v>
      </c>
      <c r="Q57" s="65" t="n">
        <f aca="false">Serving!$C$10</f>
        <v>0.2</v>
      </c>
      <c r="R57" s="65" t="n">
        <f aca="false">Serving!$C$10</f>
        <v>0.2</v>
      </c>
      <c r="S57" s="65" t="n">
        <f aca="false">Serving!$C$10</f>
        <v>0.2</v>
      </c>
    </row>
    <row r="58" customFormat="false" ht="15" hidden="false" customHeight="false" outlineLevel="0" collapsed="false">
      <c r="A58" s="61" t="s">
        <v>893</v>
      </c>
      <c r="B58" s="62" t="s">
        <v>113</v>
      </c>
      <c r="C58" s="65" t="n">
        <f aca="false">Serving!$C$11</f>
        <v>0.4</v>
      </c>
      <c r="D58" s="65" t="n">
        <f aca="false">Serving!$C$11</f>
        <v>0.4</v>
      </c>
      <c r="E58" s="65" t="n">
        <f aca="false">Serving!$C$11</f>
        <v>0.4</v>
      </c>
      <c r="F58" s="65" t="n">
        <f aca="false">Serving!$C$11</f>
        <v>0.4</v>
      </c>
      <c r="G58" s="65" t="n">
        <f aca="false">Serving!$C$11</f>
        <v>0.4</v>
      </c>
      <c r="H58" s="65" t="n">
        <f aca="false">Serving!$C$11</f>
        <v>0.4</v>
      </c>
      <c r="I58" s="65" t="n">
        <f aca="false">Serving!$C$11</f>
        <v>0.4</v>
      </c>
      <c r="J58" s="65" t="n">
        <f aca="false">Serving!$C$11</f>
        <v>0.4</v>
      </c>
      <c r="K58" s="65" t="n">
        <f aca="false">Serving!$C$11</f>
        <v>0.4</v>
      </c>
      <c r="L58" s="65" t="n">
        <f aca="false">Serving!$C$11</f>
        <v>0.4</v>
      </c>
      <c r="M58" s="65" t="n">
        <f aca="false">Serving!$C$11</f>
        <v>0.4</v>
      </c>
      <c r="N58" s="65" t="n">
        <f aca="false">Serving!$C$11</f>
        <v>0.4</v>
      </c>
      <c r="O58" s="65" t="n">
        <f aca="false">Serving!$C$11</f>
        <v>0.4</v>
      </c>
      <c r="P58" s="65" t="n">
        <f aca="false">Serving!$C$11</f>
        <v>0.4</v>
      </c>
      <c r="Q58" s="65" t="n">
        <f aca="false">Serving!$C$11</f>
        <v>0.4</v>
      </c>
      <c r="R58" s="65" t="n">
        <f aca="false">Serving!$C$11</f>
        <v>0.4</v>
      </c>
      <c r="S58" s="65" t="n">
        <f aca="false">Serving!$C$11</f>
        <v>0.4</v>
      </c>
    </row>
    <row r="59" customFormat="false" ht="15" hidden="false" customHeight="false" outlineLevel="0" collapsed="false">
      <c r="A59" s="62" t="s">
        <v>894</v>
      </c>
      <c r="B59" s="62" t="s">
        <v>287</v>
      </c>
      <c r="C59" s="111" t="n">
        <f aca="false">Serving!$C$12</f>
        <v>3</v>
      </c>
      <c r="D59" s="111" t="n">
        <f aca="false">Serving!$C$12</f>
        <v>3</v>
      </c>
      <c r="E59" s="111" t="n">
        <f aca="false">Serving!$C$12</f>
        <v>3</v>
      </c>
      <c r="F59" s="111" t="n">
        <f aca="false">Serving!$C$12</f>
        <v>3</v>
      </c>
      <c r="G59" s="111" t="n">
        <f aca="false">Serving!$C$12</f>
        <v>3</v>
      </c>
      <c r="H59" s="111" t="n">
        <f aca="false">Serving!$C$12</f>
        <v>3</v>
      </c>
      <c r="I59" s="111" t="n">
        <f aca="false">Serving!$C$12</f>
        <v>3</v>
      </c>
      <c r="J59" s="111" t="n">
        <f aca="false">Serving!$C$12</f>
        <v>3</v>
      </c>
      <c r="K59" s="111" t="n">
        <f aca="false">Serving!$C$12</f>
        <v>3</v>
      </c>
      <c r="L59" s="111" t="n">
        <f aca="false">Serving!$C$12</f>
        <v>3</v>
      </c>
      <c r="M59" s="111" t="n">
        <f aca="false">Serving!$C$12</f>
        <v>3</v>
      </c>
      <c r="N59" s="111" t="n">
        <f aca="false">Serving!$C$12</f>
        <v>3</v>
      </c>
      <c r="O59" s="111" t="n">
        <f aca="false">Serving!$C$12</f>
        <v>3</v>
      </c>
      <c r="P59" s="111" t="n">
        <f aca="false">Serving!$C$12</f>
        <v>3</v>
      </c>
      <c r="Q59" s="111" t="n">
        <f aca="false">Serving!$C$12</f>
        <v>3</v>
      </c>
      <c r="R59" s="111" t="n">
        <f aca="false">Serving!$C$12</f>
        <v>3</v>
      </c>
      <c r="S59" s="111" t="n">
        <f aca="false">Serving!$C$12</f>
        <v>3</v>
      </c>
    </row>
    <row r="60" customFormat="false" ht="15" hidden="false" customHeight="false" outlineLevel="0" collapsed="false">
      <c r="A60" s="62" t="s">
        <v>895</v>
      </c>
      <c r="B60" s="62" t="s">
        <v>113</v>
      </c>
      <c r="C60" s="65" t="n">
        <f aca="false">Serving!$C$13</f>
        <v>0.7</v>
      </c>
      <c r="D60" s="65" t="n">
        <f aca="false">Serving!$C$13</f>
        <v>0.7</v>
      </c>
      <c r="E60" s="65" t="n">
        <f aca="false">Serving!$C$13</f>
        <v>0.7</v>
      </c>
      <c r="F60" s="65" t="n">
        <f aca="false">Serving!$C$13</f>
        <v>0.7</v>
      </c>
      <c r="G60" s="65" t="n">
        <f aca="false">Serving!$C$13</f>
        <v>0.7</v>
      </c>
      <c r="H60" s="65" t="n">
        <f aca="false">Serving!$C$13</f>
        <v>0.7</v>
      </c>
      <c r="I60" s="65" t="n">
        <f aca="false">Serving!$C$13</f>
        <v>0.7</v>
      </c>
      <c r="J60" s="65" t="n">
        <f aca="false">Serving!$C$13</f>
        <v>0.7</v>
      </c>
      <c r="K60" s="65" t="n">
        <f aca="false">Serving!$C$13</f>
        <v>0.7</v>
      </c>
      <c r="L60" s="65" t="n">
        <f aca="false">Serving!$C$13</f>
        <v>0.7</v>
      </c>
      <c r="M60" s="65" t="n">
        <f aca="false">Serving!$C$13</f>
        <v>0.7</v>
      </c>
      <c r="N60" s="65" t="n">
        <f aca="false">Serving!$C$13</f>
        <v>0.7</v>
      </c>
      <c r="O60" s="65" t="n">
        <f aca="false">Serving!$C$13</f>
        <v>0.7</v>
      </c>
      <c r="P60" s="65" t="n">
        <f aca="false">Serving!$C$13</f>
        <v>0.7</v>
      </c>
      <c r="Q60" s="65" t="n">
        <f aca="false">Serving!$C$13</f>
        <v>0.7</v>
      </c>
      <c r="R60" s="65" t="n">
        <f aca="false">Serving!$C$13</f>
        <v>0.7</v>
      </c>
      <c r="S60" s="65" t="n">
        <f aca="false">Serving!$C$13</f>
        <v>0.7</v>
      </c>
    </row>
    <row r="61" customFormat="false" ht="15" hidden="false" customHeight="false" outlineLevel="0" collapsed="false">
      <c r="A61" s="62" t="s">
        <v>896</v>
      </c>
      <c r="B61" s="62" t="s">
        <v>113</v>
      </c>
      <c r="C61" s="65" t="n">
        <f aca="false">Serving!$C$14</f>
        <v>0.7</v>
      </c>
      <c r="D61" s="65" t="n">
        <f aca="false">Serving!$C$14</f>
        <v>0.7</v>
      </c>
      <c r="E61" s="65" t="n">
        <f aca="false">Serving!$C$14</f>
        <v>0.7</v>
      </c>
      <c r="F61" s="65" t="n">
        <f aca="false">Serving!$C$14</f>
        <v>0.7</v>
      </c>
      <c r="G61" s="65" t="n">
        <f aca="false">Serving!$C$14</f>
        <v>0.7</v>
      </c>
      <c r="H61" s="65" t="n">
        <f aca="false">Serving!$C$14</f>
        <v>0.7</v>
      </c>
      <c r="I61" s="65" t="n">
        <f aca="false">Serving!$C$14</f>
        <v>0.7</v>
      </c>
      <c r="J61" s="65" t="n">
        <f aca="false">Serving!$C$14</f>
        <v>0.7</v>
      </c>
      <c r="K61" s="65" t="n">
        <f aca="false">Serving!$C$14</f>
        <v>0.7</v>
      </c>
      <c r="L61" s="65" t="n">
        <f aca="false">Serving!$C$14</f>
        <v>0.7</v>
      </c>
      <c r="M61" s="65" t="n">
        <f aca="false">Serving!$C$14</f>
        <v>0.7</v>
      </c>
      <c r="N61" s="65" t="n">
        <f aca="false">Serving!$C$14</f>
        <v>0.7</v>
      </c>
      <c r="O61" s="65" t="n">
        <f aca="false">Serving!$C$14</f>
        <v>0.7</v>
      </c>
      <c r="P61" s="65" t="n">
        <f aca="false">Serving!$C$14</f>
        <v>0.7</v>
      </c>
      <c r="Q61" s="65" t="n">
        <f aca="false">Serving!$C$14</f>
        <v>0.7</v>
      </c>
      <c r="R61" s="65" t="n">
        <f aca="false">Serving!$C$14</f>
        <v>0.7</v>
      </c>
      <c r="S61" s="65" t="n">
        <f aca="false">Serving!$C$14</f>
        <v>0.7</v>
      </c>
    </row>
    <row r="62" customFormat="false" ht="15" hidden="false" customHeight="false" outlineLevel="0" collapsed="false">
      <c r="A62" s="61" t="s">
        <v>897</v>
      </c>
      <c r="B62" s="62" t="s">
        <v>506</v>
      </c>
      <c r="C62" s="97" t="n">
        <f aca="false">Serving!$C$15</f>
        <v>0.1</v>
      </c>
      <c r="D62" s="97" t="n">
        <f aca="false">Serving!$C$15</f>
        <v>0.1</v>
      </c>
      <c r="E62" s="97" t="n">
        <f aca="false">Serving!$C$15</f>
        <v>0.1</v>
      </c>
      <c r="F62" s="97" t="n">
        <f aca="false">Serving!$C$15</f>
        <v>0.1</v>
      </c>
      <c r="G62" s="97" t="n">
        <f aca="false">Serving!$C$15</f>
        <v>0.1</v>
      </c>
      <c r="H62" s="97" t="n">
        <f aca="false">Serving!$C$15</f>
        <v>0.1</v>
      </c>
      <c r="I62" s="97" t="n">
        <f aca="false">Serving!$C$15</f>
        <v>0.1</v>
      </c>
      <c r="J62" s="97" t="n">
        <f aca="false">Serving!$C$15</f>
        <v>0.1</v>
      </c>
      <c r="K62" s="97" t="n">
        <f aca="false">Serving!$C$15</f>
        <v>0.1</v>
      </c>
      <c r="L62" s="97" t="n">
        <f aca="false">Serving!$C$15</f>
        <v>0.1</v>
      </c>
      <c r="M62" s="97" t="n">
        <f aca="false">Serving!$C$15</f>
        <v>0.1</v>
      </c>
      <c r="N62" s="97" t="n">
        <f aca="false">Serving!$C$15</f>
        <v>0.1</v>
      </c>
      <c r="O62" s="97" t="n">
        <f aca="false">Serving!$C$15</f>
        <v>0.1</v>
      </c>
      <c r="P62" s="97" t="n">
        <f aca="false">Serving!$C$15</f>
        <v>0.1</v>
      </c>
      <c r="Q62" s="97" t="n">
        <f aca="false">Serving!$C$15</f>
        <v>0.1</v>
      </c>
      <c r="R62" s="97" t="n">
        <f aca="false">Serving!$C$15</f>
        <v>0.1</v>
      </c>
      <c r="S62" s="97" t="n">
        <f aca="false">Serving!$C$15</f>
        <v>0.1</v>
      </c>
    </row>
    <row r="63" customFormat="false" ht="15" hidden="false" customHeight="false" outlineLevel="0" collapsed="false">
      <c r="A63" s="76" t="s">
        <v>898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15" hidden="false" customHeight="false" outlineLevel="0" collapsed="false">
      <c r="A64" s="62" t="s">
        <v>899</v>
      </c>
      <c r="B64" s="62" t="s">
        <v>308</v>
      </c>
      <c r="C64" s="68" t="n">
        <f aca="false">C36*IF(C37=0,C45,MIN(C45,C37))+(1-C36)*(C45/C38+C39)</f>
        <v>2256.384</v>
      </c>
      <c r="D64" s="68" t="n">
        <f aca="false">D36*IF(D37=0,D45,MIN(D45,D37))+(1-D36)*(D45/D38+D39)</f>
        <v>2208.256</v>
      </c>
      <c r="E64" s="68" t="n">
        <f aca="false">E36*IF(E37=0,E45,MIN(E45,E37))+(1-E36)*(E45/E38+E39)</f>
        <v>32768</v>
      </c>
      <c r="F64" s="68" t="n">
        <f aca="false">F36*IF(F37=0,F45,MIN(F45,F37))+(1-F36)*(F45/F38+F39)</f>
        <v>2256.384</v>
      </c>
      <c r="G64" s="68" t="n">
        <f aca="false">G36*IF(G37=0,G45,MIN(G45,G37))+(1-G36)*(G45/G38+G39)</f>
        <v>2208.256</v>
      </c>
      <c r="H64" s="68" t="n">
        <f aca="false">H36*IF(H37=0,H45,MIN(H45,H37))+(1-H36)*(H45/H38+H39)</f>
        <v>32768</v>
      </c>
      <c r="I64" s="68" t="n">
        <f aca="false">I36*IF(I37=0,I45,MIN(I45,I37))+(1-I36)*(I45/I38+I39)</f>
        <v>2256.384</v>
      </c>
      <c r="J64" s="68" t="n">
        <f aca="false">J36*IF(J37=0,J45,MIN(J45,J37))+(1-J36)*(J45/J38+J39)</f>
        <v>2208.256</v>
      </c>
      <c r="K64" s="68" t="n">
        <f aca="false">K36*IF(K37=0,K45,MIN(K45,K37))+(1-K36)*(K45/K38+K39)</f>
        <v>32768</v>
      </c>
      <c r="L64" s="68" t="n">
        <f aca="false">L36*IF(L37=0,L45,MIN(L45,L37))+(1-L36)*(L45/L38+L39)</f>
        <v>2256.384</v>
      </c>
      <c r="M64" s="68" t="n">
        <f aca="false">M36*IF(M37=0,M45,MIN(M45,M37))+(1-M36)*(M45/M38+M39)</f>
        <v>2208.256</v>
      </c>
      <c r="N64" s="68" t="n">
        <f aca="false">N36*IF(N37=0,N45,MIN(N45,N37))+(1-N36)*(N45/N38+N39)</f>
        <v>32768</v>
      </c>
      <c r="O64" s="68" t="n">
        <f aca="false">O36*IF(O37=0,O45,MIN(O45,O37))+(1-O36)*(O45/O38+O39)</f>
        <v>2256.384</v>
      </c>
      <c r="P64" s="68" t="n">
        <f aca="false">P36*IF(P37=0,P45,MIN(P45,P37))+(1-P36)*(P45/P38+P39)</f>
        <v>2208.256</v>
      </c>
      <c r="Q64" s="68" t="n">
        <f aca="false">Q36*IF(Q37=0,Q45,MIN(Q45,Q37))+(1-Q36)*(Q45/Q38+Q39)</f>
        <v>32768</v>
      </c>
      <c r="R64" s="68" t="n">
        <f aca="false">R36*IF(R37=0,R45,MIN(R45,R37))+(1-R36)*(R45/R38+R39)</f>
        <v>2208.256</v>
      </c>
      <c r="S64" s="68" t="n">
        <f aca="false">S36*IF(S37=0,S45,MIN(S45,S37))+(1-S36)*(S45/S38+S39)</f>
        <v>32768</v>
      </c>
    </row>
    <row r="65" customFormat="false" ht="15" hidden="false" customHeight="false" outlineLevel="0" collapsed="false">
      <c r="A65" s="62" t="s">
        <v>538</v>
      </c>
      <c r="B65" s="62" t="s">
        <v>539</v>
      </c>
      <c r="C65" s="75" t="n">
        <f aca="false">(2*C28*1000000000+C35*C64)*C10/1000000000</f>
        <v>38.717196836864</v>
      </c>
      <c r="D65" s="75" t="n">
        <f aca="false">(2*D28*1000000000+D35*D64)*D10/1000000000</f>
        <v>133.311744712704</v>
      </c>
      <c r="E65" s="75" t="n">
        <f aca="false">(2*E28*1000000000+E35*E64)*E10/1000000000</f>
        <v>521.0612736</v>
      </c>
      <c r="F65" s="75" t="n">
        <f aca="false">(2*F28*1000000000+F35*F64)*F10/1000000000</f>
        <v>38.717196836864</v>
      </c>
      <c r="G65" s="75" t="n">
        <f aca="false">(2*G28*1000000000+G35*G64)*G10/1000000000</f>
        <v>133.311744712704</v>
      </c>
      <c r="H65" s="75" t="n">
        <f aca="false">(2*H28*1000000000+H35*H64)*H10/1000000000</f>
        <v>521.0612736</v>
      </c>
      <c r="I65" s="75" t="n">
        <f aca="false">(2*I28*1000000000+I35*I64)*I10/1000000000</f>
        <v>38.717196836864</v>
      </c>
      <c r="J65" s="75" t="n">
        <f aca="false">(2*J28*1000000000+J35*J64)*J10/1000000000</f>
        <v>133.311744712704</v>
      </c>
      <c r="K65" s="75" t="n">
        <f aca="false">(2*K28*1000000000+K35*K64)*K10/1000000000</f>
        <v>521.0612736</v>
      </c>
      <c r="L65" s="75" t="n">
        <f aca="false">(2*L28*1000000000+L35*L64)*L10/1000000000</f>
        <v>38.717196836864</v>
      </c>
      <c r="M65" s="75" t="n">
        <f aca="false">(2*M28*1000000000+M35*M64)*M10/1000000000</f>
        <v>133.311744712704</v>
      </c>
      <c r="N65" s="75" t="n">
        <f aca="false">(2*N28*1000000000+N35*N64)*N10/1000000000</f>
        <v>521.0612736</v>
      </c>
      <c r="O65" s="75" t="n">
        <f aca="false">(2*O28*1000000000+O35*O64)*O10/1000000000</f>
        <v>38.717196836864</v>
      </c>
      <c r="P65" s="75" t="n">
        <f aca="false">(2*P28*1000000000+P35*P64)*P10/1000000000</f>
        <v>133.311744712704</v>
      </c>
      <c r="Q65" s="75" t="n">
        <f aca="false">(2*Q28*1000000000+Q35*Q64)*Q10/1000000000</f>
        <v>521.0612736</v>
      </c>
      <c r="R65" s="75" t="n">
        <f aca="false">(2*R28*1000000000+R35*R64)*R10/1000000000</f>
        <v>133.311744712704</v>
      </c>
      <c r="S65" s="75" t="n">
        <f aca="false">(2*S28*1000000000+S35*S64)*S10/1000000000</f>
        <v>521.0612736</v>
      </c>
      <c r="T65" s="74" t="s">
        <v>1149</v>
      </c>
    </row>
    <row r="66" customFormat="false" ht="15" hidden="false" customHeight="false" outlineLevel="0" collapsed="false">
      <c r="A66" s="62" t="s">
        <v>900</v>
      </c>
      <c r="B66" s="62" t="s">
        <v>308</v>
      </c>
      <c r="C66" s="68" t="n">
        <f aca="false">C36*IF(C37=0,C46,MIN(C46,C37))+(1-C36)*(C46/C38+C39)</f>
        <v>1118.848</v>
      </c>
      <c r="D66" s="68" t="n">
        <f aca="false">D36*IF(D37=0,D46,MIN(D46,D37))+(1-D36)*(D46/D38+D39)</f>
        <v>2096.512</v>
      </c>
      <c r="E66" s="68" t="n">
        <f aca="false">E36*IF(E37=0,E46,MIN(E46,E37))+(1-E36)*(E46/E38+E39)</f>
        <v>8192</v>
      </c>
      <c r="F66" s="68" t="n">
        <f aca="false">F36*IF(F37=0,F46,MIN(F46,F37))+(1-F36)*(F46/F38+F39)</f>
        <v>1118.848</v>
      </c>
      <c r="G66" s="68" t="n">
        <f aca="false">G36*IF(G37=0,G46,MIN(G46,G37))+(1-G36)*(G46/G38+G39)</f>
        <v>2096.512</v>
      </c>
      <c r="H66" s="68" t="n">
        <f aca="false">H36*IF(H37=0,H46,MIN(H46,H37))+(1-H36)*(H46/H38+H39)</f>
        <v>8192</v>
      </c>
      <c r="I66" s="68" t="n">
        <f aca="false">I36*IF(I37=0,I46,MIN(I46,I37))+(1-I36)*(I46/I38+I39)</f>
        <v>1118.848</v>
      </c>
      <c r="J66" s="68" t="n">
        <f aca="false">J36*IF(J37=0,J46,MIN(J46,J37))+(1-J36)*(J46/J38+J39)</f>
        <v>2096.512</v>
      </c>
      <c r="K66" s="68" t="n">
        <f aca="false">K36*IF(K37=0,K46,MIN(K46,K37))+(1-K36)*(K46/K38+K39)</f>
        <v>8192</v>
      </c>
      <c r="L66" s="68" t="n">
        <f aca="false">L36*IF(L37=0,L46,MIN(L46,L37))+(1-L36)*(L46/L38+L39)</f>
        <v>1118.848</v>
      </c>
      <c r="M66" s="68" t="n">
        <f aca="false">M36*IF(M37=0,M46,MIN(M46,M37))+(1-M36)*(M46/M38+M39)</f>
        <v>2096.512</v>
      </c>
      <c r="N66" s="68" t="n">
        <f aca="false">N36*IF(N37=0,N46,MIN(N46,N37))+(1-N36)*(N46/N38+N39)</f>
        <v>8192</v>
      </c>
      <c r="O66" s="68" t="n">
        <f aca="false">O36*IF(O37=0,O46,MIN(O46,O37))+(1-O36)*(O46/O38+O39)</f>
        <v>1118.848</v>
      </c>
      <c r="P66" s="68" t="n">
        <f aca="false">P36*IF(P37=0,P46,MIN(P46,P37))+(1-P36)*(P46/P38+P39)</f>
        <v>2096.512</v>
      </c>
      <c r="Q66" s="68" t="n">
        <f aca="false">Q36*IF(Q37=0,Q46,MIN(Q46,Q37))+(1-Q36)*(Q46/Q38+Q39)</f>
        <v>8192</v>
      </c>
      <c r="R66" s="68" t="n">
        <f aca="false">R36*IF(R37=0,R46,MIN(R46,R37))+(1-R36)*(R46/R38+R39)</f>
        <v>2096.512</v>
      </c>
      <c r="S66" s="68" t="n">
        <f aca="false">S36*IF(S37=0,S46,MIN(S46,S37))+(1-S36)*(S46/S38+S39)</f>
        <v>8192</v>
      </c>
    </row>
    <row r="67" customFormat="false" ht="15" hidden="false" customHeight="false" outlineLevel="0" collapsed="false">
      <c r="A67" s="62" t="s">
        <v>544</v>
      </c>
      <c r="B67" s="62" t="s">
        <v>539</v>
      </c>
      <c r="C67" s="75" t="n">
        <f aca="false">(2*C28*1000000000+C35*C66)*C10/1000000000</f>
        <v>32.305934737408</v>
      </c>
      <c r="D67" s="75" t="n">
        <f aca="false">(2*D28*1000000000+D35*D66)*D10/1000000000</f>
        <v>131.524870545408</v>
      </c>
      <c r="E67" s="75" t="n">
        <f aca="false">(2*E28*1000000000+E35*E66)*E10/1000000000</f>
        <v>400.2653184</v>
      </c>
      <c r="F67" s="75" t="n">
        <f aca="false">(2*F28*1000000000+F35*F66)*F10/1000000000</f>
        <v>32.305934737408</v>
      </c>
      <c r="G67" s="75" t="n">
        <f aca="false">(2*G28*1000000000+G35*G66)*G10/1000000000</f>
        <v>131.524870545408</v>
      </c>
      <c r="H67" s="75" t="n">
        <f aca="false">(2*H28*1000000000+H35*H66)*H10/1000000000</f>
        <v>400.2653184</v>
      </c>
      <c r="I67" s="75" t="n">
        <f aca="false">(2*I28*1000000000+I35*I66)*I10/1000000000</f>
        <v>32.305934737408</v>
      </c>
      <c r="J67" s="75" t="n">
        <f aca="false">(2*J28*1000000000+J35*J66)*J10/1000000000</f>
        <v>131.524870545408</v>
      </c>
      <c r="K67" s="75" t="n">
        <f aca="false">(2*K28*1000000000+K35*K66)*K10/1000000000</f>
        <v>400.2653184</v>
      </c>
      <c r="L67" s="75" t="n">
        <f aca="false">(2*L28*1000000000+L35*L66)*L10/1000000000</f>
        <v>32.305934737408</v>
      </c>
      <c r="M67" s="75" t="n">
        <f aca="false">(2*M28*1000000000+M35*M66)*M10/1000000000</f>
        <v>131.524870545408</v>
      </c>
      <c r="N67" s="75" t="n">
        <f aca="false">(2*N28*1000000000+N35*N66)*N10/1000000000</f>
        <v>400.2653184</v>
      </c>
      <c r="O67" s="75" t="n">
        <f aca="false">(2*O28*1000000000+O35*O66)*O10/1000000000</f>
        <v>32.305934737408</v>
      </c>
      <c r="P67" s="75" t="n">
        <f aca="false">(2*P28*1000000000+P35*P66)*P10/1000000000</f>
        <v>131.524870545408</v>
      </c>
      <c r="Q67" s="75" t="n">
        <f aca="false">(2*Q28*1000000000+Q35*Q66)*Q10/1000000000</f>
        <v>400.2653184</v>
      </c>
      <c r="R67" s="75" t="n">
        <f aca="false">(2*R28*1000000000+R35*R66)*R10/1000000000</f>
        <v>131.524870545408</v>
      </c>
      <c r="S67" s="75" t="n">
        <f aca="false">(2*S28*1000000000+S35*S66)*S10/1000000000</f>
        <v>400.2653184</v>
      </c>
      <c r="T67" s="74" t="s">
        <v>1150</v>
      </c>
    </row>
    <row r="68" customFormat="false" ht="15" hidden="false" customHeight="false" outlineLevel="0" collapsed="false">
      <c r="A68" s="76" t="s">
        <v>901</v>
      </c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</row>
    <row r="69" customFormat="false" ht="15" hidden="false" customHeight="false" outlineLevel="0" collapsed="false">
      <c r="A69" s="61" t="s">
        <v>546</v>
      </c>
      <c r="B69" s="62" t="s">
        <v>332</v>
      </c>
      <c r="C69" s="68" t="n">
        <f aca="false">C15*(1-C56)</f>
        <v>72</v>
      </c>
      <c r="D69" s="68" t="n">
        <f aca="false">D15*(1-D56)</f>
        <v>72</v>
      </c>
      <c r="E69" s="68" t="n">
        <f aca="false">E15*(1-E56)</f>
        <v>72</v>
      </c>
      <c r="F69" s="68" t="n">
        <f aca="false">F15*(1-F56)</f>
        <v>167.4</v>
      </c>
      <c r="G69" s="68" t="n">
        <f aca="false">G15*(1-G56)</f>
        <v>167.4</v>
      </c>
      <c r="H69" s="68" t="n">
        <f aca="false">H15*(1-H56)</f>
        <v>167.4</v>
      </c>
      <c r="I69" s="68" t="n">
        <f aca="false">I15*(1-I56)</f>
        <v>259.2</v>
      </c>
      <c r="J69" s="68" t="n">
        <f aca="false">J15*(1-J56)</f>
        <v>259.2</v>
      </c>
      <c r="K69" s="68" t="n">
        <f aca="false">K15*(1-K56)</f>
        <v>259.2</v>
      </c>
      <c r="L69" s="68" t="n">
        <f aca="false">L15*(1-L56)</f>
        <v>259.2</v>
      </c>
      <c r="M69" s="68" t="n">
        <f aca="false">M15*(1-M56)</f>
        <v>259.2</v>
      </c>
      <c r="N69" s="68" t="n">
        <f aca="false">N15*(1-N56)</f>
        <v>259.2</v>
      </c>
      <c r="O69" s="68" t="n">
        <f aca="false">O15*(1-O56)</f>
        <v>921.6</v>
      </c>
      <c r="P69" s="68" t="n">
        <f aca="false">P15*(1-P56)</f>
        <v>921.6</v>
      </c>
      <c r="Q69" s="68" t="n">
        <f aca="false">Q15*(1-Q56)</f>
        <v>921.6</v>
      </c>
      <c r="R69" s="68" t="n">
        <f aca="false">R15*(1-R56)</f>
        <v>259.2</v>
      </c>
      <c r="S69" s="68" t="n">
        <f aca="false">S15*(1-S56)</f>
        <v>259.2</v>
      </c>
    </row>
    <row r="70" customFormat="false" ht="15" hidden="false" customHeight="false" outlineLevel="0" collapsed="false">
      <c r="A70" s="61" t="s">
        <v>902</v>
      </c>
      <c r="B70" s="61"/>
      <c r="C70" s="105" t="n">
        <f aca="false">MAX(1,CEILING(C32*C20/(C57*C69),1))</f>
        <v>1</v>
      </c>
      <c r="D70" s="105" t="n">
        <f aca="false">MAX(1,CEILING(D32*D20/(D57*D69),1))</f>
        <v>2</v>
      </c>
      <c r="E70" s="105" t="n">
        <f aca="false">MAX(1,CEILING(E32*E20/(E57*E69),1))</f>
        <v>4</v>
      </c>
      <c r="F70" s="105" t="n">
        <f aca="false">MAX(1,CEILING(F32*F20/(F57*F69),1))</f>
        <v>1</v>
      </c>
      <c r="G70" s="105" t="n">
        <f aca="false">MAX(1,CEILING(G32*G20/(G57*G69),1))</f>
        <v>1</v>
      </c>
      <c r="H70" s="105" t="n">
        <f aca="false">MAX(1,CEILING(H32*H20/(H57*H69),1))</f>
        <v>2</v>
      </c>
      <c r="I70" s="105" t="n">
        <f aca="false">MAX(1,CEILING(I32*I20/(I57*I69),1))</f>
        <v>1</v>
      </c>
      <c r="J70" s="105" t="n">
        <f aca="false">MAX(1,CEILING(J32*J20/(J57*J69),1))</f>
        <v>1</v>
      </c>
      <c r="K70" s="105" t="n">
        <f aca="false">MAX(1,CEILING(K32*K20/(K57*K69),1))</f>
        <v>1</v>
      </c>
      <c r="L70" s="105" t="n">
        <f aca="false">MAX(1,CEILING(L32*L20/(L57*L69),1))</f>
        <v>1</v>
      </c>
      <c r="M70" s="105" t="n">
        <f aca="false">MAX(1,CEILING(M32*M20/(M57*M69),1))</f>
        <v>1</v>
      </c>
      <c r="N70" s="105" t="n">
        <f aca="false">MAX(1,CEILING(N32*N20/(N57*N69),1))</f>
        <v>1</v>
      </c>
      <c r="O70" s="105" t="n">
        <f aca="false">MAX(1,CEILING(O32*O20/(O57*O69),1))</f>
        <v>1</v>
      </c>
      <c r="P70" s="105" t="n">
        <f aca="false">MAX(1,CEILING(P32*P20/(P57*P69),1))</f>
        <v>1</v>
      </c>
      <c r="Q70" s="105" t="n">
        <f aca="false">MAX(1,CEILING(Q32*Q20/(Q57*Q69),1))</f>
        <v>1</v>
      </c>
      <c r="R70" s="105" t="n">
        <f aca="false">MAX(1,CEILING(R32*R20/(R57*R69),1))</f>
        <v>1</v>
      </c>
      <c r="S70" s="105" t="n">
        <f aca="false">MAX(1,CEILING(S32*S20/(S57*S69),1))</f>
        <v>1</v>
      </c>
    </row>
    <row r="71" customFormat="false" ht="15" hidden="false" customHeight="false" outlineLevel="0" collapsed="false">
      <c r="A71" s="62" t="s">
        <v>903</v>
      </c>
      <c r="B71" s="62" t="s">
        <v>697</v>
      </c>
      <c r="C71" s="68" t="n">
        <f aca="false">MAX(C18,CEILING(C33*C19/(C58*C69),1))</f>
        <v>64</v>
      </c>
      <c r="D71" s="68" t="n">
        <f aca="false">MAX(D18,CEILING(D33*D19/(D58*D69),1))</f>
        <v>64</v>
      </c>
      <c r="E71" s="68" t="n">
        <f aca="false">MAX(E18,CEILING(E33*E19/(E58*E69),1))</f>
        <v>138</v>
      </c>
      <c r="F71" s="68" t="n">
        <f aca="false">MAX(F18,CEILING(F33*F19/(F58*F69),1))</f>
        <v>32</v>
      </c>
      <c r="G71" s="68" t="n">
        <f aca="false">MAX(G18,CEILING(G33*G19/(G58*G69),1))</f>
        <v>32</v>
      </c>
      <c r="H71" s="68" t="n">
        <f aca="false">MAX(H18,CEILING(H33*H19/(H58*H69),1))</f>
        <v>34</v>
      </c>
      <c r="I71" s="68" t="n">
        <f aca="false">MAX(I18,CEILING(I33*I19/(I58*I69),1))</f>
        <v>32</v>
      </c>
      <c r="J71" s="68" t="n">
        <f aca="false">MAX(J18,CEILING(J33*J19/(J58*J69),1))</f>
        <v>32</v>
      </c>
      <c r="K71" s="68" t="n">
        <f aca="false">MAX(K18,CEILING(K33*K19/(K58*K69),1))</f>
        <v>32</v>
      </c>
      <c r="L71" s="68" t="n">
        <f aca="false">MAX(L18,CEILING(L33*L19/(L58*L69),1))</f>
        <v>32</v>
      </c>
      <c r="M71" s="68" t="n">
        <f aca="false">MAX(M18,CEILING(M33*M19/(M58*M69),1))</f>
        <v>32</v>
      </c>
      <c r="N71" s="68" t="n">
        <f aca="false">MAX(N18,CEILING(N33*N19/(N58*N69),1))</f>
        <v>32</v>
      </c>
      <c r="O71" s="68" t="n">
        <f aca="false">MAX(O18,CEILING(O33*O19/(O58*O69),1))</f>
        <v>64</v>
      </c>
      <c r="P71" s="68" t="n">
        <f aca="false">MAX(P18,CEILING(P33*P19/(P58*P69),1))</f>
        <v>64</v>
      </c>
      <c r="Q71" s="68" t="n">
        <f aca="false">MAX(Q18,CEILING(Q33*Q19/(Q58*Q69),1))</f>
        <v>64</v>
      </c>
      <c r="R71" s="68" t="n">
        <f aca="false">MAX(R18,CEILING(R33*R19/(R58*R69),1))</f>
        <v>32</v>
      </c>
      <c r="S71" s="68" t="n">
        <f aca="false">MAX(S18,CEILING(S33*S19/(S58*S69),1))</f>
        <v>39</v>
      </c>
    </row>
    <row r="72" customFormat="false" ht="15" hidden="false" customHeight="false" outlineLevel="0" collapsed="false">
      <c r="A72" s="61" t="s">
        <v>552</v>
      </c>
      <c r="B72" s="62" t="s">
        <v>332</v>
      </c>
      <c r="C72" s="75" t="n">
        <f aca="false">C32*C20/C70+C33*C19/C71</f>
        <v>9.7649375</v>
      </c>
      <c r="D72" s="75" t="n">
        <f aca="false">D32*D20/D70+D33*D19/D71</f>
        <v>34.8220486111111</v>
      </c>
      <c r="E72" s="75" t="n">
        <f aca="false">E32*E20/E70+E33*E19/E71</f>
        <v>40.898053997195</v>
      </c>
      <c r="F72" s="75" t="n">
        <f aca="false">F32*F20/F70+F33*F19/F71</f>
        <v>10.3090546875</v>
      </c>
      <c r="G72" s="75" t="n">
        <f aca="false">G32*G20/G70+G33*G19/G71</f>
        <v>48.0463324652778</v>
      </c>
      <c r="H72" s="75" t="n">
        <f aca="false">H32*H20/H70+H33*H19/H71</f>
        <v>89.9008983633776</v>
      </c>
      <c r="I72" s="75" t="n">
        <f aca="false">I32*I20/I70+I33*I19/I71</f>
        <v>10.3090546875</v>
      </c>
      <c r="J72" s="75" t="n">
        <f aca="false">J32*J20/J70+J33*J19/J71</f>
        <v>48.0463324652778</v>
      </c>
      <c r="K72" s="75" t="n">
        <f aca="false">K32*K20/K70+K33*K19/K71</f>
        <v>118.522476688508</v>
      </c>
      <c r="L72" s="75" t="n">
        <f aca="false">L32*L20/L70+L33*L19/L71</f>
        <v>10.3090546875</v>
      </c>
      <c r="M72" s="75" t="n">
        <f aca="false">M32*M20/M70+M33*M19/M71</f>
        <v>48.0463324652778</v>
      </c>
      <c r="N72" s="75" t="n">
        <f aca="false">N32*N20/N70+N33*N19/N71</f>
        <v>118.522476688508</v>
      </c>
      <c r="O72" s="75" t="n">
        <f aca="false">O32*O20/O70+O33*O19/O71</f>
        <v>7.86052734375</v>
      </c>
      <c r="P72" s="75" t="n">
        <f aca="false">P32*P20/P70+P33*P19/P71</f>
        <v>34.1620551215278</v>
      </c>
      <c r="Q72" s="75" t="n">
        <f aca="false">Q32*Q20/Q70+Q33*Q19/Q71</f>
        <v>83.7975286668347</v>
      </c>
      <c r="R72" s="75" t="n">
        <f aca="false">R32*R20/R70+R33*R19/R71</f>
        <v>69.6440972222222</v>
      </c>
      <c r="S72" s="75" t="n">
        <f aca="false">S32*S20/S70+S33*S19/S71</f>
        <v>150.37841191067</v>
      </c>
    </row>
    <row r="73" customFormat="false" ht="15" hidden="false" customHeight="false" outlineLevel="0" collapsed="false">
      <c r="A73" s="61" t="s">
        <v>904</v>
      </c>
      <c r="B73" s="62" t="s">
        <v>113</v>
      </c>
      <c r="C73" s="85" t="n">
        <f aca="false">C72/C69</f>
        <v>0.135624131944444</v>
      </c>
      <c r="D73" s="85" t="n">
        <f aca="false">D72/D69</f>
        <v>0.48363956404321</v>
      </c>
      <c r="E73" s="85" t="n">
        <f aca="false">E72/E69</f>
        <v>0.568028527738819</v>
      </c>
      <c r="F73" s="85" t="n">
        <f aca="false">F72/F69</f>
        <v>0.0615833613351255</v>
      </c>
      <c r="G73" s="85" t="n">
        <f aca="false">G72/G69</f>
        <v>0.287015128227466</v>
      </c>
      <c r="H73" s="85" t="n">
        <f aca="false">H72/H69</f>
        <v>0.537042403604406</v>
      </c>
      <c r="I73" s="85" t="n">
        <f aca="false">I72/I69</f>
        <v>0.0397725875289352</v>
      </c>
      <c r="J73" s="85" t="n">
        <f aca="false">J72/J69</f>
        <v>0.185363936980238</v>
      </c>
      <c r="K73" s="85" t="n">
        <f aca="false">K72/K69</f>
        <v>0.45726264154517</v>
      </c>
      <c r="L73" s="85" t="n">
        <f aca="false">L72/L69</f>
        <v>0.0397725875289352</v>
      </c>
      <c r="M73" s="85" t="n">
        <f aca="false">M72/M69</f>
        <v>0.185363936980238</v>
      </c>
      <c r="N73" s="85" t="n">
        <f aca="false">N72/N69</f>
        <v>0.45726264154517</v>
      </c>
      <c r="O73" s="85" t="n">
        <f aca="false">O72/O69</f>
        <v>0.00852921803792318</v>
      </c>
      <c r="P73" s="85" t="n">
        <f aca="false">P72/P69</f>
        <v>0.0370682021717966</v>
      </c>
      <c r="Q73" s="85" t="n">
        <f aca="false">Q72/Q69</f>
        <v>0.0909261378763397</v>
      </c>
      <c r="R73" s="85" t="n">
        <f aca="false">R72/R69</f>
        <v>0.268688646690672</v>
      </c>
      <c r="S73" s="85" t="n">
        <f aca="false">S72/S69</f>
        <v>0.580163626198573</v>
      </c>
    </row>
    <row r="74" customFormat="false" ht="15" hidden="false" customHeight="false" outlineLevel="0" collapsed="false">
      <c r="A74" s="76" t="s">
        <v>905</v>
      </c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</row>
    <row r="75" customFormat="false" ht="15" hidden="false" customHeight="false" outlineLevel="0" collapsed="false">
      <c r="A75" s="62" t="s">
        <v>906</v>
      </c>
      <c r="B75" s="62" t="s">
        <v>389</v>
      </c>
      <c r="C75" s="68" t="n">
        <f aca="false">C51*C14*1000000000000000/(C67*1000000000)</f>
        <v>9184.07105108283</v>
      </c>
      <c r="D75" s="68" t="n">
        <f aca="false">D51*D14*1000000000000000/(D67*1000000000)</f>
        <v>2255.8471167441</v>
      </c>
      <c r="E75" s="68" t="n">
        <f aca="false">E51*E14*1000000000000000/(E67*1000000000)</f>
        <v>741.258326317187</v>
      </c>
      <c r="F75" s="68" t="n">
        <f aca="false">F51*F14*1000000000000000/(F67*1000000000)</f>
        <v>92862.1946520003</v>
      </c>
      <c r="G75" s="68" t="n">
        <f aca="false">G51*G14*1000000000000000/(G67*1000000000)</f>
        <v>22809.3742845713</v>
      </c>
      <c r="H75" s="68" t="n">
        <f aca="false">H51*H14*1000000000000000/(H67*1000000000)</f>
        <v>7495.02857752464</v>
      </c>
      <c r="I75" s="68" t="n">
        <f aca="false">I51*I14*1000000000000000/(I67*1000000000)</f>
        <v>139293.291978</v>
      </c>
      <c r="J75" s="68" t="n">
        <f aca="false">J51*J14*1000000000000000/(J67*1000000000)</f>
        <v>34214.061426857</v>
      </c>
      <c r="K75" s="68" t="n">
        <f aca="false">K51*K14*1000000000000000/(K67*1000000000)</f>
        <v>11242.542866287</v>
      </c>
      <c r="L75" s="68" t="n">
        <f aca="false">L51*L14*1000000000000000/(L67*1000000000)</f>
        <v>325017.681282001</v>
      </c>
      <c r="M75" s="68" t="n">
        <f aca="false">M51*M14*1000000000000000/(M67*1000000000)</f>
        <v>79832.8099959996</v>
      </c>
      <c r="N75" s="68" t="n">
        <f aca="false">N51*N14*1000000000000000/(N67*1000000000)</f>
        <v>26232.6000213363</v>
      </c>
      <c r="O75" s="68" t="n">
        <f aca="false">O51*O14*1000000000000000/(O67*1000000000)</f>
        <v>650035.362564002</v>
      </c>
      <c r="P75" s="68" t="n">
        <f aca="false">P51*P14*1000000000000000/(P67*1000000000)</f>
        <v>159665.619991999</v>
      </c>
      <c r="Q75" s="68" t="n">
        <f aca="false">Q51*Q14*1000000000000000/(Q67*1000000000)</f>
        <v>52465.2000426725</v>
      </c>
      <c r="R75" s="68" t="n">
        <f aca="false">R51*R14*1000000000000000/(R67*1000000000)</f>
        <v>39916.4049979998</v>
      </c>
      <c r="S75" s="68" t="n">
        <f aca="false">S51*S14*1000000000000000/(S67*1000000000)</f>
        <v>13116.3000106681</v>
      </c>
    </row>
    <row r="76" customFormat="false" ht="15" hidden="false" customHeight="false" outlineLevel="0" collapsed="false">
      <c r="A76" s="62" t="s">
        <v>1151</v>
      </c>
      <c r="B76" s="62" t="s">
        <v>392</v>
      </c>
      <c r="C76" s="77" t="n">
        <f aca="false">C43*C67*1000000000/(C51*C14*1000000000000000*C21)</f>
        <v>0.055748697625726</v>
      </c>
      <c r="D76" s="77" t="n">
        <f aca="false">D43*D67*1000000000/(D51*D14*1000000000000000*D21)</f>
        <v>0.453931470975726</v>
      </c>
      <c r="E76" s="77" t="n">
        <f aca="false">E43*E67*1000000000/(E51*E14*1000000000000000*E21)</f>
        <v>2.76286947112639</v>
      </c>
      <c r="F76" s="77" t="n">
        <f aca="false">F43*F67*1000000000/(F51*F14*1000000000000000*F21)</f>
        <v>0.0110270923903686</v>
      </c>
      <c r="G76" s="77" t="n">
        <f aca="false">G43*G67*1000000000/(G51*G14*1000000000000000*G21)</f>
        <v>0.0897876449589985</v>
      </c>
      <c r="H76" s="77" t="n">
        <f aca="false">H43*H67*1000000000/(H51*H14*1000000000000000*H21)</f>
        <v>0.5464955813888</v>
      </c>
      <c r="I76" s="77" t="n">
        <f aca="false">I43*I67*1000000000/(I51*I14*1000000000000000*I21)</f>
        <v>0.0073513949269124</v>
      </c>
      <c r="J76" s="77" t="n">
        <f aca="false">J43*J67*1000000000/(J51*J14*1000000000000000*J21)</f>
        <v>0.0598584299726657</v>
      </c>
      <c r="K76" s="77" t="n">
        <f aca="false">K43*K67*1000000000/(K51*K14*1000000000000000*K21)</f>
        <v>0.364330387592533</v>
      </c>
      <c r="L76" s="77" t="n">
        <f aca="false">L43*L67*1000000000/(L51*L14*1000000000000000*L21)</f>
        <v>0.0031505978258196</v>
      </c>
      <c r="M76" s="77" t="n">
        <f aca="false">M43*M67*1000000000/(M51*M14*1000000000000000*M21)</f>
        <v>0.0256536128454282</v>
      </c>
      <c r="N76" s="77" t="n">
        <f aca="false">N43*N67*1000000000/(N51*N14*1000000000000000*N21)</f>
        <v>0.156141594682514</v>
      </c>
      <c r="O76" s="77" t="n">
        <f aca="false">O43*O67*1000000000/(O51*O14*1000000000000000*O21)</f>
        <v>0.0007876494564549</v>
      </c>
      <c r="P76" s="77" t="n">
        <f aca="false">P43*P67*1000000000/(P51*P14*1000000000000000*P21)</f>
        <v>0.00641340321135704</v>
      </c>
      <c r="Q76" s="77" t="n">
        <f aca="false">Q43*Q67*1000000000/(Q51*Q14*1000000000000000*Q21)</f>
        <v>0.0390353986706286</v>
      </c>
      <c r="R76" s="77" t="n">
        <f aca="false">R43*R67*1000000000/(R51*R14*1000000000000000*R21)</f>
        <v>0.0513072256908563</v>
      </c>
      <c r="S76" s="77" t="n">
        <f aca="false">S43*S67*1000000000/(S51*S14*1000000000000000*S21)</f>
        <v>0.312283189365029</v>
      </c>
    </row>
    <row r="77" customFormat="false" ht="15" hidden="false" customHeight="false" outlineLevel="0" collapsed="false">
      <c r="A77" s="62" t="s">
        <v>908</v>
      </c>
      <c r="B77" s="61"/>
      <c r="C77" s="61" t="str">
        <f aca="false">IF(C76&lt;=C42,"是","否")</f>
        <v>是</v>
      </c>
      <c r="D77" s="61" t="str">
        <f aca="false">IF(D76&lt;=D42,"是","否")</f>
        <v>是</v>
      </c>
      <c r="E77" s="61" t="str">
        <f aca="false">IF(E76&lt;=E42,"是","否")</f>
        <v>是</v>
      </c>
      <c r="F77" s="61" t="str">
        <f aca="false">IF(F76&lt;=F42,"是","否")</f>
        <v>是</v>
      </c>
      <c r="G77" s="61" t="str">
        <f aca="false">IF(G76&lt;=G42,"是","否")</f>
        <v>是</v>
      </c>
      <c r="H77" s="61" t="str">
        <f aca="false">IF(H76&lt;=H42,"是","否")</f>
        <v>是</v>
      </c>
      <c r="I77" s="61" t="str">
        <f aca="false">IF(I76&lt;=I42,"是","否")</f>
        <v>是</v>
      </c>
      <c r="J77" s="61" t="str">
        <f aca="false">IF(J76&lt;=J42,"是","否")</f>
        <v>是</v>
      </c>
      <c r="K77" s="61" t="str">
        <f aca="false">IF(K76&lt;=K42,"是","否")</f>
        <v>是</v>
      </c>
      <c r="L77" s="61" t="str">
        <f aca="false">IF(L76&lt;=L42,"是","否")</f>
        <v>是</v>
      </c>
      <c r="M77" s="61" t="str">
        <f aca="false">IF(M76&lt;=M42,"是","否")</f>
        <v>是</v>
      </c>
      <c r="N77" s="61" t="str">
        <f aca="false">IF(N76&lt;=N42,"是","否")</f>
        <v>是</v>
      </c>
      <c r="O77" s="61" t="str">
        <f aca="false">IF(O76&lt;=O42,"是","否")</f>
        <v>是</v>
      </c>
      <c r="P77" s="61" t="str">
        <f aca="false">IF(P76&lt;=P42,"是","否")</f>
        <v>是</v>
      </c>
      <c r="Q77" s="61" t="str">
        <f aca="false">IF(Q76&lt;=Q42,"是","否")</f>
        <v>是</v>
      </c>
      <c r="R77" s="61" t="str">
        <f aca="false">IF(R76&lt;=R42,"是","否")</f>
        <v>是</v>
      </c>
      <c r="S77" s="61" t="str">
        <f aca="false">IF(S76&lt;=S42,"是","否")</f>
        <v>是</v>
      </c>
    </row>
    <row r="78" customFormat="false" ht="15" hidden="false" customHeight="false" outlineLevel="0" collapsed="false">
      <c r="A78" s="76" t="s">
        <v>909</v>
      </c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</row>
    <row r="79" customFormat="false" ht="15" hidden="false" customHeight="false" outlineLevel="0" collapsed="false">
      <c r="A79" s="61" t="s">
        <v>910</v>
      </c>
      <c r="B79" s="62" t="s">
        <v>561</v>
      </c>
      <c r="C79" s="72" t="n">
        <f aca="false">C72/C16+(C29+C47)*C55/1000</f>
        <v>14.0366950476431</v>
      </c>
      <c r="D79" s="72" t="n">
        <f aca="false">D72/D16+(D29+D47)*D55/1000</f>
        <v>25.8684338372861</v>
      </c>
      <c r="E79" s="72" t="n">
        <f aca="false">E72/E16+(E29+E47)*E55/1000</f>
        <v>37.1115090691772</v>
      </c>
      <c r="F79" s="72" t="n">
        <f aca="false">F72/F16+(F29+F47)*F55/1000</f>
        <v>8.70315739008759</v>
      </c>
      <c r="G79" s="72" t="n">
        <f aca="false">G72/G16+(G29+G47)*G55/1000</f>
        <v>16.3216531987164</v>
      </c>
      <c r="H79" s="72" t="n">
        <f aca="false">H72/H16+(H29+H47)*H55/1000</f>
        <v>27.8397021231931</v>
      </c>
      <c r="I79" s="72" t="n">
        <f aca="false">I72/I16+(I29+I47)*I55/1000</f>
        <v>8.70315739008759</v>
      </c>
      <c r="J79" s="72" t="n">
        <f aca="false">J72/J16+(J29+J47)*J55/1000</f>
        <v>16.3216531987164</v>
      </c>
      <c r="K79" s="72" t="n">
        <f aca="false">K72/K16+(K29+K47)*K55/1000</f>
        <v>31.4173994138344</v>
      </c>
      <c r="L79" s="72" t="n">
        <f aca="false">L72/L16+(L29+L47)*L55/1000</f>
        <v>7.88311894903646</v>
      </c>
      <c r="M79" s="72" t="n">
        <f aca="false">M72/M16+(M29+M47)*M55/1000</f>
        <v>12.4997858435238</v>
      </c>
      <c r="N79" s="72" t="n">
        <f aca="false">N72/N16+(N29+N47)*N55/1000</f>
        <v>21.989475131794</v>
      </c>
      <c r="O79" s="72" t="n">
        <f aca="false">O72/O16+(O29+O47)*O55/1000</f>
        <v>7.66016703364228</v>
      </c>
      <c r="P79" s="72" t="n">
        <f aca="false">P72/P16+(P29+P47)*P55/1000</f>
        <v>11.3834258631044</v>
      </c>
      <c r="Q79" s="72" t="n">
        <f aca="false">Q72/Q16+(Q29+Q47)*Q55/1000</f>
        <v>19.2207625986094</v>
      </c>
      <c r="R79" s="72" t="n">
        <f aca="false">R72/R16+(R29+R47)*R55/1000</f>
        <v>13.4815024233849</v>
      </c>
      <c r="S79" s="72" t="n">
        <f aca="false">S72/S16+(S29+S47)*S55/1000</f>
        <v>23.4374721873468</v>
      </c>
    </row>
    <row r="80" customFormat="false" ht="15" hidden="false" customHeight="false" outlineLevel="0" collapsed="false">
      <c r="A80" s="61" t="s">
        <v>911</v>
      </c>
      <c r="B80" s="62" t="s">
        <v>561</v>
      </c>
      <c r="C80" s="73" t="n">
        <f aca="false">(C47+1)*C65/(C14*C53)/1000</f>
        <v>1.82389430895692</v>
      </c>
      <c r="D80" s="73" t="n">
        <f aca="false">(D47+1)*D65/(D14*D53)/1000</f>
        <v>6.28006550998833</v>
      </c>
      <c r="E80" s="73" t="n">
        <f aca="false">(E47+1)*E65/(E14*E53)/1000</f>
        <v>24.546216389096</v>
      </c>
      <c r="F80" s="73" t="n">
        <f aca="false">(F47+1)*F65/(F14*F53)/1000</f>
        <v>0.43313842049109</v>
      </c>
      <c r="G80" s="73" t="n">
        <f aca="false">(G47+1)*G65/(G14*G53)/1000</f>
        <v>1.49138995731203</v>
      </c>
      <c r="H80" s="73" t="n">
        <f aca="false">(H47+1)*H65/(H14*H53)/1000</f>
        <v>5.82923546808251</v>
      </c>
      <c r="I80" s="73" t="n">
        <f aca="false">(I47+1)*I65/(I14*I53)/1000</f>
        <v>0.28875894699406</v>
      </c>
      <c r="J80" s="73" t="n">
        <f aca="false">(J47+1)*J65/(J14*J53)/1000</f>
        <v>0.994259971541353</v>
      </c>
      <c r="K80" s="73" t="n">
        <f aca="false">(K47+1)*K65/(K14*K53)/1000</f>
        <v>3.88615697872167</v>
      </c>
      <c r="L80" s="73" t="n">
        <f aca="false">(L47+1)*L65/(L14*L53)/1000</f>
        <v>0.165005112568034</v>
      </c>
      <c r="M80" s="73" t="n">
        <f aca="false">(M47+1)*M65/(M14*M53)/1000</f>
        <v>0.568148555166487</v>
      </c>
      <c r="N80" s="73" t="n">
        <f aca="false">(N47+1)*N65/(N14*N53)/1000</f>
        <v>2.2206611306981</v>
      </c>
      <c r="O80" s="73" t="n">
        <f aca="false">(O47+1)*O65/(O14*O53)/1000</f>
        <v>0.0618769172130129</v>
      </c>
      <c r="P80" s="73" t="n">
        <f aca="false">(P47+1)*P65/(P14*P53)/1000</f>
        <v>0.213055708187433</v>
      </c>
      <c r="Q80" s="73" t="n">
        <f aca="false">(Q47+1)*Q65/(Q14*Q53)/1000</f>
        <v>0.832747924011788</v>
      </c>
      <c r="R80" s="73" t="n">
        <f aca="false">(R47+1)*R65/(R14*R53)/1000</f>
        <v>0.852222832749731</v>
      </c>
      <c r="S80" s="73" t="n">
        <f aca="false">(S47+1)*S65/(S14*S53)/1000</f>
        <v>3.33099169604715</v>
      </c>
    </row>
    <row r="81" customFormat="false" ht="15" hidden="false" customHeight="false" outlineLevel="0" collapsed="false">
      <c r="A81" s="61" t="s">
        <v>912</v>
      </c>
      <c r="B81" s="62" t="s">
        <v>561</v>
      </c>
      <c r="C81" s="73" t="n">
        <f aca="false">C34*C45/(C16*C60)/1000000000</f>
        <v>0.00976402558635395</v>
      </c>
      <c r="D81" s="73" t="n">
        <f aca="false">D34*D45/(D16*D60)/1000000000</f>
        <v>0.0277025842217484</v>
      </c>
      <c r="E81" s="73" t="n">
        <f aca="false">E34*E45/(E16*E60)/1000000000</f>
        <v>0.80487710021322</v>
      </c>
      <c r="F81" s="73" t="n">
        <f aca="false">F34*F45/(F16*F60)/1000000000</f>
        <v>0.00408868571428572</v>
      </c>
      <c r="G81" s="73" t="n">
        <f aca="false">G34*G45/(G16*G60)/1000000000</f>
        <v>0.0116004571428571</v>
      </c>
      <c r="H81" s="73" t="n">
        <f aca="false">H34*H45/(H16*H60)/1000000000</f>
        <v>0.337042285714286</v>
      </c>
      <c r="I81" s="73" t="n">
        <f aca="false">I34*I45/(I16*I60)/1000000000</f>
        <v>0.00408868571428572</v>
      </c>
      <c r="J81" s="73" t="n">
        <f aca="false">J34*J45/(J16*J60)/1000000000</f>
        <v>0.0116004571428571</v>
      </c>
      <c r="K81" s="73" t="n">
        <f aca="false">K34*K45/(K16*K60)/1000000000</f>
        <v>0.337042285714286</v>
      </c>
      <c r="L81" s="73" t="n">
        <f aca="false">L34*L45/(L16*L60)/1000000000</f>
        <v>0.00148679480519481</v>
      </c>
      <c r="M81" s="73" t="n">
        <f aca="false">M34*M45/(M16*M60)/1000000000</f>
        <v>0.00421834805194805</v>
      </c>
      <c r="N81" s="73" t="n">
        <f aca="false">N34*N45/(N16*N60)/1000000000</f>
        <v>0.122560831168831</v>
      </c>
      <c r="O81" s="73" t="n">
        <f aca="false">O34*O45/(O16*O60)/1000000000</f>
        <v>0.00102217142857143</v>
      </c>
      <c r="P81" s="73" t="n">
        <f aca="false">P34*P45/(P16*P60)/1000000000</f>
        <v>0.00290011428571429</v>
      </c>
      <c r="Q81" s="73" t="n">
        <f aca="false">Q34*Q45/(Q16*Q60)/1000000000</f>
        <v>0.0842605714285714</v>
      </c>
      <c r="R81" s="73" t="n">
        <f aca="false">R34*R45/(R16*R60)/1000000000</f>
        <v>0.00421834805194805</v>
      </c>
      <c r="S81" s="73" t="n">
        <f aca="false">S34*S45/(S16*S60)/1000000000</f>
        <v>0.122560831168831</v>
      </c>
    </row>
    <row r="82" customFormat="false" ht="15" hidden="false" customHeight="false" outlineLevel="0" collapsed="false">
      <c r="A82" s="61" t="s">
        <v>913</v>
      </c>
      <c r="B82" s="62" t="s">
        <v>561</v>
      </c>
      <c r="C82" s="73" t="n">
        <f aca="false">(C47+1)*C29*C31*C30*C59*(C71-1)/C71/(C17*C61)/1000000000</f>
        <v>0.3566592</v>
      </c>
      <c r="D82" s="73" t="n">
        <f aca="false">(D47+1)*D29*D31*D30*D59*(D71-1)/D71/(D17*D61)/1000000000</f>
        <v>0.8854272</v>
      </c>
      <c r="E82" s="73" t="n">
        <f aca="false">(E47+1)*E29*E31*E30*E59*(E71-1)/E71/(E17*E61)/1000000000</f>
        <v>6.69199900621118</v>
      </c>
      <c r="F82" s="73" t="n">
        <f aca="false">(F47+1)*F29*F31*F30*F59*(F71-1)/F71/(F17*F61)/1000000000</f>
        <v>0.0194998857142857</v>
      </c>
      <c r="G82" s="73" t="n">
        <f aca="false">(G47+1)*G29*G31*G30*G59*(G71-1)/G71/(G17*G61)/1000000000</f>
        <v>0.0484096</v>
      </c>
      <c r="H82" s="73" t="n">
        <f aca="false">(H47+1)*H29*H31*H30*H59*(H71-1)/H71/(H17*H61)/1000000000</f>
        <v>0.363476974789916</v>
      </c>
      <c r="I82" s="73" t="n">
        <f aca="false">(I47+1)*I29*I31*I30*I59*(I71-1)/I71/(I17*I61)/1000000000</f>
        <v>0.0194998857142857</v>
      </c>
      <c r="J82" s="73" t="n">
        <f aca="false">(J47+1)*J29*J31*J30*J59*(J71-1)/J71/(J17*J61)/1000000000</f>
        <v>0.0484096</v>
      </c>
      <c r="K82" s="73" t="n">
        <f aca="false">(K47+1)*K29*K31*K30*K59*(K71-1)/K71/(K17*K61)/1000000000</f>
        <v>0.362788571428571</v>
      </c>
      <c r="L82" s="73" t="n">
        <f aca="false">(L47+1)*L29*L31*L30*L59*(L71-1)/L71/(L17*L61)/1000000000</f>
        <v>0.00974994285714286</v>
      </c>
      <c r="M82" s="73" t="n">
        <f aca="false">(M47+1)*M29*M31*M30*M59*(M71-1)/M71/(M17*M61)/1000000000</f>
        <v>0.0242048</v>
      </c>
      <c r="N82" s="73" t="n">
        <f aca="false">(N47+1)*N29*N31*N30*N59*(N71-1)/N71/(N17*N61)/1000000000</f>
        <v>0.181394285714286</v>
      </c>
      <c r="O82" s="73" t="n">
        <f aca="false">(O47+1)*O29*O31*O30*O59*(O71-1)/O71/(O17*O61)/1000000000</f>
        <v>0.0099072</v>
      </c>
      <c r="P82" s="73" t="n">
        <f aca="false">(P47+1)*P29*P31*P30*P59*(P71-1)/P71/(P17*P61)/1000000000</f>
        <v>0.0245952</v>
      </c>
      <c r="Q82" s="73" t="n">
        <f aca="false">(Q47+1)*Q29*Q31*Q30*Q59*(Q71-1)/Q71/(Q17*Q61)/1000000000</f>
        <v>0.18432</v>
      </c>
      <c r="R82" s="73" t="n">
        <f aca="false">(R47+1)*R29*R31*R30*R59*(R71-1)/R71/(R17*R61)/1000000000</f>
        <v>0.0242048</v>
      </c>
      <c r="S82" s="73" t="n">
        <f aca="false">(S47+1)*S29*S31*S30*S59*(S71-1)/S71/(S17*S61)/1000000000</f>
        <v>0.182444542124542</v>
      </c>
    </row>
    <row r="83" customFormat="false" ht="15" hidden="false" customHeight="false" outlineLevel="0" collapsed="false">
      <c r="A83" s="61" t="s">
        <v>914</v>
      </c>
      <c r="B83" s="62" t="s">
        <v>561</v>
      </c>
      <c r="C83" s="73" t="n">
        <f aca="false">MAX(C80,C81,C82)</f>
        <v>1.82389430895692</v>
      </c>
      <c r="D83" s="73" t="n">
        <f aca="false">MAX(D80,D81,D82)</f>
        <v>6.28006550998833</v>
      </c>
      <c r="E83" s="73" t="n">
        <f aca="false">MAX(E80,E81,E82)</f>
        <v>24.546216389096</v>
      </c>
      <c r="F83" s="73" t="n">
        <f aca="false">MAX(F80,F81,F82)</f>
        <v>0.43313842049109</v>
      </c>
      <c r="G83" s="73" t="n">
        <f aca="false">MAX(G80,G81,G82)</f>
        <v>1.49138995731203</v>
      </c>
      <c r="H83" s="73" t="n">
        <f aca="false">MAX(H80,H81,H82)</f>
        <v>5.82923546808251</v>
      </c>
      <c r="I83" s="73" t="n">
        <f aca="false">MAX(I80,I81,I82)</f>
        <v>0.28875894699406</v>
      </c>
      <c r="J83" s="73" t="n">
        <f aca="false">MAX(J80,J81,J82)</f>
        <v>0.994259971541353</v>
      </c>
      <c r="K83" s="73" t="n">
        <f aca="false">MAX(K80,K81,K82)</f>
        <v>3.88615697872167</v>
      </c>
      <c r="L83" s="73" t="n">
        <f aca="false">MAX(L80,L81,L82)</f>
        <v>0.165005112568034</v>
      </c>
      <c r="M83" s="73" t="n">
        <f aca="false">MAX(M80,M81,M82)</f>
        <v>0.568148555166487</v>
      </c>
      <c r="N83" s="73" t="n">
        <f aca="false">MAX(N80,N81,N82)</f>
        <v>2.2206611306981</v>
      </c>
      <c r="O83" s="73" t="n">
        <f aca="false">MAX(O80,O81,O82)</f>
        <v>0.0618769172130129</v>
      </c>
      <c r="P83" s="73" t="n">
        <f aca="false">MAX(P80,P81,P82)</f>
        <v>0.213055708187433</v>
      </c>
      <c r="Q83" s="73" t="n">
        <f aca="false">MAX(Q80,Q81,Q82)</f>
        <v>0.832747924011788</v>
      </c>
      <c r="R83" s="73" t="n">
        <f aca="false">MAX(R80,R81,R82)</f>
        <v>0.852222832749731</v>
      </c>
      <c r="S83" s="73" t="n">
        <f aca="false">MAX(S80,S81,S82)</f>
        <v>3.33099169604715</v>
      </c>
    </row>
    <row r="84" customFormat="false" ht="15" hidden="false" customHeight="false" outlineLevel="0" collapsed="false">
      <c r="A84" s="61" t="s">
        <v>915</v>
      </c>
      <c r="B84" s="61"/>
      <c r="C84" s="61" t="str">
        <f aca="false">IF(C83=C80,"算力",IF(C83=C81,"KV 頻寬","EP 通訊"))</f>
        <v>算力</v>
      </c>
      <c r="D84" s="61" t="str">
        <f aca="false">IF(D83=D80,"算力",IF(D83=D81,"KV 頻寬","EP 通訊"))</f>
        <v>算力</v>
      </c>
      <c r="E84" s="61" t="str">
        <f aca="false">IF(E83=E80,"算力",IF(E83=E81,"KV 頻寬","EP 通訊"))</f>
        <v>算力</v>
      </c>
      <c r="F84" s="61" t="str">
        <f aca="false">IF(F83=F80,"算力",IF(F83=F81,"KV 頻寬","EP 通訊"))</f>
        <v>算力</v>
      </c>
      <c r="G84" s="61" t="str">
        <f aca="false">IF(G83=G80,"算力",IF(G83=G81,"KV 頻寬","EP 通訊"))</f>
        <v>算力</v>
      </c>
      <c r="H84" s="61" t="str">
        <f aca="false">IF(H83=H80,"算力",IF(H83=H81,"KV 頻寬","EP 通訊"))</f>
        <v>算力</v>
      </c>
      <c r="I84" s="61" t="str">
        <f aca="false">IF(I83=I80,"算力",IF(I83=I81,"KV 頻寬","EP 通訊"))</f>
        <v>算力</v>
      </c>
      <c r="J84" s="61" t="str">
        <f aca="false">IF(J83=J80,"算力",IF(J83=J81,"KV 頻寬","EP 通訊"))</f>
        <v>算力</v>
      </c>
      <c r="K84" s="61" t="str">
        <f aca="false">IF(K83=K80,"算力",IF(K83=K81,"KV 頻寬","EP 通訊"))</f>
        <v>算力</v>
      </c>
      <c r="L84" s="61" t="str">
        <f aca="false">IF(L83=L80,"算力",IF(L83=L81,"KV 頻寬","EP 通訊"))</f>
        <v>算力</v>
      </c>
      <c r="M84" s="61" t="str">
        <f aca="false">IF(M83=M80,"算力",IF(M83=M81,"KV 頻寬","EP 通訊"))</f>
        <v>算力</v>
      </c>
      <c r="N84" s="61" t="str">
        <f aca="false">IF(N83=N80,"算力",IF(N83=N81,"KV 頻寬","EP 通訊"))</f>
        <v>算力</v>
      </c>
      <c r="O84" s="61" t="str">
        <f aca="false">IF(O83=O80,"算力",IF(O83=O81,"KV 頻寬","EP 通訊"))</f>
        <v>算力</v>
      </c>
      <c r="P84" s="61" t="str">
        <f aca="false">IF(P83=P80,"算力",IF(P83=P81,"KV 頻寬","EP 通訊"))</f>
        <v>算力</v>
      </c>
      <c r="Q84" s="61" t="str">
        <f aca="false">IF(Q83=Q80,"算力",IF(Q83=Q81,"KV 頻寬","EP 通訊"))</f>
        <v>算力</v>
      </c>
      <c r="R84" s="61" t="str">
        <f aca="false">IF(R83=R80,"算力",IF(R83=R81,"KV 頻寬","EP 通訊"))</f>
        <v>算力</v>
      </c>
      <c r="S84" s="61" t="str">
        <f aca="false">IF(S83=S80,"算力",IF(S83=S81,"KV 頻寬","EP 通訊"))</f>
        <v>算力</v>
      </c>
    </row>
    <row r="85" customFormat="false" ht="15" hidden="false" customHeight="false" outlineLevel="0" collapsed="false">
      <c r="A85" s="62" t="s">
        <v>916</v>
      </c>
      <c r="B85" s="61" t="s">
        <v>567</v>
      </c>
      <c r="C85" s="75" t="n">
        <f aca="false">(1000*C49/C41-C79)/C83</f>
        <v>61.743328217719</v>
      </c>
      <c r="D85" s="75" t="n">
        <f aca="false">(1000*D49/D41-D79)/D83</f>
        <v>16.0478526859987</v>
      </c>
      <c r="E85" s="75" t="n">
        <f aca="false">(1000*E49/E41-E79)/E83</f>
        <v>3.6477512261563</v>
      </c>
      <c r="F85" s="75" t="n">
        <f aca="false">(1000*F49/F41-F79)/F83</f>
        <v>272.307505014644</v>
      </c>
      <c r="G85" s="75" t="n">
        <f aca="false">(1000*G49/G41-G79)/G83</f>
        <v>73.9768604853229</v>
      </c>
      <c r="H85" s="75" t="n">
        <f aca="false">(1000*H49/H41-H79)/H83</f>
        <v>16.9508160062901</v>
      </c>
      <c r="I85" s="75" t="n">
        <f aca="false">(1000*I49/I41-I79)/I83</f>
        <v>408.461257521966</v>
      </c>
      <c r="J85" s="75" t="n">
        <f aca="false">(1000*J49/J41-J79)/J83</f>
        <v>110.965290727984</v>
      </c>
      <c r="K85" s="75" t="n">
        <f aca="false">(1000*K49/K41-K79)/K83</f>
        <v>24.5055979744523</v>
      </c>
      <c r="L85" s="75" t="n">
        <f aca="false">(1000*L49/L41-L79)/L83</f>
        <v>719.7769766194</v>
      </c>
      <c r="M85" s="75" t="n">
        <f aca="false">(1000*M49/M41-M79)/M83</f>
        <v>200.916139130242</v>
      </c>
      <c r="N85" s="75" t="n">
        <f aca="false">(1000*N49/N41-N79)/N83</f>
        <v>47.1303448425309</v>
      </c>
      <c r="O85" s="75" t="n">
        <f aca="false">(1000*O49/O41-O79)/O83</f>
        <v>1923.00842261957</v>
      </c>
      <c r="P85" s="75" t="n">
        <f aca="false">(1000*P49/P41-P79)/P83</f>
        <v>541.016127272645</v>
      </c>
      <c r="Q85" s="75" t="n">
        <f aca="false">(1000*Q49/Q41-Q79)/Q83</f>
        <v>129.005710256048</v>
      </c>
      <c r="R85" s="75" t="n">
        <f aca="false">(1000*R49/R41-R79)/R83</f>
        <v>132.79214452806</v>
      </c>
      <c r="S85" s="75" t="n">
        <f aca="false">(1000*S49/S41-S79)/S83</f>
        <v>30.9855254022802</v>
      </c>
    </row>
    <row r="86" customFormat="false" ht="15" hidden="false" customHeight="false" outlineLevel="0" collapsed="false">
      <c r="A86" s="62" t="s">
        <v>917</v>
      </c>
      <c r="B86" s="61" t="s">
        <v>567</v>
      </c>
      <c r="C86" s="68" t="n">
        <f aca="false">(C69-C72)*1000000000/(C34*C45)</f>
        <v>2718.08712981468</v>
      </c>
      <c r="D86" s="68" t="n">
        <f aca="false">(D69-D72)*1000000000/(D34*D45)</f>
        <v>572.29812662692</v>
      </c>
      <c r="E86" s="68" t="n">
        <f aca="false">(E69-E72)*1000000000/(E34*E45)</f>
        <v>16.4784039406273</v>
      </c>
      <c r="F86" s="68" t="n">
        <f aca="false">(F69-F72)*1000000000/(F34*F45)</f>
        <v>6860.87326841406</v>
      </c>
      <c r="G86" s="68" t="n">
        <f aca="false">(G69-G72)*1000000000/(G34*G45)</f>
        <v>1837.26853644195</v>
      </c>
      <c r="H86" s="68" t="n">
        <f aca="false">(H69-H72)*1000000000/(H34*H45)</f>
        <v>41.0605015418913</v>
      </c>
      <c r="I86" s="68" t="n">
        <f aca="false">(I69-I72)*1000000000/(I34*I45)</f>
        <v>10870.1951601851</v>
      </c>
      <c r="J86" s="68" t="n">
        <f aca="false">(J69-J72)*1000000000/(J34*J45)</f>
        <v>3250.39018682026</v>
      </c>
      <c r="K86" s="68" t="n">
        <f aca="false">(K69-K72)*1000000000/(K34*K45)</f>
        <v>74.5336338210063</v>
      </c>
      <c r="L86" s="68" t="n">
        <f aca="false">(L69-L72)*1000000000/(L34*L45)</f>
        <v>10870.1951601851</v>
      </c>
      <c r="M86" s="68" t="n">
        <f aca="false">(M69-M72)*1000000000/(M34*M45)</f>
        <v>3250.39018682026</v>
      </c>
      <c r="N86" s="68" t="n">
        <f aca="false">(N69-N72)*1000000000/(N34*N45)</f>
        <v>74.5336338210063</v>
      </c>
      <c r="O86" s="68" t="n">
        <f aca="false">(O69-O72)*1000000000/(O34*O45)</f>
        <v>39907.1423866668</v>
      </c>
      <c r="P86" s="68" t="n">
        <f aca="false">(P69-P72)*1000000000/(P34*P45)</f>
        <v>13660.7600574619</v>
      </c>
      <c r="Q86" s="68" t="n">
        <f aca="false">(Q69-Q72)*1000000000/(Q34*Q45)</f>
        <v>443.883721740069</v>
      </c>
      <c r="R86" s="68" t="n">
        <f aca="false">(R69-R72)*1000000000/(R34*R45)</f>
        <v>2917.92538314035</v>
      </c>
      <c r="S86" s="68" t="n">
        <f aca="false">(S69-S72)*1000000000/(S34*S45)</f>
        <v>57.6557520174079</v>
      </c>
    </row>
    <row r="87" customFormat="false" ht="15" hidden="false" customHeight="false" outlineLevel="0" collapsed="false">
      <c r="A87" s="61" t="s">
        <v>918</v>
      </c>
      <c r="B87" s="61" t="s">
        <v>567</v>
      </c>
      <c r="C87" s="114" t="n">
        <f aca="false">MAX(0,MIN(C85,C86))</f>
        <v>61.743328217719</v>
      </c>
      <c r="D87" s="114" t="n">
        <f aca="false">MAX(0,MIN(D85,D86))</f>
        <v>16.0478526859987</v>
      </c>
      <c r="E87" s="114" t="n">
        <f aca="false">MAX(0,MIN(E85,E86))</f>
        <v>3.6477512261563</v>
      </c>
      <c r="F87" s="114" t="n">
        <f aca="false">MAX(0,MIN(F85,F86))</f>
        <v>272.307505014644</v>
      </c>
      <c r="G87" s="114" t="n">
        <f aca="false">MAX(0,MIN(G85,G86))</f>
        <v>73.9768604853229</v>
      </c>
      <c r="H87" s="114" t="n">
        <f aca="false">MAX(0,MIN(H85,H86))</f>
        <v>16.9508160062901</v>
      </c>
      <c r="I87" s="114" t="n">
        <f aca="false">MAX(0,MIN(I85,I86))</f>
        <v>408.461257521966</v>
      </c>
      <c r="J87" s="114" t="n">
        <f aca="false">MAX(0,MIN(J85,J86))</f>
        <v>110.965290727984</v>
      </c>
      <c r="K87" s="114" t="n">
        <f aca="false">MAX(0,MIN(K85,K86))</f>
        <v>24.5055979744523</v>
      </c>
      <c r="L87" s="114" t="n">
        <f aca="false">MAX(0,MIN(L85,L86))</f>
        <v>719.7769766194</v>
      </c>
      <c r="M87" s="114" t="n">
        <f aca="false">MAX(0,MIN(M85,M86))</f>
        <v>200.916139130242</v>
      </c>
      <c r="N87" s="114" t="n">
        <f aca="false">MAX(0,MIN(N85,N86))</f>
        <v>47.1303448425309</v>
      </c>
      <c r="O87" s="114" t="n">
        <f aca="false">MAX(0,MIN(O85,O86))</f>
        <v>1923.00842261957</v>
      </c>
      <c r="P87" s="114" t="n">
        <f aca="false">MAX(0,MIN(P85,P86))</f>
        <v>541.016127272645</v>
      </c>
      <c r="Q87" s="114" t="n">
        <f aca="false">MAX(0,MIN(Q85,Q86))</f>
        <v>129.005710256048</v>
      </c>
      <c r="R87" s="75" t="n">
        <f aca="false">MAX(0,MIN(R85,R86))</f>
        <v>132.79214452806</v>
      </c>
      <c r="S87" s="75" t="n">
        <f aca="false">MAX(0,MIN(S85,S86))</f>
        <v>30.9855254022802</v>
      </c>
    </row>
    <row r="88" customFormat="false" ht="15" hidden="false" customHeight="false" outlineLevel="0" collapsed="false">
      <c r="A88" s="62" t="s">
        <v>919</v>
      </c>
      <c r="B88" s="62" t="s">
        <v>389</v>
      </c>
      <c r="C88" s="71" t="n">
        <f aca="false">IF(C87&gt;0,C87*C49/((C79+C87*C83)/1000),0)</f>
        <v>1234.86656435438</v>
      </c>
      <c r="D88" s="71" t="n">
        <f aca="false">IF(D87&gt;0,D87*D49/((D79+D87*D83)/1000),0)</f>
        <v>320.957053719974</v>
      </c>
      <c r="E88" s="71" t="n">
        <f aca="false">IF(E87&gt;0,E87*E49/((E79+E87*E83)/1000),0)</f>
        <v>72.9550245231261</v>
      </c>
      <c r="F88" s="71" t="n">
        <f aca="false">IF(F87&gt;0,F87*F49/((F79+F87*F83)/1000),0)</f>
        <v>5446.15010029288</v>
      </c>
      <c r="G88" s="71" t="n">
        <f aca="false">IF(G87&gt;0,G87*G49/((G79+G87*G83)/1000),0)</f>
        <v>1479.53720970646</v>
      </c>
      <c r="H88" s="71" t="n">
        <f aca="false">IF(H87&gt;0,H87*H49/((H79+H87*H83)/1000),0)</f>
        <v>339.016320125802</v>
      </c>
      <c r="I88" s="71" t="n">
        <f aca="false">IF(I87&gt;0,I87*I49/((I79+I87*I83)/1000),0)</f>
        <v>8169.22515043932</v>
      </c>
      <c r="J88" s="71" t="n">
        <f aca="false">IF(J87&gt;0,J87*J49/((J79+J87*J83)/1000),0)</f>
        <v>2219.30581455969</v>
      </c>
      <c r="K88" s="71" t="n">
        <f aca="false">IF(K87&gt;0,K87*K49/((K79+K87*K83)/1000),0)</f>
        <v>490.111959489046</v>
      </c>
      <c r="L88" s="71" t="n">
        <f aca="false">IF(L87&gt;0,L87*L49/((L79+L87*L83)/1000),0)</f>
        <v>14395.539532388</v>
      </c>
      <c r="M88" s="71" t="n">
        <f aca="false">IF(M87&gt;0,M87*M49/((M79+M87*M83)/1000),0)</f>
        <v>4018.32278260485</v>
      </c>
      <c r="N88" s="71" t="n">
        <f aca="false">IF(N87&gt;0,N87*N49/((N79+N87*N83)/1000),0)</f>
        <v>942.606896850618</v>
      </c>
      <c r="O88" s="71" t="n">
        <f aca="false">IF(O87&gt;0,O87*O49/((O79+O87*O83)/1000),0)</f>
        <v>38460.1684523914</v>
      </c>
      <c r="P88" s="71" t="n">
        <f aca="false">IF(P87&gt;0,P87*P49/((P79+P87*P83)/1000),0)</f>
        <v>10820.3225454529</v>
      </c>
      <c r="Q88" s="71" t="n">
        <f aca="false">IF(Q87&gt;0,Q87*Q49/((Q79+Q87*Q83)/1000),0)</f>
        <v>2580.11420512097</v>
      </c>
      <c r="R88" s="68" t="n">
        <f aca="false">IF(R87&gt;0,R87*R49/((R79+R87*R83)/1000),0)</f>
        <v>2655.8428905612</v>
      </c>
      <c r="S88" s="68" t="n">
        <f aca="false">IF(S87&gt;0,S87*S49/((S79+S87*S83)/1000),0)</f>
        <v>619.710508045603</v>
      </c>
    </row>
    <row r="89" customFormat="false" ht="15" hidden="false" customHeight="false" outlineLevel="0" collapsed="false">
      <c r="A89" s="61" t="s">
        <v>920</v>
      </c>
      <c r="B89" s="62" t="s">
        <v>389</v>
      </c>
      <c r="C89" s="68" t="n">
        <f aca="false">IF(C87&gt;0,C49/((C79+C87*C83)/1000),0)</f>
        <v>20</v>
      </c>
      <c r="D89" s="68" t="n">
        <f aca="false">IF(D87&gt;0,D49/((D79+D87*D83)/1000),0)</f>
        <v>20</v>
      </c>
      <c r="E89" s="68" t="n">
        <f aca="false">IF(E87&gt;0,E49/((E79+E87*E83)/1000),0)</f>
        <v>20</v>
      </c>
      <c r="F89" s="68" t="n">
        <f aca="false">IF(F87&gt;0,F49/((F79+F87*F83)/1000),0)</f>
        <v>20</v>
      </c>
      <c r="G89" s="68" t="n">
        <f aca="false">IF(G87&gt;0,G49/((G79+G87*G83)/1000),0)</f>
        <v>20</v>
      </c>
      <c r="H89" s="68" t="n">
        <f aca="false">IF(H87&gt;0,H49/((H79+H87*H83)/1000),0)</f>
        <v>20</v>
      </c>
      <c r="I89" s="68" t="n">
        <f aca="false">IF(I87&gt;0,I49/((I79+I87*I83)/1000),0)</f>
        <v>20</v>
      </c>
      <c r="J89" s="68" t="n">
        <f aca="false">IF(J87&gt;0,J49/((J79+J87*J83)/1000),0)</f>
        <v>20</v>
      </c>
      <c r="K89" s="68" t="n">
        <f aca="false">IF(K87&gt;0,K49/((K79+K87*K83)/1000),0)</f>
        <v>20</v>
      </c>
      <c r="L89" s="68" t="n">
        <f aca="false">IF(L87&gt;0,L49/((L79+L87*L83)/1000),0)</f>
        <v>20</v>
      </c>
      <c r="M89" s="68" t="n">
        <f aca="false">IF(M87&gt;0,M49/((M79+M87*M83)/1000),0)</f>
        <v>20</v>
      </c>
      <c r="N89" s="68" t="n">
        <f aca="false">IF(N87&gt;0,N49/((N79+N87*N83)/1000),0)</f>
        <v>20</v>
      </c>
      <c r="O89" s="68" t="n">
        <f aca="false">IF(O87&gt;0,O49/((O79+O87*O83)/1000),0)</f>
        <v>20</v>
      </c>
      <c r="P89" s="68" t="n">
        <f aca="false">IF(P87&gt;0,P49/((P79+P87*P83)/1000),0)</f>
        <v>20</v>
      </c>
      <c r="Q89" s="68" t="n">
        <f aca="false">IF(Q87&gt;0,Q49/((Q79+Q87*Q83)/1000),0)</f>
        <v>20</v>
      </c>
      <c r="R89" s="68" t="n">
        <f aca="false">IF(R87&gt;0,R49/((R79+R87*R83)/1000),0)</f>
        <v>20</v>
      </c>
      <c r="S89" s="68" t="n">
        <f aca="false">IF(S87&gt;0,S49/((S79+S87*S83)/1000),0)</f>
        <v>20</v>
      </c>
    </row>
    <row r="90" customFormat="false" ht="15" hidden="false" customHeight="false" outlineLevel="0" collapsed="false">
      <c r="A90" s="61" t="s">
        <v>921</v>
      </c>
      <c r="B90" s="61"/>
      <c r="C90" s="115" t="str">
        <f aca="false">IF(C87&lt;=0,"SLO 不可達",IF(C77&lt;&gt;"是","TTFT 不可達",IF(C85&lt;=C86,"SLO（"&amp;C84&amp;"）","HBM 容量")))</f>
        <v>SLO（算力）</v>
      </c>
      <c r="D90" s="115" t="str">
        <f aca="false">IF(D87&lt;=0,"SLO 不可達",IF(D77&lt;&gt;"是","TTFT 不可達",IF(D85&lt;=D86,"SLO（"&amp;D84&amp;"）","HBM 容量")))</f>
        <v>SLO（算力）</v>
      </c>
      <c r="E90" s="115" t="str">
        <f aca="false">IF(E87&lt;=0,"SLO 不可達",IF(E77&lt;&gt;"是","TTFT 不可達",IF(E85&lt;=E86,"SLO（"&amp;E84&amp;"）","HBM 容量")))</f>
        <v>SLO（算力）</v>
      </c>
      <c r="F90" s="115" t="str">
        <f aca="false">IF(F87&lt;=0,"SLO 不可達",IF(F77&lt;&gt;"是","TTFT 不可達",IF(F85&lt;=F86,"SLO（"&amp;F84&amp;"）","HBM 容量")))</f>
        <v>SLO（算力）</v>
      </c>
      <c r="G90" s="115" t="str">
        <f aca="false">IF(G87&lt;=0,"SLO 不可達",IF(G77&lt;&gt;"是","TTFT 不可達",IF(G85&lt;=G86,"SLO（"&amp;G84&amp;"）","HBM 容量")))</f>
        <v>SLO（算力）</v>
      </c>
      <c r="H90" s="115" t="str">
        <f aca="false">IF(H87&lt;=0,"SLO 不可達",IF(H77&lt;&gt;"是","TTFT 不可達",IF(H85&lt;=H86,"SLO（"&amp;H84&amp;"）","HBM 容量")))</f>
        <v>SLO（算力）</v>
      </c>
      <c r="I90" s="115" t="str">
        <f aca="false">IF(I87&lt;=0,"SLO 不可達",IF(I77&lt;&gt;"是","TTFT 不可達",IF(I85&lt;=I86,"SLO（"&amp;I84&amp;"）","HBM 容量")))</f>
        <v>SLO（算力）</v>
      </c>
      <c r="J90" s="115" t="str">
        <f aca="false">IF(J87&lt;=0,"SLO 不可達",IF(J77&lt;&gt;"是","TTFT 不可達",IF(J85&lt;=J86,"SLO（"&amp;J84&amp;"）","HBM 容量")))</f>
        <v>SLO（算力）</v>
      </c>
      <c r="K90" s="115" t="str">
        <f aca="false">IF(K87&lt;=0,"SLO 不可達",IF(K77&lt;&gt;"是","TTFT 不可達",IF(K85&lt;=K86,"SLO（"&amp;K84&amp;"）","HBM 容量")))</f>
        <v>SLO（算力）</v>
      </c>
      <c r="L90" s="115" t="str">
        <f aca="false">IF(L87&lt;=0,"SLO 不可達",IF(L77&lt;&gt;"是","TTFT 不可達",IF(L85&lt;=L86,"SLO（"&amp;L84&amp;"）","HBM 容量")))</f>
        <v>SLO（算力）</v>
      </c>
      <c r="M90" s="115" t="str">
        <f aca="false">IF(M87&lt;=0,"SLO 不可達",IF(M77&lt;&gt;"是","TTFT 不可達",IF(M85&lt;=M86,"SLO（"&amp;M84&amp;"）","HBM 容量")))</f>
        <v>SLO（算力）</v>
      </c>
      <c r="N90" s="115" t="str">
        <f aca="false">IF(N87&lt;=0,"SLO 不可達",IF(N77&lt;&gt;"是","TTFT 不可達",IF(N85&lt;=N86,"SLO（"&amp;N84&amp;"）","HBM 容量")))</f>
        <v>SLO（算力）</v>
      </c>
      <c r="O90" s="115" t="str">
        <f aca="false">IF(O87&lt;=0,"SLO 不可達",IF(O77&lt;&gt;"是","TTFT 不可達",IF(O85&lt;=O86,"SLO（"&amp;O84&amp;"）","HBM 容量")))</f>
        <v>SLO（算力）</v>
      </c>
      <c r="P90" s="115" t="str">
        <f aca="false">IF(P87&lt;=0,"SLO 不可達",IF(P77&lt;&gt;"是","TTFT 不可達",IF(P85&lt;=P86,"SLO（"&amp;P84&amp;"）","HBM 容量")))</f>
        <v>SLO（算力）</v>
      </c>
      <c r="Q90" s="115" t="str">
        <f aca="false">IF(Q87&lt;=0,"SLO 不可達",IF(Q77&lt;&gt;"是","TTFT 不可達",IF(Q85&lt;=Q86,"SLO（"&amp;Q84&amp;"）","HBM 容量")))</f>
        <v>SLO（算力）</v>
      </c>
      <c r="R90" s="61" t="str">
        <f aca="false">IF(R87&lt;=0,"SLO 不可達",IF(R77&lt;&gt;"是","TTFT 不可達",IF(R85&lt;=R86,"SLO（"&amp;R84&amp;"）","HBM 容量")))</f>
        <v>SLO（算力）</v>
      </c>
      <c r="S90" s="61" t="str">
        <f aca="false">IF(S87&lt;=0,"SLO 不可達",IF(S77&lt;&gt;"是","TTFT 不可達",IF(S85&lt;=S86,"SLO（"&amp;S84&amp;"）","HBM 容量")))</f>
        <v>SLO（算力）</v>
      </c>
    </row>
    <row r="91" customFormat="false" ht="15" hidden="false" customHeight="false" outlineLevel="0" collapsed="false">
      <c r="A91" s="62" t="s">
        <v>922</v>
      </c>
      <c r="B91" s="62" t="s">
        <v>113</v>
      </c>
      <c r="C91" s="85" t="n">
        <f aca="false">C87*C34*C45/1000000000/C69</f>
        <v>0.0196349272028188</v>
      </c>
      <c r="D91" s="85" t="n">
        <f aca="false">D87*D34*D45/1000000000/D69</f>
        <v>0.0144792999025743</v>
      </c>
      <c r="E91" s="85" t="n">
        <f aca="false">E87*E34*E45/1000000000/E69</f>
        <v>0.0956236097429518</v>
      </c>
      <c r="F91" s="85" t="n">
        <f aca="false">F87*F34*F45/1000000000/F69</f>
        <v>0.0372456804756182</v>
      </c>
      <c r="G91" s="85" t="n">
        <f aca="false">G87*G34*G45/1000000000/G69</f>
        <v>0.0287080420423502</v>
      </c>
      <c r="H91" s="85" t="n">
        <f aca="false">H87*H34*H45/1000000000/H69</f>
        <v>0.191120632737759</v>
      </c>
      <c r="I91" s="85" t="n">
        <f aca="false">I87*I34*I45/1000000000/I69</f>
        <v>0.0360817529607552</v>
      </c>
      <c r="J91" s="85" t="n">
        <f aca="false">J87*J34*J45/1000000000/J69</f>
        <v>0.0278109157285267</v>
      </c>
      <c r="K91" s="85" t="n">
        <f aca="false">K87*K34*K45/1000000000/K69</f>
        <v>0.178444318761523</v>
      </c>
      <c r="L91" s="85" t="n">
        <f aca="false">L87*L34*L45/1000000000/L69</f>
        <v>0.0635820768284831</v>
      </c>
      <c r="M91" s="85" t="n">
        <f aca="false">M87*M34*M45/1000000000/M69</f>
        <v>0.0503550414475954</v>
      </c>
      <c r="N91" s="85" t="n">
        <f aca="false">N87*N34*N45/1000000000/N69</f>
        <v>0.343192697733345</v>
      </c>
      <c r="O91" s="85" t="n">
        <f aca="false">O87*O34*O45/1000000000/O69</f>
        <v>0.0477760759219707</v>
      </c>
      <c r="P91" s="85" t="n">
        <f aca="false">P87*P34*P45/1000000000/P69</f>
        <v>0.0381356256824184</v>
      </c>
      <c r="Q91" s="85" t="n">
        <f aca="false">Q87*Q34*Q45/1000000000/Q69</f>
        <v>0.264203694604387</v>
      </c>
      <c r="R91" s="85" t="n">
        <f aca="false">R87*R34*R45/1000000000/R69</f>
        <v>0.0332813181189536</v>
      </c>
      <c r="S91" s="85" t="n">
        <f aca="false">S87*S34*S45/1000000000/S69</f>
        <v>0.225629710307092</v>
      </c>
    </row>
    <row r="92" customFormat="false" ht="15" hidden="false" customHeight="false" outlineLevel="0" collapsed="false">
      <c r="A92" s="76" t="s">
        <v>923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1152</v>
      </c>
      <c r="B93" s="62" t="s">
        <v>925</v>
      </c>
      <c r="C93" s="107" t="n">
        <f aca="false">IF(ISNUMBER(C88),IF(C88&gt;0,IF(C77="是",C43/C75+C44/C88,"TTFT 不可達"),"SLO 不可達"),"SLO 不可達")</f>
        <v>7.07990472331351</v>
      </c>
      <c r="D93" s="107" t="n">
        <f aca="false">IF(ISNUMBER(D88),IF(D88&gt;0,IF(D77="是",D43/D75+D44/D88,"TTFT 不可達"),"SLO 不可達"),"SLO 不可達")</f>
        <v>54.6787797828947</v>
      </c>
      <c r="E93" s="107" t="n">
        <f aca="false">IF(ISNUMBER(E88),IF(E88&gt;0,IF(E77="是",E43/E75+E44/E88,"TTFT 不可達"),"SLO 不可達"),"SLO 不可達")</f>
        <v>471.256392618489</v>
      </c>
      <c r="F93" s="107" t="n">
        <f aca="false">IF(ISNUMBER(F88),IF(F88&gt;0,IF(F77="是",F43/F75+F44/F88,"TTFT 不可達"),"SLO 不可達"),"SLO 不可達")</f>
        <v>1.54829019509718</v>
      </c>
      <c r="G93" s="107" t="n">
        <f aca="false">IF(ISNUMBER(G88),IF(G88&gt;0,IF(G77="是",G43/G75+G44/G88,"TTFT 不可達"),"SLO 不可達"),"SLO 不可達")</f>
        <v>11.4328835637132</v>
      </c>
      <c r="H93" s="107" t="n">
        <f aca="false">IF(ISNUMBER(H88),IF(H88&gt;0,IF(H77="是",H43/H75+H44/H88,"TTFT 不可達"),"SLO 不可達"),"SLO 不可達")</f>
        <v>98.8420960720572</v>
      </c>
      <c r="I93" s="107" t="n">
        <f aca="false">IF(ISNUMBER(I88),IF(I88&gt;0,IF(I77="是",I43/I75+I44/I88,"TTFT 不可達"),"SLO 不可達"),"SLO 不可達")</f>
        <v>1.03219346339812</v>
      </c>
      <c r="J93" s="107" t="n">
        <f aca="false">IF(ISNUMBER(J88),IF(J88&gt;0,IF(J77="是",J43/J75+J44/J88,"TTFT 不可達"),"SLO 不可達"),"SLO 不可達")</f>
        <v>7.62192237580878</v>
      </c>
      <c r="K93" s="107" t="n">
        <f aca="false">IF(ISNUMBER(K88),IF(K88&gt;0,IF(K77="是",K43/K75+K44/K88,"TTFT 不可達"),"SLO 不可達"),"SLO 不可達")</f>
        <v>68.3155145929587</v>
      </c>
      <c r="L93" s="107" t="n">
        <f aca="false">IF(ISNUMBER(L88),IF(L88&gt;0,IF(L77="是",L43/L75+L44/L88,"TTFT 不可達"),"SLO 不可達"),"SLO 不可達")</f>
        <v>0.581667550797239</v>
      </c>
      <c r="M93" s="107" t="n">
        <f aca="false">IF(ISNUMBER(M88),IF(M88&gt;0,IF(M77="是",M43/M75+M44/M88,"TTFT 不可達"),"SLO 不可達"),"SLO 不可達")</f>
        <v>4.17993747553638</v>
      </c>
      <c r="N93" s="107" t="n">
        <f aca="false">IF(ISNUMBER(N88),IF(N88&gt;0,IF(N77="是",N43/N75+N44/N88,"TTFT 不可達"),"SLO 不可達"),"SLO 不可達")</f>
        <v>35.3877323490646</v>
      </c>
      <c r="O93" s="107" t="n">
        <f aca="false">IF(ISNUMBER(O88),IF(O88&gt;0,IF(O77="是",O43/O75+O44/O88,"TTFT 不可達"),"SLO 不可達"),"SLO 不可達")</f>
        <v>0.219300782747588</v>
      </c>
      <c r="P93" s="107" t="n">
        <f aca="false">IF(ISNUMBER(P88),IF(P88&gt;0,IF(P77="是",P43/P75+P44/P88,"TTFT 不可達"),"SLO 不可達"),"SLO 不可達")</f>
        <v>1.56549498961155</v>
      </c>
      <c r="Q93" s="107" t="n">
        <f aca="false">IF(ISNUMBER(Q88),IF(Q88&gt;0,IF(Q77="是",Q43/Q75+Q44/Q88,"TTFT 不可達"),"SLO 不可達"),"SLO 不可達")</f>
        <v>13.0124962012397</v>
      </c>
      <c r="R93" s="107" t="n">
        <f aca="false">IF(ISNUMBER(R88),IF(R88&gt;0,IF(R77="是",R43/R75+R44/R88,"TTFT 不可達"),"SLO 不可達"),"SLO 不可達")</f>
        <v>6.37426851660065</v>
      </c>
      <c r="S93" s="107" t="n">
        <f aca="false">IF(ISNUMBER(S88),IF(S88&gt;0,IF(S77="是",S43/S75+S44/S88,"TTFT 不可達"),"SLO 不可達"),"SLO 不可達")</f>
        <v>54.1254347961996</v>
      </c>
    </row>
    <row r="94" customFormat="false" ht="15" hidden="false" customHeight="false" outlineLevel="0" collapsed="false">
      <c r="A94" s="62" t="s">
        <v>926</v>
      </c>
      <c r="B94" s="62" t="s">
        <v>113</v>
      </c>
      <c r="C94" s="85" t="n">
        <f aca="false">IF(ISNUMBER(C93),IF(C93&gt;0,(C43/C75)/C93,0),C93)</f>
        <v>0.0629937263897356</v>
      </c>
      <c r="D94" s="85" t="n">
        <f aca="false">IF(ISNUMBER(D93),IF(D93&gt;0,(D43/D75)/D93,0),D93)</f>
        <v>0.0664142795838659</v>
      </c>
      <c r="E94" s="85" t="n">
        <f aca="false">IF(ISNUMBER(E93),IF(E93&gt;0,(E43/E75)/E93,0),E93)</f>
        <v>0.0469021876736744</v>
      </c>
      <c r="F94" s="85" t="n">
        <f aca="false">IF(ISNUMBER(F93),IF(F93&gt;0,(F43/F75)/F93,0),F93)</f>
        <v>0.0284884382147146</v>
      </c>
      <c r="G94" s="85" t="n">
        <f aca="false">IF(ISNUMBER(G93),IF(G93&gt;0,(G43/G75)/G93,0),G93)</f>
        <v>0.0314138229287931</v>
      </c>
      <c r="H94" s="85" t="n">
        <f aca="false">IF(ISNUMBER(H93),IF(H93&gt;0,(H43/H75)/H93,0),H93)</f>
        <v>0.0221159041787377</v>
      </c>
      <c r="I94" s="85" t="n">
        <f aca="false">IF(ISNUMBER(I93),IF(I93&gt;0,(I43/I75)/I93,0),I93)</f>
        <v>0.0284884382147146</v>
      </c>
      <c r="J94" s="85" t="n">
        <f aca="false">IF(ISNUMBER(J93),IF(J93&gt;0,(J43/J75)/J93,0),J93)</f>
        <v>0.0314138229287931</v>
      </c>
      <c r="K94" s="85" t="n">
        <f aca="false">IF(ISNUMBER(K93),IF(K93&gt;0,(K43/K75)/K93,0),K93)</f>
        <v>0.0213322194680554</v>
      </c>
      <c r="L94" s="85" t="n">
        <f aca="false">IF(ISNUMBER(L93),IF(L93&gt;0,(L43/L75)/L93,0),L93)</f>
        <v>0.0216659693084227</v>
      </c>
      <c r="M94" s="85" t="n">
        <f aca="false">IF(ISNUMBER(M93),IF(M93&gt;0,(M43/M75)/M93,0),M93)</f>
        <v>0.0245492790220612</v>
      </c>
      <c r="N94" s="85" t="n">
        <f aca="false">IF(ISNUMBER(N93),IF(N93&gt;0,(N43/N75)/N93,0),N93)</f>
        <v>0.0176492342761422</v>
      </c>
      <c r="O94" s="85" t="n">
        <f aca="false">IF(ISNUMBER(O93),IF(O93&gt;0,(O43/O75)/O93,0),O93)</f>
        <v>0.0287331197485592</v>
      </c>
      <c r="P94" s="85" t="n">
        <f aca="false">IF(ISNUMBER(P93),IF(P93&gt;0,(P43/P75)/P93,0),P93)</f>
        <v>0.0327738038328614</v>
      </c>
      <c r="Q94" s="85" t="n">
        <f aca="false">IF(ISNUMBER(Q93),IF(Q93&gt;0,(Q43/Q75)/Q93,0),Q93)</f>
        <v>0.0239987151224127</v>
      </c>
      <c r="R94" s="85" t="n">
        <f aca="false">IF(ISNUMBER(R93),IF(R93&gt;0,(R43/R75)/R93,0),R93)</f>
        <v>0.0321964633634343</v>
      </c>
      <c r="S94" s="85" t="n">
        <f aca="false">IF(ISNUMBER(S93),IF(S93&gt;0,(S43/S75)/S93,0),S93)</f>
        <v>0.0230784798711275</v>
      </c>
    </row>
    <row r="95" customFormat="false" ht="15" hidden="false" customHeight="false" outlineLevel="0" collapsed="false">
      <c r="A95" s="61" t="s">
        <v>927</v>
      </c>
      <c r="B95" s="62" t="s">
        <v>389</v>
      </c>
      <c r="C95" s="71" t="n">
        <f aca="false">IF(ISNUMBER(C93),IF(C93&gt;0,C22*(C43+C44)/C93,0),C93)</f>
        <v>55539.7304578371</v>
      </c>
      <c r="D95" s="71" t="n">
        <f aca="false">IF(ISNUMBER(D93),IF(D93&gt;0,D22*(D43+D44)/D93,0),D93)</f>
        <v>14382.7642665505</v>
      </c>
      <c r="E95" s="71" t="n">
        <f aca="false">IF(ISNUMBER(E93),IF(E93&gt;0,E22*(E43+E44)/E93,0),E93)</f>
        <v>3337.59716501784</v>
      </c>
      <c r="F95" s="71" t="n">
        <f aca="false">IF(ISNUMBER(F93),IF(F93&gt;0,F22*(F43+F44)/F93,0),F93)</f>
        <v>571427.761282483</v>
      </c>
      <c r="G95" s="71" t="n">
        <f aca="false">IF(ISNUMBER(G93),IF(G93&gt;0,G22*(G43+G44)/G93,0),G93)</f>
        <v>154770.403296691</v>
      </c>
      <c r="H95" s="71" t="n">
        <f aca="false">IF(ISNUMBER(H93),IF(H93&gt;0,H22*(H43+H44)/H93,0),H93)</f>
        <v>35804.0161088861</v>
      </c>
      <c r="I95" s="71" t="n">
        <f aca="false">IF(ISNUMBER(I93),IF(I93&gt;0,I22*(I43+I44)/I93,0),I93)</f>
        <v>857141.641923725</v>
      </c>
      <c r="J95" s="71" t="n">
        <f aca="false">IF(ISNUMBER(J93),IF(J93&gt;0,J22*(J43+J44)/J93,0),J93)</f>
        <v>232155.604945037</v>
      </c>
      <c r="K95" s="71" t="n">
        <f aca="false">IF(ISNUMBER(K93),IF(K93&gt;0,K22*(K43+K44)/K93,0),K93)</f>
        <v>51802.9326293732</v>
      </c>
      <c r="L95" s="71" t="n">
        <f aca="false">IF(ISNUMBER(L93),IF(L93&gt;0,L22*(L43+L44)/L93,0),L93)</f>
        <v>1521033.79118772</v>
      </c>
      <c r="M95" s="71" t="n">
        <f aca="false">IF(ISNUMBER(M93),IF(M93&gt;0,M22*(M43+M44)/M93,0),M93)</f>
        <v>423324.992384709</v>
      </c>
      <c r="N95" s="71" t="n">
        <f aca="false">IF(ISNUMBER(N93),IF(N93&gt;0,N22*(N43+N44)/N93,0),N93)</f>
        <v>100004.825544962</v>
      </c>
      <c r="O95" s="71" t="n">
        <f aca="false">IF(ISNUMBER(O93),IF(O93&gt;0,O22*(O43+O44)/O93,0),O93)</f>
        <v>4034349.4852835</v>
      </c>
      <c r="P95" s="71" t="n">
        <f aca="false">IF(ISNUMBER(P93),IF(P93&gt;0,P22*(P43+P44)/P93,0),P93)</f>
        <v>1130295.53702951</v>
      </c>
      <c r="Q95" s="71" t="n">
        <f aca="false">IF(ISNUMBER(Q93),IF(Q93&gt;0,Q22*(Q43+Q44)/Q93,0),Q93)</f>
        <v>271965.03616753</v>
      </c>
      <c r="R95" s="68" t="n">
        <f aca="false">IF(ISNUMBER(R93),IF(R93&gt;0,R22*(R43+R44)/R93,0),R93)</f>
        <v>277596.087361511</v>
      </c>
      <c r="S95" s="68" t="n">
        <f aca="false">IF(ISNUMBER(S93),IF(S93&gt;0,S22*(S43+S44)/S93,0),S93)</f>
        <v>65384.1214084526</v>
      </c>
    </row>
    <row r="96" customFormat="false" ht="15" hidden="false" customHeight="false" outlineLevel="0" collapsed="false">
      <c r="A96" s="61" t="s">
        <v>928</v>
      </c>
      <c r="B96" s="62" t="s">
        <v>389</v>
      </c>
      <c r="C96" s="68" t="n">
        <f aca="false">IF(ISNUMBER(C95),C95*C44/(C43+C44),C95)</f>
        <v>37026.4869718914</v>
      </c>
      <c r="D96" s="68" t="n">
        <f aca="false">IF(ISNUMBER(D95),D95*D44/(D43+D44),D95)</f>
        <v>9588.50951103365</v>
      </c>
      <c r="E96" s="68" t="n">
        <f aca="false">IF(ISNUMBER(E95),E95*E44/(E43+E44),E95)</f>
        <v>2225.06477667856</v>
      </c>
      <c r="F96" s="68" t="n">
        <f aca="false">IF(ISNUMBER(F95),F95*F44/(F43+F44),F95)</f>
        <v>380951.840854989</v>
      </c>
      <c r="G96" s="68" t="n">
        <f aca="false">IF(ISNUMBER(G95),G95*G44/(G43+G44),G95)</f>
        <v>103180.268864461</v>
      </c>
      <c r="H96" s="68" t="n">
        <f aca="false">IF(ISNUMBER(H95),H95*H44/(H43+H44),H95)</f>
        <v>23869.3440725907</v>
      </c>
      <c r="I96" s="68" t="n">
        <f aca="false">IF(ISNUMBER(I95),I95*I44/(I43+I44),I95)</f>
        <v>571427.761282483</v>
      </c>
      <c r="J96" s="68" t="n">
        <f aca="false">IF(ISNUMBER(J95),J95*J44/(J43+J44),J95)</f>
        <v>154770.403296691</v>
      </c>
      <c r="K96" s="68" t="n">
        <f aca="false">IF(ISNUMBER(K95),K95*K44/(K43+K44),K95)</f>
        <v>34535.2884195821</v>
      </c>
      <c r="L96" s="68" t="n">
        <f aca="false">IF(ISNUMBER(L95),L95*L44/(L43+L44),L95)</f>
        <v>1014022.52745848</v>
      </c>
      <c r="M96" s="68" t="n">
        <f aca="false">IF(ISNUMBER(M95),M95*M44/(M43+M44),M95)</f>
        <v>282216.661589806</v>
      </c>
      <c r="N96" s="68" t="n">
        <f aca="false">IF(ISNUMBER(N95),N95*N44/(N43+N44),N95)</f>
        <v>66669.8836966412</v>
      </c>
      <c r="O96" s="68" t="n">
        <f aca="false">IF(ISNUMBER(O95),O95*O44/(O43+O44),O95)</f>
        <v>2689566.32352234</v>
      </c>
      <c r="P96" s="68" t="n">
        <f aca="false">IF(ISNUMBER(P95),P95*P44/(P43+P44),P95)</f>
        <v>753530.358019676</v>
      </c>
      <c r="Q96" s="68" t="n">
        <f aca="false">IF(ISNUMBER(Q95),Q95*Q44/(Q43+Q44),Q95)</f>
        <v>181310.024111687</v>
      </c>
      <c r="R96" s="68" t="n">
        <f aca="false">IF(ISNUMBER(R95),R95*R44/(R43+R44),R95)</f>
        <v>185064.058241007</v>
      </c>
      <c r="S96" s="68" t="n">
        <f aca="false">IF(ISNUMBER(S95),S95*S44/(S43+S44),S95)</f>
        <v>43589.4142723017</v>
      </c>
    </row>
    <row r="97" customFormat="false" ht="15" hidden="false" customHeight="false" outlineLevel="0" collapsed="false">
      <c r="A97" s="61" t="s">
        <v>929</v>
      </c>
      <c r="B97" s="62" t="s">
        <v>389</v>
      </c>
      <c r="C97" s="68" t="n">
        <f aca="false">IF(ISNUMBER(C95),C95-C96,C95)</f>
        <v>18513.2434859457</v>
      </c>
      <c r="D97" s="68" t="n">
        <f aca="false">IF(ISNUMBER(D95),D95-D96,D95)</f>
        <v>4794.25475551682</v>
      </c>
      <c r="E97" s="68" t="n">
        <f aca="false">IF(ISNUMBER(E95),E95-E96,E95)</f>
        <v>1112.53238833928</v>
      </c>
      <c r="F97" s="68" t="n">
        <f aca="false">IF(ISNUMBER(F95),F95-F96,F95)</f>
        <v>190475.920427494</v>
      </c>
      <c r="G97" s="68" t="n">
        <f aca="false">IF(ISNUMBER(G95),G95-G96,G95)</f>
        <v>51590.1344322304</v>
      </c>
      <c r="H97" s="68" t="n">
        <f aca="false">IF(ISNUMBER(H95),H95-H96,H95)</f>
        <v>11934.6720362954</v>
      </c>
      <c r="I97" s="68" t="n">
        <f aca="false">IF(ISNUMBER(I95),I95-I96,I95)</f>
        <v>285713.880641242</v>
      </c>
      <c r="J97" s="68" t="n">
        <f aca="false">IF(ISNUMBER(J95),J95-J96,J95)</f>
        <v>77385.2016483456</v>
      </c>
      <c r="K97" s="68" t="n">
        <f aca="false">IF(ISNUMBER(K95),K95-K96,K95)</f>
        <v>17267.6442097911</v>
      </c>
      <c r="L97" s="68" t="n">
        <f aca="false">IF(ISNUMBER(L95),L95-L96,L95)</f>
        <v>507011.26372924</v>
      </c>
      <c r="M97" s="68" t="n">
        <f aca="false">IF(ISNUMBER(M95),M95-M96,M95)</f>
        <v>141108.330794903</v>
      </c>
      <c r="N97" s="68" t="n">
        <f aca="false">IF(ISNUMBER(N95),N95-N96,N95)</f>
        <v>33334.9418483206</v>
      </c>
      <c r="O97" s="68" t="n">
        <f aca="false">IF(ISNUMBER(O95),O95-O96,O95)</f>
        <v>1344783.16176117</v>
      </c>
      <c r="P97" s="68" t="n">
        <f aca="false">IF(ISNUMBER(P95),P95-P96,P95)</f>
        <v>376765.179009838</v>
      </c>
      <c r="Q97" s="68" t="n">
        <f aca="false">IF(ISNUMBER(Q95),Q95-Q96,Q95)</f>
        <v>90655.0120558433</v>
      </c>
      <c r="R97" s="68" t="n">
        <f aca="false">IF(ISNUMBER(R95),R95-R96,R95)</f>
        <v>92532.0291205036</v>
      </c>
      <c r="S97" s="68" t="n">
        <f aca="false">IF(ISNUMBER(S95),S95-S96,S95)</f>
        <v>21794.7071361509</v>
      </c>
    </row>
    <row r="98" customFormat="false" ht="15" hidden="false" customHeight="false" outlineLevel="0" collapsed="false">
      <c r="A98" s="61" t="s">
        <v>930</v>
      </c>
      <c r="B98" s="62" t="s">
        <v>931</v>
      </c>
      <c r="C98" s="71" t="n">
        <f aca="false">IF(ISNUMBER(C95),C95*C25*8760*3600/1000000,C95)</f>
        <v>39301929586.3401</v>
      </c>
      <c r="D98" s="71" t="n">
        <f aca="false">IF(ISNUMBER(D95),D95*D25*8760*3600/1000000,D95)</f>
        <v>10177766146.885</v>
      </c>
      <c r="E98" s="71" t="n">
        <f aca="false">IF(ISNUMBER(E95),E95*E25*8760*3600/1000000,E95)</f>
        <v>2361804922.0941</v>
      </c>
      <c r="F98" s="71" t="n">
        <f aca="false">IF(ISNUMBER(F95),F95*F25*8760*3600/1000000,F95)</f>
        <v>125585184236.357</v>
      </c>
      <c r="G98" s="71" t="n">
        <f aca="false">IF(ISNUMBER(G95),G95*G25*8760*3600/1000000,G95)</f>
        <v>34014570045.9619</v>
      </c>
      <c r="H98" s="71" t="n">
        <f aca="false">IF(ISNUMBER(H95),H95*H25*8760*3600/1000000,H95)</f>
        <v>7868805585.05652</v>
      </c>
      <c r="I98" s="71" t="n">
        <f aca="false">IF(ISNUMBER(I95),I95*I25*8760*3600/1000000,I95)</f>
        <v>182836458496.495</v>
      </c>
      <c r="J98" s="71" t="n">
        <f aca="false">IF(ISNUMBER(J95),J95*J25*8760*3600/1000000,J95)</f>
        <v>49520996941.6458</v>
      </c>
      <c r="K98" s="71" t="n">
        <f aca="false">IF(ISNUMBER(K95),K95*K25*8760*3600/1000000,K95)</f>
        <v>11050057864.917</v>
      </c>
      <c r="L98" s="71" t="n">
        <f aca="false">IF(ISNUMBER(L95),L95*L25*8760*3600/1000000,L95)</f>
        <v>194363587280.806</v>
      </c>
      <c r="M98" s="71" t="n">
        <f aca="false">IF(ISNUMBER(M95),M95*M25*8760*3600/1000000,M95)</f>
        <v>54094106641.2887</v>
      </c>
      <c r="N98" s="71" t="n">
        <f aca="false">IF(ISNUMBER(N95),N95*N25*8760*3600/1000000,N95)</f>
        <v>12779003826.8197</v>
      </c>
      <c r="O98" s="71" t="n">
        <f aca="false">IF(ISNUMBER(O95),O95*O25*8760*3600/1000000,O95)</f>
        <v>344149698720.171</v>
      </c>
      <c r="P98" s="71" t="n">
        <f aca="false">IF(ISNUMBER(P95),P95*P25*8760*3600/1000000,P95)</f>
        <v>96419725150.8382</v>
      </c>
      <c r="Q98" s="71" t="n">
        <f aca="false">IF(ISNUMBER(Q95),Q95*Q25*8760*3600/1000000,Q95)</f>
        <v>23199944774.4668</v>
      </c>
      <c r="R98" s="68" t="n">
        <f aca="false">IF(ISNUMBER(R95),R95*R25*8760*3600/1000000,R95)</f>
        <v>35472302895.1041</v>
      </c>
      <c r="S98" s="68" t="n">
        <f aca="false">IF(ISNUMBER(S95),S95*S25*8760*3600/1000000,S95)</f>
        <v>8355036200.89017</v>
      </c>
    </row>
    <row r="99" customFormat="false" ht="15" hidden="false" customHeight="false" outlineLevel="0" collapsed="false">
      <c r="A99" s="61" t="s">
        <v>932</v>
      </c>
      <c r="B99" s="62" t="s">
        <v>931</v>
      </c>
      <c r="C99" s="68" t="n">
        <f aca="false">IF(ISNUMBER(C96),C96*C25*8760*3600/1000000,C96)</f>
        <v>26201286390.8934</v>
      </c>
      <c r="D99" s="68" t="n">
        <f aca="false">IF(ISNUMBER(D96),D96*D25*8760*3600/1000000,D96)</f>
        <v>6785177431.2567</v>
      </c>
      <c r="E99" s="68" t="n">
        <f aca="false">IF(ISNUMBER(E96),E96*E25*8760*3600/1000000,E96)</f>
        <v>1574536614.7294</v>
      </c>
      <c r="F99" s="68" t="n">
        <f aca="false">IF(ISNUMBER(F96),F96*F25*8760*3600/1000000,F96)</f>
        <v>83723456157.5712</v>
      </c>
      <c r="G99" s="68" t="n">
        <f aca="false">IF(ISNUMBER(G96),G96*G25*8760*3600/1000000,G96)</f>
        <v>22676380030.6413</v>
      </c>
      <c r="H99" s="68" t="n">
        <f aca="false">IF(ISNUMBER(H96),H96*H25*8760*3600/1000000,H96)</f>
        <v>5245870390.03768</v>
      </c>
      <c r="I99" s="68" t="n">
        <f aca="false">IF(ISNUMBER(I96),I96*I25*8760*3600/1000000,I96)</f>
        <v>121890972330.997</v>
      </c>
      <c r="J99" s="68" t="n">
        <f aca="false">IF(ISNUMBER(J96),J96*J25*8760*3600/1000000,J96)</f>
        <v>33013997961.0972</v>
      </c>
      <c r="K99" s="68" t="n">
        <f aca="false">IF(ISNUMBER(K96),K96*K25*8760*3600/1000000,K96)</f>
        <v>7366705243.27801</v>
      </c>
      <c r="L99" s="68" t="n">
        <f aca="false">IF(ISNUMBER(L96),L96*L25*8760*3600/1000000,L96)</f>
        <v>129575724853.871</v>
      </c>
      <c r="M99" s="68" t="n">
        <f aca="false">IF(ISNUMBER(M96),M96*M25*8760*3600/1000000,M96)</f>
        <v>36062737760.8591</v>
      </c>
      <c r="N99" s="68" t="n">
        <f aca="false">IF(ISNUMBER(N96),N96*N25*8760*3600/1000000,N96)</f>
        <v>8519335884.54648</v>
      </c>
      <c r="O99" s="68" t="n">
        <f aca="false">IF(ISNUMBER(O96),O96*O25*8760*3600/1000000,O96)</f>
        <v>229433132480.114</v>
      </c>
      <c r="P99" s="68" t="n">
        <f aca="false">IF(ISNUMBER(P96),P96*P25*8760*3600/1000000,P96)</f>
        <v>64279816767.2255</v>
      </c>
      <c r="Q99" s="68" t="n">
        <f aca="false">IF(ISNUMBER(Q96),Q96*Q25*8760*3600/1000000,Q96)</f>
        <v>15466629849.6445</v>
      </c>
      <c r="R99" s="68" t="n">
        <f aca="false">IF(ISNUMBER(R96),R96*R25*8760*3600/1000000,R96)</f>
        <v>23648201930.0694</v>
      </c>
      <c r="S99" s="68" t="n">
        <f aca="false">IF(ISNUMBER(S96),S96*S25*8760*3600/1000000,S96)</f>
        <v>5570024133.92678</v>
      </c>
    </row>
    <row r="100" customFormat="false" ht="15" hidden="false" customHeight="false" outlineLevel="0" collapsed="false">
      <c r="A100" s="76" t="s">
        <v>933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</row>
    <row r="101" customFormat="false" ht="15" hidden="false" customHeight="false" outlineLevel="0" collapsed="false">
      <c r="A101" s="61" t="s">
        <v>934</v>
      </c>
      <c r="B101" s="62" t="s">
        <v>935</v>
      </c>
      <c r="C101" s="75" t="n">
        <f aca="false">1000000/C75</f>
        <v>108.884175050246</v>
      </c>
      <c r="D101" s="75" t="n">
        <f aca="false">1000000/D75</f>
        <v>443.292452124732</v>
      </c>
      <c r="E101" s="75" t="n">
        <f aca="false">1000000/E75</f>
        <v>1349.05735894843</v>
      </c>
      <c r="F101" s="75" t="n">
        <f aca="false">1000000/F75</f>
        <v>10.7686449124693</v>
      </c>
      <c r="G101" s="75" t="n">
        <f aca="false">1000000/G75</f>
        <v>43.841623515136</v>
      </c>
      <c r="H101" s="75" t="n">
        <f aca="false">1000000/H75</f>
        <v>133.4217728</v>
      </c>
      <c r="I101" s="75" t="n">
        <f aca="false">1000000/I75</f>
        <v>7.17909660831289</v>
      </c>
      <c r="J101" s="75" t="n">
        <f aca="false">1000000/J75</f>
        <v>29.2277490100907</v>
      </c>
      <c r="K101" s="75" t="n">
        <f aca="false">1000000/K75</f>
        <v>88.9478485333333</v>
      </c>
      <c r="L101" s="75" t="n">
        <f aca="false">1000000/L75</f>
        <v>3.07675568927695</v>
      </c>
      <c r="M101" s="75" t="n">
        <f aca="false">1000000/M75</f>
        <v>12.5261781471817</v>
      </c>
      <c r="N101" s="75" t="n">
        <f aca="false">1000000/N75</f>
        <v>38.1205065142857</v>
      </c>
      <c r="O101" s="75" t="n">
        <f aca="false">1000000/O75</f>
        <v>1.53837784463848</v>
      </c>
      <c r="P101" s="75" t="n">
        <f aca="false">1000000/P75</f>
        <v>6.26308907359086</v>
      </c>
      <c r="Q101" s="75" t="n">
        <f aca="false">1000000/Q75</f>
        <v>19.0602532571429</v>
      </c>
      <c r="R101" s="75" t="n">
        <f aca="false">1000000/R75</f>
        <v>25.0523562943634</v>
      </c>
      <c r="S101" s="75" t="n">
        <f aca="false">1000000/S75</f>
        <v>76.2410130285714</v>
      </c>
      <c r="T101" s="74" t="s">
        <v>1153</v>
      </c>
    </row>
    <row r="102" customFormat="false" ht="15" hidden="false" customHeight="false" outlineLevel="0" collapsed="false">
      <c r="A102" s="61" t="s">
        <v>936</v>
      </c>
      <c r="B102" s="62" t="s">
        <v>935</v>
      </c>
      <c r="C102" s="116" t="n">
        <f aca="false">1000000*C34/(C62*1000000000000)</f>
        <v>0.02795</v>
      </c>
      <c r="D102" s="116" t="n">
        <f aca="false">1000000*D34/(D62*1000000000000)</f>
        <v>0.03965</v>
      </c>
      <c r="E102" s="116" t="n">
        <f aca="false">1000000*E34/(E62*1000000000000)</f>
        <v>0.576</v>
      </c>
      <c r="F102" s="116" t="n">
        <f aca="false">1000000*F34/(F62*1000000000000)</f>
        <v>0.02795</v>
      </c>
      <c r="G102" s="116" t="n">
        <f aca="false">1000000*G34/(G62*1000000000000)</f>
        <v>0.03965</v>
      </c>
      <c r="H102" s="116" t="n">
        <f aca="false">1000000*H34/(H62*1000000000000)</f>
        <v>0.576</v>
      </c>
      <c r="I102" s="116" t="n">
        <f aca="false">1000000*I34/(I62*1000000000000)</f>
        <v>0.02795</v>
      </c>
      <c r="J102" s="116" t="n">
        <f aca="false">1000000*J34/(J62*1000000000000)</f>
        <v>0.03965</v>
      </c>
      <c r="K102" s="116" t="n">
        <f aca="false">1000000*K34/(K62*1000000000000)</f>
        <v>0.576</v>
      </c>
      <c r="L102" s="116" t="n">
        <f aca="false">1000000*L34/(L62*1000000000000)</f>
        <v>0.02795</v>
      </c>
      <c r="M102" s="116" t="n">
        <f aca="false">1000000*M34/(M62*1000000000000)</f>
        <v>0.03965</v>
      </c>
      <c r="N102" s="116" t="n">
        <f aca="false">1000000*N34/(N62*1000000000000)</f>
        <v>0.576</v>
      </c>
      <c r="O102" s="116" t="n">
        <f aca="false">1000000*O34/(O62*1000000000000)</f>
        <v>0.02795</v>
      </c>
      <c r="P102" s="116" t="n">
        <f aca="false">1000000*P34/(P62*1000000000000)</f>
        <v>0.03965</v>
      </c>
      <c r="Q102" s="116" t="n">
        <f aca="false">1000000*Q34/(Q62*1000000000000)</f>
        <v>0.576</v>
      </c>
      <c r="R102" s="116" t="n">
        <f aca="false">1000000*R34/(R62*1000000000000)</f>
        <v>0.03965</v>
      </c>
      <c r="S102" s="116" t="n">
        <f aca="false">1000000*S34/(S62*1000000000000)</f>
        <v>0.576</v>
      </c>
    </row>
    <row r="103" customFormat="false" ht="15" hidden="false" customHeight="false" outlineLevel="0" collapsed="false">
      <c r="A103" s="62" t="s">
        <v>937</v>
      </c>
      <c r="B103" s="62" t="s">
        <v>935</v>
      </c>
      <c r="C103" s="75" t="n">
        <f aca="false">IF(ISNUMBER(C88),IF(C88&gt;0,IF(C77="是",1000000/C88,"TTFT 不可達"),"SLO 不可達"),"SLO 不可達")</f>
        <v>809.804094519983</v>
      </c>
      <c r="D103" s="75" t="n">
        <f aca="false">IF(ISNUMBER(D88),IF(D88&gt;0,IF(D77="是",1000000/D88,"TTFT 不可達"),"SLO 不可達"),"SLO 不可達")</f>
        <v>3115.68164154595</v>
      </c>
      <c r="E103" s="75" t="n">
        <f aca="false">IF(ISNUMBER(E88),IF(E88&gt;0,IF(E77="是",1000000/E88,"TTFT 不可達"),"SLO 不可達"),"SLO 不可達")</f>
        <v>13707.0750991662</v>
      </c>
      <c r="F103" s="75" t="n">
        <f aca="false">IF(ISNUMBER(F88),IF(F88&gt;0,IF(F77="是",1000000/F88,"TTFT 不可達"),"SLO 不可達"),"SLO 不可達")</f>
        <v>183.615945499964</v>
      </c>
      <c r="G103" s="75" t="n">
        <f aca="false">IF(ISNUMBER(G88),IF(G88&gt;0,IF(G77="是",1000000/G88,"TTFT 不可達"),"SLO 不可達"),"SLO 不可達")</f>
        <v>675.887022941722</v>
      </c>
      <c r="H103" s="75" t="n">
        <f aca="false">IF(ISNUMBER(H88),IF(H88&gt;0,IF(H77="是",1000000/H88,"TTFT 不可達"),"SLO 不可達"),"SLO 不可達")</f>
        <v>2949.71050251776</v>
      </c>
      <c r="I103" s="75" t="n">
        <f aca="false">IF(ISNUMBER(I88),IF(I88&gt;0,IF(I77="是",1000000/I88,"TTFT 不可達"),"SLO 不可達"),"SLO 不可達")</f>
        <v>122.410630333309</v>
      </c>
      <c r="J103" s="75" t="n">
        <f aca="false">IF(ISNUMBER(J88),IF(J88&gt;0,IF(J77="是",1000000/J88,"TTFT 不可達"),"SLO 不可達"),"SLO 不可達")</f>
        <v>450.591348627815</v>
      </c>
      <c r="K103" s="75" t="n">
        <f aca="false">IF(ISNUMBER(K88),IF(K88&gt;0,IF(K77="是",1000000/K88,"TTFT 不可達"),"SLO 不可達"),"SLO 不可達")</f>
        <v>2040.35012947353</v>
      </c>
      <c r="L103" s="75" t="n">
        <f aca="false">IF(ISNUMBER(L88),IF(L88&gt;0,IF(L77="是",1000000/L88,"TTFT 不可達"),"SLO 不可達"),"SLO 不可達")</f>
        <v>69.4659618522901</v>
      </c>
      <c r="M103" s="75" t="n">
        <f aca="false">IF(ISNUMBER(M88),IF(M88&gt;0,IF(M77="是",1000000/M88,"TTFT 不可達"),"SLO 不可達"),"SLO 不可達")</f>
        <v>248.860047861003</v>
      </c>
      <c r="N103" s="75" t="n">
        <f aca="false">IF(ISNUMBER(N88),IF(N88&gt;0,IF(N77="是",1000000/N88,"TTFT 不可達"),"SLO 不可達"),"SLO 不可達")</f>
        <v>1060.88763337202</v>
      </c>
      <c r="O103" s="75" t="n">
        <f aca="false">IF(ISNUMBER(O88),IF(O88&gt;0,IF(O77="是",1000000/O88,"TTFT 不可達"),"SLO 不可達"),"SLO 不可達")</f>
        <v>26.0009261591734</v>
      </c>
      <c r="P103" s="75" t="n">
        <f aca="false">IF(ISNUMBER(P88),IF(P88&gt;0,IF(P77="是",1000000/P88,"TTFT 不可達"),"SLO 不可達"),"SLO 不可達")</f>
        <v>92.4186867627377</v>
      </c>
      <c r="Q103" s="75" t="n">
        <f aca="false">IF(ISNUMBER(Q88),IF(Q88&gt;0,IF(Q77="是",1000000/Q88,"TTFT 不可達"),"SLO 不可達"),"SLO 不可達")</f>
        <v>387.579742794027</v>
      </c>
      <c r="R103" s="75" t="n">
        <f aca="false">IF(ISNUMBER(R88),IF(R88&gt;0,IF(R77="是",1000000/R88,"TTFT 不可達"),"SLO 不可達"),"SLO 不可達")</f>
        <v>376.528296742994</v>
      </c>
      <c r="S103" s="75" t="n">
        <f aca="false">IF(ISNUMBER(S88),IF(S88&gt;0,IF(S77="是",1000000/S88,"TTFT 不可達"),"SLO 不可達"),"SLO 不可達")</f>
        <v>1613.65667842833</v>
      </c>
      <c r="T103" s="74" t="s">
        <v>1154</v>
      </c>
    </row>
    <row r="104" customFormat="false" ht="15" hidden="false" customHeight="false" outlineLevel="0" collapsed="false">
      <c r="A104" s="74" t="s">
        <v>938</v>
      </c>
      <c r="B104" s="61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</row>
    <row r="105" customFormat="false" ht="15" hidden="false" customHeight="false" outlineLevel="0" collapsed="false">
      <c r="A105" s="61"/>
      <c r="B105" s="61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</row>
    <row r="106" customFormat="false" ht="15" hidden="false" customHeight="false" outlineLevel="0" collapsed="false">
      <c r="A106" s="76" t="s">
        <v>939</v>
      </c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</row>
    <row r="107" customFormat="false" ht="15" hidden="false" customHeight="false" outlineLevel="0" collapsed="false">
      <c r="A107" s="61" t="s">
        <v>940</v>
      </c>
      <c r="B107" s="62" t="s">
        <v>941</v>
      </c>
      <c r="C107" s="108" t="n">
        <f aca="false">C23*Energy!$C$5/(C14*1000000000000000)*1000000000000</f>
        <v>0.212228398180899</v>
      </c>
      <c r="D107" s="108" t="n">
        <f aca="false">D23*Energy!$C$5/(D14*1000000000000000)*1000000000000</f>
        <v>0.212228398180899</v>
      </c>
      <c r="E107" s="108" t="n">
        <f aca="false">E23*Energy!$C$5/(E14*1000000000000000)*1000000000000</f>
        <v>0.212228398180899</v>
      </c>
      <c r="F107" s="108" t="n">
        <f aca="false">F23*Energy!$C$5/(F14*1000000000000000)*1000000000000</f>
        <v>0.072</v>
      </c>
      <c r="G107" s="108" t="n">
        <f aca="false">G23*Energy!$C$5/(G14*1000000000000000)*1000000000000</f>
        <v>0.072</v>
      </c>
      <c r="H107" s="108" t="n">
        <f aca="false">H23*Energy!$C$5/(H14*1000000000000000)*1000000000000</f>
        <v>0.072</v>
      </c>
      <c r="I107" s="108" t="n">
        <f aca="false">I23*Energy!$C$5/(I14*1000000000000000)*1000000000000</f>
        <v>0.056</v>
      </c>
      <c r="J107" s="108" t="n">
        <f aca="false">J23*Energy!$C$5/(J14*1000000000000000)*1000000000000</f>
        <v>0.056</v>
      </c>
      <c r="K107" s="108" t="n">
        <f aca="false">K23*Energy!$C$5/(K14*1000000000000000)*1000000000000</f>
        <v>0.056</v>
      </c>
      <c r="L107" s="108" t="n">
        <f aca="false">L23*Energy!$C$5/(L14*1000000000000000)*1000000000000</f>
        <v>0.0308571428571429</v>
      </c>
      <c r="M107" s="108" t="n">
        <f aca="false">M23*Energy!$C$5/(M14*1000000000000000)*1000000000000</f>
        <v>0.0308571428571429</v>
      </c>
      <c r="N107" s="108" t="n">
        <f aca="false">N23*Energy!$C$5/(N14*1000000000000000)*1000000000000</f>
        <v>0.0308571428571429</v>
      </c>
      <c r="O107" s="108" t="n">
        <f aca="false">O23*Energy!$C$5/(O14*1000000000000000)*1000000000000</f>
        <v>0.0308571428571429</v>
      </c>
      <c r="P107" s="108" t="n">
        <f aca="false">P23*Energy!$C$5/(P14*1000000000000000)*1000000000000</f>
        <v>0.0308571428571429</v>
      </c>
      <c r="Q107" s="108" t="n">
        <f aca="false">Q23*Energy!$C$5/(Q14*1000000000000000)*1000000000000</f>
        <v>0.0308571428571429</v>
      </c>
      <c r="R107" s="108" t="n">
        <f aca="false">R23*Energy!$C$5/(R14*1000000000000000)*1000000000000</f>
        <v>0.0617142857142857</v>
      </c>
      <c r="S107" s="108" t="n">
        <f aca="false">S23*Energy!$C$5/(S14*1000000000000000)*1000000000000</f>
        <v>0.0617142857142857</v>
      </c>
    </row>
    <row r="108" customFormat="false" ht="15" hidden="false" customHeight="false" outlineLevel="0" collapsed="false">
      <c r="A108" s="62" t="s">
        <v>942</v>
      </c>
      <c r="B108" s="62" t="s">
        <v>871</v>
      </c>
      <c r="C108" s="89" t="n">
        <f aca="false">IF(C$6=1,Energy!$C$7,Energy!$C$6)</f>
        <v>40</v>
      </c>
      <c r="D108" s="89" t="n">
        <f aca="false">IF(D$6=1,Energy!$C$7,Energy!$C$6)</f>
        <v>40</v>
      </c>
      <c r="E108" s="89" t="n">
        <f aca="false">IF(E$6=1,Energy!$C$7,Energy!$C$6)</f>
        <v>40</v>
      </c>
      <c r="F108" s="89" t="n">
        <f aca="false">IF(F$6=1,Energy!$C$7,Energy!$C$6)</f>
        <v>10</v>
      </c>
      <c r="G108" s="89" t="n">
        <f aca="false">IF(G$6=1,Energy!$C$7,Energy!$C$6)</f>
        <v>10</v>
      </c>
      <c r="H108" s="89" t="n">
        <f aca="false">IF(H$6=1,Energy!$C$7,Energy!$C$6)</f>
        <v>10</v>
      </c>
      <c r="I108" s="89" t="n">
        <f aca="false">IF(I$6=1,Energy!$C$7,Energy!$C$6)</f>
        <v>10</v>
      </c>
      <c r="J108" s="89" t="n">
        <f aca="false">IF(J$6=1,Energy!$C$7,Energy!$C$6)</f>
        <v>10</v>
      </c>
      <c r="K108" s="89" t="n">
        <f aca="false">IF(K$6=1,Energy!$C$7,Energy!$C$6)</f>
        <v>10</v>
      </c>
      <c r="L108" s="89" t="n">
        <f aca="false">IF(L$6=1,Energy!$C$7,Energy!$C$6)</f>
        <v>10</v>
      </c>
      <c r="M108" s="89" t="n">
        <f aca="false">IF(M$6=1,Energy!$C$7,Energy!$C$6)</f>
        <v>10</v>
      </c>
      <c r="N108" s="89" t="n">
        <f aca="false">IF(N$6=1,Energy!$C$7,Energy!$C$6)</f>
        <v>10</v>
      </c>
      <c r="O108" s="89" t="n">
        <f aca="false">IF(O$6=1,Energy!$C$7,Energy!$C$6)</f>
        <v>10</v>
      </c>
      <c r="P108" s="89" t="n">
        <f aca="false">IF(P$6=1,Energy!$C$7,Energy!$C$6)</f>
        <v>10</v>
      </c>
      <c r="Q108" s="89" t="n">
        <f aca="false">IF(Q$6=1,Energy!$C$7,Energy!$C$6)</f>
        <v>10</v>
      </c>
      <c r="R108" s="89" t="n">
        <f aca="false">IF(R$6=1,Energy!$C$7,Energy!$C$6)</f>
        <v>10</v>
      </c>
      <c r="S108" s="89" t="n">
        <f aca="false">IF(S$6=1,Energy!$C$7,Energy!$C$6)</f>
        <v>10</v>
      </c>
    </row>
    <row r="109" customFormat="false" ht="15" hidden="false" customHeight="false" outlineLevel="0" collapsed="false">
      <c r="A109" s="62" t="s">
        <v>943</v>
      </c>
      <c r="B109" s="62" t="s">
        <v>539</v>
      </c>
      <c r="C109" s="75" t="n">
        <f aca="false">(C47+1)*C65/C49</f>
        <v>61.1404608556873</v>
      </c>
      <c r="D109" s="75" t="n">
        <f aca="false">(D47+1)*D65/D49</f>
        <v>210.519928484333</v>
      </c>
      <c r="E109" s="75" t="n">
        <f aca="false">(E47+1)*E65/E49</f>
        <v>822.836594709831</v>
      </c>
      <c r="F109" s="75" t="n">
        <f aca="false">(F47+1)*F65/F49</f>
        <v>61.1404608556873</v>
      </c>
      <c r="G109" s="75" t="n">
        <f aca="false">(G47+1)*G65/G49</f>
        <v>210.519928484333</v>
      </c>
      <c r="H109" s="75" t="n">
        <f aca="false">(H47+1)*H65/H49</f>
        <v>822.836594709831</v>
      </c>
      <c r="I109" s="75" t="n">
        <f aca="false">(I47+1)*I65/I49</f>
        <v>61.1404608556873</v>
      </c>
      <c r="J109" s="75" t="n">
        <f aca="false">(J47+1)*J65/J49</f>
        <v>210.519928484333</v>
      </c>
      <c r="K109" s="75" t="n">
        <f aca="false">(K47+1)*K65/K49</f>
        <v>822.836594709831</v>
      </c>
      <c r="L109" s="75" t="n">
        <f aca="false">(L47+1)*L65/L49</f>
        <v>61.1404608556873</v>
      </c>
      <c r="M109" s="75" t="n">
        <f aca="false">(M47+1)*M65/M49</f>
        <v>210.519928484333</v>
      </c>
      <c r="N109" s="75" t="n">
        <f aca="false">(N47+1)*N65/N49</f>
        <v>822.836594709831</v>
      </c>
      <c r="O109" s="75" t="n">
        <f aca="false">(O47+1)*O65/O49</f>
        <v>61.1404608556873</v>
      </c>
      <c r="P109" s="75" t="n">
        <f aca="false">(P47+1)*P65/P49</f>
        <v>210.519928484333</v>
      </c>
      <c r="Q109" s="75" t="n">
        <f aca="false">(Q47+1)*Q65/Q49</f>
        <v>822.836594709831</v>
      </c>
      <c r="R109" s="75" t="n">
        <f aca="false">(R47+1)*R65/R49</f>
        <v>210.519928484333</v>
      </c>
      <c r="S109" s="75" t="n">
        <f aca="false">(S47+1)*S65/S49</f>
        <v>822.836594709831</v>
      </c>
    </row>
    <row r="110" customFormat="false" ht="15" hidden="false" customHeight="false" outlineLevel="0" collapsed="false">
      <c r="A110" s="62" t="s">
        <v>944</v>
      </c>
      <c r="B110" s="62" t="s">
        <v>332</v>
      </c>
      <c r="C110" s="107" t="n">
        <f aca="false">IF(C87&gt;0,(C72+C87*C34*C45/1000000000)/(C87*C49),0)</f>
        <v>0.0714766551143445</v>
      </c>
      <c r="D110" s="107" t="n">
        <f aca="false">IF(D87&gt;0,(D72+D87*D34*D45/1000000000)/(D87*D49),0)</f>
        <v>0.882294082737147</v>
      </c>
      <c r="E110" s="107" t="n">
        <f aca="false">IF(E87&gt;0,(E72+E87*E34*E45/1000000000)/(E87*E49),0)</f>
        <v>5.17145311922073</v>
      </c>
      <c r="F110" s="107" t="n">
        <f aca="false">IF(F87&gt;0,(F72+F87*F34*F45/1000000000)/(F87*F49),0)</f>
        <v>0.0239853045689392</v>
      </c>
      <c r="G110" s="107" t="n">
        <f aca="false">IF(G87&gt;0,(G72+G87*G34*G45/1000000000)/(G87*G49),0)</f>
        <v>0.282053064454993</v>
      </c>
      <c r="H110" s="107" t="n">
        <f aca="false">IF(H87&gt;0,(H72+H87*H34*H45/1000000000)/(H87*H49),0)</f>
        <v>2.83895352616057</v>
      </c>
      <c r="I110" s="107" t="n">
        <f aca="false">IF(I87&gt;0,(I72+I87*I34*I45/1000000000)/(I87*I49),0)</f>
        <v>0.0190033152975715</v>
      </c>
      <c r="J110" s="107" t="n">
        <f aca="false">IF(J87&gt;0,(J72+J87*J34*J45/1000000000)/(J87*J49),0)</f>
        <v>0.196584206412553</v>
      </c>
      <c r="K110" s="107" t="n">
        <f aca="false">IF(K87&gt;0,(K72+K87*K34*K45/1000000000)/(K87*K49),0)</f>
        <v>2.65455342010991</v>
      </c>
      <c r="L110" s="107" t="n">
        <f aca="false">IF(L87&gt;0,(L72+L87*L34*L45/1000000000)/(L87*L49),0)</f>
        <v>0.0146937260138575</v>
      </c>
      <c r="M110" s="107" t="n">
        <f aca="false">IF(M87&gt;0,(M72+M87*M34*M45/1000000000)/(M87*M49),0)</f>
        <v>0.120054801396405</v>
      </c>
      <c r="N110" s="107" t="n">
        <f aca="false">IF(N87&gt;0,(N72+N87*N34*N45/1000000000)/(N87*N49),0)</f>
        <v>1.73794607023658</v>
      </c>
      <c r="O110" s="107" t="n">
        <f aca="false">IF(O87&gt;0,(O72+O87*O34*O45/1000000000)/(O87*O49),0)</f>
        <v>0.0106530832296645</v>
      </c>
      <c r="P110" s="107" t="n">
        <f aca="false">IF(P87&gt;0,(P72+P87*P34*P45/1000000000)/(P87*P49),0)</f>
        <v>0.0505751304496475</v>
      </c>
      <c r="Q110" s="107" t="n">
        <f aca="false">IF(Q87&gt;0,(Q72+Q87*Q34*Q45/1000000000)/(Q87*Q49),0)</f>
        <v>1.00157966527806</v>
      </c>
      <c r="R110" s="107" t="n">
        <f aca="false">IF(R87&gt;0,(R72+R87*R34*R45/1000000000)/(R87*R49),0)</f>
        <v>0.232697207305857</v>
      </c>
      <c r="S110" s="107" t="n">
        <f aca="false">IF(S87&gt;0,(S72+S87*S34*S45/1000000000)/(S87*S49),0)</f>
        <v>2.66112095279194</v>
      </c>
    </row>
    <row r="111" customFormat="false" ht="15" hidden="false" customHeight="false" outlineLevel="0" collapsed="false">
      <c r="A111" s="62" t="s">
        <v>945</v>
      </c>
      <c r="B111" s="62" t="s">
        <v>332</v>
      </c>
      <c r="C111" s="73" t="n">
        <f aca="false">(C47+1)*C29*C31*C30*C59/C49/1000000000</f>
        <v>0.00500640189498618</v>
      </c>
      <c r="D111" s="73" t="n">
        <f aca="false">(D47+1)*D29*D31*D30*D59/D49/1000000000</f>
        <v>0.0124286837741808</v>
      </c>
      <c r="E111" s="73" t="n">
        <f aca="false">(E47+1)*E29*E31*E30*E59/E49/1000000000</f>
        <v>0.0931423608369523</v>
      </c>
      <c r="F111" s="73" t="n">
        <f aca="false">(F47+1)*F29*F31*F30*F59/F49/1000000000</f>
        <v>0.00500640189498618</v>
      </c>
      <c r="G111" s="73" t="n">
        <f aca="false">(G47+1)*G29*G31*G30*G59/G49/1000000000</f>
        <v>0.0124286837741808</v>
      </c>
      <c r="H111" s="73" t="n">
        <f aca="false">(H47+1)*H29*H31*H30*H59/H49/1000000000</f>
        <v>0.0931423608369523</v>
      </c>
      <c r="I111" s="73" t="n">
        <f aca="false">(I47+1)*I29*I31*I30*I59/I49/1000000000</f>
        <v>0.00500640189498618</v>
      </c>
      <c r="J111" s="73" t="n">
        <f aca="false">(J47+1)*J29*J31*J30*J59/J49/1000000000</f>
        <v>0.0124286837741808</v>
      </c>
      <c r="K111" s="73" t="n">
        <f aca="false">(K47+1)*K29*K31*K30*K59/K49/1000000000</f>
        <v>0.0931423608369523</v>
      </c>
      <c r="L111" s="73" t="n">
        <f aca="false">(L47+1)*L29*L31*L30*L59/L49/1000000000</f>
        <v>0.00500640189498618</v>
      </c>
      <c r="M111" s="73" t="n">
        <f aca="false">(M47+1)*M29*M31*M30*M59/M49/1000000000</f>
        <v>0.0124286837741808</v>
      </c>
      <c r="N111" s="73" t="n">
        <f aca="false">(N47+1)*N29*N31*N30*N59/N49/1000000000</f>
        <v>0.0931423608369523</v>
      </c>
      <c r="O111" s="73" t="n">
        <f aca="false">(O47+1)*O29*O31*O30*O59/O49/1000000000</f>
        <v>0.00500640189498618</v>
      </c>
      <c r="P111" s="73" t="n">
        <f aca="false">(P47+1)*P29*P31*P30*P59/P49/1000000000</f>
        <v>0.0124286837741808</v>
      </c>
      <c r="Q111" s="73" t="n">
        <f aca="false">(Q47+1)*Q29*Q31*Q30*Q59/Q49/1000000000</f>
        <v>0.0931423608369523</v>
      </c>
      <c r="R111" s="73" t="n">
        <f aca="false">(R47+1)*R29*R31*R30*R59/R49/1000000000</f>
        <v>0.0124286837741808</v>
      </c>
      <c r="S111" s="73" t="n">
        <f aca="false">(S47+1)*S29*S31*S30*S59/S49/1000000000</f>
        <v>0.0931423608369523</v>
      </c>
    </row>
    <row r="112" customFormat="false" ht="15" hidden="false" customHeight="false" outlineLevel="0" collapsed="false">
      <c r="A112" s="62" t="s">
        <v>946</v>
      </c>
      <c r="B112" s="62" t="s">
        <v>947</v>
      </c>
      <c r="C112" s="73" t="n">
        <f aca="false">(C109*C107+C110*C24+C111*C108)/1000</f>
        <v>0.0153917744557886</v>
      </c>
      <c r="D112" s="73" t="n">
        <f aca="false">(D109*D107+D110*D24+D111*D108)/1000</f>
        <v>0.0725265711232064</v>
      </c>
      <c r="E112" s="73" t="n">
        <f aca="false">(E109*E107+E110*E24+E111*E108)/1000</f>
        <v>0.338670033589214</v>
      </c>
      <c r="F112" s="73" t="n">
        <f aca="false">(F109*F107+F110*F24+F111*F108)/1000</f>
        <v>0.00505180981478283</v>
      </c>
      <c r="G112" s="73" t="n">
        <f aca="false">(G109*G107+G110*G24+G111*G108)/1000</f>
        <v>0.0223330482999886</v>
      </c>
      <c r="H112" s="73" t="n">
        <f aca="false">(H109*H107+H110*H24+H111*H108)/1000</f>
        <v>0.131149496581492</v>
      </c>
      <c r="I112" s="73" t="n">
        <f aca="false">(I109*I107+I110*I24+I111*I108)/1000</f>
        <v>0.00394901270930764</v>
      </c>
      <c r="J112" s="73" t="n">
        <f aca="false">(J109*J107+J110*J24+J111*J108)/1000</f>
        <v>0.0168280079931783</v>
      </c>
      <c r="K112" s="73" t="n">
        <f aca="false">(K109*K107+K110*K24+K111*K108)/1000</f>
        <v>0.113374108414868</v>
      </c>
      <c r="L112" s="73" t="n">
        <f aca="false">(L109*L107+L110*L24+L111*L108)/1000</f>
        <v>0.00223055847420251</v>
      </c>
      <c r="M112" s="73" t="n">
        <f aca="false">(M109*M107+M110*M24+M111*M108)/1000</f>
        <v>0.00902142637318648</v>
      </c>
      <c r="N112" s="73" t="n">
        <f aca="false">(N109*N107+N110*N24+N111*N108)/1000</f>
        <v>0.0610807313641472</v>
      </c>
      <c r="O112" s="73" t="n">
        <f aca="false">(O109*O107+O110*O24+O111*O108)/1000</f>
        <v>0.00212843945205932</v>
      </c>
      <c r="P112" s="73" t="n">
        <f aca="false">(P109*P107+P110*P24+P111*P108)/1000</f>
        <v>0.00753068269335203</v>
      </c>
      <c r="Q112" s="73" t="n">
        <f aca="false">(Q109*Q107+Q110*Q24+Q111*Q108)/1000</f>
        <v>0.0443502439344209</v>
      </c>
      <c r="R112" s="73" t="n">
        <f aca="false">(R109*R107+R110*R24+R111*R108)/1000</f>
        <v>0.0177703179988921</v>
      </c>
      <c r="S112" s="73" t="n">
        <f aca="false">(S109*S107+S110*S24+S111*S108)/1000</f>
        <v>0.104934615366301</v>
      </c>
    </row>
    <row r="113" customFormat="false" ht="15" hidden="false" customHeight="false" outlineLevel="0" collapsed="false">
      <c r="A113" s="62" t="s">
        <v>948</v>
      </c>
      <c r="B113" s="62" t="s">
        <v>947</v>
      </c>
      <c r="C113" s="73" t="n">
        <f aca="false">C67*C107/1000</f>
        <v>0.00685623678105678</v>
      </c>
      <c r="D113" s="73" t="n">
        <f aca="false">D67*D107/1000</f>
        <v>0.0279133125968021</v>
      </c>
      <c r="E113" s="73" t="n">
        <f aca="false">E67*E107/1000</f>
        <v>0.0849476673713997</v>
      </c>
      <c r="F113" s="73" t="n">
        <f aca="false">F67*F107/1000</f>
        <v>0.00232602730109338</v>
      </c>
      <c r="G113" s="73" t="n">
        <f aca="false">G67*G107/1000</f>
        <v>0.00946979067926937</v>
      </c>
      <c r="H113" s="73" t="n">
        <f aca="false">H67*H107/1000</f>
        <v>0.0288191029248</v>
      </c>
      <c r="I113" s="73" t="n">
        <f aca="false">I67*I107/1000</f>
        <v>0.00180913234529485</v>
      </c>
      <c r="J113" s="73" t="n">
        <f aca="false">J67*J107/1000</f>
        <v>0.00736539275054285</v>
      </c>
      <c r="K113" s="73" t="n">
        <f aca="false">K67*K107/1000</f>
        <v>0.0224148578304</v>
      </c>
      <c r="L113" s="73" t="n">
        <f aca="false">L67*L107/1000</f>
        <v>0.000996868843325733</v>
      </c>
      <c r="M113" s="73" t="n">
        <f aca="false">M67*M107/1000</f>
        <v>0.00405848171968688</v>
      </c>
      <c r="N113" s="73" t="n">
        <f aca="false">N67*N107/1000</f>
        <v>0.0123510441106286</v>
      </c>
      <c r="O113" s="73" t="n">
        <f aca="false">O67*O107/1000</f>
        <v>0.000996868843325733</v>
      </c>
      <c r="P113" s="73" t="n">
        <f aca="false">P67*P107/1000</f>
        <v>0.00405848171968688</v>
      </c>
      <c r="Q113" s="73" t="n">
        <f aca="false">Q67*Q107/1000</f>
        <v>0.0123510441106286</v>
      </c>
      <c r="R113" s="73" t="n">
        <f aca="false">R67*R107/1000</f>
        <v>0.00811696343937375</v>
      </c>
      <c r="S113" s="73" t="n">
        <f aca="false">S67*S107/1000</f>
        <v>0.0247020882212571</v>
      </c>
    </row>
    <row r="114" customFormat="false" ht="15" hidden="false" customHeight="false" outlineLevel="0" collapsed="false">
      <c r="A114" s="61" t="s">
        <v>949</v>
      </c>
      <c r="B114" s="62" t="s">
        <v>875</v>
      </c>
      <c r="C114" s="75" t="n">
        <f aca="false">IF(ISNUMBER(C95),(C97*C113+C96*C112)/1000,C95)</f>
        <v>0.69683451728655</v>
      </c>
      <c r="D114" s="75" t="n">
        <f aca="false">IF(ISNUMBER(D95),(D97*D113+D96*D112)/1000,D95)</f>
        <v>0.829245248676968</v>
      </c>
      <c r="E114" s="75" t="n">
        <f aca="false">IF(ISNUMBER(E95),(E97*E113+E96*E112)/1000,E95)</f>
        <v>0.848069793920458</v>
      </c>
      <c r="F114" s="75" t="n">
        <f aca="false">IF(ISNUMBER(F95),(F97*F113+F96*F112)/1000,F95)</f>
        <v>2.36754843970606</v>
      </c>
      <c r="G114" s="75" t="n">
        <f aca="false">IF(ISNUMBER(G95),(G97*G113+G96*G112)/1000,G95)</f>
        <v>2.79287770234441</v>
      </c>
      <c r="H114" s="75" t="n">
        <f aca="false">IF(ISNUMBER(H95),(H97*H113+H96*H112)/1000,H95)</f>
        <v>3.47439900063841</v>
      </c>
      <c r="I114" s="75" t="n">
        <f aca="false">IF(ISNUMBER(I95),(I97*I113+I96*I112)/1000,I95)</f>
        <v>2.77346971472352</v>
      </c>
      <c r="J114" s="75" t="n">
        <f aca="false">IF(ISNUMBER(J95),(J97*J113+J96*J112)/1000,J95)</f>
        <v>3.17444998700417</v>
      </c>
      <c r="K114" s="75" t="n">
        <f aca="false">IF(ISNUMBER(K95),(K97*K113+K96*K112)/1000,K95)</f>
        <v>4.30245932344883</v>
      </c>
      <c r="L114" s="75" t="n">
        <f aca="false">IF(ISNUMBER(L95),(L97*L113+L96*L112)/1000,L95)</f>
        <v>2.76726027368164</v>
      </c>
      <c r="M114" s="75" t="n">
        <f aca="false">IF(ISNUMBER(M95),(M97*M113+M96*M112)/1000,M95)</f>
        <v>3.11868241484556</v>
      </c>
      <c r="N114" s="75" t="n">
        <f aca="false">IF(ISNUMBER(N95),(N97*N113+N96*N112)/1000,N95)</f>
        <v>4.48396659334732</v>
      </c>
      <c r="O114" s="75" t="n">
        <f aca="false">IF(ISNUMBER(O95),(O97*O113+O96*O112)/1000,O95)</f>
        <v>7.06515150690385</v>
      </c>
      <c r="P114" s="75" t="n">
        <f aca="false">IF(ISNUMBER(P95),(P97*P113+P96*P112)/1000,P95)</f>
        <v>7.20369261768011</v>
      </c>
      <c r="Q114" s="75" t="n">
        <f aca="false">IF(ISNUMBER(Q95),(Q97*Q113+Q96*Q112)/1000,Q95)</f>
        <v>9.16082784986032</v>
      </c>
      <c r="R114" s="75" t="n">
        <f aca="false">IF(ISNUMBER(R95),(R97*R113+R96*R112)/1000,R95)</f>
        <v>4.03972626245038</v>
      </c>
      <c r="S114" s="75" t="n">
        <f aca="false">IF(ISNUMBER(S95),(S97*S113+S96*S112)/1000,S95)</f>
        <v>5.11241319913998</v>
      </c>
    </row>
    <row r="115" customFormat="false" ht="15" hidden="false" customHeight="false" outlineLevel="0" collapsed="false">
      <c r="A115" s="61" t="s">
        <v>950</v>
      </c>
      <c r="B115" s="62" t="s">
        <v>875</v>
      </c>
      <c r="C115" s="98" t="n">
        <f aca="false">C26*Inputs!$E$10</f>
        <v>32.8</v>
      </c>
      <c r="D115" s="98" t="n">
        <f aca="false">D26*Inputs!$E$10</f>
        <v>32.8</v>
      </c>
      <c r="E115" s="98" t="n">
        <f aca="false">E26*Inputs!$E$10</f>
        <v>32.8</v>
      </c>
      <c r="F115" s="98" t="n">
        <f aca="false">F26*Inputs!$E$10</f>
        <v>105.6</v>
      </c>
      <c r="G115" s="98" t="n">
        <f aca="false">G26*Inputs!$E$10</f>
        <v>105.6</v>
      </c>
      <c r="H115" s="98" t="n">
        <f aca="false">H26*Inputs!$E$10</f>
        <v>105.6</v>
      </c>
      <c r="I115" s="98" t="n">
        <f aca="false">I26*Inputs!$E$10</f>
        <v>108.8</v>
      </c>
      <c r="J115" s="98" t="n">
        <f aca="false">J26*Inputs!$E$10</f>
        <v>108.8</v>
      </c>
      <c r="K115" s="98" t="n">
        <f aca="false">K26*Inputs!$E$10</f>
        <v>108.8</v>
      </c>
      <c r="L115" s="98" t="n">
        <f aca="false">L26*Inputs!$E$10</f>
        <v>181.6</v>
      </c>
      <c r="M115" s="98" t="n">
        <f aca="false">M26*Inputs!$E$10</f>
        <v>181.6</v>
      </c>
      <c r="N115" s="98" t="n">
        <f aca="false">N26*Inputs!$E$10</f>
        <v>181.6</v>
      </c>
      <c r="O115" s="98" t="n">
        <f aca="false">O26*Inputs!$E$10</f>
        <v>272</v>
      </c>
      <c r="P115" s="98" t="n">
        <f aca="false">P26*Inputs!$E$10</f>
        <v>272</v>
      </c>
      <c r="Q115" s="98" t="n">
        <f aca="false">Q26*Inputs!$E$10</f>
        <v>272</v>
      </c>
      <c r="R115" s="98" t="n">
        <f aca="false">R26*Inputs!$E$10</f>
        <v>181.6</v>
      </c>
      <c r="S115" s="98" t="n">
        <f aca="false">S26*Inputs!$E$10</f>
        <v>181.6</v>
      </c>
    </row>
    <row r="116" customFormat="false" ht="15" hidden="false" customHeight="false" outlineLevel="0" collapsed="false">
      <c r="A116" s="61" t="s">
        <v>951</v>
      </c>
      <c r="B116" s="62" t="s">
        <v>113</v>
      </c>
      <c r="C116" s="117" t="n">
        <f aca="false">IF(ISNUMBER(C114),IF(C115&gt;0,C114/C115,0),C114)</f>
        <v>0.0212449547953216</v>
      </c>
      <c r="D116" s="117" t="n">
        <f aca="false">IF(ISNUMBER(D114),IF(D115&gt;0,D114/D115,0),D114)</f>
        <v>0.0252818673377124</v>
      </c>
      <c r="E116" s="117" t="n">
        <f aca="false">IF(ISNUMBER(E114),IF(E115&gt;0,E114/E115,0),E114)</f>
        <v>0.0258557864000139</v>
      </c>
      <c r="F116" s="117" t="n">
        <f aca="false">IF(ISNUMBER(F114),IF(F115&gt;0,F114/F115,0),F114)</f>
        <v>0.0224199662850953</v>
      </c>
      <c r="G116" s="117" t="n">
        <f aca="false">IF(ISNUMBER(G114),IF(G115&gt;0,G114/G115,0),G114)</f>
        <v>0.0264477055146251</v>
      </c>
      <c r="H116" s="117" t="n">
        <f aca="false">IF(ISNUMBER(H114),IF(H115&gt;0,H114/H115,0),H114)</f>
        <v>0.0329015056878638</v>
      </c>
      <c r="I116" s="117" t="n">
        <f aca="false">IF(ISNUMBER(I114),IF(I115&gt;0,I114/I115,0),I114)</f>
        <v>0.0254914495838559</v>
      </c>
      <c r="J116" s="117" t="n">
        <f aca="false">IF(ISNUMBER(J114),IF(J115&gt;0,J114/J115,0),J114)</f>
        <v>0.0291769300276119</v>
      </c>
      <c r="K116" s="117" t="n">
        <f aca="false">IF(ISNUMBER(K114),IF(K115&gt;0,K114/K115,0),K114)</f>
        <v>0.0395446628993459</v>
      </c>
      <c r="L116" s="117" t="n">
        <f aca="false">IF(ISNUMBER(L114),IF(L115&gt;0,L114/L115,0),L114)</f>
        <v>0.0152382173660883</v>
      </c>
      <c r="M116" s="117" t="n">
        <f aca="false">IF(ISNUMBER(M114),IF(M115&gt;0,M114/M115,0),M114)</f>
        <v>0.0171733613152289</v>
      </c>
      <c r="N116" s="117" t="n">
        <f aca="false">IF(ISNUMBER(N114),IF(N115&gt;0,N114/N115,0),N114)</f>
        <v>0.0246914459986086</v>
      </c>
      <c r="O116" s="117" t="n">
        <f aca="false">IF(ISNUMBER(O114),IF(O115&gt;0,O114/O115,0),O114)</f>
        <v>0.0259748217165583</v>
      </c>
      <c r="P116" s="117" t="n">
        <f aca="false">IF(ISNUMBER(P114),IF(P115&gt;0,P114/P115,0),P114)</f>
        <v>0.0264841640355886</v>
      </c>
      <c r="Q116" s="117" t="n">
        <f aca="false">IF(ISNUMBER(Q114),IF(Q115&gt;0,Q114/Q115,0),Q114)</f>
        <v>0.0336795141538982</v>
      </c>
      <c r="R116" s="85" t="n">
        <f aca="false">IF(ISNUMBER(R114),IF(R115&gt;0,R114/R115,0),R114)</f>
        <v>0.022245188669881</v>
      </c>
      <c r="S116" s="85" t="n">
        <f aca="false">IF(ISNUMBER(S114),IF(S115&gt;0,S114/S115,0),S114)</f>
        <v>0.0281520550613435</v>
      </c>
    </row>
    <row r="117" customFormat="false" ht="15" hidden="false" customHeight="false" outlineLevel="0" collapsed="false">
      <c r="A117" s="62" t="s">
        <v>952</v>
      </c>
      <c r="B117" s="62" t="s">
        <v>953</v>
      </c>
      <c r="C117" s="118" t="n">
        <f aca="false">IF(ISNUMBER(C95),C95/(C115*1000),C95)</f>
        <v>1.69328446517796</v>
      </c>
      <c r="D117" s="118" t="n">
        <f aca="false">IF(ISNUMBER(D95),D95/(D115*1000),D95)</f>
        <v>0.438498910565563</v>
      </c>
      <c r="E117" s="118" t="n">
        <f aca="false">IF(ISNUMBER(E95),E95/(E115*1000),E95)</f>
        <v>0.101756011128593</v>
      </c>
      <c r="F117" s="118" t="n">
        <f aca="false">IF(ISNUMBER(F95),F95/(F115*1000),F95)</f>
        <v>5.41124773941745</v>
      </c>
      <c r="G117" s="118" t="n">
        <f aca="false">IF(ISNUMBER(G95),G95/(G115*1000),G95)</f>
        <v>1.46562881909746</v>
      </c>
      <c r="H117" s="118" t="n">
        <f aca="false">IF(ISNUMBER(H95),H95/(H115*1000),H95)</f>
        <v>0.3390531828493</v>
      </c>
      <c r="I117" s="118" t="n">
        <f aca="false">IF(ISNUMBER(I95),I95/(I115*1000),I95)</f>
        <v>7.87814009121071</v>
      </c>
      <c r="J117" s="118" t="n">
        <f aca="false">IF(ISNUMBER(J95),J95/(J115*1000),J95)</f>
        <v>2.133783133686</v>
      </c>
      <c r="K117" s="118" t="n">
        <f aca="false">IF(ISNUMBER(K95),K95/(K115*1000),K95)</f>
        <v>0.476129895490562</v>
      </c>
      <c r="L117" s="118" t="n">
        <f aca="false">IF(ISNUMBER(L95),L95/(L115*1000),L95)</f>
        <v>8.37573673561519</v>
      </c>
      <c r="M117" s="118" t="n">
        <f aca="false">IF(ISNUMBER(M95),M95/(M115*1000),M95)</f>
        <v>2.33108475982769</v>
      </c>
      <c r="N117" s="118" t="n">
        <f aca="false">IF(ISNUMBER(N95),N95/(N115*1000),N95)</f>
        <v>0.550687365335692</v>
      </c>
      <c r="O117" s="118" t="n">
        <f aca="false">IF(ISNUMBER(O95),O95/(O115*1000),O95)</f>
        <v>14.832167225307</v>
      </c>
      <c r="P117" s="118" t="n">
        <f aca="false">IF(ISNUMBER(P95),P95/(P115*1000),P95)</f>
        <v>4.15549829790262</v>
      </c>
      <c r="Q117" s="118" t="n">
        <f aca="false">IF(ISNUMBER(Q95),Q95/(Q115*1000),Q95)</f>
        <v>0.999871456498272</v>
      </c>
      <c r="R117" s="72" t="n">
        <f aca="false">IF(ISNUMBER(R95),R95/(R115*1000),R95)</f>
        <v>1.52861281586735</v>
      </c>
      <c r="S117" s="72" t="n">
        <f aca="false">IF(ISNUMBER(S95),S95/(S115*1000),S95)</f>
        <v>0.360044721412184</v>
      </c>
    </row>
    <row r="118" customFormat="false" ht="15" hidden="false" customHeight="false" outlineLevel="0" collapsed="false">
      <c r="A118" s="61" t="s">
        <v>954</v>
      </c>
      <c r="B118" s="62" t="s">
        <v>947</v>
      </c>
      <c r="C118" s="107" t="n">
        <f aca="false">IF(ISNUMBER(C96),IF(C96&gt;0,C115*1000*(1-C94)/C96,0),C96)</f>
        <v>0.830049196882983</v>
      </c>
      <c r="D118" s="107" t="n">
        <f aca="false">IF(ISNUMBER(D96),IF(D96&gt;0,D115*1000*(1-D94)/D96,0),D96)</f>
        <v>3.1935736825846</v>
      </c>
      <c r="E118" s="107" t="n">
        <f aca="false">IF(ISNUMBER(E96),IF(E96&gt;0,E115*1000*(1-E94)/E96,0),E96)</f>
        <v>14.0497519766453</v>
      </c>
      <c r="F118" s="107" t="n">
        <f aca="false">IF(ISNUMBER(F96),IF(F96&gt;0,F115*1000*(1-F94)/F96,0),F96)</f>
        <v>0.26930338673328</v>
      </c>
      <c r="G118" s="107" t="n">
        <f aca="false">IF(ISNUMBER(G96),IF(G96&gt;0,G115*1000*(1-G94)/G96,0),G96)</f>
        <v>0.991300966981193</v>
      </c>
      <c r="H118" s="107" t="n">
        <f aca="false">IF(ISNUMBER(H96),IF(H96&gt;0,H115*1000*(1-H94)/H96,0),H96)</f>
        <v>4.32624207035938</v>
      </c>
      <c r="I118" s="107" t="n">
        <f aca="false">IF(ISNUMBER(I96),IF(I96&gt;0,I115*1000*(1-I94)/I96,0),I96)</f>
        <v>0.184976063614778</v>
      </c>
      <c r="J118" s="107" t="n">
        <f aca="false">IF(ISNUMBER(J96),IF(J96&gt;0,J115*1000*(1-J94)/J96,0),J96)</f>
        <v>0.680893593482031</v>
      </c>
      <c r="K118" s="107" t="n">
        <f aca="false">IF(ISNUMBER(K96),IF(K96&gt;0,K115*1000*(1-K94)/K96,0),K96)</f>
        <v>3.08319575120444</v>
      </c>
      <c r="L118" s="107" t="n">
        <f aca="false">IF(ISNUMBER(L96),IF(L96&gt;0,L115*1000*(1-L94)/L96,0),L96)</f>
        <v>0.175208592671887</v>
      </c>
      <c r="M118" s="107" t="n">
        <f aca="false">IF(ISNUMBER(M96),IF(M96&gt;0,M115*1000*(1-M94)/M96,0),M96)</f>
        <v>0.627680342938307</v>
      </c>
      <c r="N118" s="107" t="n">
        <f aca="false">IF(ISNUMBER(N96),IF(N96&gt;0,N115*1000*(1-N94)/N96,0),N96)</f>
        <v>2.67579436417166</v>
      </c>
      <c r="O118" s="107" t="n">
        <f aca="false">IF(ISNUMBER(O96),IF(O96&gt;0,O115*1000*(1-O94)/O96,0),O96)</f>
        <v>0.0982257210457662</v>
      </c>
      <c r="P118" s="107" t="n">
        <f aca="false">IF(ISNUMBER(P96),IF(P96&gt;0,P115*1000*(1-P94)/P96,0),P96)</f>
        <v>0.349137261103676</v>
      </c>
      <c r="Q118" s="107" t="n">
        <f aca="false">IF(ISNUMBER(Q96),IF(Q96&gt;0,Q115*1000*(1-Q94)/Q96,0),Q96)</f>
        <v>1.4641901394441</v>
      </c>
      <c r="R118" s="107" t="n">
        <f aca="false">IF(ISNUMBER(R96),IF(R96&gt;0,R115*1000*(1-R94)/R96,0),R96)</f>
        <v>0.949688037340664</v>
      </c>
      <c r="S118" s="107" t="n">
        <f aca="false">IF(ISNUMBER(S96),IF(S96&gt;0,S115*1000*(1-S94)/S96,0),S96)</f>
        <v>4.07000073336923</v>
      </c>
    </row>
    <row r="119" customFormat="false" ht="15" hidden="false" customHeight="false" outlineLevel="0" collapsed="false">
      <c r="A119" s="76" t="s">
        <v>1155</v>
      </c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</row>
    <row r="120" customFormat="false" ht="15" hidden="false" customHeight="false" outlineLevel="0" collapsed="false">
      <c r="A120" s="62" t="s">
        <v>1156</v>
      </c>
      <c r="B120" s="62" t="s">
        <v>113</v>
      </c>
      <c r="C120" s="103" t="n">
        <f aca="false">IF(C88&gt;0,C88*C65*1000000000/(C14*1000000000000000),0)</f>
        <v>0.0241589549466248</v>
      </c>
      <c r="D120" s="103" t="n">
        <f aca="false">IF(D88&gt;0,D88*D65*1000000000/(D14*1000000000000000),0)</f>
        <v>0.0216206896459114</v>
      </c>
      <c r="E120" s="103" t="n">
        <f aca="false">IF(E88&gt;0,E88*E65*1000000000/(E14*1000000000000000),0)</f>
        <v>0.0192087104565636</v>
      </c>
      <c r="F120" s="103" t="n">
        <f aca="false">IF(F88&gt;0,F88*F65*1000000000/(F14*1000000000000000),0)</f>
        <v>0.0210859665436146</v>
      </c>
      <c r="G120" s="103" t="n">
        <f aca="false">IF(G88&gt;0,G88*G65*1000000000/(G14*1000000000000000),0)</f>
        <v>0.0197239686793334</v>
      </c>
      <c r="H120" s="103" t="n">
        <f aca="false">IF(H88&gt;0,H88*H65*1000000000/(H14*1000000000000000),0)</f>
        <v>0.0176648275535936</v>
      </c>
      <c r="I120" s="103" t="n">
        <f aca="false">IF(I88&gt;0,I88*I65*1000000000/(I14*1000000000000000),0)</f>
        <v>0.0210859665436146</v>
      </c>
      <c r="J120" s="103" t="n">
        <f aca="false">IF(J88&gt;0,J88*J65*1000000000/(J14*1000000000000000),0)</f>
        <v>0.0197239686793334</v>
      </c>
      <c r="K120" s="103" t="n">
        <f aca="false">IF(K88&gt;0,K88*K65*1000000000/(K14*1000000000000000),0)</f>
        <v>0.0170252241211969</v>
      </c>
      <c r="L120" s="103" t="n">
        <f aca="false">IF(L88&gt;0,L88*L65*1000000000/(L14*1000000000000000),0)</f>
        <v>0.0159244267899521</v>
      </c>
      <c r="M120" s="103" t="n">
        <f aca="false">IF(M88&gt;0,M88*M65*1000000000/(M14*1000000000000000),0)</f>
        <v>0.0153054177419389</v>
      </c>
      <c r="N120" s="103" t="n">
        <f aca="false">IF(N88&gt;0,N88*N65*1000000000/(N14*1000000000000000),0)</f>
        <v>0.0140330271479179</v>
      </c>
      <c r="O120" s="103" t="n">
        <f aca="false">IF(O88&gt;0,O88*O65*1000000000/(O14*1000000000000000),0)</f>
        <v>0.0212724273192884</v>
      </c>
      <c r="P120" s="103" t="n">
        <f aca="false">IF(P88&gt;0,P88*P65*1000000000/(P14*1000000000000000),0)</f>
        <v>0.0206068010984076</v>
      </c>
      <c r="Q120" s="103" t="n">
        <f aca="false">IF(Q88&gt;0,Q88*Q65*1000000000/(Q14*1000000000000000),0)</f>
        <v>0.0192056799107683</v>
      </c>
      <c r="R120" s="103" t="n">
        <f aca="false">IF(R88&gt;0,R88*R65*1000000000/(R14*1000000000000000),0)</f>
        <v>0.0202317171099168</v>
      </c>
      <c r="S120" s="103" t="n">
        <f aca="false">IF(S88&gt;0,S88*S65*1000000000/(S14*1000000000000000),0)</f>
        <v>0.0184518369477454</v>
      </c>
    </row>
    <row r="121" customFormat="false" ht="15" hidden="false" customHeight="false" outlineLevel="0" collapsed="false">
      <c r="A121" s="62" t="s">
        <v>1157</v>
      </c>
      <c r="B121" s="62" t="s">
        <v>113</v>
      </c>
      <c r="C121" s="143" t="n">
        <f aca="false">IF(C88&gt;0,C88*C65*1000000000/(INDEX(Spec_Rack!$C$40:$G$40,C$6)*1000000000000000),0)</f>
        <v>0.0241589549466248</v>
      </c>
      <c r="D121" s="143" t="n">
        <f aca="false">IF(D88&gt;0,D88*D65*1000000000/(INDEX(Spec_Rack!$C$40:$G$40,D$6)*1000000000000000),0)</f>
        <v>0.0216206896459114</v>
      </c>
      <c r="E121" s="143" t="n">
        <f aca="false">IF(E88&gt;0,E88*E65*1000000000/(INDEX(Spec_Rack!$C$40:$G$40,E$6)*1000000000000000),0)</f>
        <v>0.0192087104565636</v>
      </c>
      <c r="F121" s="143" t="n">
        <f aca="false">IF(F88&gt;0,F88*F65*1000000000/(INDEX(Spec_Rack!$C$40:$G$40,F$6)*1000000000000000),0)</f>
        <v>0.0421719330872292</v>
      </c>
      <c r="G121" s="143" t="n">
        <f aca="false">IF(G88&gt;0,G88*G65*1000000000/(INDEX(Spec_Rack!$C$40:$G$40,G$6)*1000000000000000),0)</f>
        <v>0.0394479373586667</v>
      </c>
      <c r="H121" s="143" t="n">
        <f aca="false">IF(H88&gt;0,H88*H65*1000000000/(INDEX(Spec_Rack!$C$40:$G$40,H$6)*1000000000000000),0)</f>
        <v>0.0353296551071871</v>
      </c>
      <c r="I121" s="143" t="n">
        <f aca="false">IF(I88&gt;0,I88*I65*1000000000/(INDEX(Spec_Rack!$C$40:$G$40,I$6)*1000000000000000),0)</f>
        <v>0.0632578996308438</v>
      </c>
      <c r="J121" s="143" t="n">
        <f aca="false">IF(J88&gt;0,J88*J65*1000000000/(INDEX(Spec_Rack!$C$40:$G$40,J$6)*1000000000000000),0)</f>
        <v>0.0591719060380001</v>
      </c>
      <c r="K121" s="143" t="n">
        <f aca="false">IF(K88&gt;0,K88*K65*1000000000/(INDEX(Spec_Rack!$C$40:$G$40,K$6)*1000000000000000),0)</f>
        <v>0.0510756723635908</v>
      </c>
      <c r="L121" s="143" t="n">
        <f aca="false">IF(L88&gt;0,L88*L65*1000000000/(INDEX(Spec_Rack!$C$40:$G$40,L$6)*1000000000000000),0)</f>
        <v>0.0318488535799042</v>
      </c>
      <c r="M121" s="143" t="n">
        <f aca="false">IF(M88&gt;0,M88*M65*1000000000/(INDEX(Spec_Rack!$C$40:$G$40,M$6)*1000000000000000),0)</f>
        <v>0.0306108354838777</v>
      </c>
      <c r="N121" s="143" t="n">
        <f aca="false">IF(N88&gt;0,N88*N65*1000000000/(INDEX(Spec_Rack!$C$40:$G$40,N$6)*1000000000000000),0)</f>
        <v>0.0280660542958358</v>
      </c>
      <c r="O121" s="143" t="n">
        <f aca="false">IF(O88&gt;0,O88*O65*1000000000/(INDEX(Spec_Rack!$C$40:$G$40,O$6)*1000000000000000),0)</f>
        <v>0.0425448546385768</v>
      </c>
      <c r="P121" s="143" t="n">
        <f aca="false">IF(P88&gt;0,P88*P65*1000000000/(INDEX(Spec_Rack!$C$40:$G$40,P$6)*1000000000000000),0)</f>
        <v>0.0412136021968152</v>
      </c>
      <c r="Q121" s="143" t="n">
        <f aca="false">IF(Q88&gt;0,Q88*Q65*1000000000/(INDEX(Spec_Rack!$C$40:$G$40,Q$6)*1000000000000000),0)</f>
        <v>0.0384113598215367</v>
      </c>
      <c r="R121" s="143" t="n">
        <f aca="false">IF(R88&gt;0,R88*R65*1000000000/(INDEX(Spec_Rack!$C$40:$G$40,R$6)*1000000000000000),0)</f>
        <v>0.0202317171099168</v>
      </c>
      <c r="S121" s="143" t="n">
        <f aca="false">IF(S88&gt;0,S88*S65*1000000000/(INDEX(Spec_Rack!$C$40:$G$40,S$6)*1000000000000000),0)</f>
        <v>0.0184518369477454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1158</v>
      </c>
    </row>
    <row r="2" customFormat="false" ht="15" hidden="false" customHeight="false" outlineLevel="0" collapsed="false">
      <c r="A2" s="74" t="s">
        <v>1159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186</v>
      </c>
      <c r="C4" s="82" t="str">
        <f aca="false">INDEX(Spec_Rack!$C$4:$G$4,C6)</f>
        <v>Hopper H100</v>
      </c>
      <c r="D4" s="82" t="str">
        <f aca="false">INDEX(Spec_Rack!$C$4:$G$4,D6)</f>
        <v>Hopper H100</v>
      </c>
      <c r="E4" s="82" t="str">
        <f aca="false">INDEX(Spec_Rack!$C$4:$G$4,E6)</f>
        <v>Hopper H100</v>
      </c>
      <c r="F4" s="82" t="str">
        <f aca="false">INDEX(Spec_Rack!$C$4:$G$4,F6)</f>
        <v>GB200 NVL72</v>
      </c>
      <c r="G4" s="82" t="str">
        <f aca="false">INDEX(Spec_Rack!$C$4:$G$4,G6)</f>
        <v>GB200 NVL72</v>
      </c>
      <c r="H4" s="82" t="str">
        <f aca="false">INDEX(Spec_Rack!$C$4:$G$4,H6)</f>
        <v>GB200 NVL72</v>
      </c>
      <c r="I4" s="82" t="str">
        <f aca="false">INDEX(Spec_Rack!$C$4:$G$4,I6)</f>
        <v>GB300 NVL72</v>
      </c>
      <c r="J4" s="82" t="str">
        <f aca="false">INDEX(Spec_Rack!$C$4:$G$4,J6)</f>
        <v>GB300 NVL72</v>
      </c>
      <c r="K4" s="82" t="str">
        <f aca="false">INDEX(Spec_Rack!$C$4:$G$4,K6)</f>
        <v>GB300 NVL72</v>
      </c>
      <c r="L4" s="82" t="str">
        <f aca="false">INDEX(Spec_Rack!$C$4:$G$4,L6)</f>
        <v>VR200 NVL72</v>
      </c>
      <c r="M4" s="82" t="str">
        <f aca="false">INDEX(Spec_Rack!$C$4:$G$4,M6)</f>
        <v>VR200 NVL72</v>
      </c>
      <c r="N4" s="82" t="str">
        <f aca="false">INDEX(Spec_Rack!$C$4:$G$4,N6)</f>
        <v>VR200 NVL72</v>
      </c>
      <c r="O4" s="82" t="str">
        <f aca="false">INDEX(Spec_Rack!$C$4:$G$4,O6)</f>
        <v>Rubin Ultra（MGX NVL 單架，72 GPU）</v>
      </c>
      <c r="P4" s="82" t="str">
        <f aca="false">INDEX(Spec_Rack!$C$4:$G$4,P6)</f>
        <v>Rubin Ultra（MGX NVL 單架，72 GPU）</v>
      </c>
      <c r="Q4" s="82" t="str">
        <f aca="false">INDEX(Spec_Rack!$C$4:$G$4,Q6)</f>
        <v>Rubin Ultra（MGX NVL 單架，72 GPU）</v>
      </c>
      <c r="R4" s="74" t="s">
        <v>853</v>
      </c>
    </row>
    <row r="5" customFormat="false" ht="15" hidden="false" customHeight="false" outlineLevel="0" collapsed="false">
      <c r="A5" s="60" t="s">
        <v>854</v>
      </c>
      <c r="C5" s="82" t="str">
        <f aca="false">INDEX(Arch!$C$4:$E$4,C7)</f>
        <v>Luna（低層）</v>
      </c>
      <c r="D5" s="82" t="str">
        <f aca="false">INDEX(Arch!$C$4:$E$4,D7)</f>
        <v>Sol（中層）</v>
      </c>
      <c r="E5" s="82" t="str">
        <f aca="false">INDEX(Arch!$C$4:$E$4,E7)</f>
        <v>Astra（頂層）</v>
      </c>
      <c r="F5" s="82" t="str">
        <f aca="false">INDEX(Arch!$C$4:$E$4,F7)</f>
        <v>Luna（低層）</v>
      </c>
      <c r="G5" s="82" t="str">
        <f aca="false">INDEX(Arch!$C$4:$E$4,G7)</f>
        <v>Sol（中層）</v>
      </c>
      <c r="H5" s="82" t="str">
        <f aca="false">INDEX(Arch!$C$4:$E$4,H7)</f>
        <v>Astra（頂層）</v>
      </c>
      <c r="I5" s="82" t="str">
        <f aca="false">INDEX(Arch!$C$4:$E$4,I7)</f>
        <v>Luna（低層）</v>
      </c>
      <c r="J5" s="82" t="str">
        <f aca="false">INDEX(Arch!$C$4:$E$4,J7)</f>
        <v>Sol（中層）</v>
      </c>
      <c r="K5" s="82" t="str">
        <f aca="false">INDEX(Arch!$C$4:$E$4,K7)</f>
        <v>Astra（頂層）</v>
      </c>
      <c r="L5" s="82" t="str">
        <f aca="false">INDEX(Arch!$C$4:$E$4,L7)</f>
        <v>Luna（低層）</v>
      </c>
      <c r="M5" s="82" t="str">
        <f aca="false">INDEX(Arch!$C$4:$E$4,M7)</f>
        <v>Sol（中層）</v>
      </c>
      <c r="N5" s="82" t="str">
        <f aca="false">INDEX(Arch!$C$4:$E$4,N7)</f>
        <v>Astra（頂層）</v>
      </c>
      <c r="O5" s="82" t="str">
        <f aca="false">INDEX(Arch!$C$4:$E$4,O7)</f>
        <v>Luna（低層）</v>
      </c>
      <c r="P5" s="82" t="str">
        <f aca="false">INDEX(Arch!$C$4:$E$4,P7)</f>
        <v>Sol（中層）</v>
      </c>
      <c r="Q5" s="82" t="str">
        <f aca="false">INDEX(Arch!$C$4:$E$4,Q7)</f>
        <v>Astra（頂層）</v>
      </c>
      <c r="R5" s="74" t="s">
        <v>855</v>
      </c>
    </row>
    <row r="6" customFormat="false" ht="15" hidden="false" customHeight="false" outlineLevel="0" collapsed="false">
      <c r="A6" s="60" t="s">
        <v>469</v>
      </c>
      <c r="C6" s="67" t="n">
        <v>1</v>
      </c>
      <c r="D6" s="67" t="n">
        <v>1</v>
      </c>
      <c r="E6" s="67" t="n">
        <v>1</v>
      </c>
      <c r="F6" s="67" t="n">
        <v>2</v>
      </c>
      <c r="G6" s="67" t="n">
        <v>2</v>
      </c>
      <c r="H6" s="67" t="n">
        <v>2</v>
      </c>
      <c r="I6" s="67" t="n">
        <v>3</v>
      </c>
      <c r="J6" s="67" t="n">
        <v>3</v>
      </c>
      <c r="K6" s="67" t="n">
        <v>3</v>
      </c>
      <c r="L6" s="67" t="n">
        <v>4</v>
      </c>
      <c r="M6" s="67" t="n">
        <v>4</v>
      </c>
      <c r="N6" s="67" t="n">
        <v>4</v>
      </c>
      <c r="O6" s="67" t="n">
        <v>5</v>
      </c>
      <c r="P6" s="67" t="n">
        <v>5</v>
      </c>
      <c r="Q6" s="67" t="n">
        <v>5</v>
      </c>
    </row>
    <row r="7" customFormat="false" ht="15" hidden="false" customHeight="false" outlineLevel="0" collapsed="false">
      <c r="A7" s="60" t="s">
        <v>856</v>
      </c>
      <c r="C7" s="67" t="n">
        <v>1</v>
      </c>
      <c r="D7" s="67" t="n">
        <v>2</v>
      </c>
      <c r="E7" s="67" t="n">
        <v>3</v>
      </c>
      <c r="F7" s="67" t="n">
        <v>1</v>
      </c>
      <c r="G7" s="67" t="n">
        <v>2</v>
      </c>
      <c r="H7" s="67" t="n">
        <v>3</v>
      </c>
      <c r="I7" s="67" t="n">
        <v>1</v>
      </c>
      <c r="J7" s="67" t="n">
        <v>2</v>
      </c>
      <c r="K7" s="67" t="n">
        <v>3</v>
      </c>
      <c r="L7" s="67" t="n">
        <v>1</v>
      </c>
      <c r="M7" s="67" t="n">
        <v>2</v>
      </c>
      <c r="N7" s="67" t="n">
        <v>3</v>
      </c>
      <c r="O7" s="67" t="n">
        <v>1</v>
      </c>
      <c r="P7" s="67" t="n">
        <v>2</v>
      </c>
      <c r="Q7" s="67" t="n">
        <v>3</v>
      </c>
    </row>
    <row r="9" customFormat="false" ht="15" hidden="false" customHeight="false" outlineLevel="0" collapsed="false">
      <c r="A9" s="76" t="s">
        <v>1160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2" t="s">
        <v>1161</v>
      </c>
      <c r="B10" s="62" t="s">
        <v>501</v>
      </c>
      <c r="C10" s="94" t="n">
        <f aca="false">INDEX(Spec_Rack!$C$40:$G$40,C$6)</f>
        <v>1.979</v>
      </c>
      <c r="D10" s="94" t="n">
        <f aca="false">INDEX(Spec_Rack!$C$40:$G$40,D$6)</f>
        <v>1.979</v>
      </c>
      <c r="E10" s="94" t="n">
        <f aca="false">INDEX(Spec_Rack!$C$40:$G$40,E$6)</f>
        <v>1.979</v>
      </c>
      <c r="F10" s="94" t="n">
        <f aca="false">INDEX(Spec_Rack!$C$40:$G$40,F$6)</f>
        <v>5</v>
      </c>
      <c r="G10" s="94" t="n">
        <f aca="false">INDEX(Spec_Rack!$C$40:$G$40,G$6)</f>
        <v>5</v>
      </c>
      <c r="H10" s="94" t="n">
        <f aca="false">INDEX(Spec_Rack!$C$40:$G$40,H$6)</f>
        <v>5</v>
      </c>
      <c r="I10" s="94" t="n">
        <f aca="false">INDEX(Spec_Rack!$C$40:$G$40,I$6)</f>
        <v>5</v>
      </c>
      <c r="J10" s="94" t="n">
        <f aca="false">INDEX(Spec_Rack!$C$40:$G$40,J$6)</f>
        <v>5</v>
      </c>
      <c r="K10" s="94" t="n">
        <f aca="false">INDEX(Spec_Rack!$C$40:$G$40,K$6)</f>
        <v>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35</v>
      </c>
      <c r="P10" s="94" t="n">
        <f aca="false">INDEX(Spec_Rack!$C$40:$G$40,P$6)</f>
        <v>35</v>
      </c>
      <c r="Q10" s="94" t="n">
        <f aca="false">INDEX(Spec_Rack!$C$40:$G$40,Q$6)</f>
        <v>35</v>
      </c>
    </row>
    <row r="11" customFormat="false" ht="15" hidden="false" customHeight="false" outlineLevel="0" collapsed="false">
      <c r="A11" s="61" t="s">
        <v>1162</v>
      </c>
      <c r="B11" s="62" t="s">
        <v>118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</row>
    <row r="12" customFormat="false" ht="15" hidden="false" customHeight="false" outlineLevel="0" collapsed="false">
      <c r="A12" s="61" t="s">
        <v>1163</v>
      </c>
      <c r="B12" s="62" t="s">
        <v>501</v>
      </c>
      <c r="C12" s="116" t="n">
        <f aca="false">C10*C11</f>
        <v>1.979</v>
      </c>
      <c r="D12" s="116" t="n">
        <f aca="false">D10*D11</f>
        <v>1.979</v>
      </c>
      <c r="E12" s="116" t="n">
        <f aca="false">E10*E11</f>
        <v>1.979</v>
      </c>
      <c r="F12" s="116" t="n">
        <f aca="false">F10*F11</f>
        <v>5</v>
      </c>
      <c r="G12" s="116" t="n">
        <f aca="false">G10*G11</f>
        <v>5</v>
      </c>
      <c r="H12" s="116" t="n">
        <f aca="false">H10*H11</f>
        <v>5</v>
      </c>
      <c r="I12" s="116" t="n">
        <f aca="false">I10*I11</f>
        <v>5</v>
      </c>
      <c r="J12" s="116" t="n">
        <f aca="false">J10*J11</f>
        <v>5</v>
      </c>
      <c r="K12" s="116" t="n">
        <f aca="false">K10*K11</f>
        <v>5</v>
      </c>
      <c r="L12" s="116" t="n">
        <f aca="false">L10*L11</f>
        <v>17.5</v>
      </c>
      <c r="M12" s="116" t="n">
        <f aca="false">M10*M11</f>
        <v>17.5</v>
      </c>
      <c r="N12" s="116" t="n">
        <f aca="false">N10*N11</f>
        <v>17.5</v>
      </c>
      <c r="O12" s="116" t="n">
        <f aca="false">O10*O11</f>
        <v>35</v>
      </c>
      <c r="P12" s="116" t="n">
        <f aca="false">P10*P11</f>
        <v>35</v>
      </c>
      <c r="Q12" s="116" t="n">
        <f aca="false">Q10*Q11</f>
        <v>35</v>
      </c>
    </row>
    <row r="13" customFormat="false" ht="15" hidden="false" customHeight="false" outlineLevel="0" collapsed="false">
      <c r="A13" s="61" t="s">
        <v>1164</v>
      </c>
      <c r="B13" s="62" t="s">
        <v>113</v>
      </c>
      <c r="C13" s="65" t="n">
        <f aca="false">Train_In!$C$6</f>
        <v>0.25</v>
      </c>
      <c r="D13" s="65" t="n">
        <f aca="false">Train_In!$C$6</f>
        <v>0.25</v>
      </c>
      <c r="E13" s="65" t="n">
        <f aca="false">Train_In!$C$6</f>
        <v>0.25</v>
      </c>
      <c r="F13" s="65" t="n">
        <f aca="false">Train_In!$C$6</f>
        <v>0.25</v>
      </c>
      <c r="G13" s="65" t="n">
        <f aca="false">Train_In!$C$6</f>
        <v>0.25</v>
      </c>
      <c r="H13" s="65" t="n">
        <f aca="false">Train_In!$C$6</f>
        <v>0.25</v>
      </c>
      <c r="I13" s="65" t="n">
        <f aca="false">Train_In!$C$6</f>
        <v>0.25</v>
      </c>
      <c r="J13" s="65" t="n">
        <f aca="false">Train_In!$C$6</f>
        <v>0.25</v>
      </c>
      <c r="K13" s="65" t="n">
        <f aca="false">Train_In!$C$6</f>
        <v>0.25</v>
      </c>
      <c r="L13" s="65" t="n">
        <f aca="false">Train_In!$C$6</f>
        <v>0.25</v>
      </c>
      <c r="M13" s="65" t="n">
        <f aca="false">Train_In!$C$6</f>
        <v>0.25</v>
      </c>
      <c r="N13" s="65" t="n">
        <f aca="false">Train_In!$C$6</f>
        <v>0.25</v>
      </c>
      <c r="O13" s="65" t="n">
        <f aca="false">Train_In!$C$6</f>
        <v>0.25</v>
      </c>
      <c r="P13" s="65" t="n">
        <f aca="false">Train_In!$C$6</f>
        <v>0.25</v>
      </c>
      <c r="Q13" s="65" t="n">
        <f aca="false">Train_In!$C$6</f>
        <v>0.25</v>
      </c>
    </row>
    <row r="14" customFormat="false" ht="15" hidden="false" customHeight="false" outlineLevel="0" collapsed="false">
      <c r="A14" s="62" t="s">
        <v>1165</v>
      </c>
      <c r="B14" s="62" t="s">
        <v>118</v>
      </c>
      <c r="C14" s="97" t="n">
        <f aca="false">INDEX(Train_In!$C$21:$G$21,C$6)</f>
        <v>1</v>
      </c>
      <c r="D14" s="97" t="n">
        <f aca="false">INDEX(Train_In!$C$21:$G$21,D$6)</f>
        <v>1</v>
      </c>
      <c r="E14" s="97" t="n">
        <f aca="false">INDEX(Train_In!$C$21:$G$21,E$6)</f>
        <v>1</v>
      </c>
      <c r="F14" s="97" t="n">
        <f aca="false">INDEX(Train_In!$C$21:$G$21,F$6)</f>
        <v>1</v>
      </c>
      <c r="G14" s="97" t="n">
        <f aca="false">INDEX(Train_In!$C$21:$G$21,G$6)</f>
        <v>1</v>
      </c>
      <c r="H14" s="97" t="n">
        <f aca="false">INDEX(Train_In!$C$21:$G$21,H$6)</f>
        <v>1</v>
      </c>
      <c r="I14" s="97" t="n">
        <f aca="false">INDEX(Train_In!$C$21:$G$21,I$6)</f>
        <v>1</v>
      </c>
      <c r="J14" s="97" t="n">
        <f aca="false">INDEX(Train_In!$C$21:$G$21,J$6)</f>
        <v>1</v>
      </c>
      <c r="K14" s="97" t="n">
        <f aca="false">INDEX(Train_In!$C$21:$G$21,K$6)</f>
        <v>1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</row>
    <row r="15" customFormat="false" ht="15" hidden="false" customHeight="false" outlineLevel="0" collapsed="false">
      <c r="A15" s="61" t="s">
        <v>1166</v>
      </c>
      <c r="B15" s="62" t="s">
        <v>118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</row>
    <row r="16" customFormat="false" ht="15" hidden="false" customHeight="false" outlineLevel="0" collapsed="false">
      <c r="A16" s="61" t="s">
        <v>1167</v>
      </c>
      <c r="B16" s="62" t="s">
        <v>113</v>
      </c>
      <c r="C16" s="103" t="n">
        <f aca="false">C13*C14*C15</f>
        <v>0.25</v>
      </c>
      <c r="D16" s="103" t="n">
        <f aca="false">D13*D14*D15</f>
        <v>0.25</v>
      </c>
      <c r="E16" s="103" t="n">
        <f aca="false">E13*E14*E15</f>
        <v>0.25</v>
      </c>
      <c r="F16" s="103" t="n">
        <f aca="false">F13*F14*F15</f>
        <v>0.25</v>
      </c>
      <c r="G16" s="103" t="n">
        <f aca="false">G13*G14*G15</f>
        <v>0.25</v>
      </c>
      <c r="H16" s="103" t="n">
        <f aca="false">H13*H14*H15</f>
        <v>0.25</v>
      </c>
      <c r="I16" s="103" t="n">
        <f aca="false">I13*I14*I15</f>
        <v>0.25</v>
      </c>
      <c r="J16" s="103" t="n">
        <f aca="false">J13*J14*J15</f>
        <v>0.25</v>
      </c>
      <c r="K16" s="103" t="n">
        <f aca="false">K13*K14*K15</f>
        <v>0.25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</row>
    <row r="17" customFormat="false" ht="15" hidden="false" customHeight="false" outlineLevel="0" collapsed="false">
      <c r="A17" s="62" t="s">
        <v>1168</v>
      </c>
      <c r="B17" s="62" t="s">
        <v>113</v>
      </c>
      <c r="C17" s="65" t="n">
        <f aca="false">Train_In!$C$7</f>
        <v>0.9</v>
      </c>
      <c r="D17" s="65" t="n">
        <f aca="false">Train_In!$C$7</f>
        <v>0.9</v>
      </c>
      <c r="E17" s="65" t="n">
        <f aca="false">Train_In!$C$7</f>
        <v>0.9</v>
      </c>
      <c r="F17" s="65" t="n">
        <f aca="false">Train_In!$C$7</f>
        <v>0.9</v>
      </c>
      <c r="G17" s="65" t="n">
        <f aca="false">Train_In!$C$7</f>
        <v>0.9</v>
      </c>
      <c r="H17" s="65" t="n">
        <f aca="false">Train_In!$C$7</f>
        <v>0.9</v>
      </c>
      <c r="I17" s="65" t="n">
        <f aca="false">Train_In!$C$7</f>
        <v>0.9</v>
      </c>
      <c r="J17" s="65" t="n">
        <f aca="false">Train_In!$C$7</f>
        <v>0.9</v>
      </c>
      <c r="K17" s="65" t="n">
        <f aca="false">Train_In!$C$7</f>
        <v>0.9</v>
      </c>
      <c r="L17" s="65" t="n">
        <f aca="false">Train_In!$C$7</f>
        <v>0.9</v>
      </c>
      <c r="M17" s="65" t="n">
        <f aca="false">Train_In!$C$7</f>
        <v>0.9</v>
      </c>
      <c r="N17" s="65" t="n">
        <f aca="false">Train_In!$C$7</f>
        <v>0.9</v>
      </c>
      <c r="O17" s="65" t="n">
        <f aca="false">Train_In!$C$7</f>
        <v>0.9</v>
      </c>
      <c r="P17" s="65" t="n">
        <f aca="false">Train_In!$C$7</f>
        <v>0.9</v>
      </c>
      <c r="Q17" s="65" t="n">
        <f aca="false">Train_In!$C$7</f>
        <v>0.9</v>
      </c>
    </row>
    <row r="18" customFormat="false" ht="15" hidden="false" customHeight="false" outlineLevel="0" collapsed="false">
      <c r="A18" s="61" t="s">
        <v>1169</v>
      </c>
      <c r="B18" s="61" t="s">
        <v>867</v>
      </c>
      <c r="C18" s="63" t="n">
        <f aca="false">INDEX(DC_Cost!$C$14:$Q$14,3*(C$6-1)+2)/CTL_GW</f>
        <v>718048</v>
      </c>
      <c r="D18" s="63" t="n">
        <f aca="false">INDEX(DC_Cost!$C$14:$Q$14,3*(D$6-1)+2)/CTL_GW</f>
        <v>718048</v>
      </c>
      <c r="E18" s="63" t="n">
        <f aca="false">INDEX(DC_Cost!$C$14:$Q$14,3*(E$6-1)+2)/CTL_GW</f>
        <v>718048</v>
      </c>
      <c r="F18" s="63" t="n">
        <f aca="false">INDEX(DC_Cost!$C$14:$Q$14,3*(F$6-1)+2)/CTL_GW</f>
        <v>501768</v>
      </c>
      <c r="G18" s="63" t="n">
        <f aca="false">INDEX(DC_Cost!$C$14:$Q$14,3*(G$6-1)+2)/CTL_GW</f>
        <v>501768</v>
      </c>
      <c r="H18" s="63" t="n">
        <f aca="false">INDEX(DC_Cost!$C$14:$Q$14,3*(H$6-1)+2)/CTL_GW</f>
        <v>501768</v>
      </c>
      <c r="I18" s="63" t="n">
        <f aca="false">INDEX(DC_Cost!$C$14:$Q$14,3*(I$6-1)+2)/CTL_GW</f>
        <v>487008</v>
      </c>
      <c r="J18" s="63" t="n">
        <f aca="false">INDEX(DC_Cost!$C$14:$Q$14,3*(J$6-1)+2)/CTL_GW</f>
        <v>487008</v>
      </c>
      <c r="K18" s="63" t="n">
        <f aca="false">INDEX(DC_Cost!$C$14:$Q$14,3*(K$6-1)+2)/CTL_GW</f>
        <v>487008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194760</v>
      </c>
      <c r="P18" s="63" t="n">
        <f aca="false">INDEX(DC_Cost!$C$14:$Q$14,3*(P$6-1)+2)/CTL_GW</f>
        <v>194760</v>
      </c>
      <c r="Q18" s="63" t="n">
        <f aca="false">INDEX(DC_Cost!$C$14:$Q$14,3*(Q$6-1)+2)/CTL_GW</f>
        <v>194760</v>
      </c>
    </row>
    <row r="19" customFormat="false" ht="15" hidden="false" customHeight="false" outlineLevel="0" collapsed="false">
      <c r="A19" s="61" t="s">
        <v>1170</v>
      </c>
      <c r="B19" s="62" t="s">
        <v>985</v>
      </c>
      <c r="C19" s="95" t="n">
        <f aca="false">INDEX(DC_Cost!$C$58:$Q$58,3*(C$6-1)+2)</f>
        <v>1.54259654785589</v>
      </c>
      <c r="D19" s="95" t="n">
        <f aca="false">INDEX(DC_Cost!$C$58:$Q$58,3*(D$6-1)+2)</f>
        <v>1.54259654785589</v>
      </c>
      <c r="E19" s="95" t="n">
        <f aca="false">INDEX(DC_Cost!$C$58:$Q$58,3*(E$6-1)+2)</f>
        <v>1.54259654785589</v>
      </c>
      <c r="F19" s="95" t="n">
        <f aca="false">INDEX(DC_Cost!$C$58:$Q$58,3*(F$6-1)+2)</f>
        <v>2.00846099652078</v>
      </c>
      <c r="G19" s="95" t="n">
        <f aca="false">INDEX(DC_Cost!$C$58:$Q$58,3*(G$6-1)+2)</f>
        <v>2.00846099652078</v>
      </c>
      <c r="H19" s="95" t="n">
        <f aca="false">INDEX(DC_Cost!$C$58:$Q$58,3*(H$6-1)+2)</f>
        <v>2.00846099652078</v>
      </c>
      <c r="I19" s="95" t="n">
        <f aca="false">INDEX(DC_Cost!$C$58:$Q$58,3*(I$6-1)+2)</f>
        <v>2.55178761329595</v>
      </c>
      <c r="J19" s="95" t="n">
        <f aca="false">INDEX(DC_Cost!$C$58:$Q$58,3*(J$6-1)+2)</f>
        <v>2.55178761329595</v>
      </c>
      <c r="K19" s="95" t="n">
        <f aca="false">INDEX(DC_Cost!$C$58:$Q$58,3*(K$6-1)+2)</f>
        <v>2.55178761329595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8.99976806898525</v>
      </c>
      <c r="P19" s="95" t="n">
        <f aca="false">INDEX(DC_Cost!$C$58:$Q$58,3*(P$6-1)+2)</f>
        <v>8.99976806898525</v>
      </c>
      <c r="Q19" s="95" t="n">
        <f aca="false">INDEX(DC_Cost!$C$58:$Q$58,3*(Q$6-1)+2)</f>
        <v>8.99976806898525</v>
      </c>
    </row>
    <row r="20" customFormat="false" ht="15" hidden="false" customHeight="false" outlineLevel="0" collapsed="false">
      <c r="A20" s="61" t="s">
        <v>1171</v>
      </c>
      <c r="B20" s="62" t="s">
        <v>985</v>
      </c>
      <c r="C20" s="95" t="n">
        <f aca="false">INDEX(DC_Cost!$C$57:$Q$57,3*(C$6-1)+2)</f>
        <v>1.12941277108671</v>
      </c>
      <c r="D20" s="95" t="n">
        <f aca="false">INDEX(DC_Cost!$C$57:$Q$57,3*(D$6-1)+2)</f>
        <v>1.12941277108671</v>
      </c>
      <c r="E20" s="95" t="n">
        <f aca="false">INDEX(DC_Cost!$C$57:$Q$57,3*(E$6-1)+2)</f>
        <v>1.12941277108671</v>
      </c>
      <c r="F20" s="95" t="n">
        <f aca="false">INDEX(DC_Cost!$C$57:$Q$57,3*(F$6-1)+2)</f>
        <v>1.46722704621019</v>
      </c>
      <c r="G20" s="95" t="n">
        <f aca="false">INDEX(DC_Cost!$C$57:$Q$57,3*(G$6-1)+2)</f>
        <v>1.46722704621019</v>
      </c>
      <c r="H20" s="95" t="n">
        <f aca="false">INDEX(DC_Cost!$C$57:$Q$57,3*(H$6-1)+2)</f>
        <v>1.46722704621019</v>
      </c>
      <c r="I20" s="95" t="n">
        <f aca="false">INDEX(DC_Cost!$C$57:$Q$57,3*(I$6-1)+2)</f>
        <v>1.87284720011301</v>
      </c>
      <c r="J20" s="95" t="n">
        <f aca="false">INDEX(DC_Cost!$C$57:$Q$57,3*(J$6-1)+2)</f>
        <v>1.87284720011301</v>
      </c>
      <c r="K20" s="95" t="n">
        <f aca="false">INDEX(DC_Cost!$C$57:$Q$57,3*(K$6-1)+2)</f>
        <v>1.87284720011301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6.64357830075911</v>
      </c>
      <c r="P20" s="95" t="n">
        <f aca="false">INDEX(DC_Cost!$C$57:$Q$57,3*(P$6-1)+2)</f>
        <v>6.64357830075911</v>
      </c>
      <c r="Q20" s="95" t="n">
        <f aca="false">INDEX(DC_Cost!$C$57:$Q$57,3*(Q$6-1)+2)</f>
        <v>6.64357830075911</v>
      </c>
    </row>
    <row r="21" customFormat="false" ht="15" hidden="false" customHeight="false" outlineLevel="0" collapsed="false">
      <c r="A21" s="76" t="s">
        <v>1172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customFormat="false" ht="15" hidden="false" customHeight="false" outlineLevel="0" collapsed="false">
      <c r="A22" s="61" t="s">
        <v>290</v>
      </c>
      <c r="B22" s="62" t="s">
        <v>287</v>
      </c>
      <c r="C22" s="63" t="n">
        <f aca="false">INDEX(Arch!$C$7:$E$7,C$7)*INDEX(ARCH_ScaleGen,1,C$6)</f>
        <v>13</v>
      </c>
      <c r="D22" s="63" t="n">
        <f aca="false">INDEX(Arch!$C$7:$E$7,D$7)*INDEX(ARCH_ScaleGen,1,D$6)</f>
        <v>49</v>
      </c>
      <c r="E22" s="63" t="n">
        <f aca="false">INDEX(Arch!$C$7:$E$7,E$7)*INDEX(ARCH_ScaleGen,1,E$6)</f>
        <v>180</v>
      </c>
      <c r="F22" s="63" t="n">
        <f aca="false">INDEX(Arch!$C$7:$E$7,F$7)*INDEX(ARCH_ScaleGen,1,F$6)</f>
        <v>13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13</v>
      </c>
      <c r="J22" s="63" t="n">
        <f aca="false">INDEX(Arch!$C$7:$E$7,J$7)*INDEX(ARCH_ScaleGen,1,J$6)</f>
        <v>49</v>
      </c>
      <c r="K22" s="63" t="n">
        <f aca="false">INDEX(Arch!$C$7:$E$7,K$7)*INDEX(ARCH_ScaleGen,1,K$6)</f>
        <v>180</v>
      </c>
      <c r="L22" s="63" t="n">
        <f aca="false">INDEX(Arch!$C$7:$E$7,L$7)*INDEX(ARCH_ScaleGen,1,L$6)</f>
        <v>13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13</v>
      </c>
      <c r="P22" s="63" t="n">
        <f aca="false">INDEX(Arch!$C$7:$E$7,P$7)*INDEX(ARCH_ScaleGen,1,P$6)</f>
        <v>49</v>
      </c>
      <c r="Q22" s="63" t="n">
        <f aca="false">INDEX(Arch!$C$7:$E$7,Q$7)*INDEX(ARCH_ScaleGen,1,Q$6)</f>
        <v>180</v>
      </c>
    </row>
    <row r="23" customFormat="false" ht="15" hidden="false" customHeight="false" outlineLevel="0" collapsed="false">
      <c r="A23" s="61" t="s">
        <v>526</v>
      </c>
      <c r="B23" s="62" t="s">
        <v>330</v>
      </c>
      <c r="C23" s="63" t="n">
        <f aca="false">INDEX(Arch!$C$30:$E$30,C$7)</f>
        <v>5636096</v>
      </c>
      <c r="D23" s="63" t="n">
        <f aca="false">INDEX(Arch!$C$30:$E$30,D$7)</f>
        <v>15990784</v>
      </c>
      <c r="E23" s="63" t="n">
        <f aca="false">INDEX(Arch!$C$30:$E$30,E$7)</f>
        <v>4915200</v>
      </c>
      <c r="F23" s="63" t="n">
        <f aca="false">INDEX(Arch!$C$30:$E$30,F$7)</f>
        <v>5636096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5636096</v>
      </c>
      <c r="J23" s="63" t="n">
        <f aca="false">INDEX(Arch!$C$30:$E$30,J$7)</f>
        <v>15990784</v>
      </c>
      <c r="K23" s="63" t="n">
        <f aca="false">INDEX(Arch!$C$30:$E$30,K$7)</f>
        <v>4915200</v>
      </c>
      <c r="L23" s="63" t="n">
        <f aca="false">INDEX(Arch!$C$30:$E$30,L$7)</f>
        <v>5636096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5636096</v>
      </c>
      <c r="P23" s="63" t="n">
        <f aca="false">INDEX(Arch!$C$30:$E$30,P$7)</f>
        <v>15990784</v>
      </c>
      <c r="Q23" s="63" t="n">
        <f aca="false">INDEX(Arch!$C$30:$E$30,Q$7)</f>
        <v>4915200</v>
      </c>
    </row>
    <row r="24" customFormat="false" ht="15" hidden="false" customHeight="false" outlineLevel="0" collapsed="false">
      <c r="A24" s="61" t="s">
        <v>305</v>
      </c>
      <c r="B24" s="62" t="s">
        <v>113</v>
      </c>
      <c r="C24" s="65" t="n">
        <f aca="false">INDEX(Arch!$C$16:$E$16,C$7)</f>
        <v>0.512</v>
      </c>
      <c r="D24" s="65" t="n">
        <f aca="false">INDEX(Arch!$C$16:$E$16,D$7)</f>
        <v>0.492</v>
      </c>
      <c r="E24" s="65" t="n">
        <f aca="false">INDEX(Arch!$C$16:$E$16,E$7)</f>
        <v>1</v>
      </c>
      <c r="F24" s="65" t="n">
        <f aca="false">INDEX(Arch!$C$16:$E$16,F$7)</f>
        <v>0.512</v>
      </c>
      <c r="G24" s="65" t="n">
        <f aca="false">INDEX(Arch!$C$16:$E$16,G$7)</f>
        <v>0.492</v>
      </c>
      <c r="H24" s="65" t="n">
        <f aca="false">INDEX(Arch!$C$16:$E$16,H$7)</f>
        <v>1</v>
      </c>
      <c r="I24" s="65" t="n">
        <f aca="false">INDEX(Arch!$C$16:$E$16,I$7)</f>
        <v>0.512</v>
      </c>
      <c r="J24" s="65" t="n">
        <f aca="false">INDEX(Arch!$C$16:$E$16,J$7)</f>
        <v>0.492</v>
      </c>
      <c r="K24" s="65" t="n">
        <f aca="false">INDEX(Arch!$C$16:$E$16,K$7)</f>
        <v>1</v>
      </c>
      <c r="L24" s="65" t="n">
        <f aca="false">INDEX(Arch!$C$16:$E$16,L$7)</f>
        <v>0.512</v>
      </c>
      <c r="M24" s="65" t="n">
        <f aca="false">INDEX(Arch!$C$16:$E$16,M$7)</f>
        <v>0.492</v>
      </c>
      <c r="N24" s="65" t="n">
        <f aca="false">INDEX(Arch!$C$16:$E$16,N$7)</f>
        <v>1</v>
      </c>
      <c r="O24" s="65" t="n">
        <f aca="false">INDEX(Arch!$C$16:$E$16,O$7)</f>
        <v>0.512</v>
      </c>
      <c r="P24" s="65" t="n">
        <f aca="false">INDEX(Arch!$C$16:$E$16,P$7)</f>
        <v>0.492</v>
      </c>
      <c r="Q24" s="65" t="n">
        <f aca="false">INDEX(Arch!$C$16:$E$16,Q$7)</f>
        <v>1</v>
      </c>
    </row>
    <row r="25" customFormat="false" ht="15" hidden="false" customHeight="false" outlineLevel="0" collapsed="false">
      <c r="A25" s="61" t="s">
        <v>879</v>
      </c>
      <c r="B25" s="62" t="s">
        <v>308</v>
      </c>
      <c r="C25" s="63" t="n">
        <f aca="false">INDEX(Arch!$C$17:$E$17,C$7)</f>
        <v>4224</v>
      </c>
      <c r="D25" s="63" t="n">
        <f aca="false">INDEX(Arch!$C$17:$E$17,D$7)</f>
        <v>4224</v>
      </c>
      <c r="E25" s="63" t="n">
        <f aca="false">INDEX(Arch!$C$17:$E$17,E$7)</f>
        <v>0</v>
      </c>
      <c r="F25" s="63" t="n">
        <f aca="false">INDEX(Arch!$C$17:$E$17,F$7)</f>
        <v>4224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4224</v>
      </c>
      <c r="K25" s="63" t="n">
        <f aca="false">INDEX(Arch!$C$17:$E$17,K$7)</f>
        <v>0</v>
      </c>
      <c r="L25" s="63" t="n">
        <f aca="false">INDEX(Arch!$C$17:$E$17,L$7)</f>
        <v>4224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4224</v>
      </c>
      <c r="Q25" s="63" t="n">
        <f aca="false">INDEX(Arch!$C$17:$E$17,Q$7)</f>
        <v>0</v>
      </c>
    </row>
    <row r="26" customFormat="false" ht="15" hidden="false" customHeight="false" outlineLevel="0" collapsed="false">
      <c r="A26" s="61" t="s">
        <v>310</v>
      </c>
      <c r="B26" s="62" t="s">
        <v>118</v>
      </c>
      <c r="C26" s="63" t="n">
        <f aca="false">INDEX(Arch!$C$18:$E$18,C$7)</f>
        <v>128</v>
      </c>
      <c r="D26" s="63" t="n">
        <f aca="false">INDEX(Arch!$C$18:$E$18,D$7)</f>
        <v>128</v>
      </c>
      <c r="E26" s="63" t="n">
        <f aca="false">INDEX(Arch!$C$18:$E$18,E$7)</f>
        <v>1</v>
      </c>
      <c r="F26" s="63" t="n">
        <f aca="false">INDEX(Arch!$C$18:$E$18,F$7)</f>
        <v>128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128</v>
      </c>
      <c r="K26" s="63" t="n">
        <f aca="false">INDEX(Arch!$C$18:$E$18,K$7)</f>
        <v>1</v>
      </c>
      <c r="L26" s="63" t="n">
        <f aca="false">INDEX(Arch!$C$18:$E$18,L$7)</f>
        <v>128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128</v>
      </c>
      <c r="Q26" s="63" t="n">
        <f aca="false">INDEX(Arch!$C$18:$E$18,Q$7)</f>
        <v>1</v>
      </c>
    </row>
    <row r="27" customFormat="false" ht="15" hidden="false" customHeight="false" outlineLevel="0" collapsed="false">
      <c r="A27" s="61" t="s">
        <v>312</v>
      </c>
      <c r="B27" s="62" t="s">
        <v>308</v>
      </c>
      <c r="C27" s="63" t="n">
        <f aca="false">INDEX(Arch!$C$19:$E$19,C$7)</f>
        <v>128</v>
      </c>
      <c r="D27" s="63" t="n">
        <f aca="false">INDEX(Arch!$C$19:$E$19,D$7)</f>
        <v>128</v>
      </c>
      <c r="E27" s="63" t="n">
        <f aca="false">INDEX(Arch!$C$19:$E$19,E$7)</f>
        <v>0</v>
      </c>
      <c r="F27" s="63" t="n">
        <f aca="false">INDEX(Arch!$C$19:$E$19,F$7)</f>
        <v>128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128</v>
      </c>
      <c r="K27" s="63" t="n">
        <f aca="false">INDEX(Arch!$C$19:$E$19,K$7)</f>
        <v>0</v>
      </c>
      <c r="L27" s="63" t="n">
        <f aca="false">INDEX(Arch!$C$19:$E$19,L$7)</f>
        <v>128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128</v>
      </c>
      <c r="Q27" s="63" t="n">
        <f aca="false">INDEX(Arch!$C$19:$E$19,Q$7)</f>
        <v>0</v>
      </c>
    </row>
    <row r="28" customFormat="false" ht="15" hidden="false" customHeight="false" outlineLevel="0" collapsed="false">
      <c r="A28" s="62" t="s">
        <v>858</v>
      </c>
      <c r="B28" s="62" t="s">
        <v>118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</row>
    <row r="29" customFormat="false" ht="15" hidden="false" customHeight="false" outlineLevel="0" collapsed="false">
      <c r="A29" s="76" t="s">
        <v>1173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</row>
    <row r="30" customFormat="false" ht="15" hidden="false" customHeight="false" outlineLevel="0" collapsed="false">
      <c r="A30" s="61" t="s">
        <v>1174</v>
      </c>
      <c r="B30" s="62" t="s">
        <v>118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97" t="n">
        <f aca="false">Tech_Registry!$E$27</f>
        <v>1</v>
      </c>
      <c r="L30" s="97" t="n">
        <f aca="false">Tech_Registry!$E$27</f>
        <v>1</v>
      </c>
      <c r="M30" s="97" t="n">
        <f aca="false">Tech_Registry!$E$27</f>
        <v>1</v>
      </c>
      <c r="N30" s="97" t="n">
        <f aca="false">Tech_Registry!$E$27</f>
        <v>1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</row>
    <row r="31" customFormat="false" ht="15" hidden="false" customHeight="false" outlineLevel="0" collapsed="false">
      <c r="A31" s="61" t="s">
        <v>1102</v>
      </c>
      <c r="B31" s="62" t="s">
        <v>1103</v>
      </c>
      <c r="C31" s="98" t="n">
        <f aca="false">INDEX(Train_In!$C$25:$E$25,C$7)*C30</f>
        <v>32</v>
      </c>
      <c r="D31" s="98" t="n">
        <f aca="false">INDEX(Train_In!$C$25:$E$25,D$7)*D30</f>
        <v>33</v>
      </c>
      <c r="E31" s="98" t="n">
        <f aca="false">INDEX(Train_In!$C$25:$E$25,E$7)*E30</f>
        <v>60</v>
      </c>
      <c r="F31" s="98" t="n">
        <f aca="false">INDEX(Train_In!$C$25:$E$25,F$7)*F30</f>
        <v>32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32</v>
      </c>
      <c r="J31" s="98" t="n">
        <f aca="false">INDEX(Train_In!$C$25:$E$25,J$7)*J30</f>
        <v>33</v>
      </c>
      <c r="K31" s="98" t="n">
        <f aca="false">INDEX(Train_In!$C$25:$E$25,K$7)*K30</f>
        <v>60</v>
      </c>
      <c r="L31" s="98" t="n">
        <f aca="false">INDEX(Train_In!$C$25:$E$25,L$7)*L30</f>
        <v>32</v>
      </c>
      <c r="M31" s="98" t="n">
        <f aca="false">INDEX(Train_In!$C$25:$E$25,M$7)*M30</f>
        <v>33</v>
      </c>
      <c r="N31" s="98" t="n">
        <f aca="false">INDEX(Train_In!$C$25:$E$25,N$7)*N30</f>
        <v>60</v>
      </c>
      <c r="O31" s="98" t="n">
        <f aca="false">INDEX(Train_In!$C$25:$E$25,O$7)*O30</f>
        <v>32</v>
      </c>
      <c r="P31" s="98" t="n">
        <f aca="false">INDEX(Train_In!$C$25:$E$25,P$7)*P30</f>
        <v>33</v>
      </c>
      <c r="Q31" s="98" t="n">
        <f aca="false">INDEX(Train_In!$C$25:$E$25,Q$7)*Q30</f>
        <v>60</v>
      </c>
    </row>
    <row r="32" customFormat="false" ht="15" hidden="false" customHeight="false" outlineLevel="0" collapsed="false">
      <c r="A32" s="61" t="s">
        <v>1175</v>
      </c>
      <c r="B32" s="62" t="s">
        <v>308</v>
      </c>
      <c r="C32" s="63" t="n">
        <f aca="false">INDEX(Train_In!$C$26:$E$26,C$7)</f>
        <v>4096</v>
      </c>
      <c r="D32" s="63" t="n">
        <f aca="false">INDEX(Train_In!$C$26:$E$26,D$7)</f>
        <v>4096</v>
      </c>
      <c r="E32" s="63" t="n">
        <f aca="false">INDEX(Train_In!$C$26:$E$26,E$7)</f>
        <v>8192</v>
      </c>
      <c r="F32" s="63" t="n">
        <f aca="false">INDEX(Train_In!$C$26:$E$26,F$7)</f>
        <v>4096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4096</v>
      </c>
      <c r="K32" s="63" t="n">
        <f aca="false">INDEX(Train_In!$C$26:$E$26,K$7)</f>
        <v>8192</v>
      </c>
      <c r="L32" s="63" t="n">
        <f aca="false">INDEX(Train_In!$C$26:$E$26,L$7)</f>
        <v>4096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4096</v>
      </c>
      <c r="Q32" s="63" t="n">
        <f aca="false">INDEX(Train_In!$C$26:$E$26,Q$7)</f>
        <v>8192</v>
      </c>
    </row>
    <row r="33" customFormat="false" ht="15" hidden="false" customHeight="false" outlineLevel="0" collapsed="false">
      <c r="A33" s="61" t="s">
        <v>1176</v>
      </c>
      <c r="B33" s="62" t="s">
        <v>308</v>
      </c>
      <c r="C33" s="68" t="n">
        <f aca="false">C32/2</f>
        <v>2048</v>
      </c>
      <c r="D33" s="68" t="n">
        <f aca="false">D32/2</f>
        <v>2048</v>
      </c>
      <c r="E33" s="68" t="n">
        <f aca="false">E32/2</f>
        <v>4096</v>
      </c>
      <c r="F33" s="68" t="n">
        <f aca="false">F32/2</f>
        <v>2048</v>
      </c>
      <c r="G33" s="68" t="n">
        <f aca="false">G32/2</f>
        <v>2048</v>
      </c>
      <c r="H33" s="68" t="n">
        <f aca="false">H32/2</f>
        <v>4096</v>
      </c>
      <c r="I33" s="68" t="n">
        <f aca="false">I32/2</f>
        <v>2048</v>
      </c>
      <c r="J33" s="68" t="n">
        <f aca="false">J32/2</f>
        <v>2048</v>
      </c>
      <c r="K33" s="68" t="n">
        <f aca="false">K32/2</f>
        <v>4096</v>
      </c>
      <c r="L33" s="68" t="n">
        <f aca="false">L32/2</f>
        <v>2048</v>
      </c>
      <c r="M33" s="68" t="n">
        <f aca="false">M32/2</f>
        <v>2048</v>
      </c>
      <c r="N33" s="68" t="n">
        <f aca="false">N32/2</f>
        <v>4096</v>
      </c>
      <c r="O33" s="68" t="n">
        <f aca="false">O32/2</f>
        <v>2048</v>
      </c>
      <c r="P33" s="68" t="n">
        <f aca="false">P32/2</f>
        <v>2048</v>
      </c>
      <c r="Q33" s="68" t="n">
        <f aca="false">Q32/2</f>
        <v>4096</v>
      </c>
    </row>
    <row r="34" customFormat="false" ht="15" hidden="false" customHeight="false" outlineLevel="0" collapsed="false">
      <c r="A34" s="61" t="s">
        <v>1177</v>
      </c>
      <c r="B34" s="62" t="s">
        <v>539</v>
      </c>
      <c r="C34" s="75" t="n">
        <f aca="false">3*(2*C22*1000000000+C23*C33)*C28/1000000000</f>
        <v>112.628173824</v>
      </c>
      <c r="D34" s="75" t="n">
        <f aca="false">3*(2*D22*1000000000+D23*D33)*D28/1000000000</f>
        <v>392.247376896</v>
      </c>
      <c r="E34" s="75" t="n">
        <f aca="false">3*(2*E22*1000000000+E23*E33)*E28/1000000000</f>
        <v>1140.3979776</v>
      </c>
      <c r="F34" s="75" t="n">
        <f aca="false">3*(2*F22*1000000000+F23*F33)*F28/1000000000</f>
        <v>112.628173824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112.628173824</v>
      </c>
      <c r="J34" s="75" t="n">
        <f aca="false">3*(2*J22*1000000000+J23*J33)*J28/1000000000</f>
        <v>392.247376896</v>
      </c>
      <c r="K34" s="75" t="n">
        <f aca="false">3*(2*K22*1000000000+K23*K33)*K28/1000000000</f>
        <v>1140.3979776</v>
      </c>
      <c r="L34" s="75" t="n">
        <f aca="false">3*(2*L22*1000000000+L23*L33)*L28/1000000000</f>
        <v>112.628173824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112.628173824</v>
      </c>
      <c r="P34" s="75" t="n">
        <f aca="false">3*(2*P22*1000000000+P23*P33)*P28/1000000000</f>
        <v>392.247376896</v>
      </c>
      <c r="Q34" s="75" t="n">
        <f aca="false">3*(2*Q22*1000000000+Q23*Q33)*Q28/1000000000</f>
        <v>1140.3979776</v>
      </c>
    </row>
    <row r="35" customFormat="false" ht="15" hidden="false" customHeight="false" outlineLevel="0" collapsed="false">
      <c r="A35" s="61" t="s">
        <v>1178</v>
      </c>
      <c r="B35" s="62" t="s">
        <v>330</v>
      </c>
      <c r="C35" s="144" t="n">
        <f aca="false">C34*1000000000*C31*1000000000000</f>
        <v>3.604101562368E+024</v>
      </c>
      <c r="D35" s="144" t="n">
        <f aca="false">D34*1000000000*D31*1000000000000</f>
        <v>1.2944163437568E+025</v>
      </c>
      <c r="E35" s="144" t="n">
        <f aca="false">E34*1000000000*E31*1000000000000</f>
        <v>6.8423878656E+025</v>
      </c>
      <c r="F35" s="144" t="n">
        <f aca="false">F34*1000000000*F31*1000000000000</f>
        <v>3.604101562368E+024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3.604101562368E+024</v>
      </c>
      <c r="J35" s="144" t="n">
        <f aca="false">J34*1000000000*J31*1000000000000</f>
        <v>1.2944163437568E+025</v>
      </c>
      <c r="K35" s="144" t="n">
        <f aca="false">K34*1000000000*K31*1000000000000</f>
        <v>6.8423878656E+025</v>
      </c>
      <c r="L35" s="144" t="n">
        <f aca="false">L34*1000000000*L31*1000000000000</f>
        <v>3.604101562368E+024</v>
      </c>
      <c r="M35" s="144" t="n">
        <f aca="false">M34*1000000000*M31*1000000000000</f>
        <v>1.2944163437568E+025</v>
      </c>
      <c r="N35" s="144" t="n">
        <f aca="false">N34*1000000000*N31*1000000000000</f>
        <v>6.8423878656E+025</v>
      </c>
      <c r="O35" s="144" t="n">
        <f aca="false">O34*1000000000*O31*1000000000000</f>
        <v>3.604101562368E+024</v>
      </c>
      <c r="P35" s="144" t="n">
        <f aca="false">P34*1000000000*P31*1000000000000</f>
        <v>1.2944163437568E+025</v>
      </c>
      <c r="Q35" s="144" t="n">
        <f aca="false">Q34*1000000000*Q31*1000000000000</f>
        <v>6.8423878656E+025</v>
      </c>
    </row>
    <row r="36" customFormat="false" ht="15" hidden="false" customHeight="false" outlineLevel="0" collapsed="false">
      <c r="A36" s="61" t="s">
        <v>1179</v>
      </c>
      <c r="B36" s="62" t="s">
        <v>1180</v>
      </c>
      <c r="C36" s="71" t="n">
        <f aca="false">C35/(C12*1000000000000000*C16*1*C17)/3600</f>
        <v>2248361.8502723</v>
      </c>
      <c r="D36" s="71" t="n">
        <f aca="false">D35/(D12*1000000000000000*D16*1*D17)/3600</f>
        <v>8075011.96986132</v>
      </c>
      <c r="E36" s="71" t="n">
        <f aca="false">E35/(E12*1000000000000000*E16*1*E17)/3600</f>
        <v>42685156.2742126</v>
      </c>
      <c r="F36" s="71" t="n">
        <f aca="false">F35/(F12*1000000000000000*F16*1*F17)/3600</f>
        <v>889901.620337778</v>
      </c>
      <c r="G36" s="71" t="n">
        <f aca="false">G35/(G12*1000000000000000*G16*1*G17)/3600</f>
        <v>3196089.73767111</v>
      </c>
      <c r="H36" s="71" t="n">
        <f aca="false">H35/(H12*1000000000000000*H16*1*H17)/3600</f>
        <v>16894784.8533333</v>
      </c>
      <c r="I36" s="71" t="n">
        <f aca="false">I35/(I12*1000000000000000*I16*1*I17)/3600</f>
        <v>889901.620337778</v>
      </c>
      <c r="J36" s="71" t="n">
        <f aca="false">J35/(J12*1000000000000000*J16*1*J17)/3600</f>
        <v>3196089.73767111</v>
      </c>
      <c r="K36" s="71" t="n">
        <f aca="false">K35/(K12*1000000000000000*K16*1*K17)/3600</f>
        <v>16894784.8533333</v>
      </c>
      <c r="L36" s="71" t="n">
        <f aca="false">L35/(L12*1000000000000000*L16*1*L17)/3600</f>
        <v>282508.450900882</v>
      </c>
      <c r="M36" s="71" t="n">
        <f aca="false">M35/(M12*1000000000000000*M16*1*M17)/3600</f>
        <v>1014631.66275273</v>
      </c>
      <c r="N36" s="71" t="n">
        <f aca="false">N35/(N12*1000000000000000*N16*1*N17)/3600</f>
        <v>5363423.76296296</v>
      </c>
      <c r="O36" s="71" t="n">
        <f aca="false">O35/(O12*1000000000000000*O16*1*O17)/3600</f>
        <v>141254.225450441</v>
      </c>
      <c r="P36" s="71" t="n">
        <f aca="false">P35/(P12*1000000000000000*P16*1*P17)/3600</f>
        <v>507315.831376367</v>
      </c>
      <c r="Q36" s="71" t="n">
        <f aca="false">Q35/(Q12*1000000000000000*Q16*1*Q17)/3600</f>
        <v>2681711.88148148</v>
      </c>
    </row>
    <row r="37" customFormat="false" ht="15" hidden="false" customHeight="false" outlineLevel="0" collapsed="false">
      <c r="A37" s="76" t="s">
        <v>1181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customFormat="false" ht="15" hidden="false" customHeight="false" outlineLevel="0" collapsed="false">
      <c r="A38" s="61" t="s">
        <v>1182</v>
      </c>
      <c r="B38" s="62" t="s">
        <v>1103</v>
      </c>
      <c r="C38" s="98" t="n">
        <f aca="false">INDEX(Train_In!$C$27:$E$27,C$7)</f>
        <v>1</v>
      </c>
      <c r="D38" s="98" t="n">
        <f aca="false">INDEX(Train_In!$C$27:$E$27,D$7)</f>
        <v>1</v>
      </c>
      <c r="E38" s="98" t="n">
        <f aca="false">INDEX(Train_In!$C$27:$E$27,E$7)</f>
        <v>2</v>
      </c>
      <c r="F38" s="98" t="n">
        <f aca="false">INDEX(Train_In!$C$27:$E$27,F$7)</f>
        <v>1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1</v>
      </c>
      <c r="K38" s="98" t="n">
        <f aca="false">INDEX(Train_In!$C$27:$E$27,K$7)</f>
        <v>2</v>
      </c>
      <c r="L38" s="98" t="n">
        <f aca="false">INDEX(Train_In!$C$27:$E$27,L$7)</f>
        <v>1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1</v>
      </c>
      <c r="Q38" s="98" t="n">
        <f aca="false">INDEX(Train_In!$C$27:$E$27,Q$7)</f>
        <v>2</v>
      </c>
    </row>
    <row r="39" customFormat="false" ht="15" hidden="false" customHeight="false" outlineLevel="0" collapsed="false">
      <c r="A39" s="61" t="s">
        <v>1175</v>
      </c>
      <c r="B39" s="62" t="s">
        <v>308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</row>
    <row r="40" customFormat="false" ht="15" hidden="false" customHeight="false" outlineLevel="0" collapsed="false">
      <c r="A40" s="61" t="s">
        <v>1183</v>
      </c>
      <c r="B40" s="62" t="s">
        <v>308</v>
      </c>
      <c r="C40" s="68" t="n">
        <f aca="false">C24*IF(C25=0,C39/2,MIN(C39/2,C25))+(1-C24)*(C39/2/C26+C27)</f>
        <v>2475.008</v>
      </c>
      <c r="D40" s="68" t="n">
        <f aca="false">D24*IF(D25=0,D39/2,MIN(D39/2,D25))+(1-D24)*(D39/2/D26+D27)</f>
        <v>2403.328</v>
      </c>
      <c r="E40" s="68" t="n">
        <f aca="false">E24*IF(E25=0,E39/2,MIN(E39/2,E25))+(1-E24)*(E39/2/E26+E27)</f>
        <v>65536</v>
      </c>
      <c r="F40" s="68" t="n">
        <f aca="false">F24*IF(F25=0,F39/2,MIN(F39/2,F25))+(1-F24)*(F39/2/F26+F27)</f>
        <v>2475.008</v>
      </c>
      <c r="G40" s="68" t="n">
        <f aca="false">G24*IF(G25=0,G39/2,MIN(G39/2,G25))+(1-G24)*(G39/2/G26+G27)</f>
        <v>2403.328</v>
      </c>
      <c r="H40" s="68" t="n">
        <f aca="false">H24*IF(H25=0,H39/2,MIN(H39/2,H25))+(1-H24)*(H39/2/H26+H27)</f>
        <v>65536</v>
      </c>
      <c r="I40" s="68" t="n">
        <f aca="false">I24*IF(I25=0,I39/2,MIN(I39/2,I25))+(1-I24)*(I39/2/I26+I27)</f>
        <v>2475.008</v>
      </c>
      <c r="J40" s="68" t="n">
        <f aca="false">J24*IF(J25=0,J39/2,MIN(J39/2,J25))+(1-J24)*(J39/2/J26+J27)</f>
        <v>2403.328</v>
      </c>
      <c r="K40" s="68" t="n">
        <f aca="false">K24*IF(K25=0,K39/2,MIN(K39/2,K25))+(1-K24)*(K39/2/K26+K27)</f>
        <v>65536</v>
      </c>
      <c r="L40" s="68" t="n">
        <f aca="false">L24*IF(L25=0,L39/2,MIN(L39/2,L25))+(1-L24)*(L39/2/L26+L27)</f>
        <v>2475.008</v>
      </c>
      <c r="M40" s="68" t="n">
        <f aca="false">M24*IF(M25=0,M39/2,MIN(M39/2,M25))+(1-M24)*(M39/2/M26+M27)</f>
        <v>2403.328</v>
      </c>
      <c r="N40" s="68" t="n">
        <f aca="false">N24*IF(N25=0,N39/2,MIN(N39/2,N25))+(1-N24)*(N39/2/N26+N27)</f>
        <v>65536</v>
      </c>
      <c r="O40" s="68" t="n">
        <f aca="false">O24*IF(O25=0,O39/2,MIN(O39/2,O25))+(1-O24)*(O39/2/O26+O27)</f>
        <v>2475.008</v>
      </c>
      <c r="P40" s="68" t="n">
        <f aca="false">P24*IF(P25=0,P39/2,MIN(P39/2,P25))+(1-P24)*(P39/2/P26+P27)</f>
        <v>2403.328</v>
      </c>
      <c r="Q40" s="68" t="n">
        <f aca="false">Q24*IF(Q25=0,Q39/2,MIN(Q39/2,Q25))+(1-Q24)*(Q39/2/Q26+Q27)</f>
        <v>65536</v>
      </c>
    </row>
    <row r="41" customFormat="false" ht="15" hidden="false" customHeight="false" outlineLevel="0" collapsed="false">
      <c r="A41" s="61" t="s">
        <v>1177</v>
      </c>
      <c r="B41" s="62" t="s">
        <v>539</v>
      </c>
      <c r="C41" s="75" t="n">
        <f aca="false">3*(2*C22*1000000000+C23*C40)*C28/1000000000</f>
        <v>119.848148066304</v>
      </c>
      <c r="D41" s="75" t="n">
        <f aca="false">3*(2*D22*1000000000+D23*D40)*D28/1000000000</f>
        <v>409.293296787456</v>
      </c>
      <c r="E41" s="75" t="n">
        <f aca="false">3*(2*E22*1000000000+E23*E40)*E28/1000000000</f>
        <v>2046.3676416</v>
      </c>
      <c r="F41" s="75" t="n">
        <f aca="false">3*(2*F22*1000000000+F23*F40)*F28/1000000000</f>
        <v>119.848148066304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119.848148066304</v>
      </c>
      <c r="J41" s="75" t="n">
        <f aca="false">3*(2*J22*1000000000+J23*J40)*J28/1000000000</f>
        <v>409.293296787456</v>
      </c>
      <c r="K41" s="75" t="n">
        <f aca="false">3*(2*K22*1000000000+K23*K40)*K28/1000000000</f>
        <v>2046.3676416</v>
      </c>
      <c r="L41" s="75" t="n">
        <f aca="false">3*(2*L22*1000000000+L23*L40)*L28/1000000000</f>
        <v>119.848148066304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119.848148066304</v>
      </c>
      <c r="P41" s="75" t="n">
        <f aca="false">3*(2*P22*1000000000+P23*P40)*P28/1000000000</f>
        <v>409.293296787456</v>
      </c>
      <c r="Q41" s="75" t="n">
        <f aca="false">3*(2*Q22*1000000000+Q23*Q40)*Q28/1000000000</f>
        <v>2046.3676416</v>
      </c>
    </row>
    <row r="42" customFormat="false" ht="15" hidden="false" customHeight="false" outlineLevel="0" collapsed="false">
      <c r="A42" s="61" t="s">
        <v>1184</v>
      </c>
      <c r="B42" s="62" t="s">
        <v>330</v>
      </c>
      <c r="C42" s="144" t="n">
        <f aca="false">C41*1000000000*C38*1000000000000</f>
        <v>1.19848148066304E+023</v>
      </c>
      <c r="D42" s="144" t="n">
        <f aca="false">D41*1000000000*D38*1000000000000</f>
        <v>4.09293296787456E+023</v>
      </c>
      <c r="E42" s="144" t="n">
        <f aca="false">E41*1000000000*E38*1000000000000</f>
        <v>4.0927352832E+024</v>
      </c>
      <c r="F42" s="144" t="n">
        <f aca="false">F41*1000000000*F38*1000000000000</f>
        <v>1.19848148066304E+023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1.19848148066304E+023</v>
      </c>
      <c r="J42" s="144" t="n">
        <f aca="false">J41*1000000000*J38*1000000000000</f>
        <v>4.09293296787456E+023</v>
      </c>
      <c r="K42" s="144" t="n">
        <f aca="false">K41*1000000000*K38*1000000000000</f>
        <v>4.0927352832E+024</v>
      </c>
      <c r="L42" s="144" t="n">
        <f aca="false">L41*1000000000*L38*1000000000000</f>
        <v>1.19848148066304E+023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1.19848148066304E+023</v>
      </c>
      <c r="P42" s="144" t="n">
        <f aca="false">P41*1000000000*P38*1000000000000</f>
        <v>4.09293296787456E+023</v>
      </c>
      <c r="Q42" s="144" t="n">
        <f aca="false">Q41*1000000000*Q38*1000000000000</f>
        <v>4.0927352832E+024</v>
      </c>
    </row>
    <row r="43" customFormat="false" ht="15" hidden="false" customHeight="false" outlineLevel="0" collapsed="false">
      <c r="A43" s="61" t="s">
        <v>1185</v>
      </c>
      <c r="B43" s="62" t="s">
        <v>1180</v>
      </c>
      <c r="C43" s="68" t="n">
        <f aca="false">C42/(C12*1000000000000000*C16*1*C17)/3600</f>
        <v>74765.3747473809</v>
      </c>
      <c r="D43" s="68" t="n">
        <f aca="false">D42/(D12*1000000000000000*D16*1*D17)/3600</f>
        <v>255331.160386188</v>
      </c>
      <c r="E43" s="68" t="n">
        <f aca="false">E42/(E12*1000000000000000*E16*1*E17)/3600</f>
        <v>2553188.28139914</v>
      </c>
      <c r="F43" s="68" t="n">
        <f aca="false">F42/(F12*1000000000000000*F16*1*F17)/3600</f>
        <v>29592.1353250133</v>
      </c>
      <c r="G43" s="68" t="n">
        <f aca="false">G42/(G12*1000000000000000*G16*1*G17)/3600</f>
        <v>101060.073280853</v>
      </c>
      <c r="H43" s="68" t="n">
        <f aca="false">H42/(H12*1000000000000000*H16*1*H17)/3600</f>
        <v>1010551.92177778</v>
      </c>
      <c r="I43" s="68" t="n">
        <f aca="false">I42/(I12*1000000000000000*I16*1*I17)/3600</f>
        <v>29592.1353250133</v>
      </c>
      <c r="J43" s="68" t="n">
        <f aca="false">J42/(J12*1000000000000000*J16*1*J17)/3600</f>
        <v>101060.073280853</v>
      </c>
      <c r="K43" s="68" t="n">
        <f aca="false">K42/(K12*1000000000000000*K16*1*K17)/3600</f>
        <v>1010551.92177778</v>
      </c>
      <c r="L43" s="68" t="n">
        <f aca="false">L42/(L12*1000000000000000*L16*1*L17)/3600</f>
        <v>9394.32867460741</v>
      </c>
      <c r="M43" s="68" t="n">
        <f aca="false">M42/(M12*1000000000000000*M16*1*M17)/3600</f>
        <v>32082.5629463027</v>
      </c>
      <c r="N43" s="68" t="n">
        <f aca="false">N42/(N12*1000000000000000*N16*1*N17)/3600</f>
        <v>320810.133897707</v>
      </c>
      <c r="O43" s="68" t="n">
        <f aca="false">O42/(O12*1000000000000000*O16*1*O17)/3600</f>
        <v>4697.16433730371</v>
      </c>
      <c r="P43" s="68" t="n">
        <f aca="false">P42/(P12*1000000000000000*P16*1*P17)/3600</f>
        <v>16041.2814731513</v>
      </c>
      <c r="Q43" s="68" t="n">
        <f aca="false">Q42/(Q12*1000000000000000*Q16*1*Q17)/3600</f>
        <v>160405.066948854</v>
      </c>
    </row>
    <row r="44" customFormat="false" ht="15" hidden="false" customHeight="false" outlineLevel="0" collapsed="false">
      <c r="A44" s="76" t="s">
        <v>1186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</row>
    <row r="45" customFormat="false" ht="15" hidden="false" customHeight="false" outlineLevel="0" collapsed="false">
      <c r="A45" s="62" t="s">
        <v>1110</v>
      </c>
      <c r="B45" s="62" t="s">
        <v>1103</v>
      </c>
      <c r="C45" s="95" t="n">
        <f aca="false">INDEX(Train_In!$C$29:$E$29,C$7)</f>
        <v>0.05</v>
      </c>
      <c r="D45" s="95" t="n">
        <f aca="false">INDEX(Train_In!$C$29:$E$29,D$7)</f>
        <v>0.05</v>
      </c>
      <c r="E45" s="95" t="n">
        <f aca="false">INDEX(Train_In!$C$29:$E$29,E$7)</f>
        <v>0.1</v>
      </c>
      <c r="F45" s="95" t="n">
        <f aca="false">INDEX(Train_In!$C$29:$E$29,F$7)</f>
        <v>0.05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0.05</v>
      </c>
      <c r="K45" s="95" t="n">
        <f aca="false">INDEX(Train_In!$C$29:$E$29,K$7)</f>
        <v>0.1</v>
      </c>
      <c r="L45" s="95" t="n">
        <f aca="false">INDEX(Train_In!$C$29:$E$29,L$7)</f>
        <v>0.05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0.05</v>
      </c>
      <c r="Q45" s="95" t="n">
        <f aca="false">INDEX(Train_In!$C$29:$E$29,Q$7)</f>
        <v>0.1</v>
      </c>
    </row>
    <row r="46" customFormat="false" ht="15" hidden="false" customHeight="false" outlineLevel="0" collapsed="false">
      <c r="A46" s="61" t="s">
        <v>1175</v>
      </c>
      <c r="B46" s="62" t="s">
        <v>308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</row>
    <row r="47" customFormat="false" ht="15" hidden="false" customHeight="false" outlineLevel="0" collapsed="false">
      <c r="A47" s="61" t="s">
        <v>1183</v>
      </c>
      <c r="B47" s="62" t="s">
        <v>308</v>
      </c>
      <c r="C47" s="68" t="n">
        <f aca="false">C24*IF(C25=0,C46/2,MIN(C46/2,C25))+(1-C24)*(C46/2/C26+C27)</f>
        <v>2256.384</v>
      </c>
      <c r="D47" s="68" t="n">
        <f aca="false">D24*IF(D25=0,D46/2,MIN(D46/2,D25))+(1-D24)*(D46/2/D26+D27)</f>
        <v>2175.744</v>
      </c>
      <c r="E47" s="68" t="n">
        <f aca="false">E24*IF(E25=0,E46/2,MIN(E46/2,E25))+(1-E24)*(E46/2/E26+E27)</f>
        <v>8192</v>
      </c>
      <c r="F47" s="68" t="n">
        <f aca="false">F24*IF(F25=0,F46/2,MIN(F46/2,F25))+(1-F24)*(F46/2/F26+F27)</f>
        <v>2256.384</v>
      </c>
      <c r="G47" s="68" t="n">
        <f aca="false">G24*IF(G25=0,G46/2,MIN(G46/2,G25))+(1-G24)*(G46/2/G26+G27)</f>
        <v>2175.744</v>
      </c>
      <c r="H47" s="68" t="n">
        <f aca="false">H24*IF(H25=0,H46/2,MIN(H46/2,H25))+(1-H24)*(H46/2/H26+H27)</f>
        <v>8192</v>
      </c>
      <c r="I47" s="68" t="n">
        <f aca="false">I24*IF(I25=0,I46/2,MIN(I46/2,I25))+(1-I24)*(I46/2/I26+I27)</f>
        <v>2256.384</v>
      </c>
      <c r="J47" s="68" t="n">
        <f aca="false">J24*IF(J25=0,J46/2,MIN(J46/2,J25))+(1-J24)*(J46/2/J26+J27)</f>
        <v>2175.744</v>
      </c>
      <c r="K47" s="68" t="n">
        <f aca="false">K24*IF(K25=0,K46/2,MIN(K46/2,K25))+(1-K24)*(K46/2/K26+K27)</f>
        <v>8192</v>
      </c>
      <c r="L47" s="68" t="n">
        <f aca="false">L24*IF(L25=0,L46/2,MIN(L46/2,L25))+(1-L24)*(L46/2/L26+L27)</f>
        <v>2256.384</v>
      </c>
      <c r="M47" s="68" t="n">
        <f aca="false">M24*IF(M25=0,M46/2,MIN(M46/2,M25))+(1-M24)*(M46/2/M26+M27)</f>
        <v>2175.744</v>
      </c>
      <c r="N47" s="68" t="n">
        <f aca="false">N24*IF(N25=0,N46/2,MIN(N46/2,N25))+(1-N24)*(N46/2/N26+N27)</f>
        <v>8192</v>
      </c>
      <c r="O47" s="68" t="n">
        <f aca="false">O24*IF(O25=0,O46/2,MIN(O46/2,O25))+(1-O24)*(O46/2/O26+O27)</f>
        <v>2256.384</v>
      </c>
      <c r="P47" s="68" t="n">
        <f aca="false">P24*IF(P25=0,P46/2,MIN(P46/2,P25))+(1-P24)*(P46/2/P26+P27)</f>
        <v>2175.744</v>
      </c>
      <c r="Q47" s="68" t="n">
        <f aca="false">Q24*IF(Q25=0,Q46/2,MIN(Q46/2,Q25))+(1-Q24)*(Q46/2/Q26+Q27)</f>
        <v>8192</v>
      </c>
    </row>
    <row r="48" customFormat="false" ht="15" hidden="false" customHeight="false" outlineLevel="0" collapsed="false">
      <c r="A48" s="61" t="s">
        <v>1177</v>
      </c>
      <c r="B48" s="62" t="s">
        <v>539</v>
      </c>
      <c r="C48" s="75" t="n">
        <f aca="false">3*(2*C22*1000000000+C23*C47)*C28/1000000000</f>
        <v>116.151590510592</v>
      </c>
      <c r="D48" s="75" t="n">
        <f aca="false">3*(2*D22*1000000000+D23*D47)*D28/1000000000</f>
        <v>398.375557029888</v>
      </c>
      <c r="E48" s="75" t="n">
        <f aca="false">3*(2*E22*1000000000+E23*E47)*E28/1000000000</f>
        <v>1200.7959552</v>
      </c>
      <c r="F48" s="75" t="n">
        <f aca="false">3*(2*F22*1000000000+F23*F47)*F28/1000000000</f>
        <v>116.151590510592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116.151590510592</v>
      </c>
      <c r="J48" s="75" t="n">
        <f aca="false">3*(2*J22*1000000000+J23*J47)*J28/1000000000</f>
        <v>398.375557029888</v>
      </c>
      <c r="K48" s="75" t="n">
        <f aca="false">3*(2*K22*1000000000+K23*K47)*K28/1000000000</f>
        <v>1200.7959552</v>
      </c>
      <c r="L48" s="75" t="n">
        <f aca="false">3*(2*L22*1000000000+L23*L47)*L28/1000000000</f>
        <v>116.151590510592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116.151590510592</v>
      </c>
      <c r="P48" s="75" t="n">
        <f aca="false">3*(2*P22*1000000000+P23*P47)*P28/1000000000</f>
        <v>398.375557029888</v>
      </c>
      <c r="Q48" s="75" t="n">
        <f aca="false">3*(2*Q22*1000000000+Q23*Q47)*Q28/1000000000</f>
        <v>1200.7959552</v>
      </c>
    </row>
    <row r="49" customFormat="false" ht="15" hidden="false" customHeight="false" outlineLevel="0" collapsed="false">
      <c r="A49" s="62" t="s">
        <v>1187</v>
      </c>
      <c r="B49" s="62" t="s">
        <v>330</v>
      </c>
      <c r="C49" s="144" t="n">
        <f aca="false">C48*1000000000*C45*1000000000000</f>
        <v>5.8075795255296E+021</v>
      </c>
      <c r="D49" s="144" t="n">
        <f aca="false">D48*1000000000*D45*1000000000000</f>
        <v>1.99187778514944E+022</v>
      </c>
      <c r="E49" s="144" t="n">
        <f aca="false">E48*1000000000*E45*1000000000000</f>
        <v>1.2007959552E+023</v>
      </c>
      <c r="F49" s="144" t="n">
        <f aca="false">F48*1000000000*F45*1000000000000</f>
        <v>5.8075795255296E+021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5.8075795255296E+021</v>
      </c>
      <c r="J49" s="144" t="n">
        <f aca="false">J48*1000000000*J45*1000000000000</f>
        <v>1.99187778514944E+022</v>
      </c>
      <c r="K49" s="144" t="n">
        <f aca="false">K48*1000000000*K45*1000000000000</f>
        <v>1.2007959552E+023</v>
      </c>
      <c r="L49" s="144" t="n">
        <f aca="false">L48*1000000000*L45*1000000000000</f>
        <v>5.8075795255296E+021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5.8075795255296E+021</v>
      </c>
      <c r="P49" s="144" t="n">
        <f aca="false">P48*1000000000*P45*1000000000000</f>
        <v>1.99187778514944E+022</v>
      </c>
      <c r="Q49" s="144" t="n">
        <f aca="false">Q48*1000000000*Q45*1000000000000</f>
        <v>1.2007959552E+023</v>
      </c>
    </row>
    <row r="50" customFormat="false" ht="15" hidden="false" customHeight="false" outlineLevel="0" collapsed="false">
      <c r="A50" s="62" t="s">
        <v>1188</v>
      </c>
      <c r="B50" s="62" t="s">
        <v>118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</row>
    <row r="51" customFormat="false" ht="15" hidden="false" customHeight="false" outlineLevel="0" collapsed="false">
      <c r="A51" s="62" t="s">
        <v>1189</v>
      </c>
      <c r="B51" s="62" t="s">
        <v>1180</v>
      </c>
      <c r="C51" s="68" t="n">
        <f aca="false">C49/(C12*1000000000000000*C16*C50*C17)/3600</f>
        <v>4528.70848034735</v>
      </c>
      <c r="D51" s="68" t="n">
        <f aca="false">D49/(D12*1000000000000000*D16*D50*D17)/3600</f>
        <v>15532.5188019688</v>
      </c>
      <c r="E51" s="68" t="n">
        <f aca="false">E49/(E12*1000000000000000*E16*E50*E17)/3600</f>
        <v>93637.1994834653</v>
      </c>
      <c r="F51" s="68" t="n">
        <f aca="false">F49/(F12*1000000000000000*F16*F50*F17)/3600</f>
        <v>1792.46281652148</v>
      </c>
      <c r="G51" s="68" t="n">
        <f aca="false">G49/(G12*1000000000000000*G16*G50*G17)/3600</f>
        <v>6147.77094181926</v>
      </c>
      <c r="H51" s="68" t="n">
        <f aca="false">H49/(H12*1000000000000000*H16*H50*H17)/3600</f>
        <v>37061.6035555556</v>
      </c>
      <c r="I51" s="68" t="n">
        <f aca="false">I49/(I12*1000000000000000*I16*I50*I17)/3600</f>
        <v>1792.46281652148</v>
      </c>
      <c r="J51" s="68" t="n">
        <f aca="false">J49/(J12*1000000000000000*J16*J50*J17)/3600</f>
        <v>6147.77094181926</v>
      </c>
      <c r="K51" s="68" t="n">
        <f aca="false">K49/(K12*1000000000000000*K16*K50*K17)/3600</f>
        <v>37061.6035555556</v>
      </c>
      <c r="L51" s="68" t="n">
        <f aca="false">L49/(L12*1000000000000000*L16*L50*L17)/3600</f>
        <v>569.035814768724</v>
      </c>
      <c r="M51" s="68" t="n">
        <f aca="false">M49/(M12*1000000000000000*M16*M50*M17)/3600</f>
        <v>1951.67331486326</v>
      </c>
      <c r="N51" s="68" t="n">
        <f aca="false">N49/(N12*1000000000000000*N16*N50*N17)/3600</f>
        <v>11765.5884303351</v>
      </c>
      <c r="O51" s="68" t="n">
        <f aca="false">O49/(O12*1000000000000000*O16*O50*O17)/3600</f>
        <v>284.517907384362</v>
      </c>
      <c r="P51" s="68" t="n">
        <f aca="false">P49/(P12*1000000000000000*P16*P50*P17)/3600</f>
        <v>975.836657431629</v>
      </c>
      <c r="Q51" s="68" t="n">
        <f aca="false">Q49/(Q12*1000000000000000*Q16*Q50*Q17)/3600</f>
        <v>5882.79421516755</v>
      </c>
    </row>
    <row r="52" customFormat="false" ht="15" hidden="false" customHeight="false" outlineLevel="0" collapsed="false">
      <c r="A52" s="76" t="s">
        <v>1190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</row>
    <row r="53" customFormat="false" ht="15" hidden="false" customHeight="false" outlineLevel="0" collapsed="false">
      <c r="A53" s="62" t="s">
        <v>1191</v>
      </c>
      <c r="B53" s="62" t="s">
        <v>1103</v>
      </c>
      <c r="C53" s="98" t="n">
        <f aca="false">INDEX(Train_In!$C$34:$E$34,C$7)</f>
        <v>2.36</v>
      </c>
      <c r="D53" s="98" t="n">
        <f aca="false">INDEX(Train_In!$C$34:$E$34,D$7)</f>
        <v>2.36</v>
      </c>
      <c r="E53" s="98" t="n">
        <f aca="false">INDEX(Train_In!$C$34:$E$34,E$7)</f>
        <v>9.6</v>
      </c>
      <c r="F53" s="98" t="n">
        <f aca="false">INDEX(Train_In!$C$34:$E$34,F$7)</f>
        <v>2.36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2.36</v>
      </c>
      <c r="K53" s="98" t="n">
        <f aca="false">INDEX(Train_In!$C$34:$E$34,K$7)</f>
        <v>9.6</v>
      </c>
      <c r="L53" s="98" t="n">
        <f aca="false">INDEX(Train_In!$C$34:$E$34,L$7)</f>
        <v>2.36</v>
      </c>
      <c r="M53" s="98" t="n">
        <f aca="false">INDEX(Train_In!$C$34:$E$34,M$7)</f>
        <v>2.36</v>
      </c>
      <c r="N53" s="98" t="n">
        <f aca="false">INDEX(Train_In!$C$34:$E$34,N$7)</f>
        <v>9.6</v>
      </c>
      <c r="O53" s="98" t="n">
        <f aca="false">INDEX(Train_In!$C$34:$E$34,O$7)</f>
        <v>2.36</v>
      </c>
      <c r="P53" s="98" t="n">
        <f aca="false">INDEX(Train_In!$C$34:$E$34,P$7)</f>
        <v>2.36</v>
      </c>
      <c r="Q53" s="98" t="n">
        <f aca="false">INDEX(Train_In!$C$34:$E$34,Q$7)</f>
        <v>9.6</v>
      </c>
    </row>
    <row r="54" customFormat="false" ht="15" hidden="false" customHeight="false" outlineLevel="0" collapsed="false">
      <c r="A54" s="61" t="s">
        <v>1192</v>
      </c>
      <c r="B54" s="62" t="s">
        <v>308</v>
      </c>
      <c r="C54" s="63" t="n">
        <f aca="false">INDEX(Perf_Batch!$C$43:$Q$43,3*(C$6-1)+C$7)</f>
        <v>4096</v>
      </c>
      <c r="D54" s="63" t="n">
        <f aca="false">INDEX(Perf_Batch!$C$43:$Q$43,3*(D$6-1)+D$7)</f>
        <v>8192</v>
      </c>
      <c r="E54" s="63" t="n">
        <f aca="false">INDEX(Perf_Batch!$C$43:$Q$43,3*(E$6-1)+E$7)</f>
        <v>16384</v>
      </c>
      <c r="F54" s="63" t="n">
        <f aca="false">INDEX(Perf_Batch!$C$43:$Q$43,3*(F$6-1)+F$7)</f>
        <v>4096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4096</v>
      </c>
      <c r="J54" s="63" t="n">
        <f aca="false">INDEX(Perf_Batch!$C$43:$Q$43,3*(J$6-1)+J$7)</f>
        <v>8192</v>
      </c>
      <c r="K54" s="63" t="n">
        <f aca="false">INDEX(Perf_Batch!$C$43:$Q$43,3*(K$6-1)+K$7)</f>
        <v>16384</v>
      </c>
      <c r="L54" s="63" t="n">
        <f aca="false">INDEX(Perf_Batch!$C$43:$Q$43,3*(L$6-1)+L$7)</f>
        <v>4096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4096</v>
      </c>
      <c r="P54" s="63" t="n">
        <f aca="false">INDEX(Perf_Batch!$C$43:$Q$43,3*(P$6-1)+P$7)</f>
        <v>8192</v>
      </c>
      <c r="Q54" s="63" t="n">
        <f aca="false">INDEX(Perf_Batch!$C$43:$Q$43,3*(Q$6-1)+Q$7)</f>
        <v>16384</v>
      </c>
    </row>
    <row r="55" customFormat="false" ht="15" hidden="false" customHeight="false" outlineLevel="0" collapsed="false">
      <c r="A55" s="61" t="s">
        <v>1193</v>
      </c>
      <c r="B55" s="62" t="s">
        <v>308</v>
      </c>
      <c r="C55" s="63" t="n">
        <f aca="false">INDEX(Perf_Batch!$C$44:$Q$44,3*(C$6-1)+C$7)</f>
        <v>8192</v>
      </c>
      <c r="D55" s="63" t="n">
        <f aca="false">INDEX(Perf_Batch!$C$44:$Q$44,3*(D$6-1)+D$7)</f>
        <v>16384</v>
      </c>
      <c r="E55" s="63" t="n">
        <f aca="false">INDEX(Perf_Batch!$C$44:$Q$44,3*(E$6-1)+E$7)</f>
        <v>32768</v>
      </c>
      <c r="F55" s="63" t="n">
        <f aca="false">INDEX(Perf_Batch!$C$44:$Q$44,3*(F$6-1)+F$7)</f>
        <v>8192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8192</v>
      </c>
      <c r="J55" s="63" t="n">
        <f aca="false">INDEX(Perf_Batch!$C$44:$Q$44,3*(J$6-1)+J$7)</f>
        <v>16384</v>
      </c>
      <c r="K55" s="63" t="n">
        <f aca="false">INDEX(Perf_Batch!$C$44:$Q$44,3*(K$6-1)+K$7)</f>
        <v>32768</v>
      </c>
      <c r="L55" s="63" t="n">
        <f aca="false">INDEX(Perf_Batch!$C$44:$Q$44,3*(L$6-1)+L$7)</f>
        <v>8192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8192</v>
      </c>
      <c r="P55" s="63" t="n">
        <f aca="false">INDEX(Perf_Batch!$C$44:$Q$44,3*(P$6-1)+P$7)</f>
        <v>16384</v>
      </c>
      <c r="Q55" s="63" t="n">
        <f aca="false">INDEX(Perf_Batch!$C$44:$Q$44,3*(Q$6-1)+Q$7)</f>
        <v>32768</v>
      </c>
    </row>
    <row r="56" customFormat="false" ht="15" hidden="false" customHeight="false" outlineLevel="0" collapsed="false">
      <c r="A56" s="61" t="s">
        <v>1194</v>
      </c>
      <c r="B56" s="61" t="s">
        <v>345</v>
      </c>
      <c r="C56" s="68" t="n">
        <f aca="false">C53*1000000000000/C55</f>
        <v>288085937.5</v>
      </c>
      <c r="D56" s="68" t="n">
        <f aca="false">D53*1000000000000/D55</f>
        <v>144042968.75</v>
      </c>
      <c r="E56" s="68" t="n">
        <f aca="false">E53*1000000000000/E55</f>
        <v>292968750</v>
      </c>
      <c r="F56" s="68" t="n">
        <f aca="false">F53*1000000000000/F55</f>
        <v>288085937.5</v>
      </c>
      <c r="G56" s="68" t="n">
        <f aca="false">G53*1000000000000/G55</f>
        <v>144042968.75</v>
      </c>
      <c r="H56" s="68" t="n">
        <f aca="false">H53*1000000000000/H55</f>
        <v>292968750</v>
      </c>
      <c r="I56" s="68" t="n">
        <f aca="false">I53*1000000000000/I55</f>
        <v>288085937.5</v>
      </c>
      <c r="J56" s="68" t="n">
        <f aca="false">J53*1000000000000/J55</f>
        <v>144042968.75</v>
      </c>
      <c r="K56" s="68" t="n">
        <f aca="false">K53*1000000000000/K55</f>
        <v>292968750</v>
      </c>
      <c r="L56" s="68" t="n">
        <f aca="false">L53*1000000000000/L55</f>
        <v>288085937.5</v>
      </c>
      <c r="M56" s="68" t="n">
        <f aca="false">M53*1000000000000/M55</f>
        <v>144042968.75</v>
      </c>
      <c r="N56" s="68" t="n">
        <f aca="false">N53*1000000000000/N55</f>
        <v>292968750</v>
      </c>
      <c r="O56" s="68" t="n">
        <f aca="false">O53*1000000000000/O55</f>
        <v>288085937.5</v>
      </c>
      <c r="P56" s="68" t="n">
        <f aca="false">P53*1000000000000/P55</f>
        <v>144042968.75</v>
      </c>
      <c r="Q56" s="68" t="n">
        <f aca="false">Q53*1000000000000/Q55</f>
        <v>292968750</v>
      </c>
    </row>
    <row r="57" customFormat="false" ht="15" hidden="false" customHeight="false" outlineLevel="0" collapsed="false">
      <c r="A57" s="62" t="s">
        <v>1195</v>
      </c>
      <c r="B57" s="61" t="s">
        <v>345</v>
      </c>
      <c r="C57" s="89" t="n">
        <f aca="false">Train_In!$C$12</f>
        <v>16</v>
      </c>
      <c r="D57" s="89" t="n">
        <f aca="false">Train_In!$C$12</f>
        <v>16</v>
      </c>
      <c r="E57" s="89" t="n">
        <f aca="false">Train_In!$C$12</f>
        <v>16</v>
      </c>
      <c r="F57" s="89" t="n">
        <f aca="false">Train_In!$C$12</f>
        <v>16</v>
      </c>
      <c r="G57" s="89" t="n">
        <f aca="false">Train_In!$C$12</f>
        <v>16</v>
      </c>
      <c r="H57" s="89" t="n">
        <f aca="false">Train_In!$C$12</f>
        <v>16</v>
      </c>
      <c r="I57" s="89" t="n">
        <f aca="false">Train_In!$C$12</f>
        <v>16</v>
      </c>
      <c r="J57" s="89" t="n">
        <f aca="false">Train_In!$C$12</f>
        <v>16</v>
      </c>
      <c r="K57" s="89" t="n">
        <f aca="false">Train_In!$C$12</f>
        <v>16</v>
      </c>
      <c r="L57" s="89" t="n">
        <f aca="false">Train_In!$C$12</f>
        <v>16</v>
      </c>
      <c r="M57" s="89" t="n">
        <f aca="false">Train_In!$C$12</f>
        <v>16</v>
      </c>
      <c r="N57" s="89" t="n">
        <f aca="false">Train_In!$C$12</f>
        <v>16</v>
      </c>
      <c r="O57" s="89" t="n">
        <f aca="false">Train_In!$C$12</f>
        <v>16</v>
      </c>
      <c r="P57" s="89" t="n">
        <f aca="false">Train_In!$C$12</f>
        <v>16</v>
      </c>
      <c r="Q57" s="89" t="n">
        <f aca="false">Train_In!$C$12</f>
        <v>16</v>
      </c>
    </row>
    <row r="58" customFormat="false" ht="15" hidden="false" customHeight="false" outlineLevel="0" collapsed="false">
      <c r="A58" s="61" t="s">
        <v>1196</v>
      </c>
      <c r="B58" s="62" t="s">
        <v>1103</v>
      </c>
      <c r="C58" s="72" t="n">
        <f aca="false">C56*C54/C57/1000000000000</f>
        <v>0.07375</v>
      </c>
      <c r="D58" s="72" t="n">
        <f aca="false">D56*D54/D57/1000000000000</f>
        <v>0.07375</v>
      </c>
      <c r="E58" s="72" t="n">
        <f aca="false">E56*E54/E57/1000000000000</f>
        <v>0.3</v>
      </c>
      <c r="F58" s="72" t="n">
        <f aca="false">F56*F54/F57/1000000000000</f>
        <v>0.07375</v>
      </c>
      <c r="G58" s="72" t="n">
        <f aca="false">G56*G54/G57/1000000000000</f>
        <v>0.07375</v>
      </c>
      <c r="H58" s="72" t="n">
        <f aca="false">H56*H54/H57/1000000000000</f>
        <v>0.3</v>
      </c>
      <c r="I58" s="72" t="n">
        <f aca="false">I56*I54/I57/1000000000000</f>
        <v>0.07375</v>
      </c>
      <c r="J58" s="72" t="n">
        <f aca="false">J56*J54/J57/1000000000000</f>
        <v>0.07375</v>
      </c>
      <c r="K58" s="72" t="n">
        <f aca="false">K56*K54/K57/1000000000000</f>
        <v>0.3</v>
      </c>
      <c r="L58" s="72" t="n">
        <f aca="false">L56*L54/L57/1000000000000</f>
        <v>0.07375</v>
      </c>
      <c r="M58" s="72" t="n">
        <f aca="false">M56*M54/M57/1000000000000</f>
        <v>0.07375</v>
      </c>
      <c r="N58" s="72" t="n">
        <f aca="false">N56*N54/N57/1000000000000</f>
        <v>0.3</v>
      </c>
      <c r="O58" s="72" t="n">
        <f aca="false">O56*O54/O57/1000000000000</f>
        <v>0.07375</v>
      </c>
      <c r="P58" s="72" t="n">
        <f aca="false">P56*P54/P57/1000000000000</f>
        <v>0.07375</v>
      </c>
      <c r="Q58" s="72" t="n">
        <f aca="false">Q56*Q54/Q57/1000000000000</f>
        <v>0.3</v>
      </c>
    </row>
    <row r="59" customFormat="false" ht="15" hidden="false" customHeight="false" outlineLevel="0" collapsed="false">
      <c r="A59" s="62" t="s">
        <v>1197</v>
      </c>
      <c r="B59" s="62" t="s">
        <v>935</v>
      </c>
      <c r="C59" s="98" t="n">
        <f aca="false">INDEX(Perf_Batch!$C$103:$Q$103,3*(C$6-1)+C$7)</f>
        <v>809.804094519983</v>
      </c>
      <c r="D59" s="98" t="n">
        <f aca="false">INDEX(Perf_Batch!$C$103:$Q$103,3*(D$6-1)+D$7)</f>
        <v>3115.68164154595</v>
      </c>
      <c r="E59" s="98" t="n">
        <f aca="false">INDEX(Perf_Batch!$C$103:$Q$103,3*(E$6-1)+E$7)</f>
        <v>13707.0750991662</v>
      </c>
      <c r="F59" s="98" t="n">
        <f aca="false">INDEX(Perf_Batch!$C$103:$Q$103,3*(F$6-1)+F$7)</f>
        <v>183.615945499964</v>
      </c>
      <c r="G59" s="98" t="n">
        <f aca="false">INDEX(Perf_Batch!$C$103:$Q$103,3*(G$6-1)+G$7)</f>
        <v>675.887022941722</v>
      </c>
      <c r="H59" s="98" t="n">
        <f aca="false">INDEX(Perf_Batch!$C$103:$Q$103,3*(H$6-1)+H$7)</f>
        <v>2949.71050251776</v>
      </c>
      <c r="I59" s="98" t="n">
        <f aca="false">INDEX(Perf_Batch!$C$103:$Q$103,3*(I$6-1)+I$7)</f>
        <v>122.410630333309</v>
      </c>
      <c r="J59" s="98" t="n">
        <f aca="false">INDEX(Perf_Batch!$C$103:$Q$103,3*(J$6-1)+J$7)</f>
        <v>450.591348627815</v>
      </c>
      <c r="K59" s="98" t="n">
        <f aca="false">INDEX(Perf_Batch!$C$103:$Q$103,3*(K$6-1)+K$7)</f>
        <v>2040.35012947353</v>
      </c>
      <c r="L59" s="98" t="n">
        <f aca="false">INDEX(Perf_Batch!$C$103:$Q$103,3*(L$6-1)+L$7)</f>
        <v>69.4659618522901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26.0009261591734</v>
      </c>
      <c r="P59" s="98" t="n">
        <f aca="false">INDEX(Perf_Batch!$C$103:$Q$103,3*(P$6-1)+P$7)</f>
        <v>92.4186867627377</v>
      </c>
      <c r="Q59" s="98" t="n">
        <f aca="false">INDEX(Perf_Batch!$C$103:$Q$103,3*(Q$6-1)+Q$7)</f>
        <v>387.579742794027</v>
      </c>
    </row>
    <row r="60" customFormat="false" ht="15" hidden="false" customHeight="false" outlineLevel="0" collapsed="false">
      <c r="A60" s="62" t="s">
        <v>1198</v>
      </c>
      <c r="B60" s="62" t="s">
        <v>935</v>
      </c>
      <c r="C60" s="98" t="n">
        <f aca="false">INDEX(Perf_Batch!$C$101:$Q$101,3*(C$6-1)+C$7)</f>
        <v>108.884175050246</v>
      </c>
      <c r="D60" s="98" t="n">
        <f aca="false">INDEX(Perf_Batch!$C$101:$Q$101,3*(D$6-1)+D$7)</f>
        <v>443.292452124732</v>
      </c>
      <c r="E60" s="98" t="n">
        <f aca="false">INDEX(Perf_Batch!$C$101:$Q$101,3*(E$6-1)+E$7)</f>
        <v>1349.05735894843</v>
      </c>
      <c r="F60" s="98" t="n">
        <f aca="false">INDEX(Perf_Batch!$C$101:$Q$101,3*(F$6-1)+F$7)</f>
        <v>10.7686449124693</v>
      </c>
      <c r="G60" s="98" t="n">
        <f aca="false">INDEX(Perf_Batch!$C$101:$Q$101,3*(G$6-1)+G$7)</f>
        <v>43.841623515136</v>
      </c>
      <c r="H60" s="98" t="n">
        <f aca="false">INDEX(Perf_Batch!$C$101:$Q$101,3*(H$6-1)+H$7)</f>
        <v>133.4217728</v>
      </c>
      <c r="I60" s="98" t="n">
        <f aca="false">INDEX(Perf_Batch!$C$101:$Q$101,3*(I$6-1)+I$7)</f>
        <v>7.17909660831289</v>
      </c>
      <c r="J60" s="98" t="n">
        <f aca="false">INDEX(Perf_Batch!$C$101:$Q$101,3*(J$6-1)+J$7)</f>
        <v>29.2277490100907</v>
      </c>
      <c r="K60" s="98" t="n">
        <f aca="false">INDEX(Perf_Batch!$C$101:$Q$101,3*(K$6-1)+K$7)</f>
        <v>88.9478485333333</v>
      </c>
      <c r="L60" s="98" t="n">
        <f aca="false">INDEX(Perf_Batch!$C$101:$Q$101,3*(L$6-1)+L$7)</f>
        <v>3.07675568927695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1.53837784463848</v>
      </c>
      <c r="P60" s="98" t="n">
        <f aca="false">INDEX(Perf_Batch!$C$101:$Q$101,3*(P$6-1)+P$7)</f>
        <v>6.26308907359086</v>
      </c>
      <c r="Q60" s="98" t="n">
        <f aca="false">INDEX(Perf_Batch!$C$101:$Q$101,3*(Q$6-1)+Q$7)</f>
        <v>19.0602532571429</v>
      </c>
    </row>
    <row r="61" customFormat="false" ht="15" hidden="false" customHeight="false" outlineLevel="0" collapsed="false">
      <c r="A61" s="62" t="s">
        <v>1199</v>
      </c>
      <c r="B61" s="62" t="s">
        <v>539</v>
      </c>
      <c r="C61" s="98" t="n">
        <f aca="false">INDEX(Perf_Batch!$C$65:$Q$65,3*(C$6-1)+C$7)</f>
        <v>38.717196836864</v>
      </c>
      <c r="D61" s="98" t="n">
        <f aca="false">INDEX(Perf_Batch!$C$65:$Q$65,3*(D$6-1)+D$7)</f>
        <v>133.311744712704</v>
      </c>
      <c r="E61" s="98" t="n">
        <f aca="false">INDEX(Perf_Batch!$C$65:$Q$65,3*(E$6-1)+E$7)</f>
        <v>521.0612736</v>
      </c>
      <c r="F61" s="98" t="n">
        <f aca="false">INDEX(Perf_Batch!$C$65:$Q$65,3*(F$6-1)+F$7)</f>
        <v>38.717196836864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38.717196836864</v>
      </c>
      <c r="J61" s="98" t="n">
        <f aca="false">INDEX(Perf_Batch!$C$65:$Q$65,3*(J$6-1)+J$7)</f>
        <v>133.311744712704</v>
      </c>
      <c r="K61" s="98" t="n">
        <f aca="false">INDEX(Perf_Batch!$C$65:$Q$65,3*(K$6-1)+K$7)</f>
        <v>521.0612736</v>
      </c>
      <c r="L61" s="98" t="n">
        <f aca="false">INDEX(Perf_Batch!$C$65:$Q$65,3*(L$6-1)+L$7)</f>
        <v>38.717196836864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38.717196836864</v>
      </c>
      <c r="P61" s="98" t="n">
        <f aca="false">INDEX(Perf_Batch!$C$65:$Q$65,3*(P$6-1)+P$7)</f>
        <v>133.311744712704</v>
      </c>
      <c r="Q61" s="98" t="n">
        <f aca="false">INDEX(Perf_Batch!$C$65:$Q$65,3*(Q$6-1)+Q$7)</f>
        <v>521.0612736</v>
      </c>
    </row>
    <row r="62" customFormat="false" ht="15" hidden="false" customHeight="false" outlineLevel="0" collapsed="false">
      <c r="A62" s="62" t="s">
        <v>1200</v>
      </c>
      <c r="B62" s="62" t="s">
        <v>539</v>
      </c>
      <c r="C62" s="98" t="n">
        <f aca="false">INDEX(Perf_Batch!$C$67:$Q$67,3*(C$6-1)+C$7)</f>
        <v>32.305934737408</v>
      </c>
      <c r="D62" s="98" t="n">
        <f aca="false">INDEX(Perf_Batch!$C$67:$Q$67,3*(D$6-1)+D$7)</f>
        <v>131.524870545408</v>
      </c>
      <c r="E62" s="98" t="n">
        <f aca="false">INDEX(Perf_Batch!$C$67:$Q$67,3*(E$6-1)+E$7)</f>
        <v>400.2653184</v>
      </c>
      <c r="F62" s="98" t="n">
        <f aca="false">INDEX(Perf_Batch!$C$67:$Q$67,3*(F$6-1)+F$7)</f>
        <v>32.305934737408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32.305934737408</v>
      </c>
      <c r="J62" s="98" t="n">
        <f aca="false">INDEX(Perf_Batch!$C$67:$Q$67,3*(J$6-1)+J$7)</f>
        <v>131.524870545408</v>
      </c>
      <c r="K62" s="98" t="n">
        <f aca="false">INDEX(Perf_Batch!$C$67:$Q$67,3*(K$6-1)+K$7)</f>
        <v>400.2653184</v>
      </c>
      <c r="L62" s="98" t="n">
        <f aca="false">INDEX(Perf_Batch!$C$67:$Q$67,3*(L$6-1)+L$7)</f>
        <v>32.305934737408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32.305934737408</v>
      </c>
      <c r="P62" s="98" t="n">
        <f aca="false">INDEX(Perf_Batch!$C$67:$Q$67,3*(P$6-1)+P$7)</f>
        <v>131.524870545408</v>
      </c>
      <c r="Q62" s="98" t="n">
        <f aca="false">INDEX(Perf_Batch!$C$67:$Q$67,3*(Q$6-1)+Q$7)</f>
        <v>400.2653184</v>
      </c>
    </row>
    <row r="63" customFormat="false" ht="15" hidden="false" customHeight="false" outlineLevel="0" collapsed="false">
      <c r="A63" s="62" t="s">
        <v>1201</v>
      </c>
      <c r="B63" s="62" t="s">
        <v>118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</row>
    <row r="64" customFormat="false" ht="15" hidden="false" customHeight="false" outlineLevel="0" collapsed="false">
      <c r="A64" s="62" t="s">
        <v>1202</v>
      </c>
      <c r="B64" s="62" t="s">
        <v>113</v>
      </c>
      <c r="C64" s="65" t="n">
        <f aca="false">Train_In!$C$11*C63</f>
        <v>0.85</v>
      </c>
      <c r="D64" s="65" t="n">
        <f aca="false">Train_In!$C$11*D63</f>
        <v>0.85</v>
      </c>
      <c r="E64" s="65" t="n">
        <f aca="false">Train_In!$C$11*E63</f>
        <v>0.85</v>
      </c>
      <c r="F64" s="65" t="n">
        <f aca="false">Train_In!$C$11*F63</f>
        <v>0.85</v>
      </c>
      <c r="G64" s="65" t="n">
        <f aca="false">Train_In!$C$11*G63</f>
        <v>0.85</v>
      </c>
      <c r="H64" s="65" t="n">
        <f aca="false">Train_In!$C$11*H63</f>
        <v>0.85</v>
      </c>
      <c r="I64" s="65" t="n">
        <f aca="false">Train_In!$C$11*I63</f>
        <v>0.85</v>
      </c>
      <c r="J64" s="65" t="n">
        <f aca="false">Train_In!$C$11*J63</f>
        <v>0.85</v>
      </c>
      <c r="K64" s="65" t="n">
        <f aca="false">Train_In!$C$11*K63</f>
        <v>0.85</v>
      </c>
      <c r="L64" s="65" t="n">
        <f aca="false">Train_In!$C$11*L63</f>
        <v>0.85</v>
      </c>
      <c r="M64" s="65" t="n">
        <f aca="false">Train_In!$C$11*M63</f>
        <v>0.85</v>
      </c>
      <c r="N64" s="65" t="n">
        <f aca="false">Train_In!$C$11*N63</f>
        <v>0.85</v>
      </c>
      <c r="O64" s="65" t="n">
        <f aca="false">Train_In!$C$11*O63</f>
        <v>0.85</v>
      </c>
      <c r="P64" s="65" t="n">
        <f aca="false">Train_In!$C$11*P63</f>
        <v>0.85</v>
      </c>
      <c r="Q64" s="65" t="n">
        <f aca="false">Train_In!$C$11*Q63</f>
        <v>0.85</v>
      </c>
    </row>
    <row r="65" customFormat="false" ht="15" hidden="false" customHeight="false" outlineLevel="0" collapsed="false">
      <c r="A65" s="62" t="s">
        <v>1203</v>
      </c>
      <c r="B65" s="62" t="s">
        <v>1180</v>
      </c>
      <c r="C65" s="68" t="n">
        <f aca="false">IF(AND(ISNUMBER(C59)),(C53*1000000*C59+C58*1000000*C60)/3600/C64,"SLO 不可達")</f>
        <v>627179.042802979</v>
      </c>
      <c r="D65" s="68" t="n">
        <f aca="false">IF(AND(ISNUMBER(D59)),(D53*1000000*D59+D58*1000000*D60)/3600/D64,"SLO 不可達")</f>
        <v>2413627.93869041</v>
      </c>
      <c r="E65" s="68" t="n">
        <f aca="false">IF(AND(ISNUMBER(E59)),(E53*1000000*E59+E58*1000000*E60)/3600/E64,"SLO 不可達")</f>
        <v>43134849.0717908</v>
      </c>
      <c r="F65" s="68" t="n">
        <f aca="false">IF(AND(ISNUMBER(F59)),(F53*1000000*F59+F58*1000000*F60)/3600/F64,"SLO 不可達")</f>
        <v>141871.836255624</v>
      </c>
      <c r="G65" s="68" t="n">
        <f aca="false">IF(AND(ISNUMBER(G59)),(G53*1000000*G59+G58*1000000*G60)/3600/G64,"SLO 不可達")</f>
        <v>522328.984927028</v>
      </c>
      <c r="H65" s="68" t="n">
        <f aca="false">IF(AND(ISNUMBER(H59)),(H53*1000000*H59+H58*1000000*H60)/3600/H64,"SLO 不可達")</f>
        <v>9267074.29934984</v>
      </c>
      <c r="I65" s="68" t="n">
        <f aca="false">IF(AND(ISNUMBER(I59)),(I53*1000000*I59+I58*1000000*I60)/3600/I64,"SLO 不可達")</f>
        <v>94581.224170416</v>
      </c>
      <c r="J65" s="68" t="n">
        <f aca="false">IF(AND(ISNUMBER(J59)),(J53*1000000*J59+J58*1000000*J60)/3600/J64,"SLO 不可達")</f>
        <v>348219.323284685</v>
      </c>
      <c r="K65" s="68" t="n">
        <f aca="false">IF(AND(ISNUMBER(K59)),(K53*1000000*K59+K58*1000000*K60)/3600/K64,"SLO 不可達")</f>
        <v>6409818.82271434</v>
      </c>
      <c r="L65" s="68" t="n">
        <f aca="false">IF(AND(ISNUMBER(L59)),(L53*1000000*L59+L58*1000000*L60)/3600/L64,"SLO 不可達")</f>
        <v>53649.2093802251</v>
      </c>
      <c r="M65" s="68" t="n">
        <f aca="false">IF(AND(ISNUMBER(M59)),(M53*1000000*M59+M58*1000000*M60)/3600/M64,"SLO 不可達")</f>
        <v>192233.176009909</v>
      </c>
      <c r="N65" s="68" t="n">
        <f aca="false">IF(AND(ISNUMBER(N59)),(N53*1000000*N59+N58*1000000*N60)/3600/N64,"SLO 不可達")</f>
        <v>3332012.23278618</v>
      </c>
      <c r="O65" s="68" t="n">
        <f aca="false">IF(AND(ISNUMBER(O59)),(O53*1000000*O59+O58*1000000*O60)/3600/O64,"SLO 不可達")</f>
        <v>20090.0787914024</v>
      </c>
      <c r="P65" s="68" t="n">
        <f aca="false">IF(AND(ISNUMBER(P59)),(P53*1000000*P59+P58*1000000*P60)/3600/P64,"SLO 不可達")</f>
        <v>71428.1057448491</v>
      </c>
      <c r="Q65" s="68" t="n">
        <f aca="false">IF(AND(ISNUMBER(Q59)),(Q53*1000000*Q59+Q58*1000000*Q60)/3600/Q64,"SLO 不可達")</f>
        <v>1217805.10026137</v>
      </c>
    </row>
    <row r="66" customFormat="false" ht="15" hidden="false" customHeight="false" outlineLevel="0" collapsed="false">
      <c r="A66" s="62" t="s">
        <v>1204</v>
      </c>
      <c r="B66" s="62" t="s">
        <v>330</v>
      </c>
      <c r="C66" s="144" t="n">
        <f aca="false">C53*1000000000000*C61*1000000000+C58*1000000000000*C62*1000000000</f>
        <v>9.37551472218829E+022</v>
      </c>
      <c r="D66" s="144" t="n">
        <f aca="false">D53*1000000000000*D61*1000000000+D58*1000000000000*D62*1000000000</f>
        <v>3.24315676724705E+023</v>
      </c>
      <c r="E66" s="144" t="n">
        <f aca="false">E53*1000000000000*E61*1000000000+E58*1000000000000*E62*1000000000</f>
        <v>5.12226782208E+024</v>
      </c>
      <c r="F66" s="144" t="n">
        <f aca="false">F53*1000000000000*F61*1000000000+F58*1000000000000*F62*1000000000</f>
        <v>9.37551472218829E+022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9.37551472218829E+022</v>
      </c>
      <c r="J66" s="144" t="n">
        <f aca="false">J53*1000000000000*J61*1000000000+J58*1000000000000*J62*1000000000</f>
        <v>3.24315676724705E+023</v>
      </c>
      <c r="K66" s="144" t="n">
        <f aca="false">K53*1000000000000*K61*1000000000+K58*1000000000000*K62*1000000000</f>
        <v>5.12226782208E+024</v>
      </c>
      <c r="L66" s="144" t="n">
        <f aca="false">L53*1000000000000*L61*1000000000+L58*1000000000000*L62*1000000000</f>
        <v>9.37551472218829E+022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9.37551472218829E+022</v>
      </c>
      <c r="P66" s="144" t="n">
        <f aca="false">P53*1000000000000*P61*1000000000+P58*1000000000000*P62*1000000000</f>
        <v>3.24315676724705E+023</v>
      </c>
      <c r="Q66" s="144" t="n">
        <f aca="false">Q53*1000000000000*Q61*1000000000+Q58*1000000000000*Q62*1000000000</f>
        <v>5.12226782208E+024</v>
      </c>
    </row>
    <row r="67" customFormat="false" ht="15" hidden="false" customHeight="false" outlineLevel="0" collapsed="false">
      <c r="A67" s="62" t="s">
        <v>1205</v>
      </c>
      <c r="B67" s="62" t="s">
        <v>1103</v>
      </c>
      <c r="C67" s="75" t="n">
        <f aca="false">C56*(C54+C55)/1000000000000</f>
        <v>3.54</v>
      </c>
      <c r="D67" s="75" t="n">
        <f aca="false">D56*(D54+D55)/1000000000000</f>
        <v>3.54</v>
      </c>
      <c r="E67" s="75" t="n">
        <f aca="false">E56*(E54+E55)/1000000000000</f>
        <v>14.4</v>
      </c>
      <c r="F67" s="75" t="n">
        <f aca="false">F56*(F54+F55)/1000000000000</f>
        <v>3.54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3.54</v>
      </c>
      <c r="K67" s="75" t="n">
        <f aca="false">K56*(K54+K55)/1000000000000</f>
        <v>14.4</v>
      </c>
      <c r="L67" s="75" t="n">
        <f aca="false">L56*(L54+L55)/1000000000000</f>
        <v>3.54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3.54</v>
      </c>
      <c r="P67" s="75" t="n">
        <f aca="false">P56*(P54+P55)/1000000000000</f>
        <v>3.54</v>
      </c>
      <c r="Q67" s="75" t="n">
        <f aca="false">Q56*(Q54+Q55)/1000000000000</f>
        <v>14.4</v>
      </c>
    </row>
    <row r="68" customFormat="false" ht="15" hidden="false" customHeight="false" outlineLevel="0" collapsed="false">
      <c r="A68" s="62" t="s">
        <v>1206</v>
      </c>
      <c r="B68" s="62" t="s">
        <v>308</v>
      </c>
      <c r="C68" s="68" t="n">
        <f aca="false">C24*IF(C25=0,(C54+C55)/2,MIN((C54+C55)/2,C25))+(1-C24)*((C54+C55)/2/C26+C27)</f>
        <v>2248.576</v>
      </c>
      <c r="D68" s="68" t="n">
        <f aca="false">D24*IF(D25=0,(D54+D55)/2,MIN((D54+D55)/2,D25))+(1-D24)*((D54+D55)/2/D26+D27)</f>
        <v>2192</v>
      </c>
      <c r="E68" s="68" t="n">
        <f aca="false">E24*IF(E25=0,(E54+E55)/2,MIN((E54+E55)/2,E25))+(1-E24)*((E54+E55)/2/E26+E27)</f>
        <v>24576</v>
      </c>
      <c r="F68" s="68" t="n">
        <f aca="false">F24*IF(F25=0,(F54+F55)/2,MIN((F54+F55)/2,F25))+(1-F24)*((F54+F55)/2/F26+F27)</f>
        <v>2248.576</v>
      </c>
      <c r="G68" s="68" t="n">
        <f aca="false">G24*IF(G25=0,(G54+G55)/2,MIN((G54+G55)/2,G25))+(1-G24)*((G54+G55)/2/G26+G27)</f>
        <v>2192</v>
      </c>
      <c r="H68" s="68" t="n">
        <f aca="false">H24*IF(H25=0,(H54+H55)/2,MIN((H54+H55)/2,H25))+(1-H24)*((H54+H55)/2/H26+H27)</f>
        <v>24576</v>
      </c>
      <c r="I68" s="68" t="n">
        <f aca="false">I24*IF(I25=0,(I54+I55)/2,MIN((I54+I55)/2,I25))+(1-I24)*((I54+I55)/2/I26+I27)</f>
        <v>2248.576</v>
      </c>
      <c r="J68" s="68" t="n">
        <f aca="false">J24*IF(J25=0,(J54+J55)/2,MIN((J54+J55)/2,J25))+(1-J24)*((J54+J55)/2/J26+J27)</f>
        <v>2192</v>
      </c>
      <c r="K68" s="68" t="n">
        <f aca="false">K24*IF(K25=0,(K54+K55)/2,MIN((K54+K55)/2,K25))+(1-K24)*((K54+K55)/2/K26+K27)</f>
        <v>24576</v>
      </c>
      <c r="L68" s="68" t="n">
        <f aca="false">L24*IF(L25=0,(L54+L55)/2,MIN((L54+L55)/2,L25))+(1-L24)*((L54+L55)/2/L26+L27)</f>
        <v>2248.576</v>
      </c>
      <c r="M68" s="68" t="n">
        <f aca="false">M24*IF(M25=0,(M54+M55)/2,MIN((M54+M55)/2,M25))+(1-M24)*((M54+M55)/2/M26+M27)</f>
        <v>2192</v>
      </c>
      <c r="N68" s="68" t="n">
        <f aca="false">N24*IF(N25=0,(N54+N55)/2,MIN((N54+N55)/2,N25))+(1-N24)*((N54+N55)/2/N26+N27)</f>
        <v>24576</v>
      </c>
      <c r="O68" s="68" t="n">
        <f aca="false">O24*IF(O25=0,(O54+O55)/2,MIN((O54+O55)/2,O25))+(1-O24)*((O54+O55)/2/O26+O27)</f>
        <v>2248.576</v>
      </c>
      <c r="P68" s="68" t="n">
        <f aca="false">P24*IF(P25=0,(P54+P55)/2,MIN((P54+P55)/2,P25))+(1-P24)*((P54+P55)/2/P26+P27)</f>
        <v>2192</v>
      </c>
      <c r="Q68" s="68" t="n">
        <f aca="false">Q24*IF(Q25=0,(Q54+Q55)/2,MIN((Q54+Q55)/2,Q25))+(1-Q24)*((Q54+Q55)/2/Q26+Q27)</f>
        <v>24576</v>
      </c>
    </row>
    <row r="69" customFormat="false" ht="15" hidden="false" customHeight="false" outlineLevel="0" collapsed="false">
      <c r="A69" s="62" t="s">
        <v>1207</v>
      </c>
      <c r="B69" s="62" t="s">
        <v>539</v>
      </c>
      <c r="C69" s="75" t="n">
        <f aca="false">3*(2*C22*1000000000+C23*C68)*C28/1000000000</f>
        <v>116.019570597888</v>
      </c>
      <c r="D69" s="75" t="n">
        <f aca="false">3*(2*D22*1000000000+D23*D68)*D28/1000000000</f>
        <v>399.155395584</v>
      </c>
      <c r="E69" s="75" t="n">
        <f aca="false">3*(2*E22*1000000000+E23*E68)*E28/1000000000</f>
        <v>1442.3878656</v>
      </c>
      <c r="F69" s="75" t="n">
        <f aca="false">3*(2*F22*1000000000+F23*F68)*F28/1000000000</f>
        <v>116.019570597888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116.019570597888</v>
      </c>
      <c r="J69" s="75" t="n">
        <f aca="false">3*(2*J22*1000000000+J23*J68)*J28/1000000000</f>
        <v>399.155395584</v>
      </c>
      <c r="K69" s="75" t="n">
        <f aca="false">3*(2*K22*1000000000+K23*K68)*K28/1000000000</f>
        <v>1442.3878656</v>
      </c>
      <c r="L69" s="75" t="n">
        <f aca="false">3*(2*L22*1000000000+L23*L68)*L28/1000000000</f>
        <v>116.019570597888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116.019570597888</v>
      </c>
      <c r="P69" s="75" t="n">
        <f aca="false">3*(2*P22*1000000000+P23*P68)*P28/1000000000</f>
        <v>399.155395584</v>
      </c>
      <c r="Q69" s="75" t="n">
        <f aca="false">3*(2*Q22*1000000000+Q23*Q68)*Q28/1000000000</f>
        <v>1442.3878656</v>
      </c>
    </row>
    <row r="70" customFormat="false" ht="15" hidden="false" customHeight="false" outlineLevel="0" collapsed="false">
      <c r="A70" s="62" t="s">
        <v>1208</v>
      </c>
      <c r="B70" s="62" t="s">
        <v>330</v>
      </c>
      <c r="C70" s="144" t="n">
        <f aca="false">C69*1000000000*C67*1000000000000</f>
        <v>4.10709279916524E+023</v>
      </c>
      <c r="D70" s="144" t="n">
        <f aca="false">D69*1000000000*D67*1000000000000</f>
        <v>1.41301010036736E+024</v>
      </c>
      <c r="E70" s="144" t="n">
        <f aca="false">E69*1000000000*E67*1000000000000</f>
        <v>2.077038526464E+025</v>
      </c>
      <c r="F70" s="144" t="n">
        <f aca="false">F69*1000000000*F67*1000000000000</f>
        <v>4.10709279916524E+023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4.10709279916524E+023</v>
      </c>
      <c r="J70" s="144" t="n">
        <f aca="false">J69*1000000000*J67*1000000000000</f>
        <v>1.41301010036736E+024</v>
      </c>
      <c r="K70" s="144" t="n">
        <f aca="false">K69*1000000000*K67*1000000000000</f>
        <v>2.077038526464E+025</v>
      </c>
      <c r="L70" s="144" t="n">
        <f aca="false">L69*1000000000*L67*1000000000000</f>
        <v>4.10709279916524E+023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4.10709279916524E+023</v>
      </c>
      <c r="P70" s="144" t="n">
        <f aca="false">P69*1000000000*P67*1000000000000</f>
        <v>1.41301010036736E+024</v>
      </c>
      <c r="Q70" s="144" t="n">
        <f aca="false">Q69*1000000000*Q67*1000000000000</f>
        <v>2.077038526464E+025</v>
      </c>
    </row>
    <row r="71" customFormat="false" ht="15" hidden="false" customHeight="false" outlineLevel="0" collapsed="false">
      <c r="A71" s="62" t="s">
        <v>1209</v>
      </c>
      <c r="B71" s="62" t="s">
        <v>118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</row>
    <row r="72" customFormat="false" ht="15" hidden="false" customHeight="false" outlineLevel="0" collapsed="false">
      <c r="A72" s="62" t="s">
        <v>1210</v>
      </c>
      <c r="B72" s="62" t="s">
        <v>1180</v>
      </c>
      <c r="C72" s="68" t="n">
        <f aca="false">C70/(C12*1000000000000000*C16*C71*C17)/3600</f>
        <v>427024.165171049</v>
      </c>
      <c r="D72" s="68" t="n">
        <f aca="false">D70/(D12*1000000000000000*D16*D71*D17)/3600</f>
        <v>1469140.06571819</v>
      </c>
      <c r="E72" s="68" t="n">
        <f aca="false">E70/(E12*1000000000000000*E16*E71*E17)/3600</f>
        <v>21595461.4653866</v>
      </c>
      <c r="F72" s="68" t="n">
        <f aca="false">F70/(F12*1000000000000000*F16*F71*F17)/3600</f>
        <v>169016.164574701</v>
      </c>
      <c r="G72" s="68" t="n">
        <f aca="false">G70/(G12*1000000000000000*G16*G71*G17)/3600</f>
        <v>581485.638011259</v>
      </c>
      <c r="H72" s="68" t="n">
        <f aca="false">H70/(H12*1000000000000000*H16*H71*H17)/3600</f>
        <v>8547483.648</v>
      </c>
      <c r="I72" s="68" t="n">
        <f aca="false">I70/(I12*1000000000000000*I16*I71*I17)/3600</f>
        <v>169016.164574701</v>
      </c>
      <c r="J72" s="68" t="n">
        <f aca="false">J70/(J12*1000000000000000*J16*J71*J17)/3600</f>
        <v>581485.638011259</v>
      </c>
      <c r="K72" s="68" t="n">
        <f aca="false">K70/(K12*1000000000000000*K16*K71*K17)/3600</f>
        <v>8547483.648</v>
      </c>
      <c r="L72" s="68" t="n">
        <f aca="false">L70/(L12*1000000000000000*L16*L71*L17)/3600</f>
        <v>53655.9252618099</v>
      </c>
      <c r="M72" s="68" t="n">
        <f aca="false">M70/(M12*1000000000000000*M16*M71*M17)/3600</f>
        <v>184598.61524167</v>
      </c>
      <c r="N72" s="68" t="n">
        <f aca="false">N70/(N12*1000000000000000*N16*N71*N17)/3600</f>
        <v>2713486.87238095</v>
      </c>
      <c r="O72" s="68" t="n">
        <f aca="false">O70/(O12*1000000000000000*O16*O71*O17)/3600</f>
        <v>26827.9626309049</v>
      </c>
      <c r="P72" s="68" t="n">
        <f aca="false">P70/(P12*1000000000000000*P16*P71*P17)/3600</f>
        <v>92299.3076208348</v>
      </c>
      <c r="Q72" s="68" t="n">
        <f aca="false">Q70/(Q12*1000000000000000*Q16*Q71*Q17)/3600</f>
        <v>1356743.43619048</v>
      </c>
    </row>
    <row r="73" customFormat="false" ht="15" hidden="false" customHeight="false" outlineLevel="0" collapsed="false">
      <c r="A73" s="61" t="s">
        <v>1211</v>
      </c>
      <c r="B73" s="61"/>
      <c r="C73" s="89" t="n">
        <f aca="false">Train_In!$C$10</f>
        <v>0</v>
      </c>
      <c r="D73" s="89" t="n">
        <f aca="false">Train_In!$C$10</f>
        <v>0</v>
      </c>
      <c r="E73" s="89" t="n">
        <f aca="false">Train_In!$C$10</f>
        <v>0</v>
      </c>
      <c r="F73" s="89" t="n">
        <f aca="false">Train_In!$C$10</f>
        <v>0</v>
      </c>
      <c r="G73" s="89" t="n">
        <f aca="false">Train_In!$C$10</f>
        <v>0</v>
      </c>
      <c r="H73" s="89" t="n">
        <f aca="false">Train_In!$C$10</f>
        <v>0</v>
      </c>
      <c r="I73" s="89" t="n">
        <f aca="false">Train_In!$C$10</f>
        <v>0</v>
      </c>
      <c r="J73" s="89" t="n">
        <f aca="false">Train_In!$C$10</f>
        <v>0</v>
      </c>
      <c r="K73" s="89" t="n">
        <f aca="false">Train_In!$C$10</f>
        <v>0</v>
      </c>
      <c r="L73" s="89" t="n">
        <f aca="false">Train_In!$C$10</f>
        <v>0</v>
      </c>
      <c r="M73" s="89" t="n">
        <f aca="false">Train_In!$C$10</f>
        <v>0</v>
      </c>
      <c r="N73" s="89" t="n">
        <f aca="false">Train_In!$C$10</f>
        <v>0</v>
      </c>
      <c r="O73" s="89" t="n">
        <f aca="false">Train_In!$C$10</f>
        <v>0</v>
      </c>
      <c r="P73" s="89" t="n">
        <f aca="false">Train_In!$C$10</f>
        <v>0</v>
      </c>
      <c r="Q73" s="89" t="n">
        <f aca="false">Train_In!$C$10</f>
        <v>0</v>
      </c>
    </row>
    <row r="74" customFormat="false" ht="15" hidden="false" customHeight="false" outlineLevel="0" collapsed="false">
      <c r="A74" s="61" t="s">
        <v>1212</v>
      </c>
      <c r="B74" s="62" t="s">
        <v>1180</v>
      </c>
      <c r="C74" s="68" t="n">
        <f aca="false">C73*C72/3</f>
        <v>0</v>
      </c>
      <c r="D74" s="68" t="n">
        <f aca="false">D73*D72/3</f>
        <v>0</v>
      </c>
      <c r="E74" s="68" t="n">
        <f aca="false">E73*E72/3</f>
        <v>0</v>
      </c>
      <c r="F74" s="68" t="n">
        <f aca="false">F73*F72/3</f>
        <v>0</v>
      </c>
      <c r="G74" s="68" t="n">
        <f aca="false">G73*G72/3</f>
        <v>0</v>
      </c>
      <c r="H74" s="68" t="n">
        <f aca="false">H73*H72/3</f>
        <v>0</v>
      </c>
      <c r="I74" s="68" t="n">
        <f aca="false">I73*I72/3</f>
        <v>0</v>
      </c>
      <c r="J74" s="68" t="n">
        <f aca="false">J73*J72/3</f>
        <v>0</v>
      </c>
      <c r="K74" s="68" t="n">
        <f aca="false">K73*K72/3</f>
        <v>0</v>
      </c>
      <c r="L74" s="68" t="n">
        <f aca="false">L73*L72/3</f>
        <v>0</v>
      </c>
      <c r="M74" s="68" t="n">
        <f aca="false">M73*M72/3</f>
        <v>0</v>
      </c>
      <c r="N74" s="68" t="n">
        <f aca="false">N73*N72/3</f>
        <v>0</v>
      </c>
      <c r="O74" s="68" t="n">
        <f aca="false">O73*O72/3</f>
        <v>0</v>
      </c>
      <c r="P74" s="68" t="n">
        <f aca="false">P73*P72/3</f>
        <v>0</v>
      </c>
      <c r="Q74" s="68" t="n">
        <f aca="false">Q73*Q72/3</f>
        <v>0</v>
      </c>
    </row>
    <row r="75" customFormat="false" ht="15" hidden="false" customHeight="false" outlineLevel="0" collapsed="false">
      <c r="A75" s="62" t="s">
        <v>1213</v>
      </c>
      <c r="B75" s="62" t="s">
        <v>1180</v>
      </c>
      <c r="C75" s="71" t="n">
        <f aca="false">IF(AND(ISNUMBER(C65)),C65+C72+C74,"SLO 不可達")</f>
        <v>1054203.20797403</v>
      </c>
      <c r="D75" s="71" t="n">
        <f aca="false">IF(AND(ISNUMBER(D65)),D65+D72+D74,"SLO 不可達")</f>
        <v>3882768.0044086</v>
      </c>
      <c r="E75" s="71" t="n">
        <f aca="false">IF(AND(ISNUMBER(E65)),E65+E72+E74,"SLO 不可達")</f>
        <v>64730310.5371774</v>
      </c>
      <c r="F75" s="71" t="n">
        <f aca="false">IF(AND(ISNUMBER(F65)),F65+F72+F74,"SLO 不可達")</f>
        <v>310888.000830325</v>
      </c>
      <c r="G75" s="71" t="n">
        <f aca="false">IF(AND(ISNUMBER(G65)),G65+G72+G74,"SLO 不可達")</f>
        <v>1103814.62293829</v>
      </c>
      <c r="H75" s="71" t="n">
        <f aca="false">IF(AND(ISNUMBER(H65)),H65+H72+H74,"SLO 不可達")</f>
        <v>17814557.9473498</v>
      </c>
      <c r="I75" s="71" t="n">
        <f aca="false">IF(AND(ISNUMBER(I65)),I65+I72+I74,"SLO 不可達")</f>
        <v>263597.388745117</v>
      </c>
      <c r="J75" s="71" t="n">
        <f aca="false">IF(AND(ISNUMBER(J65)),J65+J72+J74,"SLO 不可達")</f>
        <v>929704.961295945</v>
      </c>
      <c r="K75" s="71" t="n">
        <f aca="false">IF(AND(ISNUMBER(K65)),K65+K72+K74,"SLO 不可達")</f>
        <v>14957302.4707143</v>
      </c>
      <c r="L75" s="71" t="n">
        <f aca="false">IF(AND(ISNUMBER(L65)),L65+L72+L74,"SLO 不可達")</f>
        <v>107305.134642035</v>
      </c>
      <c r="M75" s="71" t="n">
        <f aca="false">IF(AND(ISNUMBER(M65)),M65+M72+M74,"SLO 不可達")</f>
        <v>376831.791251579</v>
      </c>
      <c r="N75" s="71" t="n">
        <f aca="false">IF(AND(ISNUMBER(N65)),N65+N72+N74,"SLO 不可達")</f>
        <v>6045499.10516714</v>
      </c>
      <c r="O75" s="71" t="n">
        <f aca="false">IF(AND(ISNUMBER(O65)),O65+O72+O74,"SLO 不可達")</f>
        <v>46918.0414223073</v>
      </c>
      <c r="P75" s="71" t="n">
        <f aca="false">IF(AND(ISNUMBER(P65)),P65+P72+P74,"SLO 不可達")</f>
        <v>163727.413365684</v>
      </c>
      <c r="Q75" s="71" t="n">
        <f aca="false">IF(AND(ISNUMBER(Q65)),Q65+Q72+Q74,"SLO 不可達")</f>
        <v>2574548.53645185</v>
      </c>
    </row>
    <row r="76" customFormat="false" ht="15" hidden="false" customHeight="false" outlineLevel="0" collapsed="false">
      <c r="A76" s="62" t="s">
        <v>1214</v>
      </c>
      <c r="B76" s="62" t="s">
        <v>330</v>
      </c>
      <c r="C76" s="144" t="n">
        <f aca="false">C66+C70*(1+C73/3)</f>
        <v>5.04464427138406E+023</v>
      </c>
      <c r="D76" s="144" t="n">
        <f aca="false">D66+D70*(1+D73/3)</f>
        <v>1.73732577709207E+024</v>
      </c>
      <c r="E76" s="144" t="n">
        <f aca="false">E66+E70*(1+E73/3)</f>
        <v>2.589265308672E+025</v>
      </c>
      <c r="F76" s="144" t="n">
        <f aca="false">F66+F70*(1+F73/3)</f>
        <v>5.04464427138406E+023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5.04464427138406E+023</v>
      </c>
      <c r="J76" s="144" t="n">
        <f aca="false">J66+J70*(1+J73/3)</f>
        <v>1.73732577709207E+024</v>
      </c>
      <c r="K76" s="144" t="n">
        <f aca="false">K66+K70*(1+K73/3)</f>
        <v>2.589265308672E+025</v>
      </c>
      <c r="L76" s="144" t="n">
        <f aca="false">L66+L70*(1+L73/3)</f>
        <v>5.04464427138406E+023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5.04464427138406E+023</v>
      </c>
      <c r="P76" s="144" t="n">
        <f aca="false">P66+P70*(1+P73/3)</f>
        <v>1.73732577709207E+024</v>
      </c>
      <c r="Q76" s="144" t="n">
        <f aca="false">Q66+Q70*(1+Q73/3)</f>
        <v>2.589265308672E+025</v>
      </c>
    </row>
    <row r="77" customFormat="false" ht="15" hidden="false" customHeight="false" outlineLevel="0" collapsed="false">
      <c r="A77" s="62" t="s">
        <v>1215</v>
      </c>
      <c r="B77" s="62" t="s">
        <v>113</v>
      </c>
      <c r="C77" s="101" t="n">
        <f aca="false">IF(AND(ISNUMBER(C75)),C76/(C75*3600*C12*1000000000000000),"SLO 不可達")</f>
        <v>0.0671673042766739</v>
      </c>
      <c r="D77" s="101" t="n">
        <f aca="false">IF(AND(ISNUMBER(D75)),D76/(D75*3600*D12*1000000000000000),"SLO 不可達")</f>
        <v>0.062804610455095</v>
      </c>
      <c r="E77" s="101" t="n">
        <f aca="false">IF(AND(ISNUMBER(E75)),E76/(E75*3600*E12*1000000000000000),"SLO 不可達")</f>
        <v>0.0561462257017422</v>
      </c>
      <c r="F77" s="101" t="n">
        <f aca="false">IF(AND(ISNUMBER(F75)),F76/(F75*3600*F12*1000000000000000),"SLO 不可達")</f>
        <v>0.0901475818714053</v>
      </c>
      <c r="G77" s="101" t="n">
        <f aca="false">IF(AND(ISNUMBER(G75)),G76/(G75*3600*G12*1000000000000000),"SLO 不可達")</f>
        <v>0.0874404965486068</v>
      </c>
      <c r="H77" s="101" t="n">
        <f aca="false">IF(AND(ISNUMBER(H75)),H76/(H75*3600*H12*1000000000000000),"SLO 不可達")</f>
        <v>0.0807474836755068</v>
      </c>
      <c r="I77" s="101" t="n">
        <f aca="false">IF(AND(ISNUMBER(I75)),I76/(I75*3600*I12*1000000000000000),"SLO 不可達")</f>
        <v>0.106320482312473</v>
      </c>
      <c r="J77" s="101" t="n">
        <f aca="false">IF(AND(ISNUMBER(J75)),J76/(J75*3600*J12*1000000000000000),"SLO 不可達")</f>
        <v>0.103815837007901</v>
      </c>
      <c r="K77" s="101" t="n">
        <f aca="false">IF(AND(ISNUMBER(K75)),K76/(K75*3600*K12*1000000000000000),"SLO 不可達")</f>
        <v>0.0961724702603611</v>
      </c>
      <c r="L77" s="101" t="n">
        <f aca="false">IF(AND(ISNUMBER(L75)),L76/(L75*3600*L12*1000000000000000),"SLO 不可達")</f>
        <v>0.0746224482738129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0.0853336117258793</v>
      </c>
      <c r="P77" s="101" t="n">
        <f aca="false">IF(AND(ISNUMBER(P75)),P76/(P75*3600*P12*1000000000000000),"SLO 不可達")</f>
        <v>0.0842149737466073</v>
      </c>
      <c r="Q77" s="101" t="n">
        <f aca="false">IF(AND(ISNUMBER(Q75)),Q76/(Q75*3600*Q12*1000000000000000),"SLO 不可達")</f>
        <v>0.0798187502820238</v>
      </c>
    </row>
    <row r="78" customFormat="false" ht="15" hidden="false" customHeight="false" outlineLevel="0" collapsed="false">
      <c r="A78" s="62" t="s">
        <v>1216</v>
      </c>
      <c r="B78" s="62" t="s">
        <v>118</v>
      </c>
      <c r="C78" s="104" t="n">
        <f aca="false">IF(AND(ISNUMBER(C75)),C75/C36,"SLO 不可達")</f>
        <v>0.468876132125419</v>
      </c>
      <c r="D78" s="104" t="n">
        <f aca="false">IF(AND(ISNUMBER(D75)),D75/D36,"SLO 不可達")</f>
        <v>0.480837430198296</v>
      </c>
      <c r="E78" s="104" t="n">
        <f aca="false">IF(AND(ISNUMBER(E75)),E75/E36,"SLO 不可達")</f>
        <v>1.51645949522464</v>
      </c>
      <c r="F78" s="104" t="n">
        <f aca="false">IF(AND(ISNUMBER(F75)),F75/F36,"SLO 不可達")</f>
        <v>0.349350977372445</v>
      </c>
      <c r="G78" s="104" t="n">
        <f aca="false">IF(AND(ISNUMBER(G75)),G75/G36,"SLO 不可達")</f>
        <v>0.345364089727531</v>
      </c>
      <c r="H78" s="104" t="n">
        <f aca="false">IF(AND(ISNUMBER(H75)),H75/H36,"SLO 不可達")</f>
        <v>1.05444124337784</v>
      </c>
      <c r="I78" s="104" t="n">
        <f aca="false">IF(AND(ISNUMBER(I75)),I75/I36,"SLO 不可達")</f>
        <v>0.296209583981951</v>
      </c>
      <c r="J78" s="104" t="n">
        <f aca="false">IF(AND(ISNUMBER(J75)),J75/J36,"SLO 不可達")</f>
        <v>0.2908882533359</v>
      </c>
      <c r="K78" s="104" t="n">
        <f aca="false">IF(AND(ISNUMBER(K75)),K75/K36,"SLO 不可達")</f>
        <v>0.885320683309161</v>
      </c>
      <c r="L78" s="104" t="n">
        <f aca="false">IF(AND(ISNUMBER(L75)),L75/L36,"SLO 不可達")</f>
        <v>0.379829822080908</v>
      </c>
      <c r="M78" s="104" t="n">
        <f aca="false">IF(AND(ISNUMBER(M75)),M75/M36,"SLO 不可達")</f>
        <v>0.371397626434424</v>
      </c>
      <c r="N78" s="104" t="n">
        <f aca="false">IF(AND(ISNUMBER(N75)),N75/N36,"SLO 不可達")</f>
        <v>1.12717162997901</v>
      </c>
      <c r="O78" s="104" t="n">
        <f aca="false">IF(AND(ISNUMBER(O75)),O75/O36,"SLO 不可達")</f>
        <v>0.332153188852878</v>
      </c>
      <c r="P78" s="104" t="n">
        <f aca="false">IF(AND(ISNUMBER(P75)),P75/P36,"SLO 不可達")</f>
        <v>0.322732710551306</v>
      </c>
      <c r="Q78" s="104" t="n">
        <f aca="false">IF(AND(ISNUMBER(Q75)),Q75/Q36,"SLO 不可達")</f>
        <v>0.960039202656464</v>
      </c>
    </row>
    <row r="79" customFormat="false" ht="15" hidden="false" customHeight="false" outlineLevel="0" collapsed="false">
      <c r="A79" s="62" t="s">
        <v>1217</v>
      </c>
      <c r="B79" s="62" t="s">
        <v>118</v>
      </c>
      <c r="C79" s="77" t="n">
        <f aca="false">C76/C35</f>
        <v>0.139969537042391</v>
      </c>
      <c r="D79" s="77" t="n">
        <f aca="false">D76/D35</f>
        <v>0.134216922203702</v>
      </c>
      <c r="E79" s="77" t="n">
        <f aca="false">E76/E35</f>
        <v>0.37841545371748</v>
      </c>
      <c r="F79" s="77" t="n">
        <f aca="false">F76/F35</f>
        <v>0.139969537042391</v>
      </c>
      <c r="G79" s="77" t="n">
        <f aca="false">G76/G35</f>
        <v>0.134216922203702</v>
      </c>
      <c r="H79" s="77" t="n">
        <f aca="false">H76/H35</f>
        <v>0.37841545371748</v>
      </c>
      <c r="I79" s="77" t="n">
        <f aca="false">I76/I35</f>
        <v>0.139969537042391</v>
      </c>
      <c r="J79" s="77" t="n">
        <f aca="false">J76/J35</f>
        <v>0.134216922203702</v>
      </c>
      <c r="K79" s="77" t="n">
        <f aca="false">K76/K35</f>
        <v>0.37841545371748</v>
      </c>
      <c r="L79" s="77" t="n">
        <f aca="false">L76/L35</f>
        <v>0.139969537042391</v>
      </c>
      <c r="M79" s="77" t="n">
        <f aca="false">M76/M35</f>
        <v>0.134216922203702</v>
      </c>
      <c r="N79" s="77" t="n">
        <f aca="false">N76/N35</f>
        <v>0.37841545371748</v>
      </c>
      <c r="O79" s="77" t="n">
        <f aca="false">O76/O35</f>
        <v>0.139969537042391</v>
      </c>
      <c r="P79" s="77" t="n">
        <f aca="false">P76/P35</f>
        <v>0.134216922203702</v>
      </c>
      <c r="Q79" s="77" t="n">
        <f aca="false">Q76/Q35</f>
        <v>0.37841545371748</v>
      </c>
    </row>
    <row r="80" customFormat="false" ht="15" hidden="false" customHeight="false" outlineLevel="0" collapsed="false">
      <c r="A80" s="76" t="s">
        <v>1218</v>
      </c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</row>
    <row r="81" customFormat="false" ht="15" hidden="false" customHeight="false" outlineLevel="0" collapsed="false">
      <c r="A81" s="61" t="s">
        <v>1219</v>
      </c>
      <c r="B81" s="62" t="s">
        <v>1103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</row>
    <row r="82" customFormat="false" ht="15" hidden="false" customHeight="false" outlineLevel="0" collapsed="false">
      <c r="A82" s="61" t="s">
        <v>1220</v>
      </c>
      <c r="B82" s="61"/>
      <c r="C82" s="89" t="n">
        <f aca="false">INDEX(Train_In!$C$36:$E$36,C$7)</f>
        <v>1</v>
      </c>
      <c r="D82" s="89" t="n">
        <f aca="false">INDEX(Train_In!$C$36:$E$36,D$7)</f>
        <v>2</v>
      </c>
      <c r="E82" s="89" t="n">
        <f aca="false">INDEX(Train_In!$C$36:$E$36,E$7)</f>
        <v>3</v>
      </c>
      <c r="F82" s="89" t="n">
        <f aca="false">INDEX(Train_In!$C$36:$E$36,F$7)</f>
        <v>1</v>
      </c>
      <c r="G82" s="89" t="n">
        <f aca="false">INDEX(Train_In!$C$36:$E$36,G$7)</f>
        <v>2</v>
      </c>
      <c r="H82" s="89" t="n">
        <f aca="false">INDEX(Train_In!$C$36:$E$36,H$7)</f>
        <v>3</v>
      </c>
      <c r="I82" s="89" t="n">
        <f aca="false">INDEX(Train_In!$C$36:$E$36,I$7)</f>
        <v>1</v>
      </c>
      <c r="J82" s="89" t="n">
        <f aca="false">INDEX(Train_In!$C$36:$E$36,J$7)</f>
        <v>2</v>
      </c>
      <c r="K82" s="89" t="n">
        <f aca="false">INDEX(Train_In!$C$36:$E$36,K$7)</f>
        <v>3</v>
      </c>
      <c r="L82" s="89" t="n">
        <f aca="false">INDEX(Train_In!$C$36:$E$36,L$7)</f>
        <v>1</v>
      </c>
      <c r="M82" s="89" t="n">
        <f aca="false">INDEX(Train_In!$C$36:$E$36,M$7)</f>
        <v>2</v>
      </c>
      <c r="N82" s="89" t="n">
        <f aca="false">INDEX(Train_In!$C$36:$E$36,N$7)</f>
        <v>3</v>
      </c>
      <c r="O82" s="89" t="n">
        <f aca="false">INDEX(Train_In!$C$36:$E$36,O$7)</f>
        <v>1</v>
      </c>
      <c r="P82" s="89" t="n">
        <f aca="false">INDEX(Train_In!$C$36:$E$36,P$7)</f>
        <v>2</v>
      </c>
      <c r="Q82" s="89" t="n">
        <f aca="false">INDEX(Train_In!$C$36:$E$36,Q$7)</f>
        <v>3</v>
      </c>
    </row>
    <row r="83" customFormat="false" ht="15" hidden="false" customHeight="false" outlineLevel="0" collapsed="false">
      <c r="A83" s="61" t="s">
        <v>1221</v>
      </c>
      <c r="B83" s="62" t="s">
        <v>1103</v>
      </c>
      <c r="C83" s="72" t="n">
        <f aca="false">C81*1000000000000/C55*(C54+C55)/1000000000000</f>
        <v>0.3</v>
      </c>
      <c r="D83" s="72" t="n">
        <f aca="false">D81*1000000000000/D55*(D54+D55)/1000000000000</f>
        <v>0.3</v>
      </c>
      <c r="E83" s="72" t="n">
        <f aca="false">E81*1000000000000/E55*(E54+E55)/1000000000000</f>
        <v>0.3</v>
      </c>
      <c r="F83" s="72" t="n">
        <f aca="false">F81*1000000000000/F55*(F54+F55)/1000000000000</f>
        <v>0.3</v>
      </c>
      <c r="G83" s="72" t="n">
        <f aca="false">G81*1000000000000/G55*(G54+G55)/1000000000000</f>
        <v>0.3</v>
      </c>
      <c r="H83" s="72" t="n">
        <f aca="false">H81*1000000000000/H55*(H54+H55)/1000000000000</f>
        <v>0.3</v>
      </c>
      <c r="I83" s="72" t="n">
        <f aca="false">I81*1000000000000/I55*(I54+I55)/1000000000000</f>
        <v>0.3</v>
      </c>
      <c r="J83" s="72" t="n">
        <f aca="false">J81*1000000000000/J55*(J54+J55)/1000000000000</f>
        <v>0.3</v>
      </c>
      <c r="K83" s="72" t="n">
        <f aca="false">K81*1000000000000/K55*(K54+K55)/1000000000000</f>
        <v>0.3</v>
      </c>
      <c r="L83" s="72" t="n">
        <f aca="false">L81*1000000000000/L55*(L54+L55)/1000000000000</f>
        <v>0.3</v>
      </c>
      <c r="M83" s="72" t="n">
        <f aca="false">M81*1000000000000/M55*(M54+M55)/1000000000000</f>
        <v>0.3</v>
      </c>
      <c r="N83" s="72" t="n">
        <f aca="false">N81*1000000000000/N55*(N54+N55)/1000000000000</f>
        <v>0.3</v>
      </c>
      <c r="O83" s="72" t="n">
        <f aca="false">O81*1000000000000/O55*(O54+O55)/1000000000000</f>
        <v>0.3</v>
      </c>
      <c r="P83" s="72" t="n">
        <f aca="false">P81*1000000000000/P55*(P54+P55)/1000000000000</f>
        <v>0.3</v>
      </c>
      <c r="Q83" s="72" t="n">
        <f aca="false">Q81*1000000000000/Q55*(Q54+Q55)/1000000000000</f>
        <v>0.3</v>
      </c>
    </row>
    <row r="84" customFormat="false" ht="15" hidden="false" customHeight="false" outlineLevel="0" collapsed="false">
      <c r="A84" s="61" t="s">
        <v>1222</v>
      </c>
      <c r="B84" s="62" t="s">
        <v>935</v>
      </c>
      <c r="C84" s="98" t="n">
        <f aca="false">INDEX(Perf_Batch!$C$101:$Q$101,3*(C$6-1)+C82)</f>
        <v>108.884175050246</v>
      </c>
      <c r="D84" s="98" t="n">
        <f aca="false">INDEX(Perf_Batch!$C$101:$Q$101,3*(D$6-1)+D82)</f>
        <v>443.292452124732</v>
      </c>
      <c r="E84" s="98" t="n">
        <f aca="false">INDEX(Perf_Batch!$C$101:$Q$101,3*(E$6-1)+E82)</f>
        <v>1349.05735894843</v>
      </c>
      <c r="F84" s="98" t="n">
        <f aca="false">INDEX(Perf_Batch!$C$101:$Q$101,3*(F$6-1)+F82)</f>
        <v>10.7686449124693</v>
      </c>
      <c r="G84" s="98" t="n">
        <f aca="false">INDEX(Perf_Batch!$C$101:$Q$101,3*(G$6-1)+G82)</f>
        <v>43.841623515136</v>
      </c>
      <c r="H84" s="98" t="n">
        <f aca="false">INDEX(Perf_Batch!$C$101:$Q$101,3*(H$6-1)+H82)</f>
        <v>133.4217728</v>
      </c>
      <c r="I84" s="98" t="n">
        <f aca="false">INDEX(Perf_Batch!$C$101:$Q$101,3*(I$6-1)+I82)</f>
        <v>7.17909660831289</v>
      </c>
      <c r="J84" s="98" t="n">
        <f aca="false">INDEX(Perf_Batch!$C$101:$Q$101,3*(J$6-1)+J82)</f>
        <v>29.2277490100907</v>
      </c>
      <c r="K84" s="98" t="n">
        <f aca="false">INDEX(Perf_Batch!$C$101:$Q$101,3*(K$6-1)+K82)</f>
        <v>88.9478485333333</v>
      </c>
      <c r="L84" s="98" t="n">
        <f aca="false">INDEX(Perf_Batch!$C$101:$Q$101,3*(L$6-1)+L82)</f>
        <v>3.07675568927695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1.53837784463848</v>
      </c>
      <c r="P84" s="98" t="n">
        <f aca="false">INDEX(Perf_Batch!$C$101:$Q$101,3*(P$6-1)+P82)</f>
        <v>6.26308907359086</v>
      </c>
      <c r="Q84" s="98" t="n">
        <f aca="false">INDEX(Perf_Batch!$C$101:$Q$101,3*(Q$6-1)+Q82)</f>
        <v>19.0602532571429</v>
      </c>
    </row>
    <row r="85" customFormat="false" ht="15" hidden="false" customHeight="false" outlineLevel="0" collapsed="false">
      <c r="A85" s="61" t="s">
        <v>1223</v>
      </c>
      <c r="B85" s="62" t="s">
        <v>539</v>
      </c>
      <c r="C85" s="98" t="n">
        <f aca="false">INDEX(Perf_Batch!$C$67:$Q$67,3*(C$6-1)+C82)</f>
        <v>32.305934737408</v>
      </c>
      <c r="D85" s="98" t="n">
        <f aca="false">INDEX(Perf_Batch!$C$67:$Q$67,3*(D$6-1)+D82)</f>
        <v>131.524870545408</v>
      </c>
      <c r="E85" s="98" t="n">
        <f aca="false">INDEX(Perf_Batch!$C$67:$Q$67,3*(E$6-1)+E82)</f>
        <v>400.2653184</v>
      </c>
      <c r="F85" s="98" t="n">
        <f aca="false">INDEX(Perf_Batch!$C$67:$Q$67,3*(F$6-1)+F82)</f>
        <v>32.305934737408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32.305934737408</v>
      </c>
      <c r="J85" s="98" t="n">
        <f aca="false">INDEX(Perf_Batch!$C$67:$Q$67,3*(J$6-1)+J82)</f>
        <v>131.524870545408</v>
      </c>
      <c r="K85" s="98" t="n">
        <f aca="false">INDEX(Perf_Batch!$C$67:$Q$67,3*(K$6-1)+K82)</f>
        <v>400.2653184</v>
      </c>
      <c r="L85" s="98" t="n">
        <f aca="false">INDEX(Perf_Batch!$C$67:$Q$67,3*(L$6-1)+L82)</f>
        <v>32.305934737408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32.305934737408</v>
      </c>
      <c r="P85" s="98" t="n">
        <f aca="false">INDEX(Perf_Batch!$C$67:$Q$67,3*(P$6-1)+P82)</f>
        <v>131.524870545408</v>
      </c>
      <c r="Q85" s="98" t="n">
        <f aca="false">INDEX(Perf_Batch!$C$67:$Q$67,3*(Q$6-1)+Q82)</f>
        <v>400.2653184</v>
      </c>
    </row>
    <row r="86" customFormat="false" ht="15" hidden="false" customHeight="false" outlineLevel="0" collapsed="false">
      <c r="A86" s="61" t="s">
        <v>1224</v>
      </c>
      <c r="B86" s="62" t="s">
        <v>1180</v>
      </c>
      <c r="C86" s="68" t="n">
        <f aca="false">IF(AND(ISNUMBER(C59)),C81*1000000*C59/3600/C64,"SLO 不可達")</f>
        <v>52928.3721908486</v>
      </c>
      <c r="D86" s="68" t="n">
        <f aca="false">IF(AND(ISNUMBER(D59)),D81*1000000*D59/3600/D64,"SLO 不可達")</f>
        <v>203639.32297686</v>
      </c>
      <c r="E86" s="68" t="n">
        <f aca="false">IF(AND(ISNUMBER(E59)),E81*1000000*E59/3600/E64,"SLO 不可達")</f>
        <v>895887.261383411</v>
      </c>
      <c r="F86" s="68" t="n">
        <f aca="false">IF(AND(ISNUMBER(F59)),F81*1000000*F59/3600/F64,"SLO 不可達")</f>
        <v>12001.0421895401</v>
      </c>
      <c r="G86" s="68" t="n">
        <f aca="false">IF(AND(ISNUMBER(G59)),G81*1000000*G59/3600/G64,"SLO 不可達")</f>
        <v>44175.6224144917</v>
      </c>
      <c r="H86" s="68" t="n">
        <f aca="false">IF(AND(ISNUMBER(H59)),H81*1000000*H59/3600/H64,"SLO 不可達")</f>
        <v>192791.536112272</v>
      </c>
      <c r="I86" s="68" t="n">
        <f aca="false">IF(AND(ISNUMBER(I59)),I81*1000000*I59/3600/I64,"SLO 不可達")</f>
        <v>8000.69479302675</v>
      </c>
      <c r="J86" s="68" t="n">
        <f aca="false">IF(AND(ISNUMBER(J59)),J81*1000000*J59/3600/J64,"SLO 不可達")</f>
        <v>29450.4149429944</v>
      </c>
      <c r="K86" s="68" t="n">
        <f aca="false">IF(AND(ISNUMBER(K59)),K81*1000000*K59/3600/K64,"SLO 不可達")</f>
        <v>133356.217612649</v>
      </c>
      <c r="L86" s="68" t="n">
        <f aca="false">IF(AND(ISNUMBER(L59)),L81*1000000*L59/3600/L64,"SLO 不可達")</f>
        <v>4540.25894459413</v>
      </c>
      <c r="M86" s="68" t="n">
        <f aca="false">IF(AND(ISNUMBER(M59)),M81*1000000*M59/3600/M64,"SLO 不可達")</f>
        <v>16265.3626052943</v>
      </c>
      <c r="N86" s="68" t="n">
        <f aca="false">IF(AND(ISNUMBER(N59)),N81*1000000*N59/3600/N64,"SLO 不可達")</f>
        <v>69339.0610047075</v>
      </c>
      <c r="O86" s="68" t="n">
        <f aca="false">IF(AND(ISNUMBER(O59)),O81*1000000*O59/3600/O64,"SLO 不可達")</f>
        <v>1699.40693850807</v>
      </c>
      <c r="P86" s="68" t="n">
        <f aca="false">IF(AND(ISNUMBER(P59)),P81*1000000*P59/3600/P64,"SLO 不可達")</f>
        <v>6040.43704331619</v>
      </c>
      <c r="Q86" s="68" t="n">
        <f aca="false">IF(AND(ISNUMBER(Q59)),Q81*1000000*Q59/3600/Q64,"SLO 不可達")</f>
        <v>25332.0093329429</v>
      </c>
    </row>
    <row r="87" customFormat="false" ht="15" hidden="false" customHeight="false" outlineLevel="0" collapsed="false">
      <c r="A87" s="61" t="s">
        <v>1225</v>
      </c>
      <c r="B87" s="62" t="s">
        <v>1180</v>
      </c>
      <c r="C87" s="68" t="n">
        <f aca="false">C83*1000000*C84/3600</f>
        <v>9073.68125418717</v>
      </c>
      <c r="D87" s="68" t="n">
        <f aca="false">D83*1000000*D84/3600</f>
        <v>36941.037677061</v>
      </c>
      <c r="E87" s="68" t="n">
        <f aca="false">E83*1000000*E84/3600</f>
        <v>112421.446579036</v>
      </c>
      <c r="F87" s="68" t="n">
        <f aca="false">F83*1000000*F84/3600</f>
        <v>897.387076039111</v>
      </c>
      <c r="G87" s="68" t="n">
        <f aca="false">G83*1000000*G84/3600</f>
        <v>3653.46862626133</v>
      </c>
      <c r="H87" s="68" t="n">
        <f aca="false">H83*1000000*H84/3600</f>
        <v>11118.4810666667</v>
      </c>
      <c r="I87" s="68" t="n">
        <f aca="false">I83*1000000*I84/3600</f>
        <v>598.258050692741</v>
      </c>
      <c r="J87" s="68" t="n">
        <f aca="false">J83*1000000*J84/3600</f>
        <v>2435.64575084089</v>
      </c>
      <c r="K87" s="68" t="n">
        <f aca="false">K83*1000000*K84/3600</f>
        <v>7412.32071111111</v>
      </c>
      <c r="L87" s="68" t="n">
        <f aca="false">L83*1000000*L84/3600</f>
        <v>256.396307439746</v>
      </c>
      <c r="M87" s="68" t="n">
        <f aca="false">M83*1000000*M84/3600</f>
        <v>1043.84817893181</v>
      </c>
      <c r="N87" s="68" t="n">
        <f aca="false">N83*1000000*N84/3600</f>
        <v>3176.70887619048</v>
      </c>
      <c r="O87" s="68" t="n">
        <f aca="false">O83*1000000*O84/3600</f>
        <v>128.198153719873</v>
      </c>
      <c r="P87" s="68" t="n">
        <f aca="false">P83*1000000*P84/3600</f>
        <v>521.924089465905</v>
      </c>
      <c r="Q87" s="68" t="n">
        <f aca="false">Q83*1000000*Q84/3600</f>
        <v>1588.35443809524</v>
      </c>
    </row>
    <row r="88" customFormat="false" ht="15" hidden="false" customHeight="false" outlineLevel="0" collapsed="false">
      <c r="A88" s="61" t="s">
        <v>1226</v>
      </c>
      <c r="B88" s="62" t="s">
        <v>330</v>
      </c>
      <c r="C88" s="144" t="n">
        <f aca="false">C69*1000000000*C83*1000000000000</f>
        <v>3.48058711793664E+022</v>
      </c>
      <c r="D88" s="144" t="n">
        <f aca="false">D69*1000000000*D83*1000000000000</f>
        <v>1.197466186752E+023</v>
      </c>
      <c r="E88" s="144" t="n">
        <f aca="false">E69*1000000000*E83*1000000000000</f>
        <v>4.3271635968E+023</v>
      </c>
      <c r="F88" s="144" t="n">
        <f aca="false">F69*1000000000*F83*1000000000000</f>
        <v>3.48058711793664E+022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3.48058711793664E+022</v>
      </c>
      <c r="J88" s="144" t="n">
        <f aca="false">J69*1000000000*J83*1000000000000</f>
        <v>1.197466186752E+023</v>
      </c>
      <c r="K88" s="144" t="n">
        <f aca="false">K69*1000000000*K83*1000000000000</f>
        <v>4.3271635968E+023</v>
      </c>
      <c r="L88" s="144" t="n">
        <f aca="false">L69*1000000000*L83*1000000000000</f>
        <v>3.48058711793664E+022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3.48058711793664E+022</v>
      </c>
      <c r="P88" s="144" t="n">
        <f aca="false">P69*1000000000*P83*1000000000000</f>
        <v>1.197466186752E+023</v>
      </c>
      <c r="Q88" s="144" t="n">
        <f aca="false">Q69*1000000000*Q83*1000000000000</f>
        <v>4.3271635968E+023</v>
      </c>
    </row>
    <row r="89" customFormat="false" ht="15" hidden="false" customHeight="false" outlineLevel="0" collapsed="false">
      <c r="A89" s="61" t="s">
        <v>1227</v>
      </c>
      <c r="B89" s="62" t="s">
        <v>1180</v>
      </c>
      <c r="C89" s="68" t="n">
        <f aca="false">C88/(C12*1000000000000000*C16*C71*C17)/3600</f>
        <v>36188.4885738177</v>
      </c>
      <c r="D89" s="68" t="n">
        <f aca="false">D88/(D12*1000000000000000*D16*D71*D17)/3600</f>
        <v>124503.395399847</v>
      </c>
      <c r="E89" s="68" t="n">
        <f aca="false">E88/(E12*1000000000000000*E16*E71*E17)/3600</f>
        <v>449905.447195553</v>
      </c>
      <c r="F89" s="68" t="n">
        <f aca="false">F88/(F12*1000000000000000*F16*F71*F17)/3600</f>
        <v>14323.403777517</v>
      </c>
      <c r="G89" s="68" t="n">
        <f aca="false">G88/(G12*1000000000000000*G16*G71*G17)/3600</f>
        <v>49278.4438992593</v>
      </c>
      <c r="H89" s="68" t="n">
        <f aca="false">H88/(H12*1000000000000000*H16*H71*H17)/3600</f>
        <v>178072.576</v>
      </c>
      <c r="I89" s="68" t="n">
        <f aca="false">I88/(I12*1000000000000000*I16*I71*I17)/3600</f>
        <v>14323.403777517</v>
      </c>
      <c r="J89" s="68" t="n">
        <f aca="false">J88/(J12*1000000000000000*J16*J71*J17)/3600</f>
        <v>49278.4438992593</v>
      </c>
      <c r="K89" s="68" t="n">
        <f aca="false">K88/(K12*1000000000000000*K16*K71*K17)/3600</f>
        <v>178072.576</v>
      </c>
      <c r="L89" s="68" t="n">
        <f aca="false">L88/(L12*1000000000000000*L16*L71*L17)/3600</f>
        <v>4547.11231032287</v>
      </c>
      <c r="M89" s="68" t="n">
        <f aca="false">M88/(M12*1000000000000000*M16*M71*M17)/3600</f>
        <v>15643.9504442093</v>
      </c>
      <c r="N89" s="68" t="n">
        <f aca="false">N88/(N12*1000000000000000*N16*N71*N17)/3600</f>
        <v>56530.9765079365</v>
      </c>
      <c r="O89" s="68" t="n">
        <f aca="false">O88/(O12*1000000000000000*O16*O71*O17)/3600</f>
        <v>2273.55615516143</v>
      </c>
      <c r="P89" s="68" t="n">
        <f aca="false">P88/(P12*1000000000000000*P16*P71*P17)/3600</f>
        <v>7821.97522210464</v>
      </c>
      <c r="Q89" s="68" t="n">
        <f aca="false">Q88/(Q12*1000000000000000*Q16*Q71*Q17)/3600</f>
        <v>28265.4882539683</v>
      </c>
    </row>
    <row r="90" customFormat="false" ht="15" hidden="false" customHeight="false" outlineLevel="0" collapsed="false">
      <c r="A90" s="61" t="s">
        <v>1228</v>
      </c>
      <c r="B90" s="62" t="s">
        <v>1180</v>
      </c>
      <c r="C90" s="68" t="n">
        <f aca="false">IF(AND(ISNUMBER(C86)),C86+C87+C89,"SLO 不可達")</f>
        <v>98190.5420188534</v>
      </c>
      <c r="D90" s="68" t="n">
        <f aca="false">IF(AND(ISNUMBER(D86)),D86+D87+D89,"SLO 不可達")</f>
        <v>365083.756053767</v>
      </c>
      <c r="E90" s="68" t="n">
        <f aca="false">IF(AND(ISNUMBER(E86)),E86+E87+E89,"SLO 不可達")</f>
        <v>1458214.155158</v>
      </c>
      <c r="F90" s="68" t="n">
        <f aca="false">IF(AND(ISNUMBER(F86)),F86+F87+F89,"SLO 不可達")</f>
        <v>27221.8330430963</v>
      </c>
      <c r="G90" s="68" t="n">
        <f aca="false">IF(AND(ISNUMBER(G86)),G86+G87+G89,"SLO 不可達")</f>
        <v>97107.5349400122</v>
      </c>
      <c r="H90" s="68" t="n">
        <f aca="false">IF(AND(ISNUMBER(H86)),H86+H87+H89,"SLO 不可達")</f>
        <v>381982.593178939</v>
      </c>
      <c r="I90" s="68" t="n">
        <f aca="false">IF(AND(ISNUMBER(I86)),I86+I87+I89,"SLO 不可達")</f>
        <v>22922.3566212365</v>
      </c>
      <c r="J90" s="68" t="n">
        <f aca="false">IF(AND(ISNUMBER(J86)),J86+J87+J89,"SLO 不可達")</f>
        <v>81164.5045930946</v>
      </c>
      <c r="K90" s="68" t="n">
        <f aca="false">IF(AND(ISNUMBER(K86)),K86+K87+K89,"SLO 不可達")</f>
        <v>318841.11432376</v>
      </c>
      <c r="L90" s="68" t="n">
        <f aca="false">IF(AND(ISNUMBER(L86)),L86+L87+L89,"SLO 不可達")</f>
        <v>9343.76756235674</v>
      </c>
      <c r="M90" s="68" t="n">
        <f aca="false">IF(AND(ISNUMBER(M86)),M86+M87+M89,"SLO 不可達")</f>
        <v>32953.1612284354</v>
      </c>
      <c r="N90" s="68" t="n">
        <f aca="false">IF(AND(ISNUMBER(N86)),N86+N87+N89,"SLO 不可達")</f>
        <v>129046.746388834</v>
      </c>
      <c r="O90" s="68" t="n">
        <f aca="false">IF(AND(ISNUMBER(O86)),O86+O87+O89,"SLO 不可達")</f>
        <v>4101.16124738937</v>
      </c>
      <c r="P90" s="68" t="n">
        <f aca="false">IF(AND(ISNUMBER(P86)),P86+P87+P89,"SLO 不可達")</f>
        <v>14384.3363548867</v>
      </c>
      <c r="Q90" s="68" t="n">
        <f aca="false">IF(AND(ISNUMBER(Q86)),Q86+Q87+Q89,"SLO 不可達")</f>
        <v>55185.8520250064</v>
      </c>
    </row>
    <row r="91" customFormat="false" ht="15" hidden="false" customHeight="false" outlineLevel="0" collapsed="false">
      <c r="A91" s="61" t="s">
        <v>1229</v>
      </c>
      <c r="B91" s="62" t="s">
        <v>330</v>
      </c>
      <c r="C91" s="144" t="n">
        <f aca="false">C81*1000000000000*C61*1000000000+C83*1000000000000*C85*1000000000+C88</f>
        <v>5.22410909679616E+022</v>
      </c>
      <c r="D91" s="144" t="n">
        <f aca="false">D81*1000000000000*D61*1000000000+D83*1000000000000*D85*1000000000+D88</f>
        <v>1.85866428781363E+023</v>
      </c>
      <c r="E91" s="144" t="n">
        <f aca="false">E81*1000000000000*E61*1000000000+E83*1000000000000*E85*1000000000+E88</f>
        <v>6.5700820992E+023</v>
      </c>
      <c r="F91" s="144" t="n">
        <f aca="false">F81*1000000000000*F61*1000000000+F83*1000000000000*F85*1000000000+F88</f>
        <v>5.22410909679616E+022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5.22410909679616E+022</v>
      </c>
      <c r="J91" s="144" t="n">
        <f aca="false">J81*1000000000000*J61*1000000000+J83*1000000000000*J85*1000000000+J88</f>
        <v>1.85866428781363E+023</v>
      </c>
      <c r="K91" s="144" t="n">
        <f aca="false">K81*1000000000000*K61*1000000000+K83*1000000000000*K85*1000000000+K88</f>
        <v>6.5700820992E+023</v>
      </c>
      <c r="L91" s="144" t="n">
        <f aca="false">L81*1000000000000*L61*1000000000+L83*1000000000000*L85*1000000000+L88</f>
        <v>5.22410909679616E+022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5.22410909679616E+022</v>
      </c>
      <c r="P91" s="144" t="n">
        <f aca="false">P81*1000000000000*P61*1000000000+P83*1000000000000*P85*1000000000+P88</f>
        <v>1.85866428781363E+023</v>
      </c>
      <c r="Q91" s="144" t="n">
        <f aca="false">Q81*1000000000000*Q61*1000000000+Q83*1000000000000*Q85*1000000000+Q88</f>
        <v>6.5700820992E+023</v>
      </c>
    </row>
    <row r="92" customFormat="false" ht="15" hidden="false" customHeight="false" outlineLevel="0" collapsed="false">
      <c r="A92" s="76" t="s">
        <v>1230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</row>
    <row r="93" customFormat="false" ht="15" hidden="false" customHeight="false" outlineLevel="0" collapsed="false">
      <c r="A93" s="61" t="s">
        <v>1231</v>
      </c>
      <c r="B93" s="62" t="s">
        <v>1103</v>
      </c>
      <c r="C93" s="98" t="n">
        <f aca="false">INDEX(Train_In!$C$37:$E$37,C$7)</f>
        <v>1</v>
      </c>
      <c r="D93" s="98" t="n">
        <f aca="false">INDEX(Train_In!$C$37:$E$37,D$7)</f>
        <v>2</v>
      </c>
      <c r="E93" s="98" t="n">
        <f aca="false">INDEX(Train_In!$C$37:$E$37,E$7)</f>
        <v>3</v>
      </c>
      <c r="F93" s="98" t="n">
        <f aca="false">INDEX(Train_In!$C$37:$E$37,F$7)</f>
        <v>1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1</v>
      </c>
      <c r="J93" s="98" t="n">
        <f aca="false">INDEX(Train_In!$C$37:$E$37,J$7)</f>
        <v>2</v>
      </c>
      <c r="K93" s="98" t="n">
        <f aca="false">INDEX(Train_In!$C$37:$E$37,K$7)</f>
        <v>3</v>
      </c>
      <c r="L93" s="98" t="n">
        <f aca="false">INDEX(Train_In!$C$37:$E$37,L$7)</f>
        <v>1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1</v>
      </c>
      <c r="P93" s="98" t="n">
        <f aca="false">INDEX(Train_In!$C$37:$E$37,P$7)</f>
        <v>2</v>
      </c>
      <c r="Q93" s="98" t="n">
        <f aca="false">INDEX(Train_In!$C$37:$E$37,Q$7)</f>
        <v>3</v>
      </c>
    </row>
    <row r="94" customFormat="false" ht="15" hidden="false" customHeight="false" outlineLevel="0" collapsed="false">
      <c r="A94" s="61" t="s">
        <v>1232</v>
      </c>
      <c r="B94" s="61"/>
      <c r="C94" s="89" t="n">
        <f aca="false">Train_In!$C$15</f>
        <v>3</v>
      </c>
      <c r="D94" s="89" t="n">
        <f aca="false">Train_In!$C$15</f>
        <v>3</v>
      </c>
      <c r="E94" s="89" t="n">
        <f aca="false">Train_In!$C$15</f>
        <v>3</v>
      </c>
      <c r="F94" s="89" t="n">
        <f aca="false">Train_In!$C$15</f>
        <v>3</v>
      </c>
      <c r="G94" s="89" t="n">
        <f aca="false">Train_In!$C$15</f>
        <v>3</v>
      </c>
      <c r="H94" s="89" t="n">
        <f aca="false">Train_In!$C$15</f>
        <v>3</v>
      </c>
      <c r="I94" s="89" t="n">
        <f aca="false">Train_In!$C$15</f>
        <v>3</v>
      </c>
      <c r="J94" s="89" t="n">
        <f aca="false">Train_In!$C$15</f>
        <v>3</v>
      </c>
      <c r="K94" s="89" t="n">
        <f aca="false">Train_In!$C$15</f>
        <v>3</v>
      </c>
      <c r="L94" s="89" t="n">
        <f aca="false">Train_In!$C$15</f>
        <v>3</v>
      </c>
      <c r="M94" s="89" t="n">
        <f aca="false">Train_In!$C$15</f>
        <v>3</v>
      </c>
      <c r="N94" s="89" t="n">
        <f aca="false">Train_In!$C$15</f>
        <v>3</v>
      </c>
      <c r="O94" s="89" t="n">
        <f aca="false">Train_In!$C$15</f>
        <v>3</v>
      </c>
      <c r="P94" s="89" t="n">
        <f aca="false">Train_In!$C$15</f>
        <v>3</v>
      </c>
      <c r="Q94" s="89" t="n">
        <f aca="false">Train_In!$C$15</f>
        <v>3</v>
      </c>
    </row>
    <row r="95" customFormat="false" ht="15" hidden="false" customHeight="false" outlineLevel="0" collapsed="false">
      <c r="A95" s="61" t="s">
        <v>1233</v>
      </c>
      <c r="B95" s="62" t="s">
        <v>935</v>
      </c>
      <c r="C95" s="98" t="n">
        <f aca="false">INDEX(Perf_Batch!$C$103:$Q$103,3*(C$6-1)+C94)</f>
        <v>13707.0750991662</v>
      </c>
      <c r="D95" s="98" t="n">
        <f aca="false">INDEX(Perf_Batch!$C$103:$Q$103,3*(D$6-1)+D94)</f>
        <v>13707.0750991662</v>
      </c>
      <c r="E95" s="98" t="n">
        <f aca="false">INDEX(Perf_Batch!$C$103:$Q$103,3*(E$6-1)+E94)</f>
        <v>13707.0750991662</v>
      </c>
      <c r="F95" s="98" t="n">
        <f aca="false">INDEX(Perf_Batch!$C$103:$Q$103,3*(F$6-1)+F94)</f>
        <v>2949.71050251776</v>
      </c>
      <c r="G95" s="98" t="n">
        <f aca="false">INDEX(Perf_Batch!$C$103:$Q$103,3*(G$6-1)+G94)</f>
        <v>2949.71050251776</v>
      </c>
      <c r="H95" s="98" t="n">
        <f aca="false">INDEX(Perf_Batch!$C$103:$Q$103,3*(H$6-1)+H94)</f>
        <v>2949.71050251776</v>
      </c>
      <c r="I95" s="98" t="n">
        <f aca="false">INDEX(Perf_Batch!$C$103:$Q$103,3*(I$6-1)+I94)</f>
        <v>2040.35012947353</v>
      </c>
      <c r="J95" s="98" t="n">
        <f aca="false">INDEX(Perf_Batch!$C$103:$Q$103,3*(J$6-1)+J94)</f>
        <v>2040.35012947353</v>
      </c>
      <c r="K95" s="98" t="n">
        <f aca="false">INDEX(Perf_Batch!$C$103:$Q$103,3*(K$6-1)+K94)</f>
        <v>2040.35012947353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387.579742794027</v>
      </c>
      <c r="P95" s="98" t="n">
        <f aca="false">INDEX(Perf_Batch!$C$103:$Q$103,3*(P$6-1)+P94)</f>
        <v>387.579742794027</v>
      </c>
      <c r="Q95" s="98" t="n">
        <f aca="false">INDEX(Perf_Batch!$C$103:$Q$103,3*(Q$6-1)+Q94)</f>
        <v>387.579742794027</v>
      </c>
    </row>
    <row r="96" customFormat="false" ht="15" hidden="false" customHeight="false" outlineLevel="0" collapsed="false">
      <c r="A96" s="61" t="s">
        <v>1234</v>
      </c>
      <c r="B96" s="62" t="s">
        <v>539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</row>
    <row r="97" customFormat="false" ht="15" hidden="false" customHeight="false" outlineLevel="0" collapsed="false">
      <c r="A97" s="61" t="s">
        <v>1235</v>
      </c>
      <c r="B97" s="62" t="s">
        <v>1180</v>
      </c>
      <c r="C97" s="68" t="n">
        <f aca="false">IF(AND(ISNUMBER(C95)),C93*1000000*C95/3600,"SLO 不可達")</f>
        <v>3807520.8608795</v>
      </c>
      <c r="D97" s="68" t="n">
        <f aca="false">IF(AND(ISNUMBER(D95)),D93*1000000*D95/3600,"SLO 不可達")</f>
        <v>7615041.72175899</v>
      </c>
      <c r="E97" s="68" t="n">
        <f aca="false">IF(AND(ISNUMBER(E95)),E93*1000000*E95/3600,"SLO 不可達")</f>
        <v>11422562.5826385</v>
      </c>
      <c r="F97" s="68" t="n">
        <f aca="false">IF(AND(ISNUMBER(F95)),F93*1000000*F95/3600,"SLO 不可達")</f>
        <v>819364.028477156</v>
      </c>
      <c r="G97" s="68" t="n">
        <f aca="false">IF(AND(ISNUMBER(G95)),G93*1000000*G95/3600,"SLO 不可達")</f>
        <v>1638728.05695431</v>
      </c>
      <c r="H97" s="68" t="n">
        <f aca="false">IF(AND(ISNUMBER(H95)),H93*1000000*H95/3600,"SLO 不可達")</f>
        <v>2458092.08543147</v>
      </c>
      <c r="I97" s="68" t="n">
        <f aca="false">IF(AND(ISNUMBER(I95)),I93*1000000*I95/3600,"SLO 不可達")</f>
        <v>566763.924853758</v>
      </c>
      <c r="J97" s="68" t="n">
        <f aca="false">IF(AND(ISNUMBER(J95)),J93*1000000*J95/3600,"SLO 不可達")</f>
        <v>1133527.84970752</v>
      </c>
      <c r="K97" s="68" t="n">
        <f aca="false">IF(AND(ISNUMBER(K95)),K93*1000000*K95/3600,"SLO 不可達")</f>
        <v>1700291.77456127</v>
      </c>
      <c r="L97" s="68" t="n">
        <f aca="false">IF(AND(ISNUMBER(L95)),L93*1000000*L95/3600,"SLO 不可達")</f>
        <v>294691.009270007</v>
      </c>
      <c r="M97" s="68" t="n">
        <f aca="false">IF(AND(ISNUMBER(M95)),M93*1000000*M95/3600,"SLO 不可達")</f>
        <v>589382.018540014</v>
      </c>
      <c r="N97" s="68" t="n">
        <f aca="false">IF(AND(ISNUMBER(N95)),N93*1000000*N95/3600,"SLO 不可達")</f>
        <v>884073.027810021</v>
      </c>
      <c r="O97" s="68" t="n">
        <f aca="false">IF(AND(ISNUMBER(O95)),O93*1000000*O95/3600,"SLO 不可達")</f>
        <v>107661.039665007</v>
      </c>
      <c r="P97" s="68" t="n">
        <f aca="false">IF(AND(ISNUMBER(P95)),P93*1000000*P95/3600,"SLO 不可達")</f>
        <v>215322.079330015</v>
      </c>
      <c r="Q97" s="68" t="n">
        <f aca="false">IF(AND(ISNUMBER(Q95)),Q93*1000000*Q95/3600,"SLO 不可達")</f>
        <v>322983.118995022</v>
      </c>
    </row>
    <row r="98" customFormat="false" ht="15" hidden="false" customHeight="false" outlineLevel="0" collapsed="false">
      <c r="A98" s="61" t="s">
        <v>1236</v>
      </c>
      <c r="B98" s="62" t="s">
        <v>330</v>
      </c>
      <c r="C98" s="144" t="n">
        <f aca="false">C93*1000000000000*C96*1000000000</f>
        <v>5.210612736E+023</v>
      </c>
      <c r="D98" s="144" t="n">
        <f aca="false">D93*1000000000000*D96*1000000000</f>
        <v>1.0421225472E+024</v>
      </c>
      <c r="E98" s="144" t="n">
        <f aca="false">E93*1000000000000*E96*1000000000</f>
        <v>1.5631838208E+024</v>
      </c>
      <c r="F98" s="144" t="n">
        <f aca="false">F93*1000000000000*F96*1000000000</f>
        <v>5.210612736E+023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5.210612736E+023</v>
      </c>
      <c r="J98" s="144" t="n">
        <f aca="false">J93*1000000000000*J96*1000000000</f>
        <v>1.0421225472E+024</v>
      </c>
      <c r="K98" s="144" t="n">
        <f aca="false">K93*1000000000000*K96*1000000000</f>
        <v>1.5631838208E+024</v>
      </c>
      <c r="L98" s="144" t="n">
        <f aca="false">L93*1000000000000*L96*1000000000</f>
        <v>5.210612736E+023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5.210612736E+023</v>
      </c>
      <c r="P98" s="144" t="n">
        <f aca="false">P93*1000000000000*P96*1000000000</f>
        <v>1.0421225472E+024</v>
      </c>
      <c r="Q98" s="144" t="n">
        <f aca="false">Q93*1000000000000*Q96*1000000000</f>
        <v>1.5631838208E+024</v>
      </c>
    </row>
    <row r="99" customFormat="false" ht="15" hidden="false" customHeight="false" outlineLevel="0" collapsed="false">
      <c r="A99" s="61" t="s">
        <v>1126</v>
      </c>
      <c r="B99" s="62" t="s">
        <v>1103</v>
      </c>
      <c r="C99" s="95" t="n">
        <f aca="false">INDEX(Train_In!$C$38:$E$38,C$7)</f>
        <v>0.02</v>
      </c>
      <c r="D99" s="95" t="n">
        <f aca="false">INDEX(Train_In!$C$38:$E$38,D$7)</f>
        <v>0.05</v>
      </c>
      <c r="E99" s="95" t="n">
        <f aca="false">INDEX(Train_In!$C$38:$E$38,E$7)</f>
        <v>0.1</v>
      </c>
      <c r="F99" s="95" t="n">
        <f aca="false">INDEX(Train_In!$C$38:$E$38,F$7)</f>
        <v>0.02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0.02</v>
      </c>
      <c r="J99" s="95" t="n">
        <f aca="false">INDEX(Train_In!$C$38:$E$38,J$7)</f>
        <v>0.05</v>
      </c>
      <c r="K99" s="95" t="n">
        <f aca="false">INDEX(Train_In!$C$38:$E$38,K$7)</f>
        <v>0.1</v>
      </c>
      <c r="L99" s="95" t="n">
        <f aca="false">INDEX(Train_In!$C$38:$E$38,L$7)</f>
        <v>0.02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0.02</v>
      </c>
      <c r="P99" s="95" t="n">
        <f aca="false">INDEX(Train_In!$C$38:$E$38,P$7)</f>
        <v>0.05</v>
      </c>
      <c r="Q99" s="95" t="n">
        <f aca="false">INDEX(Train_In!$C$38:$E$38,Q$7)</f>
        <v>0.1</v>
      </c>
    </row>
    <row r="100" customFormat="false" ht="15" hidden="false" customHeight="false" outlineLevel="0" collapsed="false">
      <c r="A100" s="61" t="s">
        <v>1237</v>
      </c>
      <c r="B100" s="62" t="s">
        <v>1180</v>
      </c>
      <c r="C100" s="68" t="n">
        <f aca="false">IF(AND(ISNUMBER(C59)),C99*1000000*C59/3600,"SLO 不可達")</f>
        <v>4498.91163622213</v>
      </c>
      <c r="D100" s="68" t="n">
        <f aca="false">IF(AND(ISNUMBER(D59)),D99*1000000*D59/3600,"SLO 不可達")</f>
        <v>43273.3561325827</v>
      </c>
      <c r="E100" s="68" t="n">
        <f aca="false">IF(AND(ISNUMBER(E59)),E99*1000000*E59/3600,"SLO 不可達")</f>
        <v>380752.08608795</v>
      </c>
      <c r="F100" s="68" t="n">
        <f aca="false">IF(AND(ISNUMBER(F59)),F99*1000000*F59/3600,"SLO 不可達")</f>
        <v>1020.08858611091</v>
      </c>
      <c r="G100" s="68" t="n">
        <f aca="false">IF(AND(ISNUMBER(G59)),G99*1000000*G59/3600,"SLO 不可達")</f>
        <v>9387.31976307948</v>
      </c>
      <c r="H100" s="68" t="n">
        <f aca="false">IF(AND(ISNUMBER(H59)),H99*1000000*H59/3600,"SLO 不可達")</f>
        <v>81936.4028477156</v>
      </c>
      <c r="I100" s="68" t="n">
        <f aca="false">IF(AND(ISNUMBER(I59)),I99*1000000*I59/3600,"SLO 不可達")</f>
        <v>680.059057407274</v>
      </c>
      <c r="J100" s="68" t="n">
        <f aca="false">IF(AND(ISNUMBER(J59)),J99*1000000*J59/3600,"SLO 不可達")</f>
        <v>6258.21317538632</v>
      </c>
      <c r="K100" s="68" t="n">
        <f aca="false">IF(AND(ISNUMBER(K59)),K99*1000000*K59/3600,"SLO 不可達")</f>
        <v>56676.3924853758</v>
      </c>
      <c r="L100" s="68" t="n">
        <f aca="false">IF(AND(ISNUMBER(L59)),L99*1000000*L59/3600,"SLO 不可達")</f>
        <v>385.922010290501</v>
      </c>
      <c r="M100" s="68" t="n">
        <f aca="false">IF(AND(ISNUMBER(M59)),M99*1000000*M59/3600,"SLO 不可達")</f>
        <v>3456.38955362504</v>
      </c>
      <c r="N100" s="68" t="n">
        <f aca="false">IF(AND(ISNUMBER(N59)),N99*1000000*N59/3600,"SLO 不可達")</f>
        <v>29469.1009270007</v>
      </c>
      <c r="O100" s="68" t="n">
        <f aca="false">IF(AND(ISNUMBER(O59)),O99*1000000*O59/3600,"SLO 不可達")</f>
        <v>144.449589773186</v>
      </c>
      <c r="P100" s="68" t="n">
        <f aca="false">IF(AND(ISNUMBER(P59)),P99*1000000*P59/3600,"SLO 不可達")</f>
        <v>1283.59287170469</v>
      </c>
      <c r="Q100" s="68" t="n">
        <f aca="false">IF(AND(ISNUMBER(Q59)),Q99*1000000*Q59/3600,"SLO 不可達")</f>
        <v>10766.1039665007</v>
      </c>
    </row>
    <row r="101" customFormat="false" ht="15" hidden="false" customHeight="false" outlineLevel="0" collapsed="false">
      <c r="A101" s="61" t="s">
        <v>1238</v>
      </c>
      <c r="B101" s="62" t="s">
        <v>330</v>
      </c>
      <c r="C101" s="144" t="n">
        <f aca="false">C99*1000000000000*C61*1000000000</f>
        <v>7.7434393673728E+020</v>
      </c>
      <c r="D101" s="144" t="n">
        <f aca="false">D99*1000000000000*D61*1000000000</f>
        <v>6.6655872356352E+021</v>
      </c>
      <c r="E101" s="144" t="n">
        <f aca="false">E99*1000000000000*E61*1000000000</f>
        <v>5.210612736E+022</v>
      </c>
      <c r="F101" s="144" t="n">
        <f aca="false">F99*1000000000000*F61*1000000000</f>
        <v>7.7434393673728E+020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7.7434393673728E+020</v>
      </c>
      <c r="J101" s="144" t="n">
        <f aca="false">J99*1000000000000*J61*1000000000</f>
        <v>6.6655872356352E+021</v>
      </c>
      <c r="K101" s="144" t="n">
        <f aca="false">K99*1000000000000*K61*1000000000</f>
        <v>5.210612736E+022</v>
      </c>
      <c r="L101" s="144" t="n">
        <f aca="false">L99*1000000000000*L61*1000000000</f>
        <v>7.7434393673728E+020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7.7434393673728E+020</v>
      </c>
      <c r="P101" s="144" t="n">
        <f aca="false">P99*1000000000000*P61*1000000000</f>
        <v>6.6655872356352E+021</v>
      </c>
      <c r="Q101" s="144" t="n">
        <f aca="false">Q99*1000000000000*Q61*1000000000</f>
        <v>5.210612736E+022</v>
      </c>
    </row>
    <row r="102" customFormat="false" ht="15" hidden="false" customHeight="false" outlineLevel="0" collapsed="false">
      <c r="A102" s="76" t="s">
        <v>1239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</row>
    <row r="103" customFormat="false" ht="15" hidden="false" customHeight="false" outlineLevel="0" collapsed="false">
      <c r="A103" s="61" t="s">
        <v>1240</v>
      </c>
      <c r="B103" s="62" t="s">
        <v>1180</v>
      </c>
      <c r="C103" s="68" t="n">
        <f aca="false">C36+C43</f>
        <v>2323127.22501969</v>
      </c>
      <c r="D103" s="68" t="n">
        <f aca="false">D36+D43</f>
        <v>8330343.13024751</v>
      </c>
      <c r="E103" s="68" t="n">
        <f aca="false">E36+E43</f>
        <v>45238344.5556117</v>
      </c>
      <c r="F103" s="68" t="n">
        <f aca="false">F36+F43</f>
        <v>919493.755662791</v>
      </c>
      <c r="G103" s="68" t="n">
        <f aca="false">G36+G43</f>
        <v>3297149.81095196</v>
      </c>
      <c r="H103" s="68" t="n">
        <f aca="false">H36+H43</f>
        <v>17905336.7751111</v>
      </c>
      <c r="I103" s="68" t="n">
        <f aca="false">I36+I43</f>
        <v>919493.755662791</v>
      </c>
      <c r="J103" s="68" t="n">
        <f aca="false">J36+J43</f>
        <v>3297149.81095196</v>
      </c>
      <c r="K103" s="68" t="n">
        <f aca="false">K36+K43</f>
        <v>17905336.7751111</v>
      </c>
      <c r="L103" s="68" t="n">
        <f aca="false">L36+L43</f>
        <v>291902.779575489</v>
      </c>
      <c r="M103" s="68" t="n">
        <f aca="false">M36+M43</f>
        <v>1046714.22569904</v>
      </c>
      <c r="N103" s="68" t="n">
        <f aca="false">N36+N43</f>
        <v>5684233.89686067</v>
      </c>
      <c r="O103" s="68" t="n">
        <f aca="false">O36+O43</f>
        <v>145951.389787745</v>
      </c>
      <c r="P103" s="68" t="n">
        <f aca="false">P36+P43</f>
        <v>523357.112849518</v>
      </c>
      <c r="Q103" s="68" t="n">
        <f aca="false">Q36+Q43</f>
        <v>2842116.94843034</v>
      </c>
    </row>
    <row r="104" customFormat="false" ht="15" hidden="false" customHeight="false" outlineLevel="0" collapsed="false">
      <c r="A104" s="61" t="s">
        <v>1241</v>
      </c>
      <c r="B104" s="62" t="s">
        <v>1180</v>
      </c>
      <c r="C104" s="68" t="n">
        <f aca="false">IF(AND(ISNUMBER(C75),ISNUMBER(C90)),C51+C75+C90,"SLO 不可達")</f>
        <v>1156922.45847323</v>
      </c>
      <c r="D104" s="68" t="n">
        <f aca="false">IF(AND(ISNUMBER(D75),ISNUMBER(D90)),D51+D75+D90,"SLO 不可達")</f>
        <v>4263384.27926433</v>
      </c>
      <c r="E104" s="68" t="n">
        <f aca="false">IF(AND(ISNUMBER(E75),ISNUMBER(E90)),E51+E75+E90,"SLO 不可達")</f>
        <v>66282161.8918188</v>
      </c>
      <c r="F104" s="68" t="n">
        <f aca="false">IF(AND(ISNUMBER(F75),ISNUMBER(F90)),F51+F75+F90,"SLO 不可達")</f>
        <v>339902.296689943</v>
      </c>
      <c r="G104" s="68" t="n">
        <f aca="false">IF(AND(ISNUMBER(G75),ISNUMBER(G90)),G51+G75+G90,"SLO 不可達")</f>
        <v>1207069.92882012</v>
      </c>
      <c r="H104" s="68" t="n">
        <f aca="false">IF(AND(ISNUMBER(H75),ISNUMBER(H90)),H51+H75+H90,"SLO 不可達")</f>
        <v>18233602.1440843</v>
      </c>
      <c r="I104" s="68" t="n">
        <f aca="false">IF(AND(ISNUMBER(I75),ISNUMBER(I90)),I51+I75+I90,"SLO 不可達")</f>
        <v>288312.208182875</v>
      </c>
      <c r="J104" s="68" t="n">
        <f aca="false">IF(AND(ISNUMBER(J75),ISNUMBER(J90)),J51+J75+J90,"SLO 不可達")</f>
        <v>1017017.23683086</v>
      </c>
      <c r="K104" s="68" t="n">
        <f aca="false">IF(AND(ISNUMBER(K75),ISNUMBER(K90)),K51+K75+K90,"SLO 不可達")</f>
        <v>15313205.1885937</v>
      </c>
      <c r="L104" s="68" t="n">
        <f aca="false">IF(AND(ISNUMBER(L75),ISNUMBER(L90)),L51+L75+L90,"SLO 不可達")</f>
        <v>117217.93801916</v>
      </c>
      <c r="M104" s="68" t="n">
        <f aca="false">IF(AND(ISNUMBER(M75),ISNUMBER(M90)),M51+M75+M90,"SLO 不可達")</f>
        <v>411736.625794877</v>
      </c>
      <c r="N104" s="68" t="n">
        <f aca="false">IF(AND(ISNUMBER(N75),ISNUMBER(N90)),N51+N75+N90,"SLO 不可達")</f>
        <v>6186311.43998631</v>
      </c>
      <c r="O104" s="68" t="n">
        <f aca="false">IF(AND(ISNUMBER(O75),ISNUMBER(O90)),O51+O75+O90,"SLO 不可達")</f>
        <v>51303.720577081</v>
      </c>
      <c r="P104" s="68" t="n">
        <f aca="false">IF(AND(ISNUMBER(P75),ISNUMBER(P90)),P51+P75+P90,"SLO 不可達")</f>
        <v>179087.586378002</v>
      </c>
      <c r="Q104" s="68" t="n">
        <f aca="false">IF(AND(ISNUMBER(Q75),ISNUMBER(Q90)),Q51+Q75+Q90,"SLO 不可達")</f>
        <v>2635617.18269202</v>
      </c>
    </row>
    <row r="105" customFormat="false" ht="15" hidden="false" customHeight="false" outlineLevel="0" collapsed="false">
      <c r="A105" s="61" t="s">
        <v>1242</v>
      </c>
      <c r="B105" s="62" t="s">
        <v>1180</v>
      </c>
      <c r="C105" s="68" t="n">
        <f aca="false">IF(AND(ISNUMBER(C97),ISNUMBER(C100)),C97+C100,"SLO 不可達")</f>
        <v>3812019.77251572</v>
      </c>
      <c r="D105" s="68" t="n">
        <f aca="false">IF(AND(ISNUMBER(D97),ISNUMBER(D100)),D97+D100,"SLO 不可達")</f>
        <v>7658315.07789158</v>
      </c>
      <c r="E105" s="68" t="n">
        <f aca="false">IF(AND(ISNUMBER(E97),ISNUMBER(E100)),E97+E100,"SLO 不可達")</f>
        <v>11803314.6687264</v>
      </c>
      <c r="F105" s="68" t="n">
        <f aca="false">IF(AND(ISNUMBER(F97),ISNUMBER(F100)),F97+F100,"SLO 不可達")</f>
        <v>820384.117063266</v>
      </c>
      <c r="G105" s="68" t="n">
        <f aca="false">IF(AND(ISNUMBER(G97),ISNUMBER(G100)),G97+G100,"SLO 不可達")</f>
        <v>1648115.37671739</v>
      </c>
      <c r="H105" s="68" t="n">
        <f aca="false">IF(AND(ISNUMBER(H97),ISNUMBER(H100)),H97+H100,"SLO 不可達")</f>
        <v>2540028.48827918</v>
      </c>
      <c r="I105" s="68" t="n">
        <f aca="false">IF(AND(ISNUMBER(I97),ISNUMBER(I100)),I97+I100,"SLO 不可達")</f>
        <v>567443.983911165</v>
      </c>
      <c r="J105" s="68" t="n">
        <f aca="false">IF(AND(ISNUMBER(J97),ISNUMBER(J100)),J97+J100,"SLO 不可達")</f>
        <v>1139786.0628829</v>
      </c>
      <c r="K105" s="68" t="n">
        <f aca="false">IF(AND(ISNUMBER(K97),ISNUMBER(K100)),K97+K100,"SLO 不可達")</f>
        <v>1756968.16704665</v>
      </c>
      <c r="L105" s="68" t="n">
        <f aca="false">IF(AND(ISNUMBER(L97),ISNUMBER(L100)),L97+L100,"SLO 不可達")</f>
        <v>295076.931280297</v>
      </c>
      <c r="M105" s="68" t="n">
        <f aca="false">IF(AND(ISNUMBER(M97),ISNUMBER(M100)),M97+M100,"SLO 不可達")</f>
        <v>592838.408093639</v>
      </c>
      <c r="N105" s="68" t="n">
        <f aca="false">IF(AND(ISNUMBER(N97),ISNUMBER(N100)),N97+N100,"SLO 不可達")</f>
        <v>913542.128737021</v>
      </c>
      <c r="O105" s="68" t="n">
        <f aca="false">IF(AND(ISNUMBER(O97),ISNUMBER(O100)),O97+O100,"SLO 不可達")</f>
        <v>107805.489254781</v>
      </c>
      <c r="P105" s="68" t="n">
        <f aca="false">IF(AND(ISNUMBER(P97),ISNUMBER(P100)),P97+P100,"SLO 不可達")</f>
        <v>216605.67220172</v>
      </c>
      <c r="Q105" s="68" t="n">
        <f aca="false">IF(AND(ISNUMBER(Q97),ISNUMBER(Q100)),Q97+Q100,"SLO 不可達")</f>
        <v>333749.222961523</v>
      </c>
    </row>
    <row r="106" customFormat="false" ht="15" hidden="false" customHeight="false" outlineLevel="0" collapsed="false">
      <c r="A106" s="61" t="s">
        <v>1243</v>
      </c>
      <c r="B106" s="62" t="s">
        <v>1180</v>
      </c>
      <c r="C106" s="71" t="n">
        <f aca="false">IF(AND(ISNUMBER(C104),ISNUMBER(C105)),C103+C104+C105,"SLO 不可達")</f>
        <v>7292069.45600863</v>
      </c>
      <c r="D106" s="71" t="n">
        <f aca="false">IF(AND(ISNUMBER(D104),ISNUMBER(D105)),D103+D104+D105,"SLO 不可達")</f>
        <v>20252042.4874034</v>
      </c>
      <c r="E106" s="71" t="n">
        <f aca="false">IF(AND(ISNUMBER(E104),ISNUMBER(E105)),E103+E104+E105,"SLO 不可達")</f>
        <v>123323821.116157</v>
      </c>
      <c r="F106" s="71" t="n">
        <f aca="false">IF(AND(ISNUMBER(F104),ISNUMBER(F105)),F103+F104+F105,"SLO 不可達")</f>
        <v>2079780.169416</v>
      </c>
      <c r="G106" s="71" t="n">
        <f aca="false">IF(AND(ISNUMBER(G104),ISNUMBER(G105)),G103+G104+G105,"SLO 不可達")</f>
        <v>6152335.11648947</v>
      </c>
      <c r="H106" s="71" t="n">
        <f aca="false">IF(AND(ISNUMBER(H104),ISNUMBER(H105)),H103+H104+H105,"SLO 不可達")</f>
        <v>38678967.4074746</v>
      </c>
      <c r="I106" s="71" t="n">
        <f aca="false">IF(AND(ISNUMBER(I104),ISNUMBER(I105)),I103+I104+I105,"SLO 不可達")</f>
        <v>1775249.94775683</v>
      </c>
      <c r="J106" s="71" t="n">
        <f aca="false">IF(AND(ISNUMBER(J104),ISNUMBER(J105)),J103+J104+J105,"SLO 不可達")</f>
        <v>5453953.11066573</v>
      </c>
      <c r="K106" s="71" t="n">
        <f aca="false">IF(AND(ISNUMBER(K104),ISNUMBER(K105)),K103+K104+K105,"SLO 不可達")</f>
        <v>34975510.1307514</v>
      </c>
      <c r="L106" s="71" t="n">
        <f aca="false">IF(AND(ISNUMBER(L104),ISNUMBER(L105)),L103+L104+L105,"SLO 不可達")</f>
        <v>704197.648874947</v>
      </c>
      <c r="M106" s="71" t="n">
        <f aca="false">IF(AND(ISNUMBER(M104),ISNUMBER(M105)),M103+M104+M105,"SLO 不可達")</f>
        <v>2051289.25958755</v>
      </c>
      <c r="N106" s="71" t="n">
        <f aca="false">IF(AND(ISNUMBER(N104),ISNUMBER(N105)),N103+N104+N105,"SLO 不可達")</f>
        <v>12784087.465584</v>
      </c>
      <c r="O106" s="71" t="n">
        <f aca="false">IF(AND(ISNUMBER(O104),ISNUMBER(O105)),O103+O104+O105,"SLO 不可達")</f>
        <v>305060.599619606</v>
      </c>
      <c r="P106" s="71" t="n">
        <f aca="false">IF(AND(ISNUMBER(P104),ISNUMBER(P105)),P103+P104+P105,"SLO 不可達")</f>
        <v>919050.37142924</v>
      </c>
      <c r="Q106" s="71" t="n">
        <f aca="false">IF(AND(ISNUMBER(Q104),ISNUMBER(Q105)),Q103+Q104+Q105,"SLO 不可達")</f>
        <v>5811483.35408388</v>
      </c>
    </row>
    <row r="107" customFormat="false" ht="15" hidden="false" customHeight="false" outlineLevel="0" collapsed="false">
      <c r="A107" s="61" t="s">
        <v>1244</v>
      </c>
      <c r="B107" s="62" t="s">
        <v>330</v>
      </c>
      <c r="C107" s="144" t="n">
        <f aca="false">C35+C42</f>
        <v>3.7239497104343E+024</v>
      </c>
      <c r="D107" s="144" t="n">
        <f aca="false">D35+D42</f>
        <v>1.33534567343555E+025</v>
      </c>
      <c r="E107" s="144" t="n">
        <f aca="false">E35+E42</f>
        <v>7.25166139392E+025</v>
      </c>
      <c r="F107" s="144" t="n">
        <f aca="false">F35+F42</f>
        <v>3.7239497104343E+024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3.7239497104343E+024</v>
      </c>
      <c r="J107" s="144" t="n">
        <f aca="false">J35+J42</f>
        <v>1.33534567343555E+025</v>
      </c>
      <c r="K107" s="144" t="n">
        <f aca="false">K35+K42</f>
        <v>7.25166139392E+025</v>
      </c>
      <c r="L107" s="144" t="n">
        <f aca="false">L35+L42</f>
        <v>3.7239497104343E+024</v>
      </c>
      <c r="M107" s="144" t="n">
        <f aca="false">M35+M42</f>
        <v>1.33534567343555E+025</v>
      </c>
      <c r="N107" s="144" t="n">
        <f aca="false">N35+N42</f>
        <v>7.25166139392E+025</v>
      </c>
      <c r="O107" s="144" t="n">
        <f aca="false">O35+O42</f>
        <v>3.7239497104343E+024</v>
      </c>
      <c r="P107" s="144" t="n">
        <f aca="false">P35+P42</f>
        <v>1.33534567343555E+025</v>
      </c>
      <c r="Q107" s="144" t="n">
        <f aca="false">Q35+Q42</f>
        <v>7.25166139392E+025</v>
      </c>
    </row>
    <row r="108" customFormat="false" ht="15" hidden="false" customHeight="false" outlineLevel="0" collapsed="false">
      <c r="A108" s="61" t="s">
        <v>1245</v>
      </c>
      <c r="B108" s="62" t="s">
        <v>330</v>
      </c>
      <c r="C108" s="144" t="n">
        <f aca="false">C49+C76+C91</f>
        <v>5.62513097631898E+023</v>
      </c>
      <c r="D108" s="144" t="n">
        <f aca="false">D49+D76+D91</f>
        <v>1.94311098372492E+024</v>
      </c>
      <c r="E108" s="144" t="n">
        <f aca="false">E49+E76+E91</f>
        <v>2.666974089216E+025</v>
      </c>
      <c r="F108" s="144" t="n">
        <f aca="false">F49+F76+F91</f>
        <v>5.62513097631898E+023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5.62513097631898E+023</v>
      </c>
      <c r="J108" s="144" t="n">
        <f aca="false">J49+J76+J91</f>
        <v>1.94311098372492E+024</v>
      </c>
      <c r="K108" s="144" t="n">
        <f aca="false">K49+K76+K91</f>
        <v>2.666974089216E+025</v>
      </c>
      <c r="L108" s="144" t="n">
        <f aca="false">L49+L76+L91</f>
        <v>5.62513097631898E+023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5.62513097631898E+023</v>
      </c>
      <c r="P108" s="144" t="n">
        <f aca="false">P49+P76+P91</f>
        <v>1.94311098372492E+024</v>
      </c>
      <c r="Q108" s="144" t="n">
        <f aca="false">Q49+Q76+Q91</f>
        <v>2.666974089216E+025</v>
      </c>
    </row>
    <row r="109" customFormat="false" ht="15" hidden="false" customHeight="false" outlineLevel="0" collapsed="false">
      <c r="A109" s="61" t="s">
        <v>1246</v>
      </c>
      <c r="B109" s="62" t="s">
        <v>330</v>
      </c>
      <c r="C109" s="144" t="n">
        <f aca="false">C107+C108+C98+C101</f>
        <v>4.80829842560294E+024</v>
      </c>
      <c r="D109" s="144" t="n">
        <f aca="false">D107+D108+D98+D101</f>
        <v>1.6345355852516E+025</v>
      </c>
      <c r="E109" s="144" t="n">
        <f aca="false">E107+E108+E98+E101</f>
        <v>1.0080164477952E+026</v>
      </c>
      <c r="F109" s="144" t="n">
        <f aca="false">F107+F108+F98+F101</f>
        <v>4.80829842560294E+024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4.80829842560294E+024</v>
      </c>
      <c r="J109" s="144" t="n">
        <f aca="false">J107+J108+J98+J101</f>
        <v>1.6345355852516E+025</v>
      </c>
      <c r="K109" s="144" t="n">
        <f aca="false">K107+K108+K98+K101</f>
        <v>1.0080164477952E+026</v>
      </c>
      <c r="L109" s="144" t="n">
        <f aca="false">L107+L108+L98+L101</f>
        <v>4.80829842560294E+024</v>
      </c>
      <c r="M109" s="144" t="n">
        <f aca="false">M107+M108+M98+M101</f>
        <v>1.6345355852516E+025</v>
      </c>
      <c r="N109" s="144" t="n">
        <f aca="false">N107+N108+N98+N101</f>
        <v>1.0080164477952E+026</v>
      </c>
      <c r="O109" s="144" t="n">
        <f aca="false">O107+O108+O98+O101</f>
        <v>4.80829842560294E+024</v>
      </c>
      <c r="P109" s="144" t="n">
        <f aca="false">P107+P108+P98+P101</f>
        <v>1.6345355852516E+025</v>
      </c>
      <c r="Q109" s="144" t="n">
        <f aca="false">Q107+Q108+Q98+Q101</f>
        <v>1.0080164477952E+026</v>
      </c>
    </row>
    <row r="110" customFormat="false" ht="15" hidden="false" customHeight="false" outlineLevel="0" collapsed="false">
      <c r="A110" s="61" t="s">
        <v>1247</v>
      </c>
      <c r="B110" s="62" t="s">
        <v>113</v>
      </c>
      <c r="C110" s="101" t="n">
        <f aca="false">C108/(C107+C108)</f>
        <v>0.131230136086418</v>
      </c>
      <c r="D110" s="101" t="n">
        <f aca="false">D108/(D107+D108)</f>
        <v>0.127029214627552</v>
      </c>
      <c r="E110" s="101" t="n">
        <f aca="false">E108/(E107+E108)</f>
        <v>0.268885180199482</v>
      </c>
      <c r="F110" s="101" t="n">
        <f aca="false">F108/(F107+F108)</f>
        <v>0.131230136086418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0.131230136086418</v>
      </c>
      <c r="J110" s="101" t="n">
        <f aca="false">J108/(J107+J108)</f>
        <v>0.127029214627552</v>
      </c>
      <c r="K110" s="101" t="n">
        <f aca="false">K108/(K107+K108)</f>
        <v>0.268885180199482</v>
      </c>
      <c r="L110" s="101" t="n">
        <f aca="false">L108/(L107+L108)</f>
        <v>0.131230136086418</v>
      </c>
      <c r="M110" s="101" t="n">
        <f aca="false">M108/(M107+M108)</f>
        <v>0.127029214627552</v>
      </c>
      <c r="N110" s="101" t="n">
        <f aca="false">N108/(N107+N108)</f>
        <v>0.268885180199482</v>
      </c>
      <c r="O110" s="101" t="n">
        <f aca="false">O108/(O107+O108)</f>
        <v>0.131230136086418</v>
      </c>
      <c r="P110" s="101" t="n">
        <f aca="false">P108/(P107+P108)</f>
        <v>0.127029214627552</v>
      </c>
      <c r="Q110" s="101" t="n">
        <f aca="false">Q108/(Q107+Q108)</f>
        <v>0.268885180199482</v>
      </c>
    </row>
    <row r="111" customFormat="false" ht="15" hidden="false" customHeight="false" outlineLevel="0" collapsed="false">
      <c r="A111" s="61" t="s">
        <v>1248</v>
      </c>
      <c r="B111" s="62" t="s">
        <v>113</v>
      </c>
      <c r="C111" s="101" t="n">
        <f aca="false">IF(AND(ISNUMBER(C104)),C104/(C103+C104),"SLO 不可達")</f>
        <v>0.332444236058156</v>
      </c>
      <c r="D111" s="101" t="n">
        <f aca="false">IF(AND(ISNUMBER(D104)),D104/(D103+D104),"SLO 不可達")</f>
        <v>0.338532361439256</v>
      </c>
      <c r="E111" s="101" t="n">
        <f aca="false">IF(AND(ISNUMBER(E104)),E104/(E103+E104),"SLO 不可達")</f>
        <v>0.594349541651907</v>
      </c>
      <c r="F111" s="101" t="n">
        <f aca="false">IF(AND(ISNUMBER(F104)),F104/(F103+F104),"SLO 不可達")</f>
        <v>0.269893093641953</v>
      </c>
      <c r="G111" s="101" t="n">
        <f aca="false">IF(AND(ISNUMBER(G104)),G104/(G103+G104),"SLO 不可達")</f>
        <v>0.267986465704979</v>
      </c>
      <c r="H111" s="101" t="n">
        <f aca="false">IF(AND(ISNUMBER(H104)),H104/(H103+H104),"SLO 不可達")</f>
        <v>0.504541712883535</v>
      </c>
      <c r="I111" s="101" t="n">
        <f aca="false">IF(AND(ISNUMBER(I104)),I104/(I103+I104),"SLO 不可達")</f>
        <v>0.238707389111481</v>
      </c>
      <c r="J111" s="101" t="n">
        <f aca="false">IF(AND(ISNUMBER(J104)),J104/(J103+J104),"SLO 不可達")</f>
        <v>0.235738956226448</v>
      </c>
      <c r="K111" s="101" t="n">
        <f aca="false">IF(AND(ISNUMBER(K104)),K104/(K103+K104),"SLO 不可達")</f>
        <v>0.460983664042966</v>
      </c>
      <c r="L111" s="101" t="n">
        <f aca="false">IF(AND(ISNUMBER(L104)),L104/(L103+L104),"SLO 不可達")</f>
        <v>0.286511860627156</v>
      </c>
      <c r="M111" s="101" t="n">
        <f aca="false">IF(AND(ISNUMBER(M104)),M104/(M103+M104),"SLO 不可達")</f>
        <v>0.282310936548276</v>
      </c>
      <c r="N111" s="101" t="n">
        <f aca="false">IF(AND(ISNUMBER(N104)),N104/(N103+N104),"SLO 不可達")</f>
        <v>0.521148040333377</v>
      </c>
      <c r="O111" s="101" t="n">
        <f aca="false">IF(AND(ISNUMBER(O104)),O104/(O103+O104),"SLO 不可達")</f>
        <v>0.26008816948871</v>
      </c>
      <c r="P111" s="101" t="n">
        <f aca="false">IF(AND(ISNUMBER(P104)),P104/(P103+P104),"SLO 不可達")</f>
        <v>0.254949018157508</v>
      </c>
      <c r="Q111" s="101" t="n">
        <f aca="false">IF(AND(ISNUMBER(Q104)),Q104/(Q103+Q104),"SLO 不可達")</f>
        <v>0.481150986813593</v>
      </c>
    </row>
    <row r="112" customFormat="false" ht="15" hidden="false" customHeight="false" outlineLevel="0" collapsed="false">
      <c r="A112" s="61" t="s">
        <v>1249</v>
      </c>
      <c r="B112" s="62" t="s">
        <v>1180</v>
      </c>
      <c r="C112" s="68" t="n">
        <f aca="false">IF(AND(ISNUMBER(C65),ISNUMBER(C86),ISNUMBER(C97),ISNUMBER(C100)),C65+C74+C86+C87+C97+C100,"SLO 不可達")</f>
        <v>4501200.86876373</v>
      </c>
      <c r="D112" s="68" t="n">
        <f aca="false">IF(AND(ISNUMBER(D65),ISNUMBER(D86),ISNUMBER(D97),ISNUMBER(D100)),D65+D74+D86+D87+D97+D100,"SLO 不可達")</f>
        <v>10312523.3772359</v>
      </c>
      <c r="E112" s="68" t="n">
        <f aca="false">IF(AND(ISNUMBER(E65),ISNUMBER(E86),ISNUMBER(E97),ISNUMBER(E100)),E65+E74+E86+E87+E97+E100,"SLO 不可達")</f>
        <v>55946472.4484797</v>
      </c>
      <c r="F112" s="68" t="n">
        <f aca="false">IF(AND(ISNUMBER(F65),ISNUMBER(F86),ISNUMBER(F97),ISNUMBER(F100)),F65+F74+F86+F87+F97+F100,"SLO 不可達")</f>
        <v>975154.38258447</v>
      </c>
      <c r="G112" s="68" t="n">
        <f aca="false">IF(AND(ISNUMBER(G65),ISNUMBER(G86),ISNUMBER(G97),ISNUMBER(G100)),G65+G74+G86+G87+G97+G100,"SLO 不可達")</f>
        <v>2218273.45268517</v>
      </c>
      <c r="H112" s="68" t="n">
        <f aca="false">IF(AND(ISNUMBER(H65),ISNUMBER(H86),ISNUMBER(H97),ISNUMBER(H100)),H65+H74+H86+H87+H97+H100,"SLO 不可達")</f>
        <v>12011012.804808</v>
      </c>
      <c r="I112" s="68" t="n">
        <f aca="false">IF(AND(ISNUMBER(I65),ISNUMBER(I86),ISNUMBER(I97),ISNUMBER(I100)),I65+I74+I86+I87+I97+I100,"SLO 不可達")</f>
        <v>670624.160925301</v>
      </c>
      <c r="J112" s="68" t="n">
        <f aca="false">IF(AND(ISNUMBER(J65),ISNUMBER(J86),ISNUMBER(J97),ISNUMBER(J100)),J65+J74+J86+J87+J97+J100,"SLO 不可達")</f>
        <v>1519891.44686142</v>
      </c>
      <c r="K112" s="68" t="n">
        <f aca="false">IF(AND(ISNUMBER(K65),ISNUMBER(K86),ISNUMBER(K97),ISNUMBER(K100)),K65+K74+K86+K87+K97+K100,"SLO 不可達")</f>
        <v>8307555.52808475</v>
      </c>
      <c r="L112" s="68" t="n">
        <f aca="false">IF(AND(ISNUMBER(L65),ISNUMBER(L86),ISNUMBER(L97),ISNUMBER(L100)),L65+L74+L86+L87+L97+L100,"SLO 不可達")</f>
        <v>353522.795912556</v>
      </c>
      <c r="M112" s="68" t="n">
        <f aca="false">IF(AND(ISNUMBER(M65),ISNUMBER(M86),ISNUMBER(M97),ISNUMBER(M100)),M65+M74+M86+M87+M97+M100,"SLO 不可達")</f>
        <v>802380.794887774</v>
      </c>
      <c r="N112" s="68" t="n">
        <f aca="false">IF(AND(ISNUMBER(N65),ISNUMBER(N86),ISNUMBER(N97),ISNUMBER(N100)),N65+N74+N86+N87+N97+N100,"SLO 不可達")</f>
        <v>4318070.1314041</v>
      </c>
      <c r="O112" s="68" t="n">
        <f aca="false">IF(AND(ISNUMBER(O65),ISNUMBER(O86),ISNUMBER(O97),ISNUMBER(O100)),O65+O74+O86+O87+O97+O100,"SLO 不可達")</f>
        <v>129723.173138411</v>
      </c>
      <c r="P112" s="68" t="n">
        <f aca="false">IF(AND(ISNUMBER(P65),ISNUMBER(P86),ISNUMBER(P97),ISNUMBER(P100)),P65+P74+P86+P87+P97+P100,"SLO 不可達")</f>
        <v>294596.139079351</v>
      </c>
      <c r="Q112" s="68" t="n">
        <f aca="false">IF(AND(ISNUMBER(Q65),ISNUMBER(Q86),ISNUMBER(Q97),ISNUMBER(Q100)),Q65+Q74+Q86+Q87+Q97+Q100,"SLO 不可達")</f>
        <v>1578474.68699393</v>
      </c>
    </row>
    <row r="113" customFormat="false" ht="15" hidden="false" customHeight="false" outlineLevel="0" collapsed="false">
      <c r="A113" s="61" t="s">
        <v>1250</v>
      </c>
      <c r="B113" s="62" t="s">
        <v>1180</v>
      </c>
      <c r="C113" s="68" t="n">
        <f aca="false">C36+C43+C51+C72+C89</f>
        <v>2790868.5872449</v>
      </c>
      <c r="D113" s="68" t="n">
        <f aca="false">D36+D43+D51+D72+D89</f>
        <v>9939519.11016751</v>
      </c>
      <c r="E113" s="68" t="n">
        <f aca="false">E36+E43+E51+E72+E89</f>
        <v>67377348.6676773</v>
      </c>
      <c r="F113" s="68" t="n">
        <f aca="false">F36+F43+F51+F72+F89</f>
        <v>1104625.78683153</v>
      </c>
      <c r="G113" s="68" t="n">
        <f aca="false">G36+G43+G51+G72+G89</f>
        <v>3934061.6638043</v>
      </c>
      <c r="H113" s="68" t="n">
        <f aca="false">H36+H43+H51+H72+H89</f>
        <v>26667954.6026667</v>
      </c>
      <c r="I113" s="68" t="n">
        <f aca="false">I36+I43+I51+I72+I89</f>
        <v>1104625.78683153</v>
      </c>
      <c r="J113" s="68" t="n">
        <f aca="false">J36+J43+J51+J72+J89</f>
        <v>3934061.6638043</v>
      </c>
      <c r="K113" s="68" t="n">
        <f aca="false">K36+K43+K51+K72+K89</f>
        <v>26667954.6026667</v>
      </c>
      <c r="L113" s="68" t="n">
        <f aca="false">L36+L43+L51+L72+L89</f>
        <v>350674.852962391</v>
      </c>
      <c r="M113" s="68" t="n">
        <f aca="false">M36+M43+M51+M72+M89</f>
        <v>1248908.46469978</v>
      </c>
      <c r="N113" s="68" t="n">
        <f aca="false">N36+N43+N51+N72+N89</f>
        <v>8466017.33417989</v>
      </c>
      <c r="O113" s="68" t="n">
        <f aca="false">O36+O43+O51+O72+O89</f>
        <v>175337.426481195</v>
      </c>
      <c r="P113" s="68" t="n">
        <f aca="false">P36+P43+P51+P72+P89</f>
        <v>624454.232349889</v>
      </c>
      <c r="Q113" s="68" t="n">
        <f aca="false">Q36+Q43+Q51+Q72+Q89</f>
        <v>4233008.66708995</v>
      </c>
    </row>
    <row r="114" customFormat="false" ht="15" hidden="false" customHeight="false" outlineLevel="0" collapsed="false">
      <c r="A114" s="61" t="s">
        <v>1251</v>
      </c>
      <c r="B114" s="62" t="s">
        <v>113</v>
      </c>
      <c r="C114" s="103" t="n">
        <f aca="false">IF(AND(ISNUMBER(C112),ISNUMBER(C106)),C112/C106,"SLO 不可達")</f>
        <v>0.617273449727603</v>
      </c>
      <c r="D114" s="103" t="n">
        <f aca="false">IF(AND(ISNUMBER(D112),ISNUMBER(D106)),D112/D106,"SLO 不可達")</f>
        <v>0.509209053044906</v>
      </c>
      <c r="E114" s="103" t="n">
        <f aca="false">IF(AND(ISNUMBER(E112),ISNUMBER(E106)),E112/E106,"SLO 不可達")</f>
        <v>0.453655035516492</v>
      </c>
      <c r="F114" s="103" t="n">
        <f aca="false">IF(AND(ISNUMBER(F112),ISNUMBER(F106)),F112/F106,"SLO 不可達")</f>
        <v>0.468873776625292</v>
      </c>
      <c r="G114" s="103" t="n">
        <f aca="false">IF(AND(ISNUMBER(G112),ISNUMBER(G106)),G112/G106,"SLO 不可達")</f>
        <v>0.360557968752346</v>
      </c>
      <c r="H114" s="103" t="n">
        <f aca="false">IF(AND(ISNUMBER(H112),ISNUMBER(H106)),H112/H106,"SLO 不可達")</f>
        <v>0.310530854618597</v>
      </c>
      <c r="I114" s="103" t="n">
        <f aca="false">IF(AND(ISNUMBER(I112),ISNUMBER(I106)),I112/I106,"SLO 不可達")</f>
        <v>0.377763233719673</v>
      </c>
      <c r="J114" s="103" t="n">
        <f aca="false">IF(AND(ISNUMBER(J112),ISNUMBER(J106)),J112/J106,"SLO 不可達")</f>
        <v>0.278677028573849</v>
      </c>
      <c r="K114" s="103" t="n">
        <f aca="false">IF(AND(ISNUMBER(K112),ISNUMBER(K106)),K112/K106,"SLO 不可達")</f>
        <v>0.2375249280719</v>
      </c>
      <c r="L114" s="103" t="n">
        <f aca="false">IF(AND(ISNUMBER(L112),ISNUMBER(L106)),L112/L106,"SLO 不可達")</f>
        <v>0.502022119041945</v>
      </c>
      <c r="M114" s="103" t="n">
        <f aca="false">IF(AND(ISNUMBER(M112),ISNUMBER(M106)),M112/M106,"SLO 不可達")</f>
        <v>0.391159262955</v>
      </c>
      <c r="N114" s="103" t="n">
        <f aca="false">IF(AND(ISNUMBER(N112),ISNUMBER(N106)),N112/N106,"SLO 不可達")</f>
        <v>0.337769132370908</v>
      </c>
      <c r="O114" s="103" t="n">
        <f aca="false">IF(AND(ISNUMBER(O112),ISNUMBER(O106)),O112/O106,"SLO 不可達")</f>
        <v>0.425237389883087</v>
      </c>
      <c r="P114" s="103" t="n">
        <f aca="false">IF(AND(ISNUMBER(P112),ISNUMBER(P106)),P112/P106,"SLO 不可達")</f>
        <v>0.320544061824616</v>
      </c>
      <c r="Q114" s="103" t="n">
        <f aca="false">IF(AND(ISNUMBER(Q112),ISNUMBER(Q106)),Q112/Q106,"SLO 不可達")</f>
        <v>0.271613044522394</v>
      </c>
    </row>
    <row r="115" customFormat="false" ht="15" hidden="false" customHeight="false" outlineLevel="0" collapsed="false">
      <c r="A115" s="61" t="s">
        <v>1252</v>
      </c>
      <c r="B115" s="62" t="s">
        <v>1021</v>
      </c>
      <c r="C115" s="114" t="n">
        <f aca="false">IF(AND(ISNUMBER(C106)),C106*C19/1000000,"SLO 不可達")</f>
        <v>11.2487211695643</v>
      </c>
      <c r="D115" s="114" t="n">
        <f aca="false">IF(AND(ISNUMBER(D106)),D106*D19/1000000,"SLO 不可達")</f>
        <v>31.2407308280994</v>
      </c>
      <c r="E115" s="114" t="n">
        <f aca="false">IF(AND(ISNUMBER(E106)),E106*E19/1000000,"SLO 不可達")</f>
        <v>190.238900722181</v>
      </c>
      <c r="F115" s="114" t="n">
        <f aca="false">IF(AND(ISNUMBER(F106)),F106*F19/1000000,"SLO 不可達")</f>
        <v>4.17715735160942</v>
      </c>
      <c r="G115" s="114" t="n">
        <f aca="false">IF(AND(ISNUMBER(G106)),G106*G19/1000000,"SLO 不可達")</f>
        <v>12.3567251189942</v>
      </c>
      <c r="H115" s="114" t="n">
        <f aca="false">IF(AND(ISNUMBER(H106)),H106*H19/1000000,"SLO 不可達")</f>
        <v>77.6851974236113</v>
      </c>
      <c r="I115" s="114" t="n">
        <f aca="false">IF(AND(ISNUMBER(I106)),I106*I19/1000000,"SLO 不可達")</f>
        <v>4.53006082719016</v>
      </c>
      <c r="J115" s="114" t="n">
        <f aca="false">IF(AND(ISNUMBER(J106)),J106*J19/1000000,"SLO 不可達")</f>
        <v>13.9173299912937</v>
      </c>
      <c r="K115" s="114" t="n">
        <f aca="false">IF(AND(ISNUMBER(K106)),K106*K19/1000000,"SLO 不可達")</f>
        <v>89.2500735203584</v>
      </c>
      <c r="L115" s="114" t="n">
        <f aca="false">IF(AND(ISNUMBER(L106)),L106*L19/1000000,"SLO 不可達")</f>
        <v>3.36863635569634</v>
      </c>
      <c r="M115" s="114" t="n">
        <f aca="false">IF(AND(ISNUMBER(M106)),M106*M19/1000000,"SLO 不可達")</f>
        <v>9.8126535738025</v>
      </c>
      <c r="N115" s="114" t="n">
        <f aca="false">IF(AND(ISNUMBER(N106)),N106*N19/1000000,"SLO 不可達")</f>
        <v>61.1546231086832</v>
      </c>
      <c r="O115" s="114" t="n">
        <f aca="false">IF(AND(ISNUMBER(O106)),O106*O19/1000000,"SLO 不可達")</f>
        <v>2.74547464356203</v>
      </c>
      <c r="P115" s="114" t="n">
        <f aca="false">IF(AND(ISNUMBER(P106)),P106*P19/1000000,"SLO 不可達")</f>
        <v>8.27124018657791</v>
      </c>
      <c r="Q115" s="114" t="n">
        <f aca="false">IF(AND(ISNUMBER(Q106)),Q106*Q19/1000000,"SLO 不可達")</f>
        <v>52.3020023235234</v>
      </c>
    </row>
    <row r="116" customFormat="false" ht="15" hidden="false" customHeight="false" outlineLevel="0" collapsed="false">
      <c r="A116" s="61" t="s">
        <v>1253</v>
      </c>
      <c r="B116" s="62" t="s">
        <v>1021</v>
      </c>
      <c r="C116" s="75" t="n">
        <f aca="false">IF(AND(ISNUMBER(C106)),C106*C20/1000000,"SLO 不可達")</f>
        <v>8.2357563712675</v>
      </c>
      <c r="D116" s="75" t="n">
        <f aca="false">IF(AND(ISNUMBER(D106)),D106*D20/1000000,"SLO 不可達")</f>
        <v>22.8729154258642</v>
      </c>
      <c r="E116" s="75" t="n">
        <f aca="false">IF(AND(ISNUMBER(E106)),E106*E20/1000000,"SLO 不可達")</f>
        <v>139.283498547801</v>
      </c>
      <c r="F116" s="75" t="n">
        <f aca="false">IF(AND(ISNUMBER(F106)),F106*F20/1000000,"SLO 不可達")</f>
        <v>3.05150971473876</v>
      </c>
      <c r="G116" s="75" t="n">
        <f aca="false">IF(AND(ISNUMBER(G106)),G106*G20/1000000,"SLO 不可達")</f>
        <v>9.02687248026205</v>
      </c>
      <c r="H116" s="75" t="n">
        <f aca="false">IF(AND(ISNUMBER(H106)),H106*H20/1000000,"SLO 不可達")</f>
        <v>56.7508270997291</v>
      </c>
      <c r="I116" s="75" t="n">
        <f aca="false">IF(AND(ISNUMBER(I106)),I106*I20/1000000,"SLO 不可達")</f>
        <v>3.32477189415715</v>
      </c>
      <c r="J116" s="75" t="n">
        <f aca="false">IF(AND(ISNUMBER(J106)),J106*J20/1000000,"SLO 不可達")</f>
        <v>10.214420812858</v>
      </c>
      <c r="K116" s="75" t="n">
        <f aca="false">IF(AND(ISNUMBER(K106)),K106*K20/1000000,"SLO 不可達")</f>
        <v>65.5037862209021</v>
      </c>
      <c r="L116" s="75" t="n">
        <f aca="false">IF(AND(ISNUMBER(L106)),L106*L20/1000000,"SLO 不可達")</f>
        <v>2.47776162478379</v>
      </c>
      <c r="M116" s="75" t="n">
        <f aca="false">IF(AND(ISNUMBER(M106)),M106*M20/1000000,"SLO 不可達")</f>
        <v>7.21758417804626</v>
      </c>
      <c r="N116" s="75" t="n">
        <f aca="false">IF(AND(ISNUMBER(N106)),N106*N20/1000000,"SLO 不可達")</f>
        <v>44.9815778009344</v>
      </c>
      <c r="O116" s="75" t="n">
        <f aca="false">IF(AND(ISNUMBER(O106)),O106*O20/1000000,"SLO 不可達")</f>
        <v>2.02669398004938</v>
      </c>
      <c r="P116" s="75" t="n">
        <f aca="false">IF(AND(ISNUMBER(P106)),P106*P20/1000000,"SLO 不可達")</f>
        <v>6.1057831049319</v>
      </c>
      <c r="Q116" s="75" t="n">
        <f aca="false">IF(AND(ISNUMBER(Q106)),Q106*Q20/1000000,"SLO 不可達")</f>
        <v>38.6090447064144</v>
      </c>
    </row>
    <row r="117" customFormat="false" ht="15" hidden="false" customHeight="false" outlineLevel="0" collapsed="false">
      <c r="A117" s="61" t="s">
        <v>1254</v>
      </c>
      <c r="B117" s="62" t="s">
        <v>113</v>
      </c>
      <c r="C117" s="145" t="n">
        <f aca="false">IF(AND(ISNUMBER(C106)),C106/(C18*8760),"SLO 不可達")</f>
        <v>0.00115929300003943</v>
      </c>
      <c r="D117" s="145" t="n">
        <f aca="false">IF(AND(ISNUMBER(D106)),D106/(D18*8760),"SLO 不可達")</f>
        <v>0.00321966915342558</v>
      </c>
      <c r="E117" s="145" t="n">
        <f aca="false">IF(AND(ISNUMBER(E106)),E106/(E18*8760),"SLO 不可達")</f>
        <v>0.0196060176635139</v>
      </c>
      <c r="F117" s="145" t="n">
        <f aca="false">IF(AND(ISNUMBER(F106)),F106/(F18*8760),"SLO 不可達")</f>
        <v>0.00047316255233276</v>
      </c>
      <c r="G117" s="145" t="n">
        <f aca="false">IF(AND(ISNUMBER(G106)),G106/(G18*8760),"SLO 不可達")</f>
        <v>0.00139969340478039</v>
      </c>
      <c r="H117" s="145" t="n">
        <f aca="false">IF(AND(ISNUMBER(H106)),H106/(H18*8760),"SLO 不可達")</f>
        <v>0.00879969874184123</v>
      </c>
      <c r="I117" s="145" t="n">
        <f aca="false">IF(AND(ISNUMBER(I106)),I106/(I18*8760),"SLO 不可達")</f>
        <v>0.000416120687186266</v>
      </c>
      <c r="J117" s="145" t="n">
        <f aca="false">IF(AND(ISNUMBER(J106)),J106/(J18*8760),"SLO 不可達")</f>
        <v>0.00127841305905098</v>
      </c>
      <c r="K117" s="145" t="n">
        <f aca="false">IF(AND(ISNUMBER(K106)),K106/(K18*8760),"SLO 不可達")</f>
        <v>0.00819830093710954</v>
      </c>
      <c r="L117" s="145" t="n">
        <f aca="false">IF(AND(ISNUMBER(L106)),L106/(L18*8760),"SLO 不可達")</f>
        <v>0.000275542460035546</v>
      </c>
      <c r="M117" s="145" t="n">
        <f aca="false">IF(AND(ISNUMBER(M106)),M106/(M18*8760),"SLO 不可達")</f>
        <v>0.000802640124877243</v>
      </c>
      <c r="N117" s="145" t="n">
        <f aca="false">IF(AND(ISNUMBER(N106)),N106/(N18*8760),"SLO 不可達")</f>
        <v>0.00500223043232874</v>
      </c>
      <c r="O117" s="145" t="n">
        <f aca="false">IF(AND(ISNUMBER(O106)),O106/(O18*8760),"SLO 不可達")</f>
        <v>0.000178806065737157</v>
      </c>
      <c r="P117" s="145" t="n">
        <f aca="false">IF(AND(ISNUMBER(P106)),P106/(P18*8760),"SLO 不可達")</f>
        <v>0.000538685695020754</v>
      </c>
      <c r="Q117" s="145" t="n">
        <f aca="false">IF(AND(ISNUMBER(Q106)),Q106/(Q18*8760),"SLO 不可達")</f>
        <v>0.00340630181654548</v>
      </c>
      <c r="R117" s="74" t="s">
        <v>1255</v>
      </c>
    </row>
    <row r="118" customFormat="false" ht="15" hidden="false" customHeight="false" outlineLevel="0" collapsed="false">
      <c r="A118" s="76" t="s">
        <v>1256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</row>
    <row r="119" customFormat="false" ht="15" hidden="false" customHeight="false" outlineLevel="0" collapsed="false">
      <c r="A119" s="61" t="s">
        <v>1257</v>
      </c>
      <c r="B119" s="62" t="s">
        <v>118</v>
      </c>
      <c r="C119" s="111" t="n">
        <f aca="false">Train_In!$C$13</f>
        <v>8</v>
      </c>
      <c r="D119" s="111" t="n">
        <f aca="false">Train_In!$C$13</f>
        <v>8</v>
      </c>
      <c r="E119" s="111" t="n">
        <f aca="false">Train_In!$C$13</f>
        <v>8</v>
      </c>
      <c r="F119" s="111" t="n">
        <f aca="false">Train_In!$C$13</f>
        <v>8</v>
      </c>
      <c r="G119" s="111" t="n">
        <f aca="false">Train_In!$C$13</f>
        <v>8</v>
      </c>
      <c r="H119" s="111" t="n">
        <f aca="false">Train_In!$C$13</f>
        <v>8</v>
      </c>
      <c r="I119" s="111" t="n">
        <f aca="false">Train_In!$C$13</f>
        <v>8</v>
      </c>
      <c r="J119" s="111" t="n">
        <f aca="false">Train_In!$C$13</f>
        <v>8</v>
      </c>
      <c r="K119" s="111" t="n">
        <f aca="false">Train_In!$C$13</f>
        <v>8</v>
      </c>
      <c r="L119" s="111" t="n">
        <f aca="false">Train_In!$C$13</f>
        <v>8</v>
      </c>
      <c r="M119" s="111" t="n">
        <f aca="false">Train_In!$C$13</f>
        <v>8</v>
      </c>
      <c r="N119" s="111" t="n">
        <f aca="false">Train_In!$C$13</f>
        <v>8</v>
      </c>
      <c r="O119" s="111" t="n">
        <f aca="false">Train_In!$C$13</f>
        <v>8</v>
      </c>
      <c r="P119" s="111" t="n">
        <f aca="false">Train_In!$C$13</f>
        <v>8</v>
      </c>
      <c r="Q119" s="111" t="n">
        <f aca="false">Train_In!$C$13</f>
        <v>8</v>
      </c>
    </row>
    <row r="120" customFormat="false" ht="15" hidden="false" customHeight="false" outlineLevel="0" collapsed="false">
      <c r="A120" s="61" t="s">
        <v>1258</v>
      </c>
      <c r="B120" s="62" t="s">
        <v>1180</v>
      </c>
      <c r="C120" s="71" t="n">
        <f aca="false">IF(AND(ISNUMBER(C106)),C106*C119,"SLO 不可達")</f>
        <v>58336555.6480691</v>
      </c>
      <c r="D120" s="71" t="n">
        <f aca="false">IF(AND(ISNUMBER(D106)),D106*D119,"SLO 不可達")</f>
        <v>162016339.899227</v>
      </c>
      <c r="E120" s="71" t="n">
        <f aca="false">IF(AND(ISNUMBER(E106)),E106*E119,"SLO 不可達")</f>
        <v>986590568.929256</v>
      </c>
      <c r="F120" s="71" t="n">
        <f aca="false">IF(AND(ISNUMBER(F106)),F106*F119,"SLO 不可達")</f>
        <v>16638241.355328</v>
      </c>
      <c r="G120" s="71" t="n">
        <f aca="false">IF(AND(ISNUMBER(G106)),G106*G119,"SLO 不可達")</f>
        <v>49218680.9319158</v>
      </c>
      <c r="H120" s="71" t="n">
        <f aca="false">IF(AND(ISNUMBER(H106)),H106*H119,"SLO 不可達")</f>
        <v>309431739.259797</v>
      </c>
      <c r="I120" s="71" t="n">
        <f aca="false">IF(AND(ISNUMBER(I106)),I106*I119,"SLO 不可達")</f>
        <v>14201999.5820546</v>
      </c>
      <c r="J120" s="71" t="n">
        <f aca="false">IF(AND(ISNUMBER(J106)),J106*J119,"SLO 不可達")</f>
        <v>43631624.8853258</v>
      </c>
      <c r="K120" s="71" t="n">
        <f aca="false">IF(AND(ISNUMBER(K106)),K106*K119,"SLO 不可達")</f>
        <v>279804081.046011</v>
      </c>
      <c r="L120" s="71" t="n">
        <f aca="false">IF(AND(ISNUMBER(L106)),L106*L119,"SLO 不可達")</f>
        <v>5633581.19099958</v>
      </c>
      <c r="M120" s="71" t="n">
        <f aca="false">IF(AND(ISNUMBER(M106)),M106*M119,"SLO 不可達")</f>
        <v>16410314.0767004</v>
      </c>
      <c r="N120" s="71" t="n">
        <f aca="false">IF(AND(ISNUMBER(N106)),N106*N119,"SLO 不可達")</f>
        <v>102272699.724672</v>
      </c>
      <c r="O120" s="71" t="n">
        <f aca="false">IF(AND(ISNUMBER(O106)),O106*O119,"SLO 不可達")</f>
        <v>2440484.79695685</v>
      </c>
      <c r="P120" s="71" t="n">
        <f aca="false">IF(AND(ISNUMBER(P106)),P106*P119,"SLO 不可達")</f>
        <v>7352402.97143392</v>
      </c>
      <c r="Q120" s="71" t="n">
        <f aca="false">IF(AND(ISNUMBER(Q106)),Q106*Q119,"SLO 不可達")</f>
        <v>46491866.832671</v>
      </c>
    </row>
    <row r="121" customFormat="false" ht="15" hidden="false" customHeight="false" outlineLevel="0" collapsed="false">
      <c r="A121" s="61" t="s">
        <v>1259</v>
      </c>
      <c r="B121" s="62" t="s">
        <v>1180</v>
      </c>
      <c r="C121" s="68" t="n">
        <f aca="false">IF(AND(ISNUMBER(C120),ISNUMBER(C106)),C120-C106,"SLO 不可達")</f>
        <v>51044486.1920604</v>
      </c>
      <c r="D121" s="68" t="n">
        <f aca="false">IF(AND(ISNUMBER(D120),ISNUMBER(D106)),D120-D106,"SLO 不可達")</f>
        <v>141764297.411824</v>
      </c>
      <c r="E121" s="68" t="n">
        <f aca="false">IF(AND(ISNUMBER(E120),ISNUMBER(E106)),E120-E106,"SLO 不可達")</f>
        <v>863266747.813099</v>
      </c>
      <c r="F121" s="68" t="n">
        <f aca="false">IF(AND(ISNUMBER(F120),ISNUMBER(F106)),F120-F106,"SLO 不可達")</f>
        <v>14558461.185912</v>
      </c>
      <c r="G121" s="68" t="n">
        <f aca="false">IF(AND(ISNUMBER(G120),ISNUMBER(G106)),G120-G106,"SLO 不可達")</f>
        <v>43066345.8154263</v>
      </c>
      <c r="H121" s="68" t="n">
        <f aca="false">IF(AND(ISNUMBER(H120),ISNUMBER(H106)),H120-H106,"SLO 不可達")</f>
        <v>270752771.852322</v>
      </c>
      <c r="I121" s="68" t="n">
        <f aca="false">IF(AND(ISNUMBER(I120),ISNUMBER(I106)),I120-I106,"SLO 不可達")</f>
        <v>12426749.6342978</v>
      </c>
      <c r="J121" s="68" t="n">
        <f aca="false">IF(AND(ISNUMBER(J120),ISNUMBER(J106)),J120-J106,"SLO 不可達")</f>
        <v>38177671.7746601</v>
      </c>
      <c r="K121" s="68" t="n">
        <f aca="false">IF(AND(ISNUMBER(K120),ISNUMBER(K106)),K120-K106,"SLO 不可達")</f>
        <v>244828570.91526</v>
      </c>
      <c r="L121" s="68" t="n">
        <f aca="false">IF(AND(ISNUMBER(L120),ISNUMBER(L106)),L120-L106,"SLO 不可達")</f>
        <v>4929383.54212463</v>
      </c>
      <c r="M121" s="68" t="n">
        <f aca="false">IF(AND(ISNUMBER(M120),ISNUMBER(M106)),M120-M106,"SLO 不可達")</f>
        <v>14359024.8171129</v>
      </c>
      <c r="N121" s="68" t="n">
        <f aca="false">IF(AND(ISNUMBER(N120),ISNUMBER(N106)),N120-N106,"SLO 不可達")</f>
        <v>89488612.259088</v>
      </c>
      <c r="O121" s="68" t="n">
        <f aca="false">IF(AND(ISNUMBER(O120),ISNUMBER(O106)),O120-O106,"SLO 不可達")</f>
        <v>2135424.19733724</v>
      </c>
      <c r="P121" s="68" t="n">
        <f aca="false">IF(AND(ISNUMBER(P120),ISNUMBER(P106)),P120-P106,"SLO 不可達")</f>
        <v>6433352.60000468</v>
      </c>
      <c r="Q121" s="68" t="n">
        <f aca="false">IF(AND(ISNUMBER(Q120),ISNUMBER(Q106)),Q120-Q106,"SLO 不可達")</f>
        <v>40680383.4785872</v>
      </c>
    </row>
    <row r="122" customFormat="false" ht="15" hidden="false" customHeight="false" outlineLevel="0" collapsed="false">
      <c r="A122" s="61" t="s">
        <v>1260</v>
      </c>
      <c r="B122" s="62" t="s">
        <v>1021</v>
      </c>
      <c r="C122" s="71" t="n">
        <f aca="false">IF(AND(ISNUMBER(C120)),C120*C19/1000000,"SLO 不可達")</f>
        <v>89.9897693565145</v>
      </c>
      <c r="D122" s="71" t="n">
        <f aca="false">IF(AND(ISNUMBER(D120)),D120*D19/1000000,"SLO 不可達")</f>
        <v>249.925846624795</v>
      </c>
      <c r="E122" s="71" t="n">
        <f aca="false">IF(AND(ISNUMBER(E120)),E120*E19/1000000,"SLO 不可達")</f>
        <v>1521.91120577745</v>
      </c>
      <c r="F122" s="71" t="n">
        <f aca="false">IF(AND(ISNUMBER(F120)),F120*F19/1000000,"SLO 不可達")</f>
        <v>33.4172588128753</v>
      </c>
      <c r="G122" s="71" t="n">
        <f aca="false">IF(AND(ISNUMBER(G120)),G120*G19/1000000,"SLO 不可達")</f>
        <v>98.8538009519539</v>
      </c>
      <c r="H122" s="71" t="n">
        <f aca="false">IF(AND(ISNUMBER(H120)),H120*H19/1000000,"SLO 不可達")</f>
        <v>621.48157938889</v>
      </c>
      <c r="I122" s="71" t="n">
        <f aca="false">IF(AND(ISNUMBER(I120)),I120*I19/1000000,"SLO 不可達")</f>
        <v>36.2404866175213</v>
      </c>
      <c r="J122" s="71" t="n">
        <f aca="false">IF(AND(ISNUMBER(J120)),J120*J19/1000000,"SLO 不可達")</f>
        <v>111.33863993035</v>
      </c>
      <c r="K122" s="71" t="n">
        <f aca="false">IF(AND(ISNUMBER(K120)),K120*K19/1000000,"SLO 不可達")</f>
        <v>714.000588162868</v>
      </c>
      <c r="L122" s="71" t="n">
        <f aca="false">IF(AND(ISNUMBER(L120)),L120*L19/1000000,"SLO 不可達")</f>
        <v>26.9490908455707</v>
      </c>
      <c r="M122" s="71" t="n">
        <f aca="false">IF(AND(ISNUMBER(M120)),M120*M19/1000000,"SLO 不可達")</f>
        <v>78.50122859042</v>
      </c>
      <c r="N122" s="71" t="n">
        <f aca="false">IF(AND(ISNUMBER(N120)),N120*N19/1000000,"SLO 不可達")</f>
        <v>489.236984869465</v>
      </c>
      <c r="O122" s="71" t="n">
        <f aca="false">IF(AND(ISNUMBER(O120)),O120*O19/1000000,"SLO 不可達")</f>
        <v>21.9637971484962</v>
      </c>
      <c r="P122" s="71" t="n">
        <f aca="false">IF(AND(ISNUMBER(P120)),P120*P19/1000000,"SLO 不可達")</f>
        <v>66.1699214926233</v>
      </c>
      <c r="Q122" s="71" t="n">
        <f aca="false">IF(AND(ISNUMBER(Q120)),Q120*Q19/1000000,"SLO 不可達")</f>
        <v>418.416018588187</v>
      </c>
    </row>
    <row r="123" customFormat="false" ht="15" hidden="false" customHeight="false" outlineLevel="0" collapsed="false">
      <c r="A123" s="61" t="s">
        <v>1261</v>
      </c>
      <c r="B123" s="62" t="s">
        <v>113</v>
      </c>
      <c r="C123" s="100" t="n">
        <f aca="false">IF(AND(ISNUMBER(C120)),C120/(C18*8760),"SLO 不可達")</f>
        <v>0.00927434400031541</v>
      </c>
      <c r="D123" s="100" t="n">
        <f aca="false">IF(AND(ISNUMBER(D120)),D120/(D18*8760),"SLO 不可達")</f>
        <v>0.0257573532274046</v>
      </c>
      <c r="E123" s="100" t="n">
        <f aca="false">IF(AND(ISNUMBER(E120)),E120/(E18*8760),"SLO 不可達")</f>
        <v>0.156848141308111</v>
      </c>
      <c r="F123" s="100" t="n">
        <f aca="false">IF(AND(ISNUMBER(F120)),F120/(F18*8760),"SLO 不可達")</f>
        <v>0.00378530041866208</v>
      </c>
      <c r="G123" s="100" t="n">
        <f aca="false">IF(AND(ISNUMBER(G120)),G120/(G18*8760),"SLO 不可達")</f>
        <v>0.0111975472382432</v>
      </c>
      <c r="H123" s="100" t="n">
        <f aca="false">IF(AND(ISNUMBER(H120)),H120/(H18*8760),"SLO 不可達")</f>
        <v>0.0703975899347298</v>
      </c>
      <c r="I123" s="100" t="n">
        <f aca="false">IF(AND(ISNUMBER(I120)),I120/(I18*8760),"SLO 不可達")</f>
        <v>0.00332896549749013</v>
      </c>
      <c r="J123" s="100" t="n">
        <f aca="false">IF(AND(ISNUMBER(J120)),J120/(J18*8760),"SLO 不可達")</f>
        <v>0.0102273044724078</v>
      </c>
      <c r="K123" s="100" t="n">
        <f aca="false">IF(AND(ISNUMBER(K120)),K120/(K18*8760),"SLO 不可達")</f>
        <v>0.0655864074968763</v>
      </c>
      <c r="L123" s="100" t="n">
        <f aca="false">IF(AND(ISNUMBER(L120)),L120/(L18*8760),"SLO 不可達")</f>
        <v>0.00220433968028437</v>
      </c>
      <c r="M123" s="100" t="n">
        <f aca="false">IF(AND(ISNUMBER(M120)),M120/(M18*8760),"SLO 不可達")</f>
        <v>0.00642112099901794</v>
      </c>
      <c r="N123" s="100" t="n">
        <f aca="false">IF(AND(ISNUMBER(N120)),N120/(N18*8760),"SLO 不可達")</f>
        <v>0.0400178434586299</v>
      </c>
      <c r="O123" s="100" t="n">
        <f aca="false">IF(AND(ISNUMBER(O120)),O120/(O18*8760),"SLO 不可達")</f>
        <v>0.00143044852589726</v>
      </c>
      <c r="P123" s="100" t="n">
        <f aca="false">IF(AND(ISNUMBER(P120)),P120/(P18*8760),"SLO 不可達")</f>
        <v>0.00430948556016603</v>
      </c>
      <c r="Q123" s="100" t="n">
        <f aca="false">IF(AND(ISNUMBER(Q120)),Q120/(Q18*8760),"SLO 不可達")</f>
        <v>0.0272504145323638</v>
      </c>
    </row>
    <row r="124" customFormat="false" ht="15" hidden="false" customHeight="false" outlineLevel="0" collapsed="false">
      <c r="A124" s="76" t="s">
        <v>1262</v>
      </c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</row>
    <row r="125" customFormat="false" ht="15" hidden="false" customHeight="false" outlineLevel="0" collapsed="false">
      <c r="A125" s="61" t="s">
        <v>1263</v>
      </c>
      <c r="B125" s="62" t="s">
        <v>1180</v>
      </c>
      <c r="C125" s="68" t="n">
        <f aca="false">C103</f>
        <v>2323127.22501969</v>
      </c>
      <c r="D125" s="68" t="n">
        <f aca="false">D103</f>
        <v>8330343.13024751</v>
      </c>
      <c r="E125" s="68" t="n">
        <f aca="false">E103</f>
        <v>45238344.5556117</v>
      </c>
      <c r="F125" s="68" t="n">
        <f aca="false">F103</f>
        <v>919493.755662791</v>
      </c>
      <c r="G125" s="68" t="n">
        <f aca="false">G103</f>
        <v>3297149.81095196</v>
      </c>
      <c r="H125" s="68" t="n">
        <f aca="false">H103</f>
        <v>17905336.7751111</v>
      </c>
      <c r="I125" s="68" t="n">
        <f aca="false">I103</f>
        <v>919493.755662791</v>
      </c>
      <c r="J125" s="68" t="n">
        <f aca="false">J103</f>
        <v>3297149.81095196</v>
      </c>
      <c r="K125" s="68" t="n">
        <f aca="false">K103</f>
        <v>17905336.7751111</v>
      </c>
      <c r="L125" s="68" t="n">
        <f aca="false">L103</f>
        <v>291902.779575489</v>
      </c>
      <c r="M125" s="68" t="n">
        <f aca="false">M103</f>
        <v>1046714.22569904</v>
      </c>
      <c r="N125" s="68" t="n">
        <f aca="false">N103</f>
        <v>5684233.89686067</v>
      </c>
      <c r="O125" s="68" t="n">
        <f aca="false">O103</f>
        <v>145951.389787745</v>
      </c>
      <c r="P125" s="68" t="n">
        <f aca="false">P103</f>
        <v>523357.112849518</v>
      </c>
      <c r="Q125" s="68" t="n">
        <f aca="false">Q103</f>
        <v>2842116.94843034</v>
      </c>
    </row>
    <row r="126" customFormat="false" ht="15" hidden="false" customHeight="false" outlineLevel="0" collapsed="false">
      <c r="A126" s="61" t="s">
        <v>1264</v>
      </c>
      <c r="B126" s="62" t="s">
        <v>1180</v>
      </c>
      <c r="C126" s="68" t="n">
        <f aca="false">IF(AND(ISNUMBER(C65),ISNUMBER(C86)),C65+C74+C86+C87,"SLO 不可達")</f>
        <v>689181.096248015</v>
      </c>
      <c r="D126" s="68" t="n">
        <f aca="false">IF(AND(ISNUMBER(D65),ISNUMBER(D86)),D65+D74+D86+D87,"SLO 不可達")</f>
        <v>2654208.29934433</v>
      </c>
      <c r="E126" s="68" t="n">
        <f aca="false">IF(AND(ISNUMBER(E65),ISNUMBER(E86)),E65+E74+E86+E87,"SLO 不可達")</f>
        <v>44143157.7797533</v>
      </c>
      <c r="F126" s="68" t="n">
        <f aca="false">IF(AND(ISNUMBER(F65),ISNUMBER(F86)),F65+F74+F86+F87,"SLO 不可達")</f>
        <v>154770.265521203</v>
      </c>
      <c r="G126" s="68" t="n">
        <f aca="false">IF(AND(ISNUMBER(G65),ISNUMBER(G86)),G65+G74+G86+G87,"SLO 不可達")</f>
        <v>570158.075967781</v>
      </c>
      <c r="H126" s="68" t="n">
        <f aca="false">IF(AND(ISNUMBER(H65),ISNUMBER(H86)),H65+H74+H86+H87,"SLO 不可達")</f>
        <v>9470984.31652877</v>
      </c>
      <c r="I126" s="68" t="n">
        <f aca="false">IF(AND(ISNUMBER(I65),ISNUMBER(I86)),I65+I74+I86+I87,"SLO 不可達")</f>
        <v>103180.177014136</v>
      </c>
      <c r="J126" s="68" t="n">
        <f aca="false">IF(AND(ISNUMBER(J65),ISNUMBER(J86)),J65+J74+J86+J87,"SLO 不可達")</f>
        <v>380105.383978521</v>
      </c>
      <c r="K126" s="68" t="n">
        <f aca="false">IF(AND(ISNUMBER(K65),ISNUMBER(K86)),K65+K74+K86+K87,"SLO 不可達")</f>
        <v>6550587.3610381</v>
      </c>
      <c r="L126" s="68" t="n">
        <f aca="false">IF(AND(ISNUMBER(L65),ISNUMBER(L86)),L65+L74+L86+L87,"SLO 不可達")</f>
        <v>58445.864632259</v>
      </c>
      <c r="M126" s="68" t="n">
        <f aca="false">IF(AND(ISNUMBER(M65),ISNUMBER(M86)),M65+M74+M86+M87,"SLO 不可達")</f>
        <v>209542.386794135</v>
      </c>
      <c r="N126" s="68" t="n">
        <f aca="false">IF(AND(ISNUMBER(N65),ISNUMBER(N86)),N65+N74+N86+N87,"SLO 不可達")</f>
        <v>3404528.00266708</v>
      </c>
      <c r="O126" s="68" t="n">
        <f aca="false">IF(AND(ISNUMBER(O65),ISNUMBER(O86)),O65+O74+O86+O87,"SLO 不可達")</f>
        <v>21917.6838836303</v>
      </c>
      <c r="P126" s="68" t="n">
        <f aca="false">IF(AND(ISNUMBER(P65),ISNUMBER(P86)),P65+P74+P86+P87,"SLO 不可達")</f>
        <v>77990.4668776312</v>
      </c>
      <c r="Q126" s="68" t="n">
        <f aca="false">IF(AND(ISNUMBER(Q65),ISNUMBER(Q86)),Q65+Q74+Q86+Q87,"SLO 不可達")</f>
        <v>1244725.46403241</v>
      </c>
    </row>
    <row r="127" customFormat="false" ht="15" hidden="false" customHeight="false" outlineLevel="0" collapsed="false">
      <c r="A127" s="61" t="s">
        <v>1265</v>
      </c>
      <c r="B127" s="62" t="s">
        <v>1180</v>
      </c>
      <c r="C127" s="68" t="n">
        <f aca="false">C51+C72+C89</f>
        <v>467741.362225214</v>
      </c>
      <c r="D127" s="68" t="n">
        <f aca="false">D51+D72+D89</f>
        <v>1609175.97992</v>
      </c>
      <c r="E127" s="68" t="n">
        <f aca="false">E51+E72+E89</f>
        <v>22139004.1120656</v>
      </c>
      <c r="F127" s="68" t="n">
        <f aca="false">F51+F72+F89</f>
        <v>185132.03116874</v>
      </c>
      <c r="G127" s="68" t="n">
        <f aca="false">G51+G72+G89</f>
        <v>636911.852852338</v>
      </c>
      <c r="H127" s="68" t="n">
        <f aca="false">H51+H72+H89</f>
        <v>8762617.82755555</v>
      </c>
      <c r="I127" s="68" t="n">
        <f aca="false">I51+I72+I89</f>
        <v>185132.03116874</v>
      </c>
      <c r="J127" s="68" t="n">
        <f aca="false">J51+J72+J89</f>
        <v>636911.852852338</v>
      </c>
      <c r="K127" s="68" t="n">
        <f aca="false">K51+K72+K89</f>
        <v>8762617.82755555</v>
      </c>
      <c r="L127" s="68" t="n">
        <f aca="false">L51+L72+L89</f>
        <v>58772.0733869014</v>
      </c>
      <c r="M127" s="68" t="n">
        <f aca="false">M51+M72+M89</f>
        <v>202194.239000742</v>
      </c>
      <c r="N127" s="68" t="n">
        <f aca="false">N51+N72+N89</f>
        <v>2781783.43731922</v>
      </c>
      <c r="O127" s="68" t="n">
        <f aca="false">O51+O72+O89</f>
        <v>29386.0366934507</v>
      </c>
      <c r="P127" s="68" t="n">
        <f aca="false">P51+P72+P89</f>
        <v>101097.119500371</v>
      </c>
      <c r="Q127" s="68" t="n">
        <f aca="false">Q51+Q72+Q89</f>
        <v>1390891.71865961</v>
      </c>
    </row>
    <row r="128" customFormat="false" ht="15" hidden="false" customHeight="false" outlineLevel="0" collapsed="false">
      <c r="A128" s="61" t="s">
        <v>1266</v>
      </c>
      <c r="B128" s="62" t="s">
        <v>1180</v>
      </c>
      <c r="C128" s="68" t="n">
        <f aca="false">IF(AND(ISNUMBER(C105)),C105,"SLO 不可達")</f>
        <v>3812019.77251572</v>
      </c>
      <c r="D128" s="68" t="n">
        <f aca="false">IF(AND(ISNUMBER(D105)),D105,"SLO 不可達")</f>
        <v>7658315.07789158</v>
      </c>
      <c r="E128" s="68" t="n">
        <f aca="false">IF(AND(ISNUMBER(E105)),E105,"SLO 不可達")</f>
        <v>11803314.6687264</v>
      </c>
      <c r="F128" s="68" t="n">
        <f aca="false">IF(AND(ISNUMBER(F105)),F105,"SLO 不可達")</f>
        <v>820384.117063266</v>
      </c>
      <c r="G128" s="68" t="n">
        <f aca="false">IF(AND(ISNUMBER(G105)),G105,"SLO 不可達")</f>
        <v>1648115.37671739</v>
      </c>
      <c r="H128" s="68" t="n">
        <f aca="false">IF(AND(ISNUMBER(H105)),H105,"SLO 不可達")</f>
        <v>2540028.48827918</v>
      </c>
      <c r="I128" s="68" t="n">
        <f aca="false">IF(AND(ISNUMBER(I105)),I105,"SLO 不可達")</f>
        <v>567443.983911165</v>
      </c>
      <c r="J128" s="68" t="n">
        <f aca="false">IF(AND(ISNUMBER(J105)),J105,"SLO 不可達")</f>
        <v>1139786.0628829</v>
      </c>
      <c r="K128" s="68" t="n">
        <f aca="false">IF(AND(ISNUMBER(K105)),K105,"SLO 不可達")</f>
        <v>1756968.16704665</v>
      </c>
      <c r="L128" s="68" t="n">
        <f aca="false">IF(AND(ISNUMBER(L105)),L105,"SLO 不可達")</f>
        <v>295076.931280297</v>
      </c>
      <c r="M128" s="68" t="n">
        <f aca="false">IF(AND(ISNUMBER(M105)),M105,"SLO 不可達")</f>
        <v>592838.408093639</v>
      </c>
      <c r="N128" s="68" t="n">
        <f aca="false">IF(AND(ISNUMBER(N105)),N105,"SLO 不可達")</f>
        <v>913542.128737021</v>
      </c>
      <c r="O128" s="68" t="n">
        <f aca="false">IF(AND(ISNUMBER(O105)),O105,"SLO 不可達")</f>
        <v>107805.489254781</v>
      </c>
      <c r="P128" s="68" t="n">
        <f aca="false">IF(AND(ISNUMBER(P105)),P105,"SLO 不可達")</f>
        <v>216605.67220172</v>
      </c>
      <c r="Q128" s="68" t="n">
        <f aca="false">IF(AND(ISNUMBER(Q105)),Q105,"SLO 不可達")</f>
        <v>333749.222961523</v>
      </c>
    </row>
    <row r="129" customFormat="false" ht="15" hidden="false" customHeight="false" outlineLevel="0" collapsed="false">
      <c r="A129" s="61" t="s">
        <v>1267</v>
      </c>
      <c r="B129" s="62" t="s">
        <v>1180</v>
      </c>
      <c r="C129" s="68" t="n">
        <f aca="false">IF(AND(ISNUMBER(C121)),C121,"SLO 不可達")</f>
        <v>51044486.1920604</v>
      </c>
      <c r="D129" s="68" t="n">
        <f aca="false">IF(AND(ISNUMBER(D121)),D121,"SLO 不可達")</f>
        <v>141764297.411824</v>
      </c>
      <c r="E129" s="68" t="n">
        <f aca="false">IF(AND(ISNUMBER(E121)),E121,"SLO 不可達")</f>
        <v>863266747.813099</v>
      </c>
      <c r="F129" s="68" t="n">
        <f aca="false">IF(AND(ISNUMBER(F121)),F121,"SLO 不可達")</f>
        <v>14558461.185912</v>
      </c>
      <c r="G129" s="68" t="n">
        <f aca="false">IF(AND(ISNUMBER(G121)),G121,"SLO 不可達")</f>
        <v>43066345.8154263</v>
      </c>
      <c r="H129" s="68" t="n">
        <f aca="false">IF(AND(ISNUMBER(H121)),H121,"SLO 不可達")</f>
        <v>270752771.852322</v>
      </c>
      <c r="I129" s="68" t="n">
        <f aca="false">IF(AND(ISNUMBER(I121)),I121,"SLO 不可達")</f>
        <v>12426749.6342978</v>
      </c>
      <c r="J129" s="68" t="n">
        <f aca="false">IF(AND(ISNUMBER(J121)),J121,"SLO 不可達")</f>
        <v>38177671.7746601</v>
      </c>
      <c r="K129" s="68" t="n">
        <f aca="false">IF(AND(ISNUMBER(K121)),K121,"SLO 不可達")</f>
        <v>244828570.91526</v>
      </c>
      <c r="L129" s="68" t="n">
        <f aca="false">IF(AND(ISNUMBER(L121)),L121,"SLO 不可達")</f>
        <v>4929383.54212463</v>
      </c>
      <c r="M129" s="68" t="n">
        <f aca="false">IF(AND(ISNUMBER(M121)),M121,"SLO 不可達")</f>
        <v>14359024.8171129</v>
      </c>
      <c r="N129" s="68" t="n">
        <f aca="false">IF(AND(ISNUMBER(N121)),N121,"SLO 不可達")</f>
        <v>89488612.259088</v>
      </c>
      <c r="O129" s="68" t="n">
        <f aca="false">IF(AND(ISNUMBER(O121)),O121,"SLO 不可達")</f>
        <v>2135424.19733724</v>
      </c>
      <c r="P129" s="68" t="n">
        <f aca="false">IF(AND(ISNUMBER(P121)),P121,"SLO 不可達")</f>
        <v>6433352.60000468</v>
      </c>
      <c r="Q129" s="68" t="n">
        <f aca="false">IF(AND(ISNUMBER(Q121)),Q121,"SLO 不可達")</f>
        <v>40680383.4785872</v>
      </c>
    </row>
    <row r="130" customFormat="false" ht="15" hidden="false" customHeight="false" outlineLevel="0" collapsed="false">
      <c r="A130" s="76" t="s">
        <v>1268</v>
      </c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</row>
    <row r="131" customFormat="false" ht="15" hidden="false" customHeight="false" outlineLevel="0" collapsed="false">
      <c r="A131" s="61" t="s">
        <v>1269</v>
      </c>
      <c r="B131" s="62" t="s">
        <v>1180</v>
      </c>
      <c r="C131" s="71" t="n">
        <f aca="false">IF(COUNT(INDEX($C$106:$Q$106,1,3*(C$6-1)+1):INDEX($C$106:$Q$106,1,3*(C$6-1)+3))=3,SUMIF($C$6:$Q$6,C$6,$C$106:$Q$106),"SLO 不可達")</f>
        <v>150867933.059569</v>
      </c>
      <c r="D131" s="71" t="n">
        <f aca="false">IF(COUNT(INDEX($C$106:$Q$106,1,3*(D$6-1)+1):INDEX($C$106:$Q$106,1,3*(D$6-1)+3))=3,SUMIF($C$6:$Q$6,D$6,$C$106:$Q$106),"SLO 不可達")</f>
        <v>150867933.059569</v>
      </c>
      <c r="E131" s="71" t="n">
        <f aca="false">IF(COUNT(INDEX($C$106:$Q$106,1,3*(E$6-1)+1):INDEX($C$106:$Q$106,1,3*(E$6-1)+3))=3,SUMIF($C$6:$Q$6,E$6,$C$106:$Q$106),"SLO 不可達")</f>
        <v>150867933.059569</v>
      </c>
      <c r="F131" s="71" t="n">
        <f aca="false">IF(COUNT(INDEX($C$106:$Q$106,1,3*(F$6-1)+1):INDEX($C$106:$Q$106,1,3*(F$6-1)+3))=3,SUMIF($C$6:$Q$6,F$6,$C$106:$Q$106),"SLO 不可達")</f>
        <v>46911082.6933801</v>
      </c>
      <c r="G131" s="71" t="n">
        <f aca="false">IF(COUNT(INDEX($C$106:$Q$106,1,3*(G$6-1)+1):INDEX($C$106:$Q$106,1,3*(G$6-1)+3))=3,SUMIF($C$6:$Q$6,G$6,$C$106:$Q$106),"SLO 不可達")</f>
        <v>46911082.6933801</v>
      </c>
      <c r="H131" s="71" t="n">
        <f aca="false">IF(COUNT(INDEX($C$106:$Q$106,1,3*(H$6-1)+1):INDEX($C$106:$Q$106,1,3*(H$6-1)+3))=3,SUMIF($C$6:$Q$6,H$6,$C$106:$Q$106),"SLO 不可達")</f>
        <v>46911082.6933801</v>
      </c>
      <c r="I131" s="71" t="n">
        <f aca="false">IF(COUNT(INDEX($C$106:$Q$106,1,3*(I$6-1)+1):INDEX($C$106:$Q$106,1,3*(I$6-1)+3))=3,SUMIF($C$6:$Q$6,I$6,$C$106:$Q$106),"SLO 不可達")</f>
        <v>42204713.189174</v>
      </c>
      <c r="J131" s="71" t="n">
        <f aca="false">IF(COUNT(INDEX($C$106:$Q$106,1,3*(J$6-1)+1):INDEX($C$106:$Q$106,1,3*(J$6-1)+3))=3,SUMIF($C$6:$Q$6,J$6,$C$106:$Q$106),"SLO 不可達")</f>
        <v>42204713.189174</v>
      </c>
      <c r="K131" s="71" t="n">
        <f aca="false">IF(COUNT(INDEX($C$106:$Q$106,1,3*(K$6-1)+1):INDEX($C$106:$Q$106,1,3*(K$6-1)+3))=3,SUMIF($C$6:$Q$6,K$6,$C$106:$Q$106),"SLO 不可達")</f>
        <v>42204713.189174</v>
      </c>
      <c r="L131" s="71" t="n">
        <f aca="false">IF(COUNT(INDEX($C$106:$Q$106,1,3*(L$6-1)+1):INDEX($C$106:$Q$106,1,3*(L$6-1)+3))=3,SUMIF($C$6:$Q$6,L$6,$C$106:$Q$106),"SLO 不可達")</f>
        <v>15539574.3740465</v>
      </c>
      <c r="M131" s="71" t="n">
        <f aca="false">IF(COUNT(INDEX($C$106:$Q$106,1,3*(M$6-1)+1):INDEX($C$106:$Q$106,1,3*(M$6-1)+3))=3,SUMIF($C$6:$Q$6,M$6,$C$106:$Q$106),"SLO 不可達")</f>
        <v>15539574.3740465</v>
      </c>
      <c r="N131" s="71" t="n">
        <f aca="false">IF(COUNT(INDEX($C$106:$Q$106,1,3*(N$6-1)+1):INDEX($C$106:$Q$106,1,3*(N$6-1)+3))=3,SUMIF($C$6:$Q$6,N$6,$C$106:$Q$106),"SLO 不可達")</f>
        <v>15539574.3740465</v>
      </c>
      <c r="O131" s="71" t="n">
        <f aca="false">IF(COUNT(INDEX($C$106:$Q$106,1,3*(O$6-1)+1):INDEX($C$106:$Q$106,1,3*(O$6-1)+3))=3,SUMIF($C$6:$Q$6,O$6,$C$106:$Q$106),"SLO 不可達")</f>
        <v>7035594.32513273</v>
      </c>
      <c r="P131" s="71" t="n">
        <f aca="false">IF(COUNT(INDEX($C$106:$Q$106,1,3*(P$6-1)+1):INDEX($C$106:$Q$106,1,3*(P$6-1)+3))=3,SUMIF($C$6:$Q$6,P$6,$C$106:$Q$106),"SLO 不可達")</f>
        <v>7035594.32513273</v>
      </c>
      <c r="Q131" s="71" t="n">
        <f aca="false">IF(COUNT(INDEX($C$106:$Q$106,1,3*(Q$6-1)+1):INDEX($C$106:$Q$106,1,3*(Q$6-1)+3))=3,SUMIF($C$6:$Q$6,Q$6,$C$106:$Q$106),"SLO 不可達")</f>
        <v>7035594.32513273</v>
      </c>
    </row>
    <row r="132" customFormat="false" ht="15" hidden="false" customHeight="false" outlineLevel="0" collapsed="false">
      <c r="A132" s="61" t="s">
        <v>1270</v>
      </c>
      <c r="B132" s="62" t="s">
        <v>1180</v>
      </c>
      <c r="C132" s="71" t="n">
        <f aca="false">IF(COUNT(INDEX($C$120:$Q$120,1,3*(C$6-1)+1):INDEX($C$120:$Q$120,1,3*(C$6-1)+3))=3,SUMIF($C$6:$Q$6,C$6,$C$120:$Q$120),"SLO 不可達")</f>
        <v>1206943464.47655</v>
      </c>
      <c r="D132" s="71" t="n">
        <f aca="false">IF(COUNT(INDEX($C$120:$Q$120,1,3*(D$6-1)+1):INDEX($C$120:$Q$120,1,3*(D$6-1)+3))=3,SUMIF($C$6:$Q$6,D$6,$C$120:$Q$120),"SLO 不可達")</f>
        <v>1206943464.47655</v>
      </c>
      <c r="E132" s="71" t="n">
        <f aca="false">IF(COUNT(INDEX($C$120:$Q$120,1,3*(E$6-1)+1):INDEX($C$120:$Q$120,1,3*(E$6-1)+3))=3,SUMIF($C$6:$Q$6,E$6,$C$120:$Q$120),"SLO 不可達")</f>
        <v>1206943464.47655</v>
      </c>
      <c r="F132" s="71" t="n">
        <f aca="false">IF(COUNT(INDEX($C$120:$Q$120,1,3*(F$6-1)+1):INDEX($C$120:$Q$120,1,3*(F$6-1)+3))=3,SUMIF($C$6:$Q$6,F$6,$C$120:$Q$120),"SLO 不可達")</f>
        <v>375288661.547041</v>
      </c>
      <c r="G132" s="71" t="n">
        <f aca="false">IF(COUNT(INDEX($C$120:$Q$120,1,3*(G$6-1)+1):INDEX($C$120:$Q$120,1,3*(G$6-1)+3))=3,SUMIF($C$6:$Q$6,G$6,$C$120:$Q$120),"SLO 不可達")</f>
        <v>375288661.547041</v>
      </c>
      <c r="H132" s="71" t="n">
        <f aca="false">IF(COUNT(INDEX($C$120:$Q$120,1,3*(H$6-1)+1):INDEX($C$120:$Q$120,1,3*(H$6-1)+3))=3,SUMIF($C$6:$Q$6,H$6,$C$120:$Q$120),"SLO 不可達")</f>
        <v>375288661.547041</v>
      </c>
      <c r="I132" s="71" t="n">
        <f aca="false">IF(COUNT(INDEX($C$120:$Q$120,1,3*(I$6-1)+1):INDEX($C$120:$Q$120,1,3*(I$6-1)+3))=3,SUMIF($C$6:$Q$6,I$6,$C$120:$Q$120),"SLO 不可達")</f>
        <v>337637705.513392</v>
      </c>
      <c r="J132" s="71" t="n">
        <f aca="false">IF(COUNT(INDEX($C$120:$Q$120,1,3*(J$6-1)+1):INDEX($C$120:$Q$120,1,3*(J$6-1)+3))=3,SUMIF($C$6:$Q$6,J$6,$C$120:$Q$120),"SLO 不可達")</f>
        <v>337637705.513392</v>
      </c>
      <c r="K132" s="71" t="n">
        <f aca="false">IF(COUNT(INDEX($C$120:$Q$120,1,3*(K$6-1)+1):INDEX($C$120:$Q$120,1,3*(K$6-1)+3))=3,SUMIF($C$6:$Q$6,K$6,$C$120:$Q$120),"SLO 不可達")</f>
        <v>337637705.513392</v>
      </c>
      <c r="L132" s="71" t="n">
        <f aca="false">IF(COUNT(INDEX($C$120:$Q$120,1,3*(L$6-1)+1):INDEX($C$120:$Q$120,1,3*(L$6-1)+3))=3,SUMIF($C$6:$Q$6,L$6,$C$120:$Q$120),"SLO 不可達")</f>
        <v>124316594.992372</v>
      </c>
      <c r="M132" s="71" t="n">
        <f aca="false">IF(COUNT(INDEX($C$120:$Q$120,1,3*(M$6-1)+1):INDEX($C$120:$Q$120,1,3*(M$6-1)+3))=3,SUMIF($C$6:$Q$6,M$6,$C$120:$Q$120),"SLO 不可達")</f>
        <v>124316594.992372</v>
      </c>
      <c r="N132" s="71" t="n">
        <f aca="false">IF(COUNT(INDEX($C$120:$Q$120,1,3*(N$6-1)+1):INDEX($C$120:$Q$120,1,3*(N$6-1)+3))=3,SUMIF($C$6:$Q$6,N$6,$C$120:$Q$120),"SLO 不可達")</f>
        <v>124316594.992372</v>
      </c>
      <c r="O132" s="71" t="n">
        <f aca="false">IF(COUNT(INDEX($C$120:$Q$120,1,3*(O$6-1)+1):INDEX($C$120:$Q$120,1,3*(O$6-1)+3))=3,SUMIF($C$6:$Q$6,O$6,$C$120:$Q$120),"SLO 不可達")</f>
        <v>56284754.6010618</v>
      </c>
      <c r="P132" s="71" t="n">
        <f aca="false">IF(COUNT(INDEX($C$120:$Q$120,1,3*(P$6-1)+1):INDEX($C$120:$Q$120,1,3*(P$6-1)+3))=3,SUMIF($C$6:$Q$6,P$6,$C$120:$Q$120),"SLO 不可達")</f>
        <v>56284754.6010618</v>
      </c>
      <c r="Q132" s="71" t="n">
        <f aca="false">IF(COUNT(INDEX($C$120:$Q$120,1,3*(Q$6-1)+1):INDEX($C$120:$Q$120,1,3*(Q$6-1)+3))=3,SUMIF($C$6:$Q$6,Q$6,$C$120:$Q$120),"SLO 不可達")</f>
        <v>56284754.6010618</v>
      </c>
    </row>
    <row r="133" customFormat="false" ht="15" hidden="false" customHeight="false" outlineLevel="0" collapsed="false">
      <c r="A133" s="61" t="s">
        <v>1271</v>
      </c>
      <c r="B133" s="62" t="s">
        <v>1021</v>
      </c>
      <c r="C133" s="71" t="n">
        <f aca="false">IF(COUNT(INDEX($C$122:$Q$122,1,3*(C$6-1)+1):INDEX($C$122:$Q$122,1,3*(C$6-1)+3))=3,SUMIF($C$6:$Q$6,C$6,$C$122:$Q$122),"SLO 不可達")</f>
        <v>1861.82682175876</v>
      </c>
      <c r="D133" s="71" t="n">
        <f aca="false">IF(COUNT(INDEX($C$122:$Q$122,1,3*(D$6-1)+1):INDEX($C$122:$Q$122,1,3*(D$6-1)+3))=3,SUMIF($C$6:$Q$6,D$6,$C$122:$Q$122),"SLO 不可達")</f>
        <v>1861.82682175876</v>
      </c>
      <c r="E133" s="71" t="n">
        <f aca="false">IF(COUNT(INDEX($C$122:$Q$122,1,3*(E$6-1)+1):INDEX($C$122:$Q$122,1,3*(E$6-1)+3))=3,SUMIF($C$6:$Q$6,E$6,$C$122:$Q$122),"SLO 不可達")</f>
        <v>1861.82682175876</v>
      </c>
      <c r="F133" s="71" t="n">
        <f aca="false">IF(COUNT(INDEX($C$122:$Q$122,1,3*(F$6-1)+1):INDEX($C$122:$Q$122,1,3*(F$6-1)+3))=3,SUMIF($C$6:$Q$6,F$6,$C$122:$Q$122),"SLO 不可達")</f>
        <v>753.75263915372</v>
      </c>
      <c r="G133" s="71" t="n">
        <f aca="false">IF(COUNT(INDEX($C$122:$Q$122,1,3*(G$6-1)+1):INDEX($C$122:$Q$122,1,3*(G$6-1)+3))=3,SUMIF($C$6:$Q$6,G$6,$C$122:$Q$122),"SLO 不可達")</f>
        <v>753.75263915372</v>
      </c>
      <c r="H133" s="71" t="n">
        <f aca="false">IF(COUNT(INDEX($C$122:$Q$122,1,3*(H$6-1)+1):INDEX($C$122:$Q$122,1,3*(H$6-1)+3))=3,SUMIF($C$6:$Q$6,H$6,$C$122:$Q$122),"SLO 不可達")</f>
        <v>753.75263915372</v>
      </c>
      <c r="I133" s="71" t="n">
        <f aca="false">IF(COUNT(INDEX($C$122:$Q$122,1,3*(I$6-1)+1):INDEX($C$122:$Q$122,1,3*(I$6-1)+3))=3,SUMIF($C$6:$Q$6,I$6,$C$122:$Q$122),"SLO 不可達")</f>
        <v>861.579714710739</v>
      </c>
      <c r="J133" s="71" t="n">
        <f aca="false">IF(COUNT(INDEX($C$122:$Q$122,1,3*(J$6-1)+1):INDEX($C$122:$Q$122,1,3*(J$6-1)+3))=3,SUMIF($C$6:$Q$6,J$6,$C$122:$Q$122),"SLO 不可達")</f>
        <v>861.579714710739</v>
      </c>
      <c r="K133" s="71" t="n">
        <f aca="false">IF(COUNT(INDEX($C$122:$Q$122,1,3*(K$6-1)+1):INDEX($C$122:$Q$122,1,3*(K$6-1)+3))=3,SUMIF($C$6:$Q$6,K$6,$C$122:$Q$122),"SLO 不可達")</f>
        <v>861.579714710739</v>
      </c>
      <c r="L133" s="71" t="n">
        <f aca="false">IF(COUNT(INDEX($C$122:$Q$122,1,3*(L$6-1)+1):INDEX($C$122:$Q$122,1,3*(L$6-1)+3))=3,SUMIF($C$6:$Q$6,L$6,$C$122:$Q$122),"SLO 不可達")</f>
        <v>594.687304305456</v>
      </c>
      <c r="M133" s="71" t="n">
        <f aca="false">IF(COUNT(INDEX($C$122:$Q$122,1,3*(M$6-1)+1):INDEX($C$122:$Q$122,1,3*(M$6-1)+3))=3,SUMIF($C$6:$Q$6,M$6,$C$122:$Q$122),"SLO 不可達")</f>
        <v>594.687304305456</v>
      </c>
      <c r="N133" s="71" t="n">
        <f aca="false">IF(COUNT(INDEX($C$122:$Q$122,1,3*(N$6-1)+1):INDEX($C$122:$Q$122,1,3*(N$6-1)+3))=3,SUMIF($C$6:$Q$6,N$6,$C$122:$Q$122),"SLO 不可達")</f>
        <v>594.687304305456</v>
      </c>
      <c r="O133" s="71" t="n">
        <f aca="false">IF(COUNT(INDEX($C$122:$Q$122,1,3*(O$6-1)+1):INDEX($C$122:$Q$122,1,3*(O$6-1)+3))=3,SUMIF($C$6:$Q$6,O$6,$C$122:$Q$122),"SLO 不可達")</f>
        <v>506.549737229307</v>
      </c>
      <c r="P133" s="71" t="n">
        <f aca="false">IF(COUNT(INDEX($C$122:$Q$122,1,3*(P$6-1)+1):INDEX($C$122:$Q$122,1,3*(P$6-1)+3))=3,SUMIF($C$6:$Q$6,P$6,$C$122:$Q$122),"SLO 不可達")</f>
        <v>506.549737229307</v>
      </c>
      <c r="Q133" s="71" t="n">
        <f aca="false">IF(COUNT(INDEX($C$122:$Q$122,1,3*(Q$6-1)+1):INDEX($C$122:$Q$122,1,3*(Q$6-1)+3))=3,SUMIF($C$6:$Q$6,Q$6,$C$122:$Q$122),"SLO 不可達")</f>
        <v>506.549737229307</v>
      </c>
    </row>
    <row r="134" customFormat="false" ht="15" hidden="false" customHeight="false" outlineLevel="0" collapsed="false">
      <c r="A134" s="61" t="s">
        <v>1272</v>
      </c>
      <c r="B134" s="62" t="s">
        <v>113</v>
      </c>
      <c r="C134" s="100" t="n">
        <f aca="false">IF(COUNT(INDEX($C$123:$Q$123,1,3*(C$6-1)+1):INDEX($C$123:$Q$123,1,3*(C$6-1)+3))=3,SUMIF($C$6:$Q$6,C$6,$C$123:$Q$123),"SLO 不可達")</f>
        <v>0.191879838535831</v>
      </c>
      <c r="D134" s="100" t="n">
        <f aca="false">IF(COUNT(INDEX($C$123:$Q$123,1,3*(D$6-1)+1):INDEX($C$123:$Q$123,1,3*(D$6-1)+3))=3,SUMIF($C$6:$Q$6,D$6,$C$123:$Q$123),"SLO 不可達")</f>
        <v>0.191879838535831</v>
      </c>
      <c r="E134" s="100" t="n">
        <f aca="false">IF(COUNT(INDEX($C$123:$Q$123,1,3*(E$6-1)+1):INDEX($C$123:$Q$123,1,3*(E$6-1)+3))=3,SUMIF($C$6:$Q$6,E$6,$C$123:$Q$123),"SLO 不可達")</f>
        <v>0.191879838535831</v>
      </c>
      <c r="F134" s="100" t="n">
        <f aca="false">IF(COUNT(INDEX($C$123:$Q$123,1,3*(F$6-1)+1):INDEX($C$123:$Q$123,1,3*(F$6-1)+3))=3,SUMIF($C$6:$Q$6,F$6,$C$123:$Q$123),"SLO 不可達")</f>
        <v>0.0853804375916351</v>
      </c>
      <c r="G134" s="100" t="n">
        <f aca="false">IF(COUNT(INDEX($C$123:$Q$123,1,3*(G$6-1)+1):INDEX($C$123:$Q$123,1,3*(G$6-1)+3))=3,SUMIF($C$6:$Q$6,G$6,$C$123:$Q$123),"SLO 不可達")</f>
        <v>0.0853804375916351</v>
      </c>
      <c r="H134" s="100" t="n">
        <f aca="false">IF(COUNT(INDEX($C$123:$Q$123,1,3*(H$6-1)+1):INDEX($C$123:$Q$123,1,3*(H$6-1)+3))=3,SUMIF($C$6:$Q$6,H$6,$C$123:$Q$123),"SLO 不可達")</f>
        <v>0.0853804375916351</v>
      </c>
      <c r="I134" s="100" t="n">
        <f aca="false">IF(COUNT(INDEX($C$123:$Q$123,1,3*(I$6-1)+1):INDEX($C$123:$Q$123,1,3*(I$6-1)+3))=3,SUMIF($C$6:$Q$6,I$6,$C$123:$Q$123),"SLO 不可達")</f>
        <v>0.0791426774667742</v>
      </c>
      <c r="J134" s="100" t="n">
        <f aca="false">IF(COUNT(INDEX($C$123:$Q$123,1,3*(J$6-1)+1):INDEX($C$123:$Q$123,1,3*(J$6-1)+3))=3,SUMIF($C$6:$Q$6,J$6,$C$123:$Q$123),"SLO 不可達")</f>
        <v>0.0791426774667742</v>
      </c>
      <c r="K134" s="100" t="n">
        <f aca="false">IF(COUNT(INDEX($C$123:$Q$123,1,3*(K$6-1)+1):INDEX($C$123:$Q$123,1,3*(K$6-1)+3))=3,SUMIF($C$6:$Q$6,K$6,$C$123:$Q$123),"SLO 不可達")</f>
        <v>0.0791426774667742</v>
      </c>
      <c r="L134" s="100" t="n">
        <f aca="false">IF(COUNT(INDEX($C$123:$Q$123,1,3*(L$6-1)+1):INDEX($C$123:$Q$123,1,3*(L$6-1)+3))=3,SUMIF($C$6:$Q$6,L$6,$C$123:$Q$123),"SLO 不可達")</f>
        <v>0.0486433041379322</v>
      </c>
      <c r="M134" s="100" t="n">
        <f aca="false">IF(COUNT(INDEX($C$123:$Q$123,1,3*(M$6-1)+1):INDEX($C$123:$Q$123,1,3*(M$6-1)+3))=3,SUMIF($C$6:$Q$6,M$6,$C$123:$Q$123),"SLO 不可達")</f>
        <v>0.0486433041379322</v>
      </c>
      <c r="N134" s="100" t="n">
        <f aca="false">IF(COUNT(INDEX($C$123:$Q$123,1,3*(N$6-1)+1):INDEX($C$123:$Q$123,1,3*(N$6-1)+3))=3,SUMIF($C$6:$Q$6,N$6,$C$123:$Q$123),"SLO 不可達")</f>
        <v>0.0486433041379322</v>
      </c>
      <c r="O134" s="100" t="n">
        <f aca="false">IF(COUNT(INDEX($C$123:$Q$123,1,3*(O$6-1)+1):INDEX($C$123:$Q$123,1,3*(O$6-1)+3))=3,SUMIF($C$6:$Q$6,O$6,$C$123:$Q$123),"SLO 不可達")</f>
        <v>0.0329903486184271</v>
      </c>
      <c r="P134" s="100" t="n">
        <f aca="false">IF(COUNT(INDEX($C$123:$Q$123,1,3*(P$6-1)+1):INDEX($C$123:$Q$123,1,3*(P$6-1)+3))=3,SUMIF($C$6:$Q$6,P$6,$C$123:$Q$123),"SLO 不可達")</f>
        <v>0.0329903486184271</v>
      </c>
      <c r="Q134" s="100" t="n">
        <f aca="false">IF(COUNT(INDEX($C$123:$Q$123,1,3*(Q$6-1)+1):INDEX($C$123:$Q$123,1,3*(Q$6-1)+3))=3,SUMIF($C$6:$Q$6,Q$6,$C$123:$Q$123),"SLO 不可達")</f>
        <v>0.0329903486184271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34" min="3" style="0" width="13"/>
  </cols>
  <sheetData>
    <row r="1" customFormat="false" ht="20.1" hidden="false" customHeight="false" outlineLevel="0" collapsed="false">
      <c r="A1" s="58" t="s">
        <v>1273</v>
      </c>
    </row>
    <row r="2" customFormat="false" ht="15" hidden="false" customHeight="false" outlineLevel="0" collapsed="false">
      <c r="A2" s="74" t="s">
        <v>1274</v>
      </c>
    </row>
    <row r="3" customFormat="false" ht="43.5" hidden="false" customHeight="true" outlineLevel="0" collapsed="false">
      <c r="A3" s="60" t="s">
        <v>959</v>
      </c>
      <c r="C3" s="119" t="s">
        <v>97</v>
      </c>
      <c r="D3" s="119"/>
      <c r="E3" s="119" t="s">
        <v>1275</v>
      </c>
      <c r="F3" s="119"/>
      <c r="G3" s="119" t="s">
        <v>1276</v>
      </c>
      <c r="H3" s="119"/>
      <c r="I3" s="120" t="s">
        <v>1277</v>
      </c>
      <c r="J3" s="120"/>
      <c r="K3" s="119" t="s">
        <v>1278</v>
      </c>
      <c r="L3" s="119"/>
      <c r="M3" s="119" t="s">
        <v>1279</v>
      </c>
      <c r="N3" s="119"/>
      <c r="O3" s="120" t="s">
        <v>1280</v>
      </c>
      <c r="P3" s="120"/>
      <c r="Q3" s="120" t="s">
        <v>1281</v>
      </c>
      <c r="R3" s="120"/>
      <c r="S3" s="120" t="s">
        <v>1282</v>
      </c>
      <c r="T3" s="120"/>
      <c r="U3" s="120" t="s">
        <v>1283</v>
      </c>
      <c r="V3" s="120"/>
      <c r="W3" s="120" t="s">
        <v>1284</v>
      </c>
      <c r="X3" s="120"/>
      <c r="Y3" s="119" t="s">
        <v>1285</v>
      </c>
      <c r="Z3" s="119"/>
      <c r="AA3" s="119" t="s">
        <v>1286</v>
      </c>
      <c r="AB3" s="119"/>
      <c r="AC3" s="119" t="s">
        <v>1287</v>
      </c>
      <c r="AD3" s="119"/>
      <c r="AE3" s="119" t="s">
        <v>1288</v>
      </c>
      <c r="AF3" s="119"/>
      <c r="AG3" s="120" t="s">
        <v>1289</v>
      </c>
      <c r="AH3" s="120"/>
    </row>
    <row r="4" customFormat="false" ht="15" hidden="false" customHeight="false" outlineLevel="0" collapsed="false">
      <c r="A4" s="60" t="s">
        <v>186</v>
      </c>
      <c r="C4" s="82" t="str">
        <f aca="false">INDEX(Spec_Rack!$C$4:$G$4,C6)</f>
        <v>VR200 NVL72</v>
      </c>
      <c r="D4" s="82" t="str">
        <f aca="false">INDEX(Spec_Rack!$C$4:$G$4,D6)</f>
        <v>VR200 NVL72</v>
      </c>
      <c r="E4" s="82" t="str">
        <f aca="false">INDEX(Spec_Rack!$C$4:$G$4,E6)</f>
        <v>VR200 NVL72</v>
      </c>
      <c r="F4" s="82" t="str">
        <f aca="false">INDEX(Spec_Rack!$C$4:$G$4,F6)</f>
        <v>VR200 NVL72</v>
      </c>
      <c r="G4" s="82" t="str">
        <f aca="false">INDEX(Spec_Rack!$C$4:$G$4,G6)</f>
        <v>VR200 NVL72</v>
      </c>
      <c r="H4" s="82" t="str">
        <f aca="false">INDEX(Spec_Rack!$C$4:$G$4,H6)</f>
        <v>VR200 NVL72</v>
      </c>
      <c r="I4" s="82" t="str">
        <f aca="false">INDEX(Spec_Rack!$C$4:$G$4,I6)</f>
        <v>VR200 NVL72</v>
      </c>
      <c r="J4" s="82" t="str">
        <f aca="false">INDEX(Spec_Rack!$C$4:$G$4,J6)</f>
        <v>VR200 NVL72</v>
      </c>
      <c r="K4" s="82" t="str">
        <f aca="false">INDEX(Spec_Rack!$C$4:$G$4,K6)</f>
        <v>VR200 NVL72</v>
      </c>
      <c r="L4" s="82" t="str">
        <f aca="false">INDEX(Spec_Rack!$C$4:$G$4,L6)</f>
        <v>VR200 NVL72</v>
      </c>
      <c r="M4" s="82" t="str">
        <f aca="false">INDEX(Spec_Rack!$C$4:$G$4,M6)</f>
        <v>VR200 NVL72</v>
      </c>
      <c r="N4" s="82" t="str">
        <f aca="false">INDEX(Spec_Rack!$C$4:$G$4,N6)</f>
        <v>VR200 NVL72</v>
      </c>
      <c r="O4" s="82" t="str">
        <f aca="false">INDEX(Spec_Rack!$C$4:$G$4,O6)</f>
        <v>VR200 NVL72</v>
      </c>
      <c r="P4" s="82" t="str">
        <f aca="false">INDEX(Spec_Rack!$C$4:$G$4,P6)</f>
        <v>VR200 NVL72</v>
      </c>
      <c r="Q4" s="82" t="str">
        <f aca="false">INDEX(Spec_Rack!$C$4:$G$4,Q6)</f>
        <v>VR200 NVL72</v>
      </c>
      <c r="R4" s="82" t="str">
        <f aca="false">INDEX(Spec_Rack!$C$4:$G$4,R6)</f>
        <v>VR200 NVL72</v>
      </c>
      <c r="S4" s="82" t="str">
        <f aca="false">INDEX(Spec_Rack!$C$4:$G$4,S6)</f>
        <v>VR200 NVL72</v>
      </c>
      <c r="T4" s="82" t="str">
        <f aca="false">INDEX(Spec_Rack!$C$4:$G$4,T6)</f>
        <v>VR200 NVL72</v>
      </c>
      <c r="U4" s="82" t="str">
        <f aca="false">INDEX(Spec_Rack!$C$4:$G$4,U6)</f>
        <v>VR200 NVL72</v>
      </c>
      <c r="V4" s="82" t="str">
        <f aca="false">INDEX(Spec_Rack!$C$4:$G$4,V6)</f>
        <v>VR200 NVL72</v>
      </c>
      <c r="W4" s="82" t="str">
        <f aca="false">INDEX(Spec_Rack!$C$4:$G$4,W6)</f>
        <v>VR200 NVL72</v>
      </c>
      <c r="X4" s="82" t="str">
        <f aca="false">INDEX(Spec_Rack!$C$4:$G$4,X6)</f>
        <v>VR200 NVL72</v>
      </c>
      <c r="Y4" s="82" t="str">
        <f aca="false">INDEX(Spec_Rack!$C$4:$G$4,Y6)</f>
        <v>VR200 NVL72</v>
      </c>
      <c r="Z4" s="82" t="str">
        <f aca="false">INDEX(Spec_Rack!$C$4:$G$4,Z6)</f>
        <v>VR200 NVL72</v>
      </c>
      <c r="AA4" s="82" t="str">
        <f aca="false">INDEX(Spec_Rack!$C$4:$G$4,AA6)</f>
        <v>VR200 NVL72</v>
      </c>
      <c r="AB4" s="82" t="str">
        <f aca="false">INDEX(Spec_Rack!$C$4:$G$4,AB6)</f>
        <v>VR200 NVL72</v>
      </c>
      <c r="AC4" s="82" t="str">
        <f aca="false">INDEX(Spec_Rack!$C$4:$G$4,AC6)</f>
        <v>VR200 NVL72</v>
      </c>
      <c r="AD4" s="82" t="str">
        <f aca="false">INDEX(Spec_Rack!$C$4:$G$4,AD6)</f>
        <v>VR200 NVL72</v>
      </c>
      <c r="AE4" s="82" t="str">
        <f aca="false">INDEX(Spec_Rack!$C$4:$G$4,AE6)</f>
        <v>VR200 NVL72</v>
      </c>
      <c r="AF4" s="82" t="str">
        <f aca="false">INDEX(Spec_Rack!$C$4:$G$4,AF6)</f>
        <v>VR200 NVL72</v>
      </c>
      <c r="AG4" s="82" t="str">
        <f aca="false">INDEX(Spec_Rack!$C$4:$G$4,AG6)</f>
        <v>VR200 NVL72</v>
      </c>
      <c r="AH4" s="82" t="str">
        <f aca="false">INDEX(Spec_Rack!$C$4:$G$4,AH6)</f>
        <v>VR200 NVL72</v>
      </c>
    </row>
    <row r="5" customFormat="false" ht="15" hidden="false" customHeight="false" outlineLevel="0" collapsed="false">
      <c r="A5" s="60" t="s">
        <v>854</v>
      </c>
      <c r="C5" s="82" t="str">
        <f aca="false">INDEX(Arch!$C$4:$E$4,C7)</f>
        <v>Sol（中層）</v>
      </c>
      <c r="D5" s="82" t="str">
        <f aca="false">INDEX(Arch!$C$4:$E$4,D7)</f>
        <v>Astra（頂層）</v>
      </c>
      <c r="E5" s="82" t="str">
        <f aca="false">INDEX(Arch!$C$4:$E$4,E7)</f>
        <v>Sol（中層）</v>
      </c>
      <c r="F5" s="82" t="str">
        <f aca="false">INDEX(Arch!$C$4:$E$4,F7)</f>
        <v>Astra（頂層）</v>
      </c>
      <c r="G5" s="82" t="str">
        <f aca="false">INDEX(Arch!$C$4:$E$4,G7)</f>
        <v>Sol（中層）</v>
      </c>
      <c r="H5" s="82" t="str">
        <f aca="false">INDEX(Arch!$C$4:$E$4,H7)</f>
        <v>Astra（頂層）</v>
      </c>
      <c r="I5" s="82" t="str">
        <f aca="false">INDEX(Arch!$C$4:$E$4,I7)</f>
        <v>Sol（中層）</v>
      </c>
      <c r="J5" s="82" t="str">
        <f aca="false">INDEX(Arch!$C$4:$E$4,J7)</f>
        <v>Astra（頂層）</v>
      </c>
      <c r="K5" s="82" t="str">
        <f aca="false">INDEX(Arch!$C$4:$E$4,K7)</f>
        <v>Sol（中層）</v>
      </c>
      <c r="L5" s="82" t="str">
        <f aca="false">INDEX(Arch!$C$4:$E$4,L7)</f>
        <v>Astra（頂層）</v>
      </c>
      <c r="M5" s="82" t="str">
        <f aca="false">INDEX(Arch!$C$4:$E$4,M7)</f>
        <v>Sol（中層）</v>
      </c>
      <c r="N5" s="82" t="str">
        <f aca="false">INDEX(Arch!$C$4:$E$4,N7)</f>
        <v>Astra（頂層）</v>
      </c>
      <c r="O5" s="82" t="str">
        <f aca="false">INDEX(Arch!$C$4:$E$4,O7)</f>
        <v>Sol（中層）</v>
      </c>
      <c r="P5" s="82" t="str">
        <f aca="false">INDEX(Arch!$C$4:$E$4,P7)</f>
        <v>Astra（頂層）</v>
      </c>
      <c r="Q5" s="82" t="str">
        <f aca="false">INDEX(Arch!$C$4:$E$4,Q7)</f>
        <v>Sol（中層）</v>
      </c>
      <c r="R5" s="82" t="str">
        <f aca="false">INDEX(Arch!$C$4:$E$4,R7)</f>
        <v>Astra（頂層）</v>
      </c>
      <c r="S5" s="82" t="str">
        <f aca="false">INDEX(Arch!$C$4:$E$4,S7)</f>
        <v>Sol（中層）</v>
      </c>
      <c r="T5" s="82" t="str">
        <f aca="false">INDEX(Arch!$C$4:$E$4,T7)</f>
        <v>Astra（頂層）</v>
      </c>
      <c r="U5" s="82" t="str">
        <f aca="false">INDEX(Arch!$C$4:$E$4,U7)</f>
        <v>Sol（中層）</v>
      </c>
      <c r="V5" s="82" t="str">
        <f aca="false">INDEX(Arch!$C$4:$E$4,V7)</f>
        <v>Astra（頂層）</v>
      </c>
      <c r="W5" s="82" t="str">
        <f aca="false">INDEX(Arch!$C$4:$E$4,W7)</f>
        <v>Sol（中層）</v>
      </c>
      <c r="X5" s="82" t="str">
        <f aca="false">INDEX(Arch!$C$4:$E$4,X7)</f>
        <v>Astra（頂層）</v>
      </c>
      <c r="Y5" s="82" t="str">
        <f aca="false">INDEX(Arch!$C$4:$E$4,Y7)</f>
        <v>Sol（中層）</v>
      </c>
      <c r="Z5" s="82" t="str">
        <f aca="false">INDEX(Arch!$C$4:$E$4,Z7)</f>
        <v>Astra（頂層）</v>
      </c>
      <c r="AA5" s="82" t="str">
        <f aca="false">INDEX(Arch!$C$4:$E$4,AA7)</f>
        <v>Sol（中層）</v>
      </c>
      <c r="AB5" s="82" t="str">
        <f aca="false">INDEX(Arch!$C$4:$E$4,AB7)</f>
        <v>Astra（頂層）</v>
      </c>
      <c r="AC5" s="82" t="str">
        <f aca="false">INDEX(Arch!$C$4:$E$4,AC7)</f>
        <v>Sol（中層）</v>
      </c>
      <c r="AD5" s="82" t="str">
        <f aca="false">INDEX(Arch!$C$4:$E$4,AD7)</f>
        <v>Astra（頂層）</v>
      </c>
      <c r="AE5" s="82" t="str">
        <f aca="false">INDEX(Arch!$C$4:$E$4,AE7)</f>
        <v>Sol（中層）</v>
      </c>
      <c r="AF5" s="82" t="str">
        <f aca="false">INDEX(Arch!$C$4:$E$4,AF7)</f>
        <v>Astra（頂層）</v>
      </c>
      <c r="AG5" s="82" t="str">
        <f aca="false">INDEX(Arch!$C$4:$E$4,AG7)</f>
        <v>Sol（中層）</v>
      </c>
      <c r="AH5" s="82" t="str">
        <f aca="false">INDEX(Arch!$C$4:$E$4,AH7)</f>
        <v>Astra（頂層）</v>
      </c>
    </row>
    <row r="6" customFormat="false" ht="15" hidden="false" customHeight="false" outlineLevel="0" collapsed="false">
      <c r="A6" s="60" t="s">
        <v>469</v>
      </c>
      <c r="C6" s="67" t="n">
        <v>4</v>
      </c>
      <c r="D6" s="67" t="n">
        <v>4</v>
      </c>
      <c r="E6" s="67" t="n">
        <v>4</v>
      </c>
      <c r="F6" s="67" t="n">
        <v>4</v>
      </c>
      <c r="G6" s="67" t="n">
        <v>4</v>
      </c>
      <c r="H6" s="67" t="n">
        <v>4</v>
      </c>
      <c r="I6" s="67" t="n">
        <v>4</v>
      </c>
      <c r="J6" s="67" t="n">
        <v>4</v>
      </c>
      <c r="K6" s="67" t="n">
        <v>4</v>
      </c>
      <c r="L6" s="67" t="n">
        <v>4</v>
      </c>
      <c r="M6" s="67" t="n">
        <v>4</v>
      </c>
      <c r="N6" s="67" t="n">
        <v>4</v>
      </c>
      <c r="O6" s="67" t="n">
        <v>4</v>
      </c>
      <c r="P6" s="67" t="n">
        <v>4</v>
      </c>
      <c r="Q6" s="67" t="n">
        <v>4</v>
      </c>
      <c r="R6" s="67" t="n">
        <v>4</v>
      </c>
      <c r="S6" s="67" t="n">
        <v>4</v>
      </c>
      <c r="T6" s="67" t="n">
        <v>4</v>
      </c>
      <c r="U6" s="67" t="n">
        <v>4</v>
      </c>
      <c r="V6" s="67" t="n">
        <v>4</v>
      </c>
      <c r="W6" s="67" t="n">
        <v>4</v>
      </c>
      <c r="X6" s="67" t="n">
        <v>4</v>
      </c>
      <c r="Y6" s="67" t="n">
        <v>4</v>
      </c>
      <c r="Z6" s="67" t="n">
        <v>4</v>
      </c>
      <c r="AA6" s="67" t="n">
        <v>4</v>
      </c>
      <c r="AB6" s="67" t="n">
        <v>4</v>
      </c>
      <c r="AC6" s="67" t="n">
        <v>4</v>
      </c>
      <c r="AD6" s="67" t="n">
        <v>4</v>
      </c>
      <c r="AE6" s="67" t="n">
        <v>4</v>
      </c>
      <c r="AF6" s="67" t="n">
        <v>4</v>
      </c>
      <c r="AG6" s="67" t="n">
        <v>4</v>
      </c>
      <c r="AH6" s="67" t="n">
        <v>4</v>
      </c>
    </row>
    <row r="7" customFormat="false" ht="15" hidden="false" customHeight="false" outlineLevel="0" collapsed="false">
      <c r="A7" s="60" t="s">
        <v>856</v>
      </c>
      <c r="C7" s="67" t="n">
        <v>2</v>
      </c>
      <c r="D7" s="67" t="n">
        <v>3</v>
      </c>
      <c r="E7" s="67" t="n">
        <v>2</v>
      </c>
      <c r="F7" s="67" t="n">
        <v>3</v>
      </c>
      <c r="G7" s="67" t="n">
        <v>2</v>
      </c>
      <c r="H7" s="67" t="n">
        <v>3</v>
      </c>
      <c r="I7" s="67" t="n">
        <v>2</v>
      </c>
      <c r="J7" s="67" t="n">
        <v>3</v>
      </c>
      <c r="K7" s="67" t="n">
        <v>2</v>
      </c>
      <c r="L7" s="67" t="n">
        <v>3</v>
      </c>
      <c r="M7" s="67" t="n">
        <v>2</v>
      </c>
      <c r="N7" s="67" t="n">
        <v>3</v>
      </c>
      <c r="O7" s="67" t="n">
        <v>2</v>
      </c>
      <c r="P7" s="67" t="n">
        <v>3</v>
      </c>
      <c r="Q7" s="67" t="n">
        <v>2</v>
      </c>
      <c r="R7" s="67" t="n">
        <v>3</v>
      </c>
      <c r="S7" s="67" t="n">
        <v>2</v>
      </c>
      <c r="T7" s="67" t="n">
        <v>3</v>
      </c>
      <c r="U7" s="67" t="n">
        <v>2</v>
      </c>
      <c r="V7" s="67" t="n">
        <v>3</v>
      </c>
      <c r="W7" s="67" t="n">
        <v>2</v>
      </c>
      <c r="X7" s="67" t="n">
        <v>3</v>
      </c>
      <c r="Y7" s="67" t="n">
        <v>2</v>
      </c>
      <c r="Z7" s="67" t="n">
        <v>3</v>
      </c>
      <c r="AA7" s="67" t="n">
        <v>2</v>
      </c>
      <c r="AB7" s="67" t="n">
        <v>3</v>
      </c>
      <c r="AC7" s="67" t="n">
        <v>2</v>
      </c>
      <c r="AD7" s="67" t="n">
        <v>3</v>
      </c>
      <c r="AE7" s="67" t="n">
        <v>2</v>
      </c>
      <c r="AF7" s="67" t="n">
        <v>3</v>
      </c>
      <c r="AG7" s="67" t="n">
        <v>2</v>
      </c>
      <c r="AH7" s="67" t="n">
        <v>3</v>
      </c>
    </row>
    <row r="8" customFormat="false" ht="15" hidden="false" customHeight="false" outlineLevel="0" collapsed="false">
      <c r="A8" s="60" t="s">
        <v>1290</v>
      </c>
      <c r="B8" s="62" t="s">
        <v>118</v>
      </c>
      <c r="C8" s="59" t="s">
        <v>751</v>
      </c>
      <c r="D8" s="59" t="s">
        <v>751</v>
      </c>
      <c r="E8" s="59" t="s">
        <v>751</v>
      </c>
      <c r="F8" s="59" t="s">
        <v>751</v>
      </c>
      <c r="G8" s="59" t="s">
        <v>751</v>
      </c>
      <c r="H8" s="59" t="s">
        <v>751</v>
      </c>
      <c r="I8" s="59" t="s">
        <v>751</v>
      </c>
      <c r="J8" s="59" t="s">
        <v>751</v>
      </c>
      <c r="K8" s="59" t="s">
        <v>751</v>
      </c>
      <c r="L8" s="59" t="s">
        <v>751</v>
      </c>
      <c r="M8" s="59" t="s">
        <v>751</v>
      </c>
      <c r="N8" s="59" t="s">
        <v>751</v>
      </c>
      <c r="O8" s="81" t="n">
        <v>0.3</v>
      </c>
      <c r="P8" s="81" t="n">
        <v>0.3</v>
      </c>
      <c r="Q8" s="81" t="n">
        <v>3</v>
      </c>
      <c r="R8" s="81" t="n">
        <v>3</v>
      </c>
      <c r="S8" s="59" t="s">
        <v>751</v>
      </c>
      <c r="T8" s="59" t="s">
        <v>751</v>
      </c>
      <c r="U8" s="59" t="s">
        <v>751</v>
      </c>
      <c r="V8" s="59" t="s">
        <v>751</v>
      </c>
      <c r="W8" s="59" t="s">
        <v>751</v>
      </c>
      <c r="X8" s="59" t="s">
        <v>751</v>
      </c>
      <c r="Y8" s="81" t="n">
        <v>0</v>
      </c>
      <c r="Z8" s="81" t="n">
        <v>0</v>
      </c>
      <c r="AA8" s="81" t="n">
        <v>3</v>
      </c>
      <c r="AB8" s="81" t="n">
        <v>3</v>
      </c>
      <c r="AC8" s="59" t="s">
        <v>751</v>
      </c>
      <c r="AD8" s="59" t="s">
        <v>751</v>
      </c>
      <c r="AE8" s="59" t="s">
        <v>751</v>
      </c>
      <c r="AF8" s="59" t="s">
        <v>751</v>
      </c>
      <c r="AG8" s="59" t="s">
        <v>751</v>
      </c>
      <c r="AH8" s="59" t="s">
        <v>751</v>
      </c>
    </row>
    <row r="9" customFormat="false" ht="15" hidden="false" customHeight="false" outlineLevel="0" collapsed="false">
      <c r="A9" s="76" t="s">
        <v>1160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</row>
    <row r="10" customFormat="false" ht="15" hidden="false" customHeight="false" outlineLevel="0" collapsed="false">
      <c r="A10" s="62" t="s">
        <v>1161</v>
      </c>
      <c r="B10" s="62" t="s">
        <v>501</v>
      </c>
      <c r="C10" s="94" t="n">
        <f aca="false">INDEX(Spec_Rack!$C$40:$G$40,C$6)</f>
        <v>17.5</v>
      </c>
      <c r="D10" s="94" t="n">
        <f aca="false">INDEX(Spec_Rack!$C$40:$G$40,D$6)</f>
        <v>17.5</v>
      </c>
      <c r="E10" s="94" t="n">
        <f aca="false">INDEX(Spec_Rack!$C$40:$G$40,E$6)</f>
        <v>17.5</v>
      </c>
      <c r="F10" s="94" t="n">
        <f aca="false">INDEX(Spec_Rack!$C$40:$G$40,F$6)</f>
        <v>17.5</v>
      </c>
      <c r="G10" s="94" t="n">
        <f aca="false">INDEX(Spec_Rack!$C$40:$G$40,G$6)</f>
        <v>17.5</v>
      </c>
      <c r="H10" s="94" t="n">
        <f aca="false">INDEX(Spec_Rack!$C$40:$G$40,H$6)</f>
        <v>17.5</v>
      </c>
      <c r="I10" s="141" t="n">
        <f aca="false">INDEX(Spec_Rack!$C$41:$G$41,I$6)</f>
        <v>35</v>
      </c>
      <c r="J10" s="141" t="n">
        <f aca="false">INDEX(Spec_Rack!$C$41:$G$41,J$6)</f>
        <v>35</v>
      </c>
      <c r="K10" s="94" t="n">
        <f aca="false">INDEX(Spec_Rack!$C$40:$G$40,K$6)</f>
        <v>17.5</v>
      </c>
      <c r="L10" s="94" t="n">
        <f aca="false">INDEX(Spec_Rack!$C$40:$G$40,L$6)</f>
        <v>17.5</v>
      </c>
      <c r="M10" s="94" t="n">
        <f aca="false">INDEX(Spec_Rack!$C$40:$G$40,M$6)</f>
        <v>17.5</v>
      </c>
      <c r="N10" s="94" t="n">
        <f aca="false">INDEX(Spec_Rack!$C$40:$G$40,N$6)</f>
        <v>17.5</v>
      </c>
      <c r="O10" s="94" t="n">
        <f aca="false">INDEX(Spec_Rack!$C$40:$G$40,O$6)</f>
        <v>17.5</v>
      </c>
      <c r="P10" s="94" t="n">
        <f aca="false">INDEX(Spec_Rack!$C$40:$G$40,P$6)</f>
        <v>17.5</v>
      </c>
      <c r="Q10" s="94" t="n">
        <f aca="false">INDEX(Spec_Rack!$C$40:$G$40,Q$6)</f>
        <v>17.5</v>
      </c>
      <c r="R10" s="94" t="n">
        <f aca="false">INDEX(Spec_Rack!$C$40:$G$40,R$6)</f>
        <v>17.5</v>
      </c>
      <c r="S10" s="94" t="n">
        <f aca="false">INDEX(Spec_Rack!$C$40:$G$40,S$6)</f>
        <v>17.5</v>
      </c>
      <c r="T10" s="94" t="n">
        <f aca="false">INDEX(Spec_Rack!$C$40:$G$40,T$6)</f>
        <v>17.5</v>
      </c>
      <c r="U10" s="94" t="n">
        <f aca="false">INDEX(Spec_Rack!$C$40:$G$40,U$6)</f>
        <v>17.5</v>
      </c>
      <c r="V10" s="94" t="n">
        <f aca="false">INDEX(Spec_Rack!$C$40:$G$40,V$6)</f>
        <v>17.5</v>
      </c>
      <c r="W10" s="94" t="n">
        <f aca="false">INDEX(Spec_Rack!$C$40:$G$40,W$6)</f>
        <v>17.5</v>
      </c>
      <c r="X10" s="94" t="n">
        <f aca="false">INDEX(Spec_Rack!$C$40:$G$40,X$6)</f>
        <v>17.5</v>
      </c>
      <c r="Y10" s="94" t="n">
        <f aca="false">INDEX(Spec_Rack!$C$40:$G$40,Y$6)</f>
        <v>17.5</v>
      </c>
      <c r="Z10" s="94" t="n">
        <f aca="false">INDEX(Spec_Rack!$C$40:$G$40,Z$6)</f>
        <v>17.5</v>
      </c>
      <c r="AA10" s="94" t="n">
        <f aca="false">INDEX(Spec_Rack!$C$40:$G$40,AA$6)</f>
        <v>17.5</v>
      </c>
      <c r="AB10" s="94" t="n">
        <f aca="false">INDEX(Spec_Rack!$C$40:$G$40,AB$6)</f>
        <v>17.5</v>
      </c>
      <c r="AC10" s="94" t="n">
        <f aca="false">INDEX(Spec_Rack!$C$40:$G$40,AC$6)</f>
        <v>17.5</v>
      </c>
      <c r="AD10" s="94" t="n">
        <f aca="false">INDEX(Spec_Rack!$C$40:$G$40,AD$6)</f>
        <v>17.5</v>
      </c>
      <c r="AE10" s="94" t="n">
        <f aca="false">INDEX(Spec_Rack!$C$40:$G$40,AE$6)</f>
        <v>17.5</v>
      </c>
      <c r="AF10" s="94" t="n">
        <f aca="false">INDEX(Spec_Rack!$C$40:$G$40,AF$6)</f>
        <v>17.5</v>
      </c>
      <c r="AG10" s="94" t="n">
        <f aca="false">INDEX(Spec_Rack!$C$40:$G$40,AG$6)</f>
        <v>17.5</v>
      </c>
      <c r="AH10" s="94" t="n">
        <f aca="false">INDEX(Spec_Rack!$C$40:$G$40,AH$6)</f>
        <v>17.5</v>
      </c>
    </row>
    <row r="11" customFormat="false" ht="15" hidden="false" customHeight="false" outlineLevel="0" collapsed="false">
      <c r="A11" s="61" t="s">
        <v>1162</v>
      </c>
      <c r="B11" s="62" t="s">
        <v>118</v>
      </c>
      <c r="C11" s="97" t="n">
        <f aca="false">Tech_Registry!$E$25</f>
        <v>1</v>
      </c>
      <c r="D11" s="97" t="n">
        <f aca="false">Tech_Registry!$E$25</f>
        <v>1</v>
      </c>
      <c r="E11" s="97" t="n">
        <f aca="false">Tech_Registry!$E$25</f>
        <v>1</v>
      </c>
      <c r="F11" s="97" t="n">
        <f aca="false">Tech_Registry!$E$25</f>
        <v>1</v>
      </c>
      <c r="G11" s="97" t="n">
        <f aca="false">Tech_Registry!$E$25</f>
        <v>1</v>
      </c>
      <c r="H11" s="97" t="n">
        <f aca="false">Tech_Registry!$E$25</f>
        <v>1</v>
      </c>
      <c r="I11" s="97" t="n">
        <f aca="false">Tech_Registry!$E$25</f>
        <v>1</v>
      </c>
      <c r="J11" s="97" t="n">
        <f aca="false">Tech_Registry!$E$25</f>
        <v>1</v>
      </c>
      <c r="K11" s="97" t="n">
        <f aca="false">Tech_Registry!$E$25</f>
        <v>1</v>
      </c>
      <c r="L11" s="97" t="n">
        <f aca="false">Tech_Registry!$E$25</f>
        <v>1</v>
      </c>
      <c r="M11" s="97" t="n">
        <f aca="false">Tech_Registry!$E$25</f>
        <v>1</v>
      </c>
      <c r="N11" s="97" t="n">
        <f aca="false">Tech_Registry!$E$25</f>
        <v>1</v>
      </c>
      <c r="O11" s="97" t="n">
        <f aca="false">Tech_Registry!$E$25</f>
        <v>1</v>
      </c>
      <c r="P11" s="97" t="n">
        <f aca="false">Tech_Registry!$E$25</f>
        <v>1</v>
      </c>
      <c r="Q11" s="97" t="n">
        <f aca="false">Tech_Registry!$E$25</f>
        <v>1</v>
      </c>
      <c r="R11" s="97" t="n">
        <f aca="false">Tech_Registry!$E$25</f>
        <v>1</v>
      </c>
      <c r="S11" s="97" t="n">
        <f aca="false">Tech_Registry!$E$25</f>
        <v>1</v>
      </c>
      <c r="T11" s="97" t="n">
        <f aca="false">Tech_Registry!$E$25</f>
        <v>1</v>
      </c>
      <c r="U11" s="97" t="n">
        <f aca="false">Tech_Registry!$E$25</f>
        <v>1</v>
      </c>
      <c r="V11" s="97" t="n">
        <f aca="false">Tech_Registry!$E$25</f>
        <v>1</v>
      </c>
      <c r="W11" s="97" t="n">
        <f aca="false">Tech_Registry!$E$25</f>
        <v>1</v>
      </c>
      <c r="X11" s="97" t="n">
        <f aca="false">Tech_Registry!$E$25</f>
        <v>1</v>
      </c>
      <c r="Y11" s="97" t="n">
        <f aca="false">Tech_Registry!$E$25</f>
        <v>1</v>
      </c>
      <c r="Z11" s="97" t="n">
        <f aca="false">Tech_Registry!$E$25</f>
        <v>1</v>
      </c>
      <c r="AA11" s="97" t="n">
        <f aca="false">Tech_Registry!$E$25</f>
        <v>1</v>
      </c>
      <c r="AB11" s="97" t="n">
        <f aca="false">Tech_Registry!$E$25</f>
        <v>1</v>
      </c>
      <c r="AC11" s="97" t="n">
        <f aca="false">Tech_Registry!$E$25</f>
        <v>1</v>
      </c>
      <c r="AD11" s="97" t="n">
        <f aca="false">Tech_Registry!$E$25</f>
        <v>1</v>
      </c>
      <c r="AE11" s="97" t="n">
        <f aca="false">Tech_Registry!$E$25</f>
        <v>1</v>
      </c>
      <c r="AF11" s="97" t="n">
        <f aca="false">Tech_Registry!$E$25</f>
        <v>1</v>
      </c>
      <c r="AG11" s="97" t="n">
        <f aca="false">Tech_Registry!$E$25</f>
        <v>1</v>
      </c>
      <c r="AH11" s="97" t="n">
        <f aca="false">Tech_Registry!$E$25</f>
        <v>1</v>
      </c>
    </row>
    <row r="12" customFormat="false" ht="15" hidden="false" customHeight="false" outlineLevel="0" collapsed="false">
      <c r="A12" s="61" t="s">
        <v>1163</v>
      </c>
      <c r="B12" s="62" t="s">
        <v>501</v>
      </c>
      <c r="C12" s="116" t="n">
        <f aca="false">C10*C11</f>
        <v>17.5</v>
      </c>
      <c r="D12" s="116" t="n">
        <f aca="false">D10*D11</f>
        <v>17.5</v>
      </c>
      <c r="E12" s="116" t="n">
        <f aca="false">E10*E11</f>
        <v>17.5</v>
      </c>
      <c r="F12" s="116" t="n">
        <f aca="false">F10*F11</f>
        <v>17.5</v>
      </c>
      <c r="G12" s="116" t="n">
        <f aca="false">G10*G11</f>
        <v>17.5</v>
      </c>
      <c r="H12" s="116" t="n">
        <f aca="false">H10*H11</f>
        <v>17.5</v>
      </c>
      <c r="I12" s="116" t="n">
        <f aca="false">I10*I11</f>
        <v>35</v>
      </c>
      <c r="J12" s="116" t="n">
        <f aca="false">J10*J11</f>
        <v>35</v>
      </c>
      <c r="K12" s="116" t="n">
        <f aca="false">K10*K11</f>
        <v>17.5</v>
      </c>
      <c r="L12" s="116" t="n">
        <f aca="false">L10*L11</f>
        <v>17.5</v>
      </c>
      <c r="M12" s="116" t="n">
        <f aca="false">M10*M11</f>
        <v>17.5</v>
      </c>
      <c r="N12" s="116" t="n">
        <f aca="false">N10*N11</f>
        <v>17.5</v>
      </c>
      <c r="O12" s="116" t="n">
        <f aca="false">O10*O11</f>
        <v>17.5</v>
      </c>
      <c r="P12" s="116" t="n">
        <f aca="false">P10*P11</f>
        <v>17.5</v>
      </c>
      <c r="Q12" s="116" t="n">
        <f aca="false">Q10*Q11</f>
        <v>17.5</v>
      </c>
      <c r="R12" s="116" t="n">
        <f aca="false">R10*R11</f>
        <v>17.5</v>
      </c>
      <c r="S12" s="116" t="n">
        <f aca="false">S10*S11</f>
        <v>17.5</v>
      </c>
      <c r="T12" s="116" t="n">
        <f aca="false">T10*T11</f>
        <v>17.5</v>
      </c>
      <c r="U12" s="116" t="n">
        <f aca="false">U10*U11</f>
        <v>17.5</v>
      </c>
      <c r="V12" s="116" t="n">
        <f aca="false">V10*V11</f>
        <v>17.5</v>
      </c>
      <c r="W12" s="116" t="n">
        <f aca="false">W10*W11</f>
        <v>17.5</v>
      </c>
      <c r="X12" s="116" t="n">
        <f aca="false">X10*X11</f>
        <v>17.5</v>
      </c>
      <c r="Y12" s="116" t="n">
        <f aca="false">Y10*Y11</f>
        <v>17.5</v>
      </c>
      <c r="Z12" s="116" t="n">
        <f aca="false">Z10*Z11</f>
        <v>17.5</v>
      </c>
      <c r="AA12" s="116" t="n">
        <f aca="false">AA10*AA11</f>
        <v>17.5</v>
      </c>
      <c r="AB12" s="116" t="n">
        <f aca="false">AB10*AB11</f>
        <v>17.5</v>
      </c>
      <c r="AC12" s="116" t="n">
        <f aca="false">AC10*AC11</f>
        <v>17.5</v>
      </c>
      <c r="AD12" s="116" t="n">
        <f aca="false">AD10*AD11</f>
        <v>17.5</v>
      </c>
      <c r="AE12" s="116" t="n">
        <f aca="false">AE10*AE11</f>
        <v>17.5</v>
      </c>
      <c r="AF12" s="116" t="n">
        <f aca="false">AF10*AF11</f>
        <v>17.5</v>
      </c>
      <c r="AG12" s="116" t="n">
        <f aca="false">AG10*AG11</f>
        <v>17.5</v>
      </c>
      <c r="AH12" s="116" t="n">
        <f aca="false">AH10*AH11</f>
        <v>17.5</v>
      </c>
    </row>
    <row r="13" customFormat="false" ht="15" hidden="false" customHeight="false" outlineLevel="0" collapsed="false">
      <c r="A13" s="61" t="s">
        <v>1164</v>
      </c>
      <c r="B13" s="62" t="s">
        <v>113</v>
      </c>
      <c r="C13" s="65" t="n">
        <f aca="false">Train_In!$C$6</f>
        <v>0.25</v>
      </c>
      <c r="D13" s="65" t="n">
        <f aca="false">Train_In!$C$6</f>
        <v>0.25</v>
      </c>
      <c r="E13" s="80" t="n">
        <v>0.15</v>
      </c>
      <c r="F13" s="80" t="n">
        <v>0.15</v>
      </c>
      <c r="G13" s="80" t="n">
        <v>0.4</v>
      </c>
      <c r="H13" s="80" t="n">
        <v>0.4</v>
      </c>
      <c r="I13" s="65" t="n">
        <f aca="false">Train_In!$C$6</f>
        <v>0.25</v>
      </c>
      <c r="J13" s="65" t="n">
        <f aca="false">Train_In!$C$6</f>
        <v>0.25</v>
      </c>
      <c r="K13" s="65" t="n">
        <f aca="false">Train_In!$C$6</f>
        <v>0.25</v>
      </c>
      <c r="L13" s="65" t="n">
        <f aca="false">Train_In!$C$6</f>
        <v>0.25</v>
      </c>
      <c r="M13" s="65" t="n">
        <f aca="false">Train_In!$C$6</f>
        <v>0.25</v>
      </c>
      <c r="N13" s="65" t="n">
        <f aca="false">Train_In!$C$6</f>
        <v>0.25</v>
      </c>
      <c r="O13" s="65" t="n">
        <f aca="false">Train_In!$C$6</f>
        <v>0.25</v>
      </c>
      <c r="P13" s="65" t="n">
        <f aca="false">Train_In!$C$6</f>
        <v>0.25</v>
      </c>
      <c r="Q13" s="65" t="n">
        <f aca="false">Train_In!$C$6</f>
        <v>0.25</v>
      </c>
      <c r="R13" s="65" t="n">
        <f aca="false">Train_In!$C$6</f>
        <v>0.25</v>
      </c>
      <c r="S13" s="65" t="n">
        <f aca="false">Train_In!$C$6</f>
        <v>0.25</v>
      </c>
      <c r="T13" s="65" t="n">
        <f aca="false">Train_In!$C$6</f>
        <v>0.25</v>
      </c>
      <c r="U13" s="65" t="n">
        <f aca="false">Train_In!$C$6</f>
        <v>0.25</v>
      </c>
      <c r="V13" s="65" t="n">
        <f aca="false">Train_In!$C$6</f>
        <v>0.25</v>
      </c>
      <c r="W13" s="65" t="n">
        <f aca="false">Train_In!$C$6</f>
        <v>0.25</v>
      </c>
      <c r="X13" s="65" t="n">
        <f aca="false">Train_In!$C$6</f>
        <v>0.25</v>
      </c>
      <c r="Y13" s="65" t="n">
        <f aca="false">Train_In!$C$6</f>
        <v>0.25</v>
      </c>
      <c r="Z13" s="65" t="n">
        <f aca="false">Train_In!$C$6</f>
        <v>0.25</v>
      </c>
      <c r="AA13" s="65" t="n">
        <f aca="false">Train_In!$C$6</f>
        <v>0.25</v>
      </c>
      <c r="AB13" s="65" t="n">
        <f aca="false">Train_In!$C$6</f>
        <v>0.25</v>
      </c>
      <c r="AC13" s="65" t="n">
        <f aca="false">Train_In!$C$6</f>
        <v>0.25</v>
      </c>
      <c r="AD13" s="65" t="n">
        <f aca="false">Train_In!$C$6</f>
        <v>0.25</v>
      </c>
      <c r="AE13" s="65" t="n">
        <f aca="false">Train_In!$C$6</f>
        <v>0.25</v>
      </c>
      <c r="AF13" s="65" t="n">
        <f aca="false">Train_In!$C$6</f>
        <v>0.25</v>
      </c>
      <c r="AG13" s="65" t="n">
        <f aca="false">Train_In!$C$6</f>
        <v>0.25</v>
      </c>
      <c r="AH13" s="65" t="n">
        <f aca="false">Train_In!$C$6</f>
        <v>0.25</v>
      </c>
    </row>
    <row r="14" customFormat="false" ht="15" hidden="false" customHeight="false" outlineLevel="0" collapsed="false">
      <c r="A14" s="62" t="s">
        <v>1165</v>
      </c>
      <c r="B14" s="62" t="s">
        <v>118</v>
      </c>
      <c r="C14" s="97" t="n">
        <f aca="false">INDEX(Train_In!$C$21:$G$21,C$6)</f>
        <v>0.9</v>
      </c>
      <c r="D14" s="97" t="n">
        <f aca="false">INDEX(Train_In!$C$21:$G$21,D$6)</f>
        <v>0.9</v>
      </c>
      <c r="E14" s="97" t="n">
        <f aca="false">INDEX(Train_In!$C$21:$G$21,E$6)</f>
        <v>0.9</v>
      </c>
      <c r="F14" s="97" t="n">
        <f aca="false">INDEX(Train_In!$C$21:$G$21,F$6)</f>
        <v>0.9</v>
      </c>
      <c r="G14" s="97" t="n">
        <f aca="false">INDEX(Train_In!$C$21:$G$21,G$6)</f>
        <v>0.9</v>
      </c>
      <c r="H14" s="97" t="n">
        <f aca="false">INDEX(Train_In!$C$21:$G$21,H$6)</f>
        <v>0.9</v>
      </c>
      <c r="I14" s="97" t="n">
        <f aca="false">INDEX(Train_In!$C$21:$G$21,I$6)</f>
        <v>0.9</v>
      </c>
      <c r="J14" s="97" t="n">
        <f aca="false">INDEX(Train_In!$C$21:$G$21,J$6)</f>
        <v>0.9</v>
      </c>
      <c r="K14" s="97" t="n">
        <f aca="false">INDEX(Train_In!$C$21:$G$21,K$6)</f>
        <v>0.9</v>
      </c>
      <c r="L14" s="97" t="n">
        <f aca="false">INDEX(Train_In!$C$21:$G$21,L$6)</f>
        <v>0.9</v>
      </c>
      <c r="M14" s="97" t="n">
        <f aca="false">INDEX(Train_In!$C$21:$G$21,M$6)</f>
        <v>0.9</v>
      </c>
      <c r="N14" s="97" t="n">
        <f aca="false">INDEX(Train_In!$C$21:$G$21,N$6)</f>
        <v>0.9</v>
      </c>
      <c r="O14" s="97" t="n">
        <f aca="false">INDEX(Train_In!$C$21:$G$21,O$6)</f>
        <v>0.9</v>
      </c>
      <c r="P14" s="97" t="n">
        <f aca="false">INDEX(Train_In!$C$21:$G$21,P$6)</f>
        <v>0.9</v>
      </c>
      <c r="Q14" s="97" t="n">
        <f aca="false">INDEX(Train_In!$C$21:$G$21,Q$6)</f>
        <v>0.9</v>
      </c>
      <c r="R14" s="97" t="n">
        <f aca="false">INDEX(Train_In!$C$21:$G$21,R$6)</f>
        <v>0.9</v>
      </c>
      <c r="S14" s="97" t="n">
        <f aca="false">INDEX(Train_In!$C$21:$G$21,S$6)</f>
        <v>0.9</v>
      </c>
      <c r="T14" s="97" t="n">
        <f aca="false">INDEX(Train_In!$C$21:$G$21,T$6)</f>
        <v>0.9</v>
      </c>
      <c r="U14" s="97" t="n">
        <f aca="false">INDEX(Train_In!$C$21:$G$21,U$6)</f>
        <v>0.9</v>
      </c>
      <c r="V14" s="97" t="n">
        <f aca="false">INDEX(Train_In!$C$21:$G$21,V$6)</f>
        <v>0.9</v>
      </c>
      <c r="W14" s="97" t="n">
        <f aca="false">INDEX(Train_In!$C$21:$G$21,W$6)</f>
        <v>0.9</v>
      </c>
      <c r="X14" s="97" t="n">
        <f aca="false">INDEX(Train_In!$C$21:$G$21,X$6)</f>
        <v>0.9</v>
      </c>
      <c r="Y14" s="97" t="n">
        <f aca="false">INDEX(Train_In!$C$21:$G$21,Y$6)</f>
        <v>0.9</v>
      </c>
      <c r="Z14" s="97" t="n">
        <f aca="false">INDEX(Train_In!$C$21:$G$21,Z$6)</f>
        <v>0.9</v>
      </c>
      <c r="AA14" s="97" t="n">
        <f aca="false">INDEX(Train_In!$C$21:$G$21,AA$6)</f>
        <v>0.9</v>
      </c>
      <c r="AB14" s="97" t="n">
        <f aca="false">INDEX(Train_In!$C$21:$G$21,AB$6)</f>
        <v>0.9</v>
      </c>
      <c r="AC14" s="97" t="n">
        <f aca="false">INDEX(Train_In!$C$21:$G$21,AC$6)</f>
        <v>0.9</v>
      </c>
      <c r="AD14" s="97" t="n">
        <f aca="false">INDEX(Train_In!$C$21:$G$21,AD$6)</f>
        <v>0.9</v>
      </c>
      <c r="AE14" s="97" t="n">
        <f aca="false">INDEX(Train_In!$C$21:$G$21,AE$6)</f>
        <v>0.9</v>
      </c>
      <c r="AF14" s="97" t="n">
        <f aca="false">INDEX(Train_In!$C$21:$G$21,AF$6)</f>
        <v>0.9</v>
      </c>
      <c r="AG14" s="97" t="n">
        <f aca="false">INDEX(Train_In!$C$21:$G$21,AG$6)</f>
        <v>0.9</v>
      </c>
      <c r="AH14" s="97" t="n">
        <f aca="false">INDEX(Train_In!$C$21:$G$21,AH$6)</f>
        <v>0.9</v>
      </c>
    </row>
    <row r="15" customFormat="false" ht="15" hidden="false" customHeight="false" outlineLevel="0" collapsed="false">
      <c r="A15" s="61" t="s">
        <v>1166</v>
      </c>
      <c r="B15" s="62" t="s">
        <v>118</v>
      </c>
      <c r="C15" s="97" t="n">
        <f aca="false">Tech_Registry!$E$26</f>
        <v>1</v>
      </c>
      <c r="D15" s="97" t="n">
        <f aca="false">Tech_Registry!$E$26</f>
        <v>1</v>
      </c>
      <c r="E15" s="97" t="n">
        <f aca="false">Tech_Registry!$E$26</f>
        <v>1</v>
      </c>
      <c r="F15" s="97" t="n">
        <f aca="false">Tech_Registry!$E$26</f>
        <v>1</v>
      </c>
      <c r="G15" s="97" t="n">
        <f aca="false">Tech_Registry!$E$26</f>
        <v>1</v>
      </c>
      <c r="H15" s="97" t="n">
        <f aca="false">Tech_Registry!$E$26</f>
        <v>1</v>
      </c>
      <c r="I15" s="97" t="n">
        <f aca="false">Tech_Registry!$E$26</f>
        <v>1</v>
      </c>
      <c r="J15" s="97" t="n">
        <f aca="false">Tech_Registry!$E$26</f>
        <v>1</v>
      </c>
      <c r="K15" s="97" t="n">
        <f aca="false">Tech_Registry!$E$26</f>
        <v>1</v>
      </c>
      <c r="L15" s="97" t="n">
        <f aca="false">Tech_Registry!$E$26</f>
        <v>1</v>
      </c>
      <c r="M15" s="97" t="n">
        <f aca="false">Tech_Registry!$E$26</f>
        <v>1</v>
      </c>
      <c r="N15" s="97" t="n">
        <f aca="false">Tech_Registry!$E$26</f>
        <v>1</v>
      </c>
      <c r="O15" s="97" t="n">
        <f aca="false">Tech_Registry!$E$26</f>
        <v>1</v>
      </c>
      <c r="P15" s="97" t="n">
        <f aca="false">Tech_Registry!$E$26</f>
        <v>1</v>
      </c>
      <c r="Q15" s="97" t="n">
        <f aca="false">Tech_Registry!$E$26</f>
        <v>1</v>
      </c>
      <c r="R15" s="97" t="n">
        <f aca="false">Tech_Registry!$E$26</f>
        <v>1</v>
      </c>
      <c r="S15" s="97" t="n">
        <f aca="false">Tech_Registry!$E$26</f>
        <v>1</v>
      </c>
      <c r="T15" s="97" t="n">
        <f aca="false">Tech_Registry!$E$26</f>
        <v>1</v>
      </c>
      <c r="U15" s="97" t="n">
        <f aca="false">Tech_Registry!$E$26</f>
        <v>1</v>
      </c>
      <c r="V15" s="97" t="n">
        <f aca="false">Tech_Registry!$E$26</f>
        <v>1</v>
      </c>
      <c r="W15" s="97" t="n">
        <f aca="false">Tech_Registry!$E$26</f>
        <v>1</v>
      </c>
      <c r="X15" s="97" t="n">
        <f aca="false">Tech_Registry!$E$26</f>
        <v>1</v>
      </c>
      <c r="Y15" s="97" t="n">
        <f aca="false">Tech_Registry!$E$26</f>
        <v>1</v>
      </c>
      <c r="Z15" s="97" t="n">
        <f aca="false">Tech_Registry!$E$26</f>
        <v>1</v>
      </c>
      <c r="AA15" s="97" t="n">
        <f aca="false">Tech_Registry!$E$26</f>
        <v>1</v>
      </c>
      <c r="AB15" s="97" t="n">
        <f aca="false">Tech_Registry!$E$26</f>
        <v>1</v>
      </c>
      <c r="AC15" s="97" t="n">
        <f aca="false">Tech_Registry!$E$26</f>
        <v>1</v>
      </c>
      <c r="AD15" s="97" t="n">
        <f aca="false">Tech_Registry!$E$26</f>
        <v>1</v>
      </c>
      <c r="AE15" s="97" t="n">
        <f aca="false">Tech_Registry!$E$26</f>
        <v>1</v>
      </c>
      <c r="AF15" s="97" t="n">
        <f aca="false">Tech_Registry!$E$26</f>
        <v>1</v>
      </c>
      <c r="AG15" s="97" t="n">
        <f aca="false">Tech_Registry!$E$26</f>
        <v>1</v>
      </c>
      <c r="AH15" s="97" t="n">
        <f aca="false">Tech_Registry!$E$26</f>
        <v>1</v>
      </c>
    </row>
    <row r="16" customFormat="false" ht="15" hidden="false" customHeight="false" outlineLevel="0" collapsed="false">
      <c r="A16" s="61" t="s">
        <v>1167</v>
      </c>
      <c r="B16" s="62" t="s">
        <v>113</v>
      </c>
      <c r="C16" s="103" t="n">
        <f aca="false">C13*C14*C15</f>
        <v>0.225</v>
      </c>
      <c r="D16" s="103" t="n">
        <f aca="false">D13*D14*D15</f>
        <v>0.225</v>
      </c>
      <c r="E16" s="103" t="n">
        <f aca="false">E13*E14*E15</f>
        <v>0.135</v>
      </c>
      <c r="F16" s="103" t="n">
        <f aca="false">F13*F14*F15</f>
        <v>0.135</v>
      </c>
      <c r="G16" s="103" t="n">
        <f aca="false">G13*G14*G15</f>
        <v>0.36</v>
      </c>
      <c r="H16" s="103" t="n">
        <f aca="false">H13*H14*H15</f>
        <v>0.36</v>
      </c>
      <c r="I16" s="103" t="n">
        <f aca="false">I13*I14*I15</f>
        <v>0.225</v>
      </c>
      <c r="J16" s="103" t="n">
        <f aca="false">J13*J14*J15</f>
        <v>0.225</v>
      </c>
      <c r="K16" s="103" t="n">
        <f aca="false">K13*K14*K15</f>
        <v>0.225</v>
      </c>
      <c r="L16" s="103" t="n">
        <f aca="false">L13*L14*L15</f>
        <v>0.225</v>
      </c>
      <c r="M16" s="103" t="n">
        <f aca="false">M13*M14*M15</f>
        <v>0.225</v>
      </c>
      <c r="N16" s="103" t="n">
        <f aca="false">N13*N14*N15</f>
        <v>0.225</v>
      </c>
      <c r="O16" s="103" t="n">
        <f aca="false">O13*O14*O15</f>
        <v>0.225</v>
      </c>
      <c r="P16" s="103" t="n">
        <f aca="false">P13*P14*P15</f>
        <v>0.225</v>
      </c>
      <c r="Q16" s="103" t="n">
        <f aca="false">Q13*Q14*Q15</f>
        <v>0.225</v>
      </c>
      <c r="R16" s="103" t="n">
        <f aca="false">R13*R14*R15</f>
        <v>0.225</v>
      </c>
      <c r="S16" s="103" t="n">
        <f aca="false">S13*S14*S15</f>
        <v>0.225</v>
      </c>
      <c r="T16" s="103" t="n">
        <f aca="false">T13*T14*T15</f>
        <v>0.225</v>
      </c>
      <c r="U16" s="103" t="n">
        <f aca="false">U13*U14*U15</f>
        <v>0.225</v>
      </c>
      <c r="V16" s="103" t="n">
        <f aca="false">V13*V14*V15</f>
        <v>0.225</v>
      </c>
      <c r="W16" s="103" t="n">
        <f aca="false">W13*W14*W15</f>
        <v>0.225</v>
      </c>
      <c r="X16" s="103" t="n">
        <f aca="false">X13*X14*X15</f>
        <v>0.225</v>
      </c>
      <c r="Y16" s="103" t="n">
        <f aca="false">Y13*Y14*Y15</f>
        <v>0.225</v>
      </c>
      <c r="Z16" s="103" t="n">
        <f aca="false">Z13*Z14*Z15</f>
        <v>0.225</v>
      </c>
      <c r="AA16" s="103" t="n">
        <f aca="false">AA13*AA14*AA15</f>
        <v>0.225</v>
      </c>
      <c r="AB16" s="103" t="n">
        <f aca="false">AB13*AB14*AB15</f>
        <v>0.225</v>
      </c>
      <c r="AC16" s="103" t="n">
        <f aca="false">AC13*AC14*AC15</f>
        <v>0.225</v>
      </c>
      <c r="AD16" s="103" t="n">
        <f aca="false">AD13*AD14*AD15</f>
        <v>0.225</v>
      </c>
      <c r="AE16" s="103" t="n">
        <f aca="false">AE13*AE14*AE15</f>
        <v>0.225</v>
      </c>
      <c r="AF16" s="103" t="n">
        <f aca="false">AF13*AF14*AF15</f>
        <v>0.225</v>
      </c>
      <c r="AG16" s="103" t="n">
        <f aca="false">AG13*AG14*AG15</f>
        <v>0.225</v>
      </c>
      <c r="AH16" s="103" t="n">
        <f aca="false">AH13*AH14*AH15</f>
        <v>0.225</v>
      </c>
    </row>
    <row r="17" customFormat="false" ht="15" hidden="false" customHeight="false" outlineLevel="0" collapsed="false">
      <c r="A17" s="62" t="s">
        <v>1168</v>
      </c>
      <c r="B17" s="62" t="s">
        <v>113</v>
      </c>
      <c r="C17" s="65" t="n">
        <f aca="false">Train_In!$C$7</f>
        <v>0.9</v>
      </c>
      <c r="D17" s="65" t="n">
        <f aca="false">Train_In!$C$7</f>
        <v>0.9</v>
      </c>
      <c r="E17" s="65" t="n">
        <f aca="false">Train_In!$C$7</f>
        <v>0.9</v>
      </c>
      <c r="F17" s="65" t="n">
        <f aca="false">Train_In!$C$7</f>
        <v>0.9</v>
      </c>
      <c r="G17" s="65" t="n">
        <f aca="false">Train_In!$C$7</f>
        <v>0.9</v>
      </c>
      <c r="H17" s="65" t="n">
        <f aca="false">Train_In!$C$7</f>
        <v>0.9</v>
      </c>
      <c r="I17" s="65" t="n">
        <f aca="false">Train_In!$C$7</f>
        <v>0.9</v>
      </c>
      <c r="J17" s="65" t="n">
        <f aca="false">Train_In!$C$7</f>
        <v>0.9</v>
      </c>
      <c r="K17" s="65" t="n">
        <f aca="false">Train_In!$C$7</f>
        <v>0.9</v>
      </c>
      <c r="L17" s="65" t="n">
        <f aca="false">Train_In!$C$7</f>
        <v>0.9</v>
      </c>
      <c r="M17" s="65" t="n">
        <f aca="false">Train_In!$C$7</f>
        <v>0.9</v>
      </c>
      <c r="N17" s="65" t="n">
        <f aca="false">Train_In!$C$7</f>
        <v>0.9</v>
      </c>
      <c r="O17" s="65" t="n">
        <f aca="false">Train_In!$C$7</f>
        <v>0.9</v>
      </c>
      <c r="P17" s="65" t="n">
        <f aca="false">Train_In!$C$7</f>
        <v>0.9</v>
      </c>
      <c r="Q17" s="65" t="n">
        <f aca="false">Train_In!$C$7</f>
        <v>0.9</v>
      </c>
      <c r="R17" s="65" t="n">
        <f aca="false">Train_In!$C$7</f>
        <v>0.9</v>
      </c>
      <c r="S17" s="65" t="n">
        <f aca="false">Train_In!$C$7</f>
        <v>0.9</v>
      </c>
      <c r="T17" s="65" t="n">
        <f aca="false">Train_In!$C$7</f>
        <v>0.9</v>
      </c>
      <c r="U17" s="65" t="n">
        <f aca="false">Train_In!$C$7</f>
        <v>0.9</v>
      </c>
      <c r="V17" s="65" t="n">
        <f aca="false">Train_In!$C$7</f>
        <v>0.9</v>
      </c>
      <c r="W17" s="65" t="n">
        <f aca="false">Train_In!$C$7</f>
        <v>0.9</v>
      </c>
      <c r="X17" s="65" t="n">
        <f aca="false">Train_In!$C$7</f>
        <v>0.9</v>
      </c>
      <c r="Y17" s="65" t="n">
        <f aca="false">Train_In!$C$7</f>
        <v>0.9</v>
      </c>
      <c r="Z17" s="65" t="n">
        <f aca="false">Train_In!$C$7</f>
        <v>0.9</v>
      </c>
      <c r="AA17" s="65" t="n">
        <f aca="false">Train_In!$C$7</f>
        <v>0.9</v>
      </c>
      <c r="AB17" s="65" t="n">
        <f aca="false">Train_In!$C$7</f>
        <v>0.9</v>
      </c>
      <c r="AC17" s="65" t="n">
        <f aca="false">Train_In!$C$7</f>
        <v>0.9</v>
      </c>
      <c r="AD17" s="65" t="n">
        <f aca="false">Train_In!$C$7</f>
        <v>0.9</v>
      </c>
      <c r="AE17" s="65" t="n">
        <f aca="false">Train_In!$C$7</f>
        <v>0.9</v>
      </c>
      <c r="AF17" s="65" t="n">
        <f aca="false">Train_In!$C$7</f>
        <v>0.9</v>
      </c>
      <c r="AG17" s="80" t="n">
        <v>0.8</v>
      </c>
      <c r="AH17" s="80" t="n">
        <v>0.8</v>
      </c>
    </row>
    <row r="18" customFormat="false" ht="15" hidden="false" customHeight="false" outlineLevel="0" collapsed="false">
      <c r="A18" s="61" t="s">
        <v>1169</v>
      </c>
      <c r="B18" s="61" t="s">
        <v>867</v>
      </c>
      <c r="C18" s="63" t="n">
        <f aca="false">INDEX(DC_Cost!$C$14:$Q$14,3*(C$6-1)+2)/CTL_GW</f>
        <v>291744</v>
      </c>
      <c r="D18" s="63" t="n">
        <f aca="false">INDEX(DC_Cost!$C$14:$Q$14,3*(D$6-1)+2)/CTL_GW</f>
        <v>291744</v>
      </c>
      <c r="E18" s="63" t="n">
        <f aca="false">INDEX(DC_Cost!$C$14:$Q$14,3*(E$6-1)+2)/CTL_GW</f>
        <v>291744</v>
      </c>
      <c r="F18" s="63" t="n">
        <f aca="false">INDEX(DC_Cost!$C$14:$Q$14,3*(F$6-1)+2)/CTL_GW</f>
        <v>291744</v>
      </c>
      <c r="G18" s="63" t="n">
        <f aca="false">INDEX(DC_Cost!$C$14:$Q$14,3*(G$6-1)+2)/CTL_GW</f>
        <v>291744</v>
      </c>
      <c r="H18" s="63" t="n">
        <f aca="false">INDEX(DC_Cost!$C$14:$Q$14,3*(H$6-1)+2)/CTL_GW</f>
        <v>291744</v>
      </c>
      <c r="I18" s="63" t="n">
        <f aca="false">INDEX(DC_Cost!$C$14:$Q$14,3*(I$6-1)+2)/CTL_GW</f>
        <v>291744</v>
      </c>
      <c r="J18" s="63" t="n">
        <f aca="false">INDEX(DC_Cost!$C$14:$Q$14,3*(J$6-1)+2)/CTL_GW</f>
        <v>291744</v>
      </c>
      <c r="K18" s="63" t="n">
        <f aca="false">INDEX(DC_Cost!$C$14:$Q$14,3*(K$6-1)+2)/CTL_GW</f>
        <v>291744</v>
      </c>
      <c r="L18" s="63" t="n">
        <f aca="false">INDEX(DC_Cost!$C$14:$Q$14,3*(L$6-1)+2)/CTL_GW</f>
        <v>291744</v>
      </c>
      <c r="M18" s="63" t="n">
        <f aca="false">INDEX(DC_Cost!$C$14:$Q$14,3*(M$6-1)+2)/CTL_GW</f>
        <v>291744</v>
      </c>
      <c r="N18" s="63" t="n">
        <f aca="false">INDEX(DC_Cost!$C$14:$Q$14,3*(N$6-1)+2)/CTL_GW</f>
        <v>291744</v>
      </c>
      <c r="O18" s="63" t="n">
        <f aca="false">INDEX(DC_Cost!$C$14:$Q$14,3*(O$6-1)+2)/CTL_GW</f>
        <v>291744</v>
      </c>
      <c r="P18" s="63" t="n">
        <f aca="false">INDEX(DC_Cost!$C$14:$Q$14,3*(P$6-1)+2)/CTL_GW</f>
        <v>291744</v>
      </c>
      <c r="Q18" s="63" t="n">
        <f aca="false">INDEX(DC_Cost!$C$14:$Q$14,3*(Q$6-1)+2)/CTL_GW</f>
        <v>291744</v>
      </c>
      <c r="R18" s="63" t="n">
        <f aca="false">INDEX(DC_Cost!$C$14:$Q$14,3*(R$6-1)+2)/CTL_GW</f>
        <v>291744</v>
      </c>
      <c r="S18" s="63" t="n">
        <f aca="false">INDEX(DC_Cost!$C$14:$Q$14,3*(S$6-1)+2)/CTL_GW</f>
        <v>291744</v>
      </c>
      <c r="T18" s="63" t="n">
        <f aca="false">INDEX(DC_Cost!$C$14:$Q$14,3*(T$6-1)+2)/CTL_GW</f>
        <v>291744</v>
      </c>
      <c r="U18" s="63" t="n">
        <f aca="false">INDEX(DC_Cost!$C$14:$Q$14,3*(U$6-1)+2)/CTL_GW</f>
        <v>291744</v>
      </c>
      <c r="V18" s="63" t="n">
        <f aca="false">INDEX(DC_Cost!$C$14:$Q$14,3*(V$6-1)+2)/CTL_GW</f>
        <v>291744</v>
      </c>
      <c r="W18" s="63" t="n">
        <f aca="false">INDEX(DC_Cost!$C$14:$Q$14,3*(W$6-1)+2)/CTL_GW</f>
        <v>291744</v>
      </c>
      <c r="X18" s="63" t="n">
        <f aca="false">INDEX(DC_Cost!$C$14:$Q$14,3*(X$6-1)+2)/CTL_GW</f>
        <v>291744</v>
      </c>
      <c r="Y18" s="63" t="n">
        <f aca="false">INDEX(DC_Cost!$C$14:$Q$14,3*(Y$6-1)+2)/CTL_GW</f>
        <v>291744</v>
      </c>
      <c r="Z18" s="63" t="n">
        <f aca="false">INDEX(DC_Cost!$C$14:$Q$14,3*(Z$6-1)+2)/CTL_GW</f>
        <v>291744</v>
      </c>
      <c r="AA18" s="63" t="n">
        <f aca="false">INDEX(DC_Cost!$C$14:$Q$14,3*(AA$6-1)+2)/CTL_GW</f>
        <v>291744</v>
      </c>
      <c r="AB18" s="63" t="n">
        <f aca="false">INDEX(DC_Cost!$C$14:$Q$14,3*(AB$6-1)+2)/CTL_GW</f>
        <v>291744</v>
      </c>
      <c r="AC18" s="63" t="n">
        <f aca="false">INDEX(DC_Cost!$C$14:$Q$14,3*(AC$6-1)+2)/CTL_GW</f>
        <v>291744</v>
      </c>
      <c r="AD18" s="63" t="n">
        <f aca="false">INDEX(DC_Cost!$C$14:$Q$14,3*(AD$6-1)+2)/CTL_GW</f>
        <v>291744</v>
      </c>
      <c r="AE18" s="63" t="n">
        <f aca="false">INDEX(DC_Cost!$C$14:$Q$14,3*(AE$6-1)+2)/CTL_GW</f>
        <v>291744</v>
      </c>
      <c r="AF18" s="63" t="n">
        <f aca="false">INDEX(DC_Cost!$C$14:$Q$14,3*(AF$6-1)+2)/CTL_GW</f>
        <v>291744</v>
      </c>
      <c r="AG18" s="63" t="n">
        <f aca="false">INDEX(DC_Cost!$C$14:$Q$14,3*(AG$6-1)+2)/CTL_GW</f>
        <v>291744</v>
      </c>
      <c r="AH18" s="63" t="n">
        <f aca="false">INDEX(DC_Cost!$C$14:$Q$14,3*(AH$6-1)+2)/CTL_GW</f>
        <v>291744</v>
      </c>
    </row>
    <row r="19" customFormat="false" ht="15" hidden="false" customHeight="false" outlineLevel="0" collapsed="false">
      <c r="A19" s="61" t="s">
        <v>1170</v>
      </c>
      <c r="B19" s="62" t="s">
        <v>985</v>
      </c>
      <c r="C19" s="95" t="n">
        <f aca="false">INDEX(DC_Cost!$C$58:$Q$58,3*(C$6-1)+2)</f>
        <v>4.78365180724219</v>
      </c>
      <c r="D19" s="95" t="n">
        <f aca="false">INDEX(DC_Cost!$C$58:$Q$58,3*(D$6-1)+2)</f>
        <v>4.78365180724219</v>
      </c>
      <c r="E19" s="95" t="n">
        <f aca="false">INDEX(DC_Cost!$C$58:$Q$58,3*(E$6-1)+2)</f>
        <v>4.78365180724219</v>
      </c>
      <c r="F19" s="95" t="n">
        <f aca="false">INDEX(DC_Cost!$C$58:$Q$58,3*(F$6-1)+2)</f>
        <v>4.78365180724219</v>
      </c>
      <c r="G19" s="95" t="n">
        <f aca="false">INDEX(DC_Cost!$C$58:$Q$58,3*(G$6-1)+2)</f>
        <v>4.78365180724219</v>
      </c>
      <c r="H19" s="95" t="n">
        <f aca="false">INDEX(DC_Cost!$C$58:$Q$58,3*(H$6-1)+2)</f>
        <v>4.78365180724219</v>
      </c>
      <c r="I19" s="95" t="n">
        <f aca="false">INDEX(DC_Cost!$C$58:$Q$58,3*(I$6-1)+2)</f>
        <v>4.78365180724219</v>
      </c>
      <c r="J19" s="95" t="n">
        <f aca="false">INDEX(DC_Cost!$C$58:$Q$58,3*(J$6-1)+2)</f>
        <v>4.78365180724219</v>
      </c>
      <c r="K19" s="95" t="n">
        <f aca="false">INDEX(DC_Cost!$C$58:$Q$58,3*(K$6-1)+2)</f>
        <v>4.78365180724219</v>
      </c>
      <c r="L19" s="95" t="n">
        <f aca="false">INDEX(DC_Cost!$C$58:$Q$58,3*(L$6-1)+2)</f>
        <v>4.78365180724219</v>
      </c>
      <c r="M19" s="95" t="n">
        <f aca="false">INDEX(DC_Cost!$C$58:$Q$58,3*(M$6-1)+2)</f>
        <v>4.78365180724219</v>
      </c>
      <c r="N19" s="95" t="n">
        <f aca="false">INDEX(DC_Cost!$C$58:$Q$58,3*(N$6-1)+2)</f>
        <v>4.78365180724219</v>
      </c>
      <c r="O19" s="95" t="n">
        <f aca="false">INDEX(DC_Cost!$C$58:$Q$58,3*(O$6-1)+2)</f>
        <v>4.78365180724219</v>
      </c>
      <c r="P19" s="95" t="n">
        <f aca="false">INDEX(DC_Cost!$C$58:$Q$58,3*(P$6-1)+2)</f>
        <v>4.78365180724219</v>
      </c>
      <c r="Q19" s="95" t="n">
        <f aca="false">INDEX(DC_Cost!$C$58:$Q$58,3*(Q$6-1)+2)</f>
        <v>4.78365180724219</v>
      </c>
      <c r="R19" s="95" t="n">
        <f aca="false">INDEX(DC_Cost!$C$58:$Q$58,3*(R$6-1)+2)</f>
        <v>4.78365180724219</v>
      </c>
      <c r="S19" s="95" t="n">
        <f aca="false">INDEX(DC_Cost!$C$58:$Q$58,3*(S$6-1)+2)</f>
        <v>4.78365180724219</v>
      </c>
      <c r="T19" s="95" t="n">
        <f aca="false">INDEX(DC_Cost!$C$58:$Q$58,3*(T$6-1)+2)</f>
        <v>4.78365180724219</v>
      </c>
      <c r="U19" s="95" t="n">
        <f aca="false">INDEX(DC_Cost!$C$58:$Q$58,3*(U$6-1)+2)</f>
        <v>4.78365180724219</v>
      </c>
      <c r="V19" s="95" t="n">
        <f aca="false">INDEX(DC_Cost!$C$58:$Q$58,3*(V$6-1)+2)</f>
        <v>4.78365180724219</v>
      </c>
      <c r="W19" s="95" t="n">
        <f aca="false">INDEX(DC_Cost!$C$58:$Q$58,3*(W$6-1)+2)</f>
        <v>4.78365180724219</v>
      </c>
      <c r="X19" s="95" t="n">
        <f aca="false">INDEX(DC_Cost!$C$58:$Q$58,3*(X$6-1)+2)</f>
        <v>4.78365180724219</v>
      </c>
      <c r="Y19" s="95" t="n">
        <f aca="false">INDEX(DC_Cost!$C$58:$Q$58,3*(Y$6-1)+2)</f>
        <v>4.78365180724219</v>
      </c>
      <c r="Z19" s="95" t="n">
        <f aca="false">INDEX(DC_Cost!$C$58:$Q$58,3*(Z$6-1)+2)</f>
        <v>4.78365180724219</v>
      </c>
      <c r="AA19" s="95" t="n">
        <f aca="false">INDEX(DC_Cost!$C$58:$Q$58,3*(AA$6-1)+2)</f>
        <v>4.78365180724219</v>
      </c>
      <c r="AB19" s="95" t="n">
        <f aca="false">INDEX(DC_Cost!$C$58:$Q$58,3*(AB$6-1)+2)</f>
        <v>4.78365180724219</v>
      </c>
      <c r="AC19" s="95" t="n">
        <f aca="false">INDEX(DC_Cost!$C$58:$Q$58,3*(AC$6-1)+2)</f>
        <v>4.78365180724219</v>
      </c>
      <c r="AD19" s="95" t="n">
        <f aca="false">INDEX(DC_Cost!$C$58:$Q$58,3*(AD$6-1)+2)</f>
        <v>4.78365180724219</v>
      </c>
      <c r="AE19" s="95" t="n">
        <f aca="false">INDEX(DC_Cost!$C$58:$Q$58,3*(AE$6-1)+2)</f>
        <v>4.78365180724219</v>
      </c>
      <c r="AF19" s="95" t="n">
        <f aca="false">INDEX(DC_Cost!$C$58:$Q$58,3*(AF$6-1)+2)</f>
        <v>4.78365180724219</v>
      </c>
      <c r="AG19" s="95" t="n">
        <f aca="false">INDEX(DC_Cost!$C$58:$Q$58,3*(AG$6-1)+2)</f>
        <v>4.78365180724219</v>
      </c>
      <c r="AH19" s="95" t="n">
        <f aca="false">INDEX(DC_Cost!$C$58:$Q$58,3*(AH$6-1)+2)</f>
        <v>4.78365180724219</v>
      </c>
    </row>
    <row r="20" customFormat="false" ht="15" hidden="false" customHeight="false" outlineLevel="0" collapsed="false">
      <c r="A20" s="61" t="s">
        <v>1171</v>
      </c>
      <c r="B20" s="62" t="s">
        <v>985</v>
      </c>
      <c r="C20" s="95" t="n">
        <f aca="false">INDEX(DC_Cost!$C$57:$Q$57,3*(C$6-1)+2)</f>
        <v>3.51855992240582</v>
      </c>
      <c r="D20" s="95" t="n">
        <f aca="false">INDEX(DC_Cost!$C$57:$Q$57,3*(D$6-1)+2)</f>
        <v>3.51855992240582</v>
      </c>
      <c r="E20" s="95" t="n">
        <f aca="false">INDEX(DC_Cost!$C$57:$Q$57,3*(E$6-1)+2)</f>
        <v>3.51855992240582</v>
      </c>
      <c r="F20" s="95" t="n">
        <f aca="false">INDEX(DC_Cost!$C$57:$Q$57,3*(F$6-1)+2)</f>
        <v>3.51855992240582</v>
      </c>
      <c r="G20" s="95" t="n">
        <f aca="false">INDEX(DC_Cost!$C$57:$Q$57,3*(G$6-1)+2)</f>
        <v>3.51855992240582</v>
      </c>
      <c r="H20" s="95" t="n">
        <f aca="false">INDEX(DC_Cost!$C$57:$Q$57,3*(H$6-1)+2)</f>
        <v>3.51855992240582</v>
      </c>
      <c r="I20" s="95" t="n">
        <f aca="false">INDEX(DC_Cost!$C$57:$Q$57,3*(I$6-1)+2)</f>
        <v>3.51855992240582</v>
      </c>
      <c r="J20" s="95" t="n">
        <f aca="false">INDEX(DC_Cost!$C$57:$Q$57,3*(J$6-1)+2)</f>
        <v>3.51855992240582</v>
      </c>
      <c r="K20" s="95" t="n">
        <f aca="false">INDEX(DC_Cost!$C$57:$Q$57,3*(K$6-1)+2)</f>
        <v>3.51855992240582</v>
      </c>
      <c r="L20" s="95" t="n">
        <f aca="false">INDEX(DC_Cost!$C$57:$Q$57,3*(L$6-1)+2)</f>
        <v>3.51855992240582</v>
      </c>
      <c r="M20" s="95" t="n">
        <f aca="false">INDEX(DC_Cost!$C$57:$Q$57,3*(M$6-1)+2)</f>
        <v>3.51855992240582</v>
      </c>
      <c r="N20" s="95" t="n">
        <f aca="false">INDEX(DC_Cost!$C$57:$Q$57,3*(N$6-1)+2)</f>
        <v>3.51855992240582</v>
      </c>
      <c r="O20" s="95" t="n">
        <f aca="false">INDEX(DC_Cost!$C$57:$Q$57,3*(O$6-1)+2)</f>
        <v>3.51855992240582</v>
      </c>
      <c r="P20" s="95" t="n">
        <f aca="false">INDEX(DC_Cost!$C$57:$Q$57,3*(P$6-1)+2)</f>
        <v>3.51855992240582</v>
      </c>
      <c r="Q20" s="95" t="n">
        <f aca="false">INDEX(DC_Cost!$C$57:$Q$57,3*(Q$6-1)+2)</f>
        <v>3.51855992240582</v>
      </c>
      <c r="R20" s="95" t="n">
        <f aca="false">INDEX(DC_Cost!$C$57:$Q$57,3*(R$6-1)+2)</f>
        <v>3.51855992240582</v>
      </c>
      <c r="S20" s="95" t="n">
        <f aca="false">INDEX(DC_Cost!$C$57:$Q$57,3*(S$6-1)+2)</f>
        <v>3.51855992240582</v>
      </c>
      <c r="T20" s="95" t="n">
        <f aca="false">INDEX(DC_Cost!$C$57:$Q$57,3*(T$6-1)+2)</f>
        <v>3.51855992240582</v>
      </c>
      <c r="U20" s="95" t="n">
        <f aca="false">INDEX(DC_Cost!$C$57:$Q$57,3*(U$6-1)+2)</f>
        <v>3.51855992240582</v>
      </c>
      <c r="V20" s="95" t="n">
        <f aca="false">INDEX(DC_Cost!$C$57:$Q$57,3*(V$6-1)+2)</f>
        <v>3.51855992240582</v>
      </c>
      <c r="W20" s="95" t="n">
        <f aca="false">INDEX(DC_Cost!$C$57:$Q$57,3*(W$6-1)+2)</f>
        <v>3.51855992240582</v>
      </c>
      <c r="X20" s="95" t="n">
        <f aca="false">INDEX(DC_Cost!$C$57:$Q$57,3*(X$6-1)+2)</f>
        <v>3.51855992240582</v>
      </c>
      <c r="Y20" s="95" t="n">
        <f aca="false">INDEX(DC_Cost!$C$57:$Q$57,3*(Y$6-1)+2)</f>
        <v>3.51855992240582</v>
      </c>
      <c r="Z20" s="95" t="n">
        <f aca="false">INDEX(DC_Cost!$C$57:$Q$57,3*(Z$6-1)+2)</f>
        <v>3.51855992240582</v>
      </c>
      <c r="AA20" s="95" t="n">
        <f aca="false">INDEX(DC_Cost!$C$57:$Q$57,3*(AA$6-1)+2)</f>
        <v>3.51855992240582</v>
      </c>
      <c r="AB20" s="95" t="n">
        <f aca="false">INDEX(DC_Cost!$C$57:$Q$57,3*(AB$6-1)+2)</f>
        <v>3.51855992240582</v>
      </c>
      <c r="AC20" s="95" t="n">
        <f aca="false">INDEX(DC_Cost!$C$57:$Q$57,3*(AC$6-1)+2)</f>
        <v>3.51855992240582</v>
      </c>
      <c r="AD20" s="95" t="n">
        <f aca="false">INDEX(DC_Cost!$C$57:$Q$57,3*(AD$6-1)+2)</f>
        <v>3.51855992240582</v>
      </c>
      <c r="AE20" s="95" t="n">
        <f aca="false">INDEX(DC_Cost!$C$57:$Q$57,3*(AE$6-1)+2)</f>
        <v>3.51855992240582</v>
      </c>
      <c r="AF20" s="95" t="n">
        <f aca="false">INDEX(DC_Cost!$C$57:$Q$57,3*(AF$6-1)+2)</f>
        <v>3.51855992240582</v>
      </c>
      <c r="AG20" s="95" t="n">
        <f aca="false">INDEX(DC_Cost!$C$57:$Q$57,3*(AG$6-1)+2)</f>
        <v>3.51855992240582</v>
      </c>
      <c r="AH20" s="95" t="n">
        <f aca="false">INDEX(DC_Cost!$C$57:$Q$57,3*(AH$6-1)+2)</f>
        <v>3.51855992240582</v>
      </c>
    </row>
    <row r="21" customFormat="false" ht="15" hidden="false" customHeight="false" outlineLevel="0" collapsed="false">
      <c r="A21" s="76" t="s">
        <v>1172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</row>
    <row r="22" customFormat="false" ht="15" hidden="false" customHeight="false" outlineLevel="0" collapsed="false">
      <c r="A22" s="61" t="s">
        <v>290</v>
      </c>
      <c r="B22" s="62" t="s">
        <v>287</v>
      </c>
      <c r="C22" s="63" t="n">
        <f aca="false">INDEX(Arch!$C$7:$E$7,C$7)*INDEX(ARCH_ScaleGen,1,C$6)</f>
        <v>49</v>
      </c>
      <c r="D22" s="63" t="n">
        <f aca="false">INDEX(Arch!$C$7:$E$7,D$7)*INDEX(ARCH_ScaleGen,1,D$6)</f>
        <v>180</v>
      </c>
      <c r="E22" s="63" t="n">
        <f aca="false">INDEX(Arch!$C$7:$E$7,E$7)*INDEX(ARCH_ScaleGen,1,E$6)</f>
        <v>49</v>
      </c>
      <c r="F22" s="63" t="n">
        <f aca="false">INDEX(Arch!$C$7:$E$7,F$7)*INDEX(ARCH_ScaleGen,1,F$6)</f>
        <v>180</v>
      </c>
      <c r="G22" s="63" t="n">
        <f aca="false">INDEX(Arch!$C$7:$E$7,G$7)*INDEX(ARCH_ScaleGen,1,G$6)</f>
        <v>49</v>
      </c>
      <c r="H22" s="63" t="n">
        <f aca="false">INDEX(Arch!$C$7:$E$7,H$7)*INDEX(ARCH_ScaleGen,1,H$6)</f>
        <v>180</v>
      </c>
      <c r="I22" s="63" t="n">
        <f aca="false">INDEX(Arch!$C$7:$E$7,I$7)*INDEX(ARCH_ScaleGen,1,I$6)</f>
        <v>49</v>
      </c>
      <c r="J22" s="63" t="n">
        <f aca="false">INDEX(Arch!$C$7:$E$7,J$7)*INDEX(ARCH_ScaleGen,1,J$6)</f>
        <v>180</v>
      </c>
      <c r="K22" s="63" t="n">
        <f aca="false">INDEX(Arch!$C$7:$E$7,K$7)*INDEX(ARCH_ScaleGen,1,K$6)</f>
        <v>49</v>
      </c>
      <c r="L22" s="63" t="n">
        <f aca="false">INDEX(Arch!$C$7:$E$7,L$7)*INDEX(ARCH_ScaleGen,1,L$6)</f>
        <v>180</v>
      </c>
      <c r="M22" s="63" t="n">
        <f aca="false">INDEX(Arch!$C$7:$E$7,M$7)*INDEX(ARCH_ScaleGen,1,M$6)</f>
        <v>49</v>
      </c>
      <c r="N22" s="63" t="n">
        <f aca="false">INDEX(Arch!$C$7:$E$7,N$7)*INDEX(ARCH_ScaleGen,1,N$6)</f>
        <v>180</v>
      </c>
      <c r="O22" s="63" t="n">
        <f aca="false">INDEX(Arch!$C$7:$E$7,O$7)*INDEX(ARCH_ScaleGen,1,O$6)</f>
        <v>49</v>
      </c>
      <c r="P22" s="63" t="n">
        <f aca="false">INDEX(Arch!$C$7:$E$7,P$7)*INDEX(ARCH_ScaleGen,1,P$6)</f>
        <v>180</v>
      </c>
      <c r="Q22" s="63" t="n">
        <f aca="false">INDEX(Arch!$C$7:$E$7,Q$7)*INDEX(ARCH_ScaleGen,1,Q$6)</f>
        <v>49</v>
      </c>
      <c r="R22" s="63" t="n">
        <f aca="false">INDEX(Arch!$C$7:$E$7,R$7)*INDEX(ARCH_ScaleGen,1,R$6)</f>
        <v>180</v>
      </c>
      <c r="S22" s="63" t="n">
        <f aca="false">INDEX(Arch!$C$7:$E$7,S$7)*INDEX(ARCH_ScaleGen,1,S$6)</f>
        <v>49</v>
      </c>
      <c r="T22" s="63" t="n">
        <f aca="false">INDEX(Arch!$C$7:$E$7,T$7)*INDEX(ARCH_ScaleGen,1,T$6)</f>
        <v>180</v>
      </c>
      <c r="U22" s="63" t="n">
        <f aca="false">INDEX(Arch!$C$7:$E$7,U$7)*INDEX(ARCH_ScaleGen,1,U$6)</f>
        <v>49</v>
      </c>
      <c r="V22" s="63" t="n">
        <f aca="false">INDEX(Arch!$C$7:$E$7,V$7)*INDEX(ARCH_ScaleGen,1,V$6)</f>
        <v>180</v>
      </c>
      <c r="W22" s="63" t="n">
        <f aca="false">INDEX(Arch!$C$7:$E$7,W$7)*INDEX(ARCH_ScaleGen,1,W$6)</f>
        <v>49</v>
      </c>
      <c r="X22" s="63" t="n">
        <f aca="false">INDEX(Arch!$C$7:$E$7,X$7)*INDEX(ARCH_ScaleGen,1,X$6)</f>
        <v>180</v>
      </c>
      <c r="Y22" s="63" t="n">
        <f aca="false">INDEX(Arch!$C$7:$E$7,Y$7)*INDEX(ARCH_ScaleGen,1,Y$6)</f>
        <v>49</v>
      </c>
      <c r="Z22" s="63" t="n">
        <f aca="false">INDEX(Arch!$C$7:$E$7,Z$7)*INDEX(ARCH_ScaleGen,1,Z$6)</f>
        <v>180</v>
      </c>
      <c r="AA22" s="63" t="n">
        <f aca="false">INDEX(Arch!$C$7:$E$7,AA$7)*INDEX(ARCH_ScaleGen,1,AA$6)</f>
        <v>49</v>
      </c>
      <c r="AB22" s="63" t="n">
        <f aca="false">INDEX(Arch!$C$7:$E$7,AB$7)*INDEX(ARCH_ScaleGen,1,AB$6)</f>
        <v>180</v>
      </c>
      <c r="AC22" s="63" t="n">
        <f aca="false">INDEX(Arch!$C$7:$E$7,AC$7)*INDEX(ARCH_ScaleGen,1,AC$6)</f>
        <v>49</v>
      </c>
      <c r="AD22" s="63" t="n">
        <f aca="false">INDEX(Arch!$C$7:$E$7,AD$7)*INDEX(ARCH_ScaleGen,1,AD$6)</f>
        <v>180</v>
      </c>
      <c r="AE22" s="63" t="n">
        <f aca="false">INDEX(Arch!$C$7:$E$7,AE$7)*INDEX(ARCH_ScaleGen,1,AE$6)</f>
        <v>49</v>
      </c>
      <c r="AF22" s="63" t="n">
        <f aca="false">INDEX(Arch!$C$7:$E$7,AF$7)*INDEX(ARCH_ScaleGen,1,AF$6)</f>
        <v>180</v>
      </c>
      <c r="AG22" s="63" t="n">
        <f aca="false">INDEX(Arch!$C$7:$E$7,AG$7)*INDEX(ARCH_ScaleGen,1,AG$6)</f>
        <v>49</v>
      </c>
      <c r="AH22" s="63" t="n">
        <f aca="false">INDEX(Arch!$C$7:$E$7,AH$7)*INDEX(ARCH_ScaleGen,1,AH$6)</f>
        <v>180</v>
      </c>
    </row>
    <row r="23" customFormat="false" ht="15" hidden="false" customHeight="false" outlineLevel="0" collapsed="false">
      <c r="A23" s="61" t="s">
        <v>526</v>
      </c>
      <c r="B23" s="62" t="s">
        <v>330</v>
      </c>
      <c r="C23" s="63" t="n">
        <f aca="false">INDEX(Arch!$C$30:$E$30,C$7)</f>
        <v>15990784</v>
      </c>
      <c r="D23" s="63" t="n">
        <f aca="false">INDEX(Arch!$C$30:$E$30,D$7)</f>
        <v>4915200</v>
      </c>
      <c r="E23" s="63" t="n">
        <f aca="false">INDEX(Arch!$C$30:$E$30,E$7)</f>
        <v>15990784</v>
      </c>
      <c r="F23" s="63" t="n">
        <f aca="false">INDEX(Arch!$C$30:$E$30,F$7)</f>
        <v>4915200</v>
      </c>
      <c r="G23" s="63" t="n">
        <f aca="false">INDEX(Arch!$C$30:$E$30,G$7)</f>
        <v>15990784</v>
      </c>
      <c r="H23" s="63" t="n">
        <f aca="false">INDEX(Arch!$C$30:$E$30,H$7)</f>
        <v>4915200</v>
      </c>
      <c r="I23" s="63" t="n">
        <f aca="false">INDEX(Arch!$C$30:$E$30,I$7)</f>
        <v>15990784</v>
      </c>
      <c r="J23" s="63" t="n">
        <f aca="false">INDEX(Arch!$C$30:$E$30,J$7)</f>
        <v>4915200</v>
      </c>
      <c r="K23" s="63" t="n">
        <f aca="false">INDEX(Arch!$C$30:$E$30,K$7)</f>
        <v>15990784</v>
      </c>
      <c r="L23" s="63" t="n">
        <f aca="false">INDEX(Arch!$C$30:$E$30,L$7)</f>
        <v>4915200</v>
      </c>
      <c r="M23" s="63" t="n">
        <f aca="false">INDEX(Arch!$C$30:$E$30,M$7)</f>
        <v>15990784</v>
      </c>
      <c r="N23" s="63" t="n">
        <f aca="false">INDEX(Arch!$C$30:$E$30,N$7)</f>
        <v>4915200</v>
      </c>
      <c r="O23" s="63" t="n">
        <f aca="false">INDEX(Arch!$C$30:$E$30,O$7)</f>
        <v>15990784</v>
      </c>
      <c r="P23" s="63" t="n">
        <f aca="false">INDEX(Arch!$C$30:$E$30,P$7)</f>
        <v>4915200</v>
      </c>
      <c r="Q23" s="63" t="n">
        <f aca="false">INDEX(Arch!$C$30:$E$30,Q$7)</f>
        <v>15990784</v>
      </c>
      <c r="R23" s="63" t="n">
        <f aca="false">INDEX(Arch!$C$30:$E$30,R$7)</f>
        <v>4915200</v>
      </c>
      <c r="S23" s="63" t="n">
        <f aca="false">INDEX(Arch!$C$30:$E$30,S$7)</f>
        <v>15990784</v>
      </c>
      <c r="T23" s="63" t="n">
        <f aca="false">INDEX(Arch!$C$30:$E$30,T$7)</f>
        <v>4915200</v>
      </c>
      <c r="U23" s="63" t="n">
        <f aca="false">INDEX(Arch!$C$30:$E$30,U$7)</f>
        <v>15990784</v>
      </c>
      <c r="V23" s="63" t="n">
        <f aca="false">INDEX(Arch!$C$30:$E$30,V$7)</f>
        <v>4915200</v>
      </c>
      <c r="W23" s="63" t="n">
        <f aca="false">INDEX(Arch!$C$30:$E$30,W$7)</f>
        <v>15990784</v>
      </c>
      <c r="X23" s="63" t="n">
        <f aca="false">INDEX(Arch!$C$30:$E$30,X$7)</f>
        <v>4915200</v>
      </c>
      <c r="Y23" s="63" t="n">
        <f aca="false">INDEX(Arch!$C$30:$E$30,Y$7)</f>
        <v>15990784</v>
      </c>
      <c r="Z23" s="63" t="n">
        <f aca="false">INDEX(Arch!$C$30:$E$30,Z$7)</f>
        <v>4915200</v>
      </c>
      <c r="AA23" s="63" t="n">
        <f aca="false">INDEX(Arch!$C$30:$E$30,AA$7)</f>
        <v>15990784</v>
      </c>
      <c r="AB23" s="63" t="n">
        <f aca="false">INDEX(Arch!$C$30:$E$30,AB$7)</f>
        <v>4915200</v>
      </c>
      <c r="AC23" s="63" t="n">
        <f aca="false">INDEX(Arch!$C$30:$E$30,AC$7)</f>
        <v>15990784</v>
      </c>
      <c r="AD23" s="63" t="n">
        <f aca="false">INDEX(Arch!$C$30:$E$30,AD$7)</f>
        <v>4915200</v>
      </c>
      <c r="AE23" s="63" t="n">
        <f aca="false">INDEX(Arch!$C$30:$E$30,AE$7)</f>
        <v>15990784</v>
      </c>
      <c r="AF23" s="63" t="n">
        <f aca="false">INDEX(Arch!$C$30:$E$30,AF$7)</f>
        <v>4915200</v>
      </c>
      <c r="AG23" s="63" t="n">
        <f aca="false">INDEX(Arch!$C$30:$E$30,AG$7)</f>
        <v>15990784</v>
      </c>
      <c r="AH23" s="63" t="n">
        <f aca="false">INDEX(Arch!$C$30:$E$30,AH$7)</f>
        <v>4915200</v>
      </c>
    </row>
    <row r="24" customFormat="false" ht="15" hidden="false" customHeight="false" outlineLevel="0" collapsed="false">
      <c r="A24" s="61" t="s">
        <v>305</v>
      </c>
      <c r="B24" s="62" t="s">
        <v>113</v>
      </c>
      <c r="C24" s="65" t="n">
        <f aca="false">INDEX(Arch!$C$16:$E$16,C$7)</f>
        <v>0.492</v>
      </c>
      <c r="D24" s="65" t="n">
        <f aca="false">INDEX(Arch!$C$16:$E$16,D$7)</f>
        <v>1</v>
      </c>
      <c r="E24" s="65" t="n">
        <f aca="false">INDEX(Arch!$C$16:$E$16,E$7)</f>
        <v>0.492</v>
      </c>
      <c r="F24" s="65" t="n">
        <f aca="false">INDEX(Arch!$C$16:$E$16,F$7)</f>
        <v>1</v>
      </c>
      <c r="G24" s="65" t="n">
        <f aca="false">INDEX(Arch!$C$16:$E$16,G$7)</f>
        <v>0.492</v>
      </c>
      <c r="H24" s="65" t="n">
        <f aca="false">INDEX(Arch!$C$16:$E$16,H$7)</f>
        <v>1</v>
      </c>
      <c r="I24" s="65" t="n">
        <f aca="false">INDEX(Arch!$C$16:$E$16,I$7)</f>
        <v>0.492</v>
      </c>
      <c r="J24" s="65" t="n">
        <f aca="false">INDEX(Arch!$C$16:$E$16,J$7)</f>
        <v>1</v>
      </c>
      <c r="K24" s="65" t="n">
        <f aca="false">INDEX(Arch!$C$16:$E$16,K$7)</f>
        <v>0.492</v>
      </c>
      <c r="L24" s="65" t="n">
        <f aca="false">INDEX(Arch!$C$16:$E$16,L$7)</f>
        <v>1</v>
      </c>
      <c r="M24" s="65" t="n">
        <f aca="false">INDEX(Arch!$C$16:$E$16,M$7)</f>
        <v>0.492</v>
      </c>
      <c r="N24" s="65" t="n">
        <f aca="false">INDEX(Arch!$C$16:$E$16,N$7)</f>
        <v>1</v>
      </c>
      <c r="O24" s="65" t="n">
        <f aca="false">INDEX(Arch!$C$16:$E$16,O$7)</f>
        <v>0.492</v>
      </c>
      <c r="P24" s="65" t="n">
        <f aca="false">INDEX(Arch!$C$16:$E$16,P$7)</f>
        <v>1</v>
      </c>
      <c r="Q24" s="65" t="n">
        <f aca="false">INDEX(Arch!$C$16:$E$16,Q$7)</f>
        <v>0.492</v>
      </c>
      <c r="R24" s="65" t="n">
        <f aca="false">INDEX(Arch!$C$16:$E$16,R$7)</f>
        <v>1</v>
      </c>
      <c r="S24" s="65" t="n">
        <f aca="false">INDEX(Arch!$C$16:$E$16,S$7)</f>
        <v>0.492</v>
      </c>
      <c r="T24" s="65" t="n">
        <f aca="false">INDEX(Arch!$C$16:$E$16,T$7)</f>
        <v>1</v>
      </c>
      <c r="U24" s="65" t="n">
        <f aca="false">INDEX(Arch!$C$16:$E$16,U$7)</f>
        <v>0.492</v>
      </c>
      <c r="V24" s="65" t="n">
        <f aca="false">INDEX(Arch!$C$16:$E$16,V$7)</f>
        <v>1</v>
      </c>
      <c r="W24" s="65" t="n">
        <f aca="false">INDEX(Arch!$C$16:$E$16,W$7)</f>
        <v>0.492</v>
      </c>
      <c r="X24" s="65" t="n">
        <f aca="false">INDEX(Arch!$C$16:$E$16,X$7)</f>
        <v>1</v>
      </c>
      <c r="Y24" s="65" t="n">
        <f aca="false">INDEX(Arch!$C$16:$E$16,Y$7)</f>
        <v>0.492</v>
      </c>
      <c r="Z24" s="65" t="n">
        <f aca="false">INDEX(Arch!$C$16:$E$16,Z$7)</f>
        <v>1</v>
      </c>
      <c r="AA24" s="65" t="n">
        <f aca="false">INDEX(Arch!$C$16:$E$16,AA$7)</f>
        <v>0.492</v>
      </c>
      <c r="AB24" s="65" t="n">
        <f aca="false">INDEX(Arch!$C$16:$E$16,AB$7)</f>
        <v>1</v>
      </c>
      <c r="AC24" s="65" t="n">
        <f aca="false">INDEX(Arch!$C$16:$E$16,AC$7)</f>
        <v>0.492</v>
      </c>
      <c r="AD24" s="65" t="n">
        <f aca="false">INDEX(Arch!$C$16:$E$16,AD$7)</f>
        <v>1</v>
      </c>
      <c r="AE24" s="65" t="n">
        <f aca="false">INDEX(Arch!$C$16:$E$16,AE$7)</f>
        <v>0.492</v>
      </c>
      <c r="AF24" s="65" t="n">
        <f aca="false">INDEX(Arch!$C$16:$E$16,AF$7)</f>
        <v>1</v>
      </c>
      <c r="AG24" s="65" t="n">
        <f aca="false">INDEX(Arch!$C$16:$E$16,AG$7)</f>
        <v>0.492</v>
      </c>
      <c r="AH24" s="65" t="n">
        <f aca="false">INDEX(Arch!$C$16:$E$16,AH$7)</f>
        <v>1</v>
      </c>
    </row>
    <row r="25" customFormat="false" ht="15" hidden="false" customHeight="false" outlineLevel="0" collapsed="false">
      <c r="A25" s="61" t="s">
        <v>879</v>
      </c>
      <c r="B25" s="62" t="s">
        <v>308</v>
      </c>
      <c r="C25" s="63" t="n">
        <f aca="false">INDEX(Arch!$C$17:$E$17,C$7)</f>
        <v>4224</v>
      </c>
      <c r="D25" s="63" t="n">
        <f aca="false">INDEX(Arch!$C$17:$E$17,D$7)</f>
        <v>0</v>
      </c>
      <c r="E25" s="63" t="n">
        <f aca="false">INDEX(Arch!$C$17:$E$17,E$7)</f>
        <v>4224</v>
      </c>
      <c r="F25" s="63" t="n">
        <f aca="false">INDEX(Arch!$C$17:$E$17,F$7)</f>
        <v>0</v>
      </c>
      <c r="G25" s="63" t="n">
        <f aca="false">INDEX(Arch!$C$17:$E$17,G$7)</f>
        <v>4224</v>
      </c>
      <c r="H25" s="63" t="n">
        <f aca="false">INDEX(Arch!$C$17:$E$17,H$7)</f>
        <v>0</v>
      </c>
      <c r="I25" s="63" t="n">
        <f aca="false">INDEX(Arch!$C$17:$E$17,I$7)</f>
        <v>4224</v>
      </c>
      <c r="J25" s="63" t="n">
        <f aca="false">INDEX(Arch!$C$17:$E$17,J$7)</f>
        <v>0</v>
      </c>
      <c r="K25" s="63" t="n">
        <f aca="false">INDEX(Arch!$C$17:$E$17,K$7)</f>
        <v>4224</v>
      </c>
      <c r="L25" s="63" t="n">
        <f aca="false">INDEX(Arch!$C$17:$E$17,L$7)</f>
        <v>0</v>
      </c>
      <c r="M25" s="63" t="n">
        <f aca="false">INDEX(Arch!$C$17:$E$17,M$7)</f>
        <v>4224</v>
      </c>
      <c r="N25" s="63" t="n">
        <f aca="false">INDEX(Arch!$C$17:$E$17,N$7)</f>
        <v>0</v>
      </c>
      <c r="O25" s="63" t="n">
        <f aca="false">INDEX(Arch!$C$17:$E$17,O$7)</f>
        <v>4224</v>
      </c>
      <c r="P25" s="63" t="n">
        <f aca="false">INDEX(Arch!$C$17:$E$17,P$7)</f>
        <v>0</v>
      </c>
      <c r="Q25" s="63" t="n">
        <f aca="false">INDEX(Arch!$C$17:$E$17,Q$7)</f>
        <v>4224</v>
      </c>
      <c r="R25" s="63" t="n">
        <f aca="false">INDEX(Arch!$C$17:$E$17,R$7)</f>
        <v>0</v>
      </c>
      <c r="S25" s="63" t="n">
        <f aca="false">INDEX(Arch!$C$17:$E$17,S$7)</f>
        <v>4224</v>
      </c>
      <c r="T25" s="63" t="n">
        <f aca="false">INDEX(Arch!$C$17:$E$17,T$7)</f>
        <v>0</v>
      </c>
      <c r="U25" s="63" t="n">
        <f aca="false">INDEX(Arch!$C$17:$E$17,U$7)</f>
        <v>4224</v>
      </c>
      <c r="V25" s="63" t="n">
        <f aca="false">INDEX(Arch!$C$17:$E$17,V$7)</f>
        <v>0</v>
      </c>
      <c r="W25" s="63" t="n">
        <f aca="false">INDEX(Arch!$C$17:$E$17,W$7)</f>
        <v>4224</v>
      </c>
      <c r="X25" s="63" t="n">
        <f aca="false">INDEX(Arch!$C$17:$E$17,X$7)</f>
        <v>0</v>
      </c>
      <c r="Y25" s="63" t="n">
        <f aca="false">INDEX(Arch!$C$17:$E$17,Y$7)</f>
        <v>4224</v>
      </c>
      <c r="Z25" s="63" t="n">
        <f aca="false">INDEX(Arch!$C$17:$E$17,Z$7)</f>
        <v>0</v>
      </c>
      <c r="AA25" s="63" t="n">
        <f aca="false">INDEX(Arch!$C$17:$E$17,AA$7)</f>
        <v>4224</v>
      </c>
      <c r="AB25" s="63" t="n">
        <f aca="false">INDEX(Arch!$C$17:$E$17,AB$7)</f>
        <v>0</v>
      </c>
      <c r="AC25" s="63" t="n">
        <f aca="false">INDEX(Arch!$C$17:$E$17,AC$7)</f>
        <v>4224</v>
      </c>
      <c r="AD25" s="63" t="n">
        <f aca="false">INDEX(Arch!$C$17:$E$17,AD$7)</f>
        <v>0</v>
      </c>
      <c r="AE25" s="63" t="n">
        <f aca="false">INDEX(Arch!$C$17:$E$17,AE$7)</f>
        <v>4224</v>
      </c>
      <c r="AF25" s="63" t="n">
        <f aca="false">INDEX(Arch!$C$17:$E$17,AF$7)</f>
        <v>0</v>
      </c>
      <c r="AG25" s="63" t="n">
        <f aca="false">INDEX(Arch!$C$17:$E$17,AG$7)</f>
        <v>4224</v>
      </c>
      <c r="AH25" s="63" t="n">
        <f aca="false">INDEX(Arch!$C$17:$E$17,AH$7)</f>
        <v>0</v>
      </c>
    </row>
    <row r="26" customFormat="false" ht="15" hidden="false" customHeight="false" outlineLevel="0" collapsed="false">
      <c r="A26" s="61" t="s">
        <v>310</v>
      </c>
      <c r="B26" s="62" t="s">
        <v>118</v>
      </c>
      <c r="C26" s="63" t="n">
        <f aca="false">INDEX(Arch!$C$18:$E$18,C$7)</f>
        <v>128</v>
      </c>
      <c r="D26" s="63" t="n">
        <f aca="false">INDEX(Arch!$C$18:$E$18,D$7)</f>
        <v>1</v>
      </c>
      <c r="E26" s="63" t="n">
        <f aca="false">INDEX(Arch!$C$18:$E$18,E$7)</f>
        <v>128</v>
      </c>
      <c r="F26" s="63" t="n">
        <f aca="false">INDEX(Arch!$C$18:$E$18,F$7)</f>
        <v>1</v>
      </c>
      <c r="G26" s="63" t="n">
        <f aca="false">INDEX(Arch!$C$18:$E$18,G$7)</f>
        <v>128</v>
      </c>
      <c r="H26" s="63" t="n">
        <f aca="false">INDEX(Arch!$C$18:$E$18,H$7)</f>
        <v>1</v>
      </c>
      <c r="I26" s="63" t="n">
        <f aca="false">INDEX(Arch!$C$18:$E$18,I$7)</f>
        <v>128</v>
      </c>
      <c r="J26" s="63" t="n">
        <f aca="false">INDEX(Arch!$C$18:$E$18,J$7)</f>
        <v>1</v>
      </c>
      <c r="K26" s="63" t="n">
        <f aca="false">INDEX(Arch!$C$18:$E$18,K$7)</f>
        <v>128</v>
      </c>
      <c r="L26" s="63" t="n">
        <f aca="false">INDEX(Arch!$C$18:$E$18,L$7)</f>
        <v>1</v>
      </c>
      <c r="M26" s="63" t="n">
        <f aca="false">INDEX(Arch!$C$18:$E$18,M$7)</f>
        <v>128</v>
      </c>
      <c r="N26" s="63" t="n">
        <f aca="false">INDEX(Arch!$C$18:$E$18,N$7)</f>
        <v>1</v>
      </c>
      <c r="O26" s="63" t="n">
        <f aca="false">INDEX(Arch!$C$18:$E$18,O$7)</f>
        <v>128</v>
      </c>
      <c r="P26" s="63" t="n">
        <f aca="false">INDEX(Arch!$C$18:$E$18,P$7)</f>
        <v>1</v>
      </c>
      <c r="Q26" s="63" t="n">
        <f aca="false">INDEX(Arch!$C$18:$E$18,Q$7)</f>
        <v>128</v>
      </c>
      <c r="R26" s="63" t="n">
        <f aca="false">INDEX(Arch!$C$18:$E$18,R$7)</f>
        <v>1</v>
      </c>
      <c r="S26" s="63" t="n">
        <f aca="false">INDEX(Arch!$C$18:$E$18,S$7)</f>
        <v>128</v>
      </c>
      <c r="T26" s="63" t="n">
        <f aca="false">INDEX(Arch!$C$18:$E$18,T$7)</f>
        <v>1</v>
      </c>
      <c r="U26" s="63" t="n">
        <f aca="false">INDEX(Arch!$C$18:$E$18,U$7)</f>
        <v>128</v>
      </c>
      <c r="V26" s="63" t="n">
        <f aca="false">INDEX(Arch!$C$18:$E$18,V$7)</f>
        <v>1</v>
      </c>
      <c r="W26" s="63" t="n">
        <f aca="false">INDEX(Arch!$C$18:$E$18,W$7)</f>
        <v>128</v>
      </c>
      <c r="X26" s="63" t="n">
        <f aca="false">INDEX(Arch!$C$18:$E$18,X$7)</f>
        <v>1</v>
      </c>
      <c r="Y26" s="63" t="n">
        <f aca="false">INDEX(Arch!$C$18:$E$18,Y$7)</f>
        <v>128</v>
      </c>
      <c r="Z26" s="63" t="n">
        <f aca="false">INDEX(Arch!$C$18:$E$18,Z$7)</f>
        <v>1</v>
      </c>
      <c r="AA26" s="63" t="n">
        <f aca="false">INDEX(Arch!$C$18:$E$18,AA$7)</f>
        <v>128</v>
      </c>
      <c r="AB26" s="63" t="n">
        <f aca="false">INDEX(Arch!$C$18:$E$18,AB$7)</f>
        <v>1</v>
      </c>
      <c r="AC26" s="63" t="n">
        <f aca="false">INDEX(Arch!$C$18:$E$18,AC$7)</f>
        <v>128</v>
      </c>
      <c r="AD26" s="63" t="n">
        <f aca="false">INDEX(Arch!$C$18:$E$18,AD$7)</f>
        <v>1</v>
      </c>
      <c r="AE26" s="63" t="n">
        <f aca="false">INDEX(Arch!$C$18:$E$18,AE$7)</f>
        <v>128</v>
      </c>
      <c r="AF26" s="63" t="n">
        <f aca="false">INDEX(Arch!$C$18:$E$18,AF$7)</f>
        <v>1</v>
      </c>
      <c r="AG26" s="63" t="n">
        <f aca="false">INDEX(Arch!$C$18:$E$18,AG$7)</f>
        <v>128</v>
      </c>
      <c r="AH26" s="63" t="n">
        <f aca="false">INDEX(Arch!$C$18:$E$18,AH$7)</f>
        <v>1</v>
      </c>
    </row>
    <row r="27" customFormat="false" ht="15" hidden="false" customHeight="false" outlineLevel="0" collapsed="false">
      <c r="A27" s="61" t="s">
        <v>312</v>
      </c>
      <c r="B27" s="62" t="s">
        <v>308</v>
      </c>
      <c r="C27" s="63" t="n">
        <f aca="false">INDEX(Arch!$C$19:$E$19,C$7)</f>
        <v>128</v>
      </c>
      <c r="D27" s="63" t="n">
        <f aca="false">INDEX(Arch!$C$19:$E$19,D$7)</f>
        <v>0</v>
      </c>
      <c r="E27" s="63" t="n">
        <f aca="false">INDEX(Arch!$C$19:$E$19,E$7)</f>
        <v>128</v>
      </c>
      <c r="F27" s="63" t="n">
        <f aca="false">INDEX(Arch!$C$19:$E$19,F$7)</f>
        <v>0</v>
      </c>
      <c r="G27" s="63" t="n">
        <f aca="false">INDEX(Arch!$C$19:$E$19,G$7)</f>
        <v>128</v>
      </c>
      <c r="H27" s="63" t="n">
        <f aca="false">INDEX(Arch!$C$19:$E$19,H$7)</f>
        <v>0</v>
      </c>
      <c r="I27" s="63" t="n">
        <f aca="false">INDEX(Arch!$C$19:$E$19,I$7)</f>
        <v>128</v>
      </c>
      <c r="J27" s="63" t="n">
        <f aca="false">INDEX(Arch!$C$19:$E$19,J$7)</f>
        <v>0</v>
      </c>
      <c r="K27" s="63" t="n">
        <f aca="false">INDEX(Arch!$C$19:$E$19,K$7)</f>
        <v>128</v>
      </c>
      <c r="L27" s="63" t="n">
        <f aca="false">INDEX(Arch!$C$19:$E$19,L$7)</f>
        <v>0</v>
      </c>
      <c r="M27" s="63" t="n">
        <f aca="false">INDEX(Arch!$C$19:$E$19,M$7)</f>
        <v>128</v>
      </c>
      <c r="N27" s="63" t="n">
        <f aca="false">INDEX(Arch!$C$19:$E$19,N$7)</f>
        <v>0</v>
      </c>
      <c r="O27" s="63" t="n">
        <f aca="false">INDEX(Arch!$C$19:$E$19,O$7)</f>
        <v>128</v>
      </c>
      <c r="P27" s="63" t="n">
        <f aca="false">INDEX(Arch!$C$19:$E$19,P$7)</f>
        <v>0</v>
      </c>
      <c r="Q27" s="63" t="n">
        <f aca="false">INDEX(Arch!$C$19:$E$19,Q$7)</f>
        <v>128</v>
      </c>
      <c r="R27" s="63" t="n">
        <f aca="false">INDEX(Arch!$C$19:$E$19,R$7)</f>
        <v>0</v>
      </c>
      <c r="S27" s="63" t="n">
        <f aca="false">INDEX(Arch!$C$19:$E$19,S$7)</f>
        <v>128</v>
      </c>
      <c r="T27" s="63" t="n">
        <f aca="false">INDEX(Arch!$C$19:$E$19,T$7)</f>
        <v>0</v>
      </c>
      <c r="U27" s="63" t="n">
        <f aca="false">INDEX(Arch!$C$19:$E$19,U$7)</f>
        <v>128</v>
      </c>
      <c r="V27" s="63" t="n">
        <f aca="false">INDEX(Arch!$C$19:$E$19,V$7)</f>
        <v>0</v>
      </c>
      <c r="W27" s="63" t="n">
        <f aca="false">INDEX(Arch!$C$19:$E$19,W$7)</f>
        <v>128</v>
      </c>
      <c r="X27" s="63" t="n">
        <f aca="false">INDEX(Arch!$C$19:$E$19,X$7)</f>
        <v>0</v>
      </c>
      <c r="Y27" s="63" t="n">
        <f aca="false">INDEX(Arch!$C$19:$E$19,Y$7)</f>
        <v>128</v>
      </c>
      <c r="Z27" s="63" t="n">
        <f aca="false">INDEX(Arch!$C$19:$E$19,Z$7)</f>
        <v>0</v>
      </c>
      <c r="AA27" s="63" t="n">
        <f aca="false">INDEX(Arch!$C$19:$E$19,AA$7)</f>
        <v>128</v>
      </c>
      <c r="AB27" s="63" t="n">
        <f aca="false">INDEX(Arch!$C$19:$E$19,AB$7)</f>
        <v>0</v>
      </c>
      <c r="AC27" s="63" t="n">
        <f aca="false">INDEX(Arch!$C$19:$E$19,AC$7)</f>
        <v>128</v>
      </c>
      <c r="AD27" s="63" t="n">
        <f aca="false">INDEX(Arch!$C$19:$E$19,AD$7)</f>
        <v>0</v>
      </c>
      <c r="AE27" s="63" t="n">
        <f aca="false">INDEX(Arch!$C$19:$E$19,AE$7)</f>
        <v>128</v>
      </c>
      <c r="AF27" s="63" t="n">
        <f aca="false">INDEX(Arch!$C$19:$E$19,AF$7)</f>
        <v>0</v>
      </c>
      <c r="AG27" s="63" t="n">
        <f aca="false">INDEX(Arch!$C$19:$E$19,AG$7)</f>
        <v>128</v>
      </c>
      <c r="AH27" s="63" t="n">
        <f aca="false">INDEX(Arch!$C$19:$E$19,AH$7)</f>
        <v>0</v>
      </c>
    </row>
    <row r="28" customFormat="false" ht="15" hidden="false" customHeight="false" outlineLevel="0" collapsed="false">
      <c r="A28" s="62" t="s">
        <v>858</v>
      </c>
      <c r="B28" s="62" t="s">
        <v>118</v>
      </c>
      <c r="C28" s="97" t="n">
        <f aca="false">Tech_Registry!$E$22</f>
        <v>1</v>
      </c>
      <c r="D28" s="97" t="n">
        <f aca="false">Tech_Registry!$E$22</f>
        <v>1</v>
      </c>
      <c r="E28" s="97" t="n">
        <f aca="false">Tech_Registry!$E$22</f>
        <v>1</v>
      </c>
      <c r="F28" s="97" t="n">
        <f aca="false">Tech_Registry!$E$22</f>
        <v>1</v>
      </c>
      <c r="G28" s="97" t="n">
        <f aca="false">Tech_Registry!$E$22</f>
        <v>1</v>
      </c>
      <c r="H28" s="97" t="n">
        <f aca="false">Tech_Registry!$E$22</f>
        <v>1</v>
      </c>
      <c r="I28" s="97" t="n">
        <f aca="false">Tech_Registry!$E$22</f>
        <v>1</v>
      </c>
      <c r="J28" s="97" t="n">
        <f aca="false">Tech_Registry!$E$22</f>
        <v>1</v>
      </c>
      <c r="K28" s="97" t="n">
        <f aca="false">Tech_Registry!$E$22</f>
        <v>1</v>
      </c>
      <c r="L28" s="97" t="n">
        <f aca="false">Tech_Registry!$E$22</f>
        <v>1</v>
      </c>
      <c r="M28" s="97" t="n">
        <f aca="false">Tech_Registry!$E$22</f>
        <v>1</v>
      </c>
      <c r="N28" s="97" t="n">
        <f aca="false">Tech_Registry!$E$22</f>
        <v>1</v>
      </c>
      <c r="O28" s="97" t="n">
        <f aca="false">Tech_Registry!$E$22</f>
        <v>1</v>
      </c>
      <c r="P28" s="97" t="n">
        <f aca="false">Tech_Registry!$E$22</f>
        <v>1</v>
      </c>
      <c r="Q28" s="97" t="n">
        <f aca="false">Tech_Registry!$E$22</f>
        <v>1</v>
      </c>
      <c r="R28" s="97" t="n">
        <f aca="false">Tech_Registry!$E$22</f>
        <v>1</v>
      </c>
      <c r="S28" s="97" t="n">
        <f aca="false">Tech_Registry!$E$22</f>
        <v>1</v>
      </c>
      <c r="T28" s="97" t="n">
        <f aca="false">Tech_Registry!$E$22</f>
        <v>1</v>
      </c>
      <c r="U28" s="97" t="n">
        <f aca="false">Tech_Registry!$E$22</f>
        <v>1</v>
      </c>
      <c r="V28" s="97" t="n">
        <f aca="false">Tech_Registry!$E$22</f>
        <v>1</v>
      </c>
      <c r="W28" s="97" t="n">
        <f aca="false">Tech_Registry!$E$22</f>
        <v>1</v>
      </c>
      <c r="X28" s="97" t="n">
        <f aca="false">Tech_Registry!$E$22</f>
        <v>1</v>
      </c>
      <c r="Y28" s="97" t="n">
        <f aca="false">Tech_Registry!$E$22</f>
        <v>1</v>
      </c>
      <c r="Z28" s="97" t="n">
        <f aca="false">Tech_Registry!$E$22</f>
        <v>1</v>
      </c>
      <c r="AA28" s="97" t="n">
        <f aca="false">Tech_Registry!$E$22</f>
        <v>1</v>
      </c>
      <c r="AB28" s="97" t="n">
        <f aca="false">Tech_Registry!$E$22</f>
        <v>1</v>
      </c>
      <c r="AC28" s="97" t="n">
        <f aca="false">Tech_Registry!$E$22</f>
        <v>1</v>
      </c>
      <c r="AD28" s="97" t="n">
        <f aca="false">Tech_Registry!$E$22</f>
        <v>1</v>
      </c>
      <c r="AE28" s="97" t="n">
        <f aca="false">Tech_Registry!$E$22</f>
        <v>1</v>
      </c>
      <c r="AF28" s="97" t="n">
        <f aca="false">Tech_Registry!$E$22</f>
        <v>1</v>
      </c>
      <c r="AG28" s="97" t="n">
        <f aca="false">Tech_Registry!$E$22</f>
        <v>1</v>
      </c>
      <c r="AH28" s="97" t="n">
        <f aca="false">Tech_Registry!$E$22</f>
        <v>1</v>
      </c>
    </row>
    <row r="29" customFormat="false" ht="15" hidden="false" customHeight="false" outlineLevel="0" collapsed="false">
      <c r="A29" s="76" t="s">
        <v>1173</v>
      </c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</row>
    <row r="30" customFormat="false" ht="15" hidden="false" customHeight="false" outlineLevel="0" collapsed="false">
      <c r="A30" s="61" t="s">
        <v>1174</v>
      </c>
      <c r="B30" s="62" t="s">
        <v>118</v>
      </c>
      <c r="C30" s="97" t="n">
        <f aca="false">Tech_Registry!$E$27</f>
        <v>1</v>
      </c>
      <c r="D30" s="97" t="n">
        <f aca="false">Tech_Registry!$E$27</f>
        <v>1</v>
      </c>
      <c r="E30" s="97" t="n">
        <f aca="false">Tech_Registry!$E$27</f>
        <v>1</v>
      </c>
      <c r="F30" s="97" t="n">
        <f aca="false">Tech_Registry!$E$27</f>
        <v>1</v>
      </c>
      <c r="G30" s="97" t="n">
        <f aca="false">Tech_Registry!$E$27</f>
        <v>1</v>
      </c>
      <c r="H30" s="97" t="n">
        <f aca="false">Tech_Registry!$E$27</f>
        <v>1</v>
      </c>
      <c r="I30" s="97" t="n">
        <f aca="false">Tech_Registry!$E$27</f>
        <v>1</v>
      </c>
      <c r="J30" s="97" t="n">
        <f aca="false">Tech_Registry!$E$27</f>
        <v>1</v>
      </c>
      <c r="K30" s="81" t="n">
        <v>0.5</v>
      </c>
      <c r="L30" s="81" t="n">
        <v>0.5</v>
      </c>
      <c r="M30" s="81" t="n">
        <v>1.67</v>
      </c>
      <c r="N30" s="81" t="n">
        <v>1.67</v>
      </c>
      <c r="O30" s="97" t="n">
        <f aca="false">Tech_Registry!$E$27</f>
        <v>1</v>
      </c>
      <c r="P30" s="97" t="n">
        <f aca="false">Tech_Registry!$E$27</f>
        <v>1</v>
      </c>
      <c r="Q30" s="97" t="n">
        <f aca="false">Tech_Registry!$E$27</f>
        <v>1</v>
      </c>
      <c r="R30" s="97" t="n">
        <f aca="false">Tech_Registry!$E$27</f>
        <v>1</v>
      </c>
      <c r="S30" s="97" t="n">
        <f aca="false">Tech_Registry!$E$27</f>
        <v>1</v>
      </c>
      <c r="T30" s="97" t="n">
        <f aca="false">Tech_Registry!$E$27</f>
        <v>1</v>
      </c>
      <c r="U30" s="97" t="n">
        <f aca="false">Tech_Registry!$E$27</f>
        <v>1</v>
      </c>
      <c r="V30" s="97" t="n">
        <f aca="false">Tech_Registry!$E$27</f>
        <v>1</v>
      </c>
      <c r="W30" s="97" t="n">
        <f aca="false">Tech_Registry!$E$27</f>
        <v>1</v>
      </c>
      <c r="X30" s="97" t="n">
        <f aca="false">Tech_Registry!$E$27</f>
        <v>1</v>
      </c>
      <c r="Y30" s="97" t="n">
        <f aca="false">Tech_Registry!$E$27</f>
        <v>1</v>
      </c>
      <c r="Z30" s="97" t="n">
        <f aca="false">Tech_Registry!$E$27</f>
        <v>1</v>
      </c>
      <c r="AA30" s="97" t="n">
        <f aca="false">Tech_Registry!$E$27</f>
        <v>1</v>
      </c>
      <c r="AB30" s="97" t="n">
        <f aca="false">Tech_Registry!$E$27</f>
        <v>1</v>
      </c>
      <c r="AC30" s="97" t="n">
        <f aca="false">Tech_Registry!$E$27</f>
        <v>1</v>
      </c>
      <c r="AD30" s="97" t="n">
        <f aca="false">Tech_Registry!$E$27</f>
        <v>1</v>
      </c>
      <c r="AE30" s="97" t="n">
        <f aca="false">Tech_Registry!$E$27</f>
        <v>1</v>
      </c>
      <c r="AF30" s="97" t="n">
        <f aca="false">Tech_Registry!$E$27</f>
        <v>1</v>
      </c>
      <c r="AG30" s="97" t="n">
        <f aca="false">Tech_Registry!$E$27</f>
        <v>1</v>
      </c>
      <c r="AH30" s="97" t="n">
        <f aca="false">Tech_Registry!$E$27</f>
        <v>1</v>
      </c>
    </row>
    <row r="31" customFormat="false" ht="15" hidden="false" customHeight="false" outlineLevel="0" collapsed="false">
      <c r="A31" s="61" t="s">
        <v>1102</v>
      </c>
      <c r="B31" s="62" t="s">
        <v>1103</v>
      </c>
      <c r="C31" s="98" t="n">
        <f aca="false">INDEX(Train_In!$C$25:$E$25,C$7)*C30</f>
        <v>33</v>
      </c>
      <c r="D31" s="98" t="n">
        <f aca="false">INDEX(Train_In!$C$25:$E$25,D$7)*D30</f>
        <v>60</v>
      </c>
      <c r="E31" s="98" t="n">
        <f aca="false">INDEX(Train_In!$C$25:$E$25,E$7)*E30</f>
        <v>33</v>
      </c>
      <c r="F31" s="98" t="n">
        <f aca="false">INDEX(Train_In!$C$25:$E$25,F$7)*F30</f>
        <v>60</v>
      </c>
      <c r="G31" s="98" t="n">
        <f aca="false">INDEX(Train_In!$C$25:$E$25,G$7)*G30</f>
        <v>33</v>
      </c>
      <c r="H31" s="98" t="n">
        <f aca="false">INDEX(Train_In!$C$25:$E$25,H$7)*H30</f>
        <v>60</v>
      </c>
      <c r="I31" s="98" t="n">
        <f aca="false">INDEX(Train_In!$C$25:$E$25,I$7)*I30</f>
        <v>33</v>
      </c>
      <c r="J31" s="98" t="n">
        <f aca="false">INDEX(Train_In!$C$25:$E$25,J$7)*J30</f>
        <v>60</v>
      </c>
      <c r="K31" s="98" t="n">
        <f aca="false">INDEX(Train_In!$C$25:$E$25,K$7)*K30</f>
        <v>16.5</v>
      </c>
      <c r="L31" s="98" t="n">
        <f aca="false">INDEX(Train_In!$C$25:$E$25,L$7)*L30</f>
        <v>30</v>
      </c>
      <c r="M31" s="98" t="n">
        <f aca="false">INDEX(Train_In!$C$25:$E$25,M$7)*M30</f>
        <v>55.11</v>
      </c>
      <c r="N31" s="98" t="n">
        <f aca="false">INDEX(Train_In!$C$25:$E$25,N$7)*N30</f>
        <v>100.2</v>
      </c>
      <c r="O31" s="98" t="n">
        <f aca="false">INDEX(Train_In!$C$25:$E$25,O$7)*O30</f>
        <v>33</v>
      </c>
      <c r="P31" s="98" t="n">
        <f aca="false">INDEX(Train_In!$C$25:$E$25,P$7)*P30</f>
        <v>60</v>
      </c>
      <c r="Q31" s="98" t="n">
        <f aca="false">INDEX(Train_In!$C$25:$E$25,Q$7)*Q30</f>
        <v>33</v>
      </c>
      <c r="R31" s="98" t="n">
        <f aca="false">INDEX(Train_In!$C$25:$E$25,R$7)*R30</f>
        <v>60</v>
      </c>
      <c r="S31" s="98" t="n">
        <f aca="false">INDEX(Train_In!$C$25:$E$25,S$7)*S30</f>
        <v>33</v>
      </c>
      <c r="T31" s="98" t="n">
        <f aca="false">INDEX(Train_In!$C$25:$E$25,T$7)*T30</f>
        <v>60</v>
      </c>
      <c r="U31" s="98" t="n">
        <f aca="false">INDEX(Train_In!$C$25:$E$25,U$7)*U30</f>
        <v>33</v>
      </c>
      <c r="V31" s="98" t="n">
        <f aca="false">INDEX(Train_In!$C$25:$E$25,V$7)*V30</f>
        <v>60</v>
      </c>
      <c r="W31" s="98" t="n">
        <f aca="false">INDEX(Train_In!$C$25:$E$25,W$7)*W30</f>
        <v>33</v>
      </c>
      <c r="X31" s="98" t="n">
        <f aca="false">INDEX(Train_In!$C$25:$E$25,X$7)*X30</f>
        <v>60</v>
      </c>
      <c r="Y31" s="98" t="n">
        <f aca="false">INDEX(Train_In!$C$25:$E$25,Y$7)*Y30</f>
        <v>33</v>
      </c>
      <c r="Z31" s="98" t="n">
        <f aca="false">INDEX(Train_In!$C$25:$E$25,Z$7)*Z30</f>
        <v>60</v>
      </c>
      <c r="AA31" s="98" t="n">
        <f aca="false">INDEX(Train_In!$C$25:$E$25,AA$7)*AA30</f>
        <v>33</v>
      </c>
      <c r="AB31" s="98" t="n">
        <f aca="false">INDEX(Train_In!$C$25:$E$25,AB$7)*AB30</f>
        <v>60</v>
      </c>
      <c r="AC31" s="98" t="n">
        <f aca="false">INDEX(Train_In!$C$25:$E$25,AC$7)*AC30</f>
        <v>33</v>
      </c>
      <c r="AD31" s="98" t="n">
        <f aca="false">INDEX(Train_In!$C$25:$E$25,AD$7)*AD30</f>
        <v>60</v>
      </c>
      <c r="AE31" s="98" t="n">
        <f aca="false">INDEX(Train_In!$C$25:$E$25,AE$7)*AE30</f>
        <v>33</v>
      </c>
      <c r="AF31" s="98" t="n">
        <f aca="false">INDEX(Train_In!$C$25:$E$25,AF$7)*AF30</f>
        <v>60</v>
      </c>
      <c r="AG31" s="98" t="n">
        <f aca="false">INDEX(Train_In!$C$25:$E$25,AG$7)*AG30</f>
        <v>33</v>
      </c>
      <c r="AH31" s="98" t="n">
        <f aca="false">INDEX(Train_In!$C$25:$E$25,AH$7)*AH30</f>
        <v>60</v>
      </c>
    </row>
    <row r="32" customFormat="false" ht="15" hidden="false" customHeight="false" outlineLevel="0" collapsed="false">
      <c r="A32" s="61" t="s">
        <v>1175</v>
      </c>
      <c r="B32" s="62" t="s">
        <v>308</v>
      </c>
      <c r="C32" s="63" t="n">
        <f aca="false">INDEX(Train_In!$C$26:$E$26,C$7)</f>
        <v>4096</v>
      </c>
      <c r="D32" s="63" t="n">
        <f aca="false">INDEX(Train_In!$C$26:$E$26,D$7)</f>
        <v>8192</v>
      </c>
      <c r="E32" s="63" t="n">
        <f aca="false">INDEX(Train_In!$C$26:$E$26,E$7)</f>
        <v>4096</v>
      </c>
      <c r="F32" s="63" t="n">
        <f aca="false">INDEX(Train_In!$C$26:$E$26,F$7)</f>
        <v>8192</v>
      </c>
      <c r="G32" s="63" t="n">
        <f aca="false">INDEX(Train_In!$C$26:$E$26,G$7)</f>
        <v>4096</v>
      </c>
      <c r="H32" s="63" t="n">
        <f aca="false">INDEX(Train_In!$C$26:$E$26,H$7)</f>
        <v>8192</v>
      </c>
      <c r="I32" s="63" t="n">
        <f aca="false">INDEX(Train_In!$C$26:$E$26,I$7)</f>
        <v>4096</v>
      </c>
      <c r="J32" s="63" t="n">
        <f aca="false">INDEX(Train_In!$C$26:$E$26,J$7)</f>
        <v>8192</v>
      </c>
      <c r="K32" s="63" t="n">
        <f aca="false">INDEX(Train_In!$C$26:$E$26,K$7)</f>
        <v>4096</v>
      </c>
      <c r="L32" s="63" t="n">
        <f aca="false">INDEX(Train_In!$C$26:$E$26,L$7)</f>
        <v>8192</v>
      </c>
      <c r="M32" s="63" t="n">
        <f aca="false">INDEX(Train_In!$C$26:$E$26,M$7)</f>
        <v>4096</v>
      </c>
      <c r="N32" s="63" t="n">
        <f aca="false">INDEX(Train_In!$C$26:$E$26,N$7)</f>
        <v>8192</v>
      </c>
      <c r="O32" s="63" t="n">
        <f aca="false">INDEX(Train_In!$C$26:$E$26,O$7)</f>
        <v>4096</v>
      </c>
      <c r="P32" s="63" t="n">
        <f aca="false">INDEX(Train_In!$C$26:$E$26,P$7)</f>
        <v>8192</v>
      </c>
      <c r="Q32" s="63" t="n">
        <f aca="false">INDEX(Train_In!$C$26:$E$26,Q$7)</f>
        <v>4096</v>
      </c>
      <c r="R32" s="63" t="n">
        <f aca="false">INDEX(Train_In!$C$26:$E$26,R$7)</f>
        <v>8192</v>
      </c>
      <c r="S32" s="63" t="n">
        <f aca="false">INDEX(Train_In!$C$26:$E$26,S$7)</f>
        <v>4096</v>
      </c>
      <c r="T32" s="63" t="n">
        <f aca="false">INDEX(Train_In!$C$26:$E$26,T$7)</f>
        <v>8192</v>
      </c>
      <c r="U32" s="63" t="n">
        <f aca="false">INDEX(Train_In!$C$26:$E$26,U$7)</f>
        <v>4096</v>
      </c>
      <c r="V32" s="63" t="n">
        <f aca="false">INDEX(Train_In!$C$26:$E$26,V$7)</f>
        <v>8192</v>
      </c>
      <c r="W32" s="63" t="n">
        <f aca="false">INDEX(Train_In!$C$26:$E$26,W$7)</f>
        <v>4096</v>
      </c>
      <c r="X32" s="63" t="n">
        <f aca="false">INDEX(Train_In!$C$26:$E$26,X$7)</f>
        <v>8192</v>
      </c>
      <c r="Y32" s="63" t="n">
        <f aca="false">INDEX(Train_In!$C$26:$E$26,Y$7)</f>
        <v>4096</v>
      </c>
      <c r="Z32" s="63" t="n">
        <f aca="false">INDEX(Train_In!$C$26:$E$26,Z$7)</f>
        <v>8192</v>
      </c>
      <c r="AA32" s="63" t="n">
        <f aca="false">INDEX(Train_In!$C$26:$E$26,AA$7)</f>
        <v>4096</v>
      </c>
      <c r="AB32" s="63" t="n">
        <f aca="false">INDEX(Train_In!$C$26:$E$26,AB$7)</f>
        <v>8192</v>
      </c>
      <c r="AC32" s="63" t="n">
        <f aca="false">INDEX(Train_In!$C$26:$E$26,AC$7)</f>
        <v>4096</v>
      </c>
      <c r="AD32" s="63" t="n">
        <f aca="false">INDEX(Train_In!$C$26:$E$26,AD$7)</f>
        <v>8192</v>
      </c>
      <c r="AE32" s="63" t="n">
        <f aca="false">INDEX(Train_In!$C$26:$E$26,AE$7)</f>
        <v>4096</v>
      </c>
      <c r="AF32" s="63" t="n">
        <f aca="false">INDEX(Train_In!$C$26:$E$26,AF$7)</f>
        <v>8192</v>
      </c>
      <c r="AG32" s="63" t="n">
        <f aca="false">INDEX(Train_In!$C$26:$E$26,AG$7)</f>
        <v>4096</v>
      </c>
      <c r="AH32" s="63" t="n">
        <f aca="false">INDEX(Train_In!$C$26:$E$26,AH$7)</f>
        <v>8192</v>
      </c>
    </row>
    <row r="33" customFormat="false" ht="15" hidden="false" customHeight="false" outlineLevel="0" collapsed="false">
      <c r="A33" s="61" t="s">
        <v>1176</v>
      </c>
      <c r="B33" s="62" t="s">
        <v>308</v>
      </c>
      <c r="C33" s="68" t="n">
        <f aca="false">C32/2</f>
        <v>2048</v>
      </c>
      <c r="D33" s="68" t="n">
        <f aca="false">D32/2</f>
        <v>4096</v>
      </c>
      <c r="E33" s="68" t="n">
        <f aca="false">E32/2</f>
        <v>2048</v>
      </c>
      <c r="F33" s="68" t="n">
        <f aca="false">F32/2</f>
        <v>4096</v>
      </c>
      <c r="G33" s="68" t="n">
        <f aca="false">G32/2</f>
        <v>2048</v>
      </c>
      <c r="H33" s="68" t="n">
        <f aca="false">H32/2</f>
        <v>4096</v>
      </c>
      <c r="I33" s="68" t="n">
        <f aca="false">I32/2</f>
        <v>2048</v>
      </c>
      <c r="J33" s="68" t="n">
        <f aca="false">J32/2</f>
        <v>4096</v>
      </c>
      <c r="K33" s="68" t="n">
        <f aca="false">K32/2</f>
        <v>2048</v>
      </c>
      <c r="L33" s="68" t="n">
        <f aca="false">L32/2</f>
        <v>4096</v>
      </c>
      <c r="M33" s="68" t="n">
        <f aca="false">M32/2</f>
        <v>2048</v>
      </c>
      <c r="N33" s="68" t="n">
        <f aca="false">N32/2</f>
        <v>4096</v>
      </c>
      <c r="O33" s="68" t="n">
        <f aca="false">O32/2</f>
        <v>2048</v>
      </c>
      <c r="P33" s="68" t="n">
        <f aca="false">P32/2</f>
        <v>4096</v>
      </c>
      <c r="Q33" s="68" t="n">
        <f aca="false">Q32/2</f>
        <v>2048</v>
      </c>
      <c r="R33" s="68" t="n">
        <f aca="false">R32/2</f>
        <v>4096</v>
      </c>
      <c r="S33" s="68" t="n">
        <f aca="false">S32/2</f>
        <v>2048</v>
      </c>
      <c r="T33" s="68" t="n">
        <f aca="false">T32/2</f>
        <v>4096</v>
      </c>
      <c r="U33" s="68" t="n">
        <f aca="false">U32/2</f>
        <v>2048</v>
      </c>
      <c r="V33" s="68" t="n">
        <f aca="false">V32/2</f>
        <v>4096</v>
      </c>
      <c r="W33" s="68" t="n">
        <f aca="false">W32/2</f>
        <v>2048</v>
      </c>
      <c r="X33" s="68" t="n">
        <f aca="false">X32/2</f>
        <v>4096</v>
      </c>
      <c r="Y33" s="68" t="n">
        <f aca="false">Y32/2</f>
        <v>2048</v>
      </c>
      <c r="Z33" s="68" t="n">
        <f aca="false">Z32/2</f>
        <v>4096</v>
      </c>
      <c r="AA33" s="68" t="n">
        <f aca="false">AA32/2</f>
        <v>2048</v>
      </c>
      <c r="AB33" s="68" t="n">
        <f aca="false">AB32/2</f>
        <v>4096</v>
      </c>
      <c r="AC33" s="68" t="n">
        <f aca="false">AC32/2</f>
        <v>2048</v>
      </c>
      <c r="AD33" s="68" t="n">
        <f aca="false">AD32/2</f>
        <v>4096</v>
      </c>
      <c r="AE33" s="68" t="n">
        <f aca="false">AE32/2</f>
        <v>2048</v>
      </c>
      <c r="AF33" s="68" t="n">
        <f aca="false">AF32/2</f>
        <v>4096</v>
      </c>
      <c r="AG33" s="68" t="n">
        <f aca="false">AG32/2</f>
        <v>2048</v>
      </c>
      <c r="AH33" s="68" t="n">
        <f aca="false">AH32/2</f>
        <v>4096</v>
      </c>
    </row>
    <row r="34" customFormat="false" ht="15" hidden="false" customHeight="false" outlineLevel="0" collapsed="false">
      <c r="A34" s="61" t="s">
        <v>1177</v>
      </c>
      <c r="B34" s="62" t="s">
        <v>539</v>
      </c>
      <c r="C34" s="75" t="n">
        <f aca="false">3*(2*C22*1000000000+C23*C33)*C28/1000000000</f>
        <v>392.247376896</v>
      </c>
      <c r="D34" s="75" t="n">
        <f aca="false">3*(2*D22*1000000000+D23*D33)*D28/1000000000</f>
        <v>1140.3979776</v>
      </c>
      <c r="E34" s="75" t="n">
        <f aca="false">3*(2*E22*1000000000+E23*E33)*E28/1000000000</f>
        <v>392.247376896</v>
      </c>
      <c r="F34" s="75" t="n">
        <f aca="false">3*(2*F22*1000000000+F23*F33)*F28/1000000000</f>
        <v>1140.3979776</v>
      </c>
      <c r="G34" s="75" t="n">
        <f aca="false">3*(2*G22*1000000000+G23*G33)*G28/1000000000</f>
        <v>392.247376896</v>
      </c>
      <c r="H34" s="75" t="n">
        <f aca="false">3*(2*H22*1000000000+H23*H33)*H28/1000000000</f>
        <v>1140.3979776</v>
      </c>
      <c r="I34" s="75" t="n">
        <f aca="false">3*(2*I22*1000000000+I23*I33)*I28/1000000000</f>
        <v>392.247376896</v>
      </c>
      <c r="J34" s="75" t="n">
        <f aca="false">3*(2*J22*1000000000+J23*J33)*J28/1000000000</f>
        <v>1140.3979776</v>
      </c>
      <c r="K34" s="75" t="n">
        <f aca="false">3*(2*K22*1000000000+K23*K33)*K28/1000000000</f>
        <v>392.247376896</v>
      </c>
      <c r="L34" s="75" t="n">
        <f aca="false">3*(2*L22*1000000000+L23*L33)*L28/1000000000</f>
        <v>1140.3979776</v>
      </c>
      <c r="M34" s="75" t="n">
        <f aca="false">3*(2*M22*1000000000+M23*M33)*M28/1000000000</f>
        <v>392.247376896</v>
      </c>
      <c r="N34" s="75" t="n">
        <f aca="false">3*(2*N22*1000000000+N23*N33)*N28/1000000000</f>
        <v>1140.3979776</v>
      </c>
      <c r="O34" s="75" t="n">
        <f aca="false">3*(2*O22*1000000000+O23*O33)*O28/1000000000</f>
        <v>392.247376896</v>
      </c>
      <c r="P34" s="75" t="n">
        <f aca="false">3*(2*P22*1000000000+P23*P33)*P28/1000000000</f>
        <v>1140.3979776</v>
      </c>
      <c r="Q34" s="75" t="n">
        <f aca="false">3*(2*Q22*1000000000+Q23*Q33)*Q28/1000000000</f>
        <v>392.247376896</v>
      </c>
      <c r="R34" s="75" t="n">
        <f aca="false">3*(2*R22*1000000000+R23*R33)*R28/1000000000</f>
        <v>1140.3979776</v>
      </c>
      <c r="S34" s="75" t="n">
        <f aca="false">3*(2*S22*1000000000+S23*S33)*S28/1000000000</f>
        <v>392.247376896</v>
      </c>
      <c r="T34" s="75" t="n">
        <f aca="false">3*(2*T22*1000000000+T23*T33)*T28/1000000000</f>
        <v>1140.3979776</v>
      </c>
      <c r="U34" s="75" t="n">
        <f aca="false">3*(2*U22*1000000000+U23*U33)*U28/1000000000</f>
        <v>392.247376896</v>
      </c>
      <c r="V34" s="75" t="n">
        <f aca="false">3*(2*V22*1000000000+V23*V33)*V28/1000000000</f>
        <v>1140.3979776</v>
      </c>
      <c r="W34" s="75" t="n">
        <f aca="false">3*(2*W22*1000000000+W23*W33)*W28/1000000000</f>
        <v>392.247376896</v>
      </c>
      <c r="X34" s="75" t="n">
        <f aca="false">3*(2*X22*1000000000+X23*X33)*X28/1000000000</f>
        <v>1140.3979776</v>
      </c>
      <c r="Y34" s="75" t="n">
        <f aca="false">3*(2*Y22*1000000000+Y23*Y33)*Y28/1000000000</f>
        <v>392.247376896</v>
      </c>
      <c r="Z34" s="75" t="n">
        <f aca="false">3*(2*Z22*1000000000+Z23*Z33)*Z28/1000000000</f>
        <v>1140.3979776</v>
      </c>
      <c r="AA34" s="75" t="n">
        <f aca="false">3*(2*AA22*1000000000+AA23*AA33)*AA28/1000000000</f>
        <v>392.247376896</v>
      </c>
      <c r="AB34" s="75" t="n">
        <f aca="false">3*(2*AB22*1000000000+AB23*AB33)*AB28/1000000000</f>
        <v>1140.3979776</v>
      </c>
      <c r="AC34" s="75" t="n">
        <f aca="false">3*(2*AC22*1000000000+AC23*AC33)*AC28/1000000000</f>
        <v>392.247376896</v>
      </c>
      <c r="AD34" s="75" t="n">
        <f aca="false">3*(2*AD22*1000000000+AD23*AD33)*AD28/1000000000</f>
        <v>1140.3979776</v>
      </c>
      <c r="AE34" s="75" t="n">
        <f aca="false">3*(2*AE22*1000000000+AE23*AE33)*AE28/1000000000</f>
        <v>392.247376896</v>
      </c>
      <c r="AF34" s="75" t="n">
        <f aca="false">3*(2*AF22*1000000000+AF23*AF33)*AF28/1000000000</f>
        <v>1140.3979776</v>
      </c>
      <c r="AG34" s="75" t="n">
        <f aca="false">3*(2*AG22*1000000000+AG23*AG33)*AG28/1000000000</f>
        <v>392.247376896</v>
      </c>
      <c r="AH34" s="75" t="n">
        <f aca="false">3*(2*AH22*1000000000+AH23*AH33)*AH28/1000000000</f>
        <v>1140.3979776</v>
      </c>
    </row>
    <row r="35" customFormat="false" ht="15" hidden="false" customHeight="false" outlineLevel="0" collapsed="false">
      <c r="A35" s="61" t="s">
        <v>1178</v>
      </c>
      <c r="B35" s="62" t="s">
        <v>330</v>
      </c>
      <c r="C35" s="144" t="n">
        <f aca="false">C34*1000000000*C31*1000000000000</f>
        <v>1.2944163437568E+025</v>
      </c>
      <c r="D35" s="144" t="n">
        <f aca="false">D34*1000000000*D31*1000000000000</f>
        <v>6.8423878656E+025</v>
      </c>
      <c r="E35" s="144" t="n">
        <f aca="false">E34*1000000000*E31*1000000000000</f>
        <v>1.2944163437568E+025</v>
      </c>
      <c r="F35" s="144" t="n">
        <f aca="false">F34*1000000000*F31*1000000000000</f>
        <v>6.8423878656E+025</v>
      </c>
      <c r="G35" s="144" t="n">
        <f aca="false">G34*1000000000*G31*1000000000000</f>
        <v>1.2944163437568E+025</v>
      </c>
      <c r="H35" s="144" t="n">
        <f aca="false">H34*1000000000*H31*1000000000000</f>
        <v>6.8423878656E+025</v>
      </c>
      <c r="I35" s="144" t="n">
        <f aca="false">I34*1000000000*I31*1000000000000</f>
        <v>1.2944163437568E+025</v>
      </c>
      <c r="J35" s="144" t="n">
        <f aca="false">J34*1000000000*J31*1000000000000</f>
        <v>6.8423878656E+025</v>
      </c>
      <c r="K35" s="144" t="n">
        <f aca="false">K34*1000000000*K31*1000000000000</f>
        <v>6.472081718784E+024</v>
      </c>
      <c r="L35" s="144" t="n">
        <f aca="false">L34*1000000000*L31*1000000000000</f>
        <v>3.4211939328E+025</v>
      </c>
      <c r="M35" s="144" t="n">
        <f aca="false">M34*1000000000*M31*1000000000000</f>
        <v>2.16167529407386E+025</v>
      </c>
      <c r="N35" s="144" t="n">
        <f aca="false">N34*1000000000*N31*1000000000000</f>
        <v>1.1426787735552E+026</v>
      </c>
      <c r="O35" s="144" t="n">
        <f aca="false">O34*1000000000*O31*1000000000000</f>
        <v>1.2944163437568E+025</v>
      </c>
      <c r="P35" s="144" t="n">
        <f aca="false">P34*1000000000*P31*1000000000000</f>
        <v>6.8423878656E+025</v>
      </c>
      <c r="Q35" s="144" t="n">
        <f aca="false">Q34*1000000000*Q31*1000000000000</f>
        <v>1.2944163437568E+025</v>
      </c>
      <c r="R35" s="144" t="n">
        <f aca="false">R34*1000000000*R31*1000000000000</f>
        <v>6.8423878656E+025</v>
      </c>
      <c r="S35" s="144" t="n">
        <f aca="false">S34*1000000000*S31*1000000000000</f>
        <v>1.2944163437568E+025</v>
      </c>
      <c r="T35" s="144" t="n">
        <f aca="false">T34*1000000000*T31*1000000000000</f>
        <v>6.8423878656E+025</v>
      </c>
      <c r="U35" s="144" t="n">
        <f aca="false">U34*1000000000*U31*1000000000000</f>
        <v>1.2944163437568E+025</v>
      </c>
      <c r="V35" s="144" t="n">
        <f aca="false">V34*1000000000*V31*1000000000000</f>
        <v>6.8423878656E+025</v>
      </c>
      <c r="W35" s="144" t="n">
        <f aca="false">W34*1000000000*W31*1000000000000</f>
        <v>1.2944163437568E+025</v>
      </c>
      <c r="X35" s="144" t="n">
        <f aca="false">X34*1000000000*X31*1000000000000</f>
        <v>6.8423878656E+025</v>
      </c>
      <c r="Y35" s="144" t="n">
        <f aca="false">Y34*1000000000*Y31*1000000000000</f>
        <v>1.2944163437568E+025</v>
      </c>
      <c r="Z35" s="144" t="n">
        <f aca="false">Z34*1000000000*Z31*1000000000000</f>
        <v>6.8423878656E+025</v>
      </c>
      <c r="AA35" s="144" t="n">
        <f aca="false">AA34*1000000000*AA31*1000000000000</f>
        <v>1.2944163437568E+025</v>
      </c>
      <c r="AB35" s="144" t="n">
        <f aca="false">AB34*1000000000*AB31*1000000000000</f>
        <v>6.8423878656E+025</v>
      </c>
      <c r="AC35" s="144" t="n">
        <f aca="false">AC34*1000000000*AC31*1000000000000</f>
        <v>1.2944163437568E+025</v>
      </c>
      <c r="AD35" s="144" t="n">
        <f aca="false">AD34*1000000000*AD31*1000000000000</f>
        <v>6.8423878656E+025</v>
      </c>
      <c r="AE35" s="144" t="n">
        <f aca="false">AE34*1000000000*AE31*1000000000000</f>
        <v>1.2944163437568E+025</v>
      </c>
      <c r="AF35" s="144" t="n">
        <f aca="false">AF34*1000000000*AF31*1000000000000</f>
        <v>6.8423878656E+025</v>
      </c>
      <c r="AG35" s="144" t="n">
        <f aca="false">AG34*1000000000*AG31*1000000000000</f>
        <v>1.2944163437568E+025</v>
      </c>
      <c r="AH35" s="144" t="n">
        <f aca="false">AH34*1000000000*AH31*1000000000000</f>
        <v>6.8423878656E+025</v>
      </c>
    </row>
    <row r="36" customFormat="false" ht="15" hidden="false" customHeight="false" outlineLevel="0" collapsed="false">
      <c r="A36" s="61" t="s">
        <v>1179</v>
      </c>
      <c r="B36" s="62" t="s">
        <v>1180</v>
      </c>
      <c r="C36" s="71" t="n">
        <f aca="false">C35/(C12*1000000000000000*C16*1*C17)/3600</f>
        <v>1014631.66275273</v>
      </c>
      <c r="D36" s="71" t="n">
        <f aca="false">D35/(D12*1000000000000000*D16*1*D17)/3600</f>
        <v>5363423.76296296</v>
      </c>
      <c r="E36" s="71" t="n">
        <f aca="false">E35/(E12*1000000000000000*E16*1*E17)/3600</f>
        <v>1691052.77125456</v>
      </c>
      <c r="F36" s="71" t="n">
        <f aca="false">F35/(F12*1000000000000000*F16*1*F17)/3600</f>
        <v>8939039.60493827</v>
      </c>
      <c r="G36" s="71" t="n">
        <f aca="false">G35/(G12*1000000000000000*G16*1*G17)/3600</f>
        <v>634144.789220458</v>
      </c>
      <c r="H36" s="71" t="n">
        <f aca="false">H35/(H12*1000000000000000*H16*1*H17)/3600</f>
        <v>3352139.85185185</v>
      </c>
      <c r="I36" s="71" t="n">
        <f aca="false">I35/(I12*1000000000000000*I16*1*I17)/3600</f>
        <v>507315.831376367</v>
      </c>
      <c r="J36" s="71" t="n">
        <f aca="false">J35/(J12*1000000000000000*J16*1*J17)/3600</f>
        <v>2681711.88148148</v>
      </c>
      <c r="K36" s="71" t="n">
        <f aca="false">K35/(K12*1000000000000000*K16*1*K17)/3600</f>
        <v>507315.831376367</v>
      </c>
      <c r="L36" s="71" t="n">
        <f aca="false">L35/(L12*1000000000000000*L16*1*L17)/3600</f>
        <v>2681711.88148148</v>
      </c>
      <c r="M36" s="71" t="n">
        <f aca="false">M35/(M12*1000000000000000*M16*1*M17)/3600</f>
        <v>1694434.87679707</v>
      </c>
      <c r="N36" s="71" t="n">
        <f aca="false">N35/(N12*1000000000000000*N16*1*N17)/3600</f>
        <v>8956917.68414815</v>
      </c>
      <c r="O36" s="71" t="n">
        <f aca="false">O35/(O12*1000000000000000*O16*1*O17)/3600</f>
        <v>1014631.66275273</v>
      </c>
      <c r="P36" s="71" t="n">
        <f aca="false">P35/(P12*1000000000000000*P16*1*P17)/3600</f>
        <v>5363423.76296296</v>
      </c>
      <c r="Q36" s="71" t="n">
        <f aca="false">Q35/(Q12*1000000000000000*Q16*1*Q17)/3600</f>
        <v>1014631.66275273</v>
      </c>
      <c r="R36" s="71" t="n">
        <f aca="false">R35/(R12*1000000000000000*R16*1*R17)/3600</f>
        <v>5363423.76296296</v>
      </c>
      <c r="S36" s="71" t="n">
        <f aca="false">S35/(S12*1000000000000000*S16*1*S17)/3600</f>
        <v>1014631.66275273</v>
      </c>
      <c r="T36" s="71" t="n">
        <f aca="false">T35/(T12*1000000000000000*T16*1*T17)/3600</f>
        <v>5363423.76296296</v>
      </c>
      <c r="U36" s="71" t="n">
        <f aca="false">U35/(U12*1000000000000000*U16*1*U17)/3600</f>
        <v>1014631.66275273</v>
      </c>
      <c r="V36" s="71" t="n">
        <f aca="false">V35/(V12*1000000000000000*V16*1*V17)/3600</f>
        <v>5363423.76296296</v>
      </c>
      <c r="W36" s="71" t="n">
        <f aca="false">W35/(W12*1000000000000000*W16*1*W17)/3600</f>
        <v>1014631.66275273</v>
      </c>
      <c r="X36" s="71" t="n">
        <f aca="false">X35/(X12*1000000000000000*X16*1*X17)/3600</f>
        <v>5363423.76296296</v>
      </c>
      <c r="Y36" s="71" t="n">
        <f aca="false">Y35/(Y12*1000000000000000*Y16*1*Y17)/3600</f>
        <v>1014631.66275273</v>
      </c>
      <c r="Z36" s="71" t="n">
        <f aca="false">Z35/(Z12*1000000000000000*Z16*1*Z17)/3600</f>
        <v>5363423.76296296</v>
      </c>
      <c r="AA36" s="71" t="n">
        <f aca="false">AA35/(AA12*1000000000000000*AA16*1*AA17)/3600</f>
        <v>1014631.66275273</v>
      </c>
      <c r="AB36" s="71" t="n">
        <f aca="false">AB35/(AB12*1000000000000000*AB16*1*AB17)/3600</f>
        <v>5363423.76296296</v>
      </c>
      <c r="AC36" s="71" t="n">
        <f aca="false">AC35/(AC12*1000000000000000*AC16*1*AC17)/3600</f>
        <v>1014631.66275273</v>
      </c>
      <c r="AD36" s="71" t="n">
        <f aca="false">AD35/(AD12*1000000000000000*AD16*1*AD17)/3600</f>
        <v>5363423.76296296</v>
      </c>
      <c r="AE36" s="71" t="n">
        <f aca="false">AE35/(AE12*1000000000000000*AE16*1*AE17)/3600</f>
        <v>1014631.66275273</v>
      </c>
      <c r="AF36" s="71" t="n">
        <f aca="false">AF35/(AF12*1000000000000000*AF16*1*AF17)/3600</f>
        <v>5363423.76296296</v>
      </c>
      <c r="AG36" s="71" t="n">
        <f aca="false">AG35/(AG12*1000000000000000*AG16*1*AG17)/3600</f>
        <v>1141460.62059683</v>
      </c>
      <c r="AH36" s="71" t="n">
        <f aca="false">AH35/(AH12*1000000000000000*AH16*1*AH17)/3600</f>
        <v>6033851.73333333</v>
      </c>
    </row>
    <row r="37" customFormat="false" ht="15" hidden="false" customHeight="false" outlineLevel="0" collapsed="false">
      <c r="A37" s="76" t="s">
        <v>1181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</row>
    <row r="38" customFormat="false" ht="15" hidden="false" customHeight="false" outlineLevel="0" collapsed="false">
      <c r="A38" s="61" t="s">
        <v>1182</v>
      </c>
      <c r="B38" s="62" t="s">
        <v>1103</v>
      </c>
      <c r="C38" s="98" t="n">
        <f aca="false">INDEX(Train_In!$C$27:$E$27,C$7)</f>
        <v>1</v>
      </c>
      <c r="D38" s="98" t="n">
        <f aca="false">INDEX(Train_In!$C$27:$E$27,D$7)</f>
        <v>2</v>
      </c>
      <c r="E38" s="98" t="n">
        <f aca="false">INDEX(Train_In!$C$27:$E$27,E$7)</f>
        <v>1</v>
      </c>
      <c r="F38" s="98" t="n">
        <f aca="false">INDEX(Train_In!$C$27:$E$27,F$7)</f>
        <v>2</v>
      </c>
      <c r="G38" s="98" t="n">
        <f aca="false">INDEX(Train_In!$C$27:$E$27,G$7)</f>
        <v>1</v>
      </c>
      <c r="H38" s="98" t="n">
        <f aca="false">INDEX(Train_In!$C$27:$E$27,H$7)</f>
        <v>2</v>
      </c>
      <c r="I38" s="98" t="n">
        <f aca="false">INDEX(Train_In!$C$27:$E$27,I$7)</f>
        <v>1</v>
      </c>
      <c r="J38" s="98" t="n">
        <f aca="false">INDEX(Train_In!$C$27:$E$27,J$7)</f>
        <v>2</v>
      </c>
      <c r="K38" s="98" t="n">
        <f aca="false">INDEX(Train_In!$C$27:$E$27,K$7)</f>
        <v>1</v>
      </c>
      <c r="L38" s="98" t="n">
        <f aca="false">INDEX(Train_In!$C$27:$E$27,L$7)</f>
        <v>2</v>
      </c>
      <c r="M38" s="98" t="n">
        <f aca="false">INDEX(Train_In!$C$27:$E$27,M$7)</f>
        <v>1</v>
      </c>
      <c r="N38" s="98" t="n">
        <f aca="false">INDEX(Train_In!$C$27:$E$27,N$7)</f>
        <v>2</v>
      </c>
      <c r="O38" s="98" t="n">
        <f aca="false">INDEX(Train_In!$C$27:$E$27,O$7)</f>
        <v>1</v>
      </c>
      <c r="P38" s="98" t="n">
        <f aca="false">INDEX(Train_In!$C$27:$E$27,P$7)</f>
        <v>2</v>
      </c>
      <c r="Q38" s="98" t="n">
        <f aca="false">INDEX(Train_In!$C$27:$E$27,Q$7)</f>
        <v>1</v>
      </c>
      <c r="R38" s="98" t="n">
        <f aca="false">INDEX(Train_In!$C$27:$E$27,R$7)</f>
        <v>2</v>
      </c>
      <c r="S38" s="98" t="n">
        <f aca="false">INDEX(Train_In!$C$27:$E$27,S$7)</f>
        <v>1</v>
      </c>
      <c r="T38" s="98" t="n">
        <f aca="false">INDEX(Train_In!$C$27:$E$27,T$7)</f>
        <v>2</v>
      </c>
      <c r="U38" s="98" t="n">
        <f aca="false">INDEX(Train_In!$C$27:$E$27,U$7)</f>
        <v>1</v>
      </c>
      <c r="V38" s="98" t="n">
        <f aca="false">INDEX(Train_In!$C$27:$E$27,V$7)</f>
        <v>2</v>
      </c>
      <c r="W38" s="98" t="n">
        <f aca="false">INDEX(Train_In!$C$27:$E$27,W$7)</f>
        <v>1</v>
      </c>
      <c r="X38" s="98" t="n">
        <f aca="false">INDEX(Train_In!$C$27:$E$27,X$7)</f>
        <v>2</v>
      </c>
      <c r="Y38" s="98" t="n">
        <f aca="false">INDEX(Train_In!$C$27:$E$27,Y$7)</f>
        <v>1</v>
      </c>
      <c r="Z38" s="98" t="n">
        <f aca="false">INDEX(Train_In!$C$27:$E$27,Z$7)</f>
        <v>2</v>
      </c>
      <c r="AA38" s="98" t="n">
        <f aca="false">INDEX(Train_In!$C$27:$E$27,AA$7)</f>
        <v>1</v>
      </c>
      <c r="AB38" s="98" t="n">
        <f aca="false">INDEX(Train_In!$C$27:$E$27,AB$7)</f>
        <v>2</v>
      </c>
      <c r="AC38" s="98" t="n">
        <f aca="false">INDEX(Train_In!$C$27:$E$27,AC$7)</f>
        <v>1</v>
      </c>
      <c r="AD38" s="98" t="n">
        <f aca="false">INDEX(Train_In!$C$27:$E$27,AD$7)</f>
        <v>2</v>
      </c>
      <c r="AE38" s="98" t="n">
        <f aca="false">INDEX(Train_In!$C$27:$E$27,AE$7)</f>
        <v>1</v>
      </c>
      <c r="AF38" s="98" t="n">
        <f aca="false">INDEX(Train_In!$C$27:$E$27,AF$7)</f>
        <v>2</v>
      </c>
      <c r="AG38" s="98" t="n">
        <f aca="false">INDEX(Train_In!$C$27:$E$27,AG$7)</f>
        <v>1</v>
      </c>
      <c r="AH38" s="98" t="n">
        <f aca="false">INDEX(Train_In!$C$27:$E$27,AH$7)</f>
        <v>2</v>
      </c>
    </row>
    <row r="39" customFormat="false" ht="15" hidden="false" customHeight="false" outlineLevel="0" collapsed="false">
      <c r="A39" s="61" t="s">
        <v>1175</v>
      </c>
      <c r="B39" s="62" t="s">
        <v>308</v>
      </c>
      <c r="C39" s="63" t="n">
        <f aca="false">INDEX(Train_In!$C$28:$E$28,C$7)</f>
        <v>131072</v>
      </c>
      <c r="D39" s="63" t="n">
        <f aca="false">INDEX(Train_In!$C$28:$E$28,D$7)</f>
        <v>131072</v>
      </c>
      <c r="E39" s="63" t="n">
        <f aca="false">INDEX(Train_In!$C$28:$E$28,E$7)</f>
        <v>131072</v>
      </c>
      <c r="F39" s="63" t="n">
        <f aca="false">INDEX(Train_In!$C$28:$E$28,F$7)</f>
        <v>131072</v>
      </c>
      <c r="G39" s="63" t="n">
        <f aca="false">INDEX(Train_In!$C$28:$E$28,G$7)</f>
        <v>131072</v>
      </c>
      <c r="H39" s="63" t="n">
        <f aca="false">INDEX(Train_In!$C$28:$E$28,H$7)</f>
        <v>131072</v>
      </c>
      <c r="I39" s="63" t="n">
        <f aca="false">INDEX(Train_In!$C$28:$E$28,I$7)</f>
        <v>131072</v>
      </c>
      <c r="J39" s="63" t="n">
        <f aca="false">INDEX(Train_In!$C$28:$E$28,J$7)</f>
        <v>131072</v>
      </c>
      <c r="K39" s="63" t="n">
        <f aca="false">INDEX(Train_In!$C$28:$E$28,K$7)</f>
        <v>131072</v>
      </c>
      <c r="L39" s="63" t="n">
        <f aca="false">INDEX(Train_In!$C$28:$E$28,L$7)</f>
        <v>131072</v>
      </c>
      <c r="M39" s="63" t="n">
        <f aca="false">INDEX(Train_In!$C$28:$E$28,M$7)</f>
        <v>131072</v>
      </c>
      <c r="N39" s="63" t="n">
        <f aca="false">INDEX(Train_In!$C$28:$E$28,N$7)</f>
        <v>131072</v>
      </c>
      <c r="O39" s="63" t="n">
        <f aca="false">INDEX(Train_In!$C$28:$E$28,O$7)</f>
        <v>131072</v>
      </c>
      <c r="P39" s="63" t="n">
        <f aca="false">INDEX(Train_In!$C$28:$E$28,P$7)</f>
        <v>131072</v>
      </c>
      <c r="Q39" s="63" t="n">
        <f aca="false">INDEX(Train_In!$C$28:$E$28,Q$7)</f>
        <v>131072</v>
      </c>
      <c r="R39" s="63" t="n">
        <f aca="false">INDEX(Train_In!$C$28:$E$28,R$7)</f>
        <v>131072</v>
      </c>
      <c r="S39" s="63" t="n">
        <f aca="false">INDEX(Train_In!$C$28:$E$28,S$7)</f>
        <v>131072</v>
      </c>
      <c r="T39" s="63" t="n">
        <f aca="false">INDEX(Train_In!$C$28:$E$28,T$7)</f>
        <v>131072</v>
      </c>
      <c r="U39" s="63" t="n">
        <f aca="false">INDEX(Train_In!$C$28:$E$28,U$7)</f>
        <v>131072</v>
      </c>
      <c r="V39" s="63" t="n">
        <f aca="false">INDEX(Train_In!$C$28:$E$28,V$7)</f>
        <v>131072</v>
      </c>
      <c r="W39" s="63" t="n">
        <f aca="false">INDEX(Train_In!$C$28:$E$28,W$7)</f>
        <v>131072</v>
      </c>
      <c r="X39" s="63" t="n">
        <f aca="false">INDEX(Train_In!$C$28:$E$28,X$7)</f>
        <v>131072</v>
      </c>
      <c r="Y39" s="63" t="n">
        <f aca="false">INDEX(Train_In!$C$28:$E$28,Y$7)</f>
        <v>131072</v>
      </c>
      <c r="Z39" s="63" t="n">
        <f aca="false">INDEX(Train_In!$C$28:$E$28,Z$7)</f>
        <v>131072</v>
      </c>
      <c r="AA39" s="63" t="n">
        <f aca="false">INDEX(Train_In!$C$28:$E$28,AA$7)</f>
        <v>131072</v>
      </c>
      <c r="AB39" s="63" t="n">
        <f aca="false">INDEX(Train_In!$C$28:$E$28,AB$7)</f>
        <v>131072</v>
      </c>
      <c r="AC39" s="63" t="n">
        <f aca="false">INDEX(Train_In!$C$28:$E$28,AC$7)</f>
        <v>131072</v>
      </c>
      <c r="AD39" s="63" t="n">
        <f aca="false">INDEX(Train_In!$C$28:$E$28,AD$7)</f>
        <v>131072</v>
      </c>
      <c r="AE39" s="63" t="n">
        <f aca="false">INDEX(Train_In!$C$28:$E$28,AE$7)</f>
        <v>131072</v>
      </c>
      <c r="AF39" s="63" t="n">
        <f aca="false">INDEX(Train_In!$C$28:$E$28,AF$7)</f>
        <v>131072</v>
      </c>
      <c r="AG39" s="63" t="n">
        <f aca="false">INDEX(Train_In!$C$28:$E$28,AG$7)</f>
        <v>131072</v>
      </c>
      <c r="AH39" s="63" t="n">
        <f aca="false">INDEX(Train_In!$C$28:$E$28,AH$7)</f>
        <v>131072</v>
      </c>
    </row>
    <row r="40" customFormat="false" ht="15" hidden="false" customHeight="false" outlineLevel="0" collapsed="false">
      <c r="A40" s="61" t="s">
        <v>1183</v>
      </c>
      <c r="B40" s="62" t="s">
        <v>308</v>
      </c>
      <c r="C40" s="68" t="n">
        <f aca="false">C24*IF(C25=0,C39/2,MIN(C39/2,C25))+(1-C24)*(C39/2/C26+C27)</f>
        <v>2403.328</v>
      </c>
      <c r="D40" s="68" t="n">
        <f aca="false">D24*IF(D25=0,D39/2,MIN(D39/2,D25))+(1-D24)*(D39/2/D26+D27)</f>
        <v>65536</v>
      </c>
      <c r="E40" s="68" t="n">
        <f aca="false">E24*IF(E25=0,E39/2,MIN(E39/2,E25))+(1-E24)*(E39/2/E26+E27)</f>
        <v>2403.328</v>
      </c>
      <c r="F40" s="68" t="n">
        <f aca="false">F24*IF(F25=0,F39/2,MIN(F39/2,F25))+(1-F24)*(F39/2/F26+F27)</f>
        <v>65536</v>
      </c>
      <c r="G40" s="68" t="n">
        <f aca="false">G24*IF(G25=0,G39/2,MIN(G39/2,G25))+(1-G24)*(G39/2/G26+G27)</f>
        <v>2403.328</v>
      </c>
      <c r="H40" s="68" t="n">
        <f aca="false">H24*IF(H25=0,H39/2,MIN(H39/2,H25))+(1-H24)*(H39/2/H26+H27)</f>
        <v>65536</v>
      </c>
      <c r="I40" s="68" t="n">
        <f aca="false">I24*IF(I25=0,I39/2,MIN(I39/2,I25))+(1-I24)*(I39/2/I26+I27)</f>
        <v>2403.328</v>
      </c>
      <c r="J40" s="68" t="n">
        <f aca="false">J24*IF(J25=0,J39/2,MIN(J39/2,J25))+(1-J24)*(J39/2/J26+J27)</f>
        <v>65536</v>
      </c>
      <c r="K40" s="68" t="n">
        <f aca="false">K24*IF(K25=0,K39/2,MIN(K39/2,K25))+(1-K24)*(K39/2/K26+K27)</f>
        <v>2403.328</v>
      </c>
      <c r="L40" s="68" t="n">
        <f aca="false">L24*IF(L25=0,L39/2,MIN(L39/2,L25))+(1-L24)*(L39/2/L26+L27)</f>
        <v>65536</v>
      </c>
      <c r="M40" s="68" t="n">
        <f aca="false">M24*IF(M25=0,M39/2,MIN(M39/2,M25))+(1-M24)*(M39/2/M26+M27)</f>
        <v>2403.328</v>
      </c>
      <c r="N40" s="68" t="n">
        <f aca="false">N24*IF(N25=0,N39/2,MIN(N39/2,N25))+(1-N24)*(N39/2/N26+N27)</f>
        <v>65536</v>
      </c>
      <c r="O40" s="68" t="n">
        <f aca="false">O24*IF(O25=0,O39/2,MIN(O39/2,O25))+(1-O24)*(O39/2/O26+O27)</f>
        <v>2403.328</v>
      </c>
      <c r="P40" s="68" t="n">
        <f aca="false">P24*IF(P25=0,P39/2,MIN(P39/2,P25))+(1-P24)*(P39/2/P26+P27)</f>
        <v>65536</v>
      </c>
      <c r="Q40" s="68" t="n">
        <f aca="false">Q24*IF(Q25=0,Q39/2,MIN(Q39/2,Q25))+(1-Q24)*(Q39/2/Q26+Q27)</f>
        <v>2403.328</v>
      </c>
      <c r="R40" s="68" t="n">
        <f aca="false">R24*IF(R25=0,R39/2,MIN(R39/2,R25))+(1-R24)*(R39/2/R26+R27)</f>
        <v>65536</v>
      </c>
      <c r="S40" s="68" t="n">
        <f aca="false">S24*IF(S25=0,S39/2,MIN(S39/2,S25))+(1-S24)*(S39/2/S26+S27)</f>
        <v>2403.328</v>
      </c>
      <c r="T40" s="68" t="n">
        <f aca="false">T24*IF(T25=0,T39/2,MIN(T39/2,T25))+(1-T24)*(T39/2/T26+T27)</f>
        <v>65536</v>
      </c>
      <c r="U40" s="68" t="n">
        <f aca="false">U24*IF(U25=0,U39/2,MIN(U39/2,U25))+(1-U24)*(U39/2/U26+U27)</f>
        <v>2403.328</v>
      </c>
      <c r="V40" s="68" t="n">
        <f aca="false">V24*IF(V25=0,V39/2,MIN(V39/2,V25))+(1-V24)*(V39/2/V26+V27)</f>
        <v>65536</v>
      </c>
      <c r="W40" s="68" t="n">
        <f aca="false">W24*IF(W25=0,W39/2,MIN(W39/2,W25))+(1-W24)*(W39/2/W26+W27)</f>
        <v>2403.328</v>
      </c>
      <c r="X40" s="68" t="n">
        <f aca="false">X24*IF(X25=0,X39/2,MIN(X39/2,X25))+(1-X24)*(X39/2/X26+X27)</f>
        <v>65536</v>
      </c>
      <c r="Y40" s="68" t="n">
        <f aca="false">Y24*IF(Y25=0,Y39/2,MIN(Y39/2,Y25))+(1-Y24)*(Y39/2/Y26+Y27)</f>
        <v>2403.328</v>
      </c>
      <c r="Z40" s="68" t="n">
        <f aca="false">Z24*IF(Z25=0,Z39/2,MIN(Z39/2,Z25))+(1-Z24)*(Z39/2/Z26+Z27)</f>
        <v>65536</v>
      </c>
      <c r="AA40" s="68" t="n">
        <f aca="false">AA24*IF(AA25=0,AA39/2,MIN(AA39/2,AA25))+(1-AA24)*(AA39/2/AA26+AA27)</f>
        <v>2403.328</v>
      </c>
      <c r="AB40" s="68" t="n">
        <f aca="false">AB24*IF(AB25=0,AB39/2,MIN(AB39/2,AB25))+(1-AB24)*(AB39/2/AB26+AB27)</f>
        <v>65536</v>
      </c>
      <c r="AC40" s="68" t="n">
        <f aca="false">AC24*IF(AC25=0,AC39/2,MIN(AC39/2,AC25))+(1-AC24)*(AC39/2/AC26+AC27)</f>
        <v>2403.328</v>
      </c>
      <c r="AD40" s="68" t="n">
        <f aca="false">AD24*IF(AD25=0,AD39/2,MIN(AD39/2,AD25))+(1-AD24)*(AD39/2/AD26+AD27)</f>
        <v>65536</v>
      </c>
      <c r="AE40" s="68" t="n">
        <f aca="false">AE24*IF(AE25=0,AE39/2,MIN(AE39/2,AE25))+(1-AE24)*(AE39/2/AE26+AE27)</f>
        <v>2403.328</v>
      </c>
      <c r="AF40" s="68" t="n">
        <f aca="false">AF24*IF(AF25=0,AF39/2,MIN(AF39/2,AF25))+(1-AF24)*(AF39/2/AF26+AF27)</f>
        <v>65536</v>
      </c>
      <c r="AG40" s="68" t="n">
        <f aca="false">AG24*IF(AG25=0,AG39/2,MIN(AG39/2,AG25))+(1-AG24)*(AG39/2/AG26+AG27)</f>
        <v>2403.328</v>
      </c>
      <c r="AH40" s="68" t="n">
        <f aca="false">AH24*IF(AH25=0,AH39/2,MIN(AH39/2,AH25))+(1-AH24)*(AH39/2/AH26+AH27)</f>
        <v>65536</v>
      </c>
    </row>
    <row r="41" customFormat="false" ht="15" hidden="false" customHeight="false" outlineLevel="0" collapsed="false">
      <c r="A41" s="61" t="s">
        <v>1177</v>
      </c>
      <c r="B41" s="62" t="s">
        <v>539</v>
      </c>
      <c r="C41" s="75" t="n">
        <f aca="false">3*(2*C22*1000000000+C23*C40)*C28/1000000000</f>
        <v>409.293296787456</v>
      </c>
      <c r="D41" s="75" t="n">
        <f aca="false">3*(2*D22*1000000000+D23*D40)*D28/1000000000</f>
        <v>2046.3676416</v>
      </c>
      <c r="E41" s="75" t="n">
        <f aca="false">3*(2*E22*1000000000+E23*E40)*E28/1000000000</f>
        <v>409.293296787456</v>
      </c>
      <c r="F41" s="75" t="n">
        <f aca="false">3*(2*F22*1000000000+F23*F40)*F28/1000000000</f>
        <v>2046.3676416</v>
      </c>
      <c r="G41" s="75" t="n">
        <f aca="false">3*(2*G22*1000000000+G23*G40)*G28/1000000000</f>
        <v>409.293296787456</v>
      </c>
      <c r="H41" s="75" t="n">
        <f aca="false">3*(2*H22*1000000000+H23*H40)*H28/1000000000</f>
        <v>2046.3676416</v>
      </c>
      <c r="I41" s="75" t="n">
        <f aca="false">3*(2*I22*1000000000+I23*I40)*I28/1000000000</f>
        <v>409.293296787456</v>
      </c>
      <c r="J41" s="75" t="n">
        <f aca="false">3*(2*J22*1000000000+J23*J40)*J28/1000000000</f>
        <v>2046.3676416</v>
      </c>
      <c r="K41" s="75" t="n">
        <f aca="false">3*(2*K22*1000000000+K23*K40)*K28/1000000000</f>
        <v>409.293296787456</v>
      </c>
      <c r="L41" s="75" t="n">
        <f aca="false">3*(2*L22*1000000000+L23*L40)*L28/1000000000</f>
        <v>2046.3676416</v>
      </c>
      <c r="M41" s="75" t="n">
        <f aca="false">3*(2*M22*1000000000+M23*M40)*M28/1000000000</f>
        <v>409.293296787456</v>
      </c>
      <c r="N41" s="75" t="n">
        <f aca="false">3*(2*N22*1000000000+N23*N40)*N28/1000000000</f>
        <v>2046.3676416</v>
      </c>
      <c r="O41" s="75" t="n">
        <f aca="false">3*(2*O22*1000000000+O23*O40)*O28/1000000000</f>
        <v>409.293296787456</v>
      </c>
      <c r="P41" s="75" t="n">
        <f aca="false">3*(2*P22*1000000000+P23*P40)*P28/1000000000</f>
        <v>2046.3676416</v>
      </c>
      <c r="Q41" s="75" t="n">
        <f aca="false">3*(2*Q22*1000000000+Q23*Q40)*Q28/1000000000</f>
        <v>409.293296787456</v>
      </c>
      <c r="R41" s="75" t="n">
        <f aca="false">3*(2*R22*1000000000+R23*R40)*R28/1000000000</f>
        <v>2046.3676416</v>
      </c>
      <c r="S41" s="75" t="n">
        <f aca="false">3*(2*S22*1000000000+S23*S40)*S28/1000000000</f>
        <v>409.293296787456</v>
      </c>
      <c r="T41" s="75" t="n">
        <f aca="false">3*(2*T22*1000000000+T23*T40)*T28/1000000000</f>
        <v>2046.3676416</v>
      </c>
      <c r="U41" s="75" t="n">
        <f aca="false">3*(2*U22*1000000000+U23*U40)*U28/1000000000</f>
        <v>409.293296787456</v>
      </c>
      <c r="V41" s="75" t="n">
        <f aca="false">3*(2*V22*1000000000+V23*V40)*V28/1000000000</f>
        <v>2046.3676416</v>
      </c>
      <c r="W41" s="75" t="n">
        <f aca="false">3*(2*W22*1000000000+W23*W40)*W28/1000000000</f>
        <v>409.293296787456</v>
      </c>
      <c r="X41" s="75" t="n">
        <f aca="false">3*(2*X22*1000000000+X23*X40)*X28/1000000000</f>
        <v>2046.3676416</v>
      </c>
      <c r="Y41" s="75" t="n">
        <f aca="false">3*(2*Y22*1000000000+Y23*Y40)*Y28/1000000000</f>
        <v>409.293296787456</v>
      </c>
      <c r="Z41" s="75" t="n">
        <f aca="false">3*(2*Z22*1000000000+Z23*Z40)*Z28/1000000000</f>
        <v>2046.3676416</v>
      </c>
      <c r="AA41" s="75" t="n">
        <f aca="false">3*(2*AA22*1000000000+AA23*AA40)*AA28/1000000000</f>
        <v>409.293296787456</v>
      </c>
      <c r="AB41" s="75" t="n">
        <f aca="false">3*(2*AB22*1000000000+AB23*AB40)*AB28/1000000000</f>
        <v>2046.3676416</v>
      </c>
      <c r="AC41" s="75" t="n">
        <f aca="false">3*(2*AC22*1000000000+AC23*AC40)*AC28/1000000000</f>
        <v>409.293296787456</v>
      </c>
      <c r="AD41" s="75" t="n">
        <f aca="false">3*(2*AD22*1000000000+AD23*AD40)*AD28/1000000000</f>
        <v>2046.3676416</v>
      </c>
      <c r="AE41" s="75" t="n">
        <f aca="false">3*(2*AE22*1000000000+AE23*AE40)*AE28/1000000000</f>
        <v>409.293296787456</v>
      </c>
      <c r="AF41" s="75" t="n">
        <f aca="false">3*(2*AF22*1000000000+AF23*AF40)*AF28/1000000000</f>
        <v>2046.3676416</v>
      </c>
      <c r="AG41" s="75" t="n">
        <f aca="false">3*(2*AG22*1000000000+AG23*AG40)*AG28/1000000000</f>
        <v>409.293296787456</v>
      </c>
      <c r="AH41" s="75" t="n">
        <f aca="false">3*(2*AH22*1000000000+AH23*AH40)*AH28/1000000000</f>
        <v>2046.3676416</v>
      </c>
    </row>
    <row r="42" customFormat="false" ht="15" hidden="false" customHeight="false" outlineLevel="0" collapsed="false">
      <c r="A42" s="61" t="s">
        <v>1184</v>
      </c>
      <c r="B42" s="62" t="s">
        <v>330</v>
      </c>
      <c r="C42" s="144" t="n">
        <f aca="false">C41*1000000000*C38*1000000000000</f>
        <v>4.09293296787456E+023</v>
      </c>
      <c r="D42" s="144" t="n">
        <f aca="false">D41*1000000000*D38*1000000000000</f>
        <v>4.0927352832E+024</v>
      </c>
      <c r="E42" s="144" t="n">
        <f aca="false">E41*1000000000*E38*1000000000000</f>
        <v>4.09293296787456E+023</v>
      </c>
      <c r="F42" s="144" t="n">
        <f aca="false">F41*1000000000*F38*1000000000000</f>
        <v>4.0927352832E+024</v>
      </c>
      <c r="G42" s="144" t="n">
        <f aca="false">G41*1000000000*G38*1000000000000</f>
        <v>4.09293296787456E+023</v>
      </c>
      <c r="H42" s="144" t="n">
        <f aca="false">H41*1000000000*H38*1000000000000</f>
        <v>4.0927352832E+024</v>
      </c>
      <c r="I42" s="144" t="n">
        <f aca="false">I41*1000000000*I38*1000000000000</f>
        <v>4.09293296787456E+023</v>
      </c>
      <c r="J42" s="144" t="n">
        <f aca="false">J41*1000000000*J38*1000000000000</f>
        <v>4.0927352832E+024</v>
      </c>
      <c r="K42" s="144" t="n">
        <f aca="false">K41*1000000000*K38*1000000000000</f>
        <v>4.09293296787456E+023</v>
      </c>
      <c r="L42" s="144" t="n">
        <f aca="false">L41*1000000000*L38*1000000000000</f>
        <v>4.0927352832E+024</v>
      </c>
      <c r="M42" s="144" t="n">
        <f aca="false">M41*1000000000*M38*1000000000000</f>
        <v>4.09293296787456E+023</v>
      </c>
      <c r="N42" s="144" t="n">
        <f aca="false">N41*1000000000*N38*1000000000000</f>
        <v>4.0927352832E+024</v>
      </c>
      <c r="O42" s="144" t="n">
        <f aca="false">O41*1000000000*O38*1000000000000</f>
        <v>4.09293296787456E+023</v>
      </c>
      <c r="P42" s="144" t="n">
        <f aca="false">P41*1000000000*P38*1000000000000</f>
        <v>4.0927352832E+024</v>
      </c>
      <c r="Q42" s="144" t="n">
        <f aca="false">Q41*1000000000*Q38*1000000000000</f>
        <v>4.09293296787456E+023</v>
      </c>
      <c r="R42" s="144" t="n">
        <f aca="false">R41*1000000000*R38*1000000000000</f>
        <v>4.0927352832E+024</v>
      </c>
      <c r="S42" s="144" t="n">
        <f aca="false">S41*1000000000*S38*1000000000000</f>
        <v>4.09293296787456E+023</v>
      </c>
      <c r="T42" s="144" t="n">
        <f aca="false">T41*1000000000*T38*1000000000000</f>
        <v>4.0927352832E+024</v>
      </c>
      <c r="U42" s="144" t="n">
        <f aca="false">U41*1000000000*U38*1000000000000</f>
        <v>4.09293296787456E+023</v>
      </c>
      <c r="V42" s="144" t="n">
        <f aca="false">V41*1000000000*V38*1000000000000</f>
        <v>4.0927352832E+024</v>
      </c>
      <c r="W42" s="144" t="n">
        <f aca="false">W41*1000000000*W38*1000000000000</f>
        <v>4.09293296787456E+023</v>
      </c>
      <c r="X42" s="144" t="n">
        <f aca="false">X41*1000000000*X38*1000000000000</f>
        <v>4.0927352832E+024</v>
      </c>
      <c r="Y42" s="144" t="n">
        <f aca="false">Y41*1000000000*Y38*1000000000000</f>
        <v>4.09293296787456E+023</v>
      </c>
      <c r="Z42" s="144" t="n">
        <f aca="false">Z41*1000000000*Z38*1000000000000</f>
        <v>4.0927352832E+024</v>
      </c>
      <c r="AA42" s="144" t="n">
        <f aca="false">AA41*1000000000*AA38*1000000000000</f>
        <v>4.09293296787456E+023</v>
      </c>
      <c r="AB42" s="144" t="n">
        <f aca="false">AB41*1000000000*AB38*1000000000000</f>
        <v>4.0927352832E+024</v>
      </c>
      <c r="AC42" s="144" t="n">
        <f aca="false">AC41*1000000000*AC38*1000000000000</f>
        <v>4.09293296787456E+023</v>
      </c>
      <c r="AD42" s="144" t="n">
        <f aca="false">AD41*1000000000*AD38*1000000000000</f>
        <v>4.0927352832E+024</v>
      </c>
      <c r="AE42" s="144" t="n">
        <f aca="false">AE41*1000000000*AE38*1000000000000</f>
        <v>4.09293296787456E+023</v>
      </c>
      <c r="AF42" s="144" t="n">
        <f aca="false">AF41*1000000000*AF38*1000000000000</f>
        <v>4.0927352832E+024</v>
      </c>
      <c r="AG42" s="144" t="n">
        <f aca="false">AG41*1000000000*AG38*1000000000000</f>
        <v>4.09293296787456E+023</v>
      </c>
      <c r="AH42" s="144" t="n">
        <f aca="false">AH41*1000000000*AH38*1000000000000</f>
        <v>4.0927352832E+024</v>
      </c>
    </row>
    <row r="43" customFormat="false" ht="15" hidden="false" customHeight="false" outlineLevel="0" collapsed="false">
      <c r="A43" s="61" t="s">
        <v>1185</v>
      </c>
      <c r="B43" s="62" t="s">
        <v>1180</v>
      </c>
      <c r="C43" s="68" t="n">
        <f aca="false">C42/(C12*1000000000000000*C16*1*C17)/3600</f>
        <v>32082.5629463027</v>
      </c>
      <c r="D43" s="68" t="n">
        <f aca="false">D42/(D12*1000000000000000*D16*1*D17)/3600</f>
        <v>320810.133897707</v>
      </c>
      <c r="E43" s="68" t="n">
        <f aca="false">E42/(E12*1000000000000000*E16*1*E17)/3600</f>
        <v>53470.9382438378</v>
      </c>
      <c r="F43" s="68" t="n">
        <f aca="false">F42/(F12*1000000000000000*F16*1*F17)/3600</f>
        <v>534683.556496179</v>
      </c>
      <c r="G43" s="68" t="n">
        <f aca="false">G42/(G12*1000000000000000*G16*1*G17)/3600</f>
        <v>20051.6018414392</v>
      </c>
      <c r="H43" s="68" t="n">
        <f aca="false">H42/(H12*1000000000000000*H16*1*H17)/3600</f>
        <v>200506.333686067</v>
      </c>
      <c r="I43" s="68" t="n">
        <f aca="false">I42/(I12*1000000000000000*I16*1*I17)/3600</f>
        <v>16041.2814731513</v>
      </c>
      <c r="J43" s="68" t="n">
        <f aca="false">J42/(J12*1000000000000000*J16*1*J17)/3600</f>
        <v>160405.066948854</v>
      </c>
      <c r="K43" s="68" t="n">
        <f aca="false">K42/(K12*1000000000000000*K16*1*K17)/3600</f>
        <v>32082.5629463027</v>
      </c>
      <c r="L43" s="68" t="n">
        <f aca="false">L42/(L12*1000000000000000*L16*1*L17)/3600</f>
        <v>320810.133897707</v>
      </c>
      <c r="M43" s="68" t="n">
        <f aca="false">M42/(M12*1000000000000000*M16*1*M17)/3600</f>
        <v>32082.5629463027</v>
      </c>
      <c r="N43" s="68" t="n">
        <f aca="false">N42/(N12*1000000000000000*N16*1*N17)/3600</f>
        <v>320810.133897707</v>
      </c>
      <c r="O43" s="68" t="n">
        <f aca="false">O42/(O12*1000000000000000*O16*1*O17)/3600</f>
        <v>32082.5629463027</v>
      </c>
      <c r="P43" s="68" t="n">
        <f aca="false">P42/(P12*1000000000000000*P16*1*P17)/3600</f>
        <v>320810.133897707</v>
      </c>
      <c r="Q43" s="68" t="n">
        <f aca="false">Q42/(Q12*1000000000000000*Q16*1*Q17)/3600</f>
        <v>32082.5629463027</v>
      </c>
      <c r="R43" s="68" t="n">
        <f aca="false">R42/(R12*1000000000000000*R16*1*R17)/3600</f>
        <v>320810.133897707</v>
      </c>
      <c r="S43" s="68" t="n">
        <f aca="false">S42/(S12*1000000000000000*S16*1*S17)/3600</f>
        <v>32082.5629463027</v>
      </c>
      <c r="T43" s="68" t="n">
        <f aca="false">T42/(T12*1000000000000000*T16*1*T17)/3600</f>
        <v>320810.133897707</v>
      </c>
      <c r="U43" s="68" t="n">
        <f aca="false">U42/(U12*1000000000000000*U16*1*U17)/3600</f>
        <v>32082.5629463027</v>
      </c>
      <c r="V43" s="68" t="n">
        <f aca="false">V42/(V12*1000000000000000*V16*1*V17)/3600</f>
        <v>320810.133897707</v>
      </c>
      <c r="W43" s="68" t="n">
        <f aca="false">W42/(W12*1000000000000000*W16*1*W17)/3600</f>
        <v>32082.5629463027</v>
      </c>
      <c r="X43" s="68" t="n">
        <f aca="false">X42/(X12*1000000000000000*X16*1*X17)/3600</f>
        <v>320810.133897707</v>
      </c>
      <c r="Y43" s="68" t="n">
        <f aca="false">Y42/(Y12*1000000000000000*Y16*1*Y17)/3600</f>
        <v>32082.5629463027</v>
      </c>
      <c r="Z43" s="68" t="n">
        <f aca="false">Z42/(Z12*1000000000000000*Z16*1*Z17)/3600</f>
        <v>320810.133897707</v>
      </c>
      <c r="AA43" s="68" t="n">
        <f aca="false">AA42/(AA12*1000000000000000*AA16*1*AA17)/3600</f>
        <v>32082.5629463027</v>
      </c>
      <c r="AB43" s="68" t="n">
        <f aca="false">AB42/(AB12*1000000000000000*AB16*1*AB17)/3600</f>
        <v>320810.133897707</v>
      </c>
      <c r="AC43" s="68" t="n">
        <f aca="false">AC42/(AC12*1000000000000000*AC16*1*AC17)/3600</f>
        <v>32082.5629463027</v>
      </c>
      <c r="AD43" s="68" t="n">
        <f aca="false">AD42/(AD12*1000000000000000*AD16*1*AD17)/3600</f>
        <v>320810.133897707</v>
      </c>
      <c r="AE43" s="68" t="n">
        <f aca="false">AE42/(AE12*1000000000000000*AE16*1*AE17)/3600</f>
        <v>32082.5629463027</v>
      </c>
      <c r="AF43" s="68" t="n">
        <f aca="false">AF42/(AF12*1000000000000000*AF16*1*AF17)/3600</f>
        <v>320810.133897707</v>
      </c>
      <c r="AG43" s="68" t="n">
        <f aca="false">AG42/(AG12*1000000000000000*AG16*1*AG17)/3600</f>
        <v>36092.8833145905</v>
      </c>
      <c r="AH43" s="68" t="n">
        <f aca="false">AH42/(AH12*1000000000000000*AH16*1*AH17)/3600</f>
        <v>360911.400634921</v>
      </c>
    </row>
    <row r="44" customFormat="false" ht="15" hidden="false" customHeight="false" outlineLevel="0" collapsed="false">
      <c r="A44" s="76" t="s">
        <v>1186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</row>
    <row r="45" customFormat="false" ht="15" hidden="false" customHeight="false" outlineLevel="0" collapsed="false">
      <c r="A45" s="62" t="s">
        <v>1110</v>
      </c>
      <c r="B45" s="62" t="s">
        <v>1103</v>
      </c>
      <c r="C45" s="95" t="n">
        <f aca="false">INDEX(Train_In!$C$29:$E$29,C$7)</f>
        <v>0.05</v>
      </c>
      <c r="D45" s="95" t="n">
        <f aca="false">INDEX(Train_In!$C$29:$E$29,D$7)</f>
        <v>0.1</v>
      </c>
      <c r="E45" s="95" t="n">
        <f aca="false">INDEX(Train_In!$C$29:$E$29,E$7)</f>
        <v>0.05</v>
      </c>
      <c r="F45" s="95" t="n">
        <f aca="false">INDEX(Train_In!$C$29:$E$29,F$7)</f>
        <v>0.1</v>
      </c>
      <c r="G45" s="95" t="n">
        <f aca="false">INDEX(Train_In!$C$29:$E$29,G$7)</f>
        <v>0.05</v>
      </c>
      <c r="H45" s="95" t="n">
        <f aca="false">INDEX(Train_In!$C$29:$E$29,H$7)</f>
        <v>0.1</v>
      </c>
      <c r="I45" s="95" t="n">
        <f aca="false">INDEX(Train_In!$C$29:$E$29,I$7)</f>
        <v>0.05</v>
      </c>
      <c r="J45" s="95" t="n">
        <f aca="false">INDEX(Train_In!$C$29:$E$29,J$7)</f>
        <v>0.1</v>
      </c>
      <c r="K45" s="95" t="n">
        <f aca="false">INDEX(Train_In!$C$29:$E$29,K$7)</f>
        <v>0.05</v>
      </c>
      <c r="L45" s="95" t="n">
        <f aca="false">INDEX(Train_In!$C$29:$E$29,L$7)</f>
        <v>0.1</v>
      </c>
      <c r="M45" s="95" t="n">
        <f aca="false">INDEX(Train_In!$C$29:$E$29,M$7)</f>
        <v>0.05</v>
      </c>
      <c r="N45" s="95" t="n">
        <f aca="false">INDEX(Train_In!$C$29:$E$29,N$7)</f>
        <v>0.1</v>
      </c>
      <c r="O45" s="95" t="n">
        <f aca="false">INDEX(Train_In!$C$29:$E$29,O$7)</f>
        <v>0.05</v>
      </c>
      <c r="P45" s="95" t="n">
        <f aca="false">INDEX(Train_In!$C$29:$E$29,P$7)</f>
        <v>0.1</v>
      </c>
      <c r="Q45" s="95" t="n">
        <f aca="false">INDEX(Train_In!$C$29:$E$29,Q$7)</f>
        <v>0.05</v>
      </c>
      <c r="R45" s="95" t="n">
        <f aca="false">INDEX(Train_In!$C$29:$E$29,R$7)</f>
        <v>0.1</v>
      </c>
      <c r="S45" s="95" t="n">
        <f aca="false">INDEX(Train_In!$C$29:$E$29,S$7)</f>
        <v>0.05</v>
      </c>
      <c r="T45" s="95" t="n">
        <f aca="false">INDEX(Train_In!$C$29:$E$29,T$7)</f>
        <v>0.1</v>
      </c>
      <c r="U45" s="95" t="n">
        <f aca="false">INDEX(Train_In!$C$29:$E$29,U$7)</f>
        <v>0.05</v>
      </c>
      <c r="V45" s="95" t="n">
        <f aca="false">INDEX(Train_In!$C$29:$E$29,V$7)</f>
        <v>0.1</v>
      </c>
      <c r="W45" s="95" t="n">
        <f aca="false">INDEX(Train_In!$C$29:$E$29,W$7)</f>
        <v>0.05</v>
      </c>
      <c r="X45" s="95" t="n">
        <f aca="false">INDEX(Train_In!$C$29:$E$29,X$7)</f>
        <v>0.1</v>
      </c>
      <c r="Y45" s="95" t="n">
        <f aca="false">INDEX(Train_In!$C$29:$E$29,Y$7)</f>
        <v>0.05</v>
      </c>
      <c r="Z45" s="95" t="n">
        <f aca="false">INDEX(Train_In!$C$29:$E$29,Z$7)</f>
        <v>0.1</v>
      </c>
      <c r="AA45" s="95" t="n">
        <f aca="false">INDEX(Train_In!$C$29:$E$29,AA$7)</f>
        <v>0.05</v>
      </c>
      <c r="AB45" s="95" t="n">
        <f aca="false">INDEX(Train_In!$C$29:$E$29,AB$7)</f>
        <v>0.1</v>
      </c>
      <c r="AC45" s="95" t="n">
        <f aca="false">INDEX(Train_In!$C$29:$E$29,AC$7)</f>
        <v>0.05</v>
      </c>
      <c r="AD45" s="95" t="n">
        <f aca="false">INDEX(Train_In!$C$29:$E$29,AD$7)</f>
        <v>0.1</v>
      </c>
      <c r="AE45" s="95" t="n">
        <f aca="false">INDEX(Train_In!$C$29:$E$29,AE$7)</f>
        <v>0.05</v>
      </c>
      <c r="AF45" s="95" t="n">
        <f aca="false">INDEX(Train_In!$C$29:$E$29,AF$7)</f>
        <v>0.1</v>
      </c>
      <c r="AG45" s="95" t="n">
        <f aca="false">INDEX(Train_In!$C$29:$E$29,AG$7)</f>
        <v>0.05</v>
      </c>
      <c r="AH45" s="95" t="n">
        <f aca="false">INDEX(Train_In!$C$29:$E$29,AH$7)</f>
        <v>0.1</v>
      </c>
    </row>
    <row r="46" customFormat="false" ht="15" hidden="false" customHeight="false" outlineLevel="0" collapsed="false">
      <c r="A46" s="61" t="s">
        <v>1175</v>
      </c>
      <c r="B46" s="62" t="s">
        <v>308</v>
      </c>
      <c r="C46" s="63" t="n">
        <f aca="false">INDEX(Train_In!$C$30:$E$30,C$7)</f>
        <v>16384</v>
      </c>
      <c r="D46" s="63" t="n">
        <f aca="false">INDEX(Train_In!$C$30:$E$30,D$7)</f>
        <v>16384</v>
      </c>
      <c r="E46" s="63" t="n">
        <f aca="false">INDEX(Train_In!$C$30:$E$30,E$7)</f>
        <v>16384</v>
      </c>
      <c r="F46" s="63" t="n">
        <f aca="false">INDEX(Train_In!$C$30:$E$30,F$7)</f>
        <v>16384</v>
      </c>
      <c r="G46" s="63" t="n">
        <f aca="false">INDEX(Train_In!$C$30:$E$30,G$7)</f>
        <v>16384</v>
      </c>
      <c r="H46" s="63" t="n">
        <f aca="false">INDEX(Train_In!$C$30:$E$30,H$7)</f>
        <v>16384</v>
      </c>
      <c r="I46" s="63" t="n">
        <f aca="false">INDEX(Train_In!$C$30:$E$30,I$7)</f>
        <v>16384</v>
      </c>
      <c r="J46" s="63" t="n">
        <f aca="false">INDEX(Train_In!$C$30:$E$30,J$7)</f>
        <v>16384</v>
      </c>
      <c r="K46" s="63" t="n">
        <f aca="false">INDEX(Train_In!$C$30:$E$30,K$7)</f>
        <v>16384</v>
      </c>
      <c r="L46" s="63" t="n">
        <f aca="false">INDEX(Train_In!$C$30:$E$30,L$7)</f>
        <v>16384</v>
      </c>
      <c r="M46" s="63" t="n">
        <f aca="false">INDEX(Train_In!$C$30:$E$30,M$7)</f>
        <v>16384</v>
      </c>
      <c r="N46" s="63" t="n">
        <f aca="false">INDEX(Train_In!$C$30:$E$30,N$7)</f>
        <v>16384</v>
      </c>
      <c r="O46" s="63" t="n">
        <f aca="false">INDEX(Train_In!$C$30:$E$30,O$7)</f>
        <v>16384</v>
      </c>
      <c r="P46" s="63" t="n">
        <f aca="false">INDEX(Train_In!$C$30:$E$30,P$7)</f>
        <v>16384</v>
      </c>
      <c r="Q46" s="63" t="n">
        <f aca="false">INDEX(Train_In!$C$30:$E$30,Q$7)</f>
        <v>16384</v>
      </c>
      <c r="R46" s="63" t="n">
        <f aca="false">INDEX(Train_In!$C$30:$E$30,R$7)</f>
        <v>16384</v>
      </c>
      <c r="S46" s="63" t="n">
        <f aca="false">INDEX(Train_In!$C$30:$E$30,S$7)</f>
        <v>16384</v>
      </c>
      <c r="T46" s="63" t="n">
        <f aca="false">INDEX(Train_In!$C$30:$E$30,T$7)</f>
        <v>16384</v>
      </c>
      <c r="U46" s="63" t="n">
        <f aca="false">INDEX(Train_In!$C$30:$E$30,U$7)</f>
        <v>16384</v>
      </c>
      <c r="V46" s="63" t="n">
        <f aca="false">INDEX(Train_In!$C$30:$E$30,V$7)</f>
        <v>16384</v>
      </c>
      <c r="W46" s="63" t="n">
        <f aca="false">INDEX(Train_In!$C$30:$E$30,W$7)</f>
        <v>16384</v>
      </c>
      <c r="X46" s="63" t="n">
        <f aca="false">INDEX(Train_In!$C$30:$E$30,X$7)</f>
        <v>16384</v>
      </c>
      <c r="Y46" s="63" t="n">
        <f aca="false">INDEX(Train_In!$C$30:$E$30,Y$7)</f>
        <v>16384</v>
      </c>
      <c r="Z46" s="63" t="n">
        <f aca="false">INDEX(Train_In!$C$30:$E$30,Z$7)</f>
        <v>16384</v>
      </c>
      <c r="AA46" s="63" t="n">
        <f aca="false">INDEX(Train_In!$C$30:$E$30,AA$7)</f>
        <v>16384</v>
      </c>
      <c r="AB46" s="63" t="n">
        <f aca="false">INDEX(Train_In!$C$30:$E$30,AB$7)</f>
        <v>16384</v>
      </c>
      <c r="AC46" s="63" t="n">
        <f aca="false">INDEX(Train_In!$C$30:$E$30,AC$7)</f>
        <v>16384</v>
      </c>
      <c r="AD46" s="63" t="n">
        <f aca="false">INDEX(Train_In!$C$30:$E$30,AD$7)</f>
        <v>16384</v>
      </c>
      <c r="AE46" s="63" t="n">
        <f aca="false">INDEX(Train_In!$C$30:$E$30,AE$7)</f>
        <v>16384</v>
      </c>
      <c r="AF46" s="63" t="n">
        <f aca="false">INDEX(Train_In!$C$30:$E$30,AF$7)</f>
        <v>16384</v>
      </c>
      <c r="AG46" s="63" t="n">
        <f aca="false">INDEX(Train_In!$C$30:$E$30,AG$7)</f>
        <v>16384</v>
      </c>
      <c r="AH46" s="63" t="n">
        <f aca="false">INDEX(Train_In!$C$30:$E$30,AH$7)</f>
        <v>16384</v>
      </c>
    </row>
    <row r="47" customFormat="false" ht="15" hidden="false" customHeight="false" outlineLevel="0" collapsed="false">
      <c r="A47" s="61" t="s">
        <v>1183</v>
      </c>
      <c r="B47" s="62" t="s">
        <v>308</v>
      </c>
      <c r="C47" s="68" t="n">
        <f aca="false">C24*IF(C25=0,C46/2,MIN(C46/2,C25))+(1-C24)*(C46/2/C26+C27)</f>
        <v>2175.744</v>
      </c>
      <c r="D47" s="68" t="n">
        <f aca="false">D24*IF(D25=0,D46/2,MIN(D46/2,D25))+(1-D24)*(D46/2/D26+D27)</f>
        <v>8192</v>
      </c>
      <c r="E47" s="68" t="n">
        <f aca="false">E24*IF(E25=0,E46/2,MIN(E46/2,E25))+(1-E24)*(E46/2/E26+E27)</f>
        <v>2175.744</v>
      </c>
      <c r="F47" s="68" t="n">
        <f aca="false">F24*IF(F25=0,F46/2,MIN(F46/2,F25))+(1-F24)*(F46/2/F26+F27)</f>
        <v>8192</v>
      </c>
      <c r="G47" s="68" t="n">
        <f aca="false">G24*IF(G25=0,G46/2,MIN(G46/2,G25))+(1-G24)*(G46/2/G26+G27)</f>
        <v>2175.744</v>
      </c>
      <c r="H47" s="68" t="n">
        <f aca="false">H24*IF(H25=0,H46/2,MIN(H46/2,H25))+(1-H24)*(H46/2/H26+H27)</f>
        <v>8192</v>
      </c>
      <c r="I47" s="68" t="n">
        <f aca="false">I24*IF(I25=0,I46/2,MIN(I46/2,I25))+(1-I24)*(I46/2/I26+I27)</f>
        <v>2175.744</v>
      </c>
      <c r="J47" s="68" t="n">
        <f aca="false">J24*IF(J25=0,J46/2,MIN(J46/2,J25))+(1-J24)*(J46/2/J26+J27)</f>
        <v>8192</v>
      </c>
      <c r="K47" s="68" t="n">
        <f aca="false">K24*IF(K25=0,K46/2,MIN(K46/2,K25))+(1-K24)*(K46/2/K26+K27)</f>
        <v>2175.744</v>
      </c>
      <c r="L47" s="68" t="n">
        <f aca="false">L24*IF(L25=0,L46/2,MIN(L46/2,L25))+(1-L24)*(L46/2/L26+L27)</f>
        <v>8192</v>
      </c>
      <c r="M47" s="68" t="n">
        <f aca="false">M24*IF(M25=0,M46/2,MIN(M46/2,M25))+(1-M24)*(M46/2/M26+M27)</f>
        <v>2175.744</v>
      </c>
      <c r="N47" s="68" t="n">
        <f aca="false">N24*IF(N25=0,N46/2,MIN(N46/2,N25))+(1-N24)*(N46/2/N26+N27)</f>
        <v>8192</v>
      </c>
      <c r="O47" s="68" t="n">
        <f aca="false">O24*IF(O25=0,O46/2,MIN(O46/2,O25))+(1-O24)*(O46/2/O26+O27)</f>
        <v>2175.744</v>
      </c>
      <c r="P47" s="68" t="n">
        <f aca="false">P24*IF(P25=0,P46/2,MIN(P46/2,P25))+(1-P24)*(P46/2/P26+P27)</f>
        <v>8192</v>
      </c>
      <c r="Q47" s="68" t="n">
        <f aca="false">Q24*IF(Q25=0,Q46/2,MIN(Q46/2,Q25))+(1-Q24)*(Q46/2/Q26+Q27)</f>
        <v>2175.744</v>
      </c>
      <c r="R47" s="68" t="n">
        <f aca="false">R24*IF(R25=0,R46/2,MIN(R46/2,R25))+(1-R24)*(R46/2/R26+R27)</f>
        <v>8192</v>
      </c>
      <c r="S47" s="68" t="n">
        <f aca="false">S24*IF(S25=0,S46/2,MIN(S46/2,S25))+(1-S24)*(S46/2/S26+S27)</f>
        <v>2175.744</v>
      </c>
      <c r="T47" s="68" t="n">
        <f aca="false">T24*IF(T25=0,T46/2,MIN(T46/2,T25))+(1-T24)*(T46/2/T26+T27)</f>
        <v>8192</v>
      </c>
      <c r="U47" s="68" t="n">
        <f aca="false">U24*IF(U25=0,U46/2,MIN(U46/2,U25))+(1-U24)*(U46/2/U26+U27)</f>
        <v>2175.744</v>
      </c>
      <c r="V47" s="68" t="n">
        <f aca="false">V24*IF(V25=0,V46/2,MIN(V46/2,V25))+(1-V24)*(V46/2/V26+V27)</f>
        <v>8192</v>
      </c>
      <c r="W47" s="68" t="n">
        <f aca="false">W24*IF(W25=0,W46/2,MIN(W46/2,W25))+(1-W24)*(W46/2/W26+W27)</f>
        <v>2175.744</v>
      </c>
      <c r="X47" s="68" t="n">
        <f aca="false">X24*IF(X25=0,X46/2,MIN(X46/2,X25))+(1-X24)*(X46/2/X26+X27)</f>
        <v>8192</v>
      </c>
      <c r="Y47" s="68" t="n">
        <f aca="false">Y24*IF(Y25=0,Y46/2,MIN(Y46/2,Y25))+(1-Y24)*(Y46/2/Y26+Y27)</f>
        <v>2175.744</v>
      </c>
      <c r="Z47" s="68" t="n">
        <f aca="false">Z24*IF(Z25=0,Z46/2,MIN(Z46/2,Z25))+(1-Z24)*(Z46/2/Z26+Z27)</f>
        <v>8192</v>
      </c>
      <c r="AA47" s="68" t="n">
        <f aca="false">AA24*IF(AA25=0,AA46/2,MIN(AA46/2,AA25))+(1-AA24)*(AA46/2/AA26+AA27)</f>
        <v>2175.744</v>
      </c>
      <c r="AB47" s="68" t="n">
        <f aca="false">AB24*IF(AB25=0,AB46/2,MIN(AB46/2,AB25))+(1-AB24)*(AB46/2/AB26+AB27)</f>
        <v>8192</v>
      </c>
      <c r="AC47" s="68" t="n">
        <f aca="false">AC24*IF(AC25=0,AC46/2,MIN(AC46/2,AC25))+(1-AC24)*(AC46/2/AC26+AC27)</f>
        <v>2175.744</v>
      </c>
      <c r="AD47" s="68" t="n">
        <f aca="false">AD24*IF(AD25=0,AD46/2,MIN(AD46/2,AD25))+(1-AD24)*(AD46/2/AD26+AD27)</f>
        <v>8192</v>
      </c>
      <c r="AE47" s="68" t="n">
        <f aca="false">AE24*IF(AE25=0,AE46/2,MIN(AE46/2,AE25))+(1-AE24)*(AE46/2/AE26+AE27)</f>
        <v>2175.744</v>
      </c>
      <c r="AF47" s="68" t="n">
        <f aca="false">AF24*IF(AF25=0,AF46/2,MIN(AF46/2,AF25))+(1-AF24)*(AF46/2/AF26+AF27)</f>
        <v>8192</v>
      </c>
      <c r="AG47" s="68" t="n">
        <f aca="false">AG24*IF(AG25=0,AG46/2,MIN(AG46/2,AG25))+(1-AG24)*(AG46/2/AG26+AG27)</f>
        <v>2175.744</v>
      </c>
      <c r="AH47" s="68" t="n">
        <f aca="false">AH24*IF(AH25=0,AH46/2,MIN(AH46/2,AH25))+(1-AH24)*(AH46/2/AH26+AH27)</f>
        <v>8192</v>
      </c>
    </row>
    <row r="48" customFormat="false" ht="15" hidden="false" customHeight="false" outlineLevel="0" collapsed="false">
      <c r="A48" s="61" t="s">
        <v>1177</v>
      </c>
      <c r="B48" s="62" t="s">
        <v>539</v>
      </c>
      <c r="C48" s="75" t="n">
        <f aca="false">3*(2*C22*1000000000+C23*C47)*C28/1000000000</f>
        <v>398.375557029888</v>
      </c>
      <c r="D48" s="75" t="n">
        <f aca="false">3*(2*D22*1000000000+D23*D47)*D28/1000000000</f>
        <v>1200.7959552</v>
      </c>
      <c r="E48" s="75" t="n">
        <f aca="false">3*(2*E22*1000000000+E23*E47)*E28/1000000000</f>
        <v>398.375557029888</v>
      </c>
      <c r="F48" s="75" t="n">
        <f aca="false">3*(2*F22*1000000000+F23*F47)*F28/1000000000</f>
        <v>1200.7959552</v>
      </c>
      <c r="G48" s="75" t="n">
        <f aca="false">3*(2*G22*1000000000+G23*G47)*G28/1000000000</f>
        <v>398.375557029888</v>
      </c>
      <c r="H48" s="75" t="n">
        <f aca="false">3*(2*H22*1000000000+H23*H47)*H28/1000000000</f>
        <v>1200.7959552</v>
      </c>
      <c r="I48" s="75" t="n">
        <f aca="false">3*(2*I22*1000000000+I23*I47)*I28/1000000000</f>
        <v>398.375557029888</v>
      </c>
      <c r="J48" s="75" t="n">
        <f aca="false">3*(2*J22*1000000000+J23*J47)*J28/1000000000</f>
        <v>1200.7959552</v>
      </c>
      <c r="K48" s="75" t="n">
        <f aca="false">3*(2*K22*1000000000+K23*K47)*K28/1000000000</f>
        <v>398.375557029888</v>
      </c>
      <c r="L48" s="75" t="n">
        <f aca="false">3*(2*L22*1000000000+L23*L47)*L28/1000000000</f>
        <v>1200.7959552</v>
      </c>
      <c r="M48" s="75" t="n">
        <f aca="false">3*(2*M22*1000000000+M23*M47)*M28/1000000000</f>
        <v>398.375557029888</v>
      </c>
      <c r="N48" s="75" t="n">
        <f aca="false">3*(2*N22*1000000000+N23*N47)*N28/1000000000</f>
        <v>1200.7959552</v>
      </c>
      <c r="O48" s="75" t="n">
        <f aca="false">3*(2*O22*1000000000+O23*O47)*O28/1000000000</f>
        <v>398.375557029888</v>
      </c>
      <c r="P48" s="75" t="n">
        <f aca="false">3*(2*P22*1000000000+P23*P47)*P28/1000000000</f>
        <v>1200.7959552</v>
      </c>
      <c r="Q48" s="75" t="n">
        <f aca="false">3*(2*Q22*1000000000+Q23*Q47)*Q28/1000000000</f>
        <v>398.375557029888</v>
      </c>
      <c r="R48" s="75" t="n">
        <f aca="false">3*(2*R22*1000000000+R23*R47)*R28/1000000000</f>
        <v>1200.7959552</v>
      </c>
      <c r="S48" s="75" t="n">
        <f aca="false">3*(2*S22*1000000000+S23*S47)*S28/1000000000</f>
        <v>398.375557029888</v>
      </c>
      <c r="T48" s="75" t="n">
        <f aca="false">3*(2*T22*1000000000+T23*T47)*T28/1000000000</f>
        <v>1200.7959552</v>
      </c>
      <c r="U48" s="75" t="n">
        <f aca="false">3*(2*U22*1000000000+U23*U47)*U28/1000000000</f>
        <v>398.375557029888</v>
      </c>
      <c r="V48" s="75" t="n">
        <f aca="false">3*(2*V22*1000000000+V23*V47)*V28/1000000000</f>
        <v>1200.7959552</v>
      </c>
      <c r="W48" s="75" t="n">
        <f aca="false">3*(2*W22*1000000000+W23*W47)*W28/1000000000</f>
        <v>398.375557029888</v>
      </c>
      <c r="X48" s="75" t="n">
        <f aca="false">3*(2*X22*1000000000+X23*X47)*X28/1000000000</f>
        <v>1200.7959552</v>
      </c>
      <c r="Y48" s="75" t="n">
        <f aca="false">3*(2*Y22*1000000000+Y23*Y47)*Y28/1000000000</f>
        <v>398.375557029888</v>
      </c>
      <c r="Z48" s="75" t="n">
        <f aca="false">3*(2*Z22*1000000000+Z23*Z47)*Z28/1000000000</f>
        <v>1200.7959552</v>
      </c>
      <c r="AA48" s="75" t="n">
        <f aca="false">3*(2*AA22*1000000000+AA23*AA47)*AA28/1000000000</f>
        <v>398.375557029888</v>
      </c>
      <c r="AB48" s="75" t="n">
        <f aca="false">3*(2*AB22*1000000000+AB23*AB47)*AB28/1000000000</f>
        <v>1200.7959552</v>
      </c>
      <c r="AC48" s="75" t="n">
        <f aca="false">3*(2*AC22*1000000000+AC23*AC47)*AC28/1000000000</f>
        <v>398.375557029888</v>
      </c>
      <c r="AD48" s="75" t="n">
        <f aca="false">3*(2*AD22*1000000000+AD23*AD47)*AD28/1000000000</f>
        <v>1200.7959552</v>
      </c>
      <c r="AE48" s="75" t="n">
        <f aca="false">3*(2*AE22*1000000000+AE23*AE47)*AE28/1000000000</f>
        <v>398.375557029888</v>
      </c>
      <c r="AF48" s="75" t="n">
        <f aca="false">3*(2*AF22*1000000000+AF23*AF47)*AF28/1000000000</f>
        <v>1200.7959552</v>
      </c>
      <c r="AG48" s="75" t="n">
        <f aca="false">3*(2*AG22*1000000000+AG23*AG47)*AG28/1000000000</f>
        <v>398.375557029888</v>
      </c>
      <c r="AH48" s="75" t="n">
        <f aca="false">3*(2*AH22*1000000000+AH23*AH47)*AH28/1000000000</f>
        <v>1200.7959552</v>
      </c>
    </row>
    <row r="49" customFormat="false" ht="15" hidden="false" customHeight="false" outlineLevel="0" collapsed="false">
      <c r="A49" s="62" t="s">
        <v>1187</v>
      </c>
      <c r="B49" s="62" t="s">
        <v>330</v>
      </c>
      <c r="C49" s="144" t="n">
        <f aca="false">C48*1000000000*C45*1000000000000</f>
        <v>1.99187778514944E+022</v>
      </c>
      <c r="D49" s="144" t="n">
        <f aca="false">D48*1000000000*D45*1000000000000</f>
        <v>1.2007959552E+023</v>
      </c>
      <c r="E49" s="144" t="n">
        <f aca="false">E48*1000000000*E45*1000000000000</f>
        <v>1.99187778514944E+022</v>
      </c>
      <c r="F49" s="144" t="n">
        <f aca="false">F48*1000000000*F45*1000000000000</f>
        <v>1.2007959552E+023</v>
      </c>
      <c r="G49" s="144" t="n">
        <f aca="false">G48*1000000000*G45*1000000000000</f>
        <v>1.99187778514944E+022</v>
      </c>
      <c r="H49" s="144" t="n">
        <f aca="false">H48*1000000000*H45*1000000000000</f>
        <v>1.2007959552E+023</v>
      </c>
      <c r="I49" s="144" t="n">
        <f aca="false">I48*1000000000*I45*1000000000000</f>
        <v>1.99187778514944E+022</v>
      </c>
      <c r="J49" s="144" t="n">
        <f aca="false">J48*1000000000*J45*1000000000000</f>
        <v>1.2007959552E+023</v>
      </c>
      <c r="K49" s="144" t="n">
        <f aca="false">K48*1000000000*K45*1000000000000</f>
        <v>1.99187778514944E+022</v>
      </c>
      <c r="L49" s="144" t="n">
        <f aca="false">L48*1000000000*L45*1000000000000</f>
        <v>1.2007959552E+023</v>
      </c>
      <c r="M49" s="144" t="n">
        <f aca="false">M48*1000000000*M45*1000000000000</f>
        <v>1.99187778514944E+022</v>
      </c>
      <c r="N49" s="144" t="n">
        <f aca="false">N48*1000000000*N45*1000000000000</f>
        <v>1.2007959552E+023</v>
      </c>
      <c r="O49" s="144" t="n">
        <f aca="false">O48*1000000000*O45*1000000000000</f>
        <v>1.99187778514944E+022</v>
      </c>
      <c r="P49" s="144" t="n">
        <f aca="false">P48*1000000000*P45*1000000000000</f>
        <v>1.2007959552E+023</v>
      </c>
      <c r="Q49" s="144" t="n">
        <f aca="false">Q48*1000000000*Q45*1000000000000</f>
        <v>1.99187778514944E+022</v>
      </c>
      <c r="R49" s="144" t="n">
        <f aca="false">R48*1000000000*R45*1000000000000</f>
        <v>1.2007959552E+023</v>
      </c>
      <c r="S49" s="144" t="n">
        <f aca="false">S48*1000000000*S45*1000000000000</f>
        <v>1.99187778514944E+022</v>
      </c>
      <c r="T49" s="144" t="n">
        <f aca="false">T48*1000000000*T45*1000000000000</f>
        <v>1.2007959552E+023</v>
      </c>
      <c r="U49" s="144" t="n">
        <f aca="false">U48*1000000000*U45*1000000000000</f>
        <v>1.99187778514944E+022</v>
      </c>
      <c r="V49" s="144" t="n">
        <f aca="false">V48*1000000000*V45*1000000000000</f>
        <v>1.2007959552E+023</v>
      </c>
      <c r="W49" s="144" t="n">
        <f aca="false">W48*1000000000*W45*1000000000000</f>
        <v>1.99187778514944E+022</v>
      </c>
      <c r="X49" s="144" t="n">
        <f aca="false">X48*1000000000*X45*1000000000000</f>
        <v>1.2007959552E+023</v>
      </c>
      <c r="Y49" s="144" t="n">
        <f aca="false">Y48*1000000000*Y45*1000000000000</f>
        <v>1.99187778514944E+022</v>
      </c>
      <c r="Z49" s="144" t="n">
        <f aca="false">Z48*1000000000*Z45*1000000000000</f>
        <v>1.2007959552E+023</v>
      </c>
      <c r="AA49" s="144" t="n">
        <f aca="false">AA48*1000000000*AA45*1000000000000</f>
        <v>1.99187778514944E+022</v>
      </c>
      <c r="AB49" s="144" t="n">
        <f aca="false">AB48*1000000000*AB45*1000000000000</f>
        <v>1.2007959552E+023</v>
      </c>
      <c r="AC49" s="144" t="n">
        <f aca="false">AC48*1000000000*AC45*1000000000000</f>
        <v>1.99187778514944E+022</v>
      </c>
      <c r="AD49" s="144" t="n">
        <f aca="false">AD48*1000000000*AD45*1000000000000</f>
        <v>1.2007959552E+023</v>
      </c>
      <c r="AE49" s="144" t="n">
        <f aca="false">AE48*1000000000*AE45*1000000000000</f>
        <v>1.99187778514944E+022</v>
      </c>
      <c r="AF49" s="144" t="n">
        <f aca="false">AF48*1000000000*AF45*1000000000000</f>
        <v>1.2007959552E+023</v>
      </c>
      <c r="AG49" s="144" t="n">
        <f aca="false">AG48*1000000000*AG45*1000000000000</f>
        <v>1.99187778514944E+022</v>
      </c>
      <c r="AH49" s="144" t="n">
        <f aca="false">AH48*1000000000*AH45*1000000000000</f>
        <v>1.2007959552E+023</v>
      </c>
    </row>
    <row r="50" customFormat="false" ht="15" hidden="false" customHeight="false" outlineLevel="0" collapsed="false">
      <c r="A50" s="62" t="s">
        <v>1188</v>
      </c>
      <c r="B50" s="62" t="s">
        <v>118</v>
      </c>
      <c r="C50" s="97" t="n">
        <f aca="false">Train_In!$C$8</f>
        <v>0.8</v>
      </c>
      <c r="D50" s="97" t="n">
        <f aca="false">Train_In!$C$8</f>
        <v>0.8</v>
      </c>
      <c r="E50" s="97" t="n">
        <f aca="false">Train_In!$C$8</f>
        <v>0.8</v>
      </c>
      <c r="F50" s="97" t="n">
        <f aca="false">Train_In!$C$8</f>
        <v>0.8</v>
      </c>
      <c r="G50" s="97" t="n">
        <f aca="false">Train_In!$C$8</f>
        <v>0.8</v>
      </c>
      <c r="H50" s="97" t="n">
        <f aca="false">Train_In!$C$8</f>
        <v>0.8</v>
      </c>
      <c r="I50" s="97" t="n">
        <f aca="false">Train_In!$C$8</f>
        <v>0.8</v>
      </c>
      <c r="J50" s="97" t="n">
        <f aca="false">Train_In!$C$8</f>
        <v>0.8</v>
      </c>
      <c r="K50" s="97" t="n">
        <f aca="false">Train_In!$C$8</f>
        <v>0.8</v>
      </c>
      <c r="L50" s="97" t="n">
        <f aca="false">Train_In!$C$8</f>
        <v>0.8</v>
      </c>
      <c r="M50" s="97" t="n">
        <f aca="false">Train_In!$C$8</f>
        <v>0.8</v>
      </c>
      <c r="N50" s="97" t="n">
        <f aca="false">Train_In!$C$8</f>
        <v>0.8</v>
      </c>
      <c r="O50" s="97" t="n">
        <f aca="false">Train_In!$C$8</f>
        <v>0.8</v>
      </c>
      <c r="P50" s="97" t="n">
        <f aca="false">Train_In!$C$8</f>
        <v>0.8</v>
      </c>
      <c r="Q50" s="97" t="n">
        <f aca="false">Train_In!$C$8</f>
        <v>0.8</v>
      </c>
      <c r="R50" s="97" t="n">
        <f aca="false">Train_In!$C$8</f>
        <v>0.8</v>
      </c>
      <c r="S50" s="97" t="n">
        <f aca="false">Train_In!$C$8</f>
        <v>0.8</v>
      </c>
      <c r="T50" s="97" t="n">
        <f aca="false">Train_In!$C$8</f>
        <v>0.8</v>
      </c>
      <c r="U50" s="97" t="n">
        <f aca="false">Train_In!$C$8</f>
        <v>0.8</v>
      </c>
      <c r="V50" s="97" t="n">
        <f aca="false">Train_In!$C$8</f>
        <v>0.8</v>
      </c>
      <c r="W50" s="97" t="n">
        <f aca="false">Train_In!$C$8</f>
        <v>0.8</v>
      </c>
      <c r="X50" s="97" t="n">
        <f aca="false">Train_In!$C$8</f>
        <v>0.8</v>
      </c>
      <c r="Y50" s="97" t="n">
        <f aca="false">Train_In!$C$8</f>
        <v>0.8</v>
      </c>
      <c r="Z50" s="97" t="n">
        <f aca="false">Train_In!$C$8</f>
        <v>0.8</v>
      </c>
      <c r="AA50" s="97" t="n">
        <f aca="false">Train_In!$C$8</f>
        <v>0.8</v>
      </c>
      <c r="AB50" s="97" t="n">
        <f aca="false">Train_In!$C$8</f>
        <v>0.8</v>
      </c>
      <c r="AC50" s="97" t="n">
        <f aca="false">Train_In!$C$8</f>
        <v>0.8</v>
      </c>
      <c r="AD50" s="97" t="n">
        <f aca="false">Train_In!$C$8</f>
        <v>0.8</v>
      </c>
      <c r="AE50" s="97" t="n">
        <f aca="false">Train_In!$C$8</f>
        <v>0.8</v>
      </c>
      <c r="AF50" s="97" t="n">
        <f aca="false">Train_In!$C$8</f>
        <v>0.8</v>
      </c>
      <c r="AG50" s="97" t="n">
        <f aca="false">Train_In!$C$8</f>
        <v>0.8</v>
      </c>
      <c r="AH50" s="97" t="n">
        <f aca="false">Train_In!$C$8</f>
        <v>0.8</v>
      </c>
    </row>
    <row r="51" customFormat="false" ht="15" hidden="false" customHeight="false" outlineLevel="0" collapsed="false">
      <c r="A51" s="62" t="s">
        <v>1189</v>
      </c>
      <c r="B51" s="62" t="s">
        <v>1180</v>
      </c>
      <c r="C51" s="68" t="n">
        <f aca="false">C49/(C12*1000000000000000*C16*C50*C17)/3600</f>
        <v>1951.67331486326</v>
      </c>
      <c r="D51" s="68" t="n">
        <f aca="false">D49/(D12*1000000000000000*D16*D50*D17)/3600</f>
        <v>11765.5884303351</v>
      </c>
      <c r="E51" s="68" t="n">
        <f aca="false">E49/(E12*1000000000000000*E16*E50*E17)/3600</f>
        <v>3252.78885810543</v>
      </c>
      <c r="F51" s="68" t="n">
        <f aca="false">F49/(F12*1000000000000000*F16*F50*F17)/3600</f>
        <v>19609.3140505585</v>
      </c>
      <c r="G51" s="68" t="n">
        <f aca="false">G49/(G12*1000000000000000*G16*G50*G17)/3600</f>
        <v>1219.79582178954</v>
      </c>
      <c r="H51" s="68" t="n">
        <f aca="false">H49/(H12*1000000000000000*H16*H50*H17)/3600</f>
        <v>7353.49276895943</v>
      </c>
      <c r="I51" s="68" t="n">
        <f aca="false">I49/(I12*1000000000000000*I16*I50*I17)/3600</f>
        <v>975.836657431629</v>
      </c>
      <c r="J51" s="68" t="n">
        <f aca="false">J49/(J12*1000000000000000*J16*J50*J17)/3600</f>
        <v>5882.79421516755</v>
      </c>
      <c r="K51" s="68" t="n">
        <f aca="false">K49/(K12*1000000000000000*K16*K50*K17)/3600</f>
        <v>1951.67331486326</v>
      </c>
      <c r="L51" s="68" t="n">
        <f aca="false">L49/(L12*1000000000000000*L16*L50*L17)/3600</f>
        <v>11765.5884303351</v>
      </c>
      <c r="M51" s="68" t="n">
        <f aca="false">M49/(M12*1000000000000000*M16*M50*M17)/3600</f>
        <v>1951.67331486326</v>
      </c>
      <c r="N51" s="68" t="n">
        <f aca="false">N49/(N12*1000000000000000*N16*N50*N17)/3600</f>
        <v>11765.5884303351</v>
      </c>
      <c r="O51" s="68" t="n">
        <f aca="false">O49/(O12*1000000000000000*O16*O50*O17)/3600</f>
        <v>1951.67331486326</v>
      </c>
      <c r="P51" s="68" t="n">
        <f aca="false">P49/(P12*1000000000000000*P16*P50*P17)/3600</f>
        <v>11765.5884303351</v>
      </c>
      <c r="Q51" s="68" t="n">
        <f aca="false">Q49/(Q12*1000000000000000*Q16*Q50*Q17)/3600</f>
        <v>1951.67331486326</v>
      </c>
      <c r="R51" s="68" t="n">
        <f aca="false">R49/(R12*1000000000000000*R16*R50*R17)/3600</f>
        <v>11765.5884303351</v>
      </c>
      <c r="S51" s="68" t="n">
        <f aca="false">S49/(S12*1000000000000000*S16*S50*S17)/3600</f>
        <v>1951.67331486326</v>
      </c>
      <c r="T51" s="68" t="n">
        <f aca="false">T49/(T12*1000000000000000*T16*T50*T17)/3600</f>
        <v>11765.5884303351</v>
      </c>
      <c r="U51" s="68" t="n">
        <f aca="false">U49/(U12*1000000000000000*U16*U50*U17)/3600</f>
        <v>1951.67331486326</v>
      </c>
      <c r="V51" s="68" t="n">
        <f aca="false">V49/(V12*1000000000000000*V16*V50*V17)/3600</f>
        <v>11765.5884303351</v>
      </c>
      <c r="W51" s="68" t="n">
        <f aca="false">W49/(W12*1000000000000000*W16*W50*W17)/3600</f>
        <v>1951.67331486326</v>
      </c>
      <c r="X51" s="68" t="n">
        <f aca="false">X49/(X12*1000000000000000*X16*X50*X17)/3600</f>
        <v>11765.5884303351</v>
      </c>
      <c r="Y51" s="68" t="n">
        <f aca="false">Y49/(Y12*1000000000000000*Y16*Y50*Y17)/3600</f>
        <v>1951.67331486326</v>
      </c>
      <c r="Z51" s="68" t="n">
        <f aca="false">Z49/(Z12*1000000000000000*Z16*Z50*Z17)/3600</f>
        <v>11765.5884303351</v>
      </c>
      <c r="AA51" s="68" t="n">
        <f aca="false">AA49/(AA12*1000000000000000*AA16*AA50*AA17)/3600</f>
        <v>1951.67331486326</v>
      </c>
      <c r="AB51" s="68" t="n">
        <f aca="false">AB49/(AB12*1000000000000000*AB16*AB50*AB17)/3600</f>
        <v>11765.5884303351</v>
      </c>
      <c r="AC51" s="68" t="n">
        <f aca="false">AC49/(AC12*1000000000000000*AC16*AC50*AC17)/3600</f>
        <v>1951.67331486326</v>
      </c>
      <c r="AD51" s="68" t="n">
        <f aca="false">AD49/(AD12*1000000000000000*AD16*AD50*AD17)/3600</f>
        <v>11765.5884303351</v>
      </c>
      <c r="AE51" s="68" t="n">
        <f aca="false">AE49/(AE12*1000000000000000*AE16*AE50*AE17)/3600</f>
        <v>1951.67331486326</v>
      </c>
      <c r="AF51" s="68" t="n">
        <f aca="false">AF49/(AF12*1000000000000000*AF16*AF50*AF17)/3600</f>
        <v>11765.5884303351</v>
      </c>
      <c r="AG51" s="68" t="n">
        <f aca="false">AG49/(AG12*1000000000000000*AG16*AG50*AG17)/3600</f>
        <v>2195.63247922116</v>
      </c>
      <c r="AH51" s="68" t="n">
        <f aca="false">AH49/(AH12*1000000000000000*AH16*AH50*AH17)/3600</f>
        <v>13236.286984127</v>
      </c>
    </row>
    <row r="52" customFormat="false" ht="15" hidden="false" customHeight="false" outlineLevel="0" collapsed="false">
      <c r="A52" s="76" t="s">
        <v>1190</v>
      </c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</row>
    <row r="53" customFormat="false" ht="15" hidden="false" customHeight="false" outlineLevel="0" collapsed="false">
      <c r="A53" s="62" t="s">
        <v>1191</v>
      </c>
      <c r="B53" s="62" t="s">
        <v>1103</v>
      </c>
      <c r="C53" s="98" t="n">
        <f aca="false">INDEX(Train_In!$C$34:$E$34,C$7)</f>
        <v>2.36</v>
      </c>
      <c r="D53" s="98" t="n">
        <f aca="false">INDEX(Train_In!$C$34:$E$34,D$7)</f>
        <v>9.6</v>
      </c>
      <c r="E53" s="98" t="n">
        <f aca="false">INDEX(Train_In!$C$34:$E$34,E$7)</f>
        <v>2.36</v>
      </c>
      <c r="F53" s="98" t="n">
        <f aca="false">INDEX(Train_In!$C$34:$E$34,F$7)</f>
        <v>9.6</v>
      </c>
      <c r="G53" s="98" t="n">
        <f aca="false">INDEX(Train_In!$C$34:$E$34,G$7)</f>
        <v>2.36</v>
      </c>
      <c r="H53" s="98" t="n">
        <f aca="false">INDEX(Train_In!$C$34:$E$34,H$7)</f>
        <v>9.6</v>
      </c>
      <c r="I53" s="98" t="n">
        <f aca="false">INDEX(Train_In!$C$34:$E$34,I$7)</f>
        <v>2.36</v>
      </c>
      <c r="J53" s="98" t="n">
        <f aca="false">INDEX(Train_In!$C$34:$E$34,J$7)</f>
        <v>9.6</v>
      </c>
      <c r="K53" s="98" t="n">
        <f aca="false">INDEX(Train_In!$C$34:$E$34,K$7)</f>
        <v>2.36</v>
      </c>
      <c r="L53" s="98" t="n">
        <f aca="false">INDEX(Train_In!$C$34:$E$34,L$7)</f>
        <v>9.6</v>
      </c>
      <c r="M53" s="98" t="n">
        <f aca="false">INDEX(Train_In!$C$34:$E$34,M$7)</f>
        <v>2.36</v>
      </c>
      <c r="N53" s="98" t="n">
        <f aca="false">INDEX(Train_In!$C$34:$E$34,N$7)</f>
        <v>9.6</v>
      </c>
      <c r="O53" s="146" t="n">
        <f aca="false">INDEX(Train_In!$C$34:$E$34,O$7)*O$8</f>
        <v>0.708</v>
      </c>
      <c r="P53" s="146" t="n">
        <f aca="false">INDEX(Train_In!$C$34:$E$34,P$7)*P$8</f>
        <v>2.88</v>
      </c>
      <c r="Q53" s="146" t="n">
        <f aca="false">INDEX(Train_In!$C$34:$E$34,Q$7)*Q$8</f>
        <v>7.08</v>
      </c>
      <c r="R53" s="146" t="n">
        <f aca="false">INDEX(Train_In!$C$34:$E$34,R$7)*R$8</f>
        <v>28.8</v>
      </c>
      <c r="S53" s="98" t="n">
        <f aca="false">INDEX(Train_In!$C$34:$E$34,S$7)</f>
        <v>2.36</v>
      </c>
      <c r="T53" s="98" t="n">
        <f aca="false">INDEX(Train_In!$C$34:$E$34,T$7)</f>
        <v>9.6</v>
      </c>
      <c r="U53" s="98" t="n">
        <f aca="false">INDEX(Train_In!$C$34:$E$34,U$7)</f>
        <v>2.36</v>
      </c>
      <c r="V53" s="98" t="n">
        <f aca="false">INDEX(Train_In!$C$34:$E$34,V$7)</f>
        <v>9.6</v>
      </c>
      <c r="W53" s="98" t="n">
        <f aca="false">INDEX(Train_In!$C$34:$E$34,W$7)</f>
        <v>2.36</v>
      </c>
      <c r="X53" s="98" t="n">
        <f aca="false">INDEX(Train_In!$C$34:$E$34,X$7)</f>
        <v>9.6</v>
      </c>
      <c r="Y53" s="98" t="n">
        <f aca="false">INDEX(Train_In!$C$34:$E$34,Y$7)</f>
        <v>2.36</v>
      </c>
      <c r="Z53" s="98" t="n">
        <f aca="false">INDEX(Train_In!$C$34:$E$34,Z$7)</f>
        <v>9.6</v>
      </c>
      <c r="AA53" s="98" t="n">
        <f aca="false">INDEX(Train_In!$C$34:$E$34,AA$7)</f>
        <v>2.36</v>
      </c>
      <c r="AB53" s="98" t="n">
        <f aca="false">INDEX(Train_In!$C$34:$E$34,AB$7)</f>
        <v>9.6</v>
      </c>
      <c r="AC53" s="98" t="n">
        <f aca="false">INDEX(Train_In!$C$34:$E$34,AC$7)</f>
        <v>2.36</v>
      </c>
      <c r="AD53" s="98" t="n">
        <f aca="false">INDEX(Train_In!$C$34:$E$34,AD$7)</f>
        <v>9.6</v>
      </c>
      <c r="AE53" s="98" t="n">
        <f aca="false">INDEX(Train_In!$C$34:$E$34,AE$7)</f>
        <v>2.36</v>
      </c>
      <c r="AF53" s="98" t="n">
        <f aca="false">INDEX(Train_In!$C$34:$E$34,AF$7)</f>
        <v>9.6</v>
      </c>
      <c r="AG53" s="98" t="n">
        <f aca="false">INDEX(Train_In!$C$34:$E$34,AG$7)</f>
        <v>2.36</v>
      </c>
      <c r="AH53" s="98" t="n">
        <f aca="false">INDEX(Train_In!$C$34:$E$34,AH$7)</f>
        <v>9.6</v>
      </c>
    </row>
    <row r="54" customFormat="false" ht="15" hidden="false" customHeight="false" outlineLevel="0" collapsed="false">
      <c r="A54" s="61" t="s">
        <v>1192</v>
      </c>
      <c r="B54" s="62" t="s">
        <v>308</v>
      </c>
      <c r="C54" s="63" t="n">
        <f aca="false">INDEX(Perf_Batch!$C$43:$Q$43,3*(C$6-1)+C$7)</f>
        <v>8192</v>
      </c>
      <c r="D54" s="63" t="n">
        <f aca="false">INDEX(Perf_Batch!$C$43:$Q$43,3*(D$6-1)+D$7)</f>
        <v>16384</v>
      </c>
      <c r="E54" s="63" t="n">
        <f aca="false">INDEX(Perf_Batch!$C$43:$Q$43,3*(E$6-1)+E$7)</f>
        <v>8192</v>
      </c>
      <c r="F54" s="63" t="n">
        <f aca="false">INDEX(Perf_Batch!$C$43:$Q$43,3*(F$6-1)+F$7)</f>
        <v>16384</v>
      </c>
      <c r="G54" s="63" t="n">
        <f aca="false">INDEX(Perf_Batch!$C$43:$Q$43,3*(G$6-1)+G$7)</f>
        <v>8192</v>
      </c>
      <c r="H54" s="63" t="n">
        <f aca="false">INDEX(Perf_Batch!$C$43:$Q$43,3*(H$6-1)+H$7)</f>
        <v>16384</v>
      </c>
      <c r="I54" s="63" t="n">
        <f aca="false">INDEX(Perf_Batch!$C$43:$Q$43,3*(I$6-1)+I$7)</f>
        <v>8192</v>
      </c>
      <c r="J54" s="63" t="n">
        <f aca="false">INDEX(Perf_Batch!$C$43:$Q$43,3*(J$6-1)+J$7)</f>
        <v>16384</v>
      </c>
      <c r="K54" s="63" t="n">
        <f aca="false">INDEX(Perf_Batch!$C$43:$Q$43,3*(K$6-1)+K$7)</f>
        <v>8192</v>
      </c>
      <c r="L54" s="63" t="n">
        <f aca="false">INDEX(Perf_Batch!$C$43:$Q$43,3*(L$6-1)+L$7)</f>
        <v>16384</v>
      </c>
      <c r="M54" s="63" t="n">
        <f aca="false">INDEX(Perf_Batch!$C$43:$Q$43,3*(M$6-1)+M$7)</f>
        <v>8192</v>
      </c>
      <c r="N54" s="63" t="n">
        <f aca="false">INDEX(Perf_Batch!$C$43:$Q$43,3*(N$6-1)+N$7)</f>
        <v>16384</v>
      </c>
      <c r="O54" s="63" t="n">
        <f aca="false">INDEX(Perf_Batch!$C$43:$Q$43,3*(O$6-1)+O$7)</f>
        <v>8192</v>
      </c>
      <c r="P54" s="63" t="n">
        <f aca="false">INDEX(Perf_Batch!$C$43:$Q$43,3*(P$6-1)+P$7)</f>
        <v>16384</v>
      </c>
      <c r="Q54" s="63" t="n">
        <f aca="false">INDEX(Perf_Batch!$C$43:$Q$43,3*(Q$6-1)+Q$7)</f>
        <v>8192</v>
      </c>
      <c r="R54" s="63" t="n">
        <f aca="false">INDEX(Perf_Batch!$C$43:$Q$43,3*(R$6-1)+R$7)</f>
        <v>16384</v>
      </c>
      <c r="S54" s="63" t="n">
        <f aca="false">INDEX(Perf_Batch!$C$43:$Q$43,3*(S$6-1)+S$7)</f>
        <v>8192</v>
      </c>
      <c r="T54" s="63" t="n">
        <f aca="false">INDEX(Perf_Batch!$C$43:$Q$43,3*(T$6-1)+T$7)</f>
        <v>16384</v>
      </c>
      <c r="U54" s="63" t="n">
        <f aca="false">INDEX(Perf_Batch!$C$43:$Q$43,3*(U$6-1)+U$7)</f>
        <v>8192</v>
      </c>
      <c r="V54" s="63" t="n">
        <f aca="false">INDEX(Perf_Batch!$C$43:$Q$43,3*(V$6-1)+V$7)</f>
        <v>16384</v>
      </c>
      <c r="W54" s="63" t="n">
        <f aca="false">INDEX(Perf_Batch!$C$43:$Q$43,3*(W$6-1)+W$7)</f>
        <v>8192</v>
      </c>
      <c r="X54" s="63" t="n">
        <f aca="false">INDEX(Perf_Batch!$C$43:$Q$43,3*(X$6-1)+X$7)</f>
        <v>16384</v>
      </c>
      <c r="Y54" s="63" t="n">
        <f aca="false">INDEX(Perf_Batch!$C$43:$Q$43,3*(Y$6-1)+Y$7)</f>
        <v>8192</v>
      </c>
      <c r="Z54" s="63" t="n">
        <f aca="false">INDEX(Perf_Batch!$C$43:$Q$43,3*(Z$6-1)+Z$7)</f>
        <v>16384</v>
      </c>
      <c r="AA54" s="63" t="n">
        <f aca="false">INDEX(Perf_Batch!$C$43:$Q$43,3*(AA$6-1)+AA$7)</f>
        <v>8192</v>
      </c>
      <c r="AB54" s="63" t="n">
        <f aca="false">INDEX(Perf_Batch!$C$43:$Q$43,3*(AB$6-1)+AB$7)</f>
        <v>16384</v>
      </c>
      <c r="AC54" s="63" t="n">
        <f aca="false">INDEX(Perf_Batch!$C$43:$Q$43,3*(AC$6-1)+AC$7)</f>
        <v>8192</v>
      </c>
      <c r="AD54" s="63" t="n">
        <f aca="false">INDEX(Perf_Batch!$C$43:$Q$43,3*(AD$6-1)+AD$7)</f>
        <v>16384</v>
      </c>
      <c r="AE54" s="63" t="n">
        <f aca="false">INDEX(Perf_Batch!$C$43:$Q$43,3*(AE$6-1)+AE$7)</f>
        <v>8192</v>
      </c>
      <c r="AF54" s="63" t="n">
        <f aca="false">INDEX(Perf_Batch!$C$43:$Q$43,3*(AF$6-1)+AF$7)</f>
        <v>16384</v>
      </c>
      <c r="AG54" s="63" t="n">
        <f aca="false">INDEX(Perf_Batch!$C$43:$Q$43,3*(AG$6-1)+AG$7)</f>
        <v>8192</v>
      </c>
      <c r="AH54" s="63" t="n">
        <f aca="false">INDEX(Perf_Batch!$C$43:$Q$43,3*(AH$6-1)+AH$7)</f>
        <v>16384</v>
      </c>
    </row>
    <row r="55" customFormat="false" ht="15" hidden="false" customHeight="false" outlineLevel="0" collapsed="false">
      <c r="A55" s="61" t="s">
        <v>1193</v>
      </c>
      <c r="B55" s="62" t="s">
        <v>308</v>
      </c>
      <c r="C55" s="63" t="n">
        <f aca="false">INDEX(Perf_Batch!$C$44:$Q$44,3*(C$6-1)+C$7)</f>
        <v>16384</v>
      </c>
      <c r="D55" s="63" t="n">
        <f aca="false">INDEX(Perf_Batch!$C$44:$Q$44,3*(D$6-1)+D$7)</f>
        <v>32768</v>
      </c>
      <c r="E55" s="63" t="n">
        <f aca="false">INDEX(Perf_Batch!$C$44:$Q$44,3*(E$6-1)+E$7)</f>
        <v>16384</v>
      </c>
      <c r="F55" s="63" t="n">
        <f aca="false">INDEX(Perf_Batch!$C$44:$Q$44,3*(F$6-1)+F$7)</f>
        <v>32768</v>
      </c>
      <c r="G55" s="63" t="n">
        <f aca="false">INDEX(Perf_Batch!$C$44:$Q$44,3*(G$6-1)+G$7)</f>
        <v>16384</v>
      </c>
      <c r="H55" s="63" t="n">
        <f aca="false">INDEX(Perf_Batch!$C$44:$Q$44,3*(H$6-1)+H$7)</f>
        <v>32768</v>
      </c>
      <c r="I55" s="63" t="n">
        <f aca="false">INDEX(Perf_Batch!$C$44:$Q$44,3*(I$6-1)+I$7)</f>
        <v>16384</v>
      </c>
      <c r="J55" s="63" t="n">
        <f aca="false">INDEX(Perf_Batch!$C$44:$Q$44,3*(J$6-1)+J$7)</f>
        <v>32768</v>
      </c>
      <c r="K55" s="63" t="n">
        <f aca="false">INDEX(Perf_Batch!$C$44:$Q$44,3*(K$6-1)+K$7)</f>
        <v>16384</v>
      </c>
      <c r="L55" s="63" t="n">
        <f aca="false">INDEX(Perf_Batch!$C$44:$Q$44,3*(L$6-1)+L$7)</f>
        <v>32768</v>
      </c>
      <c r="M55" s="63" t="n">
        <f aca="false">INDEX(Perf_Batch!$C$44:$Q$44,3*(M$6-1)+M$7)</f>
        <v>16384</v>
      </c>
      <c r="N55" s="63" t="n">
        <f aca="false">INDEX(Perf_Batch!$C$44:$Q$44,3*(N$6-1)+N$7)</f>
        <v>32768</v>
      </c>
      <c r="O55" s="63" t="n">
        <f aca="false">INDEX(Perf_Batch!$C$44:$Q$44,3*(O$6-1)+O$7)</f>
        <v>16384</v>
      </c>
      <c r="P55" s="63" t="n">
        <f aca="false">INDEX(Perf_Batch!$C$44:$Q$44,3*(P$6-1)+P$7)</f>
        <v>32768</v>
      </c>
      <c r="Q55" s="63" t="n">
        <f aca="false">INDEX(Perf_Batch!$C$44:$Q$44,3*(Q$6-1)+Q$7)</f>
        <v>16384</v>
      </c>
      <c r="R55" s="63" t="n">
        <f aca="false">INDEX(Perf_Batch!$C$44:$Q$44,3*(R$6-1)+R$7)</f>
        <v>32768</v>
      </c>
      <c r="S55" s="63" t="n">
        <f aca="false">INDEX(Perf_Batch!$C$44:$Q$44,3*(S$6-1)+S$7)</f>
        <v>16384</v>
      </c>
      <c r="T55" s="63" t="n">
        <f aca="false">INDEX(Perf_Batch!$C$44:$Q$44,3*(T$6-1)+T$7)</f>
        <v>32768</v>
      </c>
      <c r="U55" s="63" t="n">
        <f aca="false">INDEX(Perf_Batch!$C$44:$Q$44,3*(U$6-1)+U$7)</f>
        <v>16384</v>
      </c>
      <c r="V55" s="63" t="n">
        <f aca="false">INDEX(Perf_Batch!$C$44:$Q$44,3*(V$6-1)+V$7)</f>
        <v>32768</v>
      </c>
      <c r="W55" s="63" t="n">
        <f aca="false">INDEX(Perf_Batch!$C$44:$Q$44,3*(W$6-1)+W$7)</f>
        <v>16384</v>
      </c>
      <c r="X55" s="63" t="n">
        <f aca="false">INDEX(Perf_Batch!$C$44:$Q$44,3*(X$6-1)+X$7)</f>
        <v>32768</v>
      </c>
      <c r="Y55" s="63" t="n">
        <f aca="false">INDEX(Perf_Batch!$C$44:$Q$44,3*(Y$6-1)+Y$7)</f>
        <v>16384</v>
      </c>
      <c r="Z55" s="63" t="n">
        <f aca="false">INDEX(Perf_Batch!$C$44:$Q$44,3*(Z$6-1)+Z$7)</f>
        <v>32768</v>
      </c>
      <c r="AA55" s="63" t="n">
        <f aca="false">INDEX(Perf_Batch!$C$44:$Q$44,3*(AA$6-1)+AA$7)</f>
        <v>16384</v>
      </c>
      <c r="AB55" s="63" t="n">
        <f aca="false">INDEX(Perf_Batch!$C$44:$Q$44,3*(AB$6-1)+AB$7)</f>
        <v>32768</v>
      </c>
      <c r="AC55" s="63" t="n">
        <f aca="false">INDEX(Perf_Batch!$C$44:$Q$44,3*(AC$6-1)+AC$7)</f>
        <v>16384</v>
      </c>
      <c r="AD55" s="63" t="n">
        <f aca="false">INDEX(Perf_Batch!$C$44:$Q$44,3*(AD$6-1)+AD$7)</f>
        <v>32768</v>
      </c>
      <c r="AE55" s="63" t="n">
        <f aca="false">INDEX(Perf_Batch!$C$44:$Q$44,3*(AE$6-1)+AE$7)</f>
        <v>16384</v>
      </c>
      <c r="AF55" s="63" t="n">
        <f aca="false">INDEX(Perf_Batch!$C$44:$Q$44,3*(AF$6-1)+AF$7)</f>
        <v>32768</v>
      </c>
      <c r="AG55" s="63" t="n">
        <f aca="false">INDEX(Perf_Batch!$C$44:$Q$44,3*(AG$6-1)+AG$7)</f>
        <v>16384</v>
      </c>
      <c r="AH55" s="63" t="n">
        <f aca="false">INDEX(Perf_Batch!$C$44:$Q$44,3*(AH$6-1)+AH$7)</f>
        <v>32768</v>
      </c>
    </row>
    <row r="56" customFormat="false" ht="15" hidden="false" customHeight="false" outlineLevel="0" collapsed="false">
      <c r="A56" s="61" t="s">
        <v>1194</v>
      </c>
      <c r="B56" s="61" t="s">
        <v>345</v>
      </c>
      <c r="C56" s="68" t="n">
        <f aca="false">C53*1000000000000/C55</f>
        <v>144042968.75</v>
      </c>
      <c r="D56" s="68" t="n">
        <f aca="false">D53*1000000000000/D55</f>
        <v>292968750</v>
      </c>
      <c r="E56" s="68" t="n">
        <f aca="false">E53*1000000000000/E55</f>
        <v>144042968.75</v>
      </c>
      <c r="F56" s="68" t="n">
        <f aca="false">F53*1000000000000/F55</f>
        <v>292968750</v>
      </c>
      <c r="G56" s="68" t="n">
        <f aca="false">G53*1000000000000/G55</f>
        <v>144042968.75</v>
      </c>
      <c r="H56" s="68" t="n">
        <f aca="false">H53*1000000000000/H55</f>
        <v>292968750</v>
      </c>
      <c r="I56" s="68" t="n">
        <f aca="false">I53*1000000000000/I55</f>
        <v>144042968.75</v>
      </c>
      <c r="J56" s="68" t="n">
        <f aca="false">J53*1000000000000/J55</f>
        <v>292968750</v>
      </c>
      <c r="K56" s="68" t="n">
        <f aca="false">K53*1000000000000/K55</f>
        <v>144042968.75</v>
      </c>
      <c r="L56" s="68" t="n">
        <f aca="false">L53*1000000000000/L55</f>
        <v>292968750</v>
      </c>
      <c r="M56" s="68" t="n">
        <f aca="false">M53*1000000000000/M55</f>
        <v>144042968.75</v>
      </c>
      <c r="N56" s="68" t="n">
        <f aca="false">N53*1000000000000/N55</f>
        <v>292968750</v>
      </c>
      <c r="O56" s="68" t="n">
        <f aca="false">O53*1000000000000/O55</f>
        <v>43212890.625</v>
      </c>
      <c r="P56" s="68" t="n">
        <f aca="false">P53*1000000000000/P55</f>
        <v>87890625</v>
      </c>
      <c r="Q56" s="68" t="n">
        <f aca="false">Q53*1000000000000/Q55</f>
        <v>432128906.25</v>
      </c>
      <c r="R56" s="68" t="n">
        <f aca="false">R53*1000000000000/R55</f>
        <v>878906250</v>
      </c>
      <c r="S56" s="68" t="n">
        <f aca="false">S53*1000000000000/S55</f>
        <v>144042968.75</v>
      </c>
      <c r="T56" s="68" t="n">
        <f aca="false">T53*1000000000000/T55</f>
        <v>292968750</v>
      </c>
      <c r="U56" s="68" t="n">
        <f aca="false">U53*1000000000000/U55</f>
        <v>144042968.75</v>
      </c>
      <c r="V56" s="68" t="n">
        <f aca="false">V53*1000000000000/V55</f>
        <v>292968750</v>
      </c>
      <c r="W56" s="68" t="n">
        <f aca="false">W53*1000000000000/W55</f>
        <v>144042968.75</v>
      </c>
      <c r="X56" s="68" t="n">
        <f aca="false">X53*1000000000000/X55</f>
        <v>292968750</v>
      </c>
      <c r="Y56" s="68" t="n">
        <f aca="false">Y53*1000000000000/Y55</f>
        <v>144042968.75</v>
      </c>
      <c r="Z56" s="68" t="n">
        <f aca="false">Z53*1000000000000/Z55</f>
        <v>292968750</v>
      </c>
      <c r="AA56" s="68" t="n">
        <f aca="false">AA53*1000000000000/AA55</f>
        <v>144042968.75</v>
      </c>
      <c r="AB56" s="68" t="n">
        <f aca="false">AB53*1000000000000/AB55</f>
        <v>292968750</v>
      </c>
      <c r="AC56" s="68" t="n">
        <f aca="false">AC53*1000000000000/AC55</f>
        <v>144042968.75</v>
      </c>
      <c r="AD56" s="68" t="n">
        <f aca="false">AD53*1000000000000/AD55</f>
        <v>292968750</v>
      </c>
      <c r="AE56" s="68" t="n">
        <f aca="false">AE53*1000000000000/AE55</f>
        <v>144042968.75</v>
      </c>
      <c r="AF56" s="68" t="n">
        <f aca="false">AF53*1000000000000/AF55</f>
        <v>292968750</v>
      </c>
      <c r="AG56" s="68" t="n">
        <f aca="false">AG53*1000000000000/AG55</f>
        <v>144042968.75</v>
      </c>
      <c r="AH56" s="68" t="n">
        <f aca="false">AH53*1000000000000/AH55</f>
        <v>292968750</v>
      </c>
    </row>
    <row r="57" customFormat="false" ht="15" hidden="false" customHeight="false" outlineLevel="0" collapsed="false">
      <c r="A57" s="62" t="s">
        <v>1195</v>
      </c>
      <c r="B57" s="61" t="s">
        <v>345</v>
      </c>
      <c r="C57" s="89" t="n">
        <f aca="false">Train_In!$C$12</f>
        <v>16</v>
      </c>
      <c r="D57" s="89" t="n">
        <f aca="false">Train_In!$C$12</f>
        <v>16</v>
      </c>
      <c r="E57" s="89" t="n">
        <f aca="false">Train_In!$C$12</f>
        <v>16</v>
      </c>
      <c r="F57" s="89" t="n">
        <f aca="false">Train_In!$C$12</f>
        <v>16</v>
      </c>
      <c r="G57" s="89" t="n">
        <f aca="false">Train_In!$C$12</f>
        <v>16</v>
      </c>
      <c r="H57" s="89" t="n">
        <f aca="false">Train_In!$C$12</f>
        <v>16</v>
      </c>
      <c r="I57" s="89" t="n">
        <f aca="false">Train_In!$C$12</f>
        <v>16</v>
      </c>
      <c r="J57" s="89" t="n">
        <f aca="false">Train_In!$C$12</f>
        <v>16</v>
      </c>
      <c r="K57" s="89" t="n">
        <f aca="false">Train_In!$C$12</f>
        <v>16</v>
      </c>
      <c r="L57" s="89" t="n">
        <f aca="false">Train_In!$C$12</f>
        <v>16</v>
      </c>
      <c r="M57" s="89" t="n">
        <f aca="false">Train_In!$C$12</f>
        <v>16</v>
      </c>
      <c r="N57" s="89" t="n">
        <f aca="false">Train_In!$C$12</f>
        <v>16</v>
      </c>
      <c r="O57" s="89" t="n">
        <f aca="false">Train_In!$C$12</f>
        <v>16</v>
      </c>
      <c r="P57" s="89" t="n">
        <f aca="false">Train_In!$C$12</f>
        <v>16</v>
      </c>
      <c r="Q57" s="89" t="n">
        <f aca="false">Train_In!$C$12</f>
        <v>16</v>
      </c>
      <c r="R57" s="89" t="n">
        <f aca="false">Train_In!$C$12</f>
        <v>16</v>
      </c>
      <c r="S57" s="89" t="n">
        <f aca="false">Train_In!$C$12</f>
        <v>16</v>
      </c>
      <c r="T57" s="89" t="n">
        <f aca="false">Train_In!$C$12</f>
        <v>16</v>
      </c>
      <c r="U57" s="89" t="n">
        <f aca="false">Train_In!$C$12</f>
        <v>16</v>
      </c>
      <c r="V57" s="89" t="n">
        <f aca="false">Train_In!$C$12</f>
        <v>16</v>
      </c>
      <c r="W57" s="89" t="n">
        <f aca="false">Train_In!$C$12</f>
        <v>16</v>
      </c>
      <c r="X57" s="89" t="n">
        <f aca="false">Train_In!$C$12</f>
        <v>16</v>
      </c>
      <c r="Y57" s="89" t="n">
        <f aca="false">Train_In!$C$12</f>
        <v>16</v>
      </c>
      <c r="Z57" s="89" t="n">
        <f aca="false">Train_In!$C$12</f>
        <v>16</v>
      </c>
      <c r="AA57" s="89" t="n">
        <f aca="false">Train_In!$C$12</f>
        <v>16</v>
      </c>
      <c r="AB57" s="89" t="n">
        <f aca="false">Train_In!$C$12</f>
        <v>16</v>
      </c>
      <c r="AC57" s="89" t="n">
        <f aca="false">Train_In!$C$12</f>
        <v>16</v>
      </c>
      <c r="AD57" s="89" t="n">
        <f aca="false">Train_In!$C$12</f>
        <v>16</v>
      </c>
      <c r="AE57" s="89" t="n">
        <f aca="false">Train_In!$C$12</f>
        <v>16</v>
      </c>
      <c r="AF57" s="89" t="n">
        <f aca="false">Train_In!$C$12</f>
        <v>16</v>
      </c>
      <c r="AG57" s="89" t="n">
        <f aca="false">Train_In!$C$12</f>
        <v>16</v>
      </c>
      <c r="AH57" s="89" t="n">
        <f aca="false">Train_In!$C$12</f>
        <v>16</v>
      </c>
    </row>
    <row r="58" customFormat="false" ht="15" hidden="false" customHeight="false" outlineLevel="0" collapsed="false">
      <c r="A58" s="61" t="s">
        <v>1196</v>
      </c>
      <c r="B58" s="62" t="s">
        <v>1103</v>
      </c>
      <c r="C58" s="72" t="n">
        <f aca="false">C56*C54/C57/1000000000000</f>
        <v>0.07375</v>
      </c>
      <c r="D58" s="72" t="n">
        <f aca="false">D56*D54/D57/1000000000000</f>
        <v>0.3</v>
      </c>
      <c r="E58" s="72" t="n">
        <f aca="false">E56*E54/E57/1000000000000</f>
        <v>0.07375</v>
      </c>
      <c r="F58" s="72" t="n">
        <f aca="false">F56*F54/F57/1000000000000</f>
        <v>0.3</v>
      </c>
      <c r="G58" s="72" t="n">
        <f aca="false">G56*G54/G57/1000000000000</f>
        <v>0.07375</v>
      </c>
      <c r="H58" s="72" t="n">
        <f aca="false">H56*H54/H57/1000000000000</f>
        <v>0.3</v>
      </c>
      <c r="I58" s="72" t="n">
        <f aca="false">I56*I54/I57/1000000000000</f>
        <v>0.07375</v>
      </c>
      <c r="J58" s="72" t="n">
        <f aca="false">J56*J54/J57/1000000000000</f>
        <v>0.3</v>
      </c>
      <c r="K58" s="72" t="n">
        <f aca="false">K56*K54/K57/1000000000000</f>
        <v>0.07375</v>
      </c>
      <c r="L58" s="72" t="n">
        <f aca="false">L56*L54/L57/1000000000000</f>
        <v>0.3</v>
      </c>
      <c r="M58" s="72" t="n">
        <f aca="false">M56*M54/M57/1000000000000</f>
        <v>0.07375</v>
      </c>
      <c r="N58" s="72" t="n">
        <f aca="false">N56*N54/N57/1000000000000</f>
        <v>0.3</v>
      </c>
      <c r="O58" s="72" t="n">
        <f aca="false">O56*O54/O57/1000000000000</f>
        <v>0.022125</v>
      </c>
      <c r="P58" s="72" t="n">
        <f aca="false">P56*P54/P57/1000000000000</f>
        <v>0.09</v>
      </c>
      <c r="Q58" s="72" t="n">
        <f aca="false">Q56*Q54/Q57/1000000000000</f>
        <v>0.22125</v>
      </c>
      <c r="R58" s="72" t="n">
        <f aca="false">R56*R54/R57/1000000000000</f>
        <v>0.9</v>
      </c>
      <c r="S58" s="72" t="n">
        <f aca="false">S56*S54/S57/1000000000000</f>
        <v>0.07375</v>
      </c>
      <c r="T58" s="72" t="n">
        <f aca="false">T56*T54/T57/1000000000000</f>
        <v>0.3</v>
      </c>
      <c r="U58" s="72" t="n">
        <f aca="false">U56*U54/U57/1000000000000</f>
        <v>0.07375</v>
      </c>
      <c r="V58" s="72" t="n">
        <f aca="false">V56*V54/V57/1000000000000</f>
        <v>0.3</v>
      </c>
      <c r="W58" s="72" t="n">
        <f aca="false">W56*W54/W57/1000000000000</f>
        <v>0.07375</v>
      </c>
      <c r="X58" s="72" t="n">
        <f aca="false">X56*X54/X57/1000000000000</f>
        <v>0.3</v>
      </c>
      <c r="Y58" s="72" t="n">
        <f aca="false">Y56*Y54/Y57/1000000000000</f>
        <v>0.07375</v>
      </c>
      <c r="Z58" s="72" t="n">
        <f aca="false">Z56*Z54/Z57/1000000000000</f>
        <v>0.3</v>
      </c>
      <c r="AA58" s="72" t="n">
        <f aca="false">AA56*AA54/AA57/1000000000000</f>
        <v>0.07375</v>
      </c>
      <c r="AB58" s="72" t="n">
        <f aca="false">AB56*AB54/AB57/1000000000000</f>
        <v>0.3</v>
      </c>
      <c r="AC58" s="72" t="n">
        <f aca="false">AC56*AC54/AC57/1000000000000</f>
        <v>0.07375</v>
      </c>
      <c r="AD58" s="72" t="n">
        <f aca="false">AD56*AD54/AD57/1000000000000</f>
        <v>0.3</v>
      </c>
      <c r="AE58" s="72" t="n">
        <f aca="false">AE56*AE54/AE57/1000000000000</f>
        <v>0.07375</v>
      </c>
      <c r="AF58" s="72" t="n">
        <f aca="false">AF56*AF54/AF57/1000000000000</f>
        <v>0.3</v>
      </c>
      <c r="AG58" s="72" t="n">
        <f aca="false">AG56*AG54/AG57/1000000000000</f>
        <v>0.07375</v>
      </c>
      <c r="AH58" s="72" t="n">
        <f aca="false">AH56*AH54/AH57/1000000000000</f>
        <v>0.3</v>
      </c>
    </row>
    <row r="59" customFormat="false" ht="15" hidden="false" customHeight="false" outlineLevel="0" collapsed="false">
      <c r="A59" s="62" t="s">
        <v>1197</v>
      </c>
      <c r="B59" s="62" t="s">
        <v>935</v>
      </c>
      <c r="C59" s="98" t="n">
        <f aca="false">INDEX(Perf_Batch!$C$103:$Q$103,3*(C$6-1)+C$7)</f>
        <v>248.860047861003</v>
      </c>
      <c r="D59" s="98" t="n">
        <f aca="false">INDEX(Perf_Batch!$C$103:$Q$103,3*(D$6-1)+D$7)</f>
        <v>1060.88763337202</v>
      </c>
      <c r="E59" s="98" t="n">
        <f aca="false">INDEX(Perf_Batch!$C$103:$Q$103,3*(E$6-1)+E$7)</f>
        <v>248.860047861003</v>
      </c>
      <c r="F59" s="98" t="n">
        <f aca="false">INDEX(Perf_Batch!$C$103:$Q$103,3*(F$6-1)+F$7)</f>
        <v>1060.88763337202</v>
      </c>
      <c r="G59" s="98" t="n">
        <f aca="false">INDEX(Perf_Batch!$C$103:$Q$103,3*(G$6-1)+G$7)</f>
        <v>248.860047861003</v>
      </c>
      <c r="H59" s="98" t="n">
        <f aca="false">INDEX(Perf_Batch!$C$103:$Q$103,3*(H$6-1)+H$7)</f>
        <v>1060.88763337202</v>
      </c>
      <c r="I59" s="98" t="n">
        <f aca="false">INDEX(Perf_Batch!$C$103:$Q$103,3*(I$6-1)+I$7)</f>
        <v>248.860047861003</v>
      </c>
      <c r="J59" s="98" t="n">
        <f aca="false">INDEX(Perf_Batch!$C$103:$Q$103,3*(J$6-1)+J$7)</f>
        <v>1060.88763337202</v>
      </c>
      <c r="K59" s="98" t="n">
        <f aca="false">INDEX(Perf_Batch!$C$103:$Q$103,3*(K$6-1)+K$7)</f>
        <v>248.860047861003</v>
      </c>
      <c r="L59" s="98" t="n">
        <f aca="false">INDEX(Perf_Batch!$C$103:$Q$103,3*(L$6-1)+L$7)</f>
        <v>1060.88763337202</v>
      </c>
      <c r="M59" s="98" t="n">
        <f aca="false">INDEX(Perf_Batch!$C$103:$Q$103,3*(M$6-1)+M$7)</f>
        <v>248.860047861003</v>
      </c>
      <c r="N59" s="98" t="n">
        <f aca="false">INDEX(Perf_Batch!$C$103:$Q$103,3*(N$6-1)+N$7)</f>
        <v>1060.88763337202</v>
      </c>
      <c r="O59" s="98" t="n">
        <f aca="false">INDEX(Perf_Batch!$C$103:$Q$103,3*(O$6-1)+O$7)</f>
        <v>248.860047861003</v>
      </c>
      <c r="P59" s="98" t="n">
        <f aca="false">INDEX(Perf_Batch!$C$103:$Q$103,3*(P$6-1)+P$7)</f>
        <v>1060.88763337202</v>
      </c>
      <c r="Q59" s="98" t="n">
        <f aca="false">INDEX(Perf_Batch!$C$103:$Q$103,3*(Q$6-1)+Q$7)</f>
        <v>248.860047861003</v>
      </c>
      <c r="R59" s="98" t="n">
        <f aca="false">INDEX(Perf_Batch!$C$103:$Q$103,3*(R$6-1)+R$7)</f>
        <v>1060.88763337202</v>
      </c>
      <c r="S59" s="98" t="n">
        <f aca="false">INDEX(Perf_Batch!$C$103:$Q$103,3*(S$6-1)+S$7)</f>
        <v>248.860047861003</v>
      </c>
      <c r="T59" s="98" t="n">
        <f aca="false">INDEX(Perf_Batch!$C$103:$Q$103,3*(T$6-1)+T$7)</f>
        <v>1060.88763337202</v>
      </c>
      <c r="U59" s="98" t="n">
        <f aca="false">INDEX(Perf_Batch!$C$103:$Q$103,3*(U$6-1)+U$7)</f>
        <v>248.860047861003</v>
      </c>
      <c r="V59" s="98" t="n">
        <f aca="false">INDEX(Perf_Batch!$C$103:$Q$103,3*(V$6-1)+V$7)</f>
        <v>1060.88763337202</v>
      </c>
      <c r="W59" s="146" t="n">
        <f aca="false">Perf_Batch!R103</f>
        <v>376.528296742994</v>
      </c>
      <c r="X59" s="146" t="n">
        <f aca="false">Perf_Batch!S103</f>
        <v>1613.65667842833</v>
      </c>
      <c r="Y59" s="98" t="n">
        <f aca="false">INDEX(Perf_Batch!$C$103:$Q$103,3*(Y$6-1)+Y$7)</f>
        <v>248.860047861003</v>
      </c>
      <c r="Z59" s="98" t="n">
        <f aca="false">INDEX(Perf_Batch!$C$103:$Q$103,3*(Z$6-1)+Z$7)</f>
        <v>1060.88763337202</v>
      </c>
      <c r="AA59" s="98" t="n">
        <f aca="false">INDEX(Perf_Batch!$C$103:$Q$103,3*(AA$6-1)+AA$7)</f>
        <v>248.860047861003</v>
      </c>
      <c r="AB59" s="98" t="n">
        <f aca="false">INDEX(Perf_Batch!$C$103:$Q$103,3*(AB$6-1)+AB$7)</f>
        <v>1060.88763337202</v>
      </c>
      <c r="AC59" s="98" t="n">
        <f aca="false">INDEX(Perf_Batch!$C$103:$Q$103,3*(AC$6-1)+AC$7)</f>
        <v>248.860047861003</v>
      </c>
      <c r="AD59" s="98" t="n">
        <f aca="false">INDEX(Perf_Batch!$C$103:$Q$103,3*(AD$6-1)+AD$7)</f>
        <v>1060.88763337202</v>
      </c>
      <c r="AE59" s="98" t="n">
        <f aca="false">INDEX(Perf_Batch!$C$103:$Q$103,3*(AE$6-1)+AE$7)</f>
        <v>248.860047861003</v>
      </c>
      <c r="AF59" s="98" t="n">
        <f aca="false">INDEX(Perf_Batch!$C$103:$Q$103,3*(AF$6-1)+AF$7)</f>
        <v>1060.88763337202</v>
      </c>
      <c r="AG59" s="98" t="n">
        <f aca="false">INDEX(Perf_Batch!$C$103:$Q$103,3*(AG$6-1)+AG$7)</f>
        <v>248.860047861003</v>
      </c>
      <c r="AH59" s="98" t="n">
        <f aca="false">INDEX(Perf_Batch!$C$103:$Q$103,3*(AH$6-1)+AH$7)</f>
        <v>1060.88763337202</v>
      </c>
    </row>
    <row r="60" customFormat="false" ht="15" hidden="false" customHeight="false" outlineLevel="0" collapsed="false">
      <c r="A60" s="62" t="s">
        <v>1198</v>
      </c>
      <c r="B60" s="62" t="s">
        <v>935</v>
      </c>
      <c r="C60" s="98" t="n">
        <f aca="false">INDEX(Perf_Batch!$C$101:$Q$101,3*(C$6-1)+C$7)</f>
        <v>12.5261781471817</v>
      </c>
      <c r="D60" s="98" t="n">
        <f aca="false">INDEX(Perf_Batch!$C$101:$Q$101,3*(D$6-1)+D$7)</f>
        <v>38.1205065142857</v>
      </c>
      <c r="E60" s="98" t="n">
        <f aca="false">INDEX(Perf_Batch!$C$101:$Q$101,3*(E$6-1)+E$7)</f>
        <v>12.5261781471817</v>
      </c>
      <c r="F60" s="98" t="n">
        <f aca="false">INDEX(Perf_Batch!$C$101:$Q$101,3*(F$6-1)+F$7)</f>
        <v>38.1205065142857</v>
      </c>
      <c r="G60" s="98" t="n">
        <f aca="false">INDEX(Perf_Batch!$C$101:$Q$101,3*(G$6-1)+G$7)</f>
        <v>12.5261781471817</v>
      </c>
      <c r="H60" s="98" t="n">
        <f aca="false">INDEX(Perf_Batch!$C$101:$Q$101,3*(H$6-1)+H$7)</f>
        <v>38.1205065142857</v>
      </c>
      <c r="I60" s="98" t="n">
        <f aca="false">INDEX(Perf_Batch!$C$101:$Q$101,3*(I$6-1)+I$7)</f>
        <v>12.5261781471817</v>
      </c>
      <c r="J60" s="98" t="n">
        <f aca="false">INDEX(Perf_Batch!$C$101:$Q$101,3*(J$6-1)+J$7)</f>
        <v>38.1205065142857</v>
      </c>
      <c r="K60" s="98" t="n">
        <f aca="false">INDEX(Perf_Batch!$C$101:$Q$101,3*(K$6-1)+K$7)</f>
        <v>12.5261781471817</v>
      </c>
      <c r="L60" s="98" t="n">
        <f aca="false">INDEX(Perf_Batch!$C$101:$Q$101,3*(L$6-1)+L$7)</f>
        <v>38.1205065142857</v>
      </c>
      <c r="M60" s="98" t="n">
        <f aca="false">INDEX(Perf_Batch!$C$101:$Q$101,3*(M$6-1)+M$7)</f>
        <v>12.5261781471817</v>
      </c>
      <c r="N60" s="98" t="n">
        <f aca="false">INDEX(Perf_Batch!$C$101:$Q$101,3*(N$6-1)+N$7)</f>
        <v>38.1205065142857</v>
      </c>
      <c r="O60" s="98" t="n">
        <f aca="false">INDEX(Perf_Batch!$C$101:$Q$101,3*(O$6-1)+O$7)</f>
        <v>12.5261781471817</v>
      </c>
      <c r="P60" s="98" t="n">
        <f aca="false">INDEX(Perf_Batch!$C$101:$Q$101,3*(P$6-1)+P$7)</f>
        <v>38.1205065142857</v>
      </c>
      <c r="Q60" s="98" t="n">
        <f aca="false">INDEX(Perf_Batch!$C$101:$Q$101,3*(Q$6-1)+Q$7)</f>
        <v>12.5261781471817</v>
      </c>
      <c r="R60" s="98" t="n">
        <f aca="false">INDEX(Perf_Batch!$C$101:$Q$101,3*(R$6-1)+R$7)</f>
        <v>38.1205065142857</v>
      </c>
      <c r="S60" s="98" t="n">
        <f aca="false">INDEX(Perf_Batch!$C$101:$Q$101,3*(S$6-1)+S$7)</f>
        <v>12.5261781471817</v>
      </c>
      <c r="T60" s="98" t="n">
        <f aca="false">INDEX(Perf_Batch!$C$101:$Q$101,3*(T$6-1)+T$7)</f>
        <v>38.1205065142857</v>
      </c>
      <c r="U60" s="98" t="n">
        <f aca="false">INDEX(Perf_Batch!$C$101:$Q$101,3*(U$6-1)+U$7)</f>
        <v>12.5261781471817</v>
      </c>
      <c r="V60" s="98" t="n">
        <f aca="false">INDEX(Perf_Batch!$C$101:$Q$101,3*(V$6-1)+V$7)</f>
        <v>38.1205065142857</v>
      </c>
      <c r="W60" s="146" t="n">
        <f aca="false">Perf_Batch!R101</f>
        <v>25.0523562943634</v>
      </c>
      <c r="X60" s="146" t="n">
        <f aca="false">Perf_Batch!S101</f>
        <v>76.2410130285714</v>
      </c>
      <c r="Y60" s="98" t="n">
        <f aca="false">INDEX(Perf_Batch!$C$101:$Q$101,3*(Y$6-1)+Y$7)</f>
        <v>12.5261781471817</v>
      </c>
      <c r="Z60" s="98" t="n">
        <f aca="false">INDEX(Perf_Batch!$C$101:$Q$101,3*(Z$6-1)+Z$7)</f>
        <v>38.1205065142857</v>
      </c>
      <c r="AA60" s="98" t="n">
        <f aca="false">INDEX(Perf_Batch!$C$101:$Q$101,3*(AA$6-1)+AA$7)</f>
        <v>12.5261781471817</v>
      </c>
      <c r="AB60" s="98" t="n">
        <f aca="false">INDEX(Perf_Batch!$C$101:$Q$101,3*(AB$6-1)+AB$7)</f>
        <v>38.1205065142857</v>
      </c>
      <c r="AC60" s="98" t="n">
        <f aca="false">INDEX(Perf_Batch!$C$101:$Q$101,3*(AC$6-1)+AC$7)</f>
        <v>12.5261781471817</v>
      </c>
      <c r="AD60" s="98" t="n">
        <f aca="false">INDEX(Perf_Batch!$C$101:$Q$101,3*(AD$6-1)+AD$7)</f>
        <v>38.1205065142857</v>
      </c>
      <c r="AE60" s="98" t="n">
        <f aca="false">INDEX(Perf_Batch!$C$101:$Q$101,3*(AE$6-1)+AE$7)</f>
        <v>12.5261781471817</v>
      </c>
      <c r="AF60" s="98" t="n">
        <f aca="false">INDEX(Perf_Batch!$C$101:$Q$101,3*(AF$6-1)+AF$7)</f>
        <v>38.1205065142857</v>
      </c>
      <c r="AG60" s="98" t="n">
        <f aca="false">INDEX(Perf_Batch!$C$101:$Q$101,3*(AG$6-1)+AG$7)</f>
        <v>12.5261781471817</v>
      </c>
      <c r="AH60" s="98" t="n">
        <f aca="false">INDEX(Perf_Batch!$C$101:$Q$101,3*(AH$6-1)+AH$7)</f>
        <v>38.1205065142857</v>
      </c>
    </row>
    <row r="61" customFormat="false" ht="15" hidden="false" customHeight="false" outlineLevel="0" collapsed="false">
      <c r="A61" s="62" t="s">
        <v>1199</v>
      </c>
      <c r="B61" s="62" t="s">
        <v>539</v>
      </c>
      <c r="C61" s="98" t="n">
        <f aca="false">INDEX(Perf_Batch!$C$65:$Q$65,3*(C$6-1)+C$7)</f>
        <v>133.311744712704</v>
      </c>
      <c r="D61" s="98" t="n">
        <f aca="false">INDEX(Perf_Batch!$C$65:$Q$65,3*(D$6-1)+D$7)</f>
        <v>521.0612736</v>
      </c>
      <c r="E61" s="98" t="n">
        <f aca="false">INDEX(Perf_Batch!$C$65:$Q$65,3*(E$6-1)+E$7)</f>
        <v>133.311744712704</v>
      </c>
      <c r="F61" s="98" t="n">
        <f aca="false">INDEX(Perf_Batch!$C$65:$Q$65,3*(F$6-1)+F$7)</f>
        <v>521.0612736</v>
      </c>
      <c r="G61" s="98" t="n">
        <f aca="false">INDEX(Perf_Batch!$C$65:$Q$65,3*(G$6-1)+G$7)</f>
        <v>133.311744712704</v>
      </c>
      <c r="H61" s="98" t="n">
        <f aca="false">INDEX(Perf_Batch!$C$65:$Q$65,3*(H$6-1)+H$7)</f>
        <v>521.0612736</v>
      </c>
      <c r="I61" s="98" t="n">
        <f aca="false">INDEX(Perf_Batch!$C$65:$Q$65,3*(I$6-1)+I$7)</f>
        <v>133.311744712704</v>
      </c>
      <c r="J61" s="98" t="n">
        <f aca="false">INDEX(Perf_Batch!$C$65:$Q$65,3*(J$6-1)+J$7)</f>
        <v>521.0612736</v>
      </c>
      <c r="K61" s="98" t="n">
        <f aca="false">INDEX(Perf_Batch!$C$65:$Q$65,3*(K$6-1)+K$7)</f>
        <v>133.311744712704</v>
      </c>
      <c r="L61" s="98" t="n">
        <f aca="false">INDEX(Perf_Batch!$C$65:$Q$65,3*(L$6-1)+L$7)</f>
        <v>521.0612736</v>
      </c>
      <c r="M61" s="98" t="n">
        <f aca="false">INDEX(Perf_Batch!$C$65:$Q$65,3*(M$6-1)+M$7)</f>
        <v>133.311744712704</v>
      </c>
      <c r="N61" s="98" t="n">
        <f aca="false">INDEX(Perf_Batch!$C$65:$Q$65,3*(N$6-1)+N$7)</f>
        <v>521.0612736</v>
      </c>
      <c r="O61" s="98" t="n">
        <f aca="false">INDEX(Perf_Batch!$C$65:$Q$65,3*(O$6-1)+O$7)</f>
        <v>133.311744712704</v>
      </c>
      <c r="P61" s="98" t="n">
        <f aca="false">INDEX(Perf_Batch!$C$65:$Q$65,3*(P$6-1)+P$7)</f>
        <v>521.0612736</v>
      </c>
      <c r="Q61" s="98" t="n">
        <f aca="false">INDEX(Perf_Batch!$C$65:$Q$65,3*(Q$6-1)+Q$7)</f>
        <v>133.311744712704</v>
      </c>
      <c r="R61" s="98" t="n">
        <f aca="false">INDEX(Perf_Batch!$C$65:$Q$65,3*(R$6-1)+R$7)</f>
        <v>521.0612736</v>
      </c>
      <c r="S61" s="98" t="n">
        <f aca="false">INDEX(Perf_Batch!$C$65:$Q$65,3*(S$6-1)+S$7)</f>
        <v>133.311744712704</v>
      </c>
      <c r="T61" s="98" t="n">
        <f aca="false">INDEX(Perf_Batch!$C$65:$Q$65,3*(T$6-1)+T$7)</f>
        <v>521.0612736</v>
      </c>
      <c r="U61" s="98" t="n">
        <f aca="false">INDEX(Perf_Batch!$C$65:$Q$65,3*(U$6-1)+U$7)</f>
        <v>133.311744712704</v>
      </c>
      <c r="V61" s="98" t="n">
        <f aca="false">INDEX(Perf_Batch!$C$65:$Q$65,3*(V$6-1)+V$7)</f>
        <v>521.0612736</v>
      </c>
      <c r="W61" s="146" t="n">
        <f aca="false">Perf_Batch!R65</f>
        <v>133.311744712704</v>
      </c>
      <c r="X61" s="146" t="n">
        <f aca="false">Perf_Batch!S65</f>
        <v>521.0612736</v>
      </c>
      <c r="Y61" s="98" t="n">
        <f aca="false">INDEX(Perf_Batch!$C$65:$Q$65,3*(Y$6-1)+Y$7)</f>
        <v>133.311744712704</v>
      </c>
      <c r="Z61" s="98" t="n">
        <f aca="false">INDEX(Perf_Batch!$C$65:$Q$65,3*(Z$6-1)+Z$7)</f>
        <v>521.0612736</v>
      </c>
      <c r="AA61" s="98" t="n">
        <f aca="false">INDEX(Perf_Batch!$C$65:$Q$65,3*(AA$6-1)+AA$7)</f>
        <v>133.311744712704</v>
      </c>
      <c r="AB61" s="98" t="n">
        <f aca="false">INDEX(Perf_Batch!$C$65:$Q$65,3*(AB$6-1)+AB$7)</f>
        <v>521.0612736</v>
      </c>
      <c r="AC61" s="98" t="n">
        <f aca="false">INDEX(Perf_Batch!$C$65:$Q$65,3*(AC$6-1)+AC$7)</f>
        <v>133.311744712704</v>
      </c>
      <c r="AD61" s="98" t="n">
        <f aca="false">INDEX(Perf_Batch!$C$65:$Q$65,3*(AD$6-1)+AD$7)</f>
        <v>521.0612736</v>
      </c>
      <c r="AE61" s="98" t="n">
        <f aca="false">INDEX(Perf_Batch!$C$65:$Q$65,3*(AE$6-1)+AE$7)</f>
        <v>133.311744712704</v>
      </c>
      <c r="AF61" s="98" t="n">
        <f aca="false">INDEX(Perf_Batch!$C$65:$Q$65,3*(AF$6-1)+AF$7)</f>
        <v>521.0612736</v>
      </c>
      <c r="AG61" s="98" t="n">
        <f aca="false">INDEX(Perf_Batch!$C$65:$Q$65,3*(AG$6-1)+AG$7)</f>
        <v>133.311744712704</v>
      </c>
      <c r="AH61" s="98" t="n">
        <f aca="false">INDEX(Perf_Batch!$C$65:$Q$65,3*(AH$6-1)+AH$7)</f>
        <v>521.0612736</v>
      </c>
    </row>
    <row r="62" customFormat="false" ht="15" hidden="false" customHeight="false" outlineLevel="0" collapsed="false">
      <c r="A62" s="62" t="s">
        <v>1200</v>
      </c>
      <c r="B62" s="62" t="s">
        <v>539</v>
      </c>
      <c r="C62" s="98" t="n">
        <f aca="false">INDEX(Perf_Batch!$C$67:$Q$67,3*(C$6-1)+C$7)</f>
        <v>131.524870545408</v>
      </c>
      <c r="D62" s="98" t="n">
        <f aca="false">INDEX(Perf_Batch!$C$67:$Q$67,3*(D$6-1)+D$7)</f>
        <v>400.2653184</v>
      </c>
      <c r="E62" s="98" t="n">
        <f aca="false">INDEX(Perf_Batch!$C$67:$Q$67,3*(E$6-1)+E$7)</f>
        <v>131.524870545408</v>
      </c>
      <c r="F62" s="98" t="n">
        <f aca="false">INDEX(Perf_Batch!$C$67:$Q$67,3*(F$6-1)+F$7)</f>
        <v>400.2653184</v>
      </c>
      <c r="G62" s="98" t="n">
        <f aca="false">INDEX(Perf_Batch!$C$67:$Q$67,3*(G$6-1)+G$7)</f>
        <v>131.524870545408</v>
      </c>
      <c r="H62" s="98" t="n">
        <f aca="false">INDEX(Perf_Batch!$C$67:$Q$67,3*(H$6-1)+H$7)</f>
        <v>400.2653184</v>
      </c>
      <c r="I62" s="98" t="n">
        <f aca="false">INDEX(Perf_Batch!$C$67:$Q$67,3*(I$6-1)+I$7)</f>
        <v>131.524870545408</v>
      </c>
      <c r="J62" s="98" t="n">
        <f aca="false">INDEX(Perf_Batch!$C$67:$Q$67,3*(J$6-1)+J$7)</f>
        <v>400.2653184</v>
      </c>
      <c r="K62" s="98" t="n">
        <f aca="false">INDEX(Perf_Batch!$C$67:$Q$67,3*(K$6-1)+K$7)</f>
        <v>131.524870545408</v>
      </c>
      <c r="L62" s="98" t="n">
        <f aca="false">INDEX(Perf_Batch!$C$67:$Q$67,3*(L$6-1)+L$7)</f>
        <v>400.2653184</v>
      </c>
      <c r="M62" s="98" t="n">
        <f aca="false">INDEX(Perf_Batch!$C$67:$Q$67,3*(M$6-1)+M$7)</f>
        <v>131.524870545408</v>
      </c>
      <c r="N62" s="98" t="n">
        <f aca="false">INDEX(Perf_Batch!$C$67:$Q$67,3*(N$6-1)+N$7)</f>
        <v>400.2653184</v>
      </c>
      <c r="O62" s="98" t="n">
        <f aca="false">INDEX(Perf_Batch!$C$67:$Q$67,3*(O$6-1)+O$7)</f>
        <v>131.524870545408</v>
      </c>
      <c r="P62" s="98" t="n">
        <f aca="false">INDEX(Perf_Batch!$C$67:$Q$67,3*(P$6-1)+P$7)</f>
        <v>400.2653184</v>
      </c>
      <c r="Q62" s="98" t="n">
        <f aca="false">INDEX(Perf_Batch!$C$67:$Q$67,3*(Q$6-1)+Q$7)</f>
        <v>131.524870545408</v>
      </c>
      <c r="R62" s="98" t="n">
        <f aca="false">INDEX(Perf_Batch!$C$67:$Q$67,3*(R$6-1)+R$7)</f>
        <v>400.2653184</v>
      </c>
      <c r="S62" s="98" t="n">
        <f aca="false">INDEX(Perf_Batch!$C$67:$Q$67,3*(S$6-1)+S$7)</f>
        <v>131.524870545408</v>
      </c>
      <c r="T62" s="98" t="n">
        <f aca="false">INDEX(Perf_Batch!$C$67:$Q$67,3*(T$6-1)+T$7)</f>
        <v>400.2653184</v>
      </c>
      <c r="U62" s="98" t="n">
        <f aca="false">INDEX(Perf_Batch!$C$67:$Q$67,3*(U$6-1)+U$7)</f>
        <v>131.524870545408</v>
      </c>
      <c r="V62" s="98" t="n">
        <f aca="false">INDEX(Perf_Batch!$C$67:$Q$67,3*(V$6-1)+V$7)</f>
        <v>400.2653184</v>
      </c>
      <c r="W62" s="146" t="n">
        <f aca="false">Perf_Batch!R67</f>
        <v>131.524870545408</v>
      </c>
      <c r="X62" s="146" t="n">
        <f aca="false">Perf_Batch!S67</f>
        <v>400.2653184</v>
      </c>
      <c r="Y62" s="98" t="n">
        <f aca="false">INDEX(Perf_Batch!$C$67:$Q$67,3*(Y$6-1)+Y$7)</f>
        <v>131.524870545408</v>
      </c>
      <c r="Z62" s="98" t="n">
        <f aca="false">INDEX(Perf_Batch!$C$67:$Q$67,3*(Z$6-1)+Z$7)</f>
        <v>400.2653184</v>
      </c>
      <c r="AA62" s="98" t="n">
        <f aca="false">INDEX(Perf_Batch!$C$67:$Q$67,3*(AA$6-1)+AA$7)</f>
        <v>131.524870545408</v>
      </c>
      <c r="AB62" s="98" t="n">
        <f aca="false">INDEX(Perf_Batch!$C$67:$Q$67,3*(AB$6-1)+AB$7)</f>
        <v>400.2653184</v>
      </c>
      <c r="AC62" s="98" t="n">
        <f aca="false">INDEX(Perf_Batch!$C$67:$Q$67,3*(AC$6-1)+AC$7)</f>
        <v>131.524870545408</v>
      </c>
      <c r="AD62" s="98" t="n">
        <f aca="false">INDEX(Perf_Batch!$C$67:$Q$67,3*(AD$6-1)+AD$7)</f>
        <v>400.2653184</v>
      </c>
      <c r="AE62" s="98" t="n">
        <f aca="false">INDEX(Perf_Batch!$C$67:$Q$67,3*(AE$6-1)+AE$7)</f>
        <v>131.524870545408</v>
      </c>
      <c r="AF62" s="98" t="n">
        <f aca="false">INDEX(Perf_Batch!$C$67:$Q$67,3*(AF$6-1)+AF$7)</f>
        <v>400.2653184</v>
      </c>
      <c r="AG62" s="98" t="n">
        <f aca="false">INDEX(Perf_Batch!$C$67:$Q$67,3*(AG$6-1)+AG$7)</f>
        <v>131.524870545408</v>
      </c>
      <c r="AH62" s="98" t="n">
        <f aca="false">INDEX(Perf_Batch!$C$67:$Q$67,3*(AH$6-1)+AH$7)</f>
        <v>400.2653184</v>
      </c>
    </row>
    <row r="63" customFormat="false" ht="15" hidden="false" customHeight="false" outlineLevel="0" collapsed="false">
      <c r="A63" s="62" t="s">
        <v>1201</v>
      </c>
      <c r="B63" s="62" t="s">
        <v>118</v>
      </c>
      <c r="C63" s="97" t="n">
        <f aca="false">Tech_Registry!$E$28</f>
        <v>1</v>
      </c>
      <c r="D63" s="97" t="n">
        <f aca="false">Tech_Registry!$E$28</f>
        <v>1</v>
      </c>
      <c r="E63" s="97" t="n">
        <f aca="false">Tech_Registry!$E$28</f>
        <v>1</v>
      </c>
      <c r="F63" s="97" t="n">
        <f aca="false">Tech_Registry!$E$28</f>
        <v>1</v>
      </c>
      <c r="G63" s="97" t="n">
        <f aca="false">Tech_Registry!$E$28</f>
        <v>1</v>
      </c>
      <c r="H63" s="97" t="n">
        <f aca="false">Tech_Registry!$E$28</f>
        <v>1</v>
      </c>
      <c r="I63" s="97" t="n">
        <f aca="false">Tech_Registry!$E$28</f>
        <v>1</v>
      </c>
      <c r="J63" s="97" t="n">
        <f aca="false">Tech_Registry!$E$28</f>
        <v>1</v>
      </c>
      <c r="K63" s="97" t="n">
        <f aca="false">Tech_Registry!$E$28</f>
        <v>1</v>
      </c>
      <c r="L63" s="97" t="n">
        <f aca="false">Tech_Registry!$E$28</f>
        <v>1</v>
      </c>
      <c r="M63" s="97" t="n">
        <f aca="false">Tech_Registry!$E$28</f>
        <v>1</v>
      </c>
      <c r="N63" s="97" t="n">
        <f aca="false">Tech_Registry!$E$28</f>
        <v>1</v>
      </c>
      <c r="O63" s="97" t="n">
        <f aca="false">Tech_Registry!$E$28</f>
        <v>1</v>
      </c>
      <c r="P63" s="97" t="n">
        <f aca="false">Tech_Registry!$E$28</f>
        <v>1</v>
      </c>
      <c r="Q63" s="97" t="n">
        <f aca="false">Tech_Registry!$E$28</f>
        <v>1</v>
      </c>
      <c r="R63" s="97" t="n">
        <f aca="false">Tech_Registry!$E$28</f>
        <v>1</v>
      </c>
      <c r="S63" s="97" t="n">
        <f aca="false">Tech_Registry!$E$28</f>
        <v>1</v>
      </c>
      <c r="T63" s="97" t="n">
        <f aca="false">Tech_Registry!$E$28</f>
        <v>1</v>
      </c>
      <c r="U63" s="97" t="n">
        <f aca="false">Tech_Registry!$E$28</f>
        <v>1</v>
      </c>
      <c r="V63" s="97" t="n">
        <f aca="false">Tech_Registry!$E$28</f>
        <v>1</v>
      </c>
      <c r="W63" s="97" t="n">
        <f aca="false">Tech_Registry!$E$28</f>
        <v>1</v>
      </c>
      <c r="X63" s="97" t="n">
        <f aca="false">Tech_Registry!$E$28</f>
        <v>1</v>
      </c>
      <c r="Y63" s="97" t="n">
        <f aca="false">Tech_Registry!$E$28</f>
        <v>1</v>
      </c>
      <c r="Z63" s="97" t="n">
        <f aca="false">Tech_Registry!$E$28</f>
        <v>1</v>
      </c>
      <c r="AA63" s="97" t="n">
        <f aca="false">Tech_Registry!$E$28</f>
        <v>1</v>
      </c>
      <c r="AB63" s="97" t="n">
        <f aca="false">Tech_Registry!$E$28</f>
        <v>1</v>
      </c>
      <c r="AC63" s="97" t="n">
        <f aca="false">Tech_Registry!$E$28</f>
        <v>1</v>
      </c>
      <c r="AD63" s="97" t="n">
        <f aca="false">Tech_Registry!$E$28</f>
        <v>1</v>
      </c>
      <c r="AE63" s="97" t="n">
        <f aca="false">Tech_Registry!$E$28</f>
        <v>1</v>
      </c>
      <c r="AF63" s="97" t="n">
        <f aca="false">Tech_Registry!$E$28</f>
        <v>1</v>
      </c>
      <c r="AG63" s="97" t="n">
        <f aca="false">Tech_Registry!$E$28</f>
        <v>1</v>
      </c>
      <c r="AH63" s="97" t="n">
        <f aca="false">Tech_Registry!$E$28</f>
        <v>1</v>
      </c>
    </row>
    <row r="64" customFormat="false" ht="15" hidden="false" customHeight="false" outlineLevel="0" collapsed="false">
      <c r="A64" s="62" t="s">
        <v>1202</v>
      </c>
      <c r="B64" s="62" t="s">
        <v>113</v>
      </c>
      <c r="C64" s="65" t="n">
        <f aca="false">Train_In!$C$11*C63</f>
        <v>0.85</v>
      </c>
      <c r="D64" s="65" t="n">
        <f aca="false">Train_In!$C$11*D63</f>
        <v>0.85</v>
      </c>
      <c r="E64" s="65" t="n">
        <f aca="false">Train_In!$C$11*E63</f>
        <v>0.85</v>
      </c>
      <c r="F64" s="65" t="n">
        <f aca="false">Train_In!$C$11*F63</f>
        <v>0.85</v>
      </c>
      <c r="G64" s="65" t="n">
        <f aca="false">Train_In!$C$11*G63</f>
        <v>0.85</v>
      </c>
      <c r="H64" s="65" t="n">
        <f aca="false">Train_In!$C$11*H63</f>
        <v>0.85</v>
      </c>
      <c r="I64" s="65" t="n">
        <f aca="false">Train_In!$C$11*I63</f>
        <v>0.85</v>
      </c>
      <c r="J64" s="65" t="n">
        <f aca="false">Train_In!$C$11*J63</f>
        <v>0.85</v>
      </c>
      <c r="K64" s="65" t="n">
        <f aca="false">Train_In!$C$11*K63</f>
        <v>0.85</v>
      </c>
      <c r="L64" s="65" t="n">
        <f aca="false">Train_In!$C$11*L63</f>
        <v>0.85</v>
      </c>
      <c r="M64" s="65" t="n">
        <f aca="false">Train_In!$C$11*M63</f>
        <v>0.85</v>
      </c>
      <c r="N64" s="65" t="n">
        <f aca="false">Train_In!$C$11*N63</f>
        <v>0.85</v>
      </c>
      <c r="O64" s="65" t="n">
        <f aca="false">Train_In!$C$11*O63</f>
        <v>0.85</v>
      </c>
      <c r="P64" s="65" t="n">
        <f aca="false">Train_In!$C$11*P63</f>
        <v>0.85</v>
      </c>
      <c r="Q64" s="65" t="n">
        <f aca="false">Train_In!$C$11*Q63</f>
        <v>0.85</v>
      </c>
      <c r="R64" s="65" t="n">
        <f aca="false">Train_In!$C$11*R63</f>
        <v>0.85</v>
      </c>
      <c r="S64" s="80" t="n">
        <v>0.6</v>
      </c>
      <c r="T64" s="80" t="n">
        <v>0.6</v>
      </c>
      <c r="U64" s="80" t="n">
        <v>0.95</v>
      </c>
      <c r="V64" s="80" t="n">
        <v>0.95</v>
      </c>
      <c r="W64" s="65" t="n">
        <f aca="false">Train_In!$C$11*W63</f>
        <v>0.85</v>
      </c>
      <c r="X64" s="65" t="n">
        <f aca="false">Train_In!$C$11*X63</f>
        <v>0.85</v>
      </c>
      <c r="Y64" s="65" t="n">
        <f aca="false">Train_In!$C$11*Y63</f>
        <v>0.85</v>
      </c>
      <c r="Z64" s="65" t="n">
        <f aca="false">Train_In!$C$11*Z63</f>
        <v>0.85</v>
      </c>
      <c r="AA64" s="65" t="n">
        <f aca="false">Train_In!$C$11*AA63</f>
        <v>0.85</v>
      </c>
      <c r="AB64" s="65" t="n">
        <f aca="false">Train_In!$C$11*AB63</f>
        <v>0.85</v>
      </c>
      <c r="AC64" s="65" t="n">
        <f aca="false">Train_In!$C$11*AC63</f>
        <v>0.85</v>
      </c>
      <c r="AD64" s="65" t="n">
        <f aca="false">Train_In!$C$11*AD63</f>
        <v>0.85</v>
      </c>
      <c r="AE64" s="65" t="n">
        <f aca="false">Train_In!$C$11*AE63</f>
        <v>0.85</v>
      </c>
      <c r="AF64" s="65" t="n">
        <f aca="false">Train_In!$C$11*AF63</f>
        <v>0.85</v>
      </c>
      <c r="AG64" s="65" t="n">
        <f aca="false">Train_In!$C$11*AG63</f>
        <v>0.85</v>
      </c>
      <c r="AH64" s="65" t="n">
        <f aca="false">Train_In!$C$11*AH63</f>
        <v>0.85</v>
      </c>
    </row>
    <row r="65" customFormat="false" ht="15" hidden="false" customHeight="false" outlineLevel="0" collapsed="false">
      <c r="A65" s="62" t="s">
        <v>1203</v>
      </c>
      <c r="B65" s="62" t="s">
        <v>1180</v>
      </c>
      <c r="C65" s="68" t="n">
        <f aca="false">IF(AND(ISNUMBER(C59)),(C53*1000000*C59+C58*1000000*C60)/3600/C64,"SLO 不可達")</f>
        <v>192233.176009909</v>
      </c>
      <c r="D65" s="68" t="n">
        <f aca="false">IF(AND(ISNUMBER(D59)),(D53*1000000*D59+D58*1000000*D60)/3600/D64,"SLO 不可達")</f>
        <v>3332012.23278618</v>
      </c>
      <c r="E65" s="68" t="n">
        <f aca="false">IF(AND(ISNUMBER(E59)),(E53*1000000*E59+E58*1000000*E60)/3600/E64,"SLO 不可達")</f>
        <v>192233.176009909</v>
      </c>
      <c r="F65" s="68" t="n">
        <f aca="false">IF(AND(ISNUMBER(F59)),(F53*1000000*F59+F58*1000000*F60)/3600/F64,"SLO 不可達")</f>
        <v>3332012.23278618</v>
      </c>
      <c r="G65" s="68" t="n">
        <f aca="false">IF(AND(ISNUMBER(G59)),(G53*1000000*G59+G58*1000000*G60)/3600/G64,"SLO 不可達")</f>
        <v>192233.176009909</v>
      </c>
      <c r="H65" s="68" t="n">
        <f aca="false">IF(AND(ISNUMBER(H59)),(H53*1000000*H59+H58*1000000*H60)/3600/H64,"SLO 不可達")</f>
        <v>3332012.23278618</v>
      </c>
      <c r="I65" s="68" t="n">
        <f aca="false">IF(AND(ISNUMBER(I59)),(I53*1000000*I59+I58*1000000*I60)/3600/I64,"SLO 不可達")</f>
        <v>192233.176009909</v>
      </c>
      <c r="J65" s="68" t="n">
        <f aca="false">IF(AND(ISNUMBER(J59)),(J53*1000000*J59+J58*1000000*J60)/3600/J64,"SLO 不可達")</f>
        <v>3332012.23278618</v>
      </c>
      <c r="K65" s="68" t="n">
        <f aca="false">IF(AND(ISNUMBER(K59)),(K53*1000000*K59+K58*1000000*K60)/3600/K64,"SLO 不可達")</f>
        <v>192233.176009909</v>
      </c>
      <c r="L65" s="68" t="n">
        <f aca="false">IF(AND(ISNUMBER(L59)),(L53*1000000*L59+L58*1000000*L60)/3600/L64,"SLO 不可達")</f>
        <v>3332012.23278618</v>
      </c>
      <c r="M65" s="68" t="n">
        <f aca="false">IF(AND(ISNUMBER(M59)),(M53*1000000*M59+M58*1000000*M60)/3600/M64,"SLO 不可達")</f>
        <v>192233.176009909</v>
      </c>
      <c r="N65" s="68" t="n">
        <f aca="false">IF(AND(ISNUMBER(N59)),(N53*1000000*N59+N58*1000000*N60)/3600/N64,"SLO 不可達")</f>
        <v>3332012.23278618</v>
      </c>
      <c r="O65" s="68" t="n">
        <f aca="false">IF(AND(ISNUMBER(O59)),(O53*1000000*O59+O58*1000000*O60)/3600/O64,"SLO 不可達")</f>
        <v>57669.9528029726</v>
      </c>
      <c r="P65" s="68" t="n">
        <f aca="false">IF(AND(ISNUMBER(P59)),(P53*1000000*P59+P58*1000000*P60)/3600/P64,"SLO 不可達")</f>
        <v>999603.669835855</v>
      </c>
      <c r="Q65" s="68" t="n">
        <f aca="false">IF(AND(ISNUMBER(Q59)),(Q53*1000000*Q59+Q58*1000000*Q60)/3600/Q64,"SLO 不可達")</f>
        <v>576699.528029727</v>
      </c>
      <c r="R65" s="68" t="n">
        <f aca="false">IF(AND(ISNUMBER(R59)),(R53*1000000*R59+R58*1000000*R60)/3600/R64,"SLO 不可達")</f>
        <v>9996036.69835855</v>
      </c>
      <c r="S65" s="68" t="n">
        <f aca="false">IF(AND(ISNUMBER(S59)),(S53*1000000*S59+S58*1000000*S60)/3600/S64,"SLO 不可達")</f>
        <v>272330.332680704</v>
      </c>
      <c r="T65" s="68" t="n">
        <f aca="false">IF(AND(ISNUMBER(T59)),(T53*1000000*T59+T58*1000000*T60)/3600/T64,"SLO 不可達")</f>
        <v>4720350.66311376</v>
      </c>
      <c r="U65" s="68" t="n">
        <f aca="false">IF(AND(ISNUMBER(U59)),(U53*1000000*U59+U58*1000000*U60)/3600/U64,"SLO 不可達")</f>
        <v>171998.104850971</v>
      </c>
      <c r="V65" s="68" t="n">
        <f aca="false">IF(AND(ISNUMBER(V59)),(V53*1000000*V59+V58*1000000*V60)/3600/V64,"SLO 不可達")</f>
        <v>2981274.10301922</v>
      </c>
      <c r="W65" s="68" t="n">
        <f aca="false">IF(AND(ISNUMBER(W59)),(W53*1000000*W59+W58*1000000*W60)/3600/W64,"SLO 不可達")</f>
        <v>290998.167186332</v>
      </c>
      <c r="X65" s="68" t="n">
        <f aca="false">IF(AND(ISNUMBER(X59)),(X53*1000000*X59+X58*1000000*X60)/3600/X64,"SLO 不可達")</f>
        <v>5069926.93360148</v>
      </c>
      <c r="Y65" s="68" t="n">
        <f aca="false">IF(AND(ISNUMBER(Y59)),(Y53*1000000*Y59+Y58*1000000*Y60)/3600/Y64,"SLO 不可達")</f>
        <v>192233.176009909</v>
      </c>
      <c r="Z65" s="68" t="n">
        <f aca="false">IF(AND(ISNUMBER(Z59)),(Z53*1000000*Z59+Z58*1000000*Z60)/3600/Z64,"SLO 不可達")</f>
        <v>3332012.23278618</v>
      </c>
      <c r="AA65" s="68" t="n">
        <f aca="false">IF(AND(ISNUMBER(AA59)),(AA53*1000000*AA59+AA58*1000000*AA60)/3600/AA64,"SLO 不可達")</f>
        <v>192233.176009909</v>
      </c>
      <c r="AB65" s="68" t="n">
        <f aca="false">IF(AND(ISNUMBER(AB59)),(AB53*1000000*AB59+AB58*1000000*AB60)/3600/AB64,"SLO 不可達")</f>
        <v>3332012.23278618</v>
      </c>
      <c r="AC65" s="68" t="n">
        <f aca="false">IF(AND(ISNUMBER(AC59)),(AC53*1000000*AC59+AC58*1000000*AC60)/3600/AC64,"SLO 不可達")</f>
        <v>192233.176009909</v>
      </c>
      <c r="AD65" s="68" t="n">
        <f aca="false">IF(AND(ISNUMBER(AD59)),(AD53*1000000*AD59+AD58*1000000*AD60)/3600/AD64,"SLO 不可達")</f>
        <v>3332012.23278618</v>
      </c>
      <c r="AE65" s="68" t="n">
        <f aca="false">IF(AND(ISNUMBER(AE59)),(AE53*1000000*AE59+AE58*1000000*AE60)/3600/AE64,"SLO 不可達")</f>
        <v>192233.176009909</v>
      </c>
      <c r="AF65" s="68" t="n">
        <f aca="false">IF(AND(ISNUMBER(AF59)),(AF53*1000000*AF59+AF58*1000000*AF60)/3600/AF64,"SLO 不可達")</f>
        <v>3332012.23278618</v>
      </c>
      <c r="AG65" s="68" t="n">
        <f aca="false">IF(AND(ISNUMBER(AG59)),(AG53*1000000*AG59+AG58*1000000*AG60)/3600/AG64,"SLO 不可達")</f>
        <v>192233.176009909</v>
      </c>
      <c r="AH65" s="68" t="n">
        <f aca="false">IF(AND(ISNUMBER(AH59)),(AH53*1000000*AH59+AH58*1000000*AH60)/3600/AH64,"SLO 不可達")</f>
        <v>3332012.23278618</v>
      </c>
    </row>
    <row r="66" customFormat="false" ht="15" hidden="false" customHeight="false" outlineLevel="0" collapsed="false">
      <c r="A66" s="62" t="s">
        <v>1204</v>
      </c>
      <c r="B66" s="62" t="s">
        <v>330</v>
      </c>
      <c r="C66" s="144" t="n">
        <f aca="false">C53*1000000000000*C61*1000000000+C58*1000000000000*C62*1000000000</f>
        <v>3.24315676724705E+023</v>
      </c>
      <c r="D66" s="144" t="n">
        <f aca="false">D53*1000000000000*D61*1000000000+D58*1000000000000*D62*1000000000</f>
        <v>5.12226782208E+024</v>
      </c>
      <c r="E66" s="144" t="n">
        <f aca="false">E53*1000000000000*E61*1000000000+E58*1000000000000*E62*1000000000</f>
        <v>3.24315676724705E+023</v>
      </c>
      <c r="F66" s="144" t="n">
        <f aca="false">F53*1000000000000*F61*1000000000+F58*1000000000000*F62*1000000000</f>
        <v>5.12226782208E+024</v>
      </c>
      <c r="G66" s="144" t="n">
        <f aca="false">G53*1000000000000*G61*1000000000+G58*1000000000000*G62*1000000000</f>
        <v>3.24315676724705E+023</v>
      </c>
      <c r="H66" s="144" t="n">
        <f aca="false">H53*1000000000000*H61*1000000000+H58*1000000000000*H62*1000000000</f>
        <v>5.12226782208E+024</v>
      </c>
      <c r="I66" s="144" t="n">
        <f aca="false">I53*1000000000000*I61*1000000000+I58*1000000000000*I62*1000000000</f>
        <v>3.24315676724705E+023</v>
      </c>
      <c r="J66" s="144" t="n">
        <f aca="false">J53*1000000000000*J61*1000000000+J58*1000000000000*J62*1000000000</f>
        <v>5.12226782208E+024</v>
      </c>
      <c r="K66" s="144" t="n">
        <f aca="false">K53*1000000000000*K61*1000000000+K58*1000000000000*K62*1000000000</f>
        <v>3.24315676724705E+023</v>
      </c>
      <c r="L66" s="144" t="n">
        <f aca="false">L53*1000000000000*L61*1000000000+L58*1000000000000*L62*1000000000</f>
        <v>5.12226782208E+024</v>
      </c>
      <c r="M66" s="144" t="n">
        <f aca="false">M53*1000000000000*M61*1000000000+M58*1000000000000*M62*1000000000</f>
        <v>3.24315676724705E+023</v>
      </c>
      <c r="N66" s="144" t="n">
        <f aca="false">N53*1000000000000*N61*1000000000+N58*1000000000000*N62*1000000000</f>
        <v>5.12226782208E+024</v>
      </c>
      <c r="O66" s="144" t="n">
        <f aca="false">O53*1000000000000*O61*1000000000+O58*1000000000000*O62*1000000000</f>
        <v>9.72947030174116E+022</v>
      </c>
      <c r="P66" s="144" t="n">
        <f aca="false">P53*1000000000000*P61*1000000000+P58*1000000000000*P62*1000000000</f>
        <v>1.536680346624E+024</v>
      </c>
      <c r="Q66" s="144" t="n">
        <f aca="false">Q53*1000000000000*Q61*1000000000+Q58*1000000000000*Q62*1000000000</f>
        <v>9.72947030174116E+023</v>
      </c>
      <c r="R66" s="144" t="n">
        <f aca="false">R53*1000000000000*R61*1000000000+R58*1000000000000*R62*1000000000</f>
        <v>1.536680346624E+025</v>
      </c>
      <c r="S66" s="144" t="n">
        <f aca="false">S53*1000000000000*S61*1000000000+S58*1000000000000*S62*1000000000</f>
        <v>3.24315676724705E+023</v>
      </c>
      <c r="T66" s="144" t="n">
        <f aca="false">T53*1000000000000*T61*1000000000+T58*1000000000000*T62*1000000000</f>
        <v>5.12226782208E+024</v>
      </c>
      <c r="U66" s="144" t="n">
        <f aca="false">U53*1000000000000*U61*1000000000+U58*1000000000000*U62*1000000000</f>
        <v>3.24315676724705E+023</v>
      </c>
      <c r="V66" s="144" t="n">
        <f aca="false">V53*1000000000000*V61*1000000000+V58*1000000000000*V62*1000000000</f>
        <v>5.12226782208E+024</v>
      </c>
      <c r="W66" s="144" t="n">
        <f aca="false">W53*1000000000000*W61*1000000000+W58*1000000000000*W62*1000000000</f>
        <v>3.24315676724705E+023</v>
      </c>
      <c r="X66" s="144" t="n">
        <f aca="false">X53*1000000000000*X61*1000000000+X58*1000000000000*X62*1000000000</f>
        <v>5.12226782208E+024</v>
      </c>
      <c r="Y66" s="144" t="n">
        <f aca="false">Y53*1000000000000*Y61*1000000000+Y58*1000000000000*Y62*1000000000</f>
        <v>3.24315676724705E+023</v>
      </c>
      <c r="Z66" s="144" t="n">
        <f aca="false">Z53*1000000000000*Z61*1000000000+Z58*1000000000000*Z62*1000000000</f>
        <v>5.12226782208E+024</v>
      </c>
      <c r="AA66" s="144" t="n">
        <f aca="false">AA53*1000000000000*AA61*1000000000+AA58*1000000000000*AA62*1000000000</f>
        <v>3.24315676724705E+023</v>
      </c>
      <c r="AB66" s="144" t="n">
        <f aca="false">AB53*1000000000000*AB61*1000000000+AB58*1000000000000*AB62*1000000000</f>
        <v>5.12226782208E+024</v>
      </c>
      <c r="AC66" s="144" t="n">
        <f aca="false">AC53*1000000000000*AC61*1000000000+AC58*1000000000000*AC62*1000000000</f>
        <v>3.24315676724705E+023</v>
      </c>
      <c r="AD66" s="144" t="n">
        <f aca="false">AD53*1000000000000*AD61*1000000000+AD58*1000000000000*AD62*1000000000</f>
        <v>5.12226782208E+024</v>
      </c>
      <c r="AE66" s="144" t="n">
        <f aca="false">AE53*1000000000000*AE61*1000000000+AE58*1000000000000*AE62*1000000000</f>
        <v>3.24315676724705E+023</v>
      </c>
      <c r="AF66" s="144" t="n">
        <f aca="false">AF53*1000000000000*AF61*1000000000+AF58*1000000000000*AF62*1000000000</f>
        <v>5.12226782208E+024</v>
      </c>
      <c r="AG66" s="144" t="n">
        <f aca="false">AG53*1000000000000*AG61*1000000000+AG58*1000000000000*AG62*1000000000</f>
        <v>3.24315676724705E+023</v>
      </c>
      <c r="AH66" s="144" t="n">
        <f aca="false">AH53*1000000000000*AH61*1000000000+AH58*1000000000000*AH62*1000000000</f>
        <v>5.12226782208E+024</v>
      </c>
    </row>
    <row r="67" customFormat="false" ht="15" hidden="false" customHeight="false" outlineLevel="0" collapsed="false">
      <c r="A67" s="62" t="s">
        <v>1205</v>
      </c>
      <c r="B67" s="62" t="s">
        <v>1103</v>
      </c>
      <c r="C67" s="75" t="n">
        <f aca="false">C56*(C54+C55)/1000000000000</f>
        <v>3.54</v>
      </c>
      <c r="D67" s="75" t="n">
        <f aca="false">D56*(D54+D55)/1000000000000</f>
        <v>14.4</v>
      </c>
      <c r="E67" s="75" t="n">
        <f aca="false">E56*(E54+E55)/1000000000000</f>
        <v>3.54</v>
      </c>
      <c r="F67" s="75" t="n">
        <f aca="false">F56*(F54+F55)/1000000000000</f>
        <v>14.4</v>
      </c>
      <c r="G67" s="75" t="n">
        <f aca="false">G56*(G54+G55)/1000000000000</f>
        <v>3.54</v>
      </c>
      <c r="H67" s="75" t="n">
        <f aca="false">H56*(H54+H55)/1000000000000</f>
        <v>14.4</v>
      </c>
      <c r="I67" s="75" t="n">
        <f aca="false">I56*(I54+I55)/1000000000000</f>
        <v>3.54</v>
      </c>
      <c r="J67" s="75" t="n">
        <f aca="false">J56*(J54+J55)/1000000000000</f>
        <v>14.4</v>
      </c>
      <c r="K67" s="75" t="n">
        <f aca="false">K56*(K54+K55)/1000000000000</f>
        <v>3.54</v>
      </c>
      <c r="L67" s="75" t="n">
        <f aca="false">L56*(L54+L55)/1000000000000</f>
        <v>14.4</v>
      </c>
      <c r="M67" s="75" t="n">
        <f aca="false">M56*(M54+M55)/1000000000000</f>
        <v>3.54</v>
      </c>
      <c r="N67" s="75" t="n">
        <f aca="false">N56*(N54+N55)/1000000000000</f>
        <v>14.4</v>
      </c>
      <c r="O67" s="75" t="n">
        <f aca="false">O56*(O54+O55)/1000000000000</f>
        <v>1.062</v>
      </c>
      <c r="P67" s="75" t="n">
        <f aca="false">P56*(P54+P55)/1000000000000</f>
        <v>4.32</v>
      </c>
      <c r="Q67" s="75" t="n">
        <f aca="false">Q56*(Q54+Q55)/1000000000000</f>
        <v>10.62</v>
      </c>
      <c r="R67" s="75" t="n">
        <f aca="false">R56*(R54+R55)/1000000000000</f>
        <v>43.2</v>
      </c>
      <c r="S67" s="75" t="n">
        <f aca="false">S56*(S54+S55)/1000000000000</f>
        <v>3.54</v>
      </c>
      <c r="T67" s="75" t="n">
        <f aca="false">T56*(T54+T55)/1000000000000</f>
        <v>14.4</v>
      </c>
      <c r="U67" s="75" t="n">
        <f aca="false">U56*(U54+U55)/1000000000000</f>
        <v>3.54</v>
      </c>
      <c r="V67" s="75" t="n">
        <f aca="false">V56*(V54+V55)/1000000000000</f>
        <v>14.4</v>
      </c>
      <c r="W67" s="75" t="n">
        <f aca="false">W56*(W54+W55)/1000000000000</f>
        <v>3.54</v>
      </c>
      <c r="X67" s="75" t="n">
        <f aca="false">X56*(X54+X55)/1000000000000</f>
        <v>14.4</v>
      </c>
      <c r="Y67" s="75" t="n">
        <f aca="false">Y56*(Y54+Y55)/1000000000000</f>
        <v>3.54</v>
      </c>
      <c r="Z67" s="75" t="n">
        <f aca="false">Z56*(Z54+Z55)/1000000000000</f>
        <v>14.4</v>
      </c>
      <c r="AA67" s="75" t="n">
        <f aca="false">AA56*(AA54+AA55)/1000000000000</f>
        <v>3.54</v>
      </c>
      <c r="AB67" s="75" t="n">
        <f aca="false">AB56*(AB54+AB55)/1000000000000</f>
        <v>14.4</v>
      </c>
      <c r="AC67" s="75" t="n">
        <f aca="false">AC56*(AC54+AC55)/1000000000000</f>
        <v>3.54</v>
      </c>
      <c r="AD67" s="75" t="n">
        <f aca="false">AD56*(AD54+AD55)/1000000000000</f>
        <v>14.4</v>
      </c>
      <c r="AE67" s="75" t="n">
        <f aca="false">AE56*(AE54+AE55)/1000000000000</f>
        <v>3.54</v>
      </c>
      <c r="AF67" s="75" t="n">
        <f aca="false">AF56*(AF54+AF55)/1000000000000</f>
        <v>14.4</v>
      </c>
      <c r="AG67" s="75" t="n">
        <f aca="false">AG56*(AG54+AG55)/1000000000000</f>
        <v>3.54</v>
      </c>
      <c r="AH67" s="75" t="n">
        <f aca="false">AH56*(AH54+AH55)/1000000000000</f>
        <v>14.4</v>
      </c>
    </row>
    <row r="68" customFormat="false" ht="15" hidden="false" customHeight="false" outlineLevel="0" collapsed="false">
      <c r="A68" s="62" t="s">
        <v>1206</v>
      </c>
      <c r="B68" s="62" t="s">
        <v>308</v>
      </c>
      <c r="C68" s="68" t="n">
        <f aca="false">C24*IF(C25=0,(C54+C55)/2,MIN((C54+C55)/2,C25))+(1-C24)*((C54+C55)/2/C26+C27)</f>
        <v>2192</v>
      </c>
      <c r="D68" s="68" t="n">
        <f aca="false">D24*IF(D25=0,(D54+D55)/2,MIN((D54+D55)/2,D25))+(1-D24)*((D54+D55)/2/D26+D27)</f>
        <v>24576</v>
      </c>
      <c r="E68" s="68" t="n">
        <f aca="false">E24*IF(E25=0,(E54+E55)/2,MIN((E54+E55)/2,E25))+(1-E24)*((E54+E55)/2/E26+E27)</f>
        <v>2192</v>
      </c>
      <c r="F68" s="68" t="n">
        <f aca="false">F24*IF(F25=0,(F54+F55)/2,MIN((F54+F55)/2,F25))+(1-F24)*((F54+F55)/2/F26+F27)</f>
        <v>24576</v>
      </c>
      <c r="G68" s="68" t="n">
        <f aca="false">G24*IF(G25=0,(G54+G55)/2,MIN((G54+G55)/2,G25))+(1-G24)*((G54+G55)/2/G26+G27)</f>
        <v>2192</v>
      </c>
      <c r="H68" s="68" t="n">
        <f aca="false">H24*IF(H25=0,(H54+H55)/2,MIN((H54+H55)/2,H25))+(1-H24)*((H54+H55)/2/H26+H27)</f>
        <v>24576</v>
      </c>
      <c r="I68" s="68" t="n">
        <f aca="false">I24*IF(I25=0,(I54+I55)/2,MIN((I54+I55)/2,I25))+(1-I24)*((I54+I55)/2/I26+I27)</f>
        <v>2192</v>
      </c>
      <c r="J68" s="68" t="n">
        <f aca="false">J24*IF(J25=0,(J54+J55)/2,MIN((J54+J55)/2,J25))+(1-J24)*((J54+J55)/2/J26+J27)</f>
        <v>24576</v>
      </c>
      <c r="K68" s="68" t="n">
        <f aca="false">K24*IF(K25=0,(K54+K55)/2,MIN((K54+K55)/2,K25))+(1-K24)*((K54+K55)/2/K26+K27)</f>
        <v>2192</v>
      </c>
      <c r="L68" s="68" t="n">
        <f aca="false">L24*IF(L25=0,(L54+L55)/2,MIN((L54+L55)/2,L25))+(1-L24)*((L54+L55)/2/L26+L27)</f>
        <v>24576</v>
      </c>
      <c r="M68" s="68" t="n">
        <f aca="false">M24*IF(M25=0,(M54+M55)/2,MIN((M54+M55)/2,M25))+(1-M24)*((M54+M55)/2/M26+M27)</f>
        <v>2192</v>
      </c>
      <c r="N68" s="68" t="n">
        <f aca="false">N24*IF(N25=0,(N54+N55)/2,MIN((N54+N55)/2,N25))+(1-N24)*((N54+N55)/2/N26+N27)</f>
        <v>24576</v>
      </c>
      <c r="O68" s="68" t="n">
        <f aca="false">O24*IF(O25=0,(O54+O55)/2,MIN((O54+O55)/2,O25))+(1-O24)*((O54+O55)/2/O26+O27)</f>
        <v>2192</v>
      </c>
      <c r="P68" s="68" t="n">
        <f aca="false">P24*IF(P25=0,(P54+P55)/2,MIN((P54+P55)/2,P25))+(1-P24)*((P54+P55)/2/P26+P27)</f>
        <v>24576</v>
      </c>
      <c r="Q68" s="68" t="n">
        <f aca="false">Q24*IF(Q25=0,(Q54+Q55)/2,MIN((Q54+Q55)/2,Q25))+(1-Q24)*((Q54+Q55)/2/Q26+Q27)</f>
        <v>2192</v>
      </c>
      <c r="R68" s="68" t="n">
        <f aca="false">R24*IF(R25=0,(R54+R55)/2,MIN((R54+R55)/2,R25))+(1-R24)*((R54+R55)/2/R26+R27)</f>
        <v>24576</v>
      </c>
      <c r="S68" s="68" t="n">
        <f aca="false">S24*IF(S25=0,(S54+S55)/2,MIN((S54+S55)/2,S25))+(1-S24)*((S54+S55)/2/S26+S27)</f>
        <v>2192</v>
      </c>
      <c r="T68" s="68" t="n">
        <f aca="false">T24*IF(T25=0,(T54+T55)/2,MIN((T54+T55)/2,T25))+(1-T24)*((T54+T55)/2/T26+T27)</f>
        <v>24576</v>
      </c>
      <c r="U68" s="68" t="n">
        <f aca="false">U24*IF(U25=0,(U54+U55)/2,MIN((U54+U55)/2,U25))+(1-U24)*((U54+U55)/2/U26+U27)</f>
        <v>2192</v>
      </c>
      <c r="V68" s="68" t="n">
        <f aca="false">V24*IF(V25=0,(V54+V55)/2,MIN((V54+V55)/2,V25))+(1-V24)*((V54+V55)/2/V26+V27)</f>
        <v>24576</v>
      </c>
      <c r="W68" s="68" t="n">
        <f aca="false">W24*IF(W25=0,(W54+W55)/2,MIN((W54+W55)/2,W25))+(1-W24)*((W54+W55)/2/W26+W27)</f>
        <v>2192</v>
      </c>
      <c r="X68" s="68" t="n">
        <f aca="false">X24*IF(X25=0,(X54+X55)/2,MIN((X54+X55)/2,X25))+(1-X24)*((X54+X55)/2/X26+X27)</f>
        <v>24576</v>
      </c>
      <c r="Y68" s="68" t="n">
        <f aca="false">Y24*IF(Y25=0,(Y54+Y55)/2,MIN((Y54+Y55)/2,Y25))+(1-Y24)*((Y54+Y55)/2/Y26+Y27)</f>
        <v>2192</v>
      </c>
      <c r="Z68" s="68" t="n">
        <f aca="false">Z24*IF(Z25=0,(Z54+Z55)/2,MIN((Z54+Z55)/2,Z25))+(1-Z24)*((Z54+Z55)/2/Z26+Z27)</f>
        <v>24576</v>
      </c>
      <c r="AA68" s="68" t="n">
        <f aca="false">AA24*IF(AA25=0,(AA54+AA55)/2,MIN((AA54+AA55)/2,AA25))+(1-AA24)*((AA54+AA55)/2/AA26+AA27)</f>
        <v>2192</v>
      </c>
      <c r="AB68" s="68" t="n">
        <f aca="false">AB24*IF(AB25=0,(AB54+AB55)/2,MIN((AB54+AB55)/2,AB25))+(1-AB24)*((AB54+AB55)/2/AB26+AB27)</f>
        <v>24576</v>
      </c>
      <c r="AC68" s="68" t="n">
        <f aca="false">AC24*IF(AC25=0,(AC54+AC55)/2,MIN((AC54+AC55)/2,AC25))+(1-AC24)*((AC54+AC55)/2/AC26+AC27)</f>
        <v>2192</v>
      </c>
      <c r="AD68" s="68" t="n">
        <f aca="false">AD24*IF(AD25=0,(AD54+AD55)/2,MIN((AD54+AD55)/2,AD25))+(1-AD24)*((AD54+AD55)/2/AD26+AD27)</f>
        <v>24576</v>
      </c>
      <c r="AE68" s="68" t="n">
        <f aca="false">AE24*IF(AE25=0,(AE54+AE55)/2,MIN((AE54+AE55)/2,AE25))+(1-AE24)*((AE54+AE55)/2/AE26+AE27)</f>
        <v>2192</v>
      </c>
      <c r="AF68" s="68" t="n">
        <f aca="false">AF24*IF(AF25=0,(AF54+AF55)/2,MIN((AF54+AF55)/2,AF25))+(1-AF24)*((AF54+AF55)/2/AF26+AF27)</f>
        <v>24576</v>
      </c>
      <c r="AG68" s="68" t="n">
        <f aca="false">AG24*IF(AG25=0,(AG54+AG55)/2,MIN((AG54+AG55)/2,AG25))+(1-AG24)*((AG54+AG55)/2/AG26+AG27)</f>
        <v>2192</v>
      </c>
      <c r="AH68" s="68" t="n">
        <f aca="false">AH24*IF(AH25=0,(AH54+AH55)/2,MIN((AH54+AH55)/2,AH25))+(1-AH24)*((AH54+AH55)/2/AH26+AH27)</f>
        <v>24576</v>
      </c>
    </row>
    <row r="69" customFormat="false" ht="15" hidden="false" customHeight="false" outlineLevel="0" collapsed="false">
      <c r="A69" s="62" t="s">
        <v>1207</v>
      </c>
      <c r="B69" s="62" t="s">
        <v>539</v>
      </c>
      <c r="C69" s="75" t="n">
        <f aca="false">3*(2*C22*1000000000+C23*C68)*C28/1000000000</f>
        <v>399.155395584</v>
      </c>
      <c r="D69" s="75" t="n">
        <f aca="false">3*(2*D22*1000000000+D23*D68)*D28/1000000000</f>
        <v>1442.3878656</v>
      </c>
      <c r="E69" s="75" t="n">
        <f aca="false">3*(2*E22*1000000000+E23*E68)*E28/1000000000</f>
        <v>399.155395584</v>
      </c>
      <c r="F69" s="75" t="n">
        <f aca="false">3*(2*F22*1000000000+F23*F68)*F28/1000000000</f>
        <v>1442.3878656</v>
      </c>
      <c r="G69" s="75" t="n">
        <f aca="false">3*(2*G22*1000000000+G23*G68)*G28/1000000000</f>
        <v>399.155395584</v>
      </c>
      <c r="H69" s="75" t="n">
        <f aca="false">3*(2*H22*1000000000+H23*H68)*H28/1000000000</f>
        <v>1442.3878656</v>
      </c>
      <c r="I69" s="75" t="n">
        <f aca="false">3*(2*I22*1000000000+I23*I68)*I28/1000000000</f>
        <v>399.155395584</v>
      </c>
      <c r="J69" s="75" t="n">
        <f aca="false">3*(2*J22*1000000000+J23*J68)*J28/1000000000</f>
        <v>1442.3878656</v>
      </c>
      <c r="K69" s="75" t="n">
        <f aca="false">3*(2*K22*1000000000+K23*K68)*K28/1000000000</f>
        <v>399.155395584</v>
      </c>
      <c r="L69" s="75" t="n">
        <f aca="false">3*(2*L22*1000000000+L23*L68)*L28/1000000000</f>
        <v>1442.3878656</v>
      </c>
      <c r="M69" s="75" t="n">
        <f aca="false">3*(2*M22*1000000000+M23*M68)*M28/1000000000</f>
        <v>399.155395584</v>
      </c>
      <c r="N69" s="75" t="n">
        <f aca="false">3*(2*N22*1000000000+N23*N68)*N28/1000000000</f>
        <v>1442.3878656</v>
      </c>
      <c r="O69" s="75" t="n">
        <f aca="false">3*(2*O22*1000000000+O23*O68)*O28/1000000000</f>
        <v>399.155395584</v>
      </c>
      <c r="P69" s="75" t="n">
        <f aca="false">3*(2*P22*1000000000+P23*P68)*P28/1000000000</f>
        <v>1442.3878656</v>
      </c>
      <c r="Q69" s="75" t="n">
        <f aca="false">3*(2*Q22*1000000000+Q23*Q68)*Q28/1000000000</f>
        <v>399.155395584</v>
      </c>
      <c r="R69" s="75" t="n">
        <f aca="false">3*(2*R22*1000000000+R23*R68)*R28/1000000000</f>
        <v>1442.3878656</v>
      </c>
      <c r="S69" s="75" t="n">
        <f aca="false">3*(2*S22*1000000000+S23*S68)*S28/1000000000</f>
        <v>399.155395584</v>
      </c>
      <c r="T69" s="75" t="n">
        <f aca="false">3*(2*T22*1000000000+T23*T68)*T28/1000000000</f>
        <v>1442.3878656</v>
      </c>
      <c r="U69" s="75" t="n">
        <f aca="false">3*(2*U22*1000000000+U23*U68)*U28/1000000000</f>
        <v>399.155395584</v>
      </c>
      <c r="V69" s="75" t="n">
        <f aca="false">3*(2*V22*1000000000+V23*V68)*V28/1000000000</f>
        <v>1442.3878656</v>
      </c>
      <c r="W69" s="75" t="n">
        <f aca="false">3*(2*W22*1000000000+W23*W68)*W28/1000000000</f>
        <v>399.155395584</v>
      </c>
      <c r="X69" s="75" t="n">
        <f aca="false">3*(2*X22*1000000000+X23*X68)*X28/1000000000</f>
        <v>1442.3878656</v>
      </c>
      <c r="Y69" s="75" t="n">
        <f aca="false">3*(2*Y22*1000000000+Y23*Y68)*Y28/1000000000</f>
        <v>399.155395584</v>
      </c>
      <c r="Z69" s="75" t="n">
        <f aca="false">3*(2*Z22*1000000000+Z23*Z68)*Z28/1000000000</f>
        <v>1442.3878656</v>
      </c>
      <c r="AA69" s="75" t="n">
        <f aca="false">3*(2*AA22*1000000000+AA23*AA68)*AA28/1000000000</f>
        <v>399.155395584</v>
      </c>
      <c r="AB69" s="75" t="n">
        <f aca="false">3*(2*AB22*1000000000+AB23*AB68)*AB28/1000000000</f>
        <v>1442.3878656</v>
      </c>
      <c r="AC69" s="75" t="n">
        <f aca="false">3*(2*AC22*1000000000+AC23*AC68)*AC28/1000000000</f>
        <v>399.155395584</v>
      </c>
      <c r="AD69" s="75" t="n">
        <f aca="false">3*(2*AD22*1000000000+AD23*AD68)*AD28/1000000000</f>
        <v>1442.3878656</v>
      </c>
      <c r="AE69" s="75" t="n">
        <f aca="false">3*(2*AE22*1000000000+AE23*AE68)*AE28/1000000000</f>
        <v>399.155395584</v>
      </c>
      <c r="AF69" s="75" t="n">
        <f aca="false">3*(2*AF22*1000000000+AF23*AF68)*AF28/1000000000</f>
        <v>1442.3878656</v>
      </c>
      <c r="AG69" s="75" t="n">
        <f aca="false">3*(2*AG22*1000000000+AG23*AG68)*AG28/1000000000</f>
        <v>399.155395584</v>
      </c>
      <c r="AH69" s="75" t="n">
        <f aca="false">3*(2*AH22*1000000000+AH23*AH68)*AH28/1000000000</f>
        <v>1442.3878656</v>
      </c>
    </row>
    <row r="70" customFormat="false" ht="15" hidden="false" customHeight="false" outlineLevel="0" collapsed="false">
      <c r="A70" s="62" t="s">
        <v>1208</v>
      </c>
      <c r="B70" s="62" t="s">
        <v>330</v>
      </c>
      <c r="C70" s="144" t="n">
        <f aca="false">C69*1000000000*C67*1000000000000</f>
        <v>1.41301010036736E+024</v>
      </c>
      <c r="D70" s="144" t="n">
        <f aca="false">D69*1000000000*D67*1000000000000</f>
        <v>2.077038526464E+025</v>
      </c>
      <c r="E70" s="144" t="n">
        <f aca="false">E69*1000000000*E67*1000000000000</f>
        <v>1.41301010036736E+024</v>
      </c>
      <c r="F70" s="144" t="n">
        <f aca="false">F69*1000000000*F67*1000000000000</f>
        <v>2.077038526464E+025</v>
      </c>
      <c r="G70" s="144" t="n">
        <f aca="false">G69*1000000000*G67*1000000000000</f>
        <v>1.41301010036736E+024</v>
      </c>
      <c r="H70" s="144" t="n">
        <f aca="false">H69*1000000000*H67*1000000000000</f>
        <v>2.077038526464E+025</v>
      </c>
      <c r="I70" s="144" t="n">
        <f aca="false">I69*1000000000*I67*1000000000000</f>
        <v>1.41301010036736E+024</v>
      </c>
      <c r="J70" s="144" t="n">
        <f aca="false">J69*1000000000*J67*1000000000000</f>
        <v>2.077038526464E+025</v>
      </c>
      <c r="K70" s="144" t="n">
        <f aca="false">K69*1000000000*K67*1000000000000</f>
        <v>1.41301010036736E+024</v>
      </c>
      <c r="L70" s="144" t="n">
        <f aca="false">L69*1000000000*L67*1000000000000</f>
        <v>2.077038526464E+025</v>
      </c>
      <c r="M70" s="144" t="n">
        <f aca="false">M69*1000000000*M67*1000000000000</f>
        <v>1.41301010036736E+024</v>
      </c>
      <c r="N70" s="144" t="n">
        <f aca="false">N69*1000000000*N67*1000000000000</f>
        <v>2.077038526464E+025</v>
      </c>
      <c r="O70" s="144" t="n">
        <f aca="false">O69*1000000000*O67*1000000000000</f>
        <v>4.23903030110208E+023</v>
      </c>
      <c r="P70" s="144" t="n">
        <f aca="false">P69*1000000000*P67*1000000000000</f>
        <v>6.231115579392E+024</v>
      </c>
      <c r="Q70" s="144" t="n">
        <f aca="false">Q69*1000000000*Q67*1000000000000</f>
        <v>4.23903030110208E+024</v>
      </c>
      <c r="R70" s="144" t="n">
        <f aca="false">R69*1000000000*R67*1000000000000</f>
        <v>6.231115579392E+025</v>
      </c>
      <c r="S70" s="144" t="n">
        <f aca="false">S69*1000000000*S67*1000000000000</f>
        <v>1.41301010036736E+024</v>
      </c>
      <c r="T70" s="144" t="n">
        <f aca="false">T69*1000000000*T67*1000000000000</f>
        <v>2.077038526464E+025</v>
      </c>
      <c r="U70" s="144" t="n">
        <f aca="false">U69*1000000000*U67*1000000000000</f>
        <v>1.41301010036736E+024</v>
      </c>
      <c r="V70" s="144" t="n">
        <f aca="false">V69*1000000000*V67*1000000000000</f>
        <v>2.077038526464E+025</v>
      </c>
      <c r="W70" s="144" t="n">
        <f aca="false">W69*1000000000*W67*1000000000000</f>
        <v>1.41301010036736E+024</v>
      </c>
      <c r="X70" s="144" t="n">
        <f aca="false">X69*1000000000*X67*1000000000000</f>
        <v>2.077038526464E+025</v>
      </c>
      <c r="Y70" s="144" t="n">
        <f aca="false">Y69*1000000000*Y67*1000000000000</f>
        <v>1.41301010036736E+024</v>
      </c>
      <c r="Z70" s="144" t="n">
        <f aca="false">Z69*1000000000*Z67*1000000000000</f>
        <v>2.077038526464E+025</v>
      </c>
      <c r="AA70" s="144" t="n">
        <f aca="false">AA69*1000000000*AA67*1000000000000</f>
        <v>1.41301010036736E+024</v>
      </c>
      <c r="AB70" s="144" t="n">
        <f aca="false">AB69*1000000000*AB67*1000000000000</f>
        <v>2.077038526464E+025</v>
      </c>
      <c r="AC70" s="144" t="n">
        <f aca="false">AC69*1000000000*AC67*1000000000000</f>
        <v>1.41301010036736E+024</v>
      </c>
      <c r="AD70" s="144" t="n">
        <f aca="false">AD69*1000000000*AD67*1000000000000</f>
        <v>2.077038526464E+025</v>
      </c>
      <c r="AE70" s="144" t="n">
        <f aca="false">AE69*1000000000*AE67*1000000000000</f>
        <v>1.41301010036736E+024</v>
      </c>
      <c r="AF70" s="144" t="n">
        <f aca="false">AF69*1000000000*AF67*1000000000000</f>
        <v>2.077038526464E+025</v>
      </c>
      <c r="AG70" s="144" t="n">
        <f aca="false">AG69*1000000000*AG67*1000000000000</f>
        <v>1.41301010036736E+024</v>
      </c>
      <c r="AH70" s="144" t="n">
        <f aca="false">AH69*1000000000*AH67*1000000000000</f>
        <v>2.077038526464E+025</v>
      </c>
    </row>
    <row r="71" customFormat="false" ht="15" hidden="false" customHeight="false" outlineLevel="0" collapsed="false">
      <c r="A71" s="62" t="s">
        <v>1209</v>
      </c>
      <c r="B71" s="62" t="s">
        <v>118</v>
      </c>
      <c r="C71" s="97" t="n">
        <f aca="false">Train_In!$C$9</f>
        <v>0.6</v>
      </c>
      <c r="D71" s="97" t="n">
        <f aca="false">Train_In!$C$9</f>
        <v>0.6</v>
      </c>
      <c r="E71" s="97" t="n">
        <f aca="false">Train_In!$C$9</f>
        <v>0.6</v>
      </c>
      <c r="F71" s="97" t="n">
        <f aca="false">Train_In!$C$9</f>
        <v>0.6</v>
      </c>
      <c r="G71" s="97" t="n">
        <f aca="false">Train_In!$C$9</f>
        <v>0.6</v>
      </c>
      <c r="H71" s="97" t="n">
        <f aca="false">Train_In!$C$9</f>
        <v>0.6</v>
      </c>
      <c r="I71" s="97" t="n">
        <f aca="false">Train_In!$C$9</f>
        <v>0.6</v>
      </c>
      <c r="J71" s="97" t="n">
        <f aca="false">Train_In!$C$9</f>
        <v>0.6</v>
      </c>
      <c r="K71" s="97" t="n">
        <f aca="false">Train_In!$C$9</f>
        <v>0.6</v>
      </c>
      <c r="L71" s="97" t="n">
        <f aca="false">Train_In!$C$9</f>
        <v>0.6</v>
      </c>
      <c r="M71" s="97" t="n">
        <f aca="false">Train_In!$C$9</f>
        <v>0.6</v>
      </c>
      <c r="N71" s="97" t="n">
        <f aca="false">Train_In!$C$9</f>
        <v>0.6</v>
      </c>
      <c r="O71" s="97" t="n">
        <f aca="false">Train_In!$C$9</f>
        <v>0.6</v>
      </c>
      <c r="P71" s="97" t="n">
        <f aca="false">Train_In!$C$9</f>
        <v>0.6</v>
      </c>
      <c r="Q71" s="97" t="n">
        <f aca="false">Train_In!$C$9</f>
        <v>0.6</v>
      </c>
      <c r="R71" s="97" t="n">
        <f aca="false">Train_In!$C$9</f>
        <v>0.6</v>
      </c>
      <c r="S71" s="97" t="n">
        <f aca="false">Train_In!$C$9</f>
        <v>0.6</v>
      </c>
      <c r="T71" s="97" t="n">
        <f aca="false">Train_In!$C$9</f>
        <v>0.6</v>
      </c>
      <c r="U71" s="97" t="n">
        <f aca="false">Train_In!$C$9</f>
        <v>0.6</v>
      </c>
      <c r="V71" s="97" t="n">
        <f aca="false">Train_In!$C$9</f>
        <v>0.6</v>
      </c>
      <c r="W71" s="97" t="n">
        <f aca="false">Train_In!$C$9</f>
        <v>0.6</v>
      </c>
      <c r="X71" s="97" t="n">
        <f aca="false">Train_In!$C$9</f>
        <v>0.6</v>
      </c>
      <c r="Y71" s="97" t="n">
        <f aca="false">Train_In!$C$9</f>
        <v>0.6</v>
      </c>
      <c r="Z71" s="97" t="n">
        <f aca="false">Train_In!$C$9</f>
        <v>0.6</v>
      </c>
      <c r="AA71" s="97" t="n">
        <f aca="false">Train_In!$C$9</f>
        <v>0.6</v>
      </c>
      <c r="AB71" s="97" t="n">
        <f aca="false">Train_In!$C$9</f>
        <v>0.6</v>
      </c>
      <c r="AC71" s="97" t="n">
        <f aca="false">Train_In!$C$9</f>
        <v>0.6</v>
      </c>
      <c r="AD71" s="97" t="n">
        <f aca="false">Train_In!$C$9</f>
        <v>0.6</v>
      </c>
      <c r="AE71" s="97" t="n">
        <f aca="false">Train_In!$C$9</f>
        <v>0.6</v>
      </c>
      <c r="AF71" s="97" t="n">
        <f aca="false">Train_In!$C$9</f>
        <v>0.6</v>
      </c>
      <c r="AG71" s="97" t="n">
        <f aca="false">Train_In!$C$9</f>
        <v>0.6</v>
      </c>
      <c r="AH71" s="97" t="n">
        <f aca="false">Train_In!$C$9</f>
        <v>0.6</v>
      </c>
    </row>
    <row r="72" customFormat="false" ht="15" hidden="false" customHeight="false" outlineLevel="0" collapsed="false">
      <c r="A72" s="62" t="s">
        <v>1210</v>
      </c>
      <c r="B72" s="62" t="s">
        <v>1180</v>
      </c>
      <c r="C72" s="68" t="n">
        <f aca="false">C70/(C12*1000000000000000*C16*C71*C17)/3600</f>
        <v>184598.61524167</v>
      </c>
      <c r="D72" s="68" t="n">
        <f aca="false">D70/(D12*1000000000000000*D16*D71*D17)/3600</f>
        <v>2713486.87238095</v>
      </c>
      <c r="E72" s="68" t="n">
        <f aca="false">E70/(E12*1000000000000000*E16*E71*E17)/3600</f>
        <v>307664.358736116</v>
      </c>
      <c r="F72" s="68" t="n">
        <f aca="false">F70/(F12*1000000000000000*F16*F71*F17)/3600</f>
        <v>4522478.12063492</v>
      </c>
      <c r="G72" s="68" t="n">
        <f aca="false">G70/(G12*1000000000000000*G16*G71*G17)/3600</f>
        <v>115374.134526044</v>
      </c>
      <c r="H72" s="68" t="n">
        <f aca="false">H70/(H12*1000000000000000*H16*H71*H17)/3600</f>
        <v>1695929.29523809</v>
      </c>
      <c r="I72" s="68" t="n">
        <f aca="false">I70/(I12*1000000000000000*I16*I71*I17)/3600</f>
        <v>92299.3076208348</v>
      </c>
      <c r="J72" s="68" t="n">
        <f aca="false">J70/(J12*1000000000000000*J16*J71*J17)/3600</f>
        <v>1356743.43619048</v>
      </c>
      <c r="K72" s="68" t="n">
        <f aca="false">K70/(K12*1000000000000000*K16*K71*K17)/3600</f>
        <v>184598.61524167</v>
      </c>
      <c r="L72" s="68" t="n">
        <f aca="false">L70/(L12*1000000000000000*L16*L71*L17)/3600</f>
        <v>2713486.87238095</v>
      </c>
      <c r="M72" s="68" t="n">
        <f aca="false">M70/(M12*1000000000000000*M16*M71*M17)/3600</f>
        <v>184598.61524167</v>
      </c>
      <c r="N72" s="68" t="n">
        <f aca="false">N70/(N12*1000000000000000*N16*N71*N17)/3600</f>
        <v>2713486.87238095</v>
      </c>
      <c r="O72" s="68" t="n">
        <f aca="false">O70/(O12*1000000000000000*O16*O71*O17)/3600</f>
        <v>55379.5845725009</v>
      </c>
      <c r="P72" s="68" t="n">
        <f aca="false">P70/(P12*1000000000000000*P16*P71*P17)/3600</f>
        <v>814046.061714286</v>
      </c>
      <c r="Q72" s="68" t="n">
        <f aca="false">Q70/(Q12*1000000000000000*Q16*Q71*Q17)/3600</f>
        <v>553795.845725009</v>
      </c>
      <c r="R72" s="68" t="n">
        <f aca="false">R70/(R12*1000000000000000*R16*R71*R17)/3600</f>
        <v>8140460.61714286</v>
      </c>
      <c r="S72" s="68" t="n">
        <f aca="false">S70/(S12*1000000000000000*S16*S71*S17)/3600</f>
        <v>184598.61524167</v>
      </c>
      <c r="T72" s="68" t="n">
        <f aca="false">T70/(T12*1000000000000000*T16*T71*T17)/3600</f>
        <v>2713486.87238095</v>
      </c>
      <c r="U72" s="68" t="n">
        <f aca="false">U70/(U12*1000000000000000*U16*U71*U17)/3600</f>
        <v>184598.61524167</v>
      </c>
      <c r="V72" s="68" t="n">
        <f aca="false">V70/(V12*1000000000000000*V16*V71*V17)/3600</f>
        <v>2713486.87238095</v>
      </c>
      <c r="W72" s="68" t="n">
        <f aca="false">W70/(W12*1000000000000000*W16*W71*W17)/3600</f>
        <v>184598.61524167</v>
      </c>
      <c r="X72" s="68" t="n">
        <f aca="false">X70/(X12*1000000000000000*X16*X71*X17)/3600</f>
        <v>2713486.87238095</v>
      </c>
      <c r="Y72" s="68" t="n">
        <f aca="false">Y70/(Y12*1000000000000000*Y16*Y71*Y17)/3600</f>
        <v>184598.61524167</v>
      </c>
      <c r="Z72" s="68" t="n">
        <f aca="false">Z70/(Z12*1000000000000000*Z16*Z71*Z17)/3600</f>
        <v>2713486.87238095</v>
      </c>
      <c r="AA72" s="68" t="n">
        <f aca="false">AA70/(AA12*1000000000000000*AA16*AA71*AA17)/3600</f>
        <v>184598.61524167</v>
      </c>
      <c r="AB72" s="68" t="n">
        <f aca="false">AB70/(AB12*1000000000000000*AB16*AB71*AB17)/3600</f>
        <v>2713486.87238095</v>
      </c>
      <c r="AC72" s="68" t="n">
        <f aca="false">AC70/(AC12*1000000000000000*AC16*AC71*AC17)/3600</f>
        <v>184598.61524167</v>
      </c>
      <c r="AD72" s="68" t="n">
        <f aca="false">AD70/(AD12*1000000000000000*AD16*AD71*AD17)/3600</f>
        <v>2713486.87238095</v>
      </c>
      <c r="AE72" s="68" t="n">
        <f aca="false">AE70/(AE12*1000000000000000*AE16*AE71*AE17)/3600</f>
        <v>184598.61524167</v>
      </c>
      <c r="AF72" s="68" t="n">
        <f aca="false">AF70/(AF12*1000000000000000*AF16*AF71*AF17)/3600</f>
        <v>2713486.87238095</v>
      </c>
      <c r="AG72" s="68" t="n">
        <f aca="false">AG70/(AG12*1000000000000000*AG16*AG71*AG17)/3600</f>
        <v>207673.442146878</v>
      </c>
      <c r="AH72" s="68" t="n">
        <f aca="false">AH70/(AH12*1000000000000000*AH16*AH71*AH17)/3600</f>
        <v>3052672.73142857</v>
      </c>
    </row>
    <row r="73" customFormat="false" ht="15" hidden="false" customHeight="false" outlineLevel="0" collapsed="false">
      <c r="A73" s="61" t="s">
        <v>1211</v>
      </c>
      <c r="B73" s="61"/>
      <c r="C73" s="89" t="n">
        <f aca="false">Train_In!$C$10</f>
        <v>0</v>
      </c>
      <c r="D73" s="89" t="n">
        <f aca="false">Train_In!$C$10</f>
        <v>0</v>
      </c>
      <c r="E73" s="89" t="n">
        <f aca="false">Train_In!$C$10</f>
        <v>0</v>
      </c>
      <c r="F73" s="89" t="n">
        <f aca="false">Train_In!$C$10</f>
        <v>0</v>
      </c>
      <c r="G73" s="89" t="n">
        <f aca="false">Train_In!$C$10</f>
        <v>0</v>
      </c>
      <c r="H73" s="89" t="n">
        <f aca="false">Train_In!$C$10</f>
        <v>0</v>
      </c>
      <c r="I73" s="89" t="n">
        <f aca="false">Train_In!$C$10</f>
        <v>0</v>
      </c>
      <c r="J73" s="89" t="n">
        <f aca="false">Train_In!$C$10</f>
        <v>0</v>
      </c>
      <c r="K73" s="89" t="n">
        <f aca="false">Train_In!$C$10</f>
        <v>0</v>
      </c>
      <c r="L73" s="89" t="n">
        <f aca="false">Train_In!$C$10</f>
        <v>0</v>
      </c>
      <c r="M73" s="89" t="n">
        <f aca="false">Train_In!$C$10</f>
        <v>0</v>
      </c>
      <c r="N73" s="89" t="n">
        <f aca="false">Train_In!$C$10</f>
        <v>0</v>
      </c>
      <c r="O73" s="89" t="n">
        <f aca="false">Train_In!$C$10</f>
        <v>0</v>
      </c>
      <c r="P73" s="89" t="n">
        <f aca="false">Train_In!$C$10</f>
        <v>0</v>
      </c>
      <c r="Q73" s="89" t="n">
        <f aca="false">Train_In!$C$10</f>
        <v>0</v>
      </c>
      <c r="R73" s="89" t="n">
        <f aca="false">Train_In!$C$10</f>
        <v>0</v>
      </c>
      <c r="S73" s="89" t="n">
        <f aca="false">Train_In!$C$10</f>
        <v>0</v>
      </c>
      <c r="T73" s="89" t="n">
        <f aca="false">Train_In!$C$10</f>
        <v>0</v>
      </c>
      <c r="U73" s="89" t="n">
        <f aca="false">Train_In!$C$10</f>
        <v>0</v>
      </c>
      <c r="V73" s="89" t="n">
        <f aca="false">Train_In!$C$10</f>
        <v>0</v>
      </c>
      <c r="W73" s="89" t="n">
        <f aca="false">Train_In!$C$10</f>
        <v>0</v>
      </c>
      <c r="X73" s="89" t="n">
        <f aca="false">Train_In!$C$10</f>
        <v>0</v>
      </c>
      <c r="Y73" s="89" t="n">
        <f aca="false">Train_In!$C$10</f>
        <v>0</v>
      </c>
      <c r="Z73" s="89" t="n">
        <f aca="false">Train_In!$C$10</f>
        <v>0</v>
      </c>
      <c r="AA73" s="89" t="n">
        <f aca="false">Train_In!$C$10</f>
        <v>0</v>
      </c>
      <c r="AB73" s="89" t="n">
        <f aca="false">Train_In!$C$10</f>
        <v>0</v>
      </c>
      <c r="AC73" s="89" t="n">
        <f aca="false">Train_In!$C$10</f>
        <v>0</v>
      </c>
      <c r="AD73" s="89" t="n">
        <f aca="false">Train_In!$C$10</f>
        <v>0</v>
      </c>
      <c r="AE73" s="89" t="n">
        <f aca="false">Train_In!$C$10</f>
        <v>0</v>
      </c>
      <c r="AF73" s="89" t="n">
        <f aca="false">Train_In!$C$10</f>
        <v>0</v>
      </c>
      <c r="AG73" s="89" t="n">
        <f aca="false">Train_In!$C$10</f>
        <v>0</v>
      </c>
      <c r="AH73" s="89" t="n">
        <f aca="false">Train_In!$C$10</f>
        <v>0</v>
      </c>
    </row>
    <row r="74" customFormat="false" ht="15" hidden="false" customHeight="false" outlineLevel="0" collapsed="false">
      <c r="A74" s="61" t="s">
        <v>1212</v>
      </c>
      <c r="B74" s="62" t="s">
        <v>1180</v>
      </c>
      <c r="C74" s="68" t="n">
        <f aca="false">C73*C72/3</f>
        <v>0</v>
      </c>
      <c r="D74" s="68" t="n">
        <f aca="false">D73*D72/3</f>
        <v>0</v>
      </c>
      <c r="E74" s="68" t="n">
        <f aca="false">E73*E72/3</f>
        <v>0</v>
      </c>
      <c r="F74" s="68" t="n">
        <f aca="false">F73*F72/3</f>
        <v>0</v>
      </c>
      <c r="G74" s="68" t="n">
        <f aca="false">G73*G72/3</f>
        <v>0</v>
      </c>
      <c r="H74" s="68" t="n">
        <f aca="false">H73*H72/3</f>
        <v>0</v>
      </c>
      <c r="I74" s="68" t="n">
        <f aca="false">I73*I72/3</f>
        <v>0</v>
      </c>
      <c r="J74" s="68" t="n">
        <f aca="false">J73*J72/3</f>
        <v>0</v>
      </c>
      <c r="K74" s="68" t="n">
        <f aca="false">K73*K72/3</f>
        <v>0</v>
      </c>
      <c r="L74" s="68" t="n">
        <f aca="false">L73*L72/3</f>
        <v>0</v>
      </c>
      <c r="M74" s="68" t="n">
        <f aca="false">M73*M72/3</f>
        <v>0</v>
      </c>
      <c r="N74" s="68" t="n">
        <f aca="false">N73*N72/3</f>
        <v>0</v>
      </c>
      <c r="O74" s="68" t="n">
        <f aca="false">O73*O72/3</f>
        <v>0</v>
      </c>
      <c r="P74" s="68" t="n">
        <f aca="false">P73*P72/3</f>
        <v>0</v>
      </c>
      <c r="Q74" s="68" t="n">
        <f aca="false">Q73*Q72/3</f>
        <v>0</v>
      </c>
      <c r="R74" s="68" t="n">
        <f aca="false">R73*R72/3</f>
        <v>0</v>
      </c>
      <c r="S74" s="68" t="n">
        <f aca="false">S73*S72/3</f>
        <v>0</v>
      </c>
      <c r="T74" s="68" t="n">
        <f aca="false">T73*T72/3</f>
        <v>0</v>
      </c>
      <c r="U74" s="68" t="n">
        <f aca="false">U73*U72/3</f>
        <v>0</v>
      </c>
      <c r="V74" s="68" t="n">
        <f aca="false">V73*V72/3</f>
        <v>0</v>
      </c>
      <c r="W74" s="68" t="n">
        <f aca="false">W73*W72/3</f>
        <v>0</v>
      </c>
      <c r="X74" s="68" t="n">
        <f aca="false">X73*X72/3</f>
        <v>0</v>
      </c>
      <c r="Y74" s="68" t="n">
        <f aca="false">Y73*Y72/3</f>
        <v>0</v>
      </c>
      <c r="Z74" s="68" t="n">
        <f aca="false">Z73*Z72/3</f>
        <v>0</v>
      </c>
      <c r="AA74" s="68" t="n">
        <f aca="false">AA73*AA72/3</f>
        <v>0</v>
      </c>
      <c r="AB74" s="68" t="n">
        <f aca="false">AB73*AB72/3</f>
        <v>0</v>
      </c>
      <c r="AC74" s="68" t="n">
        <f aca="false">AC73*AC72/3</f>
        <v>0</v>
      </c>
      <c r="AD74" s="68" t="n">
        <f aca="false">AD73*AD72/3</f>
        <v>0</v>
      </c>
      <c r="AE74" s="68" t="n">
        <f aca="false">AE73*AE72/3</f>
        <v>0</v>
      </c>
      <c r="AF74" s="68" t="n">
        <f aca="false">AF73*AF72/3</f>
        <v>0</v>
      </c>
      <c r="AG74" s="68" t="n">
        <f aca="false">AG73*AG72/3</f>
        <v>0</v>
      </c>
      <c r="AH74" s="68" t="n">
        <f aca="false">AH73*AH72/3</f>
        <v>0</v>
      </c>
    </row>
    <row r="75" customFormat="false" ht="15" hidden="false" customHeight="false" outlineLevel="0" collapsed="false">
      <c r="A75" s="62" t="s">
        <v>1213</v>
      </c>
      <c r="B75" s="62" t="s">
        <v>1180</v>
      </c>
      <c r="C75" s="71" t="n">
        <f aca="false">IF(AND(ISNUMBER(C65)),C65+C72+C74,"SLO 不可達")</f>
        <v>376831.791251579</v>
      </c>
      <c r="D75" s="71" t="n">
        <f aca="false">IF(AND(ISNUMBER(D65)),D65+D72+D74,"SLO 不可達")</f>
        <v>6045499.10516714</v>
      </c>
      <c r="E75" s="71" t="n">
        <f aca="false">IF(AND(ISNUMBER(E65)),E65+E72+E74,"SLO 不可達")</f>
        <v>499897.534746025</v>
      </c>
      <c r="F75" s="71" t="n">
        <f aca="false">IF(AND(ISNUMBER(F65)),F65+F72+F74,"SLO 不可達")</f>
        <v>7854490.3534211</v>
      </c>
      <c r="G75" s="71" t="n">
        <f aca="false">IF(AND(ISNUMBER(G65)),G65+G72+G74,"SLO 不可達")</f>
        <v>307607.310535952</v>
      </c>
      <c r="H75" s="71" t="n">
        <f aca="false">IF(AND(ISNUMBER(H65)),H65+H72+H74,"SLO 不可達")</f>
        <v>5027941.52802428</v>
      </c>
      <c r="I75" s="71" t="n">
        <f aca="false">IF(AND(ISNUMBER(I65)),I65+I72+I74,"SLO 不可達")</f>
        <v>284532.483630744</v>
      </c>
      <c r="J75" s="71" t="n">
        <f aca="false">IF(AND(ISNUMBER(J65)),J65+J72+J74,"SLO 不可達")</f>
        <v>4688755.66897666</v>
      </c>
      <c r="K75" s="71" t="n">
        <f aca="false">IF(AND(ISNUMBER(K65)),K65+K72+K74,"SLO 不可達")</f>
        <v>376831.791251579</v>
      </c>
      <c r="L75" s="71" t="n">
        <f aca="false">IF(AND(ISNUMBER(L65)),L65+L72+L74,"SLO 不可達")</f>
        <v>6045499.10516714</v>
      </c>
      <c r="M75" s="71" t="n">
        <f aca="false">IF(AND(ISNUMBER(M65)),M65+M72+M74,"SLO 不可達")</f>
        <v>376831.791251579</v>
      </c>
      <c r="N75" s="71" t="n">
        <f aca="false">IF(AND(ISNUMBER(N65)),N65+N72+N74,"SLO 不可達")</f>
        <v>6045499.10516714</v>
      </c>
      <c r="O75" s="71" t="n">
        <f aca="false">IF(AND(ISNUMBER(O65)),O65+O72+O74,"SLO 不可達")</f>
        <v>113049.537375474</v>
      </c>
      <c r="P75" s="71" t="n">
        <f aca="false">IF(AND(ISNUMBER(P65)),P65+P72+P74,"SLO 不可達")</f>
        <v>1813649.73155014</v>
      </c>
      <c r="Q75" s="71" t="n">
        <f aca="false">IF(AND(ISNUMBER(Q65)),Q65+Q72+Q74,"SLO 不可達")</f>
        <v>1130495.37375474</v>
      </c>
      <c r="R75" s="71" t="n">
        <f aca="false">IF(AND(ISNUMBER(R65)),R65+R72+R74,"SLO 不可達")</f>
        <v>18136497.3155014</v>
      </c>
      <c r="S75" s="71" t="n">
        <f aca="false">IF(AND(ISNUMBER(S65)),S65+S72+S74,"SLO 不可達")</f>
        <v>456928.947922374</v>
      </c>
      <c r="T75" s="71" t="n">
        <f aca="false">IF(AND(ISNUMBER(T65)),T65+T72+T74,"SLO 不可達")</f>
        <v>7433837.53549471</v>
      </c>
      <c r="U75" s="71" t="n">
        <f aca="false">IF(AND(ISNUMBER(U65)),U65+U72+U74,"SLO 不可達")</f>
        <v>356596.720092641</v>
      </c>
      <c r="V75" s="71" t="n">
        <f aca="false">IF(AND(ISNUMBER(V65)),V65+V72+V74,"SLO 不可達")</f>
        <v>5694760.97540017</v>
      </c>
      <c r="W75" s="71" t="n">
        <f aca="false">IF(AND(ISNUMBER(W65)),W65+W72+W74,"SLO 不可達")</f>
        <v>475596.782428002</v>
      </c>
      <c r="X75" s="71" t="n">
        <f aca="false">IF(AND(ISNUMBER(X65)),X65+X72+X74,"SLO 不可達")</f>
        <v>7783413.80598243</v>
      </c>
      <c r="Y75" s="71" t="n">
        <f aca="false">IF(AND(ISNUMBER(Y65)),Y65+Y72+Y74,"SLO 不可達")</f>
        <v>376831.791251579</v>
      </c>
      <c r="Z75" s="71" t="n">
        <f aca="false">IF(AND(ISNUMBER(Z65)),Z65+Z72+Z74,"SLO 不可達")</f>
        <v>6045499.10516714</v>
      </c>
      <c r="AA75" s="71" t="n">
        <f aca="false">IF(AND(ISNUMBER(AA65)),AA65+AA72+AA74,"SLO 不可達")</f>
        <v>376831.791251579</v>
      </c>
      <c r="AB75" s="71" t="n">
        <f aca="false">IF(AND(ISNUMBER(AB65)),AB65+AB72+AB74,"SLO 不可達")</f>
        <v>6045499.10516714</v>
      </c>
      <c r="AC75" s="71" t="n">
        <f aca="false">IF(AND(ISNUMBER(AC65)),AC65+AC72+AC74,"SLO 不可達")</f>
        <v>376831.791251579</v>
      </c>
      <c r="AD75" s="71" t="n">
        <f aca="false">IF(AND(ISNUMBER(AD65)),AD65+AD72+AD74,"SLO 不可達")</f>
        <v>6045499.10516714</v>
      </c>
      <c r="AE75" s="71" t="n">
        <f aca="false">IF(AND(ISNUMBER(AE65)),AE65+AE72+AE74,"SLO 不可達")</f>
        <v>376831.791251579</v>
      </c>
      <c r="AF75" s="71" t="n">
        <f aca="false">IF(AND(ISNUMBER(AF65)),AF65+AF72+AF74,"SLO 不可達")</f>
        <v>6045499.10516714</v>
      </c>
      <c r="AG75" s="71" t="n">
        <f aca="false">IF(AND(ISNUMBER(AG65)),AG65+AG72+AG74,"SLO 不可達")</f>
        <v>399906.618156787</v>
      </c>
      <c r="AH75" s="71" t="n">
        <f aca="false">IF(AND(ISNUMBER(AH65)),AH65+AH72+AH74,"SLO 不可達")</f>
        <v>6384684.96421476</v>
      </c>
    </row>
    <row r="76" customFormat="false" ht="15" hidden="false" customHeight="false" outlineLevel="0" collapsed="false">
      <c r="A76" s="62" t="s">
        <v>1214</v>
      </c>
      <c r="B76" s="62" t="s">
        <v>330</v>
      </c>
      <c r="C76" s="144" t="n">
        <f aca="false">C66+C70*(1+C73/3)</f>
        <v>1.73732577709207E+024</v>
      </c>
      <c r="D76" s="144" t="n">
        <f aca="false">D66+D70*(1+D73/3)</f>
        <v>2.589265308672E+025</v>
      </c>
      <c r="E76" s="144" t="n">
        <f aca="false">E66+E70*(1+E73/3)</f>
        <v>1.73732577709207E+024</v>
      </c>
      <c r="F76" s="144" t="n">
        <f aca="false">F66+F70*(1+F73/3)</f>
        <v>2.589265308672E+025</v>
      </c>
      <c r="G76" s="144" t="n">
        <f aca="false">G66+G70*(1+G73/3)</f>
        <v>1.73732577709207E+024</v>
      </c>
      <c r="H76" s="144" t="n">
        <f aca="false">H66+H70*(1+H73/3)</f>
        <v>2.589265308672E+025</v>
      </c>
      <c r="I76" s="144" t="n">
        <f aca="false">I66+I70*(1+I73/3)</f>
        <v>1.73732577709207E+024</v>
      </c>
      <c r="J76" s="144" t="n">
        <f aca="false">J66+J70*(1+J73/3)</f>
        <v>2.589265308672E+025</v>
      </c>
      <c r="K76" s="144" t="n">
        <f aca="false">K66+K70*(1+K73/3)</f>
        <v>1.73732577709207E+024</v>
      </c>
      <c r="L76" s="144" t="n">
        <f aca="false">L66+L70*(1+L73/3)</f>
        <v>2.589265308672E+025</v>
      </c>
      <c r="M76" s="144" t="n">
        <f aca="false">M66+M70*(1+M73/3)</f>
        <v>1.73732577709207E+024</v>
      </c>
      <c r="N76" s="144" t="n">
        <f aca="false">N66+N70*(1+N73/3)</f>
        <v>2.589265308672E+025</v>
      </c>
      <c r="O76" s="144" t="n">
        <f aca="false">O66+O70*(1+O73/3)</f>
        <v>5.2119773312762E+023</v>
      </c>
      <c r="P76" s="144" t="n">
        <f aca="false">P66+P70*(1+P73/3)</f>
        <v>7.767795926016E+024</v>
      </c>
      <c r="Q76" s="144" t="n">
        <f aca="false">Q66+Q70*(1+Q73/3)</f>
        <v>5.2119773312762E+024</v>
      </c>
      <c r="R76" s="144" t="n">
        <f aca="false">R66+R70*(1+R73/3)</f>
        <v>7.767795926016E+025</v>
      </c>
      <c r="S76" s="144" t="n">
        <f aca="false">S66+S70*(1+S73/3)</f>
        <v>1.73732577709207E+024</v>
      </c>
      <c r="T76" s="144" t="n">
        <f aca="false">T66+T70*(1+T73/3)</f>
        <v>2.589265308672E+025</v>
      </c>
      <c r="U76" s="144" t="n">
        <f aca="false">U66+U70*(1+U73/3)</f>
        <v>1.73732577709207E+024</v>
      </c>
      <c r="V76" s="144" t="n">
        <f aca="false">V66+V70*(1+V73/3)</f>
        <v>2.589265308672E+025</v>
      </c>
      <c r="W76" s="144" t="n">
        <f aca="false">W66+W70*(1+W73/3)</f>
        <v>1.73732577709207E+024</v>
      </c>
      <c r="X76" s="144" t="n">
        <f aca="false">X66+X70*(1+X73/3)</f>
        <v>2.589265308672E+025</v>
      </c>
      <c r="Y76" s="144" t="n">
        <f aca="false">Y66+Y70*(1+Y73/3)</f>
        <v>1.73732577709207E+024</v>
      </c>
      <c r="Z76" s="144" t="n">
        <f aca="false">Z66+Z70*(1+Z73/3)</f>
        <v>2.589265308672E+025</v>
      </c>
      <c r="AA76" s="144" t="n">
        <f aca="false">AA66+AA70*(1+AA73/3)</f>
        <v>1.73732577709207E+024</v>
      </c>
      <c r="AB76" s="144" t="n">
        <f aca="false">AB66+AB70*(1+AB73/3)</f>
        <v>2.589265308672E+025</v>
      </c>
      <c r="AC76" s="144" t="n">
        <f aca="false">AC66+AC70*(1+AC73/3)</f>
        <v>1.73732577709207E+024</v>
      </c>
      <c r="AD76" s="144" t="n">
        <f aca="false">AD66+AD70*(1+AD73/3)</f>
        <v>2.589265308672E+025</v>
      </c>
      <c r="AE76" s="144" t="n">
        <f aca="false">AE66+AE70*(1+AE73/3)</f>
        <v>1.73732577709207E+024</v>
      </c>
      <c r="AF76" s="144" t="n">
        <f aca="false">AF66+AF70*(1+AF73/3)</f>
        <v>2.589265308672E+025</v>
      </c>
      <c r="AG76" s="144" t="n">
        <f aca="false">AG66+AG70*(1+AG73/3)</f>
        <v>1.73732577709207E+024</v>
      </c>
      <c r="AH76" s="144" t="n">
        <f aca="false">AH66+AH70*(1+AH73/3)</f>
        <v>2.589265308672E+025</v>
      </c>
    </row>
    <row r="77" customFormat="false" ht="15" hidden="false" customHeight="false" outlineLevel="0" collapsed="false">
      <c r="A77" s="62" t="s">
        <v>1215</v>
      </c>
      <c r="B77" s="62" t="s">
        <v>113</v>
      </c>
      <c r="C77" s="101" t="n">
        <f aca="false">IF(AND(ISNUMBER(C75)),C76/(C75*3600*C12*1000000000000000),"SLO 不可達")</f>
        <v>0.0731801304364245</v>
      </c>
      <c r="D77" s="101" t="n">
        <f aca="false">IF(AND(ISNUMBER(D75)),D76/(D75*3600*D12*1000000000000000),"SLO 不可達")</f>
        <v>0.0679835504547044</v>
      </c>
      <c r="E77" s="101" t="n">
        <f aca="false">IF(AND(ISNUMBER(E75)),E76/(E75*3600*E12*1000000000000000),"SLO 不可達")</f>
        <v>0.0551645041626229</v>
      </c>
      <c r="F77" s="101" t="n">
        <f aca="false">IF(AND(ISNUMBER(F75)),F76/(F75*3600*F12*1000000000000000),"SLO 不可達")</f>
        <v>0.0523260548994102</v>
      </c>
      <c r="G77" s="101" t="n">
        <f aca="false">IF(AND(ISNUMBER(G75)),G76/(G75*3600*G12*1000000000000000),"SLO 不可達")</f>
        <v>0.0896487134468116</v>
      </c>
      <c r="H77" s="101" t="n">
        <f aca="false">IF(AND(ISNUMBER(H75)),H76/(H75*3600*H12*1000000000000000),"SLO 不可達")</f>
        <v>0.0817420988587947</v>
      </c>
      <c r="I77" s="101" t="n">
        <f aca="false">IF(AND(ISNUMBER(I75)),I76/(I75*3600*I12*1000000000000000),"SLO 不可達")</f>
        <v>0.0484594927167788</v>
      </c>
      <c r="J77" s="101" t="n">
        <f aca="false">IF(AND(ISNUMBER(J75)),J76/(J75*3600*J12*1000000000000000),"SLO 不可達")</f>
        <v>0.0438276722499491</v>
      </c>
      <c r="K77" s="101" t="n">
        <f aca="false">IF(AND(ISNUMBER(K75)),K76/(K75*3600*K12*1000000000000000),"SLO 不可達")</f>
        <v>0.0731801304364245</v>
      </c>
      <c r="L77" s="101" t="n">
        <f aca="false">IF(AND(ISNUMBER(L75)),L76/(L75*3600*L12*1000000000000000),"SLO 不可達")</f>
        <v>0.0679835504547044</v>
      </c>
      <c r="M77" s="101" t="n">
        <f aca="false">IF(AND(ISNUMBER(M75)),M76/(M75*3600*M12*1000000000000000),"SLO 不可達")</f>
        <v>0.0731801304364245</v>
      </c>
      <c r="N77" s="101" t="n">
        <f aca="false">IF(AND(ISNUMBER(N75)),N76/(N75*3600*N12*1000000000000000),"SLO 不可達")</f>
        <v>0.0679835504547044</v>
      </c>
      <c r="O77" s="101" t="n">
        <f aca="false">IF(AND(ISNUMBER(O75)),O76/(O75*3600*O12*1000000000000000),"SLO 不可達")</f>
        <v>0.0731801304364245</v>
      </c>
      <c r="P77" s="101" t="n">
        <f aca="false">IF(AND(ISNUMBER(P75)),P76/(P75*3600*P12*1000000000000000),"SLO 不可達")</f>
        <v>0.0679835504547044</v>
      </c>
      <c r="Q77" s="101" t="n">
        <f aca="false">IF(AND(ISNUMBER(Q75)),Q76/(Q75*3600*Q12*1000000000000000),"SLO 不可達")</f>
        <v>0.0731801304364245</v>
      </c>
      <c r="R77" s="101" t="n">
        <f aca="false">IF(AND(ISNUMBER(R75)),R76/(R75*3600*R12*1000000000000000),"SLO 不可達")</f>
        <v>0.0679835504547043</v>
      </c>
      <c r="S77" s="101" t="n">
        <f aca="false">IF(AND(ISNUMBER(S75)),S76/(S75*3600*S12*1000000000000000),"SLO 不可達")</f>
        <v>0.0603520520242173</v>
      </c>
      <c r="T77" s="101" t="n">
        <f aca="false">IF(AND(ISNUMBER(T75)),T76/(T75*3600*T12*1000000000000000),"SLO 不可達")</f>
        <v>0.0552869889175818</v>
      </c>
      <c r="U77" s="101" t="n">
        <f aca="false">IF(AND(ISNUMBER(U75)),U76/(U75*3600*U12*1000000000000000),"SLO 不可達")</f>
        <v>0.0773327349427606</v>
      </c>
      <c r="V77" s="101" t="n">
        <f aca="false">IF(AND(ISNUMBER(V75)),V76/(V75*3600*V12*1000000000000000),"SLO 不可達")</f>
        <v>0.0721706310792297</v>
      </c>
      <c r="W77" s="101" t="n">
        <f aca="false">IF(AND(ISNUMBER(W75)),W76/(W75*3600*W12*1000000000000000),"SLO 不可達")</f>
        <v>0.0579831501289786</v>
      </c>
      <c r="X77" s="101" t="n">
        <f aca="false">IF(AND(ISNUMBER(X75)),X76/(X75*3600*X12*1000000000000000),"SLO 不可達")</f>
        <v>0.0528038857607833</v>
      </c>
      <c r="Y77" s="101" t="n">
        <f aca="false">IF(AND(ISNUMBER(Y75)),Y76/(Y75*3600*Y12*1000000000000000),"SLO 不可達")</f>
        <v>0.0731801304364245</v>
      </c>
      <c r="Z77" s="101" t="n">
        <f aca="false">IF(AND(ISNUMBER(Z75)),Z76/(Z75*3600*Z12*1000000000000000),"SLO 不可達")</f>
        <v>0.0679835504547044</v>
      </c>
      <c r="AA77" s="101" t="n">
        <f aca="false">IF(AND(ISNUMBER(AA75)),AA76/(AA75*3600*AA12*1000000000000000),"SLO 不可達")</f>
        <v>0.0731801304364245</v>
      </c>
      <c r="AB77" s="101" t="n">
        <f aca="false">IF(AND(ISNUMBER(AB75)),AB76/(AB75*3600*AB12*1000000000000000),"SLO 不可達")</f>
        <v>0.0679835504547044</v>
      </c>
      <c r="AC77" s="101" t="n">
        <f aca="false">IF(AND(ISNUMBER(AC75)),AC76/(AC75*3600*AC12*1000000000000000),"SLO 不可達")</f>
        <v>0.0731801304364245</v>
      </c>
      <c r="AD77" s="101" t="n">
        <f aca="false">IF(AND(ISNUMBER(AD75)),AD76/(AD75*3600*AD12*1000000000000000),"SLO 不可達")</f>
        <v>0.0679835504547044</v>
      </c>
      <c r="AE77" s="101" t="n">
        <f aca="false">IF(AND(ISNUMBER(AE75)),AE76/(AE75*3600*AE12*1000000000000000),"SLO 不可達")</f>
        <v>0.0731801304364245</v>
      </c>
      <c r="AF77" s="101" t="n">
        <f aca="false">IF(AND(ISNUMBER(AF75)),AF76/(AF75*3600*AF12*1000000000000000),"SLO 不可達")</f>
        <v>0.0679835504547044</v>
      </c>
      <c r="AG77" s="101" t="n">
        <f aca="false">IF(AND(ISNUMBER(AG75)),AG76/(AG75*3600*AG12*1000000000000000),"SLO 不可達")</f>
        <v>0.0689575975598642</v>
      </c>
      <c r="AH77" s="101" t="n">
        <f aca="false">IF(AND(ISNUMBER(AH75)),AH76/(AH75*3600*AH12*1000000000000000),"SLO 不可達")</f>
        <v>0.0643719299767436</v>
      </c>
    </row>
    <row r="78" customFormat="false" ht="15" hidden="false" customHeight="false" outlineLevel="0" collapsed="false">
      <c r="A78" s="62" t="s">
        <v>1216</v>
      </c>
      <c r="B78" s="62" t="s">
        <v>118</v>
      </c>
      <c r="C78" s="104" t="n">
        <f aca="false">IF(AND(ISNUMBER(C75)),C75/C36,"SLO 不可達")</f>
        <v>0.371397626434424</v>
      </c>
      <c r="D78" s="104" t="n">
        <f aca="false">IF(AND(ISNUMBER(D75)),D75/D36,"SLO 不可達")</f>
        <v>1.12717162997901</v>
      </c>
      <c r="E78" s="104" t="n">
        <f aca="false">IF(AND(ISNUMBER(E75)),E75/E36,"SLO 不可達")</f>
        <v>0.29561320808171</v>
      </c>
      <c r="F78" s="104" t="n">
        <f aca="false">IF(AND(ISNUMBER(F75)),F75/F36,"SLO 不可達")</f>
        <v>0.878672732256604</v>
      </c>
      <c r="G78" s="104" t="n">
        <f aca="false">IF(AND(ISNUMBER(G75)),G75/G36,"SLO 不可達")</f>
        <v>0.485074253963496</v>
      </c>
      <c r="H78" s="104" t="n">
        <f aca="false">IF(AND(ISNUMBER(H75)),H75/H36,"SLO 不可達")</f>
        <v>1.49991997656263</v>
      </c>
      <c r="I78" s="104" t="n">
        <f aca="false">IF(AND(ISNUMBER(I75)),I75/I36,"SLO 不可達")</f>
        <v>0.560858672316211</v>
      </c>
      <c r="J78" s="104" t="n">
        <f aca="false">IF(AND(ISNUMBER(J75)),J75/J36,"SLO 不可達")</f>
        <v>1.74841887428504</v>
      </c>
      <c r="K78" s="104" t="n">
        <f aca="false">IF(AND(ISNUMBER(K75)),K75/K36,"SLO 不可達")</f>
        <v>0.742795252868848</v>
      </c>
      <c r="L78" s="104" t="n">
        <f aca="false">IF(AND(ISNUMBER(L75)),L75/L36,"SLO 不可達")</f>
        <v>2.25434325995803</v>
      </c>
      <c r="M78" s="104" t="n">
        <f aca="false">IF(AND(ISNUMBER(M75)),M75/M36,"SLO 不可達")</f>
        <v>0.222393788284086</v>
      </c>
      <c r="N78" s="104" t="n">
        <f aca="false">IF(AND(ISNUMBER(N75)),N75/N36,"SLO 不可達")</f>
        <v>0.674953071843721</v>
      </c>
      <c r="O78" s="104" t="n">
        <f aca="false">IF(AND(ISNUMBER(O75)),O75/O36,"SLO 不可達")</f>
        <v>0.111419287930327</v>
      </c>
      <c r="P78" s="104" t="n">
        <f aca="false">IF(AND(ISNUMBER(P75)),P75/P36,"SLO 不可達")</f>
        <v>0.338151488993704</v>
      </c>
      <c r="Q78" s="104" t="n">
        <f aca="false">IF(AND(ISNUMBER(Q75)),Q75/Q36,"SLO 不可達")</f>
        <v>1.11419287930327</v>
      </c>
      <c r="R78" s="104" t="n">
        <f aca="false">IF(AND(ISNUMBER(R75)),R75/R36,"SLO 不可達")</f>
        <v>3.38151488993704</v>
      </c>
      <c r="S78" s="104" t="n">
        <f aca="false">IF(AND(ISNUMBER(S75)),S75/S36,"SLO 不可達")</f>
        <v>0.450339728885169</v>
      </c>
      <c r="T78" s="104" t="n">
        <f aca="false">IF(AND(ISNUMBER(T75)),T75/T36,"SLO 不可達")</f>
        <v>1.38602464843986</v>
      </c>
      <c r="U78" s="104" t="n">
        <f aca="false">IF(AND(ISNUMBER(U75)),U75/U36,"SLO 不可達")</f>
        <v>0.351454358446868</v>
      </c>
      <c r="V78" s="104" t="n">
        <f aca="false">IF(AND(ISNUMBER(V75)),V75/V36,"SLO 不可達")</f>
        <v>1.06177718320996</v>
      </c>
      <c r="W78" s="104" t="n">
        <f aca="false">IF(AND(ISNUMBER(W75)),W75/W36,"SLO 不可達")</f>
        <v>0.468738360813312</v>
      </c>
      <c r="X78" s="104" t="n">
        <f aca="false">IF(AND(ISNUMBER(X75)),X75/X36,"SLO 不可達")</f>
        <v>1.45120246879068</v>
      </c>
      <c r="Y78" s="104" t="n">
        <f aca="false">IF(AND(ISNUMBER(Y75)),Y75/Y36,"SLO 不可達")</f>
        <v>0.371397626434424</v>
      </c>
      <c r="Z78" s="104" t="n">
        <f aca="false">IF(AND(ISNUMBER(Z75)),Z75/Z36,"SLO 不可達")</f>
        <v>1.12717162997901</v>
      </c>
      <c r="AA78" s="104" t="n">
        <f aca="false">IF(AND(ISNUMBER(AA75)),AA75/AA36,"SLO 不可達")</f>
        <v>0.371397626434424</v>
      </c>
      <c r="AB78" s="104" t="n">
        <f aca="false">IF(AND(ISNUMBER(AB75)),AB75/AB36,"SLO 不可達")</f>
        <v>1.12717162997901</v>
      </c>
      <c r="AC78" s="104" t="n">
        <f aca="false">IF(AND(ISNUMBER(AC75)),AC75/AC36,"SLO 不可達")</f>
        <v>0.371397626434424</v>
      </c>
      <c r="AD78" s="104" t="n">
        <f aca="false">IF(AND(ISNUMBER(AD75)),AD75/AD36,"SLO 不可達")</f>
        <v>1.12717162997901</v>
      </c>
      <c r="AE78" s="104" t="n">
        <f aca="false">IF(AND(ISNUMBER(AE75)),AE75/AE36,"SLO 不可達")</f>
        <v>0.371397626434424</v>
      </c>
      <c r="AF78" s="104" t="n">
        <f aca="false">IF(AND(ISNUMBER(AF75)),AF75/AF36,"SLO 不可達")</f>
        <v>1.12717162997901</v>
      </c>
      <c r="AG78" s="104" t="n">
        <f aca="false">IF(AND(ISNUMBER(AG75)),AG75/AG36,"SLO 不可達")</f>
        <v>0.350346399114226</v>
      </c>
      <c r="AH78" s="104" t="n">
        <f aca="false">IF(AND(ISNUMBER(AH75)),AH75/AH36,"SLO 不可達")</f>
        <v>1.05814415838946</v>
      </c>
    </row>
    <row r="79" customFormat="false" ht="15" hidden="false" customHeight="false" outlineLevel="0" collapsed="false">
      <c r="A79" s="62" t="s">
        <v>1217</v>
      </c>
      <c r="B79" s="62" t="s">
        <v>118</v>
      </c>
      <c r="C79" s="77" t="n">
        <f aca="false">C76/C35</f>
        <v>0.134216922203702</v>
      </c>
      <c r="D79" s="77" t="n">
        <f aca="false">D76/D35</f>
        <v>0.37841545371748</v>
      </c>
      <c r="E79" s="77" t="n">
        <f aca="false">E76/E35</f>
        <v>0.134216922203702</v>
      </c>
      <c r="F79" s="77" t="n">
        <f aca="false">F76/F35</f>
        <v>0.37841545371748</v>
      </c>
      <c r="G79" s="77" t="n">
        <f aca="false">G76/G35</f>
        <v>0.134216922203702</v>
      </c>
      <c r="H79" s="77" t="n">
        <f aca="false">H76/H35</f>
        <v>0.37841545371748</v>
      </c>
      <c r="I79" s="77" t="n">
        <f aca="false">I76/I35</f>
        <v>0.134216922203702</v>
      </c>
      <c r="J79" s="77" t="n">
        <f aca="false">J76/J35</f>
        <v>0.37841545371748</v>
      </c>
      <c r="K79" s="77" t="n">
        <f aca="false">K76/K35</f>
        <v>0.268433844407404</v>
      </c>
      <c r="L79" s="77" t="n">
        <f aca="false">L76/L35</f>
        <v>0.756830907434959</v>
      </c>
      <c r="M79" s="77" t="n">
        <f aca="false">M76/M35</f>
        <v>0.0803694144932346</v>
      </c>
      <c r="N79" s="77" t="n">
        <f aca="false">N76/N35</f>
        <v>0.226596080070347</v>
      </c>
      <c r="O79" s="77" t="n">
        <f aca="false">O76/O35</f>
        <v>0.0402650766611105</v>
      </c>
      <c r="P79" s="77" t="n">
        <f aca="false">P76/P35</f>
        <v>0.113524636115244</v>
      </c>
      <c r="Q79" s="77" t="n">
        <f aca="false">Q76/Q35</f>
        <v>0.402650766611105</v>
      </c>
      <c r="R79" s="77" t="n">
        <f aca="false">R76/R35</f>
        <v>1.13524636115244</v>
      </c>
      <c r="S79" s="77" t="n">
        <f aca="false">S76/S35</f>
        <v>0.134216922203702</v>
      </c>
      <c r="T79" s="77" t="n">
        <f aca="false">T76/T35</f>
        <v>0.37841545371748</v>
      </c>
      <c r="U79" s="77" t="n">
        <f aca="false">U76/U35</f>
        <v>0.134216922203702</v>
      </c>
      <c r="V79" s="77" t="n">
        <f aca="false">V76/V35</f>
        <v>0.37841545371748</v>
      </c>
      <c r="W79" s="77" t="n">
        <f aca="false">W76/W35</f>
        <v>0.134216922203702</v>
      </c>
      <c r="X79" s="77" t="n">
        <f aca="false">X76/X35</f>
        <v>0.37841545371748</v>
      </c>
      <c r="Y79" s="77" t="n">
        <f aca="false">Y76/Y35</f>
        <v>0.134216922203702</v>
      </c>
      <c r="Z79" s="77" t="n">
        <f aca="false">Z76/Z35</f>
        <v>0.37841545371748</v>
      </c>
      <c r="AA79" s="77" t="n">
        <f aca="false">AA76/AA35</f>
        <v>0.134216922203702</v>
      </c>
      <c r="AB79" s="77" t="n">
        <f aca="false">AB76/AB35</f>
        <v>0.37841545371748</v>
      </c>
      <c r="AC79" s="77" t="n">
        <f aca="false">AC76/AC35</f>
        <v>0.134216922203702</v>
      </c>
      <c r="AD79" s="77" t="n">
        <f aca="false">AD76/AD35</f>
        <v>0.37841545371748</v>
      </c>
      <c r="AE79" s="77" t="n">
        <f aca="false">AE76/AE35</f>
        <v>0.134216922203702</v>
      </c>
      <c r="AF79" s="77" t="n">
        <f aca="false">AF76/AF35</f>
        <v>0.37841545371748</v>
      </c>
      <c r="AG79" s="77" t="n">
        <f aca="false">AG76/AG35</f>
        <v>0.134216922203702</v>
      </c>
      <c r="AH79" s="77" t="n">
        <f aca="false">AH76/AH35</f>
        <v>0.37841545371748</v>
      </c>
    </row>
    <row r="80" customFormat="false" ht="15" hidden="false" customHeight="false" outlineLevel="0" collapsed="false">
      <c r="A80" s="76" t="s">
        <v>1218</v>
      </c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</row>
    <row r="81" customFormat="false" ht="15" hidden="false" customHeight="false" outlineLevel="0" collapsed="false">
      <c r="A81" s="61" t="s">
        <v>1219</v>
      </c>
      <c r="B81" s="62" t="s">
        <v>1103</v>
      </c>
      <c r="C81" s="95" t="n">
        <f aca="false">INDEX(Train_In!$C$35:$E$35,C$7)</f>
        <v>0.2</v>
      </c>
      <c r="D81" s="95" t="n">
        <f aca="false">INDEX(Train_In!$C$35:$E$35,D$7)</f>
        <v>0.2</v>
      </c>
      <c r="E81" s="95" t="n">
        <f aca="false">INDEX(Train_In!$C$35:$E$35,E$7)</f>
        <v>0.2</v>
      </c>
      <c r="F81" s="95" t="n">
        <f aca="false">INDEX(Train_In!$C$35:$E$35,F$7)</f>
        <v>0.2</v>
      </c>
      <c r="G81" s="95" t="n">
        <f aca="false">INDEX(Train_In!$C$35:$E$35,G$7)</f>
        <v>0.2</v>
      </c>
      <c r="H81" s="95" t="n">
        <f aca="false">INDEX(Train_In!$C$35:$E$35,H$7)</f>
        <v>0.2</v>
      </c>
      <c r="I81" s="95" t="n">
        <f aca="false">INDEX(Train_In!$C$35:$E$35,I$7)</f>
        <v>0.2</v>
      </c>
      <c r="J81" s="95" t="n">
        <f aca="false">INDEX(Train_In!$C$35:$E$35,J$7)</f>
        <v>0.2</v>
      </c>
      <c r="K81" s="95" t="n">
        <f aca="false">INDEX(Train_In!$C$35:$E$35,K$7)</f>
        <v>0.2</v>
      </c>
      <c r="L81" s="95" t="n">
        <f aca="false">INDEX(Train_In!$C$35:$E$35,L$7)</f>
        <v>0.2</v>
      </c>
      <c r="M81" s="95" t="n">
        <f aca="false">INDEX(Train_In!$C$35:$E$35,M$7)</f>
        <v>0.2</v>
      </c>
      <c r="N81" s="95" t="n">
        <f aca="false">INDEX(Train_In!$C$35:$E$35,N$7)</f>
        <v>0.2</v>
      </c>
      <c r="O81" s="95" t="n">
        <f aca="false">INDEX(Train_In!$C$35:$E$35,O$7)</f>
        <v>0.2</v>
      </c>
      <c r="P81" s="95" t="n">
        <f aca="false">INDEX(Train_In!$C$35:$E$35,P$7)</f>
        <v>0.2</v>
      </c>
      <c r="Q81" s="95" t="n">
        <f aca="false">INDEX(Train_In!$C$35:$E$35,Q$7)</f>
        <v>0.2</v>
      </c>
      <c r="R81" s="95" t="n">
        <f aca="false">INDEX(Train_In!$C$35:$E$35,R$7)</f>
        <v>0.2</v>
      </c>
      <c r="S81" s="95" t="n">
        <f aca="false">INDEX(Train_In!$C$35:$E$35,S$7)</f>
        <v>0.2</v>
      </c>
      <c r="T81" s="95" t="n">
        <f aca="false">INDEX(Train_In!$C$35:$E$35,T$7)</f>
        <v>0.2</v>
      </c>
      <c r="U81" s="95" t="n">
        <f aca="false">INDEX(Train_In!$C$35:$E$35,U$7)</f>
        <v>0.2</v>
      </c>
      <c r="V81" s="95" t="n">
        <f aca="false">INDEX(Train_In!$C$35:$E$35,V$7)</f>
        <v>0.2</v>
      </c>
      <c r="W81" s="95" t="n">
        <f aca="false">INDEX(Train_In!$C$35:$E$35,W$7)</f>
        <v>0.2</v>
      </c>
      <c r="X81" s="95" t="n">
        <f aca="false">INDEX(Train_In!$C$35:$E$35,X$7)</f>
        <v>0.2</v>
      </c>
      <c r="Y81" s="95" t="n">
        <f aca="false">INDEX(Train_In!$C$35:$E$35,Y$7)</f>
        <v>0.2</v>
      </c>
      <c r="Z81" s="95" t="n">
        <f aca="false">INDEX(Train_In!$C$35:$E$35,Z$7)</f>
        <v>0.2</v>
      </c>
      <c r="AA81" s="95" t="n">
        <f aca="false">INDEX(Train_In!$C$35:$E$35,AA$7)</f>
        <v>0.2</v>
      </c>
      <c r="AB81" s="95" t="n">
        <f aca="false">INDEX(Train_In!$C$35:$E$35,AB$7)</f>
        <v>0.2</v>
      </c>
      <c r="AC81" s="95" t="n">
        <f aca="false">INDEX(Train_In!$C$35:$E$35,AC$7)</f>
        <v>0.2</v>
      </c>
      <c r="AD81" s="95" t="n">
        <f aca="false">INDEX(Train_In!$C$35:$E$35,AD$7)</f>
        <v>0.2</v>
      </c>
      <c r="AE81" s="95" t="n">
        <f aca="false">INDEX(Train_In!$C$35:$E$35,AE$7)</f>
        <v>0.2</v>
      </c>
      <c r="AF81" s="95" t="n">
        <f aca="false">INDEX(Train_In!$C$35:$E$35,AF$7)</f>
        <v>0.2</v>
      </c>
      <c r="AG81" s="95" t="n">
        <f aca="false">INDEX(Train_In!$C$35:$E$35,AG$7)</f>
        <v>0.2</v>
      </c>
      <c r="AH81" s="95" t="n">
        <f aca="false">INDEX(Train_In!$C$35:$E$35,AH$7)</f>
        <v>0.2</v>
      </c>
    </row>
    <row r="82" customFormat="false" ht="15" hidden="false" customHeight="false" outlineLevel="0" collapsed="false">
      <c r="A82" s="61" t="s">
        <v>1220</v>
      </c>
      <c r="B82" s="61"/>
      <c r="C82" s="89" t="n">
        <f aca="false">INDEX(Train_In!$C$36:$E$36,C$7)</f>
        <v>2</v>
      </c>
      <c r="D82" s="89" t="n">
        <f aca="false">INDEX(Train_In!$C$36:$E$36,D$7)</f>
        <v>3</v>
      </c>
      <c r="E82" s="89" t="n">
        <f aca="false">INDEX(Train_In!$C$36:$E$36,E$7)</f>
        <v>2</v>
      </c>
      <c r="F82" s="89" t="n">
        <f aca="false">INDEX(Train_In!$C$36:$E$36,F$7)</f>
        <v>3</v>
      </c>
      <c r="G82" s="89" t="n">
        <f aca="false">INDEX(Train_In!$C$36:$E$36,G$7)</f>
        <v>2</v>
      </c>
      <c r="H82" s="89" t="n">
        <f aca="false">INDEX(Train_In!$C$36:$E$36,H$7)</f>
        <v>3</v>
      </c>
      <c r="I82" s="89" t="n">
        <f aca="false">INDEX(Train_In!$C$36:$E$36,I$7)</f>
        <v>2</v>
      </c>
      <c r="J82" s="89" t="n">
        <f aca="false">INDEX(Train_In!$C$36:$E$36,J$7)</f>
        <v>3</v>
      </c>
      <c r="K82" s="89" t="n">
        <f aca="false">INDEX(Train_In!$C$36:$E$36,K$7)</f>
        <v>2</v>
      </c>
      <c r="L82" s="89" t="n">
        <f aca="false">INDEX(Train_In!$C$36:$E$36,L$7)</f>
        <v>3</v>
      </c>
      <c r="M82" s="89" t="n">
        <f aca="false">INDEX(Train_In!$C$36:$E$36,M$7)</f>
        <v>2</v>
      </c>
      <c r="N82" s="89" t="n">
        <f aca="false">INDEX(Train_In!$C$36:$E$36,N$7)</f>
        <v>3</v>
      </c>
      <c r="O82" s="89" t="n">
        <f aca="false">INDEX(Train_In!$C$36:$E$36,O$7)</f>
        <v>2</v>
      </c>
      <c r="P82" s="89" t="n">
        <f aca="false">INDEX(Train_In!$C$36:$E$36,P$7)</f>
        <v>3</v>
      </c>
      <c r="Q82" s="89" t="n">
        <f aca="false">INDEX(Train_In!$C$36:$E$36,Q$7)</f>
        <v>2</v>
      </c>
      <c r="R82" s="89" t="n">
        <f aca="false">INDEX(Train_In!$C$36:$E$36,R$7)</f>
        <v>3</v>
      </c>
      <c r="S82" s="89" t="n">
        <f aca="false">INDEX(Train_In!$C$36:$E$36,S$7)</f>
        <v>2</v>
      </c>
      <c r="T82" s="89" t="n">
        <f aca="false">INDEX(Train_In!$C$36:$E$36,T$7)</f>
        <v>3</v>
      </c>
      <c r="U82" s="89" t="n">
        <f aca="false">INDEX(Train_In!$C$36:$E$36,U$7)</f>
        <v>2</v>
      </c>
      <c r="V82" s="89" t="n">
        <f aca="false">INDEX(Train_In!$C$36:$E$36,V$7)</f>
        <v>3</v>
      </c>
      <c r="W82" s="89" t="n">
        <f aca="false">INDEX(Train_In!$C$36:$E$36,W$7)</f>
        <v>2</v>
      </c>
      <c r="X82" s="89" t="n">
        <f aca="false">INDEX(Train_In!$C$36:$E$36,X$7)</f>
        <v>3</v>
      </c>
      <c r="Y82" s="89" t="n">
        <f aca="false">INDEX(Train_In!$C$36:$E$36,Y$7)</f>
        <v>2</v>
      </c>
      <c r="Z82" s="89" t="n">
        <f aca="false">INDEX(Train_In!$C$36:$E$36,Z$7)</f>
        <v>3</v>
      </c>
      <c r="AA82" s="89" t="n">
        <f aca="false">INDEX(Train_In!$C$36:$E$36,AA$7)</f>
        <v>2</v>
      </c>
      <c r="AB82" s="89" t="n">
        <f aca="false">INDEX(Train_In!$C$36:$E$36,AB$7)</f>
        <v>3</v>
      </c>
      <c r="AC82" s="89" t="n">
        <f aca="false">INDEX(Train_In!$C$36:$E$36,AC$7)</f>
        <v>2</v>
      </c>
      <c r="AD82" s="89" t="n">
        <f aca="false">INDEX(Train_In!$C$36:$E$36,AD$7)</f>
        <v>3</v>
      </c>
      <c r="AE82" s="89" t="n">
        <f aca="false">INDEX(Train_In!$C$36:$E$36,AE$7)</f>
        <v>2</v>
      </c>
      <c r="AF82" s="89" t="n">
        <f aca="false">INDEX(Train_In!$C$36:$E$36,AF$7)</f>
        <v>3</v>
      </c>
      <c r="AG82" s="89" t="n">
        <f aca="false">INDEX(Train_In!$C$36:$E$36,AG$7)</f>
        <v>2</v>
      </c>
      <c r="AH82" s="89" t="n">
        <f aca="false">INDEX(Train_In!$C$36:$E$36,AH$7)</f>
        <v>3</v>
      </c>
    </row>
    <row r="83" customFormat="false" ht="15" hidden="false" customHeight="false" outlineLevel="0" collapsed="false">
      <c r="A83" s="61" t="s">
        <v>1221</v>
      </c>
      <c r="B83" s="62" t="s">
        <v>1103</v>
      </c>
      <c r="C83" s="72" t="n">
        <f aca="false">C81*1000000000000/C55*(C54+C55)/1000000000000</f>
        <v>0.3</v>
      </c>
      <c r="D83" s="72" t="n">
        <f aca="false">D81*1000000000000/D55*(D54+D55)/1000000000000</f>
        <v>0.3</v>
      </c>
      <c r="E83" s="72" t="n">
        <f aca="false">E81*1000000000000/E55*(E54+E55)/1000000000000</f>
        <v>0.3</v>
      </c>
      <c r="F83" s="72" t="n">
        <f aca="false">F81*1000000000000/F55*(F54+F55)/1000000000000</f>
        <v>0.3</v>
      </c>
      <c r="G83" s="72" t="n">
        <f aca="false">G81*1000000000000/G55*(G54+G55)/1000000000000</f>
        <v>0.3</v>
      </c>
      <c r="H83" s="72" t="n">
        <f aca="false">H81*1000000000000/H55*(H54+H55)/1000000000000</f>
        <v>0.3</v>
      </c>
      <c r="I83" s="72" t="n">
        <f aca="false">I81*1000000000000/I55*(I54+I55)/1000000000000</f>
        <v>0.3</v>
      </c>
      <c r="J83" s="72" t="n">
        <f aca="false">J81*1000000000000/J55*(J54+J55)/1000000000000</f>
        <v>0.3</v>
      </c>
      <c r="K83" s="72" t="n">
        <f aca="false">K81*1000000000000/K55*(K54+K55)/1000000000000</f>
        <v>0.3</v>
      </c>
      <c r="L83" s="72" t="n">
        <f aca="false">L81*1000000000000/L55*(L54+L55)/1000000000000</f>
        <v>0.3</v>
      </c>
      <c r="M83" s="72" t="n">
        <f aca="false">M81*1000000000000/M55*(M54+M55)/1000000000000</f>
        <v>0.3</v>
      </c>
      <c r="N83" s="72" t="n">
        <f aca="false">N81*1000000000000/N55*(N54+N55)/1000000000000</f>
        <v>0.3</v>
      </c>
      <c r="O83" s="72" t="n">
        <f aca="false">O81*1000000000000/O55*(O54+O55)/1000000000000</f>
        <v>0.3</v>
      </c>
      <c r="P83" s="72" t="n">
        <f aca="false">P81*1000000000000/P55*(P54+P55)/1000000000000</f>
        <v>0.3</v>
      </c>
      <c r="Q83" s="72" t="n">
        <f aca="false">Q81*1000000000000/Q55*(Q54+Q55)/1000000000000</f>
        <v>0.3</v>
      </c>
      <c r="R83" s="72" t="n">
        <f aca="false">R81*1000000000000/R55*(R54+R55)/1000000000000</f>
        <v>0.3</v>
      </c>
      <c r="S83" s="72" t="n">
        <f aca="false">S81*1000000000000/S55*(S54+S55)/1000000000000</f>
        <v>0.3</v>
      </c>
      <c r="T83" s="72" t="n">
        <f aca="false">T81*1000000000000/T55*(T54+T55)/1000000000000</f>
        <v>0.3</v>
      </c>
      <c r="U83" s="72" t="n">
        <f aca="false">U81*1000000000000/U55*(U54+U55)/1000000000000</f>
        <v>0.3</v>
      </c>
      <c r="V83" s="72" t="n">
        <f aca="false">V81*1000000000000/V55*(V54+V55)/1000000000000</f>
        <v>0.3</v>
      </c>
      <c r="W83" s="72" t="n">
        <f aca="false">W81*1000000000000/W55*(W54+W55)/1000000000000</f>
        <v>0.3</v>
      </c>
      <c r="X83" s="72" t="n">
        <f aca="false">X81*1000000000000/X55*(X54+X55)/1000000000000</f>
        <v>0.3</v>
      </c>
      <c r="Y83" s="72" t="n">
        <f aca="false">Y81*1000000000000/Y55*(Y54+Y55)/1000000000000</f>
        <v>0.3</v>
      </c>
      <c r="Z83" s="72" t="n">
        <f aca="false">Z81*1000000000000/Z55*(Z54+Z55)/1000000000000</f>
        <v>0.3</v>
      </c>
      <c r="AA83" s="72" t="n">
        <f aca="false">AA81*1000000000000/AA55*(AA54+AA55)/1000000000000</f>
        <v>0.3</v>
      </c>
      <c r="AB83" s="72" t="n">
        <f aca="false">AB81*1000000000000/AB55*(AB54+AB55)/1000000000000</f>
        <v>0.3</v>
      </c>
      <c r="AC83" s="72" t="n">
        <f aca="false">AC81*1000000000000/AC55*(AC54+AC55)/1000000000000</f>
        <v>0.3</v>
      </c>
      <c r="AD83" s="72" t="n">
        <f aca="false">AD81*1000000000000/AD55*(AD54+AD55)/1000000000000</f>
        <v>0.3</v>
      </c>
      <c r="AE83" s="72" t="n">
        <f aca="false">AE81*1000000000000/AE55*(AE54+AE55)/1000000000000</f>
        <v>0.3</v>
      </c>
      <c r="AF83" s="72" t="n">
        <f aca="false">AF81*1000000000000/AF55*(AF54+AF55)/1000000000000</f>
        <v>0.3</v>
      </c>
      <c r="AG83" s="72" t="n">
        <f aca="false">AG81*1000000000000/AG55*(AG54+AG55)/1000000000000</f>
        <v>0.3</v>
      </c>
      <c r="AH83" s="72" t="n">
        <f aca="false">AH81*1000000000000/AH55*(AH54+AH55)/1000000000000</f>
        <v>0.3</v>
      </c>
    </row>
    <row r="84" customFormat="false" ht="15" hidden="false" customHeight="false" outlineLevel="0" collapsed="false">
      <c r="A84" s="61" t="s">
        <v>1222</v>
      </c>
      <c r="B84" s="62" t="s">
        <v>935</v>
      </c>
      <c r="C84" s="98" t="n">
        <f aca="false">INDEX(Perf_Batch!$C$101:$Q$101,3*(C$6-1)+C82)</f>
        <v>12.5261781471817</v>
      </c>
      <c r="D84" s="98" t="n">
        <f aca="false">INDEX(Perf_Batch!$C$101:$Q$101,3*(D$6-1)+D82)</f>
        <v>38.1205065142857</v>
      </c>
      <c r="E84" s="98" t="n">
        <f aca="false">INDEX(Perf_Batch!$C$101:$Q$101,3*(E$6-1)+E82)</f>
        <v>12.5261781471817</v>
      </c>
      <c r="F84" s="98" t="n">
        <f aca="false">INDEX(Perf_Batch!$C$101:$Q$101,3*(F$6-1)+F82)</f>
        <v>38.1205065142857</v>
      </c>
      <c r="G84" s="98" t="n">
        <f aca="false">INDEX(Perf_Batch!$C$101:$Q$101,3*(G$6-1)+G82)</f>
        <v>12.5261781471817</v>
      </c>
      <c r="H84" s="98" t="n">
        <f aca="false">INDEX(Perf_Batch!$C$101:$Q$101,3*(H$6-1)+H82)</f>
        <v>38.1205065142857</v>
      </c>
      <c r="I84" s="98" t="n">
        <f aca="false">INDEX(Perf_Batch!$C$101:$Q$101,3*(I$6-1)+I82)</f>
        <v>12.5261781471817</v>
      </c>
      <c r="J84" s="98" t="n">
        <f aca="false">INDEX(Perf_Batch!$C$101:$Q$101,3*(J$6-1)+J82)</f>
        <v>38.1205065142857</v>
      </c>
      <c r="K84" s="98" t="n">
        <f aca="false">INDEX(Perf_Batch!$C$101:$Q$101,3*(K$6-1)+K82)</f>
        <v>12.5261781471817</v>
      </c>
      <c r="L84" s="98" t="n">
        <f aca="false">INDEX(Perf_Batch!$C$101:$Q$101,3*(L$6-1)+L82)</f>
        <v>38.1205065142857</v>
      </c>
      <c r="M84" s="98" t="n">
        <f aca="false">INDEX(Perf_Batch!$C$101:$Q$101,3*(M$6-1)+M82)</f>
        <v>12.5261781471817</v>
      </c>
      <c r="N84" s="98" t="n">
        <f aca="false">INDEX(Perf_Batch!$C$101:$Q$101,3*(N$6-1)+N82)</f>
        <v>38.1205065142857</v>
      </c>
      <c r="O84" s="98" t="n">
        <f aca="false">INDEX(Perf_Batch!$C$101:$Q$101,3*(O$6-1)+O82)</f>
        <v>12.5261781471817</v>
      </c>
      <c r="P84" s="98" t="n">
        <f aca="false">INDEX(Perf_Batch!$C$101:$Q$101,3*(P$6-1)+P82)</f>
        <v>38.1205065142857</v>
      </c>
      <c r="Q84" s="98" t="n">
        <f aca="false">INDEX(Perf_Batch!$C$101:$Q$101,3*(Q$6-1)+Q82)</f>
        <v>12.5261781471817</v>
      </c>
      <c r="R84" s="98" t="n">
        <f aca="false">INDEX(Perf_Batch!$C$101:$Q$101,3*(R$6-1)+R82)</f>
        <v>38.1205065142857</v>
      </c>
      <c r="S84" s="98" t="n">
        <f aca="false">INDEX(Perf_Batch!$C$101:$Q$101,3*(S$6-1)+S82)</f>
        <v>12.5261781471817</v>
      </c>
      <c r="T84" s="98" t="n">
        <f aca="false">INDEX(Perf_Batch!$C$101:$Q$101,3*(T$6-1)+T82)</f>
        <v>38.1205065142857</v>
      </c>
      <c r="U84" s="98" t="n">
        <f aca="false">INDEX(Perf_Batch!$C$101:$Q$101,3*(U$6-1)+U82)</f>
        <v>12.5261781471817</v>
      </c>
      <c r="V84" s="98" t="n">
        <f aca="false">INDEX(Perf_Batch!$C$101:$Q$101,3*(V$6-1)+V82)</f>
        <v>38.1205065142857</v>
      </c>
      <c r="W84" s="98" t="n">
        <f aca="false">INDEX(Perf_Batch!$C$101:$Q$101,3*(W$6-1)+W82)</f>
        <v>12.5261781471817</v>
      </c>
      <c r="X84" s="98" t="n">
        <f aca="false">INDEX(Perf_Batch!$C$101:$Q$101,3*(X$6-1)+X82)</f>
        <v>38.1205065142857</v>
      </c>
      <c r="Y84" s="98" t="n">
        <f aca="false">INDEX(Perf_Batch!$C$101:$Q$101,3*(Y$6-1)+Y82)</f>
        <v>12.5261781471817</v>
      </c>
      <c r="Z84" s="98" t="n">
        <f aca="false">INDEX(Perf_Batch!$C$101:$Q$101,3*(Z$6-1)+Z82)</f>
        <v>38.1205065142857</v>
      </c>
      <c r="AA84" s="98" t="n">
        <f aca="false">INDEX(Perf_Batch!$C$101:$Q$101,3*(AA$6-1)+AA82)</f>
        <v>12.5261781471817</v>
      </c>
      <c r="AB84" s="98" t="n">
        <f aca="false">INDEX(Perf_Batch!$C$101:$Q$101,3*(AB$6-1)+AB82)</f>
        <v>38.1205065142857</v>
      </c>
      <c r="AC84" s="98" t="n">
        <f aca="false">INDEX(Perf_Batch!$C$101:$Q$101,3*(AC$6-1)+AC82)</f>
        <v>12.5261781471817</v>
      </c>
      <c r="AD84" s="98" t="n">
        <f aca="false">INDEX(Perf_Batch!$C$101:$Q$101,3*(AD$6-1)+AD82)</f>
        <v>38.1205065142857</v>
      </c>
      <c r="AE84" s="98" t="n">
        <f aca="false">INDEX(Perf_Batch!$C$101:$Q$101,3*(AE$6-1)+AE82)</f>
        <v>12.5261781471817</v>
      </c>
      <c r="AF84" s="98" t="n">
        <f aca="false">INDEX(Perf_Batch!$C$101:$Q$101,3*(AF$6-1)+AF82)</f>
        <v>38.1205065142857</v>
      </c>
      <c r="AG84" s="98" t="n">
        <f aca="false">INDEX(Perf_Batch!$C$101:$Q$101,3*(AG$6-1)+AG82)</f>
        <v>12.5261781471817</v>
      </c>
      <c r="AH84" s="98" t="n">
        <f aca="false">INDEX(Perf_Batch!$C$101:$Q$101,3*(AH$6-1)+AH82)</f>
        <v>38.1205065142857</v>
      </c>
    </row>
    <row r="85" customFormat="false" ht="15" hidden="false" customHeight="false" outlineLevel="0" collapsed="false">
      <c r="A85" s="61" t="s">
        <v>1223</v>
      </c>
      <c r="B85" s="62" t="s">
        <v>539</v>
      </c>
      <c r="C85" s="98" t="n">
        <f aca="false">INDEX(Perf_Batch!$C$67:$Q$67,3*(C$6-1)+C82)</f>
        <v>131.524870545408</v>
      </c>
      <c r="D85" s="98" t="n">
        <f aca="false">INDEX(Perf_Batch!$C$67:$Q$67,3*(D$6-1)+D82)</f>
        <v>400.2653184</v>
      </c>
      <c r="E85" s="98" t="n">
        <f aca="false">INDEX(Perf_Batch!$C$67:$Q$67,3*(E$6-1)+E82)</f>
        <v>131.524870545408</v>
      </c>
      <c r="F85" s="98" t="n">
        <f aca="false">INDEX(Perf_Batch!$C$67:$Q$67,3*(F$6-1)+F82)</f>
        <v>400.2653184</v>
      </c>
      <c r="G85" s="98" t="n">
        <f aca="false">INDEX(Perf_Batch!$C$67:$Q$67,3*(G$6-1)+G82)</f>
        <v>131.524870545408</v>
      </c>
      <c r="H85" s="98" t="n">
        <f aca="false">INDEX(Perf_Batch!$C$67:$Q$67,3*(H$6-1)+H82)</f>
        <v>400.2653184</v>
      </c>
      <c r="I85" s="98" t="n">
        <f aca="false">INDEX(Perf_Batch!$C$67:$Q$67,3*(I$6-1)+I82)</f>
        <v>131.524870545408</v>
      </c>
      <c r="J85" s="98" t="n">
        <f aca="false">INDEX(Perf_Batch!$C$67:$Q$67,3*(J$6-1)+J82)</f>
        <v>400.2653184</v>
      </c>
      <c r="K85" s="98" t="n">
        <f aca="false">INDEX(Perf_Batch!$C$67:$Q$67,3*(K$6-1)+K82)</f>
        <v>131.524870545408</v>
      </c>
      <c r="L85" s="98" t="n">
        <f aca="false">INDEX(Perf_Batch!$C$67:$Q$67,3*(L$6-1)+L82)</f>
        <v>400.2653184</v>
      </c>
      <c r="M85" s="98" t="n">
        <f aca="false">INDEX(Perf_Batch!$C$67:$Q$67,3*(M$6-1)+M82)</f>
        <v>131.524870545408</v>
      </c>
      <c r="N85" s="98" t="n">
        <f aca="false">INDEX(Perf_Batch!$C$67:$Q$67,3*(N$6-1)+N82)</f>
        <v>400.2653184</v>
      </c>
      <c r="O85" s="98" t="n">
        <f aca="false">INDEX(Perf_Batch!$C$67:$Q$67,3*(O$6-1)+O82)</f>
        <v>131.524870545408</v>
      </c>
      <c r="P85" s="98" t="n">
        <f aca="false">INDEX(Perf_Batch!$C$67:$Q$67,3*(P$6-1)+P82)</f>
        <v>400.2653184</v>
      </c>
      <c r="Q85" s="98" t="n">
        <f aca="false">INDEX(Perf_Batch!$C$67:$Q$67,3*(Q$6-1)+Q82)</f>
        <v>131.524870545408</v>
      </c>
      <c r="R85" s="98" t="n">
        <f aca="false">INDEX(Perf_Batch!$C$67:$Q$67,3*(R$6-1)+R82)</f>
        <v>400.2653184</v>
      </c>
      <c r="S85" s="98" t="n">
        <f aca="false">INDEX(Perf_Batch!$C$67:$Q$67,3*(S$6-1)+S82)</f>
        <v>131.524870545408</v>
      </c>
      <c r="T85" s="98" t="n">
        <f aca="false">INDEX(Perf_Batch!$C$67:$Q$67,3*(T$6-1)+T82)</f>
        <v>400.2653184</v>
      </c>
      <c r="U85" s="98" t="n">
        <f aca="false">INDEX(Perf_Batch!$C$67:$Q$67,3*(U$6-1)+U82)</f>
        <v>131.524870545408</v>
      </c>
      <c r="V85" s="98" t="n">
        <f aca="false">INDEX(Perf_Batch!$C$67:$Q$67,3*(V$6-1)+V82)</f>
        <v>400.2653184</v>
      </c>
      <c r="W85" s="98" t="n">
        <f aca="false">INDEX(Perf_Batch!$C$67:$Q$67,3*(W$6-1)+W82)</f>
        <v>131.524870545408</v>
      </c>
      <c r="X85" s="98" t="n">
        <f aca="false">INDEX(Perf_Batch!$C$67:$Q$67,3*(X$6-1)+X82)</f>
        <v>400.2653184</v>
      </c>
      <c r="Y85" s="98" t="n">
        <f aca="false">INDEX(Perf_Batch!$C$67:$Q$67,3*(Y$6-1)+Y82)</f>
        <v>131.524870545408</v>
      </c>
      <c r="Z85" s="98" t="n">
        <f aca="false">INDEX(Perf_Batch!$C$67:$Q$67,3*(Z$6-1)+Z82)</f>
        <v>400.2653184</v>
      </c>
      <c r="AA85" s="98" t="n">
        <f aca="false">INDEX(Perf_Batch!$C$67:$Q$67,3*(AA$6-1)+AA82)</f>
        <v>131.524870545408</v>
      </c>
      <c r="AB85" s="98" t="n">
        <f aca="false">INDEX(Perf_Batch!$C$67:$Q$67,3*(AB$6-1)+AB82)</f>
        <v>400.2653184</v>
      </c>
      <c r="AC85" s="98" t="n">
        <f aca="false">INDEX(Perf_Batch!$C$67:$Q$67,3*(AC$6-1)+AC82)</f>
        <v>131.524870545408</v>
      </c>
      <c r="AD85" s="98" t="n">
        <f aca="false">INDEX(Perf_Batch!$C$67:$Q$67,3*(AD$6-1)+AD82)</f>
        <v>400.2653184</v>
      </c>
      <c r="AE85" s="98" t="n">
        <f aca="false">INDEX(Perf_Batch!$C$67:$Q$67,3*(AE$6-1)+AE82)</f>
        <v>131.524870545408</v>
      </c>
      <c r="AF85" s="98" t="n">
        <f aca="false">INDEX(Perf_Batch!$C$67:$Q$67,3*(AF$6-1)+AF82)</f>
        <v>400.2653184</v>
      </c>
      <c r="AG85" s="98" t="n">
        <f aca="false">INDEX(Perf_Batch!$C$67:$Q$67,3*(AG$6-1)+AG82)</f>
        <v>131.524870545408</v>
      </c>
      <c r="AH85" s="98" t="n">
        <f aca="false">INDEX(Perf_Batch!$C$67:$Q$67,3*(AH$6-1)+AH82)</f>
        <v>400.2653184</v>
      </c>
    </row>
    <row r="86" customFormat="false" ht="15" hidden="false" customHeight="false" outlineLevel="0" collapsed="false">
      <c r="A86" s="61" t="s">
        <v>1224</v>
      </c>
      <c r="B86" s="62" t="s">
        <v>1180</v>
      </c>
      <c r="C86" s="68" t="n">
        <f aca="false">IF(AND(ISNUMBER(C59)),C81*1000000*C59/3600/C64,"SLO 不可達")</f>
        <v>16265.3626052943</v>
      </c>
      <c r="D86" s="68" t="n">
        <f aca="false">IF(AND(ISNUMBER(D59)),D81*1000000*D59/3600/D64,"SLO 不可達")</f>
        <v>69339.0610047075</v>
      </c>
      <c r="E86" s="68" t="n">
        <f aca="false">IF(AND(ISNUMBER(E59)),E81*1000000*E59/3600/E64,"SLO 不可達")</f>
        <v>16265.3626052943</v>
      </c>
      <c r="F86" s="68" t="n">
        <f aca="false">IF(AND(ISNUMBER(F59)),F81*1000000*F59/3600/F64,"SLO 不可達")</f>
        <v>69339.0610047075</v>
      </c>
      <c r="G86" s="68" t="n">
        <f aca="false">IF(AND(ISNUMBER(G59)),G81*1000000*G59/3600/G64,"SLO 不可達")</f>
        <v>16265.3626052943</v>
      </c>
      <c r="H86" s="68" t="n">
        <f aca="false">IF(AND(ISNUMBER(H59)),H81*1000000*H59/3600/H64,"SLO 不可達")</f>
        <v>69339.0610047075</v>
      </c>
      <c r="I86" s="68" t="n">
        <f aca="false">IF(AND(ISNUMBER(I59)),I81*1000000*I59/3600/I64,"SLO 不可達")</f>
        <v>16265.3626052943</v>
      </c>
      <c r="J86" s="68" t="n">
        <f aca="false">IF(AND(ISNUMBER(J59)),J81*1000000*J59/3600/J64,"SLO 不可達")</f>
        <v>69339.0610047075</v>
      </c>
      <c r="K86" s="68" t="n">
        <f aca="false">IF(AND(ISNUMBER(K59)),K81*1000000*K59/3600/K64,"SLO 不可達")</f>
        <v>16265.3626052943</v>
      </c>
      <c r="L86" s="68" t="n">
        <f aca="false">IF(AND(ISNUMBER(L59)),L81*1000000*L59/3600/L64,"SLO 不可達")</f>
        <v>69339.0610047075</v>
      </c>
      <c r="M86" s="68" t="n">
        <f aca="false">IF(AND(ISNUMBER(M59)),M81*1000000*M59/3600/M64,"SLO 不可達")</f>
        <v>16265.3626052943</v>
      </c>
      <c r="N86" s="68" t="n">
        <f aca="false">IF(AND(ISNUMBER(N59)),N81*1000000*N59/3600/N64,"SLO 不可達")</f>
        <v>69339.0610047075</v>
      </c>
      <c r="O86" s="68" t="n">
        <f aca="false">IF(AND(ISNUMBER(O59)),O81*1000000*O59/3600/O64,"SLO 不可達")</f>
        <v>16265.3626052943</v>
      </c>
      <c r="P86" s="68" t="n">
        <f aca="false">IF(AND(ISNUMBER(P59)),P81*1000000*P59/3600/P64,"SLO 不可達")</f>
        <v>69339.0610047075</v>
      </c>
      <c r="Q86" s="68" t="n">
        <f aca="false">IF(AND(ISNUMBER(Q59)),Q81*1000000*Q59/3600/Q64,"SLO 不可達")</f>
        <v>16265.3626052943</v>
      </c>
      <c r="R86" s="68" t="n">
        <f aca="false">IF(AND(ISNUMBER(R59)),R81*1000000*R59/3600/R64,"SLO 不可達")</f>
        <v>69339.0610047075</v>
      </c>
      <c r="S86" s="68" t="n">
        <f aca="false">IF(AND(ISNUMBER(S59)),S81*1000000*S59/3600/S64,"SLO 不可達")</f>
        <v>23042.5970241669</v>
      </c>
      <c r="T86" s="68" t="n">
        <f aca="false">IF(AND(ISNUMBER(T59)),T81*1000000*T59/3600/T64,"SLO 不可達")</f>
        <v>98230.3364233356</v>
      </c>
      <c r="U86" s="68" t="n">
        <f aca="false">IF(AND(ISNUMBER(U59)),U81*1000000*U59/3600/U64,"SLO 不可達")</f>
        <v>14553.2191731581</v>
      </c>
      <c r="V86" s="68" t="n">
        <f aca="false">IF(AND(ISNUMBER(V59)),V81*1000000*V59/3600/V64,"SLO 不可達")</f>
        <v>62040.2124778962</v>
      </c>
      <c r="W86" s="68" t="n">
        <f aca="false">IF(AND(ISNUMBER(W59)),W81*1000000*W59/3600/W64,"SLO 不可達")</f>
        <v>24609.6925975813</v>
      </c>
      <c r="X86" s="68" t="n">
        <f aca="false">IF(AND(ISNUMBER(X59)),X81*1000000*X59/3600/X64,"SLO 不可達")</f>
        <v>105467.756760022</v>
      </c>
      <c r="Y86" s="68" t="n">
        <f aca="false">IF(AND(ISNUMBER(Y59)),Y81*1000000*Y59/3600/Y64,"SLO 不可達")</f>
        <v>16265.3626052943</v>
      </c>
      <c r="Z86" s="68" t="n">
        <f aca="false">IF(AND(ISNUMBER(Z59)),Z81*1000000*Z59/3600/Z64,"SLO 不可達")</f>
        <v>69339.0610047075</v>
      </c>
      <c r="AA86" s="68" t="n">
        <f aca="false">IF(AND(ISNUMBER(AA59)),AA81*1000000*AA59/3600/AA64,"SLO 不可達")</f>
        <v>16265.3626052943</v>
      </c>
      <c r="AB86" s="68" t="n">
        <f aca="false">IF(AND(ISNUMBER(AB59)),AB81*1000000*AB59/3600/AB64,"SLO 不可達")</f>
        <v>69339.0610047075</v>
      </c>
      <c r="AC86" s="68" t="n">
        <f aca="false">IF(AND(ISNUMBER(AC59)),AC81*1000000*AC59/3600/AC64,"SLO 不可達")</f>
        <v>16265.3626052943</v>
      </c>
      <c r="AD86" s="68" t="n">
        <f aca="false">IF(AND(ISNUMBER(AD59)),AD81*1000000*AD59/3600/AD64,"SLO 不可達")</f>
        <v>69339.0610047075</v>
      </c>
      <c r="AE86" s="68" t="n">
        <f aca="false">IF(AND(ISNUMBER(AE59)),AE81*1000000*AE59/3600/AE64,"SLO 不可達")</f>
        <v>16265.3626052943</v>
      </c>
      <c r="AF86" s="68" t="n">
        <f aca="false">IF(AND(ISNUMBER(AF59)),AF81*1000000*AF59/3600/AF64,"SLO 不可達")</f>
        <v>69339.0610047075</v>
      </c>
      <c r="AG86" s="68" t="n">
        <f aca="false">IF(AND(ISNUMBER(AG59)),AG81*1000000*AG59/3600/AG64,"SLO 不可達")</f>
        <v>16265.3626052943</v>
      </c>
      <c r="AH86" s="68" t="n">
        <f aca="false">IF(AND(ISNUMBER(AH59)),AH81*1000000*AH59/3600/AH64,"SLO 不可達")</f>
        <v>69339.0610047075</v>
      </c>
    </row>
    <row r="87" customFormat="false" ht="15" hidden="false" customHeight="false" outlineLevel="0" collapsed="false">
      <c r="A87" s="61" t="s">
        <v>1225</v>
      </c>
      <c r="B87" s="62" t="s">
        <v>1180</v>
      </c>
      <c r="C87" s="68" t="n">
        <f aca="false">C83*1000000*C84/3600</f>
        <v>1043.84817893181</v>
      </c>
      <c r="D87" s="68" t="n">
        <f aca="false">D83*1000000*D84/3600</f>
        <v>3176.70887619048</v>
      </c>
      <c r="E87" s="68" t="n">
        <f aca="false">E83*1000000*E84/3600</f>
        <v>1043.84817893181</v>
      </c>
      <c r="F87" s="68" t="n">
        <f aca="false">F83*1000000*F84/3600</f>
        <v>3176.70887619048</v>
      </c>
      <c r="G87" s="68" t="n">
        <f aca="false">G83*1000000*G84/3600</f>
        <v>1043.84817893181</v>
      </c>
      <c r="H87" s="68" t="n">
        <f aca="false">H83*1000000*H84/3600</f>
        <v>3176.70887619048</v>
      </c>
      <c r="I87" s="68" t="n">
        <f aca="false">I83*1000000*I84/3600</f>
        <v>1043.84817893181</v>
      </c>
      <c r="J87" s="68" t="n">
        <f aca="false">J83*1000000*J84/3600</f>
        <v>3176.70887619048</v>
      </c>
      <c r="K87" s="68" t="n">
        <f aca="false">K83*1000000*K84/3600</f>
        <v>1043.84817893181</v>
      </c>
      <c r="L87" s="68" t="n">
        <f aca="false">L83*1000000*L84/3600</f>
        <v>3176.70887619048</v>
      </c>
      <c r="M87" s="68" t="n">
        <f aca="false">M83*1000000*M84/3600</f>
        <v>1043.84817893181</v>
      </c>
      <c r="N87" s="68" t="n">
        <f aca="false">N83*1000000*N84/3600</f>
        <v>3176.70887619048</v>
      </c>
      <c r="O87" s="68" t="n">
        <f aca="false">O83*1000000*O84/3600</f>
        <v>1043.84817893181</v>
      </c>
      <c r="P87" s="68" t="n">
        <f aca="false">P83*1000000*P84/3600</f>
        <v>3176.70887619048</v>
      </c>
      <c r="Q87" s="68" t="n">
        <f aca="false">Q83*1000000*Q84/3600</f>
        <v>1043.84817893181</v>
      </c>
      <c r="R87" s="68" t="n">
        <f aca="false">R83*1000000*R84/3600</f>
        <v>3176.70887619048</v>
      </c>
      <c r="S87" s="68" t="n">
        <f aca="false">S83*1000000*S84/3600</f>
        <v>1043.84817893181</v>
      </c>
      <c r="T87" s="68" t="n">
        <f aca="false">T83*1000000*T84/3600</f>
        <v>3176.70887619048</v>
      </c>
      <c r="U87" s="68" t="n">
        <f aca="false">U83*1000000*U84/3600</f>
        <v>1043.84817893181</v>
      </c>
      <c r="V87" s="68" t="n">
        <f aca="false">V83*1000000*V84/3600</f>
        <v>3176.70887619048</v>
      </c>
      <c r="W87" s="68" t="n">
        <f aca="false">W83*1000000*W84/3600</f>
        <v>1043.84817893181</v>
      </c>
      <c r="X87" s="68" t="n">
        <f aca="false">X83*1000000*X84/3600</f>
        <v>3176.70887619048</v>
      </c>
      <c r="Y87" s="68" t="n">
        <f aca="false">Y83*1000000*Y84/3600</f>
        <v>1043.84817893181</v>
      </c>
      <c r="Z87" s="68" t="n">
        <f aca="false">Z83*1000000*Z84/3600</f>
        <v>3176.70887619048</v>
      </c>
      <c r="AA87" s="68" t="n">
        <f aca="false">AA83*1000000*AA84/3600</f>
        <v>1043.84817893181</v>
      </c>
      <c r="AB87" s="68" t="n">
        <f aca="false">AB83*1000000*AB84/3600</f>
        <v>3176.70887619048</v>
      </c>
      <c r="AC87" s="68" t="n">
        <f aca="false">AC83*1000000*AC84/3600</f>
        <v>1043.84817893181</v>
      </c>
      <c r="AD87" s="68" t="n">
        <f aca="false">AD83*1000000*AD84/3600</f>
        <v>3176.70887619048</v>
      </c>
      <c r="AE87" s="68" t="n">
        <f aca="false">AE83*1000000*AE84/3600</f>
        <v>1043.84817893181</v>
      </c>
      <c r="AF87" s="68" t="n">
        <f aca="false">AF83*1000000*AF84/3600</f>
        <v>3176.70887619048</v>
      </c>
      <c r="AG87" s="68" t="n">
        <f aca="false">AG83*1000000*AG84/3600</f>
        <v>1043.84817893181</v>
      </c>
      <c r="AH87" s="68" t="n">
        <f aca="false">AH83*1000000*AH84/3600</f>
        <v>3176.70887619048</v>
      </c>
    </row>
    <row r="88" customFormat="false" ht="15" hidden="false" customHeight="false" outlineLevel="0" collapsed="false">
      <c r="A88" s="61" t="s">
        <v>1226</v>
      </c>
      <c r="B88" s="62" t="s">
        <v>330</v>
      </c>
      <c r="C88" s="144" t="n">
        <f aca="false">C69*1000000000*C83*1000000000000</f>
        <v>1.197466186752E+023</v>
      </c>
      <c r="D88" s="144" t="n">
        <f aca="false">D69*1000000000*D83*1000000000000</f>
        <v>4.3271635968E+023</v>
      </c>
      <c r="E88" s="144" t="n">
        <f aca="false">E69*1000000000*E83*1000000000000</f>
        <v>1.197466186752E+023</v>
      </c>
      <c r="F88" s="144" t="n">
        <f aca="false">F69*1000000000*F83*1000000000000</f>
        <v>4.3271635968E+023</v>
      </c>
      <c r="G88" s="144" t="n">
        <f aca="false">G69*1000000000*G83*1000000000000</f>
        <v>1.197466186752E+023</v>
      </c>
      <c r="H88" s="144" t="n">
        <f aca="false">H69*1000000000*H83*1000000000000</f>
        <v>4.3271635968E+023</v>
      </c>
      <c r="I88" s="144" t="n">
        <f aca="false">I69*1000000000*I83*1000000000000</f>
        <v>1.197466186752E+023</v>
      </c>
      <c r="J88" s="144" t="n">
        <f aca="false">J69*1000000000*J83*1000000000000</f>
        <v>4.3271635968E+023</v>
      </c>
      <c r="K88" s="144" t="n">
        <f aca="false">K69*1000000000*K83*1000000000000</f>
        <v>1.197466186752E+023</v>
      </c>
      <c r="L88" s="144" t="n">
        <f aca="false">L69*1000000000*L83*1000000000000</f>
        <v>4.3271635968E+023</v>
      </c>
      <c r="M88" s="144" t="n">
        <f aca="false">M69*1000000000*M83*1000000000000</f>
        <v>1.197466186752E+023</v>
      </c>
      <c r="N88" s="144" t="n">
        <f aca="false">N69*1000000000*N83*1000000000000</f>
        <v>4.3271635968E+023</v>
      </c>
      <c r="O88" s="144" t="n">
        <f aca="false">O69*1000000000*O83*1000000000000</f>
        <v>1.197466186752E+023</v>
      </c>
      <c r="P88" s="144" t="n">
        <f aca="false">P69*1000000000*P83*1000000000000</f>
        <v>4.3271635968E+023</v>
      </c>
      <c r="Q88" s="144" t="n">
        <f aca="false">Q69*1000000000*Q83*1000000000000</f>
        <v>1.197466186752E+023</v>
      </c>
      <c r="R88" s="144" t="n">
        <f aca="false">R69*1000000000*R83*1000000000000</f>
        <v>4.3271635968E+023</v>
      </c>
      <c r="S88" s="144" t="n">
        <f aca="false">S69*1000000000*S83*1000000000000</f>
        <v>1.197466186752E+023</v>
      </c>
      <c r="T88" s="144" t="n">
        <f aca="false">T69*1000000000*T83*1000000000000</f>
        <v>4.3271635968E+023</v>
      </c>
      <c r="U88" s="144" t="n">
        <f aca="false">U69*1000000000*U83*1000000000000</f>
        <v>1.197466186752E+023</v>
      </c>
      <c r="V88" s="144" t="n">
        <f aca="false">V69*1000000000*V83*1000000000000</f>
        <v>4.3271635968E+023</v>
      </c>
      <c r="W88" s="144" t="n">
        <f aca="false">W69*1000000000*W83*1000000000000</f>
        <v>1.197466186752E+023</v>
      </c>
      <c r="X88" s="144" t="n">
        <f aca="false">X69*1000000000*X83*1000000000000</f>
        <v>4.3271635968E+023</v>
      </c>
      <c r="Y88" s="144" t="n">
        <f aca="false">Y69*1000000000*Y83*1000000000000</f>
        <v>1.197466186752E+023</v>
      </c>
      <c r="Z88" s="144" t="n">
        <f aca="false">Z69*1000000000*Z83*1000000000000</f>
        <v>4.3271635968E+023</v>
      </c>
      <c r="AA88" s="144" t="n">
        <f aca="false">AA69*1000000000*AA83*1000000000000</f>
        <v>1.197466186752E+023</v>
      </c>
      <c r="AB88" s="144" t="n">
        <f aca="false">AB69*1000000000*AB83*1000000000000</f>
        <v>4.3271635968E+023</v>
      </c>
      <c r="AC88" s="144" t="n">
        <f aca="false">AC69*1000000000*AC83*1000000000000</f>
        <v>1.197466186752E+023</v>
      </c>
      <c r="AD88" s="144" t="n">
        <f aca="false">AD69*1000000000*AD83*1000000000000</f>
        <v>4.3271635968E+023</v>
      </c>
      <c r="AE88" s="144" t="n">
        <f aca="false">AE69*1000000000*AE83*1000000000000</f>
        <v>1.197466186752E+023</v>
      </c>
      <c r="AF88" s="144" t="n">
        <f aca="false">AF69*1000000000*AF83*1000000000000</f>
        <v>4.3271635968E+023</v>
      </c>
      <c r="AG88" s="144" t="n">
        <f aca="false">AG69*1000000000*AG83*1000000000000</f>
        <v>1.197466186752E+023</v>
      </c>
      <c r="AH88" s="144" t="n">
        <f aca="false">AH69*1000000000*AH83*1000000000000</f>
        <v>4.3271635968E+023</v>
      </c>
    </row>
    <row r="89" customFormat="false" ht="15" hidden="false" customHeight="false" outlineLevel="0" collapsed="false">
      <c r="A89" s="61" t="s">
        <v>1227</v>
      </c>
      <c r="B89" s="62" t="s">
        <v>1180</v>
      </c>
      <c r="C89" s="68" t="n">
        <f aca="false">C88/(C12*1000000000000000*C16*C71*C17)/3600</f>
        <v>15643.9504442093</v>
      </c>
      <c r="D89" s="68" t="n">
        <f aca="false">D88/(D12*1000000000000000*D16*D71*D17)/3600</f>
        <v>56530.9765079365</v>
      </c>
      <c r="E89" s="68" t="n">
        <f aca="false">E88/(E12*1000000000000000*E16*E71*E17)/3600</f>
        <v>26073.2507403488</v>
      </c>
      <c r="F89" s="68" t="n">
        <f aca="false">F88/(F12*1000000000000000*F16*F71*F17)/3600</f>
        <v>94218.2941798942</v>
      </c>
      <c r="G89" s="68" t="n">
        <f aca="false">G88/(G12*1000000000000000*G16*G71*G17)/3600</f>
        <v>9777.46902763081</v>
      </c>
      <c r="H89" s="68" t="n">
        <f aca="false">H88/(H12*1000000000000000*H16*H71*H17)/3600</f>
        <v>35331.8603174603</v>
      </c>
      <c r="I89" s="68" t="n">
        <f aca="false">I88/(I12*1000000000000000*I16*I71*I17)/3600</f>
        <v>7821.97522210464</v>
      </c>
      <c r="J89" s="68" t="n">
        <f aca="false">J88/(J12*1000000000000000*J16*J71*J17)/3600</f>
        <v>28265.4882539683</v>
      </c>
      <c r="K89" s="68" t="n">
        <f aca="false">K88/(K12*1000000000000000*K16*K71*K17)/3600</f>
        <v>15643.9504442093</v>
      </c>
      <c r="L89" s="68" t="n">
        <f aca="false">L88/(L12*1000000000000000*L16*L71*L17)/3600</f>
        <v>56530.9765079365</v>
      </c>
      <c r="M89" s="68" t="n">
        <f aca="false">M88/(M12*1000000000000000*M16*M71*M17)/3600</f>
        <v>15643.9504442093</v>
      </c>
      <c r="N89" s="68" t="n">
        <f aca="false">N88/(N12*1000000000000000*N16*N71*N17)/3600</f>
        <v>56530.9765079365</v>
      </c>
      <c r="O89" s="68" t="n">
        <f aca="false">O88/(O12*1000000000000000*O16*O71*O17)/3600</f>
        <v>15643.9504442093</v>
      </c>
      <c r="P89" s="68" t="n">
        <f aca="false">P88/(P12*1000000000000000*P16*P71*P17)/3600</f>
        <v>56530.9765079365</v>
      </c>
      <c r="Q89" s="68" t="n">
        <f aca="false">Q88/(Q12*1000000000000000*Q16*Q71*Q17)/3600</f>
        <v>15643.9504442093</v>
      </c>
      <c r="R89" s="68" t="n">
        <f aca="false">R88/(R12*1000000000000000*R16*R71*R17)/3600</f>
        <v>56530.9765079365</v>
      </c>
      <c r="S89" s="68" t="n">
        <f aca="false">S88/(S12*1000000000000000*S16*S71*S17)/3600</f>
        <v>15643.9504442093</v>
      </c>
      <c r="T89" s="68" t="n">
        <f aca="false">T88/(T12*1000000000000000*T16*T71*T17)/3600</f>
        <v>56530.9765079365</v>
      </c>
      <c r="U89" s="68" t="n">
        <f aca="false">U88/(U12*1000000000000000*U16*U71*U17)/3600</f>
        <v>15643.9504442093</v>
      </c>
      <c r="V89" s="68" t="n">
        <f aca="false">V88/(V12*1000000000000000*V16*V71*V17)/3600</f>
        <v>56530.9765079365</v>
      </c>
      <c r="W89" s="68" t="n">
        <f aca="false">W88/(W12*1000000000000000*W16*W71*W17)/3600</f>
        <v>15643.9504442093</v>
      </c>
      <c r="X89" s="68" t="n">
        <f aca="false">X88/(X12*1000000000000000*X16*X71*X17)/3600</f>
        <v>56530.9765079365</v>
      </c>
      <c r="Y89" s="68" t="n">
        <f aca="false">Y88/(Y12*1000000000000000*Y16*Y71*Y17)/3600</f>
        <v>15643.9504442093</v>
      </c>
      <c r="Z89" s="68" t="n">
        <f aca="false">Z88/(Z12*1000000000000000*Z16*Z71*Z17)/3600</f>
        <v>56530.9765079365</v>
      </c>
      <c r="AA89" s="68" t="n">
        <f aca="false">AA88/(AA12*1000000000000000*AA16*AA71*AA17)/3600</f>
        <v>15643.9504442093</v>
      </c>
      <c r="AB89" s="68" t="n">
        <f aca="false">AB88/(AB12*1000000000000000*AB16*AB71*AB17)/3600</f>
        <v>56530.9765079365</v>
      </c>
      <c r="AC89" s="68" t="n">
        <f aca="false">AC88/(AC12*1000000000000000*AC16*AC71*AC17)/3600</f>
        <v>15643.9504442093</v>
      </c>
      <c r="AD89" s="68" t="n">
        <f aca="false">AD88/(AD12*1000000000000000*AD16*AD71*AD17)/3600</f>
        <v>56530.9765079365</v>
      </c>
      <c r="AE89" s="68" t="n">
        <f aca="false">AE88/(AE12*1000000000000000*AE16*AE71*AE17)/3600</f>
        <v>15643.9504442093</v>
      </c>
      <c r="AF89" s="68" t="n">
        <f aca="false">AF88/(AF12*1000000000000000*AF16*AF71*AF17)/3600</f>
        <v>56530.9765079365</v>
      </c>
      <c r="AG89" s="68" t="n">
        <f aca="false">AG88/(AG12*1000000000000000*AG16*AG71*AG17)/3600</f>
        <v>17599.4442497355</v>
      </c>
      <c r="AH89" s="68" t="n">
        <f aca="false">AH88/(AH12*1000000000000000*AH16*AH71*AH17)/3600</f>
        <v>63597.3485714286</v>
      </c>
    </row>
    <row r="90" customFormat="false" ht="15" hidden="false" customHeight="false" outlineLevel="0" collapsed="false">
      <c r="A90" s="61" t="s">
        <v>1228</v>
      </c>
      <c r="B90" s="62" t="s">
        <v>1180</v>
      </c>
      <c r="C90" s="68" t="n">
        <f aca="false">IF(AND(ISNUMBER(C86)),C86+C87+C89,"SLO 不可達")</f>
        <v>32953.1612284354</v>
      </c>
      <c r="D90" s="68" t="n">
        <f aca="false">IF(AND(ISNUMBER(D86)),D86+D87+D89,"SLO 不可達")</f>
        <v>129046.746388834</v>
      </c>
      <c r="E90" s="68" t="n">
        <f aca="false">IF(AND(ISNUMBER(E86)),E86+E87+E89,"SLO 不可達")</f>
        <v>43382.4615245749</v>
      </c>
      <c r="F90" s="68" t="n">
        <f aca="false">IF(AND(ISNUMBER(F86)),F86+F87+F89,"SLO 不可達")</f>
        <v>166734.064060792</v>
      </c>
      <c r="G90" s="68" t="n">
        <f aca="false">IF(AND(ISNUMBER(G86)),G86+G87+G89,"SLO 不可達")</f>
        <v>27086.6798118569</v>
      </c>
      <c r="H90" s="68" t="n">
        <f aca="false">IF(AND(ISNUMBER(H86)),H86+H87+H89,"SLO 不可達")</f>
        <v>107847.630198358</v>
      </c>
      <c r="I90" s="68" t="n">
        <f aca="false">IF(AND(ISNUMBER(I86)),I86+I87+I89,"SLO 不可達")</f>
        <v>25131.1860063307</v>
      </c>
      <c r="J90" s="68" t="n">
        <f aca="false">IF(AND(ISNUMBER(J86)),J86+J87+J89,"SLO 不可達")</f>
        <v>100781.258134866</v>
      </c>
      <c r="K90" s="68" t="n">
        <f aca="false">IF(AND(ISNUMBER(K86)),K86+K87+K89,"SLO 不可達")</f>
        <v>32953.1612284354</v>
      </c>
      <c r="L90" s="68" t="n">
        <f aca="false">IF(AND(ISNUMBER(L86)),L86+L87+L89,"SLO 不可達")</f>
        <v>129046.746388834</v>
      </c>
      <c r="M90" s="68" t="n">
        <f aca="false">IF(AND(ISNUMBER(M86)),M86+M87+M89,"SLO 不可達")</f>
        <v>32953.1612284354</v>
      </c>
      <c r="N90" s="68" t="n">
        <f aca="false">IF(AND(ISNUMBER(N86)),N86+N87+N89,"SLO 不可達")</f>
        <v>129046.746388834</v>
      </c>
      <c r="O90" s="68" t="n">
        <f aca="false">IF(AND(ISNUMBER(O86)),O86+O87+O89,"SLO 不可達")</f>
        <v>32953.1612284354</v>
      </c>
      <c r="P90" s="68" t="n">
        <f aca="false">IF(AND(ISNUMBER(P86)),P86+P87+P89,"SLO 不可達")</f>
        <v>129046.746388834</v>
      </c>
      <c r="Q90" s="68" t="n">
        <f aca="false">IF(AND(ISNUMBER(Q86)),Q86+Q87+Q89,"SLO 不可達")</f>
        <v>32953.1612284354</v>
      </c>
      <c r="R90" s="68" t="n">
        <f aca="false">IF(AND(ISNUMBER(R86)),R86+R87+R89,"SLO 不可達")</f>
        <v>129046.746388834</v>
      </c>
      <c r="S90" s="68" t="n">
        <f aca="false">IF(AND(ISNUMBER(S86)),S86+S87+S89,"SLO 不可達")</f>
        <v>39730.395647308</v>
      </c>
      <c r="T90" s="68" t="n">
        <f aca="false">IF(AND(ISNUMBER(T86)),T86+T87+T89,"SLO 不可達")</f>
        <v>157938.021807463</v>
      </c>
      <c r="U90" s="68" t="n">
        <f aca="false">IF(AND(ISNUMBER(U86)),U86+U87+U89,"SLO 不可達")</f>
        <v>31241.0177962992</v>
      </c>
      <c r="V90" s="68" t="n">
        <f aca="false">IF(AND(ISNUMBER(V86)),V86+V87+V89,"SLO 不可達")</f>
        <v>121747.897862023</v>
      </c>
      <c r="W90" s="68" t="n">
        <f aca="false">IF(AND(ISNUMBER(W86)),W86+W87+W89,"SLO 不可達")</f>
        <v>41297.4912207224</v>
      </c>
      <c r="X90" s="68" t="n">
        <f aca="false">IF(AND(ISNUMBER(X86)),X86+X87+X89,"SLO 不可達")</f>
        <v>165175.442144149</v>
      </c>
      <c r="Y90" s="68" t="n">
        <f aca="false">IF(AND(ISNUMBER(Y86)),Y86+Y87+Y89,"SLO 不可達")</f>
        <v>32953.1612284354</v>
      </c>
      <c r="Z90" s="68" t="n">
        <f aca="false">IF(AND(ISNUMBER(Z86)),Z86+Z87+Z89,"SLO 不可達")</f>
        <v>129046.746388834</v>
      </c>
      <c r="AA90" s="68" t="n">
        <f aca="false">IF(AND(ISNUMBER(AA86)),AA86+AA87+AA89,"SLO 不可達")</f>
        <v>32953.1612284354</v>
      </c>
      <c r="AB90" s="68" t="n">
        <f aca="false">IF(AND(ISNUMBER(AB86)),AB86+AB87+AB89,"SLO 不可達")</f>
        <v>129046.746388834</v>
      </c>
      <c r="AC90" s="68" t="n">
        <f aca="false">IF(AND(ISNUMBER(AC86)),AC86+AC87+AC89,"SLO 不可達")</f>
        <v>32953.1612284354</v>
      </c>
      <c r="AD90" s="68" t="n">
        <f aca="false">IF(AND(ISNUMBER(AD86)),AD86+AD87+AD89,"SLO 不可達")</f>
        <v>129046.746388834</v>
      </c>
      <c r="AE90" s="68" t="n">
        <f aca="false">IF(AND(ISNUMBER(AE86)),AE86+AE87+AE89,"SLO 不可達")</f>
        <v>32953.1612284354</v>
      </c>
      <c r="AF90" s="68" t="n">
        <f aca="false">IF(AND(ISNUMBER(AF86)),AF86+AF87+AF89,"SLO 不可達")</f>
        <v>129046.746388834</v>
      </c>
      <c r="AG90" s="68" t="n">
        <f aca="false">IF(AND(ISNUMBER(AG86)),AG86+AG87+AG89,"SLO 不可達")</f>
        <v>34908.6550339616</v>
      </c>
      <c r="AH90" s="68" t="n">
        <f aca="false">IF(AND(ISNUMBER(AH86)),AH86+AH87+AH89,"SLO 不可達")</f>
        <v>136113.118452327</v>
      </c>
    </row>
    <row r="91" customFormat="false" ht="15" hidden="false" customHeight="false" outlineLevel="0" collapsed="false">
      <c r="A91" s="61" t="s">
        <v>1229</v>
      </c>
      <c r="B91" s="62" t="s">
        <v>330</v>
      </c>
      <c r="C91" s="144" t="n">
        <f aca="false">C81*1000000000000*C61*1000000000+C83*1000000000000*C85*1000000000+C88</f>
        <v>1.85866428781363E+023</v>
      </c>
      <c r="D91" s="144" t="n">
        <f aca="false">D81*1000000000000*D61*1000000000+D83*1000000000000*D85*1000000000+D88</f>
        <v>6.5700820992E+023</v>
      </c>
      <c r="E91" s="144" t="n">
        <f aca="false">E81*1000000000000*E61*1000000000+E83*1000000000000*E85*1000000000+E88</f>
        <v>1.85866428781363E+023</v>
      </c>
      <c r="F91" s="144" t="n">
        <f aca="false">F81*1000000000000*F61*1000000000+F83*1000000000000*F85*1000000000+F88</f>
        <v>6.5700820992E+023</v>
      </c>
      <c r="G91" s="144" t="n">
        <f aca="false">G81*1000000000000*G61*1000000000+G83*1000000000000*G85*1000000000+G88</f>
        <v>1.85866428781363E+023</v>
      </c>
      <c r="H91" s="144" t="n">
        <f aca="false">H81*1000000000000*H61*1000000000+H83*1000000000000*H85*1000000000+H88</f>
        <v>6.5700820992E+023</v>
      </c>
      <c r="I91" s="144" t="n">
        <f aca="false">I81*1000000000000*I61*1000000000+I83*1000000000000*I85*1000000000+I88</f>
        <v>1.85866428781363E+023</v>
      </c>
      <c r="J91" s="144" t="n">
        <f aca="false">J81*1000000000000*J61*1000000000+J83*1000000000000*J85*1000000000+J88</f>
        <v>6.5700820992E+023</v>
      </c>
      <c r="K91" s="144" t="n">
        <f aca="false">K81*1000000000000*K61*1000000000+K83*1000000000000*K85*1000000000+K88</f>
        <v>1.85866428781363E+023</v>
      </c>
      <c r="L91" s="144" t="n">
        <f aca="false">L81*1000000000000*L61*1000000000+L83*1000000000000*L85*1000000000+L88</f>
        <v>6.5700820992E+023</v>
      </c>
      <c r="M91" s="144" t="n">
        <f aca="false">M81*1000000000000*M61*1000000000+M83*1000000000000*M85*1000000000+M88</f>
        <v>1.85866428781363E+023</v>
      </c>
      <c r="N91" s="144" t="n">
        <f aca="false">N81*1000000000000*N61*1000000000+N83*1000000000000*N85*1000000000+N88</f>
        <v>6.5700820992E+023</v>
      </c>
      <c r="O91" s="144" t="n">
        <f aca="false">O81*1000000000000*O61*1000000000+O83*1000000000000*O85*1000000000+O88</f>
        <v>1.85866428781363E+023</v>
      </c>
      <c r="P91" s="144" t="n">
        <f aca="false">P81*1000000000000*P61*1000000000+P83*1000000000000*P85*1000000000+P88</f>
        <v>6.5700820992E+023</v>
      </c>
      <c r="Q91" s="144" t="n">
        <f aca="false">Q81*1000000000000*Q61*1000000000+Q83*1000000000000*Q85*1000000000+Q88</f>
        <v>1.85866428781363E+023</v>
      </c>
      <c r="R91" s="144" t="n">
        <f aca="false">R81*1000000000000*R61*1000000000+R83*1000000000000*R85*1000000000+R88</f>
        <v>6.5700820992E+023</v>
      </c>
      <c r="S91" s="144" t="n">
        <f aca="false">S81*1000000000000*S61*1000000000+S83*1000000000000*S85*1000000000+S88</f>
        <v>1.85866428781363E+023</v>
      </c>
      <c r="T91" s="144" t="n">
        <f aca="false">T81*1000000000000*T61*1000000000+T83*1000000000000*T85*1000000000+T88</f>
        <v>6.5700820992E+023</v>
      </c>
      <c r="U91" s="144" t="n">
        <f aca="false">U81*1000000000000*U61*1000000000+U83*1000000000000*U85*1000000000+U88</f>
        <v>1.85866428781363E+023</v>
      </c>
      <c r="V91" s="144" t="n">
        <f aca="false">V81*1000000000000*V61*1000000000+V83*1000000000000*V85*1000000000+V88</f>
        <v>6.5700820992E+023</v>
      </c>
      <c r="W91" s="144" t="n">
        <f aca="false">W81*1000000000000*W61*1000000000+W83*1000000000000*W85*1000000000+W88</f>
        <v>1.85866428781363E+023</v>
      </c>
      <c r="X91" s="144" t="n">
        <f aca="false">X81*1000000000000*X61*1000000000+X83*1000000000000*X85*1000000000+X88</f>
        <v>6.5700820992E+023</v>
      </c>
      <c r="Y91" s="144" t="n">
        <f aca="false">Y81*1000000000000*Y61*1000000000+Y83*1000000000000*Y85*1000000000+Y88</f>
        <v>1.85866428781363E+023</v>
      </c>
      <c r="Z91" s="144" t="n">
        <f aca="false">Z81*1000000000000*Z61*1000000000+Z83*1000000000000*Z85*1000000000+Z88</f>
        <v>6.5700820992E+023</v>
      </c>
      <c r="AA91" s="144" t="n">
        <f aca="false">AA81*1000000000000*AA61*1000000000+AA83*1000000000000*AA85*1000000000+AA88</f>
        <v>1.85866428781363E+023</v>
      </c>
      <c r="AB91" s="144" t="n">
        <f aca="false">AB81*1000000000000*AB61*1000000000+AB83*1000000000000*AB85*1000000000+AB88</f>
        <v>6.5700820992E+023</v>
      </c>
      <c r="AC91" s="144" t="n">
        <f aca="false">AC81*1000000000000*AC61*1000000000+AC83*1000000000000*AC85*1000000000+AC88</f>
        <v>1.85866428781363E+023</v>
      </c>
      <c r="AD91" s="144" t="n">
        <f aca="false">AD81*1000000000000*AD61*1000000000+AD83*1000000000000*AD85*1000000000+AD88</f>
        <v>6.5700820992E+023</v>
      </c>
      <c r="AE91" s="144" t="n">
        <f aca="false">AE81*1000000000000*AE61*1000000000+AE83*1000000000000*AE85*1000000000+AE88</f>
        <v>1.85866428781363E+023</v>
      </c>
      <c r="AF91" s="144" t="n">
        <f aca="false">AF81*1000000000000*AF61*1000000000+AF83*1000000000000*AF85*1000000000+AF88</f>
        <v>6.5700820992E+023</v>
      </c>
      <c r="AG91" s="144" t="n">
        <f aca="false">AG81*1000000000000*AG61*1000000000+AG83*1000000000000*AG85*1000000000+AG88</f>
        <v>1.85866428781363E+023</v>
      </c>
      <c r="AH91" s="144" t="n">
        <f aca="false">AH81*1000000000000*AH61*1000000000+AH83*1000000000000*AH85*1000000000+AH88</f>
        <v>6.5700820992E+023</v>
      </c>
    </row>
    <row r="92" customFormat="false" ht="15" hidden="false" customHeight="false" outlineLevel="0" collapsed="false">
      <c r="A92" s="76" t="s">
        <v>1230</v>
      </c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</row>
    <row r="93" customFormat="false" ht="15" hidden="false" customHeight="false" outlineLevel="0" collapsed="false">
      <c r="A93" s="61" t="s">
        <v>1231</v>
      </c>
      <c r="B93" s="62" t="s">
        <v>1103</v>
      </c>
      <c r="C93" s="98" t="n">
        <f aca="false">INDEX(Train_In!$C$37:$E$37,C$7)</f>
        <v>2</v>
      </c>
      <c r="D93" s="98" t="n">
        <f aca="false">INDEX(Train_In!$C$37:$E$37,D$7)</f>
        <v>3</v>
      </c>
      <c r="E93" s="98" t="n">
        <f aca="false">INDEX(Train_In!$C$37:$E$37,E$7)</f>
        <v>2</v>
      </c>
      <c r="F93" s="98" t="n">
        <f aca="false">INDEX(Train_In!$C$37:$E$37,F$7)</f>
        <v>3</v>
      </c>
      <c r="G93" s="98" t="n">
        <f aca="false">INDEX(Train_In!$C$37:$E$37,G$7)</f>
        <v>2</v>
      </c>
      <c r="H93" s="98" t="n">
        <f aca="false">INDEX(Train_In!$C$37:$E$37,H$7)</f>
        <v>3</v>
      </c>
      <c r="I93" s="98" t="n">
        <f aca="false">INDEX(Train_In!$C$37:$E$37,I$7)</f>
        <v>2</v>
      </c>
      <c r="J93" s="98" t="n">
        <f aca="false">INDEX(Train_In!$C$37:$E$37,J$7)</f>
        <v>3</v>
      </c>
      <c r="K93" s="98" t="n">
        <f aca="false">INDEX(Train_In!$C$37:$E$37,K$7)</f>
        <v>2</v>
      </c>
      <c r="L93" s="98" t="n">
        <f aca="false">INDEX(Train_In!$C$37:$E$37,L$7)</f>
        <v>3</v>
      </c>
      <c r="M93" s="98" t="n">
        <f aca="false">INDEX(Train_In!$C$37:$E$37,M$7)</f>
        <v>2</v>
      </c>
      <c r="N93" s="98" t="n">
        <f aca="false">INDEX(Train_In!$C$37:$E$37,N$7)</f>
        <v>3</v>
      </c>
      <c r="O93" s="98" t="n">
        <f aca="false">INDEX(Train_In!$C$37:$E$37,O$7)</f>
        <v>2</v>
      </c>
      <c r="P93" s="98" t="n">
        <f aca="false">INDEX(Train_In!$C$37:$E$37,P$7)</f>
        <v>3</v>
      </c>
      <c r="Q93" s="98" t="n">
        <f aca="false">INDEX(Train_In!$C$37:$E$37,Q$7)</f>
        <v>2</v>
      </c>
      <c r="R93" s="98" t="n">
        <f aca="false">INDEX(Train_In!$C$37:$E$37,R$7)</f>
        <v>3</v>
      </c>
      <c r="S93" s="98" t="n">
        <f aca="false">INDEX(Train_In!$C$37:$E$37,S$7)</f>
        <v>2</v>
      </c>
      <c r="T93" s="98" t="n">
        <f aca="false">INDEX(Train_In!$C$37:$E$37,T$7)</f>
        <v>3</v>
      </c>
      <c r="U93" s="98" t="n">
        <f aca="false">INDEX(Train_In!$C$37:$E$37,U$7)</f>
        <v>2</v>
      </c>
      <c r="V93" s="98" t="n">
        <f aca="false">INDEX(Train_In!$C$37:$E$37,V$7)</f>
        <v>3</v>
      </c>
      <c r="W93" s="98" t="n">
        <f aca="false">INDEX(Train_In!$C$37:$E$37,W$7)</f>
        <v>2</v>
      </c>
      <c r="X93" s="98" t="n">
        <f aca="false">INDEX(Train_In!$C$37:$E$37,X$7)</f>
        <v>3</v>
      </c>
      <c r="Y93" s="146" t="n">
        <f aca="false">INDEX(Train_In!$C$37:$E$37,Y$7)*Y$8</f>
        <v>0</v>
      </c>
      <c r="Z93" s="146" t="n">
        <f aca="false">INDEX(Train_In!$C$37:$E$37,Z$7)*Z$8</f>
        <v>0</v>
      </c>
      <c r="AA93" s="146" t="n">
        <f aca="false">INDEX(Train_In!$C$37:$E$37,AA$7)*AA$8</f>
        <v>6</v>
      </c>
      <c r="AB93" s="146" t="n">
        <f aca="false">INDEX(Train_In!$C$37:$E$37,AB$7)*AB$8</f>
        <v>9</v>
      </c>
      <c r="AC93" s="98" t="n">
        <f aca="false">INDEX(Train_In!$C$37:$E$37,AC$7)</f>
        <v>2</v>
      </c>
      <c r="AD93" s="98" t="n">
        <f aca="false">INDEX(Train_In!$C$37:$E$37,AD$7)</f>
        <v>3</v>
      </c>
      <c r="AE93" s="98" t="n">
        <f aca="false">INDEX(Train_In!$C$37:$E$37,AE$7)</f>
        <v>2</v>
      </c>
      <c r="AF93" s="98" t="n">
        <f aca="false">INDEX(Train_In!$C$37:$E$37,AF$7)</f>
        <v>3</v>
      </c>
      <c r="AG93" s="98" t="n">
        <f aca="false">INDEX(Train_In!$C$37:$E$37,AG$7)</f>
        <v>2</v>
      </c>
      <c r="AH93" s="98" t="n">
        <f aca="false">INDEX(Train_In!$C$37:$E$37,AH$7)</f>
        <v>3</v>
      </c>
    </row>
    <row r="94" customFormat="false" ht="15" hidden="false" customHeight="false" outlineLevel="0" collapsed="false">
      <c r="A94" s="61" t="s">
        <v>1232</v>
      </c>
      <c r="B94" s="61"/>
      <c r="C94" s="89" t="n">
        <f aca="false">Train_In!$C$15</f>
        <v>3</v>
      </c>
      <c r="D94" s="89" t="n">
        <f aca="false">Train_In!$C$15</f>
        <v>3</v>
      </c>
      <c r="E94" s="89" t="n">
        <f aca="false">Train_In!$C$15</f>
        <v>3</v>
      </c>
      <c r="F94" s="89" t="n">
        <f aca="false">Train_In!$C$15</f>
        <v>3</v>
      </c>
      <c r="G94" s="89" t="n">
        <f aca="false">Train_In!$C$15</f>
        <v>3</v>
      </c>
      <c r="H94" s="89" t="n">
        <f aca="false">Train_In!$C$15</f>
        <v>3</v>
      </c>
      <c r="I94" s="89" t="n">
        <f aca="false">Train_In!$C$15</f>
        <v>3</v>
      </c>
      <c r="J94" s="89" t="n">
        <f aca="false">Train_In!$C$15</f>
        <v>3</v>
      </c>
      <c r="K94" s="89" t="n">
        <f aca="false">Train_In!$C$15</f>
        <v>3</v>
      </c>
      <c r="L94" s="89" t="n">
        <f aca="false">Train_In!$C$15</f>
        <v>3</v>
      </c>
      <c r="M94" s="89" t="n">
        <f aca="false">Train_In!$C$15</f>
        <v>3</v>
      </c>
      <c r="N94" s="89" t="n">
        <f aca="false">Train_In!$C$15</f>
        <v>3</v>
      </c>
      <c r="O94" s="89" t="n">
        <f aca="false">Train_In!$C$15</f>
        <v>3</v>
      </c>
      <c r="P94" s="89" t="n">
        <f aca="false">Train_In!$C$15</f>
        <v>3</v>
      </c>
      <c r="Q94" s="89" t="n">
        <f aca="false">Train_In!$C$15</f>
        <v>3</v>
      </c>
      <c r="R94" s="89" t="n">
        <f aca="false">Train_In!$C$15</f>
        <v>3</v>
      </c>
      <c r="S94" s="89" t="n">
        <f aca="false">Train_In!$C$15</f>
        <v>3</v>
      </c>
      <c r="T94" s="89" t="n">
        <f aca="false">Train_In!$C$15</f>
        <v>3</v>
      </c>
      <c r="U94" s="89" t="n">
        <f aca="false">Train_In!$C$15</f>
        <v>3</v>
      </c>
      <c r="V94" s="89" t="n">
        <f aca="false">Train_In!$C$15</f>
        <v>3</v>
      </c>
      <c r="W94" s="89" t="n">
        <f aca="false">Train_In!$C$15</f>
        <v>3</v>
      </c>
      <c r="X94" s="89" t="n">
        <f aca="false">Train_In!$C$15</f>
        <v>3</v>
      </c>
      <c r="Y94" s="89" t="n">
        <f aca="false">Train_In!$C$15</f>
        <v>3</v>
      </c>
      <c r="Z94" s="89" t="n">
        <f aca="false">Train_In!$C$15</f>
        <v>3</v>
      </c>
      <c r="AA94" s="89" t="n">
        <f aca="false">Train_In!$C$15</f>
        <v>3</v>
      </c>
      <c r="AB94" s="89" t="n">
        <f aca="false">Train_In!$C$15</f>
        <v>3</v>
      </c>
      <c r="AC94" s="89" t="n">
        <f aca="false">Train_In!$C$15</f>
        <v>3</v>
      </c>
      <c r="AD94" s="89" t="n">
        <f aca="false">Train_In!$C$15</f>
        <v>3</v>
      </c>
      <c r="AE94" s="89" t="n">
        <f aca="false">Train_In!$C$15</f>
        <v>3</v>
      </c>
      <c r="AF94" s="89" t="n">
        <f aca="false">Train_In!$C$15</f>
        <v>3</v>
      </c>
      <c r="AG94" s="89" t="n">
        <f aca="false">Train_In!$C$15</f>
        <v>3</v>
      </c>
      <c r="AH94" s="89" t="n">
        <f aca="false">Train_In!$C$15</f>
        <v>3</v>
      </c>
    </row>
    <row r="95" customFormat="false" ht="15" hidden="false" customHeight="false" outlineLevel="0" collapsed="false">
      <c r="A95" s="61" t="s">
        <v>1233</v>
      </c>
      <c r="B95" s="62" t="s">
        <v>935</v>
      </c>
      <c r="C95" s="98" t="n">
        <f aca="false">INDEX(Perf_Batch!$C$103:$Q$103,3*(C$6-1)+C94)</f>
        <v>1060.88763337202</v>
      </c>
      <c r="D95" s="98" t="n">
        <f aca="false">INDEX(Perf_Batch!$C$103:$Q$103,3*(D$6-1)+D94)</f>
        <v>1060.88763337202</v>
      </c>
      <c r="E95" s="98" t="n">
        <f aca="false">INDEX(Perf_Batch!$C$103:$Q$103,3*(E$6-1)+E94)</f>
        <v>1060.88763337202</v>
      </c>
      <c r="F95" s="98" t="n">
        <f aca="false">INDEX(Perf_Batch!$C$103:$Q$103,3*(F$6-1)+F94)</f>
        <v>1060.88763337202</v>
      </c>
      <c r="G95" s="98" t="n">
        <f aca="false">INDEX(Perf_Batch!$C$103:$Q$103,3*(G$6-1)+G94)</f>
        <v>1060.88763337202</v>
      </c>
      <c r="H95" s="98" t="n">
        <f aca="false">INDEX(Perf_Batch!$C$103:$Q$103,3*(H$6-1)+H94)</f>
        <v>1060.88763337202</v>
      </c>
      <c r="I95" s="98" t="n">
        <f aca="false">INDEX(Perf_Batch!$C$103:$Q$103,3*(I$6-1)+I94)</f>
        <v>1060.88763337202</v>
      </c>
      <c r="J95" s="98" t="n">
        <f aca="false">INDEX(Perf_Batch!$C$103:$Q$103,3*(J$6-1)+J94)</f>
        <v>1060.88763337202</v>
      </c>
      <c r="K95" s="98" t="n">
        <f aca="false">INDEX(Perf_Batch!$C$103:$Q$103,3*(K$6-1)+K94)</f>
        <v>1060.88763337202</v>
      </c>
      <c r="L95" s="98" t="n">
        <f aca="false">INDEX(Perf_Batch!$C$103:$Q$103,3*(L$6-1)+L94)</f>
        <v>1060.88763337202</v>
      </c>
      <c r="M95" s="98" t="n">
        <f aca="false">INDEX(Perf_Batch!$C$103:$Q$103,3*(M$6-1)+M94)</f>
        <v>1060.88763337202</v>
      </c>
      <c r="N95" s="98" t="n">
        <f aca="false">INDEX(Perf_Batch!$C$103:$Q$103,3*(N$6-1)+N94)</f>
        <v>1060.88763337202</v>
      </c>
      <c r="O95" s="98" t="n">
        <f aca="false">INDEX(Perf_Batch!$C$103:$Q$103,3*(O$6-1)+O94)</f>
        <v>1060.88763337202</v>
      </c>
      <c r="P95" s="98" t="n">
        <f aca="false">INDEX(Perf_Batch!$C$103:$Q$103,3*(P$6-1)+P94)</f>
        <v>1060.88763337202</v>
      </c>
      <c r="Q95" s="98" t="n">
        <f aca="false">INDEX(Perf_Batch!$C$103:$Q$103,3*(Q$6-1)+Q94)</f>
        <v>1060.88763337202</v>
      </c>
      <c r="R95" s="98" t="n">
        <f aca="false">INDEX(Perf_Batch!$C$103:$Q$103,3*(R$6-1)+R94)</f>
        <v>1060.88763337202</v>
      </c>
      <c r="S95" s="98" t="n">
        <f aca="false">INDEX(Perf_Batch!$C$103:$Q$103,3*(S$6-1)+S94)</f>
        <v>1060.88763337202</v>
      </c>
      <c r="T95" s="98" t="n">
        <f aca="false">INDEX(Perf_Batch!$C$103:$Q$103,3*(T$6-1)+T94)</f>
        <v>1060.88763337202</v>
      </c>
      <c r="U95" s="98" t="n">
        <f aca="false">INDEX(Perf_Batch!$C$103:$Q$103,3*(U$6-1)+U94)</f>
        <v>1060.88763337202</v>
      </c>
      <c r="V95" s="98" t="n">
        <f aca="false">INDEX(Perf_Batch!$C$103:$Q$103,3*(V$6-1)+V94)</f>
        <v>1060.88763337202</v>
      </c>
      <c r="W95" s="98" t="n">
        <f aca="false">INDEX(Perf_Batch!$C$103:$Q$103,3*(W$6-1)+W94)</f>
        <v>1060.88763337202</v>
      </c>
      <c r="X95" s="98" t="n">
        <f aca="false">INDEX(Perf_Batch!$C$103:$Q$103,3*(X$6-1)+X94)</f>
        <v>1060.88763337202</v>
      </c>
      <c r="Y95" s="98" t="n">
        <f aca="false">INDEX(Perf_Batch!$C$103:$Q$103,3*(Y$6-1)+Y94)</f>
        <v>1060.88763337202</v>
      </c>
      <c r="Z95" s="98" t="n">
        <f aca="false">INDEX(Perf_Batch!$C$103:$Q$103,3*(Z$6-1)+Z94)</f>
        <v>1060.88763337202</v>
      </c>
      <c r="AA95" s="98" t="n">
        <f aca="false">INDEX(Perf_Batch!$C$103:$Q$103,3*(AA$6-1)+AA94)</f>
        <v>1060.88763337202</v>
      </c>
      <c r="AB95" s="98" t="n">
        <f aca="false">INDEX(Perf_Batch!$C$103:$Q$103,3*(AB$6-1)+AB94)</f>
        <v>1060.88763337202</v>
      </c>
      <c r="AC95" s="98" t="n">
        <f aca="false">INDEX(Perf_Batch!$C$103:$Q$103,3*(AC$6-1)+AC94)</f>
        <v>1060.88763337202</v>
      </c>
      <c r="AD95" s="98" t="n">
        <f aca="false">INDEX(Perf_Batch!$C$103:$Q$103,3*(AD$6-1)+AD94)</f>
        <v>1060.88763337202</v>
      </c>
      <c r="AE95" s="98" t="n">
        <f aca="false">INDEX(Perf_Batch!$C$103:$Q$103,3*(AE$6-1)+AE94)</f>
        <v>1060.88763337202</v>
      </c>
      <c r="AF95" s="98" t="n">
        <f aca="false">INDEX(Perf_Batch!$C$103:$Q$103,3*(AF$6-1)+AF94)</f>
        <v>1060.88763337202</v>
      </c>
      <c r="AG95" s="98" t="n">
        <f aca="false">INDEX(Perf_Batch!$C$103:$Q$103,3*(AG$6-1)+AG94)</f>
        <v>1060.88763337202</v>
      </c>
      <c r="AH95" s="98" t="n">
        <f aca="false">INDEX(Perf_Batch!$C$103:$Q$103,3*(AH$6-1)+AH94)</f>
        <v>1060.88763337202</v>
      </c>
    </row>
    <row r="96" customFormat="false" ht="15" hidden="false" customHeight="false" outlineLevel="0" collapsed="false">
      <c r="A96" s="61" t="s">
        <v>1234</v>
      </c>
      <c r="B96" s="62" t="s">
        <v>539</v>
      </c>
      <c r="C96" s="98" t="n">
        <f aca="false">INDEX(Perf_Batch!$C$65:$Q$65,3*(C$6-1)+C94)</f>
        <v>521.0612736</v>
      </c>
      <c r="D96" s="98" t="n">
        <f aca="false">INDEX(Perf_Batch!$C$65:$Q$65,3*(D$6-1)+D94)</f>
        <v>521.0612736</v>
      </c>
      <c r="E96" s="98" t="n">
        <f aca="false">INDEX(Perf_Batch!$C$65:$Q$65,3*(E$6-1)+E94)</f>
        <v>521.0612736</v>
      </c>
      <c r="F96" s="98" t="n">
        <f aca="false">INDEX(Perf_Batch!$C$65:$Q$65,3*(F$6-1)+F94)</f>
        <v>521.0612736</v>
      </c>
      <c r="G96" s="98" t="n">
        <f aca="false">INDEX(Perf_Batch!$C$65:$Q$65,3*(G$6-1)+G94)</f>
        <v>521.0612736</v>
      </c>
      <c r="H96" s="98" t="n">
        <f aca="false">INDEX(Perf_Batch!$C$65:$Q$65,3*(H$6-1)+H94)</f>
        <v>521.0612736</v>
      </c>
      <c r="I96" s="98" t="n">
        <f aca="false">INDEX(Perf_Batch!$C$65:$Q$65,3*(I$6-1)+I94)</f>
        <v>521.0612736</v>
      </c>
      <c r="J96" s="98" t="n">
        <f aca="false">INDEX(Perf_Batch!$C$65:$Q$65,3*(J$6-1)+J94)</f>
        <v>521.0612736</v>
      </c>
      <c r="K96" s="98" t="n">
        <f aca="false">INDEX(Perf_Batch!$C$65:$Q$65,3*(K$6-1)+K94)</f>
        <v>521.0612736</v>
      </c>
      <c r="L96" s="98" t="n">
        <f aca="false">INDEX(Perf_Batch!$C$65:$Q$65,3*(L$6-1)+L94)</f>
        <v>521.0612736</v>
      </c>
      <c r="M96" s="98" t="n">
        <f aca="false">INDEX(Perf_Batch!$C$65:$Q$65,3*(M$6-1)+M94)</f>
        <v>521.0612736</v>
      </c>
      <c r="N96" s="98" t="n">
        <f aca="false">INDEX(Perf_Batch!$C$65:$Q$65,3*(N$6-1)+N94)</f>
        <v>521.0612736</v>
      </c>
      <c r="O96" s="98" t="n">
        <f aca="false">INDEX(Perf_Batch!$C$65:$Q$65,3*(O$6-1)+O94)</f>
        <v>521.0612736</v>
      </c>
      <c r="P96" s="98" t="n">
        <f aca="false">INDEX(Perf_Batch!$C$65:$Q$65,3*(P$6-1)+P94)</f>
        <v>521.0612736</v>
      </c>
      <c r="Q96" s="98" t="n">
        <f aca="false">INDEX(Perf_Batch!$C$65:$Q$65,3*(Q$6-1)+Q94)</f>
        <v>521.0612736</v>
      </c>
      <c r="R96" s="98" t="n">
        <f aca="false">INDEX(Perf_Batch!$C$65:$Q$65,3*(R$6-1)+R94)</f>
        <v>521.0612736</v>
      </c>
      <c r="S96" s="98" t="n">
        <f aca="false">INDEX(Perf_Batch!$C$65:$Q$65,3*(S$6-1)+S94)</f>
        <v>521.0612736</v>
      </c>
      <c r="T96" s="98" t="n">
        <f aca="false">INDEX(Perf_Batch!$C$65:$Q$65,3*(T$6-1)+T94)</f>
        <v>521.0612736</v>
      </c>
      <c r="U96" s="98" t="n">
        <f aca="false">INDEX(Perf_Batch!$C$65:$Q$65,3*(U$6-1)+U94)</f>
        <v>521.0612736</v>
      </c>
      <c r="V96" s="98" t="n">
        <f aca="false">INDEX(Perf_Batch!$C$65:$Q$65,3*(V$6-1)+V94)</f>
        <v>521.0612736</v>
      </c>
      <c r="W96" s="98" t="n">
        <f aca="false">INDEX(Perf_Batch!$C$65:$Q$65,3*(W$6-1)+W94)</f>
        <v>521.0612736</v>
      </c>
      <c r="X96" s="98" t="n">
        <f aca="false">INDEX(Perf_Batch!$C$65:$Q$65,3*(X$6-1)+X94)</f>
        <v>521.0612736</v>
      </c>
      <c r="Y96" s="98" t="n">
        <f aca="false">INDEX(Perf_Batch!$C$65:$Q$65,3*(Y$6-1)+Y94)</f>
        <v>521.0612736</v>
      </c>
      <c r="Z96" s="98" t="n">
        <f aca="false">INDEX(Perf_Batch!$C$65:$Q$65,3*(Z$6-1)+Z94)</f>
        <v>521.0612736</v>
      </c>
      <c r="AA96" s="98" t="n">
        <f aca="false">INDEX(Perf_Batch!$C$65:$Q$65,3*(AA$6-1)+AA94)</f>
        <v>521.0612736</v>
      </c>
      <c r="AB96" s="98" t="n">
        <f aca="false">INDEX(Perf_Batch!$C$65:$Q$65,3*(AB$6-1)+AB94)</f>
        <v>521.0612736</v>
      </c>
      <c r="AC96" s="98" t="n">
        <f aca="false">INDEX(Perf_Batch!$C$65:$Q$65,3*(AC$6-1)+AC94)</f>
        <v>521.0612736</v>
      </c>
      <c r="AD96" s="98" t="n">
        <f aca="false">INDEX(Perf_Batch!$C$65:$Q$65,3*(AD$6-1)+AD94)</f>
        <v>521.0612736</v>
      </c>
      <c r="AE96" s="98" t="n">
        <f aca="false">INDEX(Perf_Batch!$C$65:$Q$65,3*(AE$6-1)+AE94)</f>
        <v>521.0612736</v>
      </c>
      <c r="AF96" s="98" t="n">
        <f aca="false">INDEX(Perf_Batch!$C$65:$Q$65,3*(AF$6-1)+AF94)</f>
        <v>521.0612736</v>
      </c>
      <c r="AG96" s="98" t="n">
        <f aca="false">INDEX(Perf_Batch!$C$65:$Q$65,3*(AG$6-1)+AG94)</f>
        <v>521.0612736</v>
      </c>
      <c r="AH96" s="98" t="n">
        <f aca="false">INDEX(Perf_Batch!$C$65:$Q$65,3*(AH$6-1)+AH94)</f>
        <v>521.0612736</v>
      </c>
    </row>
    <row r="97" customFormat="false" ht="15" hidden="false" customHeight="false" outlineLevel="0" collapsed="false">
      <c r="A97" s="61" t="s">
        <v>1235</v>
      </c>
      <c r="B97" s="62" t="s">
        <v>1180</v>
      </c>
      <c r="C97" s="68" t="n">
        <f aca="false">IF(AND(ISNUMBER(C95)),C93*1000000*C95/3600,"SLO 不可達")</f>
        <v>589382.018540014</v>
      </c>
      <c r="D97" s="68" t="n">
        <f aca="false">IF(AND(ISNUMBER(D95)),D93*1000000*D95/3600,"SLO 不可達")</f>
        <v>884073.027810021</v>
      </c>
      <c r="E97" s="68" t="n">
        <f aca="false">IF(AND(ISNUMBER(E95)),E93*1000000*E95/3600,"SLO 不可達")</f>
        <v>589382.018540014</v>
      </c>
      <c r="F97" s="68" t="n">
        <f aca="false">IF(AND(ISNUMBER(F95)),F93*1000000*F95/3600,"SLO 不可達")</f>
        <v>884073.027810021</v>
      </c>
      <c r="G97" s="68" t="n">
        <f aca="false">IF(AND(ISNUMBER(G95)),G93*1000000*G95/3600,"SLO 不可達")</f>
        <v>589382.018540014</v>
      </c>
      <c r="H97" s="68" t="n">
        <f aca="false">IF(AND(ISNUMBER(H95)),H93*1000000*H95/3600,"SLO 不可達")</f>
        <v>884073.027810021</v>
      </c>
      <c r="I97" s="68" t="n">
        <f aca="false">IF(AND(ISNUMBER(I95)),I93*1000000*I95/3600,"SLO 不可達")</f>
        <v>589382.018540014</v>
      </c>
      <c r="J97" s="68" t="n">
        <f aca="false">IF(AND(ISNUMBER(J95)),J93*1000000*J95/3600,"SLO 不可達")</f>
        <v>884073.027810021</v>
      </c>
      <c r="K97" s="68" t="n">
        <f aca="false">IF(AND(ISNUMBER(K95)),K93*1000000*K95/3600,"SLO 不可達")</f>
        <v>589382.018540014</v>
      </c>
      <c r="L97" s="68" t="n">
        <f aca="false">IF(AND(ISNUMBER(L95)),L93*1000000*L95/3600,"SLO 不可達")</f>
        <v>884073.027810021</v>
      </c>
      <c r="M97" s="68" t="n">
        <f aca="false">IF(AND(ISNUMBER(M95)),M93*1000000*M95/3600,"SLO 不可達")</f>
        <v>589382.018540014</v>
      </c>
      <c r="N97" s="68" t="n">
        <f aca="false">IF(AND(ISNUMBER(N95)),N93*1000000*N95/3600,"SLO 不可達")</f>
        <v>884073.027810021</v>
      </c>
      <c r="O97" s="68" t="n">
        <f aca="false">IF(AND(ISNUMBER(O95)),O93*1000000*O95/3600,"SLO 不可達")</f>
        <v>589382.018540014</v>
      </c>
      <c r="P97" s="68" t="n">
        <f aca="false">IF(AND(ISNUMBER(P95)),P93*1000000*P95/3600,"SLO 不可達")</f>
        <v>884073.027810021</v>
      </c>
      <c r="Q97" s="68" t="n">
        <f aca="false">IF(AND(ISNUMBER(Q95)),Q93*1000000*Q95/3600,"SLO 不可達")</f>
        <v>589382.018540014</v>
      </c>
      <c r="R97" s="68" t="n">
        <f aca="false">IF(AND(ISNUMBER(R95)),R93*1000000*R95/3600,"SLO 不可達")</f>
        <v>884073.027810021</v>
      </c>
      <c r="S97" s="68" t="n">
        <f aca="false">IF(AND(ISNUMBER(S95)),S93*1000000*S95/3600,"SLO 不可達")</f>
        <v>589382.018540014</v>
      </c>
      <c r="T97" s="68" t="n">
        <f aca="false">IF(AND(ISNUMBER(T95)),T93*1000000*T95/3600,"SLO 不可達")</f>
        <v>884073.027810021</v>
      </c>
      <c r="U97" s="68" t="n">
        <f aca="false">IF(AND(ISNUMBER(U95)),U93*1000000*U95/3600,"SLO 不可達")</f>
        <v>589382.018540014</v>
      </c>
      <c r="V97" s="68" t="n">
        <f aca="false">IF(AND(ISNUMBER(V95)),V93*1000000*V95/3600,"SLO 不可達")</f>
        <v>884073.027810021</v>
      </c>
      <c r="W97" s="68" t="n">
        <f aca="false">IF(AND(ISNUMBER(W95)),W93*1000000*W95/3600,"SLO 不可達")</f>
        <v>589382.018540014</v>
      </c>
      <c r="X97" s="68" t="n">
        <f aca="false">IF(AND(ISNUMBER(X95)),X93*1000000*X95/3600,"SLO 不可達")</f>
        <v>884073.027810021</v>
      </c>
      <c r="Y97" s="68" t="n">
        <f aca="false">IF(AND(ISNUMBER(Y95)),Y93*1000000*Y95/3600,"SLO 不可達")</f>
        <v>0</v>
      </c>
      <c r="Z97" s="68" t="n">
        <f aca="false">IF(AND(ISNUMBER(Z95)),Z93*1000000*Z95/3600,"SLO 不可達")</f>
        <v>0</v>
      </c>
      <c r="AA97" s="68" t="n">
        <f aca="false">IF(AND(ISNUMBER(AA95)),AA93*1000000*AA95/3600,"SLO 不可達")</f>
        <v>1768146.05562004</v>
      </c>
      <c r="AB97" s="68" t="n">
        <f aca="false">IF(AND(ISNUMBER(AB95)),AB93*1000000*AB95/3600,"SLO 不可達")</f>
        <v>2652219.08343006</v>
      </c>
      <c r="AC97" s="68" t="n">
        <f aca="false">IF(AND(ISNUMBER(AC95)),AC93*1000000*AC95/3600,"SLO 不可達")</f>
        <v>589382.018540014</v>
      </c>
      <c r="AD97" s="68" t="n">
        <f aca="false">IF(AND(ISNUMBER(AD95)),AD93*1000000*AD95/3600,"SLO 不可達")</f>
        <v>884073.027810021</v>
      </c>
      <c r="AE97" s="68" t="n">
        <f aca="false">IF(AND(ISNUMBER(AE95)),AE93*1000000*AE95/3600,"SLO 不可達")</f>
        <v>589382.018540014</v>
      </c>
      <c r="AF97" s="68" t="n">
        <f aca="false">IF(AND(ISNUMBER(AF95)),AF93*1000000*AF95/3600,"SLO 不可達")</f>
        <v>884073.027810021</v>
      </c>
      <c r="AG97" s="68" t="n">
        <f aca="false">IF(AND(ISNUMBER(AG95)),AG93*1000000*AG95/3600,"SLO 不可達")</f>
        <v>589382.018540014</v>
      </c>
      <c r="AH97" s="68" t="n">
        <f aca="false">IF(AND(ISNUMBER(AH95)),AH93*1000000*AH95/3600,"SLO 不可達")</f>
        <v>884073.027810021</v>
      </c>
    </row>
    <row r="98" customFormat="false" ht="15" hidden="false" customHeight="false" outlineLevel="0" collapsed="false">
      <c r="A98" s="61" t="s">
        <v>1236</v>
      </c>
      <c r="B98" s="62" t="s">
        <v>330</v>
      </c>
      <c r="C98" s="144" t="n">
        <f aca="false">C93*1000000000000*C96*1000000000</f>
        <v>1.0421225472E+024</v>
      </c>
      <c r="D98" s="144" t="n">
        <f aca="false">D93*1000000000000*D96*1000000000</f>
        <v>1.5631838208E+024</v>
      </c>
      <c r="E98" s="144" t="n">
        <f aca="false">E93*1000000000000*E96*1000000000</f>
        <v>1.0421225472E+024</v>
      </c>
      <c r="F98" s="144" t="n">
        <f aca="false">F93*1000000000000*F96*1000000000</f>
        <v>1.5631838208E+024</v>
      </c>
      <c r="G98" s="144" t="n">
        <f aca="false">G93*1000000000000*G96*1000000000</f>
        <v>1.0421225472E+024</v>
      </c>
      <c r="H98" s="144" t="n">
        <f aca="false">H93*1000000000000*H96*1000000000</f>
        <v>1.5631838208E+024</v>
      </c>
      <c r="I98" s="144" t="n">
        <f aca="false">I93*1000000000000*I96*1000000000</f>
        <v>1.0421225472E+024</v>
      </c>
      <c r="J98" s="144" t="n">
        <f aca="false">J93*1000000000000*J96*1000000000</f>
        <v>1.5631838208E+024</v>
      </c>
      <c r="K98" s="144" t="n">
        <f aca="false">K93*1000000000000*K96*1000000000</f>
        <v>1.0421225472E+024</v>
      </c>
      <c r="L98" s="144" t="n">
        <f aca="false">L93*1000000000000*L96*1000000000</f>
        <v>1.5631838208E+024</v>
      </c>
      <c r="M98" s="144" t="n">
        <f aca="false">M93*1000000000000*M96*1000000000</f>
        <v>1.0421225472E+024</v>
      </c>
      <c r="N98" s="144" t="n">
        <f aca="false">N93*1000000000000*N96*1000000000</f>
        <v>1.5631838208E+024</v>
      </c>
      <c r="O98" s="144" t="n">
        <f aca="false">O93*1000000000000*O96*1000000000</f>
        <v>1.0421225472E+024</v>
      </c>
      <c r="P98" s="144" t="n">
        <f aca="false">P93*1000000000000*P96*1000000000</f>
        <v>1.5631838208E+024</v>
      </c>
      <c r="Q98" s="144" t="n">
        <f aca="false">Q93*1000000000000*Q96*1000000000</f>
        <v>1.0421225472E+024</v>
      </c>
      <c r="R98" s="144" t="n">
        <f aca="false">R93*1000000000000*R96*1000000000</f>
        <v>1.5631838208E+024</v>
      </c>
      <c r="S98" s="144" t="n">
        <f aca="false">S93*1000000000000*S96*1000000000</f>
        <v>1.0421225472E+024</v>
      </c>
      <c r="T98" s="144" t="n">
        <f aca="false">T93*1000000000000*T96*1000000000</f>
        <v>1.5631838208E+024</v>
      </c>
      <c r="U98" s="144" t="n">
        <f aca="false">U93*1000000000000*U96*1000000000</f>
        <v>1.0421225472E+024</v>
      </c>
      <c r="V98" s="144" t="n">
        <f aca="false">V93*1000000000000*V96*1000000000</f>
        <v>1.5631838208E+024</v>
      </c>
      <c r="W98" s="144" t="n">
        <f aca="false">W93*1000000000000*W96*1000000000</f>
        <v>1.0421225472E+024</v>
      </c>
      <c r="X98" s="144" t="n">
        <f aca="false">X93*1000000000000*X96*1000000000</f>
        <v>1.5631838208E+024</v>
      </c>
      <c r="Y98" s="144" t="n">
        <f aca="false">Y93*1000000000000*Y96*1000000000</f>
        <v>0</v>
      </c>
      <c r="Z98" s="144" t="n">
        <f aca="false">Z93*1000000000000*Z96*1000000000</f>
        <v>0</v>
      </c>
      <c r="AA98" s="144" t="n">
        <f aca="false">AA93*1000000000000*AA96*1000000000</f>
        <v>3.1263676416E+024</v>
      </c>
      <c r="AB98" s="144" t="n">
        <f aca="false">AB93*1000000000000*AB96*1000000000</f>
        <v>4.6895514624E+024</v>
      </c>
      <c r="AC98" s="144" t="n">
        <f aca="false">AC93*1000000000000*AC96*1000000000</f>
        <v>1.0421225472E+024</v>
      </c>
      <c r="AD98" s="144" t="n">
        <f aca="false">AD93*1000000000000*AD96*1000000000</f>
        <v>1.5631838208E+024</v>
      </c>
      <c r="AE98" s="144" t="n">
        <f aca="false">AE93*1000000000000*AE96*1000000000</f>
        <v>1.0421225472E+024</v>
      </c>
      <c r="AF98" s="144" t="n">
        <f aca="false">AF93*1000000000000*AF96*1000000000</f>
        <v>1.5631838208E+024</v>
      </c>
      <c r="AG98" s="144" t="n">
        <f aca="false">AG93*1000000000000*AG96*1000000000</f>
        <v>1.0421225472E+024</v>
      </c>
      <c r="AH98" s="144" t="n">
        <f aca="false">AH93*1000000000000*AH96*1000000000</f>
        <v>1.5631838208E+024</v>
      </c>
    </row>
    <row r="99" customFormat="false" ht="15" hidden="false" customHeight="false" outlineLevel="0" collapsed="false">
      <c r="A99" s="61" t="s">
        <v>1126</v>
      </c>
      <c r="B99" s="62" t="s">
        <v>1103</v>
      </c>
      <c r="C99" s="95" t="n">
        <f aca="false">INDEX(Train_In!$C$38:$E$38,C$7)</f>
        <v>0.05</v>
      </c>
      <c r="D99" s="95" t="n">
        <f aca="false">INDEX(Train_In!$C$38:$E$38,D$7)</f>
        <v>0.1</v>
      </c>
      <c r="E99" s="95" t="n">
        <f aca="false">INDEX(Train_In!$C$38:$E$38,E$7)</f>
        <v>0.05</v>
      </c>
      <c r="F99" s="95" t="n">
        <f aca="false">INDEX(Train_In!$C$38:$E$38,F$7)</f>
        <v>0.1</v>
      </c>
      <c r="G99" s="95" t="n">
        <f aca="false">INDEX(Train_In!$C$38:$E$38,G$7)</f>
        <v>0.05</v>
      </c>
      <c r="H99" s="95" t="n">
        <f aca="false">INDEX(Train_In!$C$38:$E$38,H$7)</f>
        <v>0.1</v>
      </c>
      <c r="I99" s="95" t="n">
        <f aca="false">INDEX(Train_In!$C$38:$E$38,I$7)</f>
        <v>0.05</v>
      </c>
      <c r="J99" s="95" t="n">
        <f aca="false">INDEX(Train_In!$C$38:$E$38,J$7)</f>
        <v>0.1</v>
      </c>
      <c r="K99" s="95" t="n">
        <f aca="false">INDEX(Train_In!$C$38:$E$38,K$7)</f>
        <v>0.05</v>
      </c>
      <c r="L99" s="95" t="n">
        <f aca="false">INDEX(Train_In!$C$38:$E$38,L$7)</f>
        <v>0.1</v>
      </c>
      <c r="M99" s="95" t="n">
        <f aca="false">INDEX(Train_In!$C$38:$E$38,M$7)</f>
        <v>0.05</v>
      </c>
      <c r="N99" s="95" t="n">
        <f aca="false">INDEX(Train_In!$C$38:$E$38,N$7)</f>
        <v>0.1</v>
      </c>
      <c r="O99" s="95" t="n">
        <f aca="false">INDEX(Train_In!$C$38:$E$38,O$7)</f>
        <v>0.05</v>
      </c>
      <c r="P99" s="95" t="n">
        <f aca="false">INDEX(Train_In!$C$38:$E$38,P$7)</f>
        <v>0.1</v>
      </c>
      <c r="Q99" s="95" t="n">
        <f aca="false">INDEX(Train_In!$C$38:$E$38,Q$7)</f>
        <v>0.05</v>
      </c>
      <c r="R99" s="95" t="n">
        <f aca="false">INDEX(Train_In!$C$38:$E$38,R$7)</f>
        <v>0.1</v>
      </c>
      <c r="S99" s="95" t="n">
        <f aca="false">INDEX(Train_In!$C$38:$E$38,S$7)</f>
        <v>0.05</v>
      </c>
      <c r="T99" s="95" t="n">
        <f aca="false">INDEX(Train_In!$C$38:$E$38,T$7)</f>
        <v>0.1</v>
      </c>
      <c r="U99" s="95" t="n">
        <f aca="false">INDEX(Train_In!$C$38:$E$38,U$7)</f>
        <v>0.05</v>
      </c>
      <c r="V99" s="95" t="n">
        <f aca="false">INDEX(Train_In!$C$38:$E$38,V$7)</f>
        <v>0.1</v>
      </c>
      <c r="W99" s="95" t="n">
        <f aca="false">INDEX(Train_In!$C$38:$E$38,W$7)</f>
        <v>0.05</v>
      </c>
      <c r="X99" s="95" t="n">
        <f aca="false">INDEX(Train_In!$C$38:$E$38,X$7)</f>
        <v>0.1</v>
      </c>
      <c r="Y99" s="95" t="n">
        <f aca="false">INDEX(Train_In!$C$38:$E$38,Y$7)</f>
        <v>0.05</v>
      </c>
      <c r="Z99" s="95" t="n">
        <f aca="false">INDEX(Train_In!$C$38:$E$38,Z$7)</f>
        <v>0.1</v>
      </c>
      <c r="AA99" s="95" t="n">
        <f aca="false">INDEX(Train_In!$C$38:$E$38,AA$7)</f>
        <v>0.05</v>
      </c>
      <c r="AB99" s="95" t="n">
        <f aca="false">INDEX(Train_In!$C$38:$E$38,AB$7)</f>
        <v>0.1</v>
      </c>
      <c r="AC99" s="95" t="n">
        <f aca="false">INDEX(Train_In!$C$38:$E$38,AC$7)</f>
        <v>0.05</v>
      </c>
      <c r="AD99" s="95" t="n">
        <f aca="false">INDEX(Train_In!$C$38:$E$38,AD$7)</f>
        <v>0.1</v>
      </c>
      <c r="AE99" s="95" t="n">
        <f aca="false">INDEX(Train_In!$C$38:$E$38,AE$7)</f>
        <v>0.05</v>
      </c>
      <c r="AF99" s="95" t="n">
        <f aca="false">INDEX(Train_In!$C$38:$E$38,AF$7)</f>
        <v>0.1</v>
      </c>
      <c r="AG99" s="95" t="n">
        <f aca="false">INDEX(Train_In!$C$38:$E$38,AG$7)</f>
        <v>0.05</v>
      </c>
      <c r="AH99" s="95" t="n">
        <f aca="false">INDEX(Train_In!$C$38:$E$38,AH$7)</f>
        <v>0.1</v>
      </c>
    </row>
    <row r="100" customFormat="false" ht="15" hidden="false" customHeight="false" outlineLevel="0" collapsed="false">
      <c r="A100" s="61" t="s">
        <v>1237</v>
      </c>
      <c r="B100" s="62" t="s">
        <v>1180</v>
      </c>
      <c r="C100" s="68" t="n">
        <f aca="false">IF(AND(ISNUMBER(C59)),C99*1000000*C59/3600,"SLO 不可達")</f>
        <v>3456.38955362504</v>
      </c>
      <c r="D100" s="68" t="n">
        <f aca="false">IF(AND(ISNUMBER(D59)),D99*1000000*D59/3600,"SLO 不可達")</f>
        <v>29469.1009270007</v>
      </c>
      <c r="E100" s="68" t="n">
        <f aca="false">IF(AND(ISNUMBER(E59)),E99*1000000*E59/3600,"SLO 不可達")</f>
        <v>3456.38955362504</v>
      </c>
      <c r="F100" s="68" t="n">
        <f aca="false">IF(AND(ISNUMBER(F59)),F99*1000000*F59/3600,"SLO 不可達")</f>
        <v>29469.1009270007</v>
      </c>
      <c r="G100" s="68" t="n">
        <f aca="false">IF(AND(ISNUMBER(G59)),G99*1000000*G59/3600,"SLO 不可達")</f>
        <v>3456.38955362504</v>
      </c>
      <c r="H100" s="68" t="n">
        <f aca="false">IF(AND(ISNUMBER(H59)),H99*1000000*H59/3600,"SLO 不可達")</f>
        <v>29469.1009270007</v>
      </c>
      <c r="I100" s="68" t="n">
        <f aca="false">IF(AND(ISNUMBER(I59)),I99*1000000*I59/3600,"SLO 不可達")</f>
        <v>3456.38955362504</v>
      </c>
      <c r="J100" s="68" t="n">
        <f aca="false">IF(AND(ISNUMBER(J59)),J99*1000000*J59/3600,"SLO 不可達")</f>
        <v>29469.1009270007</v>
      </c>
      <c r="K100" s="68" t="n">
        <f aca="false">IF(AND(ISNUMBER(K59)),K99*1000000*K59/3600,"SLO 不可達")</f>
        <v>3456.38955362504</v>
      </c>
      <c r="L100" s="68" t="n">
        <f aca="false">IF(AND(ISNUMBER(L59)),L99*1000000*L59/3600,"SLO 不可達")</f>
        <v>29469.1009270007</v>
      </c>
      <c r="M100" s="68" t="n">
        <f aca="false">IF(AND(ISNUMBER(M59)),M99*1000000*M59/3600,"SLO 不可達")</f>
        <v>3456.38955362504</v>
      </c>
      <c r="N100" s="68" t="n">
        <f aca="false">IF(AND(ISNUMBER(N59)),N99*1000000*N59/3600,"SLO 不可達")</f>
        <v>29469.1009270007</v>
      </c>
      <c r="O100" s="68" t="n">
        <f aca="false">IF(AND(ISNUMBER(O59)),O99*1000000*O59/3600,"SLO 不可達")</f>
        <v>3456.38955362504</v>
      </c>
      <c r="P100" s="68" t="n">
        <f aca="false">IF(AND(ISNUMBER(P59)),P99*1000000*P59/3600,"SLO 不可達")</f>
        <v>29469.1009270007</v>
      </c>
      <c r="Q100" s="68" t="n">
        <f aca="false">IF(AND(ISNUMBER(Q59)),Q99*1000000*Q59/3600,"SLO 不可達")</f>
        <v>3456.38955362504</v>
      </c>
      <c r="R100" s="68" t="n">
        <f aca="false">IF(AND(ISNUMBER(R59)),R99*1000000*R59/3600,"SLO 不可達")</f>
        <v>29469.1009270007</v>
      </c>
      <c r="S100" s="68" t="n">
        <f aca="false">IF(AND(ISNUMBER(S59)),S99*1000000*S59/3600,"SLO 不可達")</f>
        <v>3456.38955362504</v>
      </c>
      <c r="T100" s="68" t="n">
        <f aca="false">IF(AND(ISNUMBER(T59)),T99*1000000*T59/3600,"SLO 不可達")</f>
        <v>29469.1009270007</v>
      </c>
      <c r="U100" s="68" t="n">
        <f aca="false">IF(AND(ISNUMBER(U59)),U99*1000000*U59/3600,"SLO 不可達")</f>
        <v>3456.38955362504</v>
      </c>
      <c r="V100" s="68" t="n">
        <f aca="false">IF(AND(ISNUMBER(V59)),V99*1000000*V59/3600,"SLO 不可達")</f>
        <v>29469.1009270007</v>
      </c>
      <c r="W100" s="68" t="n">
        <f aca="false">IF(AND(ISNUMBER(W59)),W99*1000000*W59/3600,"SLO 不可達")</f>
        <v>5229.55967698603</v>
      </c>
      <c r="X100" s="68" t="n">
        <f aca="false">IF(AND(ISNUMBER(X59)),X99*1000000*X59/3600,"SLO 不可達")</f>
        <v>44823.7966230092</v>
      </c>
      <c r="Y100" s="68" t="n">
        <f aca="false">IF(AND(ISNUMBER(Y59)),Y99*1000000*Y59/3600,"SLO 不可達")</f>
        <v>3456.38955362504</v>
      </c>
      <c r="Z100" s="68" t="n">
        <f aca="false">IF(AND(ISNUMBER(Z59)),Z99*1000000*Z59/3600,"SLO 不可達")</f>
        <v>29469.1009270007</v>
      </c>
      <c r="AA100" s="68" t="n">
        <f aca="false">IF(AND(ISNUMBER(AA59)),AA99*1000000*AA59/3600,"SLO 不可達")</f>
        <v>3456.38955362504</v>
      </c>
      <c r="AB100" s="68" t="n">
        <f aca="false">IF(AND(ISNUMBER(AB59)),AB99*1000000*AB59/3600,"SLO 不可達")</f>
        <v>29469.1009270007</v>
      </c>
      <c r="AC100" s="68" t="n">
        <f aca="false">IF(AND(ISNUMBER(AC59)),AC99*1000000*AC59/3600,"SLO 不可達")</f>
        <v>3456.38955362504</v>
      </c>
      <c r="AD100" s="68" t="n">
        <f aca="false">IF(AND(ISNUMBER(AD59)),AD99*1000000*AD59/3600,"SLO 不可達")</f>
        <v>29469.1009270007</v>
      </c>
      <c r="AE100" s="68" t="n">
        <f aca="false">IF(AND(ISNUMBER(AE59)),AE99*1000000*AE59/3600,"SLO 不可達")</f>
        <v>3456.38955362504</v>
      </c>
      <c r="AF100" s="68" t="n">
        <f aca="false">IF(AND(ISNUMBER(AF59)),AF99*1000000*AF59/3600,"SLO 不可達")</f>
        <v>29469.1009270007</v>
      </c>
      <c r="AG100" s="68" t="n">
        <f aca="false">IF(AND(ISNUMBER(AG59)),AG99*1000000*AG59/3600,"SLO 不可達")</f>
        <v>3456.38955362504</v>
      </c>
      <c r="AH100" s="68" t="n">
        <f aca="false">IF(AND(ISNUMBER(AH59)),AH99*1000000*AH59/3600,"SLO 不可達")</f>
        <v>29469.1009270007</v>
      </c>
    </row>
    <row r="101" customFormat="false" ht="15" hidden="false" customHeight="false" outlineLevel="0" collapsed="false">
      <c r="A101" s="61" t="s">
        <v>1238</v>
      </c>
      <c r="B101" s="62" t="s">
        <v>330</v>
      </c>
      <c r="C101" s="144" t="n">
        <f aca="false">C99*1000000000000*C61*1000000000</f>
        <v>6.6655872356352E+021</v>
      </c>
      <c r="D101" s="144" t="n">
        <f aca="false">D99*1000000000000*D61*1000000000</f>
        <v>5.210612736E+022</v>
      </c>
      <c r="E101" s="144" t="n">
        <f aca="false">E99*1000000000000*E61*1000000000</f>
        <v>6.6655872356352E+021</v>
      </c>
      <c r="F101" s="144" t="n">
        <f aca="false">F99*1000000000000*F61*1000000000</f>
        <v>5.210612736E+022</v>
      </c>
      <c r="G101" s="144" t="n">
        <f aca="false">G99*1000000000000*G61*1000000000</f>
        <v>6.6655872356352E+021</v>
      </c>
      <c r="H101" s="144" t="n">
        <f aca="false">H99*1000000000000*H61*1000000000</f>
        <v>5.210612736E+022</v>
      </c>
      <c r="I101" s="144" t="n">
        <f aca="false">I99*1000000000000*I61*1000000000</f>
        <v>6.6655872356352E+021</v>
      </c>
      <c r="J101" s="144" t="n">
        <f aca="false">J99*1000000000000*J61*1000000000</f>
        <v>5.210612736E+022</v>
      </c>
      <c r="K101" s="144" t="n">
        <f aca="false">K99*1000000000000*K61*1000000000</f>
        <v>6.6655872356352E+021</v>
      </c>
      <c r="L101" s="144" t="n">
        <f aca="false">L99*1000000000000*L61*1000000000</f>
        <v>5.210612736E+022</v>
      </c>
      <c r="M101" s="144" t="n">
        <f aca="false">M99*1000000000000*M61*1000000000</f>
        <v>6.6655872356352E+021</v>
      </c>
      <c r="N101" s="144" t="n">
        <f aca="false">N99*1000000000000*N61*1000000000</f>
        <v>5.210612736E+022</v>
      </c>
      <c r="O101" s="144" t="n">
        <f aca="false">O99*1000000000000*O61*1000000000</f>
        <v>6.6655872356352E+021</v>
      </c>
      <c r="P101" s="144" t="n">
        <f aca="false">P99*1000000000000*P61*1000000000</f>
        <v>5.210612736E+022</v>
      </c>
      <c r="Q101" s="144" t="n">
        <f aca="false">Q99*1000000000000*Q61*1000000000</f>
        <v>6.6655872356352E+021</v>
      </c>
      <c r="R101" s="144" t="n">
        <f aca="false">R99*1000000000000*R61*1000000000</f>
        <v>5.210612736E+022</v>
      </c>
      <c r="S101" s="144" t="n">
        <f aca="false">S99*1000000000000*S61*1000000000</f>
        <v>6.6655872356352E+021</v>
      </c>
      <c r="T101" s="144" t="n">
        <f aca="false">T99*1000000000000*T61*1000000000</f>
        <v>5.210612736E+022</v>
      </c>
      <c r="U101" s="144" t="n">
        <f aca="false">U99*1000000000000*U61*1000000000</f>
        <v>6.6655872356352E+021</v>
      </c>
      <c r="V101" s="144" t="n">
        <f aca="false">V99*1000000000000*V61*1000000000</f>
        <v>5.210612736E+022</v>
      </c>
      <c r="W101" s="144" t="n">
        <f aca="false">W99*1000000000000*W61*1000000000</f>
        <v>6.6655872356352E+021</v>
      </c>
      <c r="X101" s="144" t="n">
        <f aca="false">X99*1000000000000*X61*1000000000</f>
        <v>5.210612736E+022</v>
      </c>
      <c r="Y101" s="144" t="n">
        <f aca="false">Y99*1000000000000*Y61*1000000000</f>
        <v>6.6655872356352E+021</v>
      </c>
      <c r="Z101" s="144" t="n">
        <f aca="false">Z99*1000000000000*Z61*1000000000</f>
        <v>5.210612736E+022</v>
      </c>
      <c r="AA101" s="144" t="n">
        <f aca="false">AA99*1000000000000*AA61*1000000000</f>
        <v>6.6655872356352E+021</v>
      </c>
      <c r="AB101" s="144" t="n">
        <f aca="false">AB99*1000000000000*AB61*1000000000</f>
        <v>5.210612736E+022</v>
      </c>
      <c r="AC101" s="144" t="n">
        <f aca="false">AC99*1000000000000*AC61*1000000000</f>
        <v>6.6655872356352E+021</v>
      </c>
      <c r="AD101" s="144" t="n">
        <f aca="false">AD99*1000000000000*AD61*1000000000</f>
        <v>5.210612736E+022</v>
      </c>
      <c r="AE101" s="144" t="n">
        <f aca="false">AE99*1000000000000*AE61*1000000000</f>
        <v>6.6655872356352E+021</v>
      </c>
      <c r="AF101" s="144" t="n">
        <f aca="false">AF99*1000000000000*AF61*1000000000</f>
        <v>5.210612736E+022</v>
      </c>
      <c r="AG101" s="144" t="n">
        <f aca="false">AG99*1000000000000*AG61*1000000000</f>
        <v>6.6655872356352E+021</v>
      </c>
      <c r="AH101" s="144" t="n">
        <f aca="false">AH99*1000000000000*AH61*1000000000</f>
        <v>5.210612736E+022</v>
      </c>
    </row>
    <row r="102" customFormat="false" ht="15" hidden="false" customHeight="false" outlineLevel="0" collapsed="false">
      <c r="A102" s="76" t="s">
        <v>1239</v>
      </c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</row>
    <row r="103" customFormat="false" ht="15" hidden="false" customHeight="false" outlineLevel="0" collapsed="false">
      <c r="A103" s="61" t="s">
        <v>1240</v>
      </c>
      <c r="B103" s="62" t="s">
        <v>1180</v>
      </c>
      <c r="C103" s="68" t="n">
        <f aca="false">C36+C43</f>
        <v>1046714.22569904</v>
      </c>
      <c r="D103" s="68" t="n">
        <f aca="false">D36+D43</f>
        <v>5684233.89686067</v>
      </c>
      <c r="E103" s="68" t="n">
        <f aca="false">E36+E43</f>
        <v>1744523.70949839</v>
      </c>
      <c r="F103" s="68" t="n">
        <f aca="false">F36+F43</f>
        <v>9473723.16143445</v>
      </c>
      <c r="G103" s="68" t="n">
        <f aca="false">G36+G43</f>
        <v>654196.391061898</v>
      </c>
      <c r="H103" s="68" t="n">
        <f aca="false">H36+H43</f>
        <v>3552646.18553792</v>
      </c>
      <c r="I103" s="68" t="n">
        <f aca="false">I36+I43</f>
        <v>523357.112849518</v>
      </c>
      <c r="J103" s="68" t="n">
        <f aca="false">J36+J43</f>
        <v>2842116.94843034</v>
      </c>
      <c r="K103" s="68" t="n">
        <f aca="false">K36+K43</f>
        <v>539398.39432267</v>
      </c>
      <c r="L103" s="68" t="n">
        <f aca="false">L36+L43</f>
        <v>3002522.01537919</v>
      </c>
      <c r="M103" s="68" t="n">
        <f aca="false">M36+M43</f>
        <v>1726517.43974337</v>
      </c>
      <c r="N103" s="68" t="n">
        <f aca="false">N36+N43</f>
        <v>9277727.81804586</v>
      </c>
      <c r="O103" s="68" t="n">
        <f aca="false">O36+O43</f>
        <v>1046714.22569904</v>
      </c>
      <c r="P103" s="68" t="n">
        <f aca="false">P36+P43</f>
        <v>5684233.89686067</v>
      </c>
      <c r="Q103" s="68" t="n">
        <f aca="false">Q36+Q43</f>
        <v>1046714.22569904</v>
      </c>
      <c r="R103" s="68" t="n">
        <f aca="false">R36+R43</f>
        <v>5684233.89686067</v>
      </c>
      <c r="S103" s="68" t="n">
        <f aca="false">S36+S43</f>
        <v>1046714.22569904</v>
      </c>
      <c r="T103" s="68" t="n">
        <f aca="false">T36+T43</f>
        <v>5684233.89686067</v>
      </c>
      <c r="U103" s="68" t="n">
        <f aca="false">U36+U43</f>
        <v>1046714.22569904</v>
      </c>
      <c r="V103" s="68" t="n">
        <f aca="false">V36+V43</f>
        <v>5684233.89686067</v>
      </c>
      <c r="W103" s="68" t="n">
        <f aca="false">W36+W43</f>
        <v>1046714.22569904</v>
      </c>
      <c r="X103" s="68" t="n">
        <f aca="false">X36+X43</f>
        <v>5684233.89686067</v>
      </c>
      <c r="Y103" s="68" t="n">
        <f aca="false">Y36+Y43</f>
        <v>1046714.22569904</v>
      </c>
      <c r="Z103" s="68" t="n">
        <f aca="false">Z36+Z43</f>
        <v>5684233.89686067</v>
      </c>
      <c r="AA103" s="68" t="n">
        <f aca="false">AA36+AA43</f>
        <v>1046714.22569904</v>
      </c>
      <c r="AB103" s="68" t="n">
        <f aca="false">AB36+AB43</f>
        <v>5684233.89686067</v>
      </c>
      <c r="AC103" s="68" t="n">
        <f aca="false">AC36+AC43</f>
        <v>1046714.22569904</v>
      </c>
      <c r="AD103" s="68" t="n">
        <f aca="false">AD36+AD43</f>
        <v>5684233.89686067</v>
      </c>
      <c r="AE103" s="68" t="n">
        <f aca="false">AE36+AE43</f>
        <v>1046714.22569904</v>
      </c>
      <c r="AF103" s="68" t="n">
        <f aca="false">AF36+AF43</f>
        <v>5684233.89686067</v>
      </c>
      <c r="AG103" s="68" t="n">
        <f aca="false">AG36+AG43</f>
        <v>1177553.50391142</v>
      </c>
      <c r="AH103" s="68" t="n">
        <f aca="false">AH36+AH43</f>
        <v>6394763.13396825</v>
      </c>
    </row>
    <row r="104" customFormat="false" ht="15" hidden="false" customHeight="false" outlineLevel="0" collapsed="false">
      <c r="A104" s="61" t="s">
        <v>1241</v>
      </c>
      <c r="B104" s="62" t="s">
        <v>1180</v>
      </c>
      <c r="C104" s="68" t="n">
        <f aca="false">IF(AND(ISNUMBER(C75),ISNUMBER(C90)),C51+C75+C90,"SLO 不可達")</f>
        <v>411736.625794877</v>
      </c>
      <c r="D104" s="68" t="n">
        <f aca="false">IF(AND(ISNUMBER(D75),ISNUMBER(D90)),D51+D75+D90,"SLO 不可達")</f>
        <v>6186311.43998631</v>
      </c>
      <c r="E104" s="68" t="n">
        <f aca="false">IF(AND(ISNUMBER(E75),ISNUMBER(E90)),E51+E75+E90,"SLO 不可達")</f>
        <v>546532.785128705</v>
      </c>
      <c r="F104" s="68" t="n">
        <f aca="false">IF(AND(ISNUMBER(F75),ISNUMBER(F90)),F51+F75+F90,"SLO 不可達")</f>
        <v>8040833.73153245</v>
      </c>
      <c r="G104" s="68" t="n">
        <f aca="false">IF(AND(ISNUMBER(G75),ISNUMBER(G90)),G51+G75+G90,"SLO 不可達")</f>
        <v>335913.786169599</v>
      </c>
      <c r="H104" s="68" t="n">
        <f aca="false">IF(AND(ISNUMBER(H75),ISNUMBER(H90)),H51+H75+H90,"SLO 不可達")</f>
        <v>5143142.6509916</v>
      </c>
      <c r="I104" s="68" t="n">
        <f aca="false">IF(AND(ISNUMBER(I75),ISNUMBER(I90)),I51+I75+I90,"SLO 不可達")</f>
        <v>310639.506294506</v>
      </c>
      <c r="J104" s="68" t="n">
        <f aca="false">IF(AND(ISNUMBER(J75),ISNUMBER(J90)),J51+J75+J90,"SLO 不可達")</f>
        <v>4795419.72132669</v>
      </c>
      <c r="K104" s="68" t="n">
        <f aca="false">IF(AND(ISNUMBER(K75),ISNUMBER(K90)),K51+K75+K90,"SLO 不可達")</f>
        <v>411736.625794877</v>
      </c>
      <c r="L104" s="68" t="n">
        <f aca="false">IF(AND(ISNUMBER(L75),ISNUMBER(L90)),L51+L75+L90,"SLO 不可達")</f>
        <v>6186311.43998631</v>
      </c>
      <c r="M104" s="68" t="n">
        <f aca="false">IF(AND(ISNUMBER(M75),ISNUMBER(M90)),M51+M75+M90,"SLO 不可達")</f>
        <v>411736.625794877</v>
      </c>
      <c r="N104" s="68" t="n">
        <f aca="false">IF(AND(ISNUMBER(N75),ISNUMBER(N90)),N51+N75+N90,"SLO 不可達")</f>
        <v>6186311.43998631</v>
      </c>
      <c r="O104" s="68" t="n">
        <f aca="false">IF(AND(ISNUMBER(O75),ISNUMBER(O90)),O51+O75+O90,"SLO 不可達")</f>
        <v>147954.371918772</v>
      </c>
      <c r="P104" s="68" t="n">
        <f aca="false">IF(AND(ISNUMBER(P75),ISNUMBER(P90)),P51+P75+P90,"SLO 不可達")</f>
        <v>1954462.06636931</v>
      </c>
      <c r="Q104" s="68" t="n">
        <f aca="false">IF(AND(ISNUMBER(Q75),ISNUMBER(Q90)),Q51+Q75+Q90,"SLO 不可達")</f>
        <v>1165400.20829803</v>
      </c>
      <c r="R104" s="68" t="n">
        <f aca="false">IF(AND(ISNUMBER(R75),ISNUMBER(R90)),R51+R75+R90,"SLO 不可達")</f>
        <v>18277309.6503206</v>
      </c>
      <c r="S104" s="68" t="n">
        <f aca="false">IF(AND(ISNUMBER(S75),ISNUMBER(S90)),S51+S75+S90,"SLO 不可達")</f>
        <v>498611.016884545</v>
      </c>
      <c r="T104" s="68" t="n">
        <f aca="false">IF(AND(ISNUMBER(T75),ISNUMBER(T90)),T51+T75+T90,"SLO 不可達")</f>
        <v>7603541.14573251</v>
      </c>
      <c r="U104" s="68" t="n">
        <f aca="false">IF(AND(ISNUMBER(U75),ISNUMBER(U90)),U51+U75+U90,"SLO 不可達")</f>
        <v>389789.411203803</v>
      </c>
      <c r="V104" s="68" t="n">
        <f aca="false">IF(AND(ISNUMBER(V75),ISNUMBER(V90)),V51+V75+V90,"SLO 不可達")</f>
        <v>5828274.46169253</v>
      </c>
      <c r="W104" s="68" t="n">
        <f aca="false">IF(AND(ISNUMBER(W75),ISNUMBER(W90)),W51+W75+W90,"SLO 不可達")</f>
        <v>518845.946963587</v>
      </c>
      <c r="X104" s="68" t="n">
        <f aca="false">IF(AND(ISNUMBER(X75),ISNUMBER(X90)),X51+X75+X90,"SLO 不可達")</f>
        <v>7960354.83655692</v>
      </c>
      <c r="Y104" s="68" t="n">
        <f aca="false">IF(AND(ISNUMBER(Y75),ISNUMBER(Y90)),Y51+Y75+Y90,"SLO 不可達")</f>
        <v>411736.625794877</v>
      </c>
      <c r="Z104" s="68" t="n">
        <f aca="false">IF(AND(ISNUMBER(Z75),ISNUMBER(Z90)),Z51+Z75+Z90,"SLO 不可達")</f>
        <v>6186311.43998631</v>
      </c>
      <c r="AA104" s="68" t="n">
        <f aca="false">IF(AND(ISNUMBER(AA75),ISNUMBER(AA90)),AA51+AA75+AA90,"SLO 不可達")</f>
        <v>411736.625794877</v>
      </c>
      <c r="AB104" s="68" t="n">
        <f aca="false">IF(AND(ISNUMBER(AB75),ISNUMBER(AB90)),AB51+AB75+AB90,"SLO 不可達")</f>
        <v>6186311.43998631</v>
      </c>
      <c r="AC104" s="68" t="n">
        <f aca="false">IF(AND(ISNUMBER(AC75),ISNUMBER(AC90)),AC51+AC75+AC90,"SLO 不可達")</f>
        <v>411736.625794877</v>
      </c>
      <c r="AD104" s="68" t="n">
        <f aca="false">IF(AND(ISNUMBER(AD75),ISNUMBER(AD90)),AD51+AD75+AD90,"SLO 不可達")</f>
        <v>6186311.43998631</v>
      </c>
      <c r="AE104" s="68" t="n">
        <f aca="false">IF(AND(ISNUMBER(AE75),ISNUMBER(AE90)),AE51+AE75+AE90,"SLO 不可達")</f>
        <v>411736.625794877</v>
      </c>
      <c r="AF104" s="68" t="n">
        <f aca="false">IF(AND(ISNUMBER(AF75),ISNUMBER(AF90)),AF51+AF75+AF90,"SLO 不可達")</f>
        <v>6186311.43998631</v>
      </c>
      <c r="AG104" s="68" t="n">
        <f aca="false">IF(AND(ISNUMBER(AG75),ISNUMBER(AG90)),AG51+AG75+AG90,"SLO 不可達")</f>
        <v>437010.90566997</v>
      </c>
      <c r="AH104" s="68" t="n">
        <f aca="false">IF(AND(ISNUMBER(AH75),ISNUMBER(AH90)),AH51+AH75+AH90,"SLO 不可達")</f>
        <v>6534034.36965121</v>
      </c>
    </row>
    <row r="105" customFormat="false" ht="15" hidden="false" customHeight="false" outlineLevel="0" collapsed="false">
      <c r="A105" s="61" t="s">
        <v>1242</v>
      </c>
      <c r="B105" s="62" t="s">
        <v>1180</v>
      </c>
      <c r="C105" s="68" t="n">
        <f aca="false">IF(AND(ISNUMBER(C97),ISNUMBER(C100)),C97+C100,"SLO 不可達")</f>
        <v>592838.408093639</v>
      </c>
      <c r="D105" s="68" t="n">
        <f aca="false">IF(AND(ISNUMBER(D97),ISNUMBER(D100)),D97+D100,"SLO 不可達")</f>
        <v>913542.128737021</v>
      </c>
      <c r="E105" s="68" t="n">
        <f aca="false">IF(AND(ISNUMBER(E97),ISNUMBER(E100)),E97+E100,"SLO 不可達")</f>
        <v>592838.408093639</v>
      </c>
      <c r="F105" s="68" t="n">
        <f aca="false">IF(AND(ISNUMBER(F97),ISNUMBER(F100)),F97+F100,"SLO 不可達")</f>
        <v>913542.128737021</v>
      </c>
      <c r="G105" s="68" t="n">
        <f aca="false">IF(AND(ISNUMBER(G97),ISNUMBER(G100)),G97+G100,"SLO 不可達")</f>
        <v>592838.408093639</v>
      </c>
      <c r="H105" s="68" t="n">
        <f aca="false">IF(AND(ISNUMBER(H97),ISNUMBER(H100)),H97+H100,"SLO 不可達")</f>
        <v>913542.128737021</v>
      </c>
      <c r="I105" s="68" t="n">
        <f aca="false">IF(AND(ISNUMBER(I97),ISNUMBER(I100)),I97+I100,"SLO 不可達")</f>
        <v>592838.408093639</v>
      </c>
      <c r="J105" s="68" t="n">
        <f aca="false">IF(AND(ISNUMBER(J97),ISNUMBER(J100)),J97+J100,"SLO 不可達")</f>
        <v>913542.128737021</v>
      </c>
      <c r="K105" s="68" t="n">
        <f aca="false">IF(AND(ISNUMBER(K97),ISNUMBER(K100)),K97+K100,"SLO 不可達")</f>
        <v>592838.408093639</v>
      </c>
      <c r="L105" s="68" t="n">
        <f aca="false">IF(AND(ISNUMBER(L97),ISNUMBER(L100)),L97+L100,"SLO 不可達")</f>
        <v>913542.128737021</v>
      </c>
      <c r="M105" s="68" t="n">
        <f aca="false">IF(AND(ISNUMBER(M97),ISNUMBER(M100)),M97+M100,"SLO 不可達")</f>
        <v>592838.408093639</v>
      </c>
      <c r="N105" s="68" t="n">
        <f aca="false">IF(AND(ISNUMBER(N97),ISNUMBER(N100)),N97+N100,"SLO 不可達")</f>
        <v>913542.128737021</v>
      </c>
      <c r="O105" s="68" t="n">
        <f aca="false">IF(AND(ISNUMBER(O97),ISNUMBER(O100)),O97+O100,"SLO 不可達")</f>
        <v>592838.408093639</v>
      </c>
      <c r="P105" s="68" t="n">
        <f aca="false">IF(AND(ISNUMBER(P97),ISNUMBER(P100)),P97+P100,"SLO 不可達")</f>
        <v>913542.128737021</v>
      </c>
      <c r="Q105" s="68" t="n">
        <f aca="false">IF(AND(ISNUMBER(Q97),ISNUMBER(Q100)),Q97+Q100,"SLO 不可達")</f>
        <v>592838.408093639</v>
      </c>
      <c r="R105" s="68" t="n">
        <f aca="false">IF(AND(ISNUMBER(R97),ISNUMBER(R100)),R97+R100,"SLO 不可達")</f>
        <v>913542.128737021</v>
      </c>
      <c r="S105" s="68" t="n">
        <f aca="false">IF(AND(ISNUMBER(S97),ISNUMBER(S100)),S97+S100,"SLO 不可達")</f>
        <v>592838.408093639</v>
      </c>
      <c r="T105" s="68" t="n">
        <f aca="false">IF(AND(ISNUMBER(T97),ISNUMBER(T100)),T97+T100,"SLO 不可達")</f>
        <v>913542.128737021</v>
      </c>
      <c r="U105" s="68" t="n">
        <f aca="false">IF(AND(ISNUMBER(U97),ISNUMBER(U100)),U97+U100,"SLO 不可達")</f>
        <v>592838.408093639</v>
      </c>
      <c r="V105" s="68" t="n">
        <f aca="false">IF(AND(ISNUMBER(V97),ISNUMBER(V100)),V97+V100,"SLO 不可達")</f>
        <v>913542.128737021</v>
      </c>
      <c r="W105" s="68" t="n">
        <f aca="false">IF(AND(ISNUMBER(W97),ISNUMBER(W100)),W97+W100,"SLO 不可達")</f>
        <v>594611.578217</v>
      </c>
      <c r="X105" s="68" t="n">
        <f aca="false">IF(AND(ISNUMBER(X97),ISNUMBER(X100)),X97+X100,"SLO 不可達")</f>
        <v>928896.82443303</v>
      </c>
      <c r="Y105" s="68" t="n">
        <f aca="false">IF(AND(ISNUMBER(Y97),ISNUMBER(Y100)),Y97+Y100,"SLO 不可達")</f>
        <v>3456.38955362504</v>
      </c>
      <c r="Z105" s="68" t="n">
        <f aca="false">IF(AND(ISNUMBER(Z97),ISNUMBER(Z100)),Z97+Z100,"SLO 不可達")</f>
        <v>29469.1009270007</v>
      </c>
      <c r="AA105" s="68" t="n">
        <f aca="false">IF(AND(ISNUMBER(AA97),ISNUMBER(AA100)),AA97+AA100,"SLO 不可達")</f>
        <v>1771602.44517367</v>
      </c>
      <c r="AB105" s="68" t="n">
        <f aca="false">IF(AND(ISNUMBER(AB97),ISNUMBER(AB100)),AB97+AB100,"SLO 不可達")</f>
        <v>2681688.18435706</v>
      </c>
      <c r="AC105" s="68" t="n">
        <f aca="false">IF(AND(ISNUMBER(AC97),ISNUMBER(AC100)),AC97+AC100,"SLO 不可達")</f>
        <v>592838.408093639</v>
      </c>
      <c r="AD105" s="68" t="n">
        <f aca="false">IF(AND(ISNUMBER(AD97),ISNUMBER(AD100)),AD97+AD100,"SLO 不可達")</f>
        <v>913542.128737021</v>
      </c>
      <c r="AE105" s="68" t="n">
        <f aca="false">IF(AND(ISNUMBER(AE97),ISNUMBER(AE100)),AE97+AE100,"SLO 不可達")</f>
        <v>592838.408093639</v>
      </c>
      <c r="AF105" s="68" t="n">
        <f aca="false">IF(AND(ISNUMBER(AF97),ISNUMBER(AF100)),AF97+AF100,"SLO 不可達")</f>
        <v>913542.128737021</v>
      </c>
      <c r="AG105" s="68" t="n">
        <f aca="false">IF(AND(ISNUMBER(AG97),ISNUMBER(AG100)),AG97+AG100,"SLO 不可達")</f>
        <v>592838.408093639</v>
      </c>
      <c r="AH105" s="68" t="n">
        <f aca="false">IF(AND(ISNUMBER(AH97),ISNUMBER(AH100)),AH97+AH100,"SLO 不可達")</f>
        <v>913542.128737021</v>
      </c>
    </row>
    <row r="106" customFormat="false" ht="15" hidden="false" customHeight="false" outlineLevel="0" collapsed="false">
      <c r="A106" s="61" t="s">
        <v>1243</v>
      </c>
      <c r="B106" s="62" t="s">
        <v>1180</v>
      </c>
      <c r="C106" s="71" t="n">
        <f aca="false">IF(AND(ISNUMBER(C104),ISNUMBER(C105)),C103+C104+C105,"SLO 不可達")</f>
        <v>2051289.25958755</v>
      </c>
      <c r="D106" s="71" t="n">
        <f aca="false">IF(AND(ISNUMBER(D104),ISNUMBER(D105)),D103+D104+D105,"SLO 不可達")</f>
        <v>12784087.465584</v>
      </c>
      <c r="E106" s="71" t="n">
        <f aca="false">IF(AND(ISNUMBER(E104),ISNUMBER(E105)),E103+E104+E105,"SLO 不可達")</f>
        <v>2883894.90272074</v>
      </c>
      <c r="F106" s="71" t="n">
        <f aca="false">IF(AND(ISNUMBER(F104),ISNUMBER(F105)),F103+F104+F105,"SLO 不可達")</f>
        <v>18428099.0217039</v>
      </c>
      <c r="G106" s="71" t="n">
        <f aca="false">IF(AND(ISNUMBER(G104),ISNUMBER(G105)),G103+G104+G105,"SLO 不可達")</f>
        <v>1582948.58532514</v>
      </c>
      <c r="H106" s="71" t="n">
        <f aca="false">IF(AND(ISNUMBER(H104),ISNUMBER(H105)),H103+H104+H105,"SLO 不可達")</f>
        <v>9609330.96526654</v>
      </c>
      <c r="I106" s="71" t="n">
        <f aca="false">IF(AND(ISNUMBER(I104),ISNUMBER(I105)),I103+I104+I105,"SLO 不可達")</f>
        <v>1426835.02723766</v>
      </c>
      <c r="J106" s="71" t="n">
        <f aca="false">IF(AND(ISNUMBER(J104),ISNUMBER(J105)),J103+J104+J105,"SLO 不可達")</f>
        <v>8551078.79849405</v>
      </c>
      <c r="K106" s="71" t="n">
        <f aca="false">IF(AND(ISNUMBER(K104),ISNUMBER(K105)),K103+K104+K105,"SLO 不可達")</f>
        <v>1543973.42821119</v>
      </c>
      <c r="L106" s="71" t="n">
        <f aca="false">IF(AND(ISNUMBER(L104),ISNUMBER(L105)),L103+L104+L105,"SLO 不可達")</f>
        <v>10102375.5841025</v>
      </c>
      <c r="M106" s="71" t="n">
        <f aca="false">IF(AND(ISNUMBER(M104),ISNUMBER(M105)),M103+M104+M105,"SLO 不可達")</f>
        <v>2731092.47363188</v>
      </c>
      <c r="N106" s="71" t="n">
        <f aca="false">IF(AND(ISNUMBER(N104),ISNUMBER(N105)),N103+N104+N105,"SLO 不可達")</f>
        <v>16377581.3867692</v>
      </c>
      <c r="O106" s="71" t="n">
        <f aca="false">IF(AND(ISNUMBER(O104),ISNUMBER(O105)),O103+O104+O105,"SLO 不可達")</f>
        <v>1787507.00571145</v>
      </c>
      <c r="P106" s="71" t="n">
        <f aca="false">IF(AND(ISNUMBER(P104),ISNUMBER(P105)),P103+P104+P105,"SLO 不可達")</f>
        <v>8552238.091967</v>
      </c>
      <c r="Q106" s="71" t="n">
        <f aca="false">IF(AND(ISNUMBER(Q104),ISNUMBER(Q105)),Q103+Q104+Q105,"SLO 不可達")</f>
        <v>2804952.84209071</v>
      </c>
      <c r="R106" s="71" t="n">
        <f aca="false">IF(AND(ISNUMBER(R104),ISNUMBER(R105)),R103+R104+R105,"SLO 不可達")</f>
        <v>24875085.6759183</v>
      </c>
      <c r="S106" s="71" t="n">
        <f aca="false">IF(AND(ISNUMBER(S104),ISNUMBER(S105)),S103+S104+S105,"SLO 不可達")</f>
        <v>2138163.65067722</v>
      </c>
      <c r="T106" s="71" t="n">
        <f aca="false">IF(AND(ISNUMBER(T104),ISNUMBER(T105)),T103+T104+T105,"SLO 不可達")</f>
        <v>14201317.1713302</v>
      </c>
      <c r="U106" s="71" t="n">
        <f aca="false">IF(AND(ISNUMBER(U104),ISNUMBER(U105)),U103+U104+U105,"SLO 不可達")</f>
        <v>2029342.04499648</v>
      </c>
      <c r="V106" s="71" t="n">
        <f aca="false">IF(AND(ISNUMBER(V104),ISNUMBER(V105)),V103+V104+V105,"SLO 不可達")</f>
        <v>12426050.4872902</v>
      </c>
      <c r="W106" s="71" t="n">
        <f aca="false">IF(AND(ISNUMBER(W104),ISNUMBER(W105)),W103+W104+W105,"SLO 不可達")</f>
        <v>2160171.75087962</v>
      </c>
      <c r="X106" s="71" t="n">
        <f aca="false">IF(AND(ISNUMBER(X104),ISNUMBER(X105)),X103+X104+X105,"SLO 不可達")</f>
        <v>14573485.5578506</v>
      </c>
      <c r="Y106" s="71" t="n">
        <f aca="false">IF(AND(ISNUMBER(Y104),ISNUMBER(Y105)),Y103+Y104+Y105,"SLO 不可達")</f>
        <v>1461907.24104754</v>
      </c>
      <c r="Z106" s="71" t="n">
        <f aca="false">IF(AND(ISNUMBER(Z104),ISNUMBER(Z105)),Z103+Z104+Z105,"SLO 不可達")</f>
        <v>11900014.437774</v>
      </c>
      <c r="AA106" s="71" t="n">
        <f aca="false">IF(AND(ISNUMBER(AA104),ISNUMBER(AA105)),AA103+AA104+AA105,"SLO 不可達")</f>
        <v>3230053.29666758</v>
      </c>
      <c r="AB106" s="71" t="n">
        <f aca="false">IF(AND(ISNUMBER(AB104),ISNUMBER(AB105)),AB103+AB104+AB105,"SLO 不可達")</f>
        <v>14552233.521204</v>
      </c>
      <c r="AC106" s="71" t="n">
        <f aca="false">IF(AND(ISNUMBER(AC104),ISNUMBER(AC105)),AC103+AC104+AC105,"SLO 不可達")</f>
        <v>2051289.25958755</v>
      </c>
      <c r="AD106" s="71" t="n">
        <f aca="false">IF(AND(ISNUMBER(AD104),ISNUMBER(AD105)),AD103+AD104+AD105,"SLO 不可達")</f>
        <v>12784087.465584</v>
      </c>
      <c r="AE106" s="71" t="n">
        <f aca="false">IF(AND(ISNUMBER(AE104),ISNUMBER(AE105)),AE103+AE104+AE105,"SLO 不可達")</f>
        <v>2051289.25958755</v>
      </c>
      <c r="AF106" s="71" t="n">
        <f aca="false">IF(AND(ISNUMBER(AF104),ISNUMBER(AF105)),AF103+AF104+AF105,"SLO 不可達")</f>
        <v>12784087.465584</v>
      </c>
      <c r="AG106" s="71" t="n">
        <f aca="false">IF(AND(ISNUMBER(AG104),ISNUMBER(AG105)),AG103+AG104+AG105,"SLO 不可達")</f>
        <v>2207402.81767502</v>
      </c>
      <c r="AH106" s="71" t="n">
        <f aca="false">IF(AND(ISNUMBER(AH104),ISNUMBER(AH105)),AH103+AH104+AH105,"SLO 不可達")</f>
        <v>13842339.6323565</v>
      </c>
    </row>
    <row r="107" customFormat="false" ht="15" hidden="false" customHeight="false" outlineLevel="0" collapsed="false">
      <c r="A107" s="61" t="s">
        <v>1244</v>
      </c>
      <c r="B107" s="62" t="s">
        <v>330</v>
      </c>
      <c r="C107" s="144" t="n">
        <f aca="false">C35+C42</f>
        <v>1.33534567343555E+025</v>
      </c>
      <c r="D107" s="144" t="n">
        <f aca="false">D35+D42</f>
        <v>7.25166139392E+025</v>
      </c>
      <c r="E107" s="144" t="n">
        <f aca="false">E35+E42</f>
        <v>1.33534567343555E+025</v>
      </c>
      <c r="F107" s="144" t="n">
        <f aca="false">F35+F42</f>
        <v>7.25166139392E+025</v>
      </c>
      <c r="G107" s="144" t="n">
        <f aca="false">G35+G42</f>
        <v>1.33534567343555E+025</v>
      </c>
      <c r="H107" s="144" t="n">
        <f aca="false">H35+H42</f>
        <v>7.25166139392E+025</v>
      </c>
      <c r="I107" s="144" t="n">
        <f aca="false">I35+I42</f>
        <v>1.33534567343555E+025</v>
      </c>
      <c r="J107" s="144" t="n">
        <f aca="false">J35+J42</f>
        <v>7.25166139392E+025</v>
      </c>
      <c r="K107" s="144" t="n">
        <f aca="false">K35+K42</f>
        <v>6.88137501557146E+024</v>
      </c>
      <c r="L107" s="144" t="n">
        <f aca="false">L35+L42</f>
        <v>3.83046746112E+025</v>
      </c>
      <c r="M107" s="144" t="n">
        <f aca="false">M35+M42</f>
        <v>2.2026046237526E+025</v>
      </c>
      <c r="N107" s="144" t="n">
        <f aca="false">N35+N42</f>
        <v>1.1836061263872E+026</v>
      </c>
      <c r="O107" s="144" t="n">
        <f aca="false">O35+O42</f>
        <v>1.33534567343555E+025</v>
      </c>
      <c r="P107" s="144" t="n">
        <f aca="false">P35+P42</f>
        <v>7.25166139392E+025</v>
      </c>
      <c r="Q107" s="144" t="n">
        <f aca="false">Q35+Q42</f>
        <v>1.33534567343555E+025</v>
      </c>
      <c r="R107" s="144" t="n">
        <f aca="false">R35+R42</f>
        <v>7.25166139392E+025</v>
      </c>
      <c r="S107" s="144" t="n">
        <f aca="false">S35+S42</f>
        <v>1.33534567343555E+025</v>
      </c>
      <c r="T107" s="144" t="n">
        <f aca="false">T35+T42</f>
        <v>7.25166139392E+025</v>
      </c>
      <c r="U107" s="144" t="n">
        <f aca="false">U35+U42</f>
        <v>1.33534567343555E+025</v>
      </c>
      <c r="V107" s="144" t="n">
        <f aca="false">V35+V42</f>
        <v>7.25166139392E+025</v>
      </c>
      <c r="W107" s="144" t="n">
        <f aca="false">W35+W42</f>
        <v>1.33534567343555E+025</v>
      </c>
      <c r="X107" s="144" t="n">
        <f aca="false">X35+X42</f>
        <v>7.25166139392E+025</v>
      </c>
      <c r="Y107" s="144" t="n">
        <f aca="false">Y35+Y42</f>
        <v>1.33534567343555E+025</v>
      </c>
      <c r="Z107" s="144" t="n">
        <f aca="false">Z35+Z42</f>
        <v>7.25166139392E+025</v>
      </c>
      <c r="AA107" s="144" t="n">
        <f aca="false">AA35+AA42</f>
        <v>1.33534567343555E+025</v>
      </c>
      <c r="AB107" s="144" t="n">
        <f aca="false">AB35+AB42</f>
        <v>7.25166139392E+025</v>
      </c>
      <c r="AC107" s="144" t="n">
        <f aca="false">AC35+AC42</f>
        <v>1.33534567343555E+025</v>
      </c>
      <c r="AD107" s="144" t="n">
        <f aca="false">AD35+AD42</f>
        <v>7.25166139392E+025</v>
      </c>
      <c r="AE107" s="144" t="n">
        <f aca="false">AE35+AE42</f>
        <v>1.33534567343555E+025</v>
      </c>
      <c r="AF107" s="144" t="n">
        <f aca="false">AF35+AF42</f>
        <v>7.25166139392E+025</v>
      </c>
      <c r="AG107" s="144" t="n">
        <f aca="false">AG35+AG42</f>
        <v>1.33534567343555E+025</v>
      </c>
      <c r="AH107" s="144" t="n">
        <f aca="false">AH35+AH42</f>
        <v>7.25166139392E+025</v>
      </c>
    </row>
    <row r="108" customFormat="false" ht="15" hidden="false" customHeight="false" outlineLevel="0" collapsed="false">
      <c r="A108" s="61" t="s">
        <v>1245</v>
      </c>
      <c r="B108" s="62" t="s">
        <v>330</v>
      </c>
      <c r="C108" s="144" t="n">
        <f aca="false">C49+C76+C91</f>
        <v>1.94311098372492E+024</v>
      </c>
      <c r="D108" s="144" t="n">
        <f aca="false">D49+D76+D91</f>
        <v>2.666974089216E+025</v>
      </c>
      <c r="E108" s="144" t="n">
        <f aca="false">E49+E76+E91</f>
        <v>1.94311098372492E+024</v>
      </c>
      <c r="F108" s="144" t="n">
        <f aca="false">F49+F76+F91</f>
        <v>2.666974089216E+025</v>
      </c>
      <c r="G108" s="144" t="n">
        <f aca="false">G49+G76+G91</f>
        <v>1.94311098372492E+024</v>
      </c>
      <c r="H108" s="144" t="n">
        <f aca="false">H49+H76+H91</f>
        <v>2.666974089216E+025</v>
      </c>
      <c r="I108" s="144" t="n">
        <f aca="false">I49+I76+I91</f>
        <v>1.94311098372492E+024</v>
      </c>
      <c r="J108" s="144" t="n">
        <f aca="false">J49+J76+J91</f>
        <v>2.666974089216E+025</v>
      </c>
      <c r="K108" s="144" t="n">
        <f aca="false">K49+K76+K91</f>
        <v>1.94311098372492E+024</v>
      </c>
      <c r="L108" s="144" t="n">
        <f aca="false">L49+L76+L91</f>
        <v>2.666974089216E+025</v>
      </c>
      <c r="M108" s="144" t="n">
        <f aca="false">M49+M76+M91</f>
        <v>1.94311098372492E+024</v>
      </c>
      <c r="N108" s="144" t="n">
        <f aca="false">N49+N76+N91</f>
        <v>2.666974089216E+025</v>
      </c>
      <c r="O108" s="144" t="n">
        <f aca="false">O49+O76+O91</f>
        <v>7.26982939760477E+023</v>
      </c>
      <c r="P108" s="144" t="n">
        <f aca="false">P49+P76+P91</f>
        <v>8.544883731456E+024</v>
      </c>
      <c r="Q108" s="144" t="n">
        <f aca="false">Q49+Q76+Q91</f>
        <v>5.41776253790905E+024</v>
      </c>
      <c r="R108" s="144" t="n">
        <f aca="false">R49+R76+R91</f>
        <v>7.84550470656E+025</v>
      </c>
      <c r="S108" s="144" t="n">
        <f aca="false">S49+S76+S91</f>
        <v>1.94311098372492E+024</v>
      </c>
      <c r="T108" s="144" t="n">
        <f aca="false">T49+T76+T91</f>
        <v>2.666974089216E+025</v>
      </c>
      <c r="U108" s="144" t="n">
        <f aca="false">U49+U76+U91</f>
        <v>1.94311098372492E+024</v>
      </c>
      <c r="V108" s="144" t="n">
        <f aca="false">V49+V76+V91</f>
        <v>2.666974089216E+025</v>
      </c>
      <c r="W108" s="144" t="n">
        <f aca="false">W49+W76+W91</f>
        <v>1.94311098372492E+024</v>
      </c>
      <c r="X108" s="144" t="n">
        <f aca="false">X49+X76+X91</f>
        <v>2.666974089216E+025</v>
      </c>
      <c r="Y108" s="144" t="n">
        <f aca="false">Y49+Y76+Y91</f>
        <v>1.94311098372492E+024</v>
      </c>
      <c r="Z108" s="144" t="n">
        <f aca="false">Z49+Z76+Z91</f>
        <v>2.666974089216E+025</v>
      </c>
      <c r="AA108" s="144" t="n">
        <f aca="false">AA49+AA76+AA91</f>
        <v>1.94311098372492E+024</v>
      </c>
      <c r="AB108" s="144" t="n">
        <f aca="false">AB49+AB76+AB91</f>
        <v>2.666974089216E+025</v>
      </c>
      <c r="AC108" s="144" t="n">
        <f aca="false">AC49+AC76+AC91</f>
        <v>1.94311098372492E+024</v>
      </c>
      <c r="AD108" s="144" t="n">
        <f aca="false">AD49+AD76+AD91</f>
        <v>2.666974089216E+025</v>
      </c>
      <c r="AE108" s="144" t="n">
        <f aca="false">AE49+AE76+AE91</f>
        <v>1.94311098372492E+024</v>
      </c>
      <c r="AF108" s="144" t="n">
        <f aca="false">AF49+AF76+AF91</f>
        <v>2.666974089216E+025</v>
      </c>
      <c r="AG108" s="144" t="n">
        <f aca="false">AG49+AG76+AG91</f>
        <v>1.94311098372492E+024</v>
      </c>
      <c r="AH108" s="144" t="n">
        <f aca="false">AH49+AH76+AH91</f>
        <v>2.666974089216E+025</v>
      </c>
    </row>
    <row r="109" customFormat="false" ht="15" hidden="false" customHeight="false" outlineLevel="0" collapsed="false">
      <c r="A109" s="61" t="s">
        <v>1246</v>
      </c>
      <c r="B109" s="62" t="s">
        <v>330</v>
      </c>
      <c r="C109" s="144" t="n">
        <f aca="false">C107+C108+C98+C101</f>
        <v>1.6345355852516E+025</v>
      </c>
      <c r="D109" s="144" t="n">
        <f aca="false">D107+D108+D98+D101</f>
        <v>1.0080164477952E+026</v>
      </c>
      <c r="E109" s="144" t="n">
        <f aca="false">E107+E108+E98+E101</f>
        <v>1.6345355852516E+025</v>
      </c>
      <c r="F109" s="144" t="n">
        <f aca="false">F107+F108+F98+F101</f>
        <v>1.0080164477952E+026</v>
      </c>
      <c r="G109" s="144" t="n">
        <f aca="false">G107+G108+G98+G101</f>
        <v>1.6345355852516E+025</v>
      </c>
      <c r="H109" s="144" t="n">
        <f aca="false">H107+H108+H98+H101</f>
        <v>1.0080164477952E+026</v>
      </c>
      <c r="I109" s="144" t="n">
        <f aca="false">I107+I108+I98+I101</f>
        <v>1.6345355852516E+025</v>
      </c>
      <c r="J109" s="144" t="n">
        <f aca="false">J107+J108+J98+J101</f>
        <v>1.0080164477952E+026</v>
      </c>
      <c r="K109" s="144" t="n">
        <f aca="false">K107+K108+K98+K101</f>
        <v>9.87327413373201E+024</v>
      </c>
      <c r="L109" s="144" t="n">
        <f aca="false">L107+L108+L98+L101</f>
        <v>6.658970545152E+025</v>
      </c>
      <c r="M109" s="144" t="n">
        <f aca="false">M107+M108+M98+M101</f>
        <v>2.50179453556866E+025</v>
      </c>
      <c r="N109" s="144" t="n">
        <f aca="false">N107+N108+N98+N101</f>
        <v>1.4664564347904E+026</v>
      </c>
      <c r="O109" s="144" t="n">
        <f aca="false">O107+O108+O98+O101</f>
        <v>1.51292278085516E+025</v>
      </c>
      <c r="P109" s="144" t="n">
        <f aca="false">P107+P108+P98+P101</f>
        <v>8.2676787618816E+025</v>
      </c>
      <c r="Q109" s="144" t="n">
        <f aca="false">Q107+Q108+Q98+Q101</f>
        <v>1.98200074067001E+025</v>
      </c>
      <c r="R109" s="144" t="n">
        <f aca="false">R107+R108+R98+R101</f>
        <v>1.5258695095296E+026</v>
      </c>
      <c r="S109" s="144" t="n">
        <f aca="false">S107+S108+S98+S101</f>
        <v>1.6345355852516E+025</v>
      </c>
      <c r="T109" s="144" t="n">
        <f aca="false">T107+T108+T98+T101</f>
        <v>1.0080164477952E+026</v>
      </c>
      <c r="U109" s="144" t="n">
        <f aca="false">U107+U108+U98+U101</f>
        <v>1.6345355852516E+025</v>
      </c>
      <c r="V109" s="144" t="n">
        <f aca="false">V107+V108+V98+V101</f>
        <v>1.0080164477952E+026</v>
      </c>
      <c r="W109" s="144" t="n">
        <f aca="false">W107+W108+W98+W101</f>
        <v>1.6345355852516E+025</v>
      </c>
      <c r="X109" s="144" t="n">
        <f aca="false">X107+X108+X98+X101</f>
        <v>1.0080164477952E+026</v>
      </c>
      <c r="Y109" s="144" t="n">
        <f aca="false">Y107+Y108+Y98+Y101</f>
        <v>1.5303233305316E+025</v>
      </c>
      <c r="Z109" s="144" t="n">
        <f aca="false">Z107+Z108+Z98+Z101</f>
        <v>9.923846095872E+025</v>
      </c>
      <c r="AA109" s="144" t="n">
        <f aca="false">AA107+AA108+AA98+AA101</f>
        <v>1.8429600946916E+025</v>
      </c>
      <c r="AB109" s="144" t="n">
        <f aca="false">AB107+AB108+AB98+AB101</f>
        <v>1.0392801242112E+026</v>
      </c>
      <c r="AC109" s="144" t="n">
        <f aca="false">AC107+AC108+AC98+AC101</f>
        <v>1.6345355852516E+025</v>
      </c>
      <c r="AD109" s="144" t="n">
        <f aca="false">AD107+AD108+AD98+AD101</f>
        <v>1.0080164477952E+026</v>
      </c>
      <c r="AE109" s="144" t="n">
        <f aca="false">AE107+AE108+AE98+AE101</f>
        <v>1.6345355852516E+025</v>
      </c>
      <c r="AF109" s="144" t="n">
        <f aca="false">AF107+AF108+AF98+AF101</f>
        <v>1.0080164477952E+026</v>
      </c>
      <c r="AG109" s="144" t="n">
        <f aca="false">AG107+AG108+AG98+AG101</f>
        <v>1.6345355852516E+025</v>
      </c>
      <c r="AH109" s="144" t="n">
        <f aca="false">AH107+AH108+AH98+AH101</f>
        <v>1.0080164477952E+026</v>
      </c>
    </row>
    <row r="110" customFormat="false" ht="15" hidden="false" customHeight="false" outlineLevel="0" collapsed="false">
      <c r="A110" s="61" t="s">
        <v>1247</v>
      </c>
      <c r="B110" s="62" t="s">
        <v>113</v>
      </c>
      <c r="C110" s="101" t="n">
        <f aca="false">C108/(C107+C108)</f>
        <v>0.127029214627552</v>
      </c>
      <c r="D110" s="101" t="n">
        <f aca="false">D108/(D107+D108)</f>
        <v>0.268885180199482</v>
      </c>
      <c r="E110" s="101" t="n">
        <f aca="false">E108/(E107+E108)</f>
        <v>0.127029214627552</v>
      </c>
      <c r="F110" s="101" t="n">
        <f aca="false">F108/(F107+F108)</f>
        <v>0.268885180199482</v>
      </c>
      <c r="G110" s="101" t="n">
        <f aca="false">G108/(G107+G108)</f>
        <v>0.127029214627552</v>
      </c>
      <c r="H110" s="101" t="n">
        <f aca="false">H108/(H107+H108)</f>
        <v>0.268885180199482</v>
      </c>
      <c r="I110" s="101" t="n">
        <f aca="false">I108/(I107+I108)</f>
        <v>0.127029214627552</v>
      </c>
      <c r="J110" s="101" t="n">
        <f aca="false">J108/(J107+J108)</f>
        <v>0.268885180199482</v>
      </c>
      <c r="K110" s="101" t="n">
        <f aca="false">K108/(K107+K108)</f>
        <v>0.220195372725375</v>
      </c>
      <c r="L110" s="101" t="n">
        <f aca="false">L108/(L107+L108)</f>
        <v>0.410465268299041</v>
      </c>
      <c r="M110" s="101" t="n">
        <f aca="false">M108/(M107+M108)</f>
        <v>0.08106713831399</v>
      </c>
      <c r="N110" s="101" t="n">
        <f aca="false">N108/(N107+N108)</f>
        <v>0.18389075281735</v>
      </c>
      <c r="O110" s="101" t="n">
        <f aca="false">O108/(O107+O108)</f>
        <v>0.051630698798198</v>
      </c>
      <c r="P110" s="101" t="n">
        <f aca="false">P108/(P107+P108)</f>
        <v>0.105412359467782</v>
      </c>
      <c r="Q110" s="101" t="n">
        <f aca="false">Q108/(Q107+Q108)</f>
        <v>0.28862070488485</v>
      </c>
      <c r="R110" s="101" t="n">
        <f aca="false">R108/(R107+R108)</f>
        <v>0.519667376933116</v>
      </c>
      <c r="S110" s="101" t="n">
        <f aca="false">S108/(S107+S108)</f>
        <v>0.127029214627552</v>
      </c>
      <c r="T110" s="101" t="n">
        <f aca="false">T108/(T107+T108)</f>
        <v>0.268885180199482</v>
      </c>
      <c r="U110" s="101" t="n">
        <f aca="false">U108/(U107+U108)</f>
        <v>0.127029214627552</v>
      </c>
      <c r="V110" s="101" t="n">
        <f aca="false">V108/(V107+V108)</f>
        <v>0.268885180199482</v>
      </c>
      <c r="W110" s="101" t="n">
        <f aca="false">W108/(W107+W108)</f>
        <v>0.127029214627552</v>
      </c>
      <c r="X110" s="101" t="n">
        <f aca="false">X108/(X107+X108)</f>
        <v>0.268885180199482</v>
      </c>
      <c r="Y110" s="101" t="n">
        <f aca="false">Y108/(Y107+Y108)</f>
        <v>0.127029214627552</v>
      </c>
      <c r="Z110" s="101" t="n">
        <f aca="false">Z108/(Z107+Z108)</f>
        <v>0.268885180199482</v>
      </c>
      <c r="AA110" s="101" t="n">
        <f aca="false">AA108/(AA107+AA108)</f>
        <v>0.127029214627552</v>
      </c>
      <c r="AB110" s="101" t="n">
        <f aca="false">AB108/(AB107+AB108)</f>
        <v>0.268885180199482</v>
      </c>
      <c r="AC110" s="101" t="n">
        <f aca="false">AC108/(AC107+AC108)</f>
        <v>0.127029214627552</v>
      </c>
      <c r="AD110" s="101" t="n">
        <f aca="false">AD108/(AD107+AD108)</f>
        <v>0.268885180199482</v>
      </c>
      <c r="AE110" s="101" t="n">
        <f aca="false">AE108/(AE107+AE108)</f>
        <v>0.127029214627552</v>
      </c>
      <c r="AF110" s="101" t="n">
        <f aca="false">AF108/(AF107+AF108)</f>
        <v>0.268885180199482</v>
      </c>
      <c r="AG110" s="101" t="n">
        <f aca="false">AG108/(AG107+AG108)</f>
        <v>0.127029214627552</v>
      </c>
      <c r="AH110" s="101" t="n">
        <f aca="false">AH108/(AH107+AH108)</f>
        <v>0.268885180199482</v>
      </c>
    </row>
    <row r="111" customFormat="false" ht="15" hidden="false" customHeight="false" outlineLevel="0" collapsed="false">
      <c r="A111" s="61" t="s">
        <v>1248</v>
      </c>
      <c r="B111" s="62" t="s">
        <v>113</v>
      </c>
      <c r="C111" s="101" t="n">
        <f aca="false">IF(AND(ISNUMBER(C104)),C104/(C103+C104),"SLO 不可達")</f>
        <v>0.282310936548276</v>
      </c>
      <c r="D111" s="101" t="n">
        <f aca="false">IF(AND(ISNUMBER(D104)),D104/(D103+D104),"SLO 不可達")</f>
        <v>0.521148040333377</v>
      </c>
      <c r="E111" s="101" t="n">
        <f aca="false">IF(AND(ISNUMBER(E104)),E104/(E103+E104),"SLO 不可達")</f>
        <v>0.238550549238054</v>
      </c>
      <c r="F111" s="101" t="n">
        <f aca="false">IF(AND(ISNUMBER(F104)),F104/(F103+F104),"SLO 不可達")</f>
        <v>0.459094328259101</v>
      </c>
      <c r="G111" s="101" t="n">
        <f aca="false">IF(AND(ISNUMBER(G104)),G104/(G103+G104),"SLO 不可達")</f>
        <v>0.339269097413852</v>
      </c>
      <c r="H111" s="101" t="n">
        <f aca="false">IF(AND(ISNUMBER(H104)),H104/(H103+H104),"SLO 不可達")</f>
        <v>0.591452109483862</v>
      </c>
      <c r="I111" s="101" t="n">
        <f aca="false">IF(AND(ISNUMBER(I104)),I104/(I103+I104),"SLO 不可達")</f>
        <v>0.372470941924599</v>
      </c>
      <c r="J111" s="101" t="n">
        <f aca="false">IF(AND(ISNUMBER(J104)),J104/(J103+J104),"SLO 不可達")</f>
        <v>0.627875181315398</v>
      </c>
      <c r="K111" s="101" t="n">
        <f aca="false">IF(AND(ISNUMBER(K104)),K104/(K103+K104),"SLO 不可達")</f>
        <v>0.432889775989946</v>
      </c>
      <c r="L111" s="101" t="n">
        <f aca="false">IF(AND(ISNUMBER(L104)),L104/(L103+L104),"SLO 不可達")</f>
        <v>0.673242307637432</v>
      </c>
      <c r="M111" s="101" t="n">
        <f aca="false">IF(AND(ISNUMBER(M104)),M104/(M103+M104),"SLO 不可達")</f>
        <v>0.192557391766836</v>
      </c>
      <c r="N111" s="101" t="n">
        <f aca="false">IF(AND(ISNUMBER(N104)),N104/(N103+N104),"SLO 不可達")</f>
        <v>0.400044990623849</v>
      </c>
      <c r="O111" s="101" t="n">
        <f aca="false">IF(AND(ISNUMBER(O104)),O104/(O103+O104),"SLO 不可達")</f>
        <v>0.123845535250358</v>
      </c>
      <c r="P111" s="101" t="n">
        <f aca="false">IF(AND(ISNUMBER(P104)),P104/(P103+P104),"SLO 不可達")</f>
        <v>0.255863314337605</v>
      </c>
      <c r="Q111" s="101" t="n">
        <f aca="false">IF(AND(ISNUMBER(Q104)),Q104/(Q103+Q104),"SLO 不可達")</f>
        <v>0.526826365936355</v>
      </c>
      <c r="R111" s="101" t="n">
        <f aca="false">IF(AND(ISNUMBER(R104)),R104/(R103+R104),"SLO 不可達")</f>
        <v>0.762776805856927</v>
      </c>
      <c r="S111" s="101" t="n">
        <f aca="false">IF(AND(ISNUMBER(S104)),S104/(S103+S104),"SLO 不可達")</f>
        <v>0.322657653641206</v>
      </c>
      <c r="T111" s="101" t="n">
        <f aca="false">IF(AND(ISNUMBER(T104)),T104/(T103+T104),"SLO 不可達")</f>
        <v>0.572220791017293</v>
      </c>
      <c r="U111" s="101" t="n">
        <f aca="false">IF(AND(ISNUMBER(U104)),U104/(U103+U104),"SLO 不可達")</f>
        <v>0.271345927145862</v>
      </c>
      <c r="V111" s="101" t="n">
        <f aca="false">IF(AND(ISNUMBER(V104)),V104/(V103+V104),"SLO 不可達")</f>
        <v>0.506255828892617</v>
      </c>
      <c r="W111" s="101" t="n">
        <f aca="false">IF(AND(ISNUMBER(W104)),W104/(W103+W104),"SLO 不可達")</f>
        <v>0.331412331524224</v>
      </c>
      <c r="X111" s="101" t="n">
        <f aca="false">IF(AND(ISNUMBER(X104)),X104/(X103+X104),"SLO 不可達")</f>
        <v>0.583407458596451</v>
      </c>
      <c r="Y111" s="101" t="n">
        <f aca="false">IF(AND(ISNUMBER(Y104)),Y104/(Y103+Y104),"SLO 不可達")</f>
        <v>0.282310936548276</v>
      </c>
      <c r="Z111" s="101" t="n">
        <f aca="false">IF(AND(ISNUMBER(Z104)),Z104/(Z103+Z104),"SLO 不可達")</f>
        <v>0.521148040333377</v>
      </c>
      <c r="AA111" s="101" t="n">
        <f aca="false">IF(AND(ISNUMBER(AA104)),AA104/(AA103+AA104),"SLO 不可達")</f>
        <v>0.282310936548276</v>
      </c>
      <c r="AB111" s="101" t="n">
        <f aca="false">IF(AND(ISNUMBER(AB104)),AB104/(AB103+AB104),"SLO 不可達")</f>
        <v>0.521148040333377</v>
      </c>
      <c r="AC111" s="101" t="n">
        <f aca="false">IF(AND(ISNUMBER(AC104)),AC104/(AC103+AC104),"SLO 不可達")</f>
        <v>0.282310936548276</v>
      </c>
      <c r="AD111" s="101" t="n">
        <f aca="false">IF(AND(ISNUMBER(AD104)),AD104/(AD103+AD104),"SLO 不可達")</f>
        <v>0.521148040333377</v>
      </c>
      <c r="AE111" s="101" t="n">
        <f aca="false">IF(AND(ISNUMBER(AE104)),AE104/(AE103+AE104),"SLO 不可達")</f>
        <v>0.282310936548276</v>
      </c>
      <c r="AF111" s="101" t="n">
        <f aca="false">IF(AND(ISNUMBER(AF104)),AF104/(AF103+AF104),"SLO 不可達")</f>
        <v>0.521148040333377</v>
      </c>
      <c r="AG111" s="101" t="n">
        <f aca="false">IF(AND(ISNUMBER(AG104)),AG104/(AG103+AG104),"SLO 不可達")</f>
        <v>0.270667991364479</v>
      </c>
      <c r="AH111" s="101" t="n">
        <f aca="false">IF(AND(ISNUMBER(AH104)),AH104/(AH103+AH104),"SLO 不可達")</f>
        <v>0.505386086201906</v>
      </c>
    </row>
    <row r="112" customFormat="false" ht="15" hidden="false" customHeight="false" outlineLevel="0" collapsed="false">
      <c r="A112" s="61" t="s">
        <v>1249</v>
      </c>
      <c r="B112" s="62" t="s">
        <v>1180</v>
      </c>
      <c r="C112" s="68" t="n">
        <f aca="false">IF(AND(ISNUMBER(C65),ISNUMBER(C86),ISNUMBER(C97),ISNUMBER(C100)),C65+C74+C86+C87+C97+C100,"SLO 不可達")</f>
        <v>802380.794887774</v>
      </c>
      <c r="D112" s="68" t="n">
        <f aca="false">IF(AND(ISNUMBER(D65),ISNUMBER(D86),ISNUMBER(D97),ISNUMBER(D100)),D65+D74+D86+D87+D97+D100,"SLO 不可達")</f>
        <v>4318070.1314041</v>
      </c>
      <c r="E112" s="68" t="n">
        <f aca="false">IF(AND(ISNUMBER(E65),ISNUMBER(E86),ISNUMBER(E97),ISNUMBER(E100)),E65+E74+E86+E87+E97+E100,"SLO 不可達")</f>
        <v>802380.794887774</v>
      </c>
      <c r="F112" s="68" t="n">
        <f aca="false">IF(AND(ISNUMBER(F65),ISNUMBER(F86),ISNUMBER(F97),ISNUMBER(F100)),F65+F74+F86+F87+F97+F100,"SLO 不可達")</f>
        <v>4318070.1314041</v>
      </c>
      <c r="G112" s="68" t="n">
        <f aca="false">IF(AND(ISNUMBER(G65),ISNUMBER(G86),ISNUMBER(G97),ISNUMBER(G100)),G65+G74+G86+G87+G97+G100,"SLO 不可達")</f>
        <v>802380.794887774</v>
      </c>
      <c r="H112" s="68" t="n">
        <f aca="false">IF(AND(ISNUMBER(H65),ISNUMBER(H86),ISNUMBER(H97),ISNUMBER(H100)),H65+H74+H86+H87+H97+H100,"SLO 不可達")</f>
        <v>4318070.1314041</v>
      </c>
      <c r="I112" s="68" t="n">
        <f aca="false">IF(AND(ISNUMBER(I65),ISNUMBER(I86),ISNUMBER(I97),ISNUMBER(I100)),I65+I74+I86+I87+I97+I100,"SLO 不可達")</f>
        <v>802380.794887774</v>
      </c>
      <c r="J112" s="68" t="n">
        <f aca="false">IF(AND(ISNUMBER(J65),ISNUMBER(J86),ISNUMBER(J97),ISNUMBER(J100)),J65+J74+J86+J87+J97+J100,"SLO 不可達")</f>
        <v>4318070.1314041</v>
      </c>
      <c r="K112" s="68" t="n">
        <f aca="false">IF(AND(ISNUMBER(K65),ISNUMBER(K86),ISNUMBER(K97),ISNUMBER(K100)),K65+K74+K86+K87+K97+K100,"SLO 不可達")</f>
        <v>802380.794887774</v>
      </c>
      <c r="L112" s="68" t="n">
        <f aca="false">IF(AND(ISNUMBER(L65),ISNUMBER(L86),ISNUMBER(L97),ISNUMBER(L100)),L65+L74+L86+L87+L97+L100,"SLO 不可達")</f>
        <v>4318070.1314041</v>
      </c>
      <c r="M112" s="68" t="n">
        <f aca="false">IF(AND(ISNUMBER(M65),ISNUMBER(M86),ISNUMBER(M97),ISNUMBER(M100)),M65+M74+M86+M87+M97+M100,"SLO 不可達")</f>
        <v>802380.794887774</v>
      </c>
      <c r="N112" s="68" t="n">
        <f aca="false">IF(AND(ISNUMBER(N65),ISNUMBER(N86),ISNUMBER(N97),ISNUMBER(N100)),N65+N74+N86+N87+N97+N100,"SLO 不可達")</f>
        <v>4318070.1314041</v>
      </c>
      <c r="O112" s="68" t="n">
        <f aca="false">IF(AND(ISNUMBER(O65),ISNUMBER(O86),ISNUMBER(O97),ISNUMBER(O100)),O65+O74+O86+O87+O97+O100,"SLO 不可達")</f>
        <v>667817.571680837</v>
      </c>
      <c r="P112" s="68" t="n">
        <f aca="false">IF(AND(ISNUMBER(P65),ISNUMBER(P86),ISNUMBER(P97),ISNUMBER(P100)),P65+P74+P86+P87+P97+P100,"SLO 不可達")</f>
        <v>1985661.56845377</v>
      </c>
      <c r="Q112" s="68" t="n">
        <f aca="false">IF(AND(ISNUMBER(Q65),ISNUMBER(Q86),ISNUMBER(Q97),ISNUMBER(Q100)),Q65+Q74+Q86+Q87+Q97+Q100,"SLO 不可達")</f>
        <v>1186847.14690759</v>
      </c>
      <c r="R112" s="68" t="n">
        <f aca="false">IF(AND(ISNUMBER(R65),ISNUMBER(R86),ISNUMBER(R97),ISNUMBER(R100)),R65+R74+R86+R87+R97+R100,"SLO 不可達")</f>
        <v>10982094.5969765</v>
      </c>
      <c r="S112" s="68" t="n">
        <f aca="false">IF(AND(ISNUMBER(S65),ISNUMBER(S86),ISNUMBER(S97),ISNUMBER(S100)),S65+S74+S86+S87+S97+S100,"SLO 不可達")</f>
        <v>889255.185977442</v>
      </c>
      <c r="T112" s="68" t="n">
        <f aca="false">IF(AND(ISNUMBER(T65),ISNUMBER(T86),ISNUMBER(T97),ISNUMBER(T100)),T65+T74+T86+T87+T97+T100,"SLO 不可達")</f>
        <v>5735299.83715031</v>
      </c>
      <c r="U112" s="68" t="n">
        <f aca="false">IF(AND(ISNUMBER(U65),ISNUMBER(U86),ISNUMBER(U97),ISNUMBER(U100)),U65+U74+U86+U87+U97+U100,"SLO 不可達")</f>
        <v>780433.5802967</v>
      </c>
      <c r="V112" s="68" t="n">
        <f aca="false">IF(AND(ISNUMBER(V65),ISNUMBER(V86),ISNUMBER(V97),ISNUMBER(V100)),V65+V74+V86+V87+V97+V100,"SLO 不可達")</f>
        <v>3960033.15311033</v>
      </c>
      <c r="W112" s="68" t="n">
        <f aca="false">IF(AND(ISNUMBER(W65),ISNUMBER(W86),ISNUMBER(W97),ISNUMBER(W100)),W65+W74+W86+W87+W97+W100,"SLO 不可達")</f>
        <v>911263.286179845</v>
      </c>
      <c r="X112" s="68" t="n">
        <f aca="false">IF(AND(ISNUMBER(X65),ISNUMBER(X86),ISNUMBER(X97),ISNUMBER(X100)),X65+X74+X86+X87+X97+X100,"SLO 不可達")</f>
        <v>6107468.22367072</v>
      </c>
      <c r="Y112" s="68" t="n">
        <f aca="false">IF(AND(ISNUMBER(Y65),ISNUMBER(Y86),ISNUMBER(Y97),ISNUMBER(Y100)),Y65+Y74+Y86+Y87+Y97+Y100,"SLO 不可達")</f>
        <v>212998.77634776</v>
      </c>
      <c r="Z112" s="68" t="n">
        <f aca="false">IF(AND(ISNUMBER(Z65),ISNUMBER(Z86),ISNUMBER(Z97),ISNUMBER(Z100)),Z65+Z74+Z86+Z87+Z97+Z100,"SLO 不可達")</f>
        <v>3433997.10359408</v>
      </c>
      <c r="AA112" s="68" t="n">
        <f aca="false">IF(AND(ISNUMBER(AA65),ISNUMBER(AA86),ISNUMBER(AA97),ISNUMBER(AA100)),AA65+AA74+AA86+AA87+AA97+AA100,"SLO 不可達")</f>
        <v>1981144.8319678</v>
      </c>
      <c r="AB112" s="68" t="n">
        <f aca="false">IF(AND(ISNUMBER(AB65),ISNUMBER(AB86),ISNUMBER(AB97),ISNUMBER(AB100)),AB65+AB74+AB86+AB87+AB97+AB100,"SLO 不可達")</f>
        <v>6086216.18702414</v>
      </c>
      <c r="AC112" s="68" t="n">
        <f aca="false">IF(AND(ISNUMBER(AC65),ISNUMBER(AC86),ISNUMBER(AC97),ISNUMBER(AC100)),AC65+AC74+AC86+AC87+AC97+AC100,"SLO 不可達")</f>
        <v>802380.794887774</v>
      </c>
      <c r="AD112" s="68" t="n">
        <f aca="false">IF(AND(ISNUMBER(AD65),ISNUMBER(AD86),ISNUMBER(AD97),ISNUMBER(AD100)),AD65+AD74+AD86+AD87+AD97+AD100,"SLO 不可達")</f>
        <v>4318070.1314041</v>
      </c>
      <c r="AE112" s="68" t="n">
        <f aca="false">IF(AND(ISNUMBER(AE65),ISNUMBER(AE86),ISNUMBER(AE97),ISNUMBER(AE100)),AE65+AE74+AE86+AE87+AE97+AE100,"SLO 不可達")</f>
        <v>802380.794887774</v>
      </c>
      <c r="AF112" s="68" t="n">
        <f aca="false">IF(AND(ISNUMBER(AF65),ISNUMBER(AF86),ISNUMBER(AF97),ISNUMBER(AF100)),AF65+AF74+AF86+AF87+AF97+AF100,"SLO 不可達")</f>
        <v>4318070.1314041</v>
      </c>
      <c r="AG112" s="68" t="n">
        <f aca="false">IF(AND(ISNUMBER(AG65),ISNUMBER(AG86),ISNUMBER(AG97),ISNUMBER(AG100)),AG65+AG74+AG86+AG87+AG97+AG100,"SLO 不可達")</f>
        <v>802380.794887774</v>
      </c>
      <c r="AH112" s="68" t="n">
        <f aca="false">IF(AND(ISNUMBER(AH65),ISNUMBER(AH86),ISNUMBER(AH97),ISNUMBER(AH100)),AH65+AH74+AH86+AH87+AH97+AH100,"SLO 不可達")</f>
        <v>4318070.1314041</v>
      </c>
    </row>
    <row r="113" customFormat="false" ht="15" hidden="false" customHeight="false" outlineLevel="0" collapsed="false">
      <c r="A113" s="61" t="s">
        <v>1250</v>
      </c>
      <c r="B113" s="62" t="s">
        <v>1180</v>
      </c>
      <c r="C113" s="68" t="n">
        <f aca="false">C36+C43+C51+C72+C89</f>
        <v>1248908.46469978</v>
      </c>
      <c r="D113" s="68" t="n">
        <f aca="false">D36+D43+D51+D72+D89</f>
        <v>8466017.33417989</v>
      </c>
      <c r="E113" s="68" t="n">
        <f aca="false">E36+E43+E51+E72+E89</f>
        <v>2081514.10783296</v>
      </c>
      <c r="F113" s="68" t="n">
        <f aca="false">F36+F43+F51+F72+F89</f>
        <v>14110028.8902998</v>
      </c>
      <c r="G113" s="68" t="n">
        <f aca="false">G36+G43+G51+G72+G89</f>
        <v>780567.790437361</v>
      </c>
      <c r="H113" s="68" t="n">
        <f aca="false">H36+H43+H51+H72+H89</f>
        <v>5291260.83386243</v>
      </c>
      <c r="I113" s="68" t="n">
        <f aca="false">I36+I43+I51+I72+I89</f>
        <v>624454.232349889</v>
      </c>
      <c r="J113" s="68" t="n">
        <f aca="false">J36+J43+J51+J72+J89</f>
        <v>4233008.66708995</v>
      </c>
      <c r="K113" s="68" t="n">
        <f aca="false">K36+K43+K51+K72+K89</f>
        <v>741592.633323412</v>
      </c>
      <c r="L113" s="68" t="n">
        <f aca="false">L36+L43+L51+L72+L89</f>
        <v>5784305.45269841</v>
      </c>
      <c r="M113" s="68" t="n">
        <f aca="false">M36+M43+M51+M72+M89</f>
        <v>1928711.67874411</v>
      </c>
      <c r="N113" s="68" t="n">
        <f aca="false">N36+N43+N51+N72+N89</f>
        <v>12059511.2553651</v>
      </c>
      <c r="O113" s="68" t="n">
        <f aca="false">O36+O43+O51+O72+O89</f>
        <v>1119689.43403061</v>
      </c>
      <c r="P113" s="68" t="n">
        <f aca="false">P36+P43+P51+P72+P89</f>
        <v>6566576.52351323</v>
      </c>
      <c r="Q113" s="68" t="n">
        <f aca="false">Q36+Q43+Q51+Q72+Q89</f>
        <v>1618105.69518312</v>
      </c>
      <c r="R113" s="68" t="n">
        <f aca="false">R36+R43+R51+R72+R89</f>
        <v>13892991.0789418</v>
      </c>
      <c r="S113" s="68" t="n">
        <f aca="false">S36+S43+S51+S72+S89</f>
        <v>1248908.46469978</v>
      </c>
      <c r="T113" s="68" t="n">
        <f aca="false">T36+T43+T51+T72+T89</f>
        <v>8466017.33417989</v>
      </c>
      <c r="U113" s="68" t="n">
        <f aca="false">U36+U43+U51+U72+U89</f>
        <v>1248908.46469978</v>
      </c>
      <c r="V113" s="68" t="n">
        <f aca="false">V36+V43+V51+V72+V89</f>
        <v>8466017.33417989</v>
      </c>
      <c r="W113" s="68" t="n">
        <f aca="false">W36+W43+W51+W72+W89</f>
        <v>1248908.46469978</v>
      </c>
      <c r="X113" s="68" t="n">
        <f aca="false">X36+X43+X51+X72+X89</f>
        <v>8466017.33417989</v>
      </c>
      <c r="Y113" s="68" t="n">
        <f aca="false">Y36+Y43+Y51+Y72+Y89</f>
        <v>1248908.46469978</v>
      </c>
      <c r="Z113" s="68" t="n">
        <f aca="false">Z36+Z43+Z51+Z72+Z89</f>
        <v>8466017.33417989</v>
      </c>
      <c r="AA113" s="68" t="n">
        <f aca="false">AA36+AA43+AA51+AA72+AA89</f>
        <v>1248908.46469978</v>
      </c>
      <c r="AB113" s="68" t="n">
        <f aca="false">AB36+AB43+AB51+AB72+AB89</f>
        <v>8466017.33417989</v>
      </c>
      <c r="AC113" s="68" t="n">
        <f aca="false">AC36+AC43+AC51+AC72+AC89</f>
        <v>1248908.46469978</v>
      </c>
      <c r="AD113" s="68" t="n">
        <f aca="false">AD36+AD43+AD51+AD72+AD89</f>
        <v>8466017.33417989</v>
      </c>
      <c r="AE113" s="68" t="n">
        <f aca="false">AE36+AE43+AE51+AE72+AE89</f>
        <v>1248908.46469978</v>
      </c>
      <c r="AF113" s="68" t="n">
        <f aca="false">AF36+AF43+AF51+AF72+AF89</f>
        <v>8466017.33417989</v>
      </c>
      <c r="AG113" s="68" t="n">
        <f aca="false">AG36+AG43+AG51+AG72+AG89</f>
        <v>1405022.02278725</v>
      </c>
      <c r="AH113" s="68" t="n">
        <f aca="false">AH36+AH43+AH51+AH72+AH89</f>
        <v>9524269.50095238</v>
      </c>
    </row>
    <row r="114" customFormat="false" ht="15" hidden="false" customHeight="false" outlineLevel="0" collapsed="false">
      <c r="A114" s="61" t="s">
        <v>1251</v>
      </c>
      <c r="B114" s="62" t="s">
        <v>113</v>
      </c>
      <c r="C114" s="103" t="n">
        <f aca="false">IF(AND(ISNUMBER(C112),ISNUMBER(C106)),C112/C106,"SLO 不可達")</f>
        <v>0.391159262955</v>
      </c>
      <c r="D114" s="103" t="n">
        <f aca="false">IF(AND(ISNUMBER(D112),ISNUMBER(D106)),D112/D106,"SLO 不可達")</f>
        <v>0.337769132370908</v>
      </c>
      <c r="E114" s="103" t="n">
        <f aca="false">IF(AND(ISNUMBER(E112),ISNUMBER(E106)),E112/E106,"SLO 不可達")</f>
        <v>0.278228167791686</v>
      </c>
      <c r="F114" s="103" t="n">
        <f aca="false">IF(AND(ISNUMBER(F112),ISNUMBER(F106)),F112/F106,"SLO 不可達")</f>
        <v>0.234319889768252</v>
      </c>
      <c r="G114" s="103" t="n">
        <f aca="false">IF(AND(ISNUMBER(G112),ISNUMBER(G106)),G112/G106,"SLO 不可達")</f>
        <v>0.506889991454123</v>
      </c>
      <c r="H114" s="103" t="n">
        <f aca="false">IF(AND(ISNUMBER(H112),ISNUMBER(H106)),H112/H106,"SLO 不可達")</f>
        <v>0.449362202947532</v>
      </c>
      <c r="I114" s="103" t="n">
        <f aca="false">IF(AND(ISNUMBER(I112),ISNUMBER(I106)),I112/I106,"SLO 不可達")</f>
        <v>0.562350082224414</v>
      </c>
      <c r="J114" s="103" t="n">
        <f aca="false">IF(AND(ISNUMBER(J112),ISNUMBER(J106)),J112/J106,"SLO 不可達")</f>
        <v>0.504973727076935</v>
      </c>
      <c r="K114" s="103" t="n">
        <f aca="false">IF(AND(ISNUMBER(K112),ISNUMBER(K106)),K112/K106,"SLO 不可達")</f>
        <v>0.519685624264528</v>
      </c>
      <c r="L114" s="103" t="n">
        <f aca="false">IF(AND(ISNUMBER(L112),ISNUMBER(L106)),L112/L106,"SLO 不可達")</f>
        <v>0.427431161656589</v>
      </c>
      <c r="M114" s="103" t="n">
        <f aca="false">IF(AND(ISNUMBER(M112),ISNUMBER(M106)),M112/M106,"SLO 不可達")</f>
        <v>0.293794810184785</v>
      </c>
      <c r="N114" s="103" t="n">
        <f aca="false">IF(AND(ISNUMBER(N112),ISNUMBER(N106)),N112/N106,"SLO 不可達")</f>
        <v>0.263657375862135</v>
      </c>
      <c r="O114" s="103" t="n">
        <f aca="false">IF(AND(ISNUMBER(O112),ISNUMBER(O106)),O112/O106,"SLO 不可達")</f>
        <v>0.373602771651817</v>
      </c>
      <c r="P114" s="103" t="n">
        <f aca="false">IF(AND(ISNUMBER(P112),ISNUMBER(P106)),P112/P106,"SLO 不可達")</f>
        <v>0.232180342397025</v>
      </c>
      <c r="Q114" s="103" t="n">
        <f aca="false">IF(AND(ISNUMBER(Q112),ISNUMBER(Q106)),Q112/Q106,"SLO 不可達")</f>
        <v>0.423125526068723</v>
      </c>
      <c r="R114" s="103" t="n">
        <f aca="false">IF(AND(ISNUMBER(R112),ISNUMBER(R106)),R112/R106,"SLO 不可達")</f>
        <v>0.441489719474949</v>
      </c>
      <c r="S114" s="103" t="n">
        <f aca="false">IF(AND(ISNUMBER(S112),ISNUMBER(S106)),S112/S106,"SLO 不可達")</f>
        <v>0.415896690459492</v>
      </c>
      <c r="T114" s="103" t="n">
        <f aca="false">IF(AND(ISNUMBER(T112),ISNUMBER(T106)),T112/T106,"SLO 不可達")</f>
        <v>0.403856893551311</v>
      </c>
      <c r="U114" s="103" t="n">
        <f aca="false">IF(AND(ISNUMBER(U112),ISNUMBER(U106)),U112/U106,"SLO 不可達")</f>
        <v>0.384574686273774</v>
      </c>
      <c r="V114" s="103" t="n">
        <f aca="false">IF(AND(ISNUMBER(V112),ISNUMBER(V106)),V112/V106,"SLO 不可達")</f>
        <v>0.318687998021639</v>
      </c>
      <c r="W114" s="103" t="n">
        <f aca="false">IF(AND(ISNUMBER(W112),ISNUMBER(W106)),W112/W106,"SLO 不可達")</f>
        <v>0.421847608093559</v>
      </c>
      <c r="X114" s="103" t="n">
        <f aca="false">IF(AND(ISNUMBER(X112),ISNUMBER(X106)),X112/X106,"SLO 不可達")</f>
        <v>0.419080816282875</v>
      </c>
      <c r="Y114" s="103" t="n">
        <f aca="false">IF(AND(ISNUMBER(Y112),ISNUMBER(Y106)),Y112/Y106,"SLO 不可達")</f>
        <v>0.14569924162571</v>
      </c>
      <c r="Z114" s="103" t="n">
        <f aca="false">IF(AND(ISNUMBER(Z112),ISNUMBER(Z106)),Z112/Z106,"SLO 不可達")</f>
        <v>0.288570835065008</v>
      </c>
      <c r="AA114" s="103" t="n">
        <f aca="false">IF(AND(ISNUMBER(AA112),ISNUMBER(AA106)),AA112/AA106,"SLO 不可達")</f>
        <v>0.613347412568001</v>
      </c>
      <c r="AB114" s="103" t="n">
        <f aca="false">IF(AND(ISNUMBER(AB112),ISNUMBER(AB106)),AB112/AB106,"SLO 不可達")</f>
        <v>0.418232443710852</v>
      </c>
      <c r="AC114" s="103" t="n">
        <f aca="false">IF(AND(ISNUMBER(AC112),ISNUMBER(AC106)),AC112/AC106,"SLO 不可達")</f>
        <v>0.391159262955</v>
      </c>
      <c r="AD114" s="103" t="n">
        <f aca="false">IF(AND(ISNUMBER(AD112),ISNUMBER(AD106)),AD112/AD106,"SLO 不可達")</f>
        <v>0.337769132370908</v>
      </c>
      <c r="AE114" s="103" t="n">
        <f aca="false">IF(AND(ISNUMBER(AE112),ISNUMBER(AE106)),AE112/AE106,"SLO 不可達")</f>
        <v>0.391159262955</v>
      </c>
      <c r="AF114" s="103" t="n">
        <f aca="false">IF(AND(ISNUMBER(AF112),ISNUMBER(AF106)),AF112/AF106,"SLO 不可達")</f>
        <v>0.337769132370908</v>
      </c>
      <c r="AG114" s="103" t="n">
        <f aca="false">IF(AND(ISNUMBER(AG112),ISNUMBER(AG106)),AG112/AG106,"SLO 不可達")</f>
        <v>0.363495411196807</v>
      </c>
      <c r="AH114" s="103" t="n">
        <f aca="false">IF(AND(ISNUMBER(AH112),ISNUMBER(AH106)),AH112/AH106,"SLO 不可達")</f>
        <v>0.311946552829163</v>
      </c>
    </row>
    <row r="115" customFormat="false" ht="15" hidden="false" customHeight="false" outlineLevel="0" collapsed="false">
      <c r="A115" s="61" t="s">
        <v>1252</v>
      </c>
      <c r="B115" s="62" t="s">
        <v>1021</v>
      </c>
      <c r="C115" s="114" t="n">
        <f aca="false">IF(AND(ISNUMBER(C106)),C106*C19/1000000,"SLO 不可達")</f>
        <v>9.8126535738025</v>
      </c>
      <c r="D115" s="114" t="n">
        <f aca="false">IF(AND(ISNUMBER(D106)),D106*D19/1000000,"SLO 不可達")</f>
        <v>61.1546231086832</v>
      </c>
      <c r="E115" s="114" t="n">
        <f aca="false">IF(AND(ISNUMBER(E106)),E106*E19/1000000,"SLO 不可達")</f>
        <v>13.7955490632966</v>
      </c>
      <c r="F115" s="114" t="n">
        <f aca="false">IF(AND(ISNUMBER(F106)),F106*F19/1000000,"SLO 不可達")</f>
        <v>88.1536091892121</v>
      </c>
      <c r="G115" s="114" t="n">
        <f aca="false">IF(AND(ISNUMBER(G106)),G106*G19/1000000,"SLO 不可達")</f>
        <v>7.57227486096206</v>
      </c>
      <c r="H115" s="114" t="n">
        <f aca="false">IF(AND(ISNUMBER(H106)),H106*H19/1000000,"SLO 不可達")</f>
        <v>45.9676934383856</v>
      </c>
      <c r="I115" s="114" t="n">
        <f aca="false">IF(AND(ISNUMBER(I106)),I106*I19/1000000,"SLO 不可達")</f>
        <v>6.82548195668191</v>
      </c>
      <c r="J115" s="114" t="n">
        <f aca="false">IF(AND(ISNUMBER(J106)),J106*J19/1000000,"SLO 不可達")</f>
        <v>40.9053835482865</v>
      </c>
      <c r="K115" s="114" t="n">
        <f aca="false">IF(AND(ISNUMBER(K106)),K106*K19/1000000,"SLO 不可達")</f>
        <v>7.38583128019636</v>
      </c>
      <c r="L115" s="114" t="n">
        <f aca="false">IF(AND(ISNUMBER(L106)),L106*L19/1000000,"SLO 不可達")</f>
        <v>48.3262472203314</v>
      </c>
      <c r="M115" s="114" t="n">
        <f aca="false">IF(AND(ISNUMBER(M106)),M106*M19/1000000,"SLO 不可達")</f>
        <v>13.0645954472347</v>
      </c>
      <c r="N115" s="114" t="n">
        <f aca="false">IF(AND(ISNUMBER(N106)),N106*N19/1000000,"SLO 不可達")</f>
        <v>78.3446467990745</v>
      </c>
      <c r="O115" s="114" t="n">
        <f aca="false">IF(AND(ISNUMBER(O106)),O106*O19/1000000,"SLO 不可達")</f>
        <v>8.55081111832965</v>
      </c>
      <c r="P115" s="114" t="n">
        <f aca="false">IF(AND(ISNUMBER(P106)),P106*P19/1000000,"SLO 不可達")</f>
        <v>40.9109292046035</v>
      </c>
      <c r="Q115" s="114" t="n">
        <f aca="false">IF(AND(ISNUMBER(Q106)),Q106*Q19/1000000,"SLO 不可達")</f>
        <v>13.4179177322963</v>
      </c>
      <c r="R115" s="114" t="n">
        <f aca="false">IF(AND(ISNUMBER(R106)),R106*R19/1000000,"SLO 不可達")</f>
        <v>118.993748548911</v>
      </c>
      <c r="S115" s="114" t="n">
        <f aca="false">IF(AND(ISNUMBER(S106)),S106*S19/1000000,"SLO 不可達")</f>
        <v>10.2282304117417</v>
      </c>
      <c r="T115" s="114" t="n">
        <f aca="false">IF(AND(ISNUMBER(T106)),T106*T19/1000000,"SLO 不可達")</f>
        <v>67.9341565518533</v>
      </c>
      <c r="U115" s="114" t="n">
        <f aca="false">IF(AND(ISNUMBER(U106)),U106*U19/1000000,"SLO 不可達")</f>
        <v>9.70766574105997</v>
      </c>
      <c r="V115" s="114" t="n">
        <f aca="false">IF(AND(ISNUMBER(V106)),V106*V19/1000000,"SLO 不可達")</f>
        <v>59.4418988704086</v>
      </c>
      <c r="W115" s="114" t="n">
        <f aca="false">IF(AND(ISNUMBER(W106)),W106*W19/1000000,"SLO 不可達")</f>
        <v>10.3335095000488</v>
      </c>
      <c r="X115" s="114" t="n">
        <f aca="false">IF(AND(ISNUMBER(X106)),X106*X19/1000000,"SLO 不可達")</f>
        <v>69.7144805266301</v>
      </c>
      <c r="Y115" s="114" t="n">
        <f aca="false">IF(AND(ISNUMBER(Y106)),Y106*Y19/1000000,"SLO 不可達")</f>
        <v>6.99325521565751</v>
      </c>
      <c r="Z115" s="114" t="n">
        <f aca="false">IF(AND(ISNUMBER(Z106)),Z106*Z19/1000000,"SLO 不可達")</f>
        <v>56.9255255714657</v>
      </c>
      <c r="AA115" s="114" t="n">
        <f aca="false">IF(AND(ISNUMBER(AA106)),AA106*AA19/1000000,"SLO 不可達")</f>
        <v>15.4514502900925</v>
      </c>
      <c r="AB115" s="114" t="n">
        <f aca="false">IF(AND(ISNUMBER(AB106)),AB106*AB19/1000000,"SLO 不可達")</f>
        <v>69.6128181831181</v>
      </c>
      <c r="AC115" s="114" t="n">
        <f aca="false">IF(AND(ISNUMBER(AC106)),AC106*AC19/1000000,"SLO 不可達")</f>
        <v>9.8126535738025</v>
      </c>
      <c r="AD115" s="114" t="n">
        <f aca="false">IF(AND(ISNUMBER(AD106)),AD106*AD19/1000000,"SLO 不可達")</f>
        <v>61.1546231086832</v>
      </c>
      <c r="AE115" s="114" t="n">
        <f aca="false">IF(AND(ISNUMBER(AE106)),AE106*AE19/1000000,"SLO 不可達")</f>
        <v>9.8126535738025</v>
      </c>
      <c r="AF115" s="114" t="n">
        <f aca="false">IF(AND(ISNUMBER(AF106)),AF106*AF19/1000000,"SLO 不可達")</f>
        <v>61.1546231086832</v>
      </c>
      <c r="AG115" s="114" t="n">
        <f aca="false">IF(AND(ISNUMBER(AG106)),AG106*AG19/1000000,"SLO 不可達")</f>
        <v>10.5594464780826</v>
      </c>
      <c r="AH115" s="114" t="n">
        <f aca="false">IF(AND(ISNUMBER(AH106)),AH106*AH19/1000000,"SLO 不可達")</f>
        <v>66.2169329987823</v>
      </c>
    </row>
    <row r="116" customFormat="false" ht="15" hidden="false" customHeight="false" outlineLevel="0" collapsed="false">
      <c r="A116" s="61" t="s">
        <v>1253</v>
      </c>
      <c r="B116" s="62" t="s">
        <v>1021</v>
      </c>
      <c r="C116" s="75" t="n">
        <f aca="false">IF(AND(ISNUMBER(C106)),C106*C20/1000000,"SLO 不可達")</f>
        <v>7.21758417804626</v>
      </c>
      <c r="D116" s="75" t="n">
        <f aca="false">IF(AND(ISNUMBER(D106)),D106*D20/1000000,"SLO 不可達")</f>
        <v>44.9815778009344</v>
      </c>
      <c r="E116" s="75" t="n">
        <f aca="false">IF(AND(ISNUMBER(E106)),E106*E20/1000000,"SLO 不可達")</f>
        <v>10.1471570251436</v>
      </c>
      <c r="F116" s="75" t="n">
        <f aca="false">IF(AND(ISNUMBER(F106)),F106*F20/1000000,"SLO 不可達")</f>
        <v>64.8403706638933</v>
      </c>
      <c r="G116" s="75" t="n">
        <f aca="false">IF(AND(ISNUMBER(G106)),G106*G20/1000000,"SLO 不可達")</f>
        <v>5.569699451554</v>
      </c>
      <c r="H116" s="75" t="n">
        <f aca="false">IF(AND(ISNUMBER(H106)),H106*H20/1000000,"SLO 不可達")</f>
        <v>33.81100681552</v>
      </c>
      <c r="I116" s="75" t="n">
        <f aca="false">IF(AND(ISNUMBER(I106)),I106*I20/1000000,"SLO 不可達")</f>
        <v>5.02040454272325</v>
      </c>
      <c r="J116" s="75" t="n">
        <f aca="false">IF(AND(ISNUMBER(J106)),J106*J20/1000000,"SLO 不可達")</f>
        <v>30.0874831537152</v>
      </c>
      <c r="K116" s="75" t="n">
        <f aca="false">IF(AND(ISNUMBER(K106)),K106*K20/1000000,"SLO 不可達")</f>
        <v>5.43256302576339</v>
      </c>
      <c r="L116" s="75" t="n">
        <f aca="false">IF(AND(ISNUMBER(L106)),L106*L20/1000000,"SLO 不可達")</f>
        <v>35.5458138513142</v>
      </c>
      <c r="M116" s="75" t="n">
        <f aca="false">IF(AND(ISNUMBER(M106)),M106*M20/1000000,"SLO 不可達")</f>
        <v>9.60951252210531</v>
      </c>
      <c r="N116" s="75" t="n">
        <f aca="false">IF(AND(ISNUMBER(N106)),N106*N20/1000000,"SLO 不可達")</f>
        <v>57.6255014934255</v>
      </c>
      <c r="O116" s="75" t="n">
        <f aca="false">IF(AND(ISNUMBER(O106)),O106*O20/1000000,"SLO 不可達")</f>
        <v>6.28945051131592</v>
      </c>
      <c r="P116" s="75" t="n">
        <f aca="false">IF(AND(ISNUMBER(P106)),P106*P20/1000000,"SLO 不可達")</f>
        <v>30.0915621972675</v>
      </c>
      <c r="Q116" s="75" t="n">
        <f aca="false">IF(AND(ISNUMBER(Q106)),Q106*Q20/1000000,"SLO 不可達")</f>
        <v>9.86939465441866</v>
      </c>
      <c r="R116" s="75" t="n">
        <f aca="false">IF(AND(ISNUMBER(R106)),R106*R20/1000000,"SLO 不可達")</f>
        <v>87.524479525697</v>
      </c>
      <c r="S116" s="75" t="n">
        <f aca="false">IF(AND(ISNUMBER(S106)),S106*S20/1000000,"SLO 不可達")</f>
        <v>7.52325692881778</v>
      </c>
      <c r="T116" s="75" t="n">
        <f aca="false">IF(AND(ISNUMBER(T106)),T106*T20/1000000,"SLO 不可達")</f>
        <v>49.968185444416</v>
      </c>
      <c r="U116" s="75" t="n">
        <f aca="false">IF(AND(ISNUMBER(U106)),U106*U20/1000000,"SLO 不可達")</f>
        <v>7.14036158837767</v>
      </c>
      <c r="V116" s="75" t="n">
        <f aca="false">IF(AND(ISNUMBER(V106)),V106*V20/1000000,"SLO 不可達")</f>
        <v>43.7218032383706</v>
      </c>
      <c r="W116" s="75" t="n">
        <f aca="false">IF(AND(ISNUMBER(W106)),W106*W20/1000000,"SLO 不可達")</f>
        <v>7.60069374815824</v>
      </c>
      <c r="X116" s="75" t="n">
        <f aca="false">IF(AND(ISNUMBER(X106)),X106*X20/1000000,"SLO 不可達")</f>
        <v>51.2776822136132</v>
      </c>
      <c r="Y116" s="75" t="n">
        <f aca="false">IF(AND(ISNUMBER(Y106)),Y106*Y20/1000000,"SLO 不可達")</f>
        <v>5.14380822862473</v>
      </c>
      <c r="Z116" s="75" t="n">
        <f aca="false">IF(AND(ISNUMBER(Z106)),Z106*Z20/1000000,"SLO 不可達")</f>
        <v>41.8709138768021</v>
      </c>
      <c r="AA116" s="75" t="n">
        <f aca="false">IF(AND(ISNUMBER(AA106)),AA106*AA20/1000000,"SLO 不可達")</f>
        <v>11.3651360768893</v>
      </c>
      <c r="AB116" s="75" t="n">
        <f aca="false">IF(AND(ISNUMBER(AB106)),AB106*AB20/1000000,"SLO 不可達")</f>
        <v>51.202905649199</v>
      </c>
      <c r="AC116" s="75" t="n">
        <f aca="false">IF(AND(ISNUMBER(AC106)),AC106*AC20/1000000,"SLO 不可達")</f>
        <v>7.21758417804626</v>
      </c>
      <c r="AD116" s="75" t="n">
        <f aca="false">IF(AND(ISNUMBER(AD106)),AD106*AD20/1000000,"SLO 不可達")</f>
        <v>44.9815778009344</v>
      </c>
      <c r="AE116" s="75" t="n">
        <f aca="false">IF(AND(ISNUMBER(AE106)),AE106*AE20/1000000,"SLO 不可達")</f>
        <v>7.21758417804626</v>
      </c>
      <c r="AF116" s="75" t="n">
        <f aca="false">IF(AND(ISNUMBER(AF106)),AF106*AF20/1000000,"SLO 不可達")</f>
        <v>44.9815778009344</v>
      </c>
      <c r="AG116" s="75" t="n">
        <f aca="false">IF(AND(ISNUMBER(AG106)),AG106*AG20/1000000,"SLO 不可達")</f>
        <v>7.76687908687701</v>
      </c>
      <c r="AH116" s="75" t="n">
        <f aca="false">IF(AND(ISNUMBER(AH106)),AH106*AH20/1000000,"SLO 不可達")</f>
        <v>48.7051014627392</v>
      </c>
    </row>
    <row r="117" customFormat="false" ht="15" hidden="false" customHeight="false" outlineLevel="0" collapsed="false">
      <c r="A117" s="61" t="s">
        <v>1254</v>
      </c>
      <c r="B117" s="62" t="s">
        <v>113</v>
      </c>
      <c r="C117" s="145" t="n">
        <f aca="false">IF(AND(ISNUMBER(C106)),C106/(C18*8760),"SLO 不可達")</f>
        <v>0.000802640124877243</v>
      </c>
      <c r="D117" s="145" t="n">
        <f aca="false">IF(AND(ISNUMBER(D106)),D106/(D18*8760),"SLO 不可達")</f>
        <v>0.00500223043232874</v>
      </c>
      <c r="E117" s="145" t="n">
        <f aca="false">IF(AND(ISNUMBER(E106)),E106/(E18*8760),"SLO 不可達")</f>
        <v>0.00112842679501868</v>
      </c>
      <c r="F117" s="145" t="n">
        <f aca="false">IF(AND(ISNUMBER(F106)),F106/(F18*8760),"SLO 不可達")</f>
        <v>0.00721065136518321</v>
      </c>
      <c r="G117" s="145" t="n">
        <f aca="false">IF(AND(ISNUMBER(G106)),G106/(G18*8760),"SLO 不可達")</f>
        <v>0.000619385122922686</v>
      </c>
      <c r="H117" s="145" t="n">
        <f aca="false">IF(AND(ISNUMBER(H106)),H106/(H18*8760),"SLO 不可達")</f>
        <v>0.00375999365759809</v>
      </c>
      <c r="I117" s="145" t="n">
        <f aca="false">IF(AND(ISNUMBER(I106)),I106/(I18*8760),"SLO 不可達")</f>
        <v>0.000558300122271167</v>
      </c>
      <c r="J117" s="145" t="n">
        <f aca="false">IF(AND(ISNUMBER(J106)),J106/(J18*8760),"SLO 不可達")</f>
        <v>0.00334591473268788</v>
      </c>
      <c r="K117" s="145" t="n">
        <f aca="false">IF(AND(ISNUMBER(K106)),K106/(K18*8760),"SLO 不可達")</f>
        <v>0.000604134701839049</v>
      </c>
      <c r="L117" s="145" t="n">
        <f aca="false">IF(AND(ISNUMBER(L106)),L106/(L18*8760),"SLO 不可達")</f>
        <v>0.00395291495944908</v>
      </c>
      <c r="M117" s="145" t="n">
        <f aca="false">IF(AND(ISNUMBER(M106)),M106/(M18*8760),"SLO 不可達")</f>
        <v>0.00106863739174842</v>
      </c>
      <c r="N117" s="145" t="n">
        <f aca="false">IF(AND(ISNUMBER(N106)),N106/(N18*8760),"SLO 不可達")</f>
        <v>0.00640831316598748</v>
      </c>
      <c r="O117" s="145" t="n">
        <f aca="false">IF(AND(ISNUMBER(O106)),O106/(O18*8760),"SLO 不可達")</f>
        <v>0.000699425904746198</v>
      </c>
      <c r="P117" s="145" t="n">
        <f aca="false">IF(AND(ISNUMBER(P106)),P106/(P18*8760),"SLO 不可達")</f>
        <v>0.00334636834762958</v>
      </c>
      <c r="Q117" s="145" t="n">
        <f aca="false">IF(AND(ISNUMBER(Q106)),Q106/(Q18*8760),"SLO 不可達")</f>
        <v>0.00109753789668023</v>
      </c>
      <c r="R117" s="145" t="n">
        <f aca="false">IF(AND(ISNUMBER(R106)),R106/(R18*8760),"SLO 不可達")</f>
        <v>0.0097332649600406</v>
      </c>
      <c r="S117" s="145" t="n">
        <f aca="false">IF(AND(ISNUMBER(S106)),S106/(S18*8760),"SLO 不可達")</f>
        <v>0.000836632830580224</v>
      </c>
      <c r="T117" s="145" t="n">
        <f aca="false">IF(AND(ISNUMBER(T106)),T106/(T18*8760),"SLO 不可達")</f>
        <v>0.00555677212979201</v>
      </c>
      <c r="U117" s="145" t="n">
        <f aca="false">IF(AND(ISNUMBER(U106)),U106/(U18*8760),"SLO 不可達")</f>
        <v>0.000794052493962806</v>
      </c>
      <c r="V117" s="145" t="n">
        <f aca="false">IF(AND(ISNUMBER(V106)),V106/(V18*8760),"SLO 不可達")</f>
        <v>0.00486213568770643</v>
      </c>
      <c r="W117" s="145" t="n">
        <f aca="false">IF(AND(ISNUMBER(W106)),W106/(W18*8760),"SLO 不可達")</f>
        <v>0.00084524428516285</v>
      </c>
      <c r="X117" s="145" t="n">
        <f aca="false">IF(AND(ISNUMBER(X106)),X106/(X18*8760),"SLO 不可達")</f>
        <v>0.00570239629217473</v>
      </c>
      <c r="Y117" s="145" t="n">
        <f aca="false">IF(AND(ISNUMBER(Y106)),Y106/(Y18*8760),"SLO 不可達")</f>
        <v>0.000572023377507116</v>
      </c>
      <c r="Z117" s="145" t="n">
        <f aca="false">IF(AND(ISNUMBER(Z106)),Z106/(Z18*8760),"SLO 不可達")</f>
        <v>0.00465630531127355</v>
      </c>
      <c r="AA117" s="145" t="n">
        <f aca="false">IF(AND(ISNUMBER(AA106)),AA106/(AA18*8760),"SLO 不可達")</f>
        <v>0.0012638736196175</v>
      </c>
      <c r="AB117" s="145" t="n">
        <f aca="false">IF(AND(ISNUMBER(AB106)),AB106/(AB18*8760),"SLO 不可達")</f>
        <v>0.00569408067443912</v>
      </c>
      <c r="AC117" s="145" t="n">
        <f aca="false">IF(AND(ISNUMBER(AC106)),AC106/(AC18*8760),"SLO 不可達")</f>
        <v>0.000802640124877243</v>
      </c>
      <c r="AD117" s="145" t="n">
        <f aca="false">IF(AND(ISNUMBER(AD106)),AD106/(AD18*8760),"SLO 不可達")</f>
        <v>0.00500223043232874</v>
      </c>
      <c r="AE117" s="145" t="n">
        <f aca="false">IF(AND(ISNUMBER(AE106)),AE106/(AE18*8760),"SLO 不可達")</f>
        <v>0.000802640124877243</v>
      </c>
      <c r="AF117" s="145" t="n">
        <f aca="false">IF(AND(ISNUMBER(AF106)),AF106/(AF18*8760),"SLO 不可達")</f>
        <v>0.00500223043232874</v>
      </c>
      <c r="AG117" s="145" t="n">
        <f aca="false">IF(AND(ISNUMBER(AG106)),AG106/(AG18*8760),"SLO 不可達")</f>
        <v>0.000863725125528762</v>
      </c>
      <c r="AH117" s="145" t="n">
        <f aca="false">IF(AND(ISNUMBER(AH106)),AH106/(AH18*8760),"SLO 不可達")</f>
        <v>0.00541630935723895</v>
      </c>
    </row>
    <row r="118" customFormat="false" ht="15" hidden="false" customHeight="false" outlineLevel="0" collapsed="false">
      <c r="A118" s="76" t="s">
        <v>1256</v>
      </c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</row>
    <row r="119" customFormat="false" ht="15" hidden="false" customHeight="false" outlineLevel="0" collapsed="false">
      <c r="A119" s="61" t="s">
        <v>1257</v>
      </c>
      <c r="B119" s="62" t="s">
        <v>118</v>
      </c>
      <c r="C119" s="111" t="n">
        <f aca="false">Train_In!$C$13</f>
        <v>8</v>
      </c>
      <c r="D119" s="111" t="n">
        <f aca="false">Train_In!$C$13</f>
        <v>8</v>
      </c>
      <c r="E119" s="111" t="n">
        <f aca="false">Train_In!$C$13</f>
        <v>8</v>
      </c>
      <c r="F119" s="111" t="n">
        <f aca="false">Train_In!$C$13</f>
        <v>8</v>
      </c>
      <c r="G119" s="111" t="n">
        <f aca="false">Train_In!$C$13</f>
        <v>8</v>
      </c>
      <c r="H119" s="111" t="n">
        <f aca="false">Train_In!$C$13</f>
        <v>8</v>
      </c>
      <c r="I119" s="111" t="n">
        <f aca="false">Train_In!$C$13</f>
        <v>8</v>
      </c>
      <c r="J119" s="111" t="n">
        <f aca="false">Train_In!$C$13</f>
        <v>8</v>
      </c>
      <c r="K119" s="111" t="n">
        <f aca="false">Train_In!$C$13</f>
        <v>8</v>
      </c>
      <c r="L119" s="111" t="n">
        <f aca="false">Train_In!$C$13</f>
        <v>8</v>
      </c>
      <c r="M119" s="111" t="n">
        <f aca="false">Train_In!$C$13</f>
        <v>8</v>
      </c>
      <c r="N119" s="111" t="n">
        <f aca="false">Train_In!$C$13</f>
        <v>8</v>
      </c>
      <c r="O119" s="111" t="n">
        <f aca="false">Train_In!$C$13</f>
        <v>8</v>
      </c>
      <c r="P119" s="111" t="n">
        <f aca="false">Train_In!$C$13</f>
        <v>8</v>
      </c>
      <c r="Q119" s="111" t="n">
        <f aca="false">Train_In!$C$13</f>
        <v>8</v>
      </c>
      <c r="R119" s="111" t="n">
        <f aca="false">Train_In!$C$13</f>
        <v>8</v>
      </c>
      <c r="S119" s="111" t="n">
        <f aca="false">Train_In!$C$13</f>
        <v>8</v>
      </c>
      <c r="T119" s="111" t="n">
        <f aca="false">Train_In!$C$13</f>
        <v>8</v>
      </c>
      <c r="U119" s="111" t="n">
        <f aca="false">Train_In!$C$13</f>
        <v>8</v>
      </c>
      <c r="V119" s="111" t="n">
        <f aca="false">Train_In!$C$13</f>
        <v>8</v>
      </c>
      <c r="W119" s="111" t="n">
        <f aca="false">Train_In!$C$13</f>
        <v>8</v>
      </c>
      <c r="X119" s="111" t="n">
        <f aca="false">Train_In!$C$13</f>
        <v>8</v>
      </c>
      <c r="Y119" s="111" t="n">
        <f aca="false">Train_In!$C$13</f>
        <v>8</v>
      </c>
      <c r="Z119" s="111" t="n">
        <f aca="false">Train_In!$C$13</f>
        <v>8</v>
      </c>
      <c r="AA119" s="111" t="n">
        <f aca="false">Train_In!$C$13</f>
        <v>8</v>
      </c>
      <c r="AB119" s="111" t="n">
        <f aca="false">Train_In!$C$13</f>
        <v>8</v>
      </c>
      <c r="AC119" s="147" t="n">
        <v>4.4</v>
      </c>
      <c r="AD119" s="147" t="n">
        <v>4.4</v>
      </c>
      <c r="AE119" s="147" t="n">
        <v>10.4</v>
      </c>
      <c r="AF119" s="147" t="n">
        <v>10.4</v>
      </c>
      <c r="AG119" s="111" t="n">
        <f aca="false">Train_In!$C$13</f>
        <v>8</v>
      </c>
      <c r="AH119" s="111" t="n">
        <f aca="false">Train_In!$C$13</f>
        <v>8</v>
      </c>
    </row>
    <row r="120" customFormat="false" ht="15" hidden="false" customHeight="false" outlineLevel="0" collapsed="false">
      <c r="A120" s="61" t="s">
        <v>1258</v>
      </c>
      <c r="B120" s="62" t="s">
        <v>1180</v>
      </c>
      <c r="C120" s="71" t="n">
        <f aca="false">IF(AND(ISNUMBER(C106)),C106*C119,"SLO 不可達")</f>
        <v>16410314.0767004</v>
      </c>
      <c r="D120" s="71" t="n">
        <f aca="false">IF(AND(ISNUMBER(D106)),D106*D119,"SLO 不可達")</f>
        <v>102272699.724672</v>
      </c>
      <c r="E120" s="71" t="n">
        <f aca="false">IF(AND(ISNUMBER(E106)),E106*E119,"SLO 不可達")</f>
        <v>23071159.2217659</v>
      </c>
      <c r="F120" s="71" t="n">
        <f aca="false">IF(AND(ISNUMBER(F106)),F106*F119,"SLO 不可達")</f>
        <v>147424792.173631</v>
      </c>
      <c r="G120" s="71" t="n">
        <f aca="false">IF(AND(ISNUMBER(G106)),G106*G119,"SLO 不可達")</f>
        <v>12663588.6826011</v>
      </c>
      <c r="H120" s="71" t="n">
        <f aca="false">IF(AND(ISNUMBER(H106)),H106*H119,"SLO 不可達")</f>
        <v>76874647.7221323</v>
      </c>
      <c r="I120" s="71" t="n">
        <f aca="false">IF(AND(ISNUMBER(I106)),I106*I119,"SLO 不可達")</f>
        <v>11414680.2179013</v>
      </c>
      <c r="J120" s="71" t="n">
        <f aca="false">IF(AND(ISNUMBER(J106)),J106*J119,"SLO 不可達")</f>
        <v>68408630.3879524</v>
      </c>
      <c r="K120" s="71" t="n">
        <f aca="false">IF(AND(ISNUMBER(K106)),K106*K119,"SLO 不可達")</f>
        <v>12351787.4256895</v>
      </c>
      <c r="L120" s="71" t="n">
        <f aca="false">IF(AND(ISNUMBER(L106)),L106*L119,"SLO 不可達")</f>
        <v>80819004.6728201</v>
      </c>
      <c r="M120" s="71" t="n">
        <f aca="false">IF(AND(ISNUMBER(M106)),M106*M119,"SLO 不可達")</f>
        <v>21848739.7890551</v>
      </c>
      <c r="N120" s="71" t="n">
        <f aca="false">IF(AND(ISNUMBER(N106)),N106*N119,"SLO 不可達")</f>
        <v>131020651.094153</v>
      </c>
      <c r="O120" s="71" t="n">
        <f aca="false">IF(AND(ISNUMBER(O106)),O106*O119,"SLO 不可達")</f>
        <v>14300056.0456916</v>
      </c>
      <c r="P120" s="71" t="n">
        <f aca="false">IF(AND(ISNUMBER(P106)),P106*P119,"SLO 不可達")</f>
        <v>68417904.735736</v>
      </c>
      <c r="Q120" s="71" t="n">
        <f aca="false">IF(AND(ISNUMBER(Q106)),Q106*Q119,"SLO 不可達")</f>
        <v>22439622.7367257</v>
      </c>
      <c r="R120" s="71" t="n">
        <f aca="false">IF(AND(ISNUMBER(R106)),R106*R119,"SLO 不可達")</f>
        <v>199000685.407346</v>
      </c>
      <c r="S120" s="71" t="n">
        <f aca="false">IF(AND(ISNUMBER(S106)),S106*S119,"SLO 不可達")</f>
        <v>17105309.2054178</v>
      </c>
      <c r="T120" s="71" t="n">
        <f aca="false">IF(AND(ISNUMBER(T106)),T106*T119,"SLO 不可達")</f>
        <v>113610537.370642</v>
      </c>
      <c r="U120" s="71" t="n">
        <f aca="false">IF(AND(ISNUMBER(U106)),U106*U119,"SLO 不可達")</f>
        <v>16234736.3599718</v>
      </c>
      <c r="V120" s="71" t="n">
        <f aca="false">IF(AND(ISNUMBER(V106)),V106*V119,"SLO 不可達")</f>
        <v>99408403.8983218</v>
      </c>
      <c r="W120" s="71" t="n">
        <f aca="false">IF(AND(ISNUMBER(W106)),W106*W119,"SLO 不可達")</f>
        <v>17281374.007037</v>
      </c>
      <c r="X120" s="71" t="n">
        <f aca="false">IF(AND(ISNUMBER(X106)),X106*X119,"SLO 不可達")</f>
        <v>116587884.462805</v>
      </c>
      <c r="Y120" s="71" t="n">
        <f aca="false">IF(AND(ISNUMBER(Y106)),Y106*Y119,"SLO 不可達")</f>
        <v>11695257.9283803</v>
      </c>
      <c r="Z120" s="71" t="n">
        <f aca="false">IF(AND(ISNUMBER(Z106)),Z106*Z119,"SLO 不可達")</f>
        <v>95200115.5021918</v>
      </c>
      <c r="AA120" s="71" t="n">
        <f aca="false">IF(AND(ISNUMBER(AA106)),AA106*AA119,"SLO 不可達")</f>
        <v>25840426.3733406</v>
      </c>
      <c r="AB120" s="71" t="n">
        <f aca="false">IF(AND(ISNUMBER(AB106)),AB106*AB119,"SLO 不可達")</f>
        <v>116417868.169632</v>
      </c>
      <c r="AC120" s="71" t="n">
        <f aca="false">IF(AND(ISNUMBER(AC106)),AC106*AC119,"SLO 不可達")</f>
        <v>9025672.74218523</v>
      </c>
      <c r="AD120" s="71" t="n">
        <f aca="false">IF(AND(ISNUMBER(AD106)),AD106*AD119,"SLO 不可達")</f>
        <v>56249984.8485696</v>
      </c>
      <c r="AE120" s="71" t="n">
        <f aca="false">IF(AND(ISNUMBER(AE106)),AE106*AE119,"SLO 不可達")</f>
        <v>21333408.2997105</v>
      </c>
      <c r="AF120" s="71" t="n">
        <f aca="false">IF(AND(ISNUMBER(AF106)),AF106*AF119,"SLO 不可達")</f>
        <v>132954509.642074</v>
      </c>
      <c r="AG120" s="71" t="n">
        <f aca="false">IF(AND(ISNUMBER(AG106)),AG106*AG119,"SLO 不可達")</f>
        <v>17659222.5414002</v>
      </c>
      <c r="AH120" s="71" t="n">
        <f aca="false">IF(AND(ISNUMBER(AH106)),AH106*AH119,"SLO 不可達")</f>
        <v>110738717.058852</v>
      </c>
    </row>
    <row r="121" customFormat="false" ht="15" hidden="false" customHeight="false" outlineLevel="0" collapsed="false">
      <c r="A121" s="61" t="s">
        <v>1259</v>
      </c>
      <c r="B121" s="62" t="s">
        <v>1180</v>
      </c>
      <c r="C121" s="68" t="n">
        <f aca="false">IF(AND(ISNUMBER(C120),ISNUMBER(C106)),C120-C106,"SLO 不可達")</f>
        <v>14359024.8171129</v>
      </c>
      <c r="D121" s="68" t="n">
        <f aca="false">IF(AND(ISNUMBER(D120),ISNUMBER(D106)),D120-D106,"SLO 不可達")</f>
        <v>89488612.259088</v>
      </c>
      <c r="E121" s="68" t="n">
        <f aca="false">IF(AND(ISNUMBER(E120),ISNUMBER(E106)),E120-E106,"SLO 不可達")</f>
        <v>20187264.3190452</v>
      </c>
      <c r="F121" s="68" t="n">
        <f aca="false">IF(AND(ISNUMBER(F120),ISNUMBER(F106)),F120-F106,"SLO 不可達")</f>
        <v>128996693.151927</v>
      </c>
      <c r="G121" s="68" t="n">
        <f aca="false">IF(AND(ISNUMBER(G120),ISNUMBER(G106)),G120-G106,"SLO 不可達")</f>
        <v>11080640.0972759</v>
      </c>
      <c r="H121" s="68" t="n">
        <f aca="false">IF(AND(ISNUMBER(H120),ISNUMBER(H106)),H120-H106,"SLO 不可達")</f>
        <v>67265316.7568657</v>
      </c>
      <c r="I121" s="68" t="n">
        <f aca="false">IF(AND(ISNUMBER(I120),ISNUMBER(I106)),I120-I106,"SLO 不可達")</f>
        <v>9987845.19066364</v>
      </c>
      <c r="J121" s="68" t="n">
        <f aca="false">IF(AND(ISNUMBER(J120),ISNUMBER(J106)),J120-J106,"SLO 不可達")</f>
        <v>59857551.5894584</v>
      </c>
      <c r="K121" s="68" t="n">
        <f aca="false">IF(AND(ISNUMBER(K120),ISNUMBER(K106)),K120-K106,"SLO 不可達")</f>
        <v>10807813.9974783</v>
      </c>
      <c r="L121" s="68" t="n">
        <f aca="false">IF(AND(ISNUMBER(L120),ISNUMBER(L106)),L120-L106,"SLO 不可達")</f>
        <v>70716629.0887176</v>
      </c>
      <c r="M121" s="68" t="n">
        <f aca="false">IF(AND(ISNUMBER(M120),ISNUMBER(M106)),M120-M106,"SLO 不可達")</f>
        <v>19117647.3154232</v>
      </c>
      <c r="N121" s="68" t="n">
        <f aca="false">IF(AND(ISNUMBER(N120),ISNUMBER(N106)),N120-N106,"SLO 不可達")</f>
        <v>114643069.707384</v>
      </c>
      <c r="O121" s="68" t="n">
        <f aca="false">IF(AND(ISNUMBER(O120),ISNUMBER(O106)),O120-O106,"SLO 不可達")</f>
        <v>12512549.0399801</v>
      </c>
      <c r="P121" s="68" t="n">
        <f aca="false">IF(AND(ISNUMBER(P120),ISNUMBER(P106)),P120-P106,"SLO 不可達")</f>
        <v>59865666.643769</v>
      </c>
      <c r="Q121" s="68" t="n">
        <f aca="false">IF(AND(ISNUMBER(Q120),ISNUMBER(Q106)),Q120-Q106,"SLO 不可達")</f>
        <v>19634669.894635</v>
      </c>
      <c r="R121" s="68" t="n">
        <f aca="false">IF(AND(ISNUMBER(R120),ISNUMBER(R106)),R120-R106,"SLO 不可達")</f>
        <v>174125599.731428</v>
      </c>
      <c r="S121" s="68" t="n">
        <f aca="false">IF(AND(ISNUMBER(S120),ISNUMBER(S106)),S120-S106,"SLO 不可達")</f>
        <v>14967145.5547405</v>
      </c>
      <c r="T121" s="68" t="n">
        <f aca="false">IF(AND(ISNUMBER(T120),ISNUMBER(T106)),T120-T106,"SLO 不可達")</f>
        <v>99409220.1993114</v>
      </c>
      <c r="U121" s="68" t="n">
        <f aca="false">IF(AND(ISNUMBER(U120),ISNUMBER(U106)),U120-U106,"SLO 不可達")</f>
        <v>14205394.3149753</v>
      </c>
      <c r="V121" s="68" t="n">
        <f aca="false">IF(AND(ISNUMBER(V120),ISNUMBER(V106)),V120-V106,"SLO 不可達")</f>
        <v>86982353.4110315</v>
      </c>
      <c r="W121" s="68" t="n">
        <f aca="false">IF(AND(ISNUMBER(W120),ISNUMBER(W106)),W120-W106,"SLO 不可達")</f>
        <v>15121202.2561574</v>
      </c>
      <c r="X121" s="68" t="n">
        <f aca="false">IF(AND(ISNUMBER(X120),ISNUMBER(X106)),X120-X106,"SLO 不可達")</f>
        <v>102014398.904954</v>
      </c>
      <c r="Y121" s="68" t="n">
        <f aca="false">IF(AND(ISNUMBER(Y120),ISNUMBER(Y106)),Y120-Y106,"SLO 不可達")</f>
        <v>10233350.6873328</v>
      </c>
      <c r="Z121" s="68" t="n">
        <f aca="false">IF(AND(ISNUMBER(Z120),ISNUMBER(Z106)),Z120-Z106,"SLO 不可達")</f>
        <v>83300101.0644178</v>
      </c>
      <c r="AA121" s="68" t="n">
        <f aca="false">IF(AND(ISNUMBER(AA120),ISNUMBER(AA106)),AA120-AA106,"SLO 不可達")</f>
        <v>22610373.0766731</v>
      </c>
      <c r="AB121" s="68" t="n">
        <f aca="false">IF(AND(ISNUMBER(AB120),ISNUMBER(AB106)),AB120-AB106,"SLO 不可達")</f>
        <v>101865634.648428</v>
      </c>
      <c r="AC121" s="68" t="n">
        <f aca="false">IF(AND(ISNUMBER(AC120),ISNUMBER(AC106)),AC120-AC106,"SLO 不可達")</f>
        <v>6974383.48259768</v>
      </c>
      <c r="AD121" s="68" t="n">
        <f aca="false">IF(AND(ISNUMBER(AD120),ISNUMBER(AD106)),AD120-AD106,"SLO 不可達")</f>
        <v>43465897.3829856</v>
      </c>
      <c r="AE121" s="68" t="n">
        <f aca="false">IF(AND(ISNUMBER(AE120),ISNUMBER(AE106)),AE120-AE106,"SLO 不可達")</f>
        <v>19282119.040123</v>
      </c>
      <c r="AF121" s="68" t="n">
        <f aca="false">IF(AND(ISNUMBER(AF120),ISNUMBER(AF106)),AF120-AF106,"SLO 不可達")</f>
        <v>120170422.17649</v>
      </c>
      <c r="AG121" s="68" t="n">
        <f aca="false">IF(AND(ISNUMBER(AG120),ISNUMBER(AG106)),AG120-AG106,"SLO 不可達")</f>
        <v>15451819.7237252</v>
      </c>
      <c r="AH121" s="68" t="n">
        <f aca="false">IF(AND(ISNUMBER(AH120),ISNUMBER(AH106)),AH120-AH106,"SLO 不可達")</f>
        <v>96896377.4264954</v>
      </c>
    </row>
    <row r="122" customFormat="false" ht="15" hidden="false" customHeight="false" outlineLevel="0" collapsed="false">
      <c r="A122" s="61" t="s">
        <v>1260</v>
      </c>
      <c r="B122" s="62" t="s">
        <v>1021</v>
      </c>
      <c r="C122" s="71" t="n">
        <f aca="false">IF(AND(ISNUMBER(C120)),C120*C19/1000000,"SLO 不可達")</f>
        <v>78.50122859042</v>
      </c>
      <c r="D122" s="71" t="n">
        <f aca="false">IF(AND(ISNUMBER(D120)),D120*D19/1000000,"SLO 不可達")</f>
        <v>489.236984869465</v>
      </c>
      <c r="E122" s="71" t="n">
        <f aca="false">IF(AND(ISNUMBER(E120)),E120*E19/1000000,"SLO 不可達")</f>
        <v>110.364392506373</v>
      </c>
      <c r="F122" s="71" t="n">
        <f aca="false">IF(AND(ISNUMBER(F120)),F120*F19/1000000,"SLO 不可達")</f>
        <v>705.228873513697</v>
      </c>
      <c r="G122" s="71" t="n">
        <f aca="false">IF(AND(ISNUMBER(G120)),G120*G19/1000000,"SLO 不可達")</f>
        <v>60.5781988876964</v>
      </c>
      <c r="H122" s="71" t="n">
        <f aca="false">IF(AND(ISNUMBER(H120)),H120*H19/1000000,"SLO 不可達")</f>
        <v>367.741547507085</v>
      </c>
      <c r="I122" s="71" t="n">
        <f aca="false">IF(AND(ISNUMBER(I120)),I120*I19/1000000,"SLO 不可達")</f>
        <v>54.6038556534553</v>
      </c>
      <c r="J122" s="71" t="n">
        <f aca="false">IF(AND(ISNUMBER(J120)),J120*J19/1000000,"SLO 不可達")</f>
        <v>327.243068386292</v>
      </c>
      <c r="K122" s="71" t="n">
        <f aca="false">IF(AND(ISNUMBER(K120)),K120*K19/1000000,"SLO 不可達")</f>
        <v>59.0866502415709</v>
      </c>
      <c r="L122" s="71" t="n">
        <f aca="false">IF(AND(ISNUMBER(L120)),L120*L19/1000000,"SLO 不可達")</f>
        <v>386.609977762651</v>
      </c>
      <c r="M122" s="71" t="n">
        <f aca="false">IF(AND(ISNUMBER(M120)),M120*M19/1000000,"SLO 不可達")</f>
        <v>104.516763577878</v>
      </c>
      <c r="N122" s="71" t="n">
        <f aca="false">IF(AND(ISNUMBER(N120)),N120*N19/1000000,"SLO 不可達")</f>
        <v>626.757174392596</v>
      </c>
      <c r="O122" s="71" t="n">
        <f aca="false">IF(AND(ISNUMBER(O120)),O120*O19/1000000,"SLO 不可達")</f>
        <v>68.4064889466372</v>
      </c>
      <c r="P122" s="71" t="n">
        <f aca="false">IF(AND(ISNUMBER(P120)),P120*P19/1000000,"SLO 不可達")</f>
        <v>327.287433636828</v>
      </c>
      <c r="Q122" s="71" t="n">
        <f aca="false">IF(AND(ISNUMBER(Q120)),Q120*Q19/1000000,"SLO 不可達")</f>
        <v>107.343341858371</v>
      </c>
      <c r="R122" s="71" t="n">
        <f aca="false">IF(AND(ISNUMBER(R120)),R120*R19/1000000,"SLO 不可達")</f>
        <v>951.949988391287</v>
      </c>
      <c r="S122" s="71" t="n">
        <f aca="false">IF(AND(ISNUMBER(S120)),S120*S19/1000000,"SLO 不可達")</f>
        <v>81.8258432939332</v>
      </c>
      <c r="T122" s="71" t="n">
        <f aca="false">IF(AND(ISNUMBER(T120)),T120*T19/1000000,"SLO 不可達")</f>
        <v>543.473252414827</v>
      </c>
      <c r="U122" s="71" t="n">
        <f aca="false">IF(AND(ISNUMBER(U120)),U120*U19/1000000,"SLO 不可達")</f>
        <v>77.6613259284798</v>
      </c>
      <c r="V122" s="71" t="n">
        <f aca="false">IF(AND(ISNUMBER(V120)),V120*V19/1000000,"SLO 不可達")</f>
        <v>475.535190963269</v>
      </c>
      <c r="W122" s="71" t="n">
        <f aca="false">IF(AND(ISNUMBER(W120)),W120*W19/1000000,"SLO 不可達")</f>
        <v>82.6680760003908</v>
      </c>
      <c r="X122" s="71" t="n">
        <f aca="false">IF(AND(ISNUMBER(X120)),X120*X19/1000000,"SLO 不可達")</f>
        <v>557.715844213041</v>
      </c>
      <c r="Y122" s="71" t="n">
        <f aca="false">IF(AND(ISNUMBER(Y120)),Y120*Y19/1000000,"SLO 不可達")</f>
        <v>55.9460417252601</v>
      </c>
      <c r="Z122" s="71" t="n">
        <f aca="false">IF(AND(ISNUMBER(Z120)),Z120*Z19/1000000,"SLO 不可達")</f>
        <v>455.404204571725</v>
      </c>
      <c r="AA122" s="71" t="n">
        <f aca="false">IF(AND(ISNUMBER(AA120)),AA120*AA19/1000000,"SLO 不可達")</f>
        <v>123.61160232074</v>
      </c>
      <c r="AB122" s="71" t="n">
        <f aca="false">IF(AND(ISNUMBER(AB120)),AB120*AB19/1000000,"SLO 不可達")</f>
        <v>556.902545464945</v>
      </c>
      <c r="AC122" s="71" t="n">
        <f aca="false">IF(AND(ISNUMBER(AC120)),AC120*AC19/1000000,"SLO 不可達")</f>
        <v>43.175675724731</v>
      </c>
      <c r="AD122" s="71" t="n">
        <f aca="false">IF(AND(ISNUMBER(AD120)),AD120*AD19/1000000,"SLO 不可達")</f>
        <v>269.080341678206</v>
      </c>
      <c r="AE122" s="71" t="n">
        <f aca="false">IF(AND(ISNUMBER(AE120)),AE120*AE19/1000000,"SLO 不可達")</f>
        <v>102.051597167546</v>
      </c>
      <c r="AF122" s="71" t="n">
        <f aca="false">IF(AND(ISNUMBER(AF120)),AF120*AF19/1000000,"SLO 不可達")</f>
        <v>636.008080330305</v>
      </c>
      <c r="AG122" s="71" t="n">
        <f aca="false">IF(AND(ISNUMBER(AG120)),AG120*AG19/1000000,"SLO 不可達")</f>
        <v>84.4755718246611</v>
      </c>
      <c r="AH122" s="71" t="n">
        <f aca="false">IF(AND(ISNUMBER(AH120)),AH120*AH19/1000000,"SLO 不可達")</f>
        <v>529.735463990259</v>
      </c>
    </row>
    <row r="123" customFormat="false" ht="15" hidden="false" customHeight="false" outlineLevel="0" collapsed="false">
      <c r="A123" s="61" t="s">
        <v>1261</v>
      </c>
      <c r="B123" s="62" t="s">
        <v>113</v>
      </c>
      <c r="C123" s="100" t="n">
        <f aca="false">IF(AND(ISNUMBER(C120)),C120/(C18*8760),"SLO 不可達")</f>
        <v>0.00642112099901794</v>
      </c>
      <c r="D123" s="100" t="n">
        <f aca="false">IF(AND(ISNUMBER(D120)),D120/(D18*8760),"SLO 不可達")</f>
        <v>0.0400178434586299</v>
      </c>
      <c r="E123" s="100" t="n">
        <f aca="false">IF(AND(ISNUMBER(E120)),E120/(E18*8760),"SLO 不可達")</f>
        <v>0.00902741436014942</v>
      </c>
      <c r="F123" s="100" t="n">
        <f aca="false">IF(AND(ISNUMBER(F120)),F120/(F18*8760),"SLO 不可達")</f>
        <v>0.0576852109214657</v>
      </c>
      <c r="G123" s="100" t="n">
        <f aca="false">IF(AND(ISNUMBER(G120)),G120/(G18*8760),"SLO 不可達")</f>
        <v>0.00495508098338149</v>
      </c>
      <c r="H123" s="100" t="n">
        <f aca="false">IF(AND(ISNUMBER(H120)),H120/(H18*8760),"SLO 不可達")</f>
        <v>0.0300799492607848</v>
      </c>
      <c r="I123" s="100" t="n">
        <f aca="false">IF(AND(ISNUMBER(I120)),I120/(I18*8760),"SLO 不可達")</f>
        <v>0.00446640097816934</v>
      </c>
      <c r="J123" s="100" t="n">
        <f aca="false">IF(AND(ISNUMBER(J120)),J120/(J18*8760),"SLO 不可達")</f>
        <v>0.0267673178615031</v>
      </c>
      <c r="K123" s="100" t="n">
        <f aca="false">IF(AND(ISNUMBER(K120)),K120/(K18*8760),"SLO 不可達")</f>
        <v>0.0048330776147124</v>
      </c>
      <c r="L123" s="100" t="n">
        <f aca="false">IF(AND(ISNUMBER(L120)),L120/(L18*8760),"SLO 不可達")</f>
        <v>0.0316233196755926</v>
      </c>
      <c r="M123" s="100" t="n">
        <f aca="false">IF(AND(ISNUMBER(M120)),M120/(M18*8760),"SLO 不可達")</f>
        <v>0.00854909913398737</v>
      </c>
      <c r="N123" s="100" t="n">
        <f aca="false">IF(AND(ISNUMBER(N120)),N120/(N18*8760),"SLO 不可達")</f>
        <v>0.0512665053278999</v>
      </c>
      <c r="O123" s="100" t="n">
        <f aca="false">IF(AND(ISNUMBER(O120)),O120/(O18*8760),"SLO 不可達")</f>
        <v>0.00559540723796958</v>
      </c>
      <c r="P123" s="100" t="n">
        <f aca="false">IF(AND(ISNUMBER(P120)),P120/(P18*8760),"SLO 不可達")</f>
        <v>0.0267709467810367</v>
      </c>
      <c r="Q123" s="100" t="n">
        <f aca="false">IF(AND(ISNUMBER(Q120)),Q120/(Q18*8760),"SLO 不可達")</f>
        <v>0.00878030317344182</v>
      </c>
      <c r="R123" s="100" t="n">
        <f aca="false">IF(AND(ISNUMBER(R120)),R120/(R18*8760),"SLO 不可達")</f>
        <v>0.0778661196803248</v>
      </c>
      <c r="S123" s="100" t="n">
        <f aca="false">IF(AND(ISNUMBER(S120)),S120/(S18*8760),"SLO 不可達")</f>
        <v>0.00669306264464179</v>
      </c>
      <c r="T123" s="100" t="n">
        <f aca="false">IF(AND(ISNUMBER(T120)),T120/(T18*8760),"SLO 不可達")</f>
        <v>0.0444541770383361</v>
      </c>
      <c r="U123" s="100" t="n">
        <f aca="false">IF(AND(ISNUMBER(U120)),U120/(U18*8760),"SLO 不可達")</f>
        <v>0.00635241995170244</v>
      </c>
      <c r="V123" s="100" t="n">
        <f aca="false">IF(AND(ISNUMBER(V120)),V120/(V18*8760),"SLO 不可達")</f>
        <v>0.0388970855016515</v>
      </c>
      <c r="W123" s="100" t="n">
        <f aca="false">IF(AND(ISNUMBER(W120)),W120/(W18*8760),"SLO 不可達")</f>
        <v>0.0067619542813028</v>
      </c>
      <c r="X123" s="100" t="n">
        <f aca="false">IF(AND(ISNUMBER(X120)),X120/(X18*8760),"SLO 不可達")</f>
        <v>0.0456191703373979</v>
      </c>
      <c r="Y123" s="100" t="n">
        <f aca="false">IF(AND(ISNUMBER(Y120)),Y120/(Y18*8760),"SLO 不可達")</f>
        <v>0.00457618702005692</v>
      </c>
      <c r="Z123" s="100" t="n">
        <f aca="false">IF(AND(ISNUMBER(Z120)),Z120/(Z18*8760),"SLO 不可達")</f>
        <v>0.0372504424901884</v>
      </c>
      <c r="AA123" s="100" t="n">
        <f aca="false">IF(AND(ISNUMBER(AA120)),AA120/(AA18*8760),"SLO 不可達")</f>
        <v>0.01011098895694</v>
      </c>
      <c r="AB123" s="100" t="n">
        <f aca="false">IF(AND(ISNUMBER(AB120)),AB120/(AB18*8760),"SLO 不可達")</f>
        <v>0.0455526453955129</v>
      </c>
      <c r="AC123" s="100" t="n">
        <f aca="false">IF(AND(ISNUMBER(AC120)),AC120/(AC18*8760),"SLO 不可達")</f>
        <v>0.00353161654945987</v>
      </c>
      <c r="AD123" s="100" t="n">
        <f aca="false">IF(AND(ISNUMBER(AD120)),AD120/(AD18*8760),"SLO 不可達")</f>
        <v>0.0220098139022464</v>
      </c>
      <c r="AE123" s="100" t="n">
        <f aca="false">IF(AND(ISNUMBER(AE120)),AE120/(AE18*8760),"SLO 不可達")</f>
        <v>0.00834745729872333</v>
      </c>
      <c r="AF123" s="100" t="n">
        <f aca="false">IF(AND(ISNUMBER(AF120)),AF120/(AF18*8760),"SLO 不可達")</f>
        <v>0.0520231964962189</v>
      </c>
      <c r="AG123" s="100" t="n">
        <f aca="false">IF(AND(ISNUMBER(AG120)),AG120/(AG18*8760),"SLO 不可達")</f>
        <v>0.00690980100423009</v>
      </c>
      <c r="AH123" s="100" t="n">
        <f aca="false">IF(AND(ISNUMBER(AH120)),AH120/(AH18*8760),"SLO 不可達")</f>
        <v>0.0433304748579116</v>
      </c>
    </row>
    <row r="124" customFormat="false" ht="15" hidden="false" customHeight="false" outlineLevel="0" collapsed="false">
      <c r="A124" s="76" t="s">
        <v>1262</v>
      </c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</row>
    <row r="125" customFormat="false" ht="15" hidden="false" customHeight="false" outlineLevel="0" collapsed="false">
      <c r="A125" s="61" t="s">
        <v>1263</v>
      </c>
      <c r="B125" s="62" t="s">
        <v>1180</v>
      </c>
      <c r="C125" s="68" t="n">
        <f aca="false">C103</f>
        <v>1046714.22569904</v>
      </c>
      <c r="D125" s="68" t="n">
        <f aca="false">D103</f>
        <v>5684233.89686067</v>
      </c>
      <c r="E125" s="68" t="n">
        <f aca="false">E103</f>
        <v>1744523.70949839</v>
      </c>
      <c r="F125" s="68" t="n">
        <f aca="false">F103</f>
        <v>9473723.16143445</v>
      </c>
      <c r="G125" s="68" t="n">
        <f aca="false">G103</f>
        <v>654196.391061898</v>
      </c>
      <c r="H125" s="68" t="n">
        <f aca="false">H103</f>
        <v>3552646.18553792</v>
      </c>
      <c r="I125" s="68" t="n">
        <f aca="false">I103</f>
        <v>523357.112849518</v>
      </c>
      <c r="J125" s="68" t="n">
        <f aca="false">J103</f>
        <v>2842116.94843034</v>
      </c>
      <c r="K125" s="68" t="n">
        <f aca="false">K103</f>
        <v>539398.39432267</v>
      </c>
      <c r="L125" s="68" t="n">
        <f aca="false">L103</f>
        <v>3002522.01537919</v>
      </c>
      <c r="M125" s="68" t="n">
        <f aca="false">M103</f>
        <v>1726517.43974337</v>
      </c>
      <c r="N125" s="68" t="n">
        <f aca="false">N103</f>
        <v>9277727.81804586</v>
      </c>
      <c r="O125" s="68" t="n">
        <f aca="false">O103</f>
        <v>1046714.22569904</v>
      </c>
      <c r="P125" s="68" t="n">
        <f aca="false">P103</f>
        <v>5684233.89686067</v>
      </c>
      <c r="Q125" s="68" t="n">
        <f aca="false">Q103</f>
        <v>1046714.22569904</v>
      </c>
      <c r="R125" s="68" t="n">
        <f aca="false">R103</f>
        <v>5684233.89686067</v>
      </c>
      <c r="S125" s="68" t="n">
        <f aca="false">S103</f>
        <v>1046714.22569904</v>
      </c>
      <c r="T125" s="68" t="n">
        <f aca="false">T103</f>
        <v>5684233.89686067</v>
      </c>
      <c r="U125" s="68" t="n">
        <f aca="false">U103</f>
        <v>1046714.22569904</v>
      </c>
      <c r="V125" s="68" t="n">
        <f aca="false">V103</f>
        <v>5684233.89686067</v>
      </c>
      <c r="W125" s="68" t="n">
        <f aca="false">W103</f>
        <v>1046714.22569904</v>
      </c>
      <c r="X125" s="68" t="n">
        <f aca="false">X103</f>
        <v>5684233.89686067</v>
      </c>
      <c r="Y125" s="68" t="n">
        <f aca="false">Y103</f>
        <v>1046714.22569904</v>
      </c>
      <c r="Z125" s="68" t="n">
        <f aca="false">Z103</f>
        <v>5684233.89686067</v>
      </c>
      <c r="AA125" s="68" t="n">
        <f aca="false">AA103</f>
        <v>1046714.22569904</v>
      </c>
      <c r="AB125" s="68" t="n">
        <f aca="false">AB103</f>
        <v>5684233.89686067</v>
      </c>
      <c r="AC125" s="68" t="n">
        <f aca="false">AC103</f>
        <v>1046714.22569904</v>
      </c>
      <c r="AD125" s="68" t="n">
        <f aca="false">AD103</f>
        <v>5684233.89686067</v>
      </c>
      <c r="AE125" s="68" t="n">
        <f aca="false">AE103</f>
        <v>1046714.22569904</v>
      </c>
      <c r="AF125" s="68" t="n">
        <f aca="false">AF103</f>
        <v>5684233.89686067</v>
      </c>
      <c r="AG125" s="68" t="n">
        <f aca="false">AG103</f>
        <v>1177553.50391142</v>
      </c>
      <c r="AH125" s="68" t="n">
        <f aca="false">AH103</f>
        <v>6394763.13396825</v>
      </c>
    </row>
    <row r="126" customFormat="false" ht="15" hidden="false" customHeight="false" outlineLevel="0" collapsed="false">
      <c r="A126" s="61" t="s">
        <v>1264</v>
      </c>
      <c r="B126" s="62" t="s">
        <v>1180</v>
      </c>
      <c r="C126" s="68" t="n">
        <f aca="false">IF(AND(ISNUMBER(C65),ISNUMBER(C86)),C65+C74+C86+C87,"SLO 不可達")</f>
        <v>209542.386794135</v>
      </c>
      <c r="D126" s="68" t="n">
        <f aca="false">IF(AND(ISNUMBER(D65),ISNUMBER(D86)),D65+D74+D86+D87,"SLO 不可達")</f>
        <v>3404528.00266708</v>
      </c>
      <c r="E126" s="68" t="n">
        <f aca="false">IF(AND(ISNUMBER(E65),ISNUMBER(E86)),E65+E74+E86+E87,"SLO 不可達")</f>
        <v>209542.386794135</v>
      </c>
      <c r="F126" s="68" t="n">
        <f aca="false">IF(AND(ISNUMBER(F65),ISNUMBER(F86)),F65+F74+F86+F87,"SLO 不可達")</f>
        <v>3404528.00266708</v>
      </c>
      <c r="G126" s="68" t="n">
        <f aca="false">IF(AND(ISNUMBER(G65),ISNUMBER(G86)),G65+G74+G86+G87,"SLO 不可達")</f>
        <v>209542.386794135</v>
      </c>
      <c r="H126" s="68" t="n">
        <f aca="false">IF(AND(ISNUMBER(H65),ISNUMBER(H86)),H65+H74+H86+H87,"SLO 不可達")</f>
        <v>3404528.00266708</v>
      </c>
      <c r="I126" s="68" t="n">
        <f aca="false">IF(AND(ISNUMBER(I65),ISNUMBER(I86)),I65+I74+I86+I87,"SLO 不可達")</f>
        <v>209542.386794135</v>
      </c>
      <c r="J126" s="68" t="n">
        <f aca="false">IF(AND(ISNUMBER(J65),ISNUMBER(J86)),J65+J74+J86+J87,"SLO 不可達")</f>
        <v>3404528.00266708</v>
      </c>
      <c r="K126" s="68" t="n">
        <f aca="false">IF(AND(ISNUMBER(K65),ISNUMBER(K86)),K65+K74+K86+K87,"SLO 不可達")</f>
        <v>209542.386794135</v>
      </c>
      <c r="L126" s="68" t="n">
        <f aca="false">IF(AND(ISNUMBER(L65),ISNUMBER(L86)),L65+L74+L86+L87,"SLO 不可達")</f>
        <v>3404528.00266708</v>
      </c>
      <c r="M126" s="68" t="n">
        <f aca="false">IF(AND(ISNUMBER(M65),ISNUMBER(M86)),M65+M74+M86+M87,"SLO 不可達")</f>
        <v>209542.386794135</v>
      </c>
      <c r="N126" s="68" t="n">
        <f aca="false">IF(AND(ISNUMBER(N65),ISNUMBER(N86)),N65+N74+N86+N87,"SLO 不可達")</f>
        <v>3404528.00266708</v>
      </c>
      <c r="O126" s="68" t="n">
        <f aca="false">IF(AND(ISNUMBER(O65),ISNUMBER(O86)),O65+O74+O86+O87,"SLO 不可達")</f>
        <v>74979.1635871987</v>
      </c>
      <c r="P126" s="68" t="n">
        <f aca="false">IF(AND(ISNUMBER(P65),ISNUMBER(P86)),P65+P74+P86+P87,"SLO 不可達")</f>
        <v>1072119.43971675</v>
      </c>
      <c r="Q126" s="68" t="n">
        <f aca="false">IF(AND(ISNUMBER(Q65),ISNUMBER(Q86)),Q65+Q74+Q86+Q87,"SLO 不可達")</f>
        <v>594008.738813953</v>
      </c>
      <c r="R126" s="68" t="n">
        <f aca="false">IF(AND(ISNUMBER(R65),ISNUMBER(R86)),R65+R74+R86+R87,"SLO 不可達")</f>
        <v>10068552.4682394</v>
      </c>
      <c r="S126" s="68" t="n">
        <f aca="false">IF(AND(ISNUMBER(S65),ISNUMBER(S86)),S65+S74+S86+S87,"SLO 不可達")</f>
        <v>296416.777883803</v>
      </c>
      <c r="T126" s="68" t="n">
        <f aca="false">IF(AND(ISNUMBER(T65),ISNUMBER(T86)),T65+T74+T86+T87,"SLO 不可達")</f>
        <v>4821757.70841329</v>
      </c>
      <c r="U126" s="68" t="n">
        <f aca="false">IF(AND(ISNUMBER(U65),ISNUMBER(U86)),U65+U74+U86+U87,"SLO 不可達")</f>
        <v>187595.172203061</v>
      </c>
      <c r="V126" s="68" t="n">
        <f aca="false">IF(AND(ISNUMBER(V65),ISNUMBER(V86)),V65+V74+V86+V87,"SLO 不可達")</f>
        <v>3046491.0243733</v>
      </c>
      <c r="W126" s="68" t="n">
        <f aca="false">IF(AND(ISNUMBER(W65),ISNUMBER(W86)),W65+W74+W86+W87,"SLO 不可達")</f>
        <v>316651.707962845</v>
      </c>
      <c r="X126" s="68" t="n">
        <f aca="false">IF(AND(ISNUMBER(X65),ISNUMBER(X86)),X65+X74+X86+X87,"SLO 不可達")</f>
        <v>5178571.39923769</v>
      </c>
      <c r="Y126" s="68" t="n">
        <f aca="false">IF(AND(ISNUMBER(Y65),ISNUMBER(Y86)),Y65+Y74+Y86+Y87,"SLO 不可達")</f>
        <v>209542.386794135</v>
      </c>
      <c r="Z126" s="68" t="n">
        <f aca="false">IF(AND(ISNUMBER(Z65),ISNUMBER(Z86)),Z65+Z74+Z86+Z87,"SLO 不可達")</f>
        <v>3404528.00266708</v>
      </c>
      <c r="AA126" s="68" t="n">
        <f aca="false">IF(AND(ISNUMBER(AA65),ISNUMBER(AA86)),AA65+AA74+AA86+AA87,"SLO 不可達")</f>
        <v>209542.386794135</v>
      </c>
      <c r="AB126" s="68" t="n">
        <f aca="false">IF(AND(ISNUMBER(AB65),ISNUMBER(AB86)),AB65+AB74+AB86+AB87,"SLO 不可達")</f>
        <v>3404528.00266708</v>
      </c>
      <c r="AC126" s="68" t="n">
        <f aca="false">IF(AND(ISNUMBER(AC65),ISNUMBER(AC86)),AC65+AC74+AC86+AC87,"SLO 不可達")</f>
        <v>209542.386794135</v>
      </c>
      <c r="AD126" s="68" t="n">
        <f aca="false">IF(AND(ISNUMBER(AD65),ISNUMBER(AD86)),AD65+AD74+AD86+AD87,"SLO 不可達")</f>
        <v>3404528.00266708</v>
      </c>
      <c r="AE126" s="68" t="n">
        <f aca="false">IF(AND(ISNUMBER(AE65),ISNUMBER(AE86)),AE65+AE74+AE86+AE87,"SLO 不可達")</f>
        <v>209542.386794135</v>
      </c>
      <c r="AF126" s="68" t="n">
        <f aca="false">IF(AND(ISNUMBER(AF65),ISNUMBER(AF86)),AF65+AF74+AF86+AF87,"SLO 不可達")</f>
        <v>3404528.00266708</v>
      </c>
      <c r="AG126" s="68" t="n">
        <f aca="false">IF(AND(ISNUMBER(AG65),ISNUMBER(AG86)),AG65+AG74+AG86+AG87,"SLO 不可達")</f>
        <v>209542.386794135</v>
      </c>
      <c r="AH126" s="68" t="n">
        <f aca="false">IF(AND(ISNUMBER(AH65),ISNUMBER(AH86)),AH65+AH74+AH86+AH87,"SLO 不可達")</f>
        <v>3404528.00266708</v>
      </c>
    </row>
    <row r="127" customFormat="false" ht="15" hidden="false" customHeight="false" outlineLevel="0" collapsed="false">
      <c r="A127" s="61" t="s">
        <v>1265</v>
      </c>
      <c r="B127" s="62" t="s">
        <v>1180</v>
      </c>
      <c r="C127" s="68" t="n">
        <f aca="false">C51+C72+C89</f>
        <v>202194.239000742</v>
      </c>
      <c r="D127" s="68" t="n">
        <f aca="false">D51+D72+D89</f>
        <v>2781783.43731922</v>
      </c>
      <c r="E127" s="68" t="n">
        <f aca="false">E51+E72+E89</f>
        <v>336990.39833457</v>
      </c>
      <c r="F127" s="68" t="n">
        <f aca="false">F51+F72+F89</f>
        <v>4636305.72886537</v>
      </c>
      <c r="G127" s="68" t="n">
        <f aca="false">G51+G72+G89</f>
        <v>126371.399375464</v>
      </c>
      <c r="H127" s="68" t="n">
        <f aca="false">H51+H72+H89</f>
        <v>1738614.64832451</v>
      </c>
      <c r="I127" s="68" t="n">
        <f aca="false">I51+I72+I89</f>
        <v>101097.119500371</v>
      </c>
      <c r="J127" s="68" t="n">
        <f aca="false">J51+J72+J89</f>
        <v>1390891.71865961</v>
      </c>
      <c r="K127" s="68" t="n">
        <f aca="false">K51+K72+K89</f>
        <v>202194.239000742</v>
      </c>
      <c r="L127" s="68" t="n">
        <f aca="false">L51+L72+L89</f>
        <v>2781783.43731922</v>
      </c>
      <c r="M127" s="68" t="n">
        <f aca="false">M51+M72+M89</f>
        <v>202194.239000742</v>
      </c>
      <c r="N127" s="68" t="n">
        <f aca="false">N51+N72+N89</f>
        <v>2781783.43731922</v>
      </c>
      <c r="O127" s="68" t="n">
        <f aca="false">O51+O72+O89</f>
        <v>72975.2083315734</v>
      </c>
      <c r="P127" s="68" t="n">
        <f aca="false">P51+P72+P89</f>
        <v>882342.626652557</v>
      </c>
      <c r="Q127" s="68" t="n">
        <f aca="false">Q51+Q72+Q89</f>
        <v>571391.469484081</v>
      </c>
      <c r="R127" s="68" t="n">
        <f aca="false">R51+R72+R89</f>
        <v>8208757.18208113</v>
      </c>
      <c r="S127" s="68" t="n">
        <f aca="false">S51+S72+S89</f>
        <v>202194.239000742</v>
      </c>
      <c r="T127" s="68" t="n">
        <f aca="false">T51+T72+T89</f>
        <v>2781783.43731922</v>
      </c>
      <c r="U127" s="68" t="n">
        <f aca="false">U51+U72+U89</f>
        <v>202194.239000742</v>
      </c>
      <c r="V127" s="68" t="n">
        <f aca="false">V51+V72+V89</f>
        <v>2781783.43731922</v>
      </c>
      <c r="W127" s="68" t="n">
        <f aca="false">W51+W72+W89</f>
        <v>202194.239000742</v>
      </c>
      <c r="X127" s="68" t="n">
        <f aca="false">X51+X72+X89</f>
        <v>2781783.43731922</v>
      </c>
      <c r="Y127" s="68" t="n">
        <f aca="false">Y51+Y72+Y89</f>
        <v>202194.239000742</v>
      </c>
      <c r="Z127" s="68" t="n">
        <f aca="false">Z51+Z72+Z89</f>
        <v>2781783.43731922</v>
      </c>
      <c r="AA127" s="68" t="n">
        <f aca="false">AA51+AA72+AA89</f>
        <v>202194.239000742</v>
      </c>
      <c r="AB127" s="68" t="n">
        <f aca="false">AB51+AB72+AB89</f>
        <v>2781783.43731922</v>
      </c>
      <c r="AC127" s="68" t="n">
        <f aca="false">AC51+AC72+AC89</f>
        <v>202194.239000742</v>
      </c>
      <c r="AD127" s="68" t="n">
        <f aca="false">AD51+AD72+AD89</f>
        <v>2781783.43731922</v>
      </c>
      <c r="AE127" s="68" t="n">
        <f aca="false">AE51+AE72+AE89</f>
        <v>202194.239000742</v>
      </c>
      <c r="AF127" s="68" t="n">
        <f aca="false">AF51+AF72+AF89</f>
        <v>2781783.43731922</v>
      </c>
      <c r="AG127" s="68" t="n">
        <f aca="false">AG51+AG72+AG89</f>
        <v>227468.518875835</v>
      </c>
      <c r="AH127" s="68" t="n">
        <f aca="false">AH51+AH72+AH89</f>
        <v>3129506.36698413</v>
      </c>
    </row>
    <row r="128" customFormat="false" ht="15" hidden="false" customHeight="false" outlineLevel="0" collapsed="false">
      <c r="A128" s="61" t="s">
        <v>1266</v>
      </c>
      <c r="B128" s="62" t="s">
        <v>1180</v>
      </c>
      <c r="C128" s="68" t="n">
        <f aca="false">IF(AND(ISNUMBER(C105)),C105,"SLO 不可達")</f>
        <v>592838.408093639</v>
      </c>
      <c r="D128" s="68" t="n">
        <f aca="false">IF(AND(ISNUMBER(D105)),D105,"SLO 不可達")</f>
        <v>913542.128737021</v>
      </c>
      <c r="E128" s="68" t="n">
        <f aca="false">IF(AND(ISNUMBER(E105)),E105,"SLO 不可達")</f>
        <v>592838.408093639</v>
      </c>
      <c r="F128" s="68" t="n">
        <f aca="false">IF(AND(ISNUMBER(F105)),F105,"SLO 不可達")</f>
        <v>913542.128737021</v>
      </c>
      <c r="G128" s="68" t="n">
        <f aca="false">IF(AND(ISNUMBER(G105)),G105,"SLO 不可達")</f>
        <v>592838.408093639</v>
      </c>
      <c r="H128" s="68" t="n">
        <f aca="false">IF(AND(ISNUMBER(H105)),H105,"SLO 不可達")</f>
        <v>913542.128737021</v>
      </c>
      <c r="I128" s="68" t="n">
        <f aca="false">IF(AND(ISNUMBER(I105)),I105,"SLO 不可達")</f>
        <v>592838.408093639</v>
      </c>
      <c r="J128" s="68" t="n">
        <f aca="false">IF(AND(ISNUMBER(J105)),J105,"SLO 不可達")</f>
        <v>913542.128737021</v>
      </c>
      <c r="K128" s="68" t="n">
        <f aca="false">IF(AND(ISNUMBER(K105)),K105,"SLO 不可達")</f>
        <v>592838.408093639</v>
      </c>
      <c r="L128" s="68" t="n">
        <f aca="false">IF(AND(ISNUMBER(L105)),L105,"SLO 不可達")</f>
        <v>913542.128737021</v>
      </c>
      <c r="M128" s="68" t="n">
        <f aca="false">IF(AND(ISNUMBER(M105)),M105,"SLO 不可達")</f>
        <v>592838.408093639</v>
      </c>
      <c r="N128" s="68" t="n">
        <f aca="false">IF(AND(ISNUMBER(N105)),N105,"SLO 不可達")</f>
        <v>913542.128737021</v>
      </c>
      <c r="O128" s="68" t="n">
        <f aca="false">IF(AND(ISNUMBER(O105)),O105,"SLO 不可達")</f>
        <v>592838.408093639</v>
      </c>
      <c r="P128" s="68" t="n">
        <f aca="false">IF(AND(ISNUMBER(P105)),P105,"SLO 不可達")</f>
        <v>913542.128737021</v>
      </c>
      <c r="Q128" s="68" t="n">
        <f aca="false">IF(AND(ISNUMBER(Q105)),Q105,"SLO 不可達")</f>
        <v>592838.408093639</v>
      </c>
      <c r="R128" s="68" t="n">
        <f aca="false">IF(AND(ISNUMBER(R105)),R105,"SLO 不可達")</f>
        <v>913542.128737021</v>
      </c>
      <c r="S128" s="68" t="n">
        <f aca="false">IF(AND(ISNUMBER(S105)),S105,"SLO 不可達")</f>
        <v>592838.408093639</v>
      </c>
      <c r="T128" s="68" t="n">
        <f aca="false">IF(AND(ISNUMBER(T105)),T105,"SLO 不可達")</f>
        <v>913542.128737021</v>
      </c>
      <c r="U128" s="68" t="n">
        <f aca="false">IF(AND(ISNUMBER(U105)),U105,"SLO 不可達")</f>
        <v>592838.408093639</v>
      </c>
      <c r="V128" s="68" t="n">
        <f aca="false">IF(AND(ISNUMBER(V105)),V105,"SLO 不可達")</f>
        <v>913542.128737021</v>
      </c>
      <c r="W128" s="68" t="n">
        <f aca="false">IF(AND(ISNUMBER(W105)),W105,"SLO 不可達")</f>
        <v>594611.578217</v>
      </c>
      <c r="X128" s="68" t="n">
        <f aca="false">IF(AND(ISNUMBER(X105)),X105,"SLO 不可達")</f>
        <v>928896.82443303</v>
      </c>
      <c r="Y128" s="68" t="n">
        <f aca="false">IF(AND(ISNUMBER(Y105)),Y105,"SLO 不可達")</f>
        <v>3456.38955362504</v>
      </c>
      <c r="Z128" s="68" t="n">
        <f aca="false">IF(AND(ISNUMBER(Z105)),Z105,"SLO 不可達")</f>
        <v>29469.1009270007</v>
      </c>
      <c r="AA128" s="68" t="n">
        <f aca="false">IF(AND(ISNUMBER(AA105)),AA105,"SLO 不可達")</f>
        <v>1771602.44517367</v>
      </c>
      <c r="AB128" s="68" t="n">
        <f aca="false">IF(AND(ISNUMBER(AB105)),AB105,"SLO 不可達")</f>
        <v>2681688.18435706</v>
      </c>
      <c r="AC128" s="68" t="n">
        <f aca="false">IF(AND(ISNUMBER(AC105)),AC105,"SLO 不可達")</f>
        <v>592838.408093639</v>
      </c>
      <c r="AD128" s="68" t="n">
        <f aca="false">IF(AND(ISNUMBER(AD105)),AD105,"SLO 不可達")</f>
        <v>913542.128737021</v>
      </c>
      <c r="AE128" s="68" t="n">
        <f aca="false">IF(AND(ISNUMBER(AE105)),AE105,"SLO 不可達")</f>
        <v>592838.408093639</v>
      </c>
      <c r="AF128" s="68" t="n">
        <f aca="false">IF(AND(ISNUMBER(AF105)),AF105,"SLO 不可達")</f>
        <v>913542.128737021</v>
      </c>
      <c r="AG128" s="68" t="n">
        <f aca="false">IF(AND(ISNUMBER(AG105)),AG105,"SLO 不可達")</f>
        <v>592838.408093639</v>
      </c>
      <c r="AH128" s="68" t="n">
        <f aca="false">IF(AND(ISNUMBER(AH105)),AH105,"SLO 不可達")</f>
        <v>913542.128737021</v>
      </c>
    </row>
    <row r="129" customFormat="false" ht="15" hidden="false" customHeight="false" outlineLevel="0" collapsed="false">
      <c r="A129" s="61" t="s">
        <v>1267</v>
      </c>
      <c r="B129" s="62" t="s">
        <v>1180</v>
      </c>
      <c r="C129" s="68" t="n">
        <f aca="false">IF(AND(ISNUMBER(C121)),C121,"SLO 不可達")</f>
        <v>14359024.8171129</v>
      </c>
      <c r="D129" s="68" t="n">
        <f aca="false">IF(AND(ISNUMBER(D121)),D121,"SLO 不可達")</f>
        <v>89488612.259088</v>
      </c>
      <c r="E129" s="68" t="n">
        <f aca="false">IF(AND(ISNUMBER(E121)),E121,"SLO 不可達")</f>
        <v>20187264.3190452</v>
      </c>
      <c r="F129" s="68" t="n">
        <f aca="false">IF(AND(ISNUMBER(F121)),F121,"SLO 不可達")</f>
        <v>128996693.151927</v>
      </c>
      <c r="G129" s="68" t="n">
        <f aca="false">IF(AND(ISNUMBER(G121)),G121,"SLO 不可達")</f>
        <v>11080640.0972759</v>
      </c>
      <c r="H129" s="68" t="n">
        <f aca="false">IF(AND(ISNUMBER(H121)),H121,"SLO 不可達")</f>
        <v>67265316.7568657</v>
      </c>
      <c r="I129" s="68" t="n">
        <f aca="false">IF(AND(ISNUMBER(I121)),I121,"SLO 不可達")</f>
        <v>9987845.19066364</v>
      </c>
      <c r="J129" s="68" t="n">
        <f aca="false">IF(AND(ISNUMBER(J121)),J121,"SLO 不可達")</f>
        <v>59857551.5894584</v>
      </c>
      <c r="K129" s="68" t="n">
        <f aca="false">IF(AND(ISNUMBER(K121)),K121,"SLO 不可達")</f>
        <v>10807813.9974783</v>
      </c>
      <c r="L129" s="68" t="n">
        <f aca="false">IF(AND(ISNUMBER(L121)),L121,"SLO 不可達")</f>
        <v>70716629.0887176</v>
      </c>
      <c r="M129" s="68" t="n">
        <f aca="false">IF(AND(ISNUMBER(M121)),M121,"SLO 不可達")</f>
        <v>19117647.3154232</v>
      </c>
      <c r="N129" s="68" t="n">
        <f aca="false">IF(AND(ISNUMBER(N121)),N121,"SLO 不可達")</f>
        <v>114643069.707384</v>
      </c>
      <c r="O129" s="68" t="n">
        <f aca="false">IF(AND(ISNUMBER(O121)),O121,"SLO 不可達")</f>
        <v>12512549.0399801</v>
      </c>
      <c r="P129" s="68" t="n">
        <f aca="false">IF(AND(ISNUMBER(P121)),P121,"SLO 不可達")</f>
        <v>59865666.643769</v>
      </c>
      <c r="Q129" s="68" t="n">
        <f aca="false">IF(AND(ISNUMBER(Q121)),Q121,"SLO 不可達")</f>
        <v>19634669.894635</v>
      </c>
      <c r="R129" s="68" t="n">
        <f aca="false">IF(AND(ISNUMBER(R121)),R121,"SLO 不可達")</f>
        <v>174125599.731428</v>
      </c>
      <c r="S129" s="68" t="n">
        <f aca="false">IF(AND(ISNUMBER(S121)),S121,"SLO 不可達")</f>
        <v>14967145.5547405</v>
      </c>
      <c r="T129" s="68" t="n">
        <f aca="false">IF(AND(ISNUMBER(T121)),T121,"SLO 不可達")</f>
        <v>99409220.1993114</v>
      </c>
      <c r="U129" s="68" t="n">
        <f aca="false">IF(AND(ISNUMBER(U121)),U121,"SLO 不可達")</f>
        <v>14205394.3149753</v>
      </c>
      <c r="V129" s="68" t="n">
        <f aca="false">IF(AND(ISNUMBER(V121)),V121,"SLO 不可達")</f>
        <v>86982353.4110315</v>
      </c>
      <c r="W129" s="68" t="n">
        <f aca="false">IF(AND(ISNUMBER(W121)),W121,"SLO 不可達")</f>
        <v>15121202.2561574</v>
      </c>
      <c r="X129" s="68" t="n">
        <f aca="false">IF(AND(ISNUMBER(X121)),X121,"SLO 不可達")</f>
        <v>102014398.904954</v>
      </c>
      <c r="Y129" s="68" t="n">
        <f aca="false">IF(AND(ISNUMBER(Y121)),Y121,"SLO 不可達")</f>
        <v>10233350.6873328</v>
      </c>
      <c r="Z129" s="68" t="n">
        <f aca="false">IF(AND(ISNUMBER(Z121)),Z121,"SLO 不可達")</f>
        <v>83300101.0644178</v>
      </c>
      <c r="AA129" s="68" t="n">
        <f aca="false">IF(AND(ISNUMBER(AA121)),AA121,"SLO 不可達")</f>
        <v>22610373.0766731</v>
      </c>
      <c r="AB129" s="68" t="n">
        <f aca="false">IF(AND(ISNUMBER(AB121)),AB121,"SLO 不可達")</f>
        <v>101865634.648428</v>
      </c>
      <c r="AC129" s="68" t="n">
        <f aca="false">IF(AND(ISNUMBER(AC121)),AC121,"SLO 不可達")</f>
        <v>6974383.48259768</v>
      </c>
      <c r="AD129" s="68" t="n">
        <f aca="false">IF(AND(ISNUMBER(AD121)),AD121,"SLO 不可達")</f>
        <v>43465897.3829856</v>
      </c>
      <c r="AE129" s="68" t="n">
        <f aca="false">IF(AND(ISNUMBER(AE121)),AE121,"SLO 不可達")</f>
        <v>19282119.040123</v>
      </c>
      <c r="AF129" s="68" t="n">
        <f aca="false">IF(AND(ISNUMBER(AF121)),AF121,"SLO 不可達")</f>
        <v>120170422.17649</v>
      </c>
      <c r="AG129" s="68" t="n">
        <f aca="false">IF(AND(ISNUMBER(AG121)),AG121,"SLO 不可達")</f>
        <v>15451819.7237252</v>
      </c>
      <c r="AH129" s="68" t="n">
        <f aca="false">IF(AND(ISNUMBER(AH121)),AH121,"SLO 不可達")</f>
        <v>96896377.4264954</v>
      </c>
    </row>
    <row r="130" customFormat="false" ht="15" hidden="false" customHeight="false" outlineLevel="0" collapsed="false">
      <c r="A130" s="76" t="s">
        <v>1291</v>
      </c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</row>
    <row r="131" customFormat="false" ht="15" hidden="false" customHeight="false" outlineLevel="0" collapsed="false">
      <c r="A131" s="61" t="s">
        <v>1292</v>
      </c>
      <c r="B131" s="62" t="s">
        <v>118</v>
      </c>
      <c r="C131" s="104" t="n">
        <f aca="false">IF(AND(ISNUMBER(C106),ISNUMBER($C$106)),C106/$C$106,"SLO 不可達")</f>
        <v>1</v>
      </c>
      <c r="D131" s="104" t="n">
        <f aca="false">IF(AND(ISNUMBER(D106),ISNUMBER($D$106)),D106/$D$106,"SLO 不可達")</f>
        <v>1</v>
      </c>
      <c r="E131" s="104" t="n">
        <f aca="false">IF(AND(ISNUMBER(E106),ISNUMBER($C$106)),E106/$C$106,"SLO 不可達")</f>
        <v>1.40589382469667</v>
      </c>
      <c r="F131" s="104" t="n">
        <f aca="false">IF(AND(ISNUMBER(F106),ISNUMBER($D$106)),F106/$D$106,"SLO 不可達")</f>
        <v>1.44148724508606</v>
      </c>
      <c r="G131" s="104" t="n">
        <f aca="false">IF(AND(ISNUMBER(G106),ISNUMBER($C$106)),G106/$C$106,"SLO 不可達")</f>
        <v>0.771684723608125</v>
      </c>
      <c r="H131" s="104" t="n">
        <f aca="false">IF(AND(ISNUMBER(H106),ISNUMBER($D$106)),H106/$D$106,"SLO 不可達")</f>
        <v>0.75166342463909</v>
      </c>
      <c r="I131" s="104" t="n">
        <f aca="false">IF(AND(ISNUMBER(I106),ISNUMBER($C$106)),I106/$C$106,"SLO 不可達")</f>
        <v>0.6955796314775</v>
      </c>
      <c r="J131" s="104" t="n">
        <f aca="false">IF(AND(ISNUMBER(J106),ISNUMBER($D$106)),J106/$D$106,"SLO 不可達")</f>
        <v>0.668884566185454</v>
      </c>
      <c r="K131" s="104" t="n">
        <f aca="false">IF(AND(ISNUMBER(K106),ISNUMBER($C$106)),K106/$C$106,"SLO 不可達")</f>
        <v>0.752684401283137</v>
      </c>
      <c r="L131" s="104" t="n">
        <f aca="false">IF(AND(ISNUMBER(L106),ISNUMBER($D$106)),L106/$D$106,"SLO 不可達")</f>
        <v>0.790230480767524</v>
      </c>
      <c r="M131" s="104" t="n">
        <f aca="false">IF(AND(ISNUMBER(M106),ISNUMBER($C$106)),M106/$C$106,"SLO 不可達")</f>
        <v>1.3314029022806</v>
      </c>
      <c r="N131" s="104" t="n">
        <f aca="false">IF(AND(ISNUMBER(N106),ISNUMBER($D$106)),N106/$D$106,"SLO 不可達")</f>
        <v>1.28109115577152</v>
      </c>
      <c r="O131" s="104" t="n">
        <f aca="false">IF(AND(ISNUMBER(O106),ISNUMBER($C$106)),O106/$C$106,"SLO 不可達")</f>
        <v>0.871406603118888</v>
      </c>
      <c r="P131" s="104" t="n">
        <f aca="false">IF(AND(ISNUMBER(P106),ISNUMBER($D$106)),P106/$D$106,"SLO 不可達")</f>
        <v>0.668975248721542</v>
      </c>
      <c r="Q131" s="104" t="n">
        <f aca="false">IF(AND(ISNUMBER(Q106),ISNUMBER($C$106)),Q106/$C$106,"SLO 不可達")</f>
        <v>1.36740970537461</v>
      </c>
      <c r="R131" s="104" t="n">
        <f aca="false">IF(AND(ISNUMBER(R106),ISNUMBER($D$106)),R106/$D$106,"SLO 不可達")</f>
        <v>1.94578500365274</v>
      </c>
      <c r="S131" s="104" t="n">
        <f aca="false">IF(AND(ISNUMBER(S106),ISNUMBER($C$106)),S106/$C$106,"SLO 不可達")</f>
        <v>1.04235111683232</v>
      </c>
      <c r="T131" s="104" t="n">
        <f aca="false">IF(AND(ISNUMBER(T106),ISNUMBER($D$106)),T106/$D$106,"SLO 不可達")</f>
        <v>1.11085888684363</v>
      </c>
      <c r="U131" s="104" t="n">
        <f aca="false">IF(AND(ISNUMBER(U106),ISNUMBER($C$106)),U106/$C$106,"SLO 不可達")</f>
        <v>0.989300770484468</v>
      </c>
      <c r="V131" s="104" t="n">
        <f aca="false">IF(AND(ISNUMBER(V106),ISNUMBER($D$106)),V106/$D$106,"SLO 不可達")</f>
        <v>0.971993544376347</v>
      </c>
      <c r="W131" s="104" t="n">
        <f aca="false">IF(AND(ISNUMBER(W106),ISNUMBER($C$106)),W106/$C$106,"SLO 不可達")</f>
        <v>1.05308002797907</v>
      </c>
      <c r="X131" s="104" t="n">
        <f aca="false">IF(AND(ISNUMBER(X106),ISNUMBER($D$106)),X106/$D$106,"SLO 不可達")</f>
        <v>1.13997073291964</v>
      </c>
      <c r="Y131" s="104" t="n">
        <f aca="false">IF(AND(ISNUMBER(Y106),ISNUMBER($C$106)),Y106/$C$106,"SLO 不可達")</f>
        <v>0.712677275627856</v>
      </c>
      <c r="Z131" s="104" t="n">
        <f aca="false">IF(AND(ISNUMBER(Z106),ISNUMBER($D$106)),Z106/$D$106,"SLO 不可達")</f>
        <v>0.930845824530689</v>
      </c>
      <c r="AA131" s="104" t="n">
        <f aca="false">IF(AND(ISNUMBER(AA106),ISNUMBER($C$106)),AA106/$C$106,"SLO 不可達")</f>
        <v>1.57464544874429</v>
      </c>
      <c r="AB131" s="104" t="n">
        <f aca="false">IF(AND(ISNUMBER(AB106),ISNUMBER($D$106)),AB106/$D$106,"SLO 不可達")</f>
        <v>1.13830835093862</v>
      </c>
      <c r="AC131" s="104" t="n">
        <f aca="false">IF(AND(ISNUMBER(AC106),ISNUMBER($C$106)),AC106/$C$106,"SLO 不可達")</f>
        <v>1</v>
      </c>
      <c r="AD131" s="104" t="n">
        <f aca="false">IF(AND(ISNUMBER(AD106),ISNUMBER($D$106)),AD106/$D$106,"SLO 不可達")</f>
        <v>1</v>
      </c>
      <c r="AE131" s="104" t="n">
        <f aca="false">IF(AND(ISNUMBER(AE106),ISNUMBER($C$106)),AE106/$C$106,"SLO 不可達")</f>
        <v>1</v>
      </c>
      <c r="AF131" s="104" t="n">
        <f aca="false">IF(AND(ISNUMBER(AF106),ISNUMBER($D$106)),AF106/$D$106,"SLO 不可達")</f>
        <v>1</v>
      </c>
      <c r="AG131" s="104" t="n">
        <f aca="false">IF(AND(ISNUMBER(AG106),ISNUMBER($C$106)),AG106/$C$106,"SLO 不可達")</f>
        <v>1.07610509213063</v>
      </c>
      <c r="AH131" s="104" t="n">
        <f aca="false">IF(AND(ISNUMBER(AH106),ISNUMBER($D$106)),AH106/$D$106,"SLO 不可達")</f>
        <v>1.08277885845364</v>
      </c>
    </row>
    <row r="132" customFormat="false" ht="15" hidden="false" customHeight="false" outlineLevel="0" collapsed="false">
      <c r="A132" s="61" t="s">
        <v>1293</v>
      </c>
      <c r="B132" s="62" t="s">
        <v>118</v>
      </c>
      <c r="C132" s="104" t="n">
        <f aca="false">IF(AND(ISNUMBER(C120),ISNUMBER($C$120)),C120/$C$120,"SLO 不可達")</f>
        <v>1</v>
      </c>
      <c r="D132" s="104" t="n">
        <f aca="false">IF(AND(ISNUMBER(D120),ISNUMBER($D$120)),D120/$D$120,"SLO 不可達")</f>
        <v>1</v>
      </c>
      <c r="E132" s="104" t="n">
        <f aca="false">IF(AND(ISNUMBER(E120),ISNUMBER($C$120)),E120/$C$120,"SLO 不可達")</f>
        <v>1.40589382469667</v>
      </c>
      <c r="F132" s="104" t="n">
        <f aca="false">IF(AND(ISNUMBER(F120),ISNUMBER($D$120)),F120/$D$120,"SLO 不可達")</f>
        <v>1.44148724508606</v>
      </c>
      <c r="G132" s="104" t="n">
        <f aca="false">IF(AND(ISNUMBER(G120),ISNUMBER($C$120)),G120/$C$120,"SLO 不可達")</f>
        <v>0.771684723608125</v>
      </c>
      <c r="H132" s="104" t="n">
        <f aca="false">IF(AND(ISNUMBER(H120),ISNUMBER($D$120)),H120/$D$120,"SLO 不可達")</f>
        <v>0.75166342463909</v>
      </c>
      <c r="I132" s="104" t="n">
        <f aca="false">IF(AND(ISNUMBER(I120),ISNUMBER($C$120)),I120/$C$120,"SLO 不可達")</f>
        <v>0.6955796314775</v>
      </c>
      <c r="J132" s="104" t="n">
        <f aca="false">IF(AND(ISNUMBER(J120),ISNUMBER($D$120)),J120/$D$120,"SLO 不可達")</f>
        <v>0.668884566185454</v>
      </c>
      <c r="K132" s="104" t="n">
        <f aca="false">IF(AND(ISNUMBER(K120),ISNUMBER($C$120)),K120/$C$120,"SLO 不可達")</f>
        <v>0.752684401283137</v>
      </c>
      <c r="L132" s="104" t="n">
        <f aca="false">IF(AND(ISNUMBER(L120),ISNUMBER($D$120)),L120/$D$120,"SLO 不可達")</f>
        <v>0.790230480767524</v>
      </c>
      <c r="M132" s="104" t="n">
        <f aca="false">IF(AND(ISNUMBER(M120),ISNUMBER($C$120)),M120/$C$120,"SLO 不可達")</f>
        <v>1.3314029022806</v>
      </c>
      <c r="N132" s="104" t="n">
        <f aca="false">IF(AND(ISNUMBER(N120),ISNUMBER($D$120)),N120/$D$120,"SLO 不可達")</f>
        <v>1.28109115577152</v>
      </c>
      <c r="O132" s="104" t="n">
        <f aca="false">IF(AND(ISNUMBER(O120),ISNUMBER($C$120)),O120/$C$120,"SLO 不可達")</f>
        <v>0.871406603118888</v>
      </c>
      <c r="P132" s="104" t="n">
        <f aca="false">IF(AND(ISNUMBER(P120),ISNUMBER($D$120)),P120/$D$120,"SLO 不可達")</f>
        <v>0.668975248721542</v>
      </c>
      <c r="Q132" s="104" t="n">
        <f aca="false">IF(AND(ISNUMBER(Q120),ISNUMBER($C$120)),Q120/$C$120,"SLO 不可達")</f>
        <v>1.36740970537461</v>
      </c>
      <c r="R132" s="104" t="n">
        <f aca="false">IF(AND(ISNUMBER(R120),ISNUMBER($D$120)),R120/$D$120,"SLO 不可達")</f>
        <v>1.94578500365274</v>
      </c>
      <c r="S132" s="104" t="n">
        <f aca="false">IF(AND(ISNUMBER(S120),ISNUMBER($C$120)),S120/$C$120,"SLO 不可達")</f>
        <v>1.04235111683232</v>
      </c>
      <c r="T132" s="104" t="n">
        <f aca="false">IF(AND(ISNUMBER(T120),ISNUMBER($D$120)),T120/$D$120,"SLO 不可達")</f>
        <v>1.11085888684363</v>
      </c>
      <c r="U132" s="104" t="n">
        <f aca="false">IF(AND(ISNUMBER(U120),ISNUMBER($C$120)),U120/$C$120,"SLO 不可達")</f>
        <v>0.989300770484468</v>
      </c>
      <c r="V132" s="104" t="n">
        <f aca="false">IF(AND(ISNUMBER(V120),ISNUMBER($D$120)),V120/$D$120,"SLO 不可達")</f>
        <v>0.971993544376347</v>
      </c>
      <c r="W132" s="104" t="n">
        <f aca="false">IF(AND(ISNUMBER(W120),ISNUMBER($C$120)),W120/$C$120,"SLO 不可達")</f>
        <v>1.05308002797907</v>
      </c>
      <c r="X132" s="104" t="n">
        <f aca="false">IF(AND(ISNUMBER(X120),ISNUMBER($D$120)),X120/$D$120,"SLO 不可達")</f>
        <v>1.13997073291964</v>
      </c>
      <c r="Y132" s="104" t="n">
        <f aca="false">IF(AND(ISNUMBER(Y120),ISNUMBER($C$120)),Y120/$C$120,"SLO 不可達")</f>
        <v>0.712677275627856</v>
      </c>
      <c r="Z132" s="104" t="n">
        <f aca="false">IF(AND(ISNUMBER(Z120),ISNUMBER($D$120)),Z120/$D$120,"SLO 不可達")</f>
        <v>0.930845824530689</v>
      </c>
      <c r="AA132" s="104" t="n">
        <f aca="false">IF(AND(ISNUMBER(AA120),ISNUMBER($C$120)),AA120/$C$120,"SLO 不可達")</f>
        <v>1.57464544874429</v>
      </c>
      <c r="AB132" s="104" t="n">
        <f aca="false">IF(AND(ISNUMBER(AB120),ISNUMBER($D$120)),AB120/$D$120,"SLO 不可達")</f>
        <v>1.13830835093862</v>
      </c>
      <c r="AC132" s="104" t="n">
        <f aca="false">IF(AND(ISNUMBER(AC120),ISNUMBER($C$120)),AC120/$C$120,"SLO 不可達")</f>
        <v>0.55</v>
      </c>
      <c r="AD132" s="104" t="n">
        <f aca="false">IF(AND(ISNUMBER(AD120),ISNUMBER($D$120)),AD120/$D$120,"SLO 不可達")</f>
        <v>0.55</v>
      </c>
      <c r="AE132" s="104" t="n">
        <f aca="false">IF(AND(ISNUMBER(AE120),ISNUMBER($C$120)),AE120/$C$120,"SLO 不可達")</f>
        <v>1.3</v>
      </c>
      <c r="AF132" s="104" t="n">
        <f aca="false">IF(AND(ISNUMBER(AF120),ISNUMBER($D$120)),AF120/$D$120,"SLO 不可達")</f>
        <v>1.3</v>
      </c>
      <c r="AG132" s="104" t="n">
        <f aca="false">IF(AND(ISNUMBER(AG120),ISNUMBER($C$120)),AG120/$C$120,"SLO 不可達")</f>
        <v>1.07610509213063</v>
      </c>
      <c r="AH132" s="104" t="n">
        <f aca="false">IF(AND(ISNUMBER(AH120),ISNUMBER($D$120)),AH120/$D$120,"SLO 不可達")</f>
        <v>1.08277885845364</v>
      </c>
    </row>
    <row r="133" customFormat="false" ht="15" hidden="false" customHeight="false" outlineLevel="0" collapsed="false">
      <c r="A133" s="61" t="s">
        <v>1294</v>
      </c>
      <c r="B133" s="62" t="s">
        <v>118</v>
      </c>
      <c r="C133" s="104" t="n">
        <f aca="false">IF(AND(ISNUMBER(C111),ISNUMBER($C$111)),C111/$C$111,"SLO 不可達")</f>
        <v>1</v>
      </c>
      <c r="D133" s="104" t="n">
        <f aca="false">IF(AND(ISNUMBER(D111),ISNUMBER($D$111)),D111/$D$111,"SLO 不可達")</f>
        <v>1</v>
      </c>
      <c r="E133" s="104" t="n">
        <f aca="false">IF(AND(ISNUMBER(E111),ISNUMBER($C$111)),E111/$C$111,"SLO 不可達")</f>
        <v>0.844992234997107</v>
      </c>
      <c r="F133" s="104" t="n">
        <f aca="false">IF(AND(ISNUMBER(F111),ISNUMBER($D$111)),F111/$D$111,"SLO 不可達")</f>
        <v>0.880928820082332</v>
      </c>
      <c r="G133" s="104" t="n">
        <f aca="false">IF(AND(ISNUMBER(G111),ISNUMBER($C$111)),G111/$C$111,"SLO 不可達")</f>
        <v>1.20175683436846</v>
      </c>
      <c r="H133" s="104" t="n">
        <f aca="false">IF(AND(ISNUMBER(H111),ISNUMBER($D$111)),H111/$D$111,"SLO 不可達")</f>
        <v>1.13490229974867</v>
      </c>
      <c r="I133" s="104" t="n">
        <f aca="false">IF(AND(ISNUMBER(I111),ISNUMBER($C$111)),I111/$C$111,"SLO 不可達")</f>
        <v>1.31936419636689</v>
      </c>
      <c r="J133" s="104" t="n">
        <f aca="false">IF(AND(ISNUMBER(J111),ISNUMBER($D$111)),J111/$D$111,"SLO 不可達")</f>
        <v>1.20479236746961</v>
      </c>
      <c r="K133" s="104" t="n">
        <f aca="false">IF(AND(ISNUMBER(K111),ISNUMBER($C$111)),K111/$C$111,"SLO 不可達")</f>
        <v>1.53337940528535</v>
      </c>
      <c r="L133" s="104" t="n">
        <f aca="false">IF(AND(ISNUMBER(L111),ISNUMBER($D$111)),L111/$D$111,"SLO 不可達")</f>
        <v>1.29184464975971</v>
      </c>
      <c r="M133" s="104" t="n">
        <f aca="false">IF(AND(ISNUMBER(M111),ISNUMBER($C$111)),M111/$C$111,"SLO 不可達")</f>
        <v>0.682075565761541</v>
      </c>
      <c r="N133" s="104" t="n">
        <f aca="false">IF(AND(ISNUMBER(N111),ISNUMBER($D$111)),N111/$D$111,"SLO 不可達")</f>
        <v>0.767622555709777</v>
      </c>
      <c r="O133" s="104" t="n">
        <f aca="false">IF(AND(ISNUMBER(O111),ISNUMBER($C$111)),O111/$C$111,"SLO 不可達")</f>
        <v>0.438684865576152</v>
      </c>
      <c r="P133" s="104" t="n">
        <f aca="false">IF(AND(ISNUMBER(P111),ISNUMBER($D$111)),P111/$D$111,"SLO 不可達")</f>
        <v>0.490960906566837</v>
      </c>
      <c r="Q133" s="104" t="n">
        <f aca="false">IF(AND(ISNUMBER(Q111),ISNUMBER($C$111)),Q111/$C$111,"SLO 不可達")</f>
        <v>1.86612099544456</v>
      </c>
      <c r="R133" s="104" t="n">
        <f aca="false">IF(AND(ISNUMBER(R111),ISNUMBER($D$111)),R111/$D$111,"SLO 不可達")</f>
        <v>1.46364707688238</v>
      </c>
      <c r="S133" s="104" t="n">
        <f aca="false">IF(AND(ISNUMBER(S111),ISNUMBER($C$111)),S111/$C$111,"SLO 不可達")</f>
        <v>1.14291588411783</v>
      </c>
      <c r="T133" s="104" t="n">
        <f aca="false">IF(AND(ISNUMBER(T111),ISNUMBER($D$111)),T111/$D$111,"SLO 不可達")</f>
        <v>1.09800046576256</v>
      </c>
      <c r="U133" s="104" t="n">
        <f aca="false">IF(AND(ISNUMBER(U111),ISNUMBER($C$111)),U111/$C$111,"SLO 不可達")</f>
        <v>0.961159813585404</v>
      </c>
      <c r="V133" s="104" t="n">
        <f aca="false">IF(AND(ISNUMBER(V111),ISNUMBER($D$111)),V111/$D$111,"SLO 不可達")</f>
        <v>0.97142422058954</v>
      </c>
      <c r="W133" s="104" t="n">
        <f aca="false">IF(AND(ISNUMBER(W111),ISNUMBER($C$111)),W111/$C$111,"SLO 不可達")</f>
        <v>1.17392664831301</v>
      </c>
      <c r="X133" s="104" t="n">
        <f aca="false">IF(AND(ISNUMBER(X111),ISNUMBER($D$111)),X111/$D$111,"SLO 不可達")</f>
        <v>1.11946589729714</v>
      </c>
      <c r="Y133" s="104" t="n">
        <f aca="false">IF(AND(ISNUMBER(Y111),ISNUMBER($C$111)),Y111/$C$111,"SLO 不可達")</f>
        <v>1</v>
      </c>
      <c r="Z133" s="104" t="n">
        <f aca="false">IF(AND(ISNUMBER(Z111),ISNUMBER($D$111)),Z111/$D$111,"SLO 不可達")</f>
        <v>1</v>
      </c>
      <c r="AA133" s="104" t="n">
        <f aca="false">IF(AND(ISNUMBER(AA111),ISNUMBER($C$111)),AA111/$C$111,"SLO 不可達")</f>
        <v>1</v>
      </c>
      <c r="AB133" s="104" t="n">
        <f aca="false">IF(AND(ISNUMBER(AB111),ISNUMBER($D$111)),AB111/$D$111,"SLO 不可達")</f>
        <v>1</v>
      </c>
      <c r="AC133" s="104" t="n">
        <f aca="false">IF(AND(ISNUMBER(AC111),ISNUMBER($C$111)),AC111/$C$111,"SLO 不可達")</f>
        <v>1</v>
      </c>
      <c r="AD133" s="104" t="n">
        <f aca="false">IF(AND(ISNUMBER(AD111),ISNUMBER($D$111)),AD111/$D$111,"SLO 不可達")</f>
        <v>1</v>
      </c>
      <c r="AE133" s="104" t="n">
        <f aca="false">IF(AND(ISNUMBER(AE111),ISNUMBER($C$111)),AE111/$C$111,"SLO 不可達")</f>
        <v>1</v>
      </c>
      <c r="AF133" s="104" t="n">
        <f aca="false">IF(AND(ISNUMBER(AF111),ISNUMBER($D$111)),AF111/$D$111,"SLO 不可達")</f>
        <v>1</v>
      </c>
      <c r="AG133" s="104" t="n">
        <f aca="false">IF(AND(ISNUMBER(AG111),ISNUMBER($C$111)),AG111/$C$111,"SLO 不可達")</f>
        <v>0.958758433781733</v>
      </c>
      <c r="AH133" s="104" t="n">
        <f aca="false">IF(AND(ISNUMBER(AH111),ISNUMBER($D$111)),AH111/$D$111,"SLO 不可達")</f>
        <v>0.969755323033762</v>
      </c>
    </row>
  </sheetData>
  <mergeCells count="16"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U3:V3"/>
    <mergeCell ref="W3:X3"/>
    <mergeCell ref="Y3:Z3"/>
    <mergeCell ref="AA3:AB3"/>
    <mergeCell ref="AC3:AD3"/>
    <mergeCell ref="AE3:AF3"/>
    <mergeCell ref="AG3:AH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5" min="3" style="0" width="12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60"/>
    <col collapsed="false" customWidth="true" hidden="false" outlineLevel="0" max="14" min="14" style="0" width="10"/>
    <col collapsed="false" customWidth="true" hidden="false" outlineLevel="0" max="15" min="15" style="0" width="46"/>
  </cols>
  <sheetData>
    <row r="1" customFormat="false" ht="20.1" hidden="false" customHeight="false" outlineLevel="0" collapsed="false">
      <c r="A1" s="58" t="s">
        <v>1295</v>
      </c>
    </row>
    <row r="2" customFormat="false" ht="15" hidden="false" customHeight="false" outlineLevel="0" collapsed="false">
      <c r="A2" s="59" t="s">
        <v>1296</v>
      </c>
    </row>
    <row r="3" customFormat="false" ht="15" hidden="false" customHeight="false" outlineLevel="0" collapsed="false">
      <c r="O3" s="60" t="s">
        <v>2</v>
      </c>
    </row>
    <row r="4" customFormat="false" ht="15" hidden="false" customHeight="false" outlineLevel="0" collapsed="false">
      <c r="A4" s="76" t="s">
        <v>1297</v>
      </c>
      <c r="B4" s="70"/>
      <c r="C4" s="70"/>
      <c r="D4" s="70"/>
      <c r="E4" s="70"/>
      <c r="F4" s="70"/>
      <c r="G4" s="70"/>
    </row>
    <row r="5" customFormat="false" ht="15" hidden="false" customHeight="false" outlineLevel="0" collapsed="false">
      <c r="A5" s="60" t="s">
        <v>386</v>
      </c>
      <c r="B5" s="60" t="s">
        <v>95</v>
      </c>
      <c r="C5" s="60" t="s">
        <v>1298</v>
      </c>
      <c r="D5" s="10" t="s">
        <v>1299</v>
      </c>
      <c r="E5" s="10" t="s">
        <v>1300</v>
      </c>
      <c r="F5" s="60" t="s">
        <v>99</v>
      </c>
      <c r="G5" s="60" t="s">
        <v>354</v>
      </c>
    </row>
    <row r="6" customFormat="false" ht="15" hidden="false" customHeight="false" outlineLevel="0" collapsed="false">
      <c r="A6" s="61" t="s">
        <v>1301</v>
      </c>
      <c r="B6" s="62" t="s">
        <v>976</v>
      </c>
      <c r="C6" s="94" t="n">
        <f aca="false">SRC_PRC_003</f>
        <v>0.1</v>
      </c>
      <c r="D6" s="94" t="n">
        <f aca="false">SRC_PRC_006</f>
        <v>2</v>
      </c>
      <c r="E6" s="94" t="n">
        <f aca="false">SRC_PRC_009</f>
        <v>10</v>
      </c>
      <c r="F6" s="59" t="s">
        <v>150</v>
      </c>
      <c r="G6" s="87" t="s">
        <v>1302</v>
      </c>
    </row>
    <row r="7" customFormat="false" ht="15" hidden="false" customHeight="false" outlineLevel="0" collapsed="false">
      <c r="A7" s="61" t="s">
        <v>1303</v>
      </c>
      <c r="B7" s="62" t="s">
        <v>976</v>
      </c>
      <c r="C7" s="94" t="n">
        <f aca="false">SRC_PRC_004</f>
        <v>0.01</v>
      </c>
      <c r="D7" s="94" t="n">
        <f aca="false">SRC_PRC_007</f>
        <v>0.2</v>
      </c>
      <c r="E7" s="94" t="n">
        <f aca="false">SRC_PRC_010</f>
        <v>1</v>
      </c>
      <c r="F7" s="59" t="s">
        <v>150</v>
      </c>
      <c r="G7" s="93" t="s">
        <v>1304</v>
      </c>
    </row>
    <row r="8" customFormat="false" ht="15" hidden="false" customHeight="false" outlineLevel="0" collapsed="false">
      <c r="A8" s="61" t="s">
        <v>1305</v>
      </c>
      <c r="B8" s="62" t="s">
        <v>976</v>
      </c>
      <c r="C8" s="94" t="n">
        <f aca="false">SRC_PRC_005</f>
        <v>0.5</v>
      </c>
      <c r="D8" s="94" t="n">
        <f aca="false">SRC_PRC_008</f>
        <v>10</v>
      </c>
      <c r="E8" s="94" t="n">
        <f aca="false">SRC_PRC_011</f>
        <v>50</v>
      </c>
      <c r="F8" s="59" t="s">
        <v>150</v>
      </c>
      <c r="G8" s="93" t="s">
        <v>1306</v>
      </c>
    </row>
    <row r="10" customFormat="false" ht="15" hidden="false" customHeight="false" outlineLevel="0" collapsed="false">
      <c r="A10" s="76" t="s">
        <v>1307</v>
      </c>
      <c r="B10" s="70"/>
      <c r="C10" s="70"/>
      <c r="D10" s="70"/>
      <c r="E10" s="70"/>
      <c r="F10" s="70"/>
      <c r="G10" s="70"/>
    </row>
    <row r="11" customFormat="false" ht="15" hidden="false" customHeight="false" outlineLevel="0" collapsed="false">
      <c r="A11" s="60" t="s">
        <v>386</v>
      </c>
      <c r="B11" s="60" t="s">
        <v>95</v>
      </c>
      <c r="C11" s="60" t="s">
        <v>97</v>
      </c>
      <c r="D11" s="60" t="s">
        <v>1308</v>
      </c>
      <c r="E11" s="60" t="s">
        <v>1309</v>
      </c>
      <c r="F11" s="60" t="s">
        <v>99</v>
      </c>
      <c r="G11" s="60" t="s">
        <v>354</v>
      </c>
    </row>
    <row r="12" customFormat="false" ht="15" hidden="false" customHeight="false" outlineLevel="0" collapsed="false">
      <c r="A12" s="5" t="s">
        <v>1310</v>
      </c>
      <c r="B12" s="62" t="s">
        <v>113</v>
      </c>
      <c r="C12" s="66" t="n">
        <v>0.2</v>
      </c>
      <c r="D12" s="66" t="n">
        <v>0.1</v>
      </c>
      <c r="E12" s="66" t="n">
        <v>0.4</v>
      </c>
      <c r="F12" s="59" t="s">
        <v>114</v>
      </c>
      <c r="G12" s="93" t="s">
        <v>1311</v>
      </c>
    </row>
    <row r="13" customFormat="false" ht="15" hidden="false" customHeight="false" outlineLevel="0" collapsed="false">
      <c r="A13" s="5" t="s">
        <v>1312</v>
      </c>
      <c r="B13" s="62" t="s">
        <v>113</v>
      </c>
      <c r="C13" s="66" t="n">
        <v>0.55</v>
      </c>
      <c r="D13" s="66" t="n">
        <v>0.3</v>
      </c>
      <c r="E13" s="66" t="n">
        <v>0.75</v>
      </c>
      <c r="F13" s="59" t="s">
        <v>114</v>
      </c>
      <c r="G13" s="93" t="s">
        <v>1313</v>
      </c>
    </row>
    <row r="14" customFormat="false" ht="26.85" hidden="false" customHeight="false" outlineLevel="0" collapsed="false">
      <c r="A14" s="5" t="s">
        <v>1314</v>
      </c>
      <c r="B14" s="62" t="s">
        <v>118</v>
      </c>
      <c r="C14" s="79" t="n">
        <v>0</v>
      </c>
      <c r="D14" s="79" t="n">
        <v>0</v>
      </c>
      <c r="E14" s="79" t="n">
        <v>0.5</v>
      </c>
      <c r="F14" s="59" t="s">
        <v>114</v>
      </c>
      <c r="G14" s="87" t="s">
        <v>1315</v>
      </c>
    </row>
    <row r="15" customFormat="false" ht="15" hidden="false" customHeight="false" outlineLevel="0" collapsed="false">
      <c r="A15" s="5" t="s">
        <v>1316</v>
      </c>
      <c r="B15" s="62" t="s">
        <v>118</v>
      </c>
      <c r="C15" s="79" t="n">
        <v>1</v>
      </c>
      <c r="D15" s="79" t="n">
        <v>0.5</v>
      </c>
      <c r="E15" s="79" t="n">
        <v>7</v>
      </c>
      <c r="F15" s="59" t="s">
        <v>114</v>
      </c>
      <c r="G15" s="93" t="s">
        <v>1317</v>
      </c>
    </row>
    <row r="16" customFormat="false" ht="15" hidden="false" customHeight="false" outlineLevel="0" collapsed="false">
      <c r="A16" s="5" t="s">
        <v>1318</v>
      </c>
      <c r="B16" s="61" t="s">
        <v>108</v>
      </c>
      <c r="C16" s="67" t="n">
        <v>2</v>
      </c>
      <c r="D16" s="67" t="n">
        <v>1</v>
      </c>
      <c r="E16" s="67" t="n">
        <v>2</v>
      </c>
      <c r="F16" s="59" t="s">
        <v>104</v>
      </c>
      <c r="G16" s="87" t="s">
        <v>1319</v>
      </c>
    </row>
    <row r="17" customFormat="false" ht="15" hidden="false" customHeight="false" outlineLevel="0" collapsed="false">
      <c r="A17" s="5" t="s">
        <v>1320</v>
      </c>
      <c r="B17" s="62" t="s">
        <v>1321</v>
      </c>
      <c r="C17" s="89" t="n">
        <f aca="false">SRC_PRC_028</f>
        <v>35</v>
      </c>
      <c r="F17" s="59" t="s">
        <v>150</v>
      </c>
      <c r="G17" s="87" t="s">
        <v>1322</v>
      </c>
    </row>
    <row r="18" customFormat="false" ht="15" hidden="false" customHeight="false" outlineLevel="0" collapsed="false">
      <c r="A18" s="5" t="s">
        <v>1323</v>
      </c>
      <c r="B18" s="62" t="s">
        <v>118</v>
      </c>
      <c r="C18" s="97" t="n">
        <f aca="false">SRC_PRC_027</f>
        <v>0.5</v>
      </c>
      <c r="F18" s="59" t="s">
        <v>150</v>
      </c>
      <c r="G18" s="87" t="s">
        <v>1324</v>
      </c>
    </row>
    <row r="20" customFormat="false" ht="15" hidden="false" customHeight="false" outlineLevel="0" collapsed="false">
      <c r="A20" s="76" t="s">
        <v>1325</v>
      </c>
      <c r="B20" s="70"/>
      <c r="C20" s="70"/>
      <c r="D20" s="70"/>
      <c r="E20" s="70"/>
      <c r="F20" s="70"/>
      <c r="G20" s="70"/>
    </row>
    <row r="21" customFormat="false" ht="15" hidden="false" customHeight="false" outlineLevel="0" collapsed="false">
      <c r="A21" s="60" t="s">
        <v>386</v>
      </c>
      <c r="B21" s="60" t="s">
        <v>95</v>
      </c>
      <c r="C21" s="60" t="s">
        <v>1298</v>
      </c>
      <c r="D21" s="10" t="s">
        <v>1299</v>
      </c>
      <c r="E21" s="10" t="s">
        <v>1300</v>
      </c>
      <c r="F21" s="60" t="s">
        <v>99</v>
      </c>
      <c r="G21" s="60" t="s">
        <v>354</v>
      </c>
    </row>
    <row r="22" customFormat="false" ht="15" hidden="false" customHeight="false" outlineLevel="0" collapsed="false">
      <c r="A22" s="61" t="s">
        <v>1326</v>
      </c>
      <c r="B22" s="61" t="s">
        <v>1327</v>
      </c>
      <c r="C22" s="67" t="n">
        <v>12</v>
      </c>
      <c r="D22" s="67" t="n">
        <v>12</v>
      </c>
      <c r="E22" s="67" t="n">
        <v>9</v>
      </c>
      <c r="F22" s="59" t="s">
        <v>114</v>
      </c>
      <c r="G22" s="74" t="s">
        <v>1328</v>
      </c>
    </row>
    <row r="23" customFormat="false" ht="15" hidden="false" customHeight="false" outlineLevel="0" collapsed="false">
      <c r="A23" s="61" t="s">
        <v>1329</v>
      </c>
      <c r="B23" s="61" t="s">
        <v>1327</v>
      </c>
      <c r="C23" s="67" t="n">
        <v>6</v>
      </c>
      <c r="D23" s="67" t="n">
        <v>6</v>
      </c>
      <c r="E23" s="67" t="n">
        <v>6</v>
      </c>
      <c r="F23" s="59" t="s">
        <v>114</v>
      </c>
      <c r="G23" s="74"/>
    </row>
    <row r="24" customFormat="false" ht="15" hidden="false" customHeight="false" outlineLevel="0" collapsed="false">
      <c r="A24" s="61" t="s">
        <v>1330</v>
      </c>
      <c r="B24" s="61" t="s">
        <v>1327</v>
      </c>
      <c r="C24" s="67" t="n">
        <v>24</v>
      </c>
      <c r="D24" s="67" t="n">
        <v>24</v>
      </c>
      <c r="E24" s="67" t="n">
        <v>18</v>
      </c>
      <c r="F24" s="59" t="s">
        <v>114</v>
      </c>
      <c r="G24" s="74"/>
    </row>
    <row r="26" customFormat="false" ht="15" hidden="false" customHeight="false" outlineLevel="0" collapsed="false">
      <c r="A26" s="76" t="s">
        <v>1331</v>
      </c>
      <c r="B26" s="70"/>
      <c r="C26" s="70"/>
      <c r="D26" s="70"/>
      <c r="E26" s="70"/>
      <c r="F26" s="70"/>
      <c r="G26" s="70"/>
    </row>
    <row r="27" customFormat="false" ht="15" hidden="false" customHeight="false" outlineLevel="0" collapsed="false">
      <c r="A27" s="60" t="s">
        <v>386</v>
      </c>
      <c r="B27" s="60" t="s">
        <v>95</v>
      </c>
      <c r="C27" s="60" t="s">
        <v>97</v>
      </c>
      <c r="D27" s="60" t="s">
        <v>1308</v>
      </c>
      <c r="E27" s="60" t="s">
        <v>1309</v>
      </c>
      <c r="F27" s="60" t="s">
        <v>99</v>
      </c>
      <c r="G27" s="60" t="s">
        <v>354</v>
      </c>
    </row>
    <row r="28" customFormat="false" ht="26.85" hidden="false" customHeight="false" outlineLevel="0" collapsed="false">
      <c r="A28" s="61" t="s">
        <v>1332</v>
      </c>
      <c r="B28" s="62" t="s">
        <v>113</v>
      </c>
      <c r="C28" s="66" t="n">
        <v>0.41</v>
      </c>
      <c r="D28" s="66" t="n">
        <v>0.3</v>
      </c>
      <c r="E28" s="66" t="n">
        <v>0.6</v>
      </c>
      <c r="F28" s="59" t="s">
        <v>1333</v>
      </c>
      <c r="G28" s="87" t="s">
        <v>1334</v>
      </c>
    </row>
    <row r="29" customFormat="false" ht="15" hidden="false" customHeight="false" outlineLevel="0" collapsed="false">
      <c r="A29" s="61" t="s">
        <v>1335</v>
      </c>
      <c r="B29" s="62" t="s">
        <v>113</v>
      </c>
      <c r="C29" s="66" t="n">
        <v>0.46</v>
      </c>
      <c r="D29" s="66" t="n">
        <v>0.35</v>
      </c>
      <c r="E29" s="66" t="n">
        <v>0.6</v>
      </c>
      <c r="F29" s="59" t="s">
        <v>227</v>
      </c>
      <c r="G29" s="87" t="s">
        <v>1336</v>
      </c>
    </row>
    <row r="30" customFormat="false" ht="15" hidden="false" customHeight="false" outlineLevel="0" collapsed="false">
      <c r="A30" s="60" t="s">
        <v>386</v>
      </c>
      <c r="B30" s="60" t="s">
        <v>95</v>
      </c>
      <c r="C30" s="60" t="s">
        <v>1298</v>
      </c>
      <c r="D30" s="10" t="s">
        <v>1299</v>
      </c>
      <c r="E30" s="10" t="s">
        <v>1300</v>
      </c>
      <c r="F30" s="60" t="s">
        <v>99</v>
      </c>
      <c r="G30" s="60" t="s">
        <v>354</v>
      </c>
    </row>
    <row r="31" customFormat="false" ht="15" hidden="false" customHeight="false" outlineLevel="0" collapsed="false">
      <c r="A31" s="61" t="s">
        <v>1337</v>
      </c>
      <c r="B31" s="62" t="s">
        <v>113</v>
      </c>
      <c r="C31" s="66" t="n">
        <v>0.4</v>
      </c>
      <c r="D31" s="66" t="n">
        <v>0.45</v>
      </c>
      <c r="E31" s="66" t="n">
        <v>0.15</v>
      </c>
      <c r="F31" s="59" t="s">
        <v>114</v>
      </c>
      <c r="G31" s="87" t="s">
        <v>1338</v>
      </c>
    </row>
    <row r="32" customFormat="false" ht="15" hidden="false" customHeight="false" outlineLevel="0" collapsed="false">
      <c r="A32" s="61" t="s">
        <v>1339</v>
      </c>
      <c r="B32" s="62" t="s">
        <v>113</v>
      </c>
      <c r="C32" s="66" t="n">
        <v>0.9</v>
      </c>
      <c r="D32" s="66" t="n">
        <v>0.1</v>
      </c>
      <c r="E32" s="66" t="n">
        <v>0</v>
      </c>
      <c r="F32" s="59" t="s">
        <v>114</v>
      </c>
      <c r="G32" s="87" t="s">
        <v>1340</v>
      </c>
    </row>
    <row r="34" customFormat="false" ht="15" hidden="false" customHeight="false" outlineLevel="0" collapsed="false">
      <c r="A34" s="76" t="s">
        <v>1341</v>
      </c>
      <c r="B34" s="70"/>
      <c r="C34" s="70"/>
      <c r="D34" s="70"/>
      <c r="E34" s="70"/>
      <c r="F34" s="70"/>
      <c r="G34" s="70"/>
    </row>
    <row r="35" customFormat="false" ht="15" hidden="false" customHeight="false" outlineLevel="0" collapsed="false">
      <c r="A35" s="60" t="s">
        <v>386</v>
      </c>
      <c r="B35" s="60" t="s">
        <v>95</v>
      </c>
      <c r="C35" s="60" t="s">
        <v>97</v>
      </c>
      <c r="D35" s="60" t="s">
        <v>1308</v>
      </c>
      <c r="E35" s="60" t="s">
        <v>1309</v>
      </c>
      <c r="F35" s="60" t="s">
        <v>99</v>
      </c>
      <c r="G35" s="60" t="s">
        <v>354</v>
      </c>
    </row>
    <row r="36" customFormat="false" ht="15" hidden="false" customHeight="false" outlineLevel="0" collapsed="false">
      <c r="A36" s="5" t="s">
        <v>1342</v>
      </c>
      <c r="B36" s="61" t="s">
        <v>108</v>
      </c>
      <c r="C36" s="67" t="n">
        <v>2</v>
      </c>
      <c r="D36" s="67" t="n">
        <v>1</v>
      </c>
      <c r="E36" s="67" t="n">
        <v>3</v>
      </c>
      <c r="F36" s="59" t="s">
        <v>114</v>
      </c>
      <c r="G36" s="93" t="s">
        <v>1343</v>
      </c>
    </row>
    <row r="37" customFormat="false" ht="15" hidden="false" customHeight="false" outlineLevel="0" collapsed="false">
      <c r="A37" s="5" t="s">
        <v>1344</v>
      </c>
      <c r="B37" s="62" t="s">
        <v>1321</v>
      </c>
      <c r="C37" s="148" t="n">
        <v>0.0833333333333333</v>
      </c>
      <c r="D37" s="148" t="n">
        <v>0.0833333333333333</v>
      </c>
      <c r="E37" s="148" t="n">
        <v>1</v>
      </c>
      <c r="F37" s="59" t="s">
        <v>119</v>
      </c>
      <c r="G37" s="87" t="s">
        <v>1345</v>
      </c>
    </row>
    <row r="38" customFormat="false" ht="15" hidden="false" customHeight="false" outlineLevel="0" collapsed="false">
      <c r="A38" s="5" t="s">
        <v>1346</v>
      </c>
      <c r="B38" s="61" t="s">
        <v>1347</v>
      </c>
      <c r="C38" s="67" t="n">
        <v>5</v>
      </c>
      <c r="D38" s="67" t="n">
        <v>1</v>
      </c>
      <c r="E38" s="67" t="n">
        <v>20</v>
      </c>
      <c r="F38" s="59" t="s">
        <v>114</v>
      </c>
      <c r="G38" s="93" t="s">
        <v>1348</v>
      </c>
    </row>
    <row r="39" customFormat="false" ht="15" hidden="false" customHeight="false" outlineLevel="0" collapsed="false">
      <c r="A39" s="6" t="s">
        <v>1349</v>
      </c>
      <c r="B39" s="62" t="s">
        <v>1350</v>
      </c>
      <c r="C39" s="79" t="n">
        <v>10</v>
      </c>
      <c r="D39" s="79" t="n">
        <v>5</v>
      </c>
      <c r="E39" s="79" t="n">
        <v>20</v>
      </c>
      <c r="F39" s="59" t="s">
        <v>114</v>
      </c>
      <c r="G39" s="87" t="s">
        <v>1351</v>
      </c>
    </row>
    <row r="40" customFormat="false" ht="15" hidden="false" customHeight="false" outlineLevel="0" collapsed="false">
      <c r="A40" s="6" t="s">
        <v>1352</v>
      </c>
      <c r="B40" s="61" t="s">
        <v>149</v>
      </c>
      <c r="C40" s="67" t="n">
        <v>4</v>
      </c>
      <c r="D40" s="67" t="n">
        <v>3</v>
      </c>
      <c r="E40" s="67" t="n">
        <v>6</v>
      </c>
      <c r="F40" s="59" t="s">
        <v>114</v>
      </c>
      <c r="G40" s="93"/>
    </row>
    <row r="41" customFormat="false" ht="15" hidden="false" customHeight="false" outlineLevel="0" collapsed="false">
      <c r="A41" s="6" t="s">
        <v>1353</v>
      </c>
      <c r="B41" s="62" t="s">
        <v>1350</v>
      </c>
      <c r="C41" s="79" t="n">
        <v>0.1</v>
      </c>
      <c r="D41" s="79" t="n">
        <v>0.05</v>
      </c>
      <c r="E41" s="79" t="n">
        <v>0.3</v>
      </c>
      <c r="F41" s="59" t="s">
        <v>114</v>
      </c>
      <c r="G41" s="93" t="s">
        <v>1354</v>
      </c>
    </row>
    <row r="42" customFormat="false" ht="15" hidden="false" customHeight="false" outlineLevel="0" collapsed="false">
      <c r="A42" s="6" t="s">
        <v>1355</v>
      </c>
      <c r="B42" s="61" t="s">
        <v>149</v>
      </c>
      <c r="C42" s="67" t="n">
        <v>5</v>
      </c>
      <c r="D42" s="67" t="n">
        <v>3</v>
      </c>
      <c r="E42" s="67" t="n">
        <v>6</v>
      </c>
      <c r="F42" s="59" t="s">
        <v>114</v>
      </c>
      <c r="G42" s="93"/>
    </row>
    <row r="44" customFormat="false" ht="15" hidden="false" customHeight="false" outlineLevel="0" collapsed="false">
      <c r="A44" s="76" t="s">
        <v>1356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</row>
    <row r="45" customFormat="false" ht="29.85" hidden="false" customHeight="false" outlineLevel="0" collapsed="false">
      <c r="A45" s="83" t="s">
        <v>1357</v>
      </c>
      <c r="B45" s="83" t="s">
        <v>1358</v>
      </c>
      <c r="C45" s="83" t="s">
        <v>1359</v>
      </c>
      <c r="D45" s="83" t="s">
        <v>1360</v>
      </c>
      <c r="E45" s="83" t="s">
        <v>1361</v>
      </c>
      <c r="F45" s="83" t="s">
        <v>1362</v>
      </c>
      <c r="G45" s="83" t="s">
        <v>1363</v>
      </c>
      <c r="H45" s="83" t="s">
        <v>1364</v>
      </c>
      <c r="I45" s="83" t="s">
        <v>1365</v>
      </c>
      <c r="J45" s="83" t="s">
        <v>1366</v>
      </c>
      <c r="K45" s="83" t="s">
        <v>1367</v>
      </c>
      <c r="L45" s="83" t="s">
        <v>99</v>
      </c>
      <c r="M45" s="83" t="s">
        <v>487</v>
      </c>
      <c r="N45" s="83" t="s">
        <v>1368</v>
      </c>
    </row>
    <row r="46" customFormat="false" ht="15" hidden="false" customHeight="false" outlineLevel="0" collapsed="false">
      <c r="A46" s="136" t="s">
        <v>1369</v>
      </c>
      <c r="B46" s="136" t="s">
        <v>1370</v>
      </c>
      <c r="C46" s="109" t="s">
        <v>1371</v>
      </c>
      <c r="D46" s="109" t="s">
        <v>782</v>
      </c>
      <c r="E46" s="94" t="n">
        <f aca="false">SRC_PRC_003</f>
        <v>0.1</v>
      </c>
      <c r="F46" s="94" t="n">
        <f aca="false">SRC_PRC_004</f>
        <v>0.01</v>
      </c>
      <c r="G46" s="94" t="n">
        <f aca="false">SRC_PRC_005</f>
        <v>0.5</v>
      </c>
      <c r="H46" s="67" t="n">
        <v>0</v>
      </c>
      <c r="I46" s="89" t="n">
        <f aca="false">SRC_CAP_009</f>
        <v>37</v>
      </c>
      <c r="J46" s="136" t="s">
        <v>1372</v>
      </c>
      <c r="K46" s="136" t="s">
        <v>1373</v>
      </c>
      <c r="L46" s="136" t="s">
        <v>150</v>
      </c>
      <c r="M46" s="87" t="s">
        <v>1374</v>
      </c>
      <c r="N46" s="105" t="n">
        <f aca="false">IF($C46="中國",1,0)</f>
        <v>0</v>
      </c>
    </row>
    <row r="47" customFormat="false" ht="15" hidden="false" customHeight="false" outlineLevel="0" collapsed="false">
      <c r="A47" s="136" t="s">
        <v>1375</v>
      </c>
      <c r="B47" s="136" t="s">
        <v>1370</v>
      </c>
      <c r="C47" s="109" t="s">
        <v>1371</v>
      </c>
      <c r="D47" s="109" t="s">
        <v>782</v>
      </c>
      <c r="E47" s="94" t="n">
        <f aca="false">SRC_PRC_006</f>
        <v>2</v>
      </c>
      <c r="F47" s="94" t="n">
        <f aca="false">SRC_PRC_007</f>
        <v>0.2</v>
      </c>
      <c r="G47" s="94" t="n">
        <f aca="false">SRC_PRC_008</f>
        <v>10</v>
      </c>
      <c r="H47" s="67" t="n">
        <v>0</v>
      </c>
      <c r="I47" s="89" t="n">
        <f aca="false">SRC_CAP_008</f>
        <v>48</v>
      </c>
      <c r="J47" s="136" t="s">
        <v>1372</v>
      </c>
      <c r="K47" s="136" t="s">
        <v>1373</v>
      </c>
      <c r="L47" s="136" t="s">
        <v>150</v>
      </c>
      <c r="M47" s="87" t="s">
        <v>1376</v>
      </c>
      <c r="N47" s="105" t="n">
        <f aca="false">IF($C47="中國",1,0)</f>
        <v>0</v>
      </c>
    </row>
    <row r="48" customFormat="false" ht="15" hidden="false" customHeight="false" outlineLevel="0" collapsed="false">
      <c r="A48" s="136" t="s">
        <v>1377</v>
      </c>
      <c r="B48" s="136" t="s">
        <v>1370</v>
      </c>
      <c r="C48" s="109" t="s">
        <v>1371</v>
      </c>
      <c r="D48" s="109" t="s">
        <v>782</v>
      </c>
      <c r="E48" s="94" t="n">
        <f aca="false">SRC_PRC_009</f>
        <v>10</v>
      </c>
      <c r="F48" s="94" t="n">
        <f aca="false">SRC_PRC_010</f>
        <v>1</v>
      </c>
      <c r="G48" s="94" t="n">
        <f aca="false">SRC_PRC_011</f>
        <v>50</v>
      </c>
      <c r="H48" s="67" t="n">
        <v>0</v>
      </c>
      <c r="I48" s="89" t="n">
        <f aca="false">SRC_CAP_001</f>
        <v>53</v>
      </c>
      <c r="J48" s="136" t="s">
        <v>1378</v>
      </c>
      <c r="K48" s="136" t="s">
        <v>1373</v>
      </c>
      <c r="L48" s="136" t="s">
        <v>150</v>
      </c>
      <c r="M48" s="87" t="s">
        <v>1379</v>
      </c>
      <c r="N48" s="105" t="n">
        <f aca="false">IF($C48="中國",1,0)</f>
        <v>0</v>
      </c>
    </row>
    <row r="49" customFormat="false" ht="15" hidden="false" customHeight="false" outlineLevel="0" collapsed="false">
      <c r="A49" s="136" t="s">
        <v>1380</v>
      </c>
      <c r="B49" s="136" t="s">
        <v>1381</v>
      </c>
      <c r="C49" s="109" t="s">
        <v>1371</v>
      </c>
      <c r="D49" s="109" t="s">
        <v>782</v>
      </c>
      <c r="E49" s="94" t="n">
        <f aca="false">SRC_PRC_012</f>
        <v>10</v>
      </c>
      <c r="F49" s="94" t="n">
        <f aca="false">SRC_PRC_013</f>
        <v>0.25</v>
      </c>
      <c r="G49" s="94" t="n">
        <f aca="false">SRC_PRC_014</f>
        <v>50</v>
      </c>
      <c r="H49" s="67" t="n">
        <v>0</v>
      </c>
      <c r="I49" s="89" t="n">
        <f aca="false">SRC_CAP_002</f>
        <v>53</v>
      </c>
      <c r="J49" s="136" t="s">
        <v>1378</v>
      </c>
      <c r="K49" s="136" t="s">
        <v>1382</v>
      </c>
      <c r="L49" s="136" t="s">
        <v>227</v>
      </c>
      <c r="M49" s="87" t="s">
        <v>1383</v>
      </c>
      <c r="N49" s="105" t="n">
        <f aca="false">IF($C49="中國",1,0)</f>
        <v>0</v>
      </c>
    </row>
    <row r="50" customFormat="false" ht="15" hidden="false" customHeight="false" outlineLevel="0" collapsed="false">
      <c r="A50" s="136" t="s">
        <v>1384</v>
      </c>
      <c r="B50" s="136" t="s">
        <v>1381</v>
      </c>
      <c r="C50" s="109" t="s">
        <v>1371</v>
      </c>
      <c r="D50" s="109" t="s">
        <v>782</v>
      </c>
      <c r="E50" s="94" t="n">
        <f aca="false">SRC_PRC_015</f>
        <v>5</v>
      </c>
      <c r="F50" s="149" t="n">
        <v>0.5</v>
      </c>
      <c r="G50" s="94" t="n">
        <f aca="false">SRC_PRC_016</f>
        <v>25</v>
      </c>
      <c r="H50" s="67" t="n">
        <v>0</v>
      </c>
      <c r="I50" s="89" t="n">
        <f aca="false">SRC_CAP_003</f>
        <v>51</v>
      </c>
      <c r="J50" s="136" t="s">
        <v>1378</v>
      </c>
      <c r="K50" s="136" t="s">
        <v>1385</v>
      </c>
      <c r="L50" s="136" t="s">
        <v>227</v>
      </c>
      <c r="M50" s="87" t="s">
        <v>1386</v>
      </c>
      <c r="N50" s="105" t="n">
        <f aca="false">IF($C50="中國",1,0)</f>
        <v>0</v>
      </c>
    </row>
    <row r="51" customFormat="false" ht="26.85" hidden="false" customHeight="false" outlineLevel="0" collapsed="false">
      <c r="A51" s="136" t="s">
        <v>1387</v>
      </c>
      <c r="B51" s="136" t="s">
        <v>1381</v>
      </c>
      <c r="C51" s="109" t="s">
        <v>1371</v>
      </c>
      <c r="D51" s="109" t="s">
        <v>782</v>
      </c>
      <c r="E51" s="94" t="n">
        <f aca="false">SRC_PRC_017</f>
        <v>4</v>
      </c>
      <c r="F51" s="149" t="n">
        <v>0.2</v>
      </c>
      <c r="G51" s="94" t="n">
        <f aca="false">SRC_PRC_018</f>
        <v>20</v>
      </c>
      <c r="H51" s="67" t="n">
        <v>0</v>
      </c>
      <c r="J51" s="109" t="s">
        <v>1388</v>
      </c>
      <c r="K51" s="136" t="s">
        <v>1389</v>
      </c>
      <c r="L51" s="136" t="s">
        <v>227</v>
      </c>
      <c r="M51" s="87" t="s">
        <v>1390</v>
      </c>
      <c r="N51" s="105" t="n">
        <f aca="false">IF($C51="中國",1,0)</f>
        <v>0</v>
      </c>
    </row>
    <row r="52" customFormat="false" ht="15" hidden="false" customHeight="false" outlineLevel="0" collapsed="false">
      <c r="A52" s="136" t="s">
        <v>1391</v>
      </c>
      <c r="B52" s="136" t="s">
        <v>1392</v>
      </c>
      <c r="C52" s="109" t="s">
        <v>1393</v>
      </c>
      <c r="D52" s="109" t="s">
        <v>754</v>
      </c>
      <c r="E52" s="94" t="n">
        <f aca="false">SRC_PRC_021</f>
        <v>0.3</v>
      </c>
      <c r="F52" s="94" t="n">
        <f aca="false">SRC_PRC_022</f>
        <v>0.006</v>
      </c>
      <c r="G52" s="94" t="n">
        <f aca="false">SRC_PRC_023</f>
        <v>1.2</v>
      </c>
      <c r="H52" s="67" t="n">
        <v>1</v>
      </c>
      <c r="I52" s="89" t="n">
        <f aca="false">SRC_CAP_010</f>
        <v>39</v>
      </c>
      <c r="J52" s="136" t="s">
        <v>1372</v>
      </c>
      <c r="K52" s="136" t="s">
        <v>1394</v>
      </c>
      <c r="L52" s="136" t="s">
        <v>150</v>
      </c>
      <c r="M52" s="87" t="s">
        <v>1395</v>
      </c>
      <c r="N52" s="105" t="n">
        <f aca="false">IF($C52="中國",1,0)</f>
        <v>1</v>
      </c>
    </row>
    <row r="53" customFormat="false" ht="15" hidden="false" customHeight="false" outlineLevel="0" collapsed="false">
      <c r="A53" s="136" t="s">
        <v>1396</v>
      </c>
      <c r="B53" s="136" t="s">
        <v>1392</v>
      </c>
      <c r="C53" s="109" t="s">
        <v>1393</v>
      </c>
      <c r="D53" s="109" t="s">
        <v>754</v>
      </c>
      <c r="E53" s="94" t="n">
        <f aca="false">SRC_PRC_024</f>
        <v>1.32</v>
      </c>
      <c r="F53" s="94" t="n">
        <f aca="false">SRC_PRC_025</f>
        <v>0.044</v>
      </c>
      <c r="G53" s="94" t="n">
        <f aca="false">SRC_PRC_026</f>
        <v>3.96</v>
      </c>
      <c r="H53" s="67" t="n">
        <v>1</v>
      </c>
      <c r="I53" s="67" t="n">
        <v>36</v>
      </c>
      <c r="J53" s="136" t="s">
        <v>1378</v>
      </c>
      <c r="K53" s="136" t="s">
        <v>1394</v>
      </c>
      <c r="L53" s="136" t="s">
        <v>150</v>
      </c>
      <c r="M53" s="87" t="s">
        <v>1397</v>
      </c>
      <c r="N53" s="105" t="n">
        <f aca="false">IF($C53="中國",1,0)</f>
        <v>1</v>
      </c>
    </row>
    <row r="54" customFormat="false" ht="15" hidden="false" customHeight="false" outlineLevel="0" collapsed="false">
      <c r="A54" s="136" t="s">
        <v>1398</v>
      </c>
      <c r="B54" s="136" t="s">
        <v>1399</v>
      </c>
      <c r="C54" s="109" t="s">
        <v>1393</v>
      </c>
      <c r="D54" s="109" t="s">
        <v>1400</v>
      </c>
      <c r="E54" s="94" t="n">
        <f aca="false">SRC_PRC_029</f>
        <v>1.4</v>
      </c>
      <c r="F54" s="94" t="n">
        <f aca="false">SRC_PRC_030</f>
        <v>0.26</v>
      </c>
      <c r="G54" s="94" t="n">
        <f aca="false">SRC_PRC_031</f>
        <v>4.4</v>
      </c>
      <c r="H54" s="67" t="n">
        <v>0</v>
      </c>
      <c r="I54" s="89" t="n">
        <f aca="false">SRC_CAP_011</f>
        <v>45</v>
      </c>
      <c r="J54" s="136" t="s">
        <v>1372</v>
      </c>
      <c r="K54" s="136" t="s">
        <v>1394</v>
      </c>
      <c r="L54" s="136" t="s">
        <v>150</v>
      </c>
      <c r="M54" s="87" t="s">
        <v>1401</v>
      </c>
      <c r="N54" s="105" t="n">
        <f aca="false">IF($C54="中國",1,0)</f>
        <v>1</v>
      </c>
    </row>
    <row r="55" customFormat="false" ht="15" hidden="false" customHeight="false" outlineLevel="0" collapsed="false">
      <c r="A55" s="136" t="s">
        <v>1402</v>
      </c>
      <c r="B55" s="136" t="s">
        <v>1399</v>
      </c>
      <c r="C55" s="109" t="s">
        <v>1393</v>
      </c>
      <c r="D55" s="109" t="s">
        <v>754</v>
      </c>
      <c r="E55" s="94" t="n">
        <f aca="false">SRC_PRC_032</f>
        <v>0.15</v>
      </c>
      <c r="F55" s="94" t="n">
        <f aca="false">SRC_PRC_033</f>
        <v>0.03</v>
      </c>
      <c r="G55" s="94" t="n">
        <f aca="false">SRC_PRC_034</f>
        <v>0.5</v>
      </c>
      <c r="H55" s="67" t="n">
        <v>0</v>
      </c>
      <c r="I55" s="89" t="n">
        <f aca="false">SRC_CAP_005</f>
        <v>42</v>
      </c>
      <c r="J55" s="136" t="s">
        <v>1378</v>
      </c>
      <c r="K55" s="136" t="s">
        <v>1394</v>
      </c>
      <c r="L55" s="136" t="s">
        <v>150</v>
      </c>
      <c r="M55" s="87" t="s">
        <v>1403</v>
      </c>
      <c r="N55" s="105" t="n">
        <f aca="false">IF($C55="中國",1,0)</f>
        <v>1</v>
      </c>
    </row>
    <row r="56" customFormat="false" ht="24.6" hidden="false" customHeight="false" outlineLevel="0" collapsed="false">
      <c r="A56" s="136" t="s">
        <v>1404</v>
      </c>
      <c r="B56" s="136" t="s">
        <v>1405</v>
      </c>
      <c r="C56" s="109" t="s">
        <v>1393</v>
      </c>
      <c r="D56" s="109" t="s">
        <v>1406</v>
      </c>
      <c r="E56" s="94" t="n">
        <f aca="false">SRC_PRC_038</f>
        <v>2</v>
      </c>
      <c r="F56" s="94" t="n">
        <f aca="false">SRC_PRC_039</f>
        <v>0.25</v>
      </c>
      <c r="G56" s="94" t="n">
        <f aca="false">SRC_PRC_040</f>
        <v>6</v>
      </c>
      <c r="H56" s="67" t="n">
        <v>0</v>
      </c>
      <c r="I56" s="67" t="n">
        <v>40</v>
      </c>
      <c r="J56" s="136" t="s">
        <v>1378</v>
      </c>
      <c r="K56" s="136" t="s">
        <v>1382</v>
      </c>
      <c r="L56" s="136" t="s">
        <v>227</v>
      </c>
      <c r="M56" s="87" t="s">
        <v>1407</v>
      </c>
      <c r="N56" s="105" t="n">
        <f aca="false">IF($C56="中國",1,0)</f>
        <v>1</v>
      </c>
    </row>
    <row r="57" customFormat="false" ht="15" hidden="false" customHeight="false" outlineLevel="0" collapsed="false">
      <c r="A57" s="136" t="s">
        <v>1408</v>
      </c>
      <c r="B57" s="136" t="s">
        <v>1409</v>
      </c>
      <c r="C57" s="109" t="s">
        <v>1393</v>
      </c>
      <c r="D57" s="109" t="s">
        <v>1410</v>
      </c>
      <c r="E57" s="94" t="n">
        <f aca="false">SRC_PRC_035</f>
        <v>3</v>
      </c>
      <c r="F57" s="94" t="n">
        <f aca="false">SRC_PRC_036</f>
        <v>0.3</v>
      </c>
      <c r="G57" s="94" t="n">
        <f aca="false">SRC_PRC_037</f>
        <v>15</v>
      </c>
      <c r="H57" s="67" t="n">
        <v>0</v>
      </c>
      <c r="J57" s="109" t="s">
        <v>1388</v>
      </c>
      <c r="K57" s="136" t="s">
        <v>1411</v>
      </c>
      <c r="L57" s="136" t="s">
        <v>227</v>
      </c>
      <c r="M57" s="87" t="s">
        <v>1412</v>
      </c>
      <c r="N57" s="105" t="n">
        <f aca="false">IF($C57="中國",1,0)</f>
        <v>1</v>
      </c>
    </row>
    <row r="58" customFormat="false" ht="15" hidden="false" customHeight="false" outlineLevel="0" collapsed="false">
      <c r="A58" s="136" t="s">
        <v>1413</v>
      </c>
      <c r="B58" s="136" t="s">
        <v>1414</v>
      </c>
      <c r="C58" s="109" t="s">
        <v>1393</v>
      </c>
      <c r="D58" s="109" t="s">
        <v>782</v>
      </c>
      <c r="E58" s="94" t="n">
        <f aca="false">SRC_PRC_043</f>
        <v>0.3</v>
      </c>
      <c r="G58" s="94" t="n">
        <f aca="false">SRC_PRC_044</f>
        <v>1.2</v>
      </c>
      <c r="H58" s="67" t="n">
        <v>0</v>
      </c>
      <c r="J58" s="109" t="s">
        <v>1388</v>
      </c>
      <c r="K58" s="136" t="s">
        <v>1385</v>
      </c>
      <c r="L58" s="136" t="s">
        <v>227</v>
      </c>
      <c r="M58" s="87" t="s">
        <v>1415</v>
      </c>
      <c r="N58" s="105" t="n">
        <f aca="false">IF($C58="中國",1,0)</f>
        <v>1</v>
      </c>
    </row>
    <row r="59" customFormat="false" ht="15" hidden="false" customHeight="false" outlineLevel="0" collapsed="false">
      <c r="A59" s="74" t="s">
        <v>1416</v>
      </c>
    </row>
    <row r="61" customFormat="false" ht="15" hidden="false" customHeight="false" outlineLevel="0" collapsed="false">
      <c r="A61" s="76" t="s">
        <v>1417</v>
      </c>
      <c r="B61" s="70"/>
      <c r="C61" s="70"/>
      <c r="D61" s="70"/>
      <c r="E61" s="70"/>
      <c r="F61" s="70"/>
      <c r="G61" s="70"/>
    </row>
    <row r="62" customFormat="false" ht="15" hidden="false" customHeight="false" outlineLevel="0" collapsed="false">
      <c r="A62" s="60" t="s">
        <v>386</v>
      </c>
      <c r="B62" s="60" t="s">
        <v>95</v>
      </c>
      <c r="C62" s="60" t="s">
        <v>353</v>
      </c>
      <c r="F62" s="60" t="s">
        <v>99</v>
      </c>
      <c r="G62" s="60" t="s">
        <v>354</v>
      </c>
    </row>
    <row r="63" customFormat="false" ht="52.2" hidden="false" customHeight="false" outlineLevel="0" collapsed="false">
      <c r="A63" s="5" t="s">
        <v>1418</v>
      </c>
      <c r="B63" s="62" t="s">
        <v>118</v>
      </c>
      <c r="C63" s="79" t="n">
        <v>1</v>
      </c>
      <c r="F63" s="59" t="s">
        <v>1419</v>
      </c>
      <c r="G63" s="93" t="s">
        <v>1420</v>
      </c>
    </row>
    <row r="64" customFormat="false" ht="39.55" hidden="false" customHeight="false" outlineLevel="0" collapsed="false">
      <c r="A64" s="5" t="s">
        <v>1421</v>
      </c>
      <c r="B64" s="62" t="s">
        <v>118</v>
      </c>
      <c r="C64" s="79" t="n">
        <v>1</v>
      </c>
      <c r="F64" s="59" t="s">
        <v>114</v>
      </c>
      <c r="G64" s="93" t="s">
        <v>1422</v>
      </c>
    </row>
    <row r="66" customFormat="false" ht="15" hidden="false" customHeight="false" outlineLevel="0" collapsed="false">
      <c r="A66" s="76" t="s">
        <v>1423</v>
      </c>
      <c r="B66" s="70"/>
      <c r="C66" s="70"/>
      <c r="D66" s="70"/>
      <c r="E66" s="70"/>
      <c r="F66" s="70"/>
      <c r="G66" s="70"/>
    </row>
    <row r="67" customFormat="false" ht="15" hidden="false" customHeight="false" outlineLevel="0" collapsed="false">
      <c r="A67" s="60" t="s">
        <v>386</v>
      </c>
      <c r="B67" s="60" t="s">
        <v>95</v>
      </c>
      <c r="C67" s="60" t="s">
        <v>97</v>
      </c>
      <c r="D67" s="10" t="s">
        <v>1424</v>
      </c>
      <c r="E67" s="10" t="s">
        <v>1425</v>
      </c>
      <c r="F67" s="60" t="s">
        <v>99</v>
      </c>
      <c r="G67" s="60" t="s">
        <v>354</v>
      </c>
    </row>
    <row r="68" customFormat="false" ht="15" hidden="false" customHeight="false" outlineLevel="0" collapsed="false">
      <c r="A68" s="10" t="s">
        <v>1426</v>
      </c>
    </row>
    <row r="69" customFormat="false" ht="15" hidden="false" customHeight="false" outlineLevel="0" collapsed="false">
      <c r="A69" s="6" t="s">
        <v>1427</v>
      </c>
      <c r="B69" s="62" t="s">
        <v>1023</v>
      </c>
      <c r="C69" s="94" t="n">
        <f aca="false">SRC_DEM_007</f>
        <v>13.07</v>
      </c>
      <c r="D69" s="94" t="n">
        <f aca="false">SRC_DEM_007</f>
        <v>13.07</v>
      </c>
      <c r="E69" s="94" t="n">
        <f aca="false">SRC_DEM_007</f>
        <v>13.07</v>
      </c>
      <c r="F69" s="59" t="s">
        <v>1428</v>
      </c>
      <c r="G69" s="87" t="s">
        <v>1429</v>
      </c>
    </row>
    <row r="70" customFormat="false" ht="39.55" hidden="false" customHeight="false" outlineLevel="0" collapsed="false">
      <c r="A70" s="5" t="s">
        <v>1430</v>
      </c>
      <c r="B70" s="62" t="s">
        <v>113</v>
      </c>
      <c r="C70" s="112" t="n">
        <f aca="false">SRC_DEM_039</f>
        <v>0.7</v>
      </c>
      <c r="D70" s="103" t="n">
        <f aca="false">SRC_DEM_041/SRC_DEM_007</f>
        <v>0.612088752869166</v>
      </c>
      <c r="E70" s="150" t="n">
        <v>0.82</v>
      </c>
      <c r="F70" s="59" t="s">
        <v>1431</v>
      </c>
      <c r="G70" s="93" t="s">
        <v>1432</v>
      </c>
    </row>
    <row r="71" customFormat="false" ht="29.85" hidden="false" customHeight="false" outlineLevel="0" collapsed="false">
      <c r="A71" s="6" t="s">
        <v>1433</v>
      </c>
      <c r="B71" s="62" t="s">
        <v>113</v>
      </c>
      <c r="C71" s="103" t="n">
        <f aca="false">1-C70</f>
        <v>0.3</v>
      </c>
      <c r="D71" s="103" t="n">
        <f aca="false">1-E70</f>
        <v>0.18</v>
      </c>
      <c r="E71" s="103" t="n">
        <f aca="false">1-D70</f>
        <v>0.387911247130834</v>
      </c>
      <c r="F71" s="59" t="s">
        <v>162</v>
      </c>
      <c r="G71" s="87" t="s">
        <v>1434</v>
      </c>
    </row>
    <row r="72" customFormat="false" ht="15" hidden="false" customHeight="false" outlineLevel="0" collapsed="false">
      <c r="A72" s="5" t="s">
        <v>1435</v>
      </c>
      <c r="B72" s="62" t="s">
        <v>1023</v>
      </c>
      <c r="C72" s="116" t="n">
        <f aca="false">C69*C70</f>
        <v>9.149</v>
      </c>
      <c r="D72" s="116" t="n">
        <f aca="false">D69*D70</f>
        <v>8</v>
      </c>
      <c r="E72" s="116" t="n">
        <f aca="false">E69*E70</f>
        <v>10.7174</v>
      </c>
      <c r="F72" s="59" t="s">
        <v>162</v>
      </c>
      <c r="G72" s="93" t="s">
        <v>1436</v>
      </c>
    </row>
    <row r="73" customFormat="false" ht="15" hidden="false" customHeight="false" outlineLevel="0" collapsed="false">
      <c r="A73" s="6" t="s">
        <v>1437</v>
      </c>
      <c r="B73" s="62" t="s">
        <v>1023</v>
      </c>
      <c r="C73" s="116" t="n">
        <f aca="false">C69*C71</f>
        <v>3.921</v>
      </c>
      <c r="D73" s="116" t="n">
        <f aca="false">D69*D71</f>
        <v>2.3526</v>
      </c>
      <c r="E73" s="116" t="n">
        <f aca="false">E69*E71</f>
        <v>5.07</v>
      </c>
      <c r="F73" s="59" t="s">
        <v>162</v>
      </c>
      <c r="G73" s="93" t="s">
        <v>1438</v>
      </c>
    </row>
    <row r="74" customFormat="false" ht="15" hidden="false" customHeight="false" outlineLevel="0" collapsed="false">
      <c r="A74" s="10" t="s">
        <v>1439</v>
      </c>
    </row>
    <row r="75" customFormat="false" ht="15" hidden="false" customHeight="false" outlineLevel="0" collapsed="false">
      <c r="A75" s="6" t="s">
        <v>1440</v>
      </c>
      <c r="B75" s="61" t="s">
        <v>1441</v>
      </c>
      <c r="C75" s="98" t="n">
        <f aca="false">SRC_DEM_024</f>
        <v>15.5</v>
      </c>
      <c r="D75" s="62" t="s">
        <v>751</v>
      </c>
      <c r="E75" s="62" t="s">
        <v>751</v>
      </c>
      <c r="F75" s="59" t="s">
        <v>1428</v>
      </c>
      <c r="G75" s="87" t="s">
        <v>1442</v>
      </c>
    </row>
    <row r="76" customFormat="false" ht="15" hidden="false" customHeight="false" outlineLevel="0" collapsed="false">
      <c r="A76" s="6" t="s">
        <v>1443</v>
      </c>
      <c r="B76" s="61" t="s">
        <v>1441</v>
      </c>
      <c r="C76" s="98" t="n">
        <f aca="false">SRC_DEM_025</f>
        <v>20</v>
      </c>
      <c r="D76" s="62" t="s">
        <v>751</v>
      </c>
      <c r="E76" s="62" t="s">
        <v>751</v>
      </c>
      <c r="F76" s="59" t="s">
        <v>1428</v>
      </c>
      <c r="G76" s="87" t="s">
        <v>1444</v>
      </c>
    </row>
    <row r="77" customFormat="false" ht="15" hidden="false" customHeight="false" outlineLevel="0" collapsed="false">
      <c r="A77" s="6" t="s">
        <v>1445</v>
      </c>
      <c r="B77" s="61" t="s">
        <v>1441</v>
      </c>
      <c r="C77" s="98" t="n">
        <f aca="false">SRC_DEM_026</f>
        <v>35</v>
      </c>
      <c r="D77" s="62" t="s">
        <v>751</v>
      </c>
      <c r="E77" s="62" t="s">
        <v>751</v>
      </c>
      <c r="F77" s="59" t="s">
        <v>1428</v>
      </c>
      <c r="G77" s="87" t="s">
        <v>1446</v>
      </c>
    </row>
    <row r="78" customFormat="false" ht="15" hidden="false" customHeight="false" outlineLevel="0" collapsed="false">
      <c r="A78" s="6" t="s">
        <v>1447</v>
      </c>
      <c r="B78" s="61" t="s">
        <v>1441</v>
      </c>
      <c r="C78" s="98" t="n">
        <f aca="false">SRC_DEM_019</f>
        <v>50</v>
      </c>
      <c r="D78" s="62" t="s">
        <v>751</v>
      </c>
      <c r="E78" s="62" t="s">
        <v>751</v>
      </c>
      <c r="F78" s="59" t="s">
        <v>1448</v>
      </c>
      <c r="G78" s="87" t="s">
        <v>1449</v>
      </c>
    </row>
    <row r="79" customFormat="false" ht="29.85" hidden="false" customHeight="false" outlineLevel="0" collapsed="false">
      <c r="A79" s="6" t="s">
        <v>1450</v>
      </c>
      <c r="B79" s="61" t="s">
        <v>1441</v>
      </c>
      <c r="C79" s="75" t="n">
        <f aca="false">(C75+C78)/2</f>
        <v>32.75</v>
      </c>
      <c r="D79" s="75" t="n">
        <f aca="false">C79</f>
        <v>32.75</v>
      </c>
      <c r="E79" s="75" t="n">
        <f aca="false">C79</f>
        <v>32.75</v>
      </c>
      <c r="F79" s="59" t="s">
        <v>162</v>
      </c>
      <c r="G79" s="87" t="s">
        <v>1451</v>
      </c>
    </row>
    <row r="80" customFormat="false" ht="15" hidden="false" customHeight="false" outlineLevel="0" collapsed="false">
      <c r="A80" s="10" t="s">
        <v>1452</v>
      </c>
    </row>
    <row r="81" customFormat="false" ht="29.85" hidden="false" customHeight="false" outlineLevel="0" collapsed="false">
      <c r="A81" s="6" t="s">
        <v>1453</v>
      </c>
      <c r="B81" s="62" t="s">
        <v>931</v>
      </c>
      <c r="C81" s="68" t="n">
        <f aca="false">AL_DChatPaid</f>
        <v>1460000000</v>
      </c>
      <c r="D81" s="68" t="n">
        <f aca="false">SRC_DEM_012*1000000000*AL_TokPerPrompt_Hi*365/1000000*(1-AL_FreeShare_Lo)</f>
        <v>6022500000</v>
      </c>
      <c r="E81" s="68" t="n">
        <f aca="false">SRC_DEM_012*1000000000*AL_TokPerPrompt_Lo*365/1000000*(1-AL_FreeShare_Hi)</f>
        <v>365000000</v>
      </c>
      <c r="F81" s="59" t="s">
        <v>1454</v>
      </c>
      <c r="G81" s="93" t="s">
        <v>1455</v>
      </c>
    </row>
    <row r="82" customFormat="false" ht="29.85" hidden="false" customHeight="false" outlineLevel="0" collapsed="false">
      <c r="A82" s="6" t="s">
        <v>1456</v>
      </c>
      <c r="B82" s="62" t="s">
        <v>931</v>
      </c>
      <c r="C82" s="68" t="n">
        <f aca="false">AL_DAPI</f>
        <v>2365200000</v>
      </c>
      <c r="D82" s="68" t="n">
        <f aca="false">SRC_DEM_010*1000000000*525600*AL_APIratio_Hi/1000000</f>
        <v>2838240000</v>
      </c>
      <c r="E82" s="68" t="n">
        <f aca="false">SRC_DEM_010*1000000000*525600*AL_APIratio_Lo/1000000</f>
        <v>1892160000</v>
      </c>
      <c r="F82" s="59" t="s">
        <v>1454</v>
      </c>
      <c r="G82" s="93" t="s">
        <v>1457</v>
      </c>
    </row>
    <row r="83" customFormat="false" ht="15" hidden="false" customHeight="false" outlineLevel="0" collapsed="false">
      <c r="A83" s="6" t="s">
        <v>1458</v>
      </c>
      <c r="B83" s="62" t="s">
        <v>931</v>
      </c>
      <c r="C83" s="68" t="n">
        <f aca="false">C81+C82</f>
        <v>3825200000</v>
      </c>
      <c r="D83" s="68" t="n">
        <f aca="false">D81+D82</f>
        <v>8860740000</v>
      </c>
      <c r="E83" s="68" t="n">
        <f aca="false">E81+E82</f>
        <v>2257160000</v>
      </c>
      <c r="F83" s="59" t="s">
        <v>162</v>
      </c>
      <c r="G83" s="93" t="s">
        <v>1459</v>
      </c>
    </row>
    <row r="84" customFormat="false" ht="15" hidden="false" customHeight="false" outlineLevel="0" collapsed="false">
      <c r="A84" s="5" t="s">
        <v>1460</v>
      </c>
      <c r="B84" s="62" t="s">
        <v>1461</v>
      </c>
      <c r="C84" s="75" t="n">
        <f aca="false">C81/(C79*1000000)</f>
        <v>44.5801526717557</v>
      </c>
      <c r="D84" s="75" t="n">
        <f aca="false">D81/(D79*1000000)</f>
        <v>183.893129770992</v>
      </c>
      <c r="E84" s="75" t="n">
        <f aca="false">E81/(E79*1000000)</f>
        <v>11.1450381679389</v>
      </c>
      <c r="F84" s="59" t="s">
        <v>162</v>
      </c>
      <c r="G84" s="87" t="s">
        <v>1462</v>
      </c>
      <c r="O84" s="74" t="s">
        <v>1463</v>
      </c>
    </row>
    <row r="85" customFormat="false" ht="29.85" hidden="false" customHeight="false" outlineLevel="0" collapsed="false">
      <c r="A85" s="6" t="s">
        <v>1464</v>
      </c>
      <c r="B85" s="62" t="s">
        <v>931</v>
      </c>
      <c r="C85" s="68" t="n">
        <f aca="false">SRC_DEM_011*1000000000*525600/1000000</f>
        <v>7884000000</v>
      </c>
      <c r="D85" s="68" t="n">
        <f aca="false">C85</f>
        <v>7884000000</v>
      </c>
      <c r="E85" s="68" t="n">
        <f aca="false">C85</f>
        <v>7884000000</v>
      </c>
      <c r="F85" s="59" t="s">
        <v>1465</v>
      </c>
      <c r="G85" s="87" t="s">
        <v>1466</v>
      </c>
      <c r="O85" s="74" t="s">
        <v>1467</v>
      </c>
    </row>
    <row r="86" customFormat="false" ht="29.85" hidden="false" customHeight="false" outlineLevel="0" collapsed="false">
      <c r="A86" s="6" t="s">
        <v>1468</v>
      </c>
      <c r="B86" s="62" t="s">
        <v>1469</v>
      </c>
      <c r="C86" s="75" t="n">
        <f aca="false">(SRC_DEM_013_Lo*SRC_DEM_013_Hi)^0.5</f>
        <v>31.6227766016838</v>
      </c>
      <c r="D86" s="98" t="n">
        <f aca="false">SRC_DEM_013_Hi</f>
        <v>100</v>
      </c>
      <c r="E86" s="98" t="n">
        <f aca="false">SRC_DEM_013_Lo</f>
        <v>10</v>
      </c>
      <c r="F86" s="59" t="s">
        <v>1448</v>
      </c>
      <c r="G86" s="87" t="s">
        <v>1470</v>
      </c>
    </row>
    <row r="87" customFormat="false" ht="52.2" hidden="false" customHeight="false" outlineLevel="0" collapsed="false">
      <c r="A87" s="5" t="s">
        <v>1471</v>
      </c>
      <c r="B87" s="62" t="s">
        <v>113</v>
      </c>
      <c r="C87" s="103" t="n">
        <f aca="false">1-AL_FreeShare</f>
        <v>0.4</v>
      </c>
      <c r="D87" s="103" t="n">
        <f aca="false">C87</f>
        <v>0.4</v>
      </c>
      <c r="E87" s="103" t="n">
        <f aca="false">C87</f>
        <v>0.4</v>
      </c>
      <c r="F87" s="59" t="s">
        <v>1472</v>
      </c>
      <c r="G87" s="87" t="s">
        <v>1473</v>
      </c>
    </row>
    <row r="88" customFormat="false" ht="15" hidden="false" customHeight="false" outlineLevel="0" collapsed="false">
      <c r="A88" s="6" t="s">
        <v>1474</v>
      </c>
      <c r="B88" s="62" t="s">
        <v>931</v>
      </c>
      <c r="C88" s="68" t="n">
        <f aca="false">C86*1000000*365*C87</f>
        <v>4616925383.84583</v>
      </c>
      <c r="D88" s="68" t="n">
        <f aca="false">D86*1000000*365*D87</f>
        <v>14600000000</v>
      </c>
      <c r="E88" s="68" t="n">
        <f aca="false">E86*1000000*365*E87</f>
        <v>1460000000</v>
      </c>
      <c r="F88" s="59" t="s">
        <v>162</v>
      </c>
      <c r="G88" s="87" t="s">
        <v>1475</v>
      </c>
    </row>
    <row r="89" customFormat="false" ht="15" hidden="false" customHeight="false" outlineLevel="0" collapsed="false">
      <c r="A89" s="10" t="s">
        <v>1476</v>
      </c>
    </row>
    <row r="90" customFormat="false" ht="29.85" hidden="false" customHeight="false" outlineLevel="0" collapsed="false">
      <c r="A90" s="5" t="s">
        <v>1477</v>
      </c>
      <c r="B90" s="62" t="s">
        <v>976</v>
      </c>
      <c r="C90" s="126" t="n">
        <f aca="false">(INDEX(B4_MixPaid,1,1)*IF_PriceRef_Luna+INDEX(B4_MixPaid,1,2)*IF_PriceRef_Sol+INDEX(B4_MixPaid,1,3)*IF_PriceRef_Astra)*AL_Kappa</f>
        <v>1.96067555555556</v>
      </c>
      <c r="D90" s="126" t="n">
        <f aca="false">C90</f>
        <v>1.96067555555556</v>
      </c>
      <c r="E90" s="126" t="n">
        <f aca="false">C90</f>
        <v>1.96067555555556</v>
      </c>
      <c r="F90" s="59" t="s">
        <v>162</v>
      </c>
      <c r="G90" s="93" t="s">
        <v>1478</v>
      </c>
      <c r="O90" s="74" t="s">
        <v>1479</v>
      </c>
    </row>
    <row r="91" customFormat="false" ht="15" hidden="false" customHeight="false" outlineLevel="0" collapsed="false">
      <c r="A91" s="10" t="s">
        <v>1480</v>
      </c>
    </row>
    <row r="92" customFormat="false" ht="15" hidden="false" customHeight="false" outlineLevel="0" collapsed="false">
      <c r="A92" s="5" t="s">
        <v>1481</v>
      </c>
      <c r="B92" s="62" t="s">
        <v>118</v>
      </c>
      <c r="C92" s="107" t="n">
        <f aca="false">C72*1000000000/(C81*CAP_Price25Mix)</f>
        <v>3.72949004675783</v>
      </c>
      <c r="D92" s="107" t="n">
        <f aca="false">D72*1000000000/(D81*CAP_Price25Mix)</f>
        <v>0.790572783223539</v>
      </c>
      <c r="E92" s="107" t="n">
        <f aca="false">E72*1000000000/(E81*CAP_Price25Mix)</f>
        <v>17.4753247905224</v>
      </c>
      <c r="F92" s="59" t="s">
        <v>162</v>
      </c>
      <c r="G92" s="87" t="s">
        <v>1482</v>
      </c>
    </row>
    <row r="93" customFormat="false" ht="15" hidden="false" customHeight="false" outlineLevel="0" collapsed="false">
      <c r="A93" s="5" t="s">
        <v>1483</v>
      </c>
      <c r="B93" s="62" t="s">
        <v>118</v>
      </c>
      <c r="C93" s="107" t="n">
        <f aca="false">C73*1000000000/(C82*CAP_Price25Mix)</f>
        <v>0.986637578507363</v>
      </c>
      <c r="D93" s="107" t="n">
        <f aca="false">D73*1000000000/(D82*CAP_Price25Mix)</f>
        <v>0.493318789253682</v>
      </c>
      <c r="E93" s="107" t="n">
        <f aca="false">E73*1000000000/(E82*CAP_Price25Mix)</f>
        <v>1.59469922310391</v>
      </c>
      <c r="F93" s="59" t="s">
        <v>162</v>
      </c>
      <c r="G93" s="93"/>
    </row>
    <row r="94" customFormat="false" ht="15" hidden="false" customHeight="false" outlineLevel="0" collapsed="false">
      <c r="A94" s="5" t="s">
        <v>1484</v>
      </c>
      <c r="B94" s="62" t="s">
        <v>118</v>
      </c>
      <c r="C94" s="106" t="n">
        <f aca="false">C69*1000000000/(C83*CAP_Price25Mix)</f>
        <v>2.03352783356479</v>
      </c>
      <c r="D94" s="107" t="n">
        <f aca="false">D69*1000000000/(D83*CAP_Price25Mix)</f>
        <v>0.877878221113818</v>
      </c>
      <c r="E94" s="107" t="n">
        <f aca="false">E69*1000000000/(E83*CAP_Price25Mix)</f>
        <v>3.44621146438536</v>
      </c>
      <c r="F94" s="59" t="s">
        <v>162</v>
      </c>
      <c r="G94" s="93" t="s">
        <v>1485</v>
      </c>
    </row>
    <row r="95" customFormat="false" ht="15" hidden="false" customHeight="false" outlineLevel="0" collapsed="false">
      <c r="A95" s="5" t="s">
        <v>1486</v>
      </c>
      <c r="B95" s="62" t="s">
        <v>118</v>
      </c>
      <c r="C95" s="61" t="s">
        <v>1487</v>
      </c>
      <c r="D95" s="62" t="s">
        <v>751</v>
      </c>
      <c r="E95" s="62" t="s">
        <v>751</v>
      </c>
      <c r="F95" s="59" t="s">
        <v>751</v>
      </c>
      <c r="G95" s="93" t="s">
        <v>1488</v>
      </c>
    </row>
    <row r="96" customFormat="false" ht="29.85" hidden="false" customHeight="false" outlineLevel="0" collapsed="false">
      <c r="A96" s="5" t="s">
        <v>1489</v>
      </c>
      <c r="B96" s="62" t="s">
        <v>118</v>
      </c>
      <c r="C96" s="107" t="n">
        <f aca="false">C73*1000000000/(C85*CAP_Price25Mix)</f>
        <v>0.295991273552209</v>
      </c>
      <c r="D96" s="107" t="n">
        <f aca="false">D73*1000000000/(D85*CAP_Price25Mix)</f>
        <v>0.177594764131325</v>
      </c>
      <c r="E96" s="107" t="n">
        <f aca="false">E73*1000000000/(E85*CAP_Price25Mix)</f>
        <v>0.382727813544937</v>
      </c>
      <c r="F96" s="59" t="s">
        <v>162</v>
      </c>
      <c r="G96" s="93" t="s">
        <v>1490</v>
      </c>
      <c r="O96" s="74" t="s">
        <v>1491</v>
      </c>
    </row>
    <row r="97" customFormat="false" ht="26.85" hidden="false" customHeight="false" outlineLevel="0" collapsed="false">
      <c r="A97" s="5" t="s">
        <v>1492</v>
      </c>
      <c r="B97" s="62" t="s">
        <v>118</v>
      </c>
      <c r="C97" s="106" t="n">
        <f aca="false">C69*1000000000/(C88*CAP_Price25Mix)</f>
        <v>1.68481186552609</v>
      </c>
      <c r="D97" s="107" t="n">
        <f aca="false">D69*1000000000/(D88*CAP_Price25Mix)</f>
        <v>0.532784292393976</v>
      </c>
      <c r="E97" s="107" t="n">
        <f aca="false">E69*1000000000/(E88*CAP_Price25Mix)</f>
        <v>5.32784292393976</v>
      </c>
      <c r="F97" s="59" t="s">
        <v>162</v>
      </c>
      <c r="G97" s="87" t="s">
        <v>1493</v>
      </c>
    </row>
    <row r="98" customFormat="false" ht="15" hidden="false" customHeight="false" outlineLevel="0" collapsed="false">
      <c r="A98" s="10" t="s">
        <v>1494</v>
      </c>
    </row>
    <row r="99" customFormat="false" ht="15" hidden="false" customHeight="false" outlineLevel="0" collapsed="false">
      <c r="A99" s="6" t="s">
        <v>1495</v>
      </c>
      <c r="B99" s="62" t="s">
        <v>1496</v>
      </c>
      <c r="C99" s="98" t="n">
        <f aca="false">SRC_DEM_044</f>
        <v>13</v>
      </c>
      <c r="D99" s="98" t="n">
        <f aca="false">SRC_DEM_044_Hi</f>
        <v>30</v>
      </c>
      <c r="E99" s="98" t="n">
        <f aca="false">SRC_DEM_044</f>
        <v>13</v>
      </c>
      <c r="F99" s="59" t="s">
        <v>1448</v>
      </c>
      <c r="G99" s="87" t="s">
        <v>1497</v>
      </c>
    </row>
    <row r="100" customFormat="false" ht="15" hidden="false" customHeight="false" outlineLevel="0" collapsed="false">
      <c r="A100" s="5" t="s">
        <v>1498</v>
      </c>
      <c r="B100" s="61" t="s">
        <v>1499</v>
      </c>
      <c r="C100" s="67" t="n">
        <v>21</v>
      </c>
      <c r="D100" s="105" t="n">
        <f aca="false">C100</f>
        <v>21</v>
      </c>
      <c r="E100" s="105" t="n">
        <f aca="false">C100</f>
        <v>21</v>
      </c>
      <c r="F100" s="59" t="s">
        <v>114</v>
      </c>
      <c r="G100" s="87" t="s">
        <v>1500</v>
      </c>
      <c r="O100" s="74" t="s">
        <v>1501</v>
      </c>
    </row>
    <row r="101" customFormat="false" ht="15" hidden="false" customHeight="false" outlineLevel="0" collapsed="false">
      <c r="A101" s="5" t="s">
        <v>1502</v>
      </c>
      <c r="B101" s="62" t="s">
        <v>1503</v>
      </c>
      <c r="C101" s="68" t="n">
        <f aca="false">C99*C100</f>
        <v>273</v>
      </c>
      <c r="D101" s="68" t="n">
        <f aca="false">D99*D100</f>
        <v>630</v>
      </c>
      <c r="E101" s="68" t="n">
        <f aca="false">E99*E100</f>
        <v>273</v>
      </c>
      <c r="F101" s="59" t="s">
        <v>162</v>
      </c>
      <c r="G101" s="93"/>
    </row>
    <row r="102" customFormat="false" ht="29.85" hidden="false" customHeight="false" outlineLevel="0" collapsed="false">
      <c r="A102" s="5" t="s">
        <v>1504</v>
      </c>
      <c r="B102" s="62" t="s">
        <v>1505</v>
      </c>
      <c r="C102" s="64" t="n">
        <v>200</v>
      </c>
      <c r="D102" s="68" t="n">
        <f aca="false">C102</f>
        <v>200</v>
      </c>
      <c r="E102" s="68" t="n">
        <f aca="false">C102</f>
        <v>200</v>
      </c>
      <c r="F102" s="59" t="s">
        <v>114</v>
      </c>
      <c r="G102" s="87" t="s">
        <v>1506</v>
      </c>
      <c r="O102" s="74" t="s">
        <v>1507</v>
      </c>
    </row>
    <row r="103" customFormat="false" ht="29.85" hidden="false" customHeight="false" outlineLevel="0" collapsed="false">
      <c r="A103" s="5" t="s">
        <v>1508</v>
      </c>
      <c r="B103" s="62" t="s">
        <v>118</v>
      </c>
      <c r="C103" s="107" t="n">
        <f aca="false">C102/C101</f>
        <v>0.732600732600733</v>
      </c>
      <c r="D103" s="107" t="n">
        <f aca="false">D102/D101</f>
        <v>0.317460317460317</v>
      </c>
      <c r="E103" s="107" t="n">
        <f aca="false">E102/(E101*(1-B4_Disc))</f>
        <v>0.915750915750916</v>
      </c>
      <c r="F103" s="59" t="s">
        <v>119</v>
      </c>
      <c r="G103" s="93" t="s">
        <v>1509</v>
      </c>
      <c r="O103" s="74" t="s">
        <v>1510</v>
      </c>
    </row>
    <row r="104" customFormat="false" ht="26.85" hidden="false" customHeight="false" outlineLevel="0" collapsed="false">
      <c r="A104" s="5" t="s">
        <v>1511</v>
      </c>
      <c r="B104" s="62" t="s">
        <v>113</v>
      </c>
      <c r="C104" s="150" t="n">
        <v>0.995</v>
      </c>
      <c r="D104" s="112" t="n">
        <f aca="false">SRC_DEM_047</f>
        <v>0.9987</v>
      </c>
      <c r="E104" s="103" t="n">
        <f aca="false">C104</f>
        <v>0.995</v>
      </c>
      <c r="F104" s="59" t="s">
        <v>1512</v>
      </c>
      <c r="G104" s="93" t="s">
        <v>1513</v>
      </c>
      <c r="O104" s="74" t="s">
        <v>1514</v>
      </c>
    </row>
    <row r="105" customFormat="false" ht="26.85" hidden="false" customHeight="false" outlineLevel="0" collapsed="false">
      <c r="A105" s="5" t="s">
        <v>1515</v>
      </c>
      <c r="B105" s="62" t="s">
        <v>113</v>
      </c>
      <c r="C105" s="112" t="n">
        <f aca="false">SRC_DEM_048</f>
        <v>0.919</v>
      </c>
      <c r="D105" s="112" t="n">
        <f aca="false">SRC_DEM_046</f>
        <v>0.993</v>
      </c>
      <c r="E105" s="103" t="n">
        <f aca="false">C105</f>
        <v>0.919</v>
      </c>
      <c r="F105" s="59" t="s">
        <v>1516</v>
      </c>
      <c r="G105" s="93" t="s">
        <v>1517</v>
      </c>
      <c r="O105" s="74" t="s">
        <v>1518</v>
      </c>
    </row>
    <row r="106" customFormat="false" ht="15" hidden="false" customHeight="false" outlineLevel="0" collapsed="false">
      <c r="A106" s="5" t="s">
        <v>1519</v>
      </c>
      <c r="B106" s="62" t="s">
        <v>976</v>
      </c>
      <c r="C106" s="126" t="n">
        <f aca="false">C104*((1-C105)*IF_PriceFresh_Sol+C105*IF_PriceCached_Sol)+(1-C104)*IF_PriceOut_Sol</f>
        <v>0.3152568</v>
      </c>
      <c r="D106" s="126" t="n">
        <f aca="false">D104*((1-D105)*IF_PriceFresh_Sol+D105*IF_PriceCached_Sol)+(1-D104)*IF_PriceOut_Sol</f>
        <v>0.180258896</v>
      </c>
      <c r="E106" s="126" t="n">
        <f aca="false">E104*((1-E105)*IF_PriceFresh_Sol+E105*IF_PriceCached_Sol)+(1-E104)*IF_PriceOut_Sol</f>
        <v>0.3152568</v>
      </c>
      <c r="F106" s="59" t="s">
        <v>162</v>
      </c>
      <c r="G106" s="87" t="s">
        <v>1520</v>
      </c>
      <c r="O106" s="74" t="s">
        <v>1521</v>
      </c>
    </row>
    <row r="107" customFormat="false" ht="29.85" hidden="false" customHeight="false" outlineLevel="0" collapsed="false">
      <c r="A107" s="5" t="s">
        <v>1522</v>
      </c>
      <c r="B107" s="62" t="s">
        <v>118</v>
      </c>
      <c r="C107" s="107" t="n">
        <f aca="false">C106/IF_PriceRef_Sol</f>
        <v>0.196163661504425</v>
      </c>
      <c r="D107" s="107" t="n">
        <f aca="false">D106/IF_PriceRef_Sol</f>
        <v>0.112163306415929</v>
      </c>
      <c r="E107" s="107" t="n">
        <f aca="false">E106/IF_PriceRef_Sol</f>
        <v>0.196163661504425</v>
      </c>
      <c r="F107" s="59" t="s">
        <v>162</v>
      </c>
      <c r="G107" s="87" t="s">
        <v>1523</v>
      </c>
      <c r="O107" s="74" t="s">
        <v>1524</v>
      </c>
    </row>
    <row r="108" customFormat="false" ht="15" hidden="false" customHeight="false" outlineLevel="0" collapsed="false">
      <c r="A108" s="10" t="s">
        <v>1525</v>
      </c>
    </row>
    <row r="109" customFormat="false" ht="52.2" hidden="false" customHeight="false" outlineLevel="0" collapsed="false">
      <c r="A109" s="5" t="s">
        <v>1526</v>
      </c>
      <c r="B109" s="62" t="s">
        <v>103</v>
      </c>
      <c r="C109" s="73" t="n">
        <f aca="false">AL_ServeGWSpend/AL_SpendBasis*AL_Kappa</f>
        <v>1.05658373061052</v>
      </c>
      <c r="D109" s="73" t="n">
        <f aca="false">AL_ServeGWSpend/AL_SpendBasis_Lo*AL_Kappa_Hi</f>
        <v>1.47632247290785</v>
      </c>
      <c r="E109" s="73" t="n">
        <f aca="false">AL_ServeGWSpend/AL_SpendBasis_Hi*AL_Kappa_Lo</f>
        <v>0.498942317232744</v>
      </c>
      <c r="F109" s="59" t="s">
        <v>1454</v>
      </c>
      <c r="G109" s="93" t="str">
        <f aca="false">"Alloc 第 61 列（SRC_DEM_004 ÷ 世代組合持有成本；v5.36 起 OpenAI 端 "&amp;IF(ISNUMBER(SRC_DEM_004),TEXT(SRC_DEM_004,"0.0"),"—")&amp;"）÷ Alloc_In 計價倍數（現值 "&amp;IF(ISNUMBER(AL_SpendBasis),TEXT(AL_SpendBasis,"0.00"),"—")&amp;"；D 欄取低端 "&amp;IF(ISNUMBER(AL_SpendBasis_Lo),TEXT(AL_SpendBasis_Lo,"0.00"),"—")&amp;"＝GW 取高、E 欄取高端 "&amp;IF(ISNUMBER(AL_SpendBasis_Hi),TEXT(AL_SpendBasis_Hi,"0.00"),"—")&amp;"；舊說明寫 1.3／1.0／1.6，為 v5.36 歷史值）× 請求形狀修正 κ（現值 "&amp;IF(ISNUMBER(AL_Kappa),TEXT(AL_Kappa,"0.00"),"—")&amp;"；D 欄取高端 "&amp;IF(ISNUMBER(AL_Kappa_Hi),TEXT(AL_Kappa_Hi,"0.00"),"—")&amp;"、E 欄取低端 "&amp;IF(ISNUMBER(AL_Kappa_Lo),TEXT(AL_Kappa_Lo,"0.00"),"—")&amp;"，與 token 取高／取低同向）"</f>
        <v>Alloc 第 61 列（SRC_DEM_004 ÷ 世代組合持有成本；v5.36 起 OpenAI 端 8.4）÷ Alloc_In 計價倍數（現值 0.85；D 欄取低端 0.73＝GW 取高、E 欄取高端 1.17；舊說明寫 1.3／1.0／1.6，為 v5.36 歷史值）× 請求形狀修正 κ（現值 1.00；D 欄取高端 1.20、E 欄取低端 0.65，與 token 取高／取低同向）</v>
      </c>
    </row>
    <row r="110" customFormat="false" ht="29.85" hidden="false" customHeight="false" outlineLevel="0" collapsed="false">
      <c r="A110" s="5" t="s">
        <v>1527</v>
      </c>
      <c r="B110" s="62" t="s">
        <v>1528</v>
      </c>
      <c r="C110" s="63" t="n">
        <f aca="false">AL_BlendPaid</f>
        <v>36113797739.3207</v>
      </c>
      <c r="D110" s="63" t="n">
        <f aca="false">AL_BlendPaid</f>
        <v>36113797739.3207</v>
      </c>
      <c r="E110" s="63" t="n">
        <f aca="false">AL_BlendPaid</f>
        <v>36113797739.3207</v>
      </c>
      <c r="F110" s="59" t="s">
        <v>162</v>
      </c>
      <c r="G110" s="87" t="s">
        <v>1529</v>
      </c>
    </row>
    <row r="111" customFormat="false" ht="29.85" hidden="false" customHeight="false" outlineLevel="0" collapsed="false">
      <c r="A111" s="5" t="s">
        <v>1530</v>
      </c>
      <c r="B111" s="62" t="s">
        <v>1528</v>
      </c>
      <c r="C111" s="63" t="n">
        <f aca="false">AL_BlendFree</f>
        <v>128845573400.042</v>
      </c>
      <c r="D111" s="63" t="n">
        <f aca="false">AL_BlendFree</f>
        <v>128845573400.042</v>
      </c>
      <c r="E111" s="63" t="n">
        <f aca="false">AL_BlendFree</f>
        <v>128845573400.042</v>
      </c>
      <c r="F111" s="59" t="s">
        <v>162</v>
      </c>
      <c r="G111" s="87" t="s">
        <v>1531</v>
      </c>
    </row>
    <row r="112" customFormat="false" ht="26.85" hidden="false" customHeight="false" outlineLevel="0" collapsed="false">
      <c r="A112" s="5" t="s">
        <v>1532</v>
      </c>
      <c r="B112" s="62" t="s">
        <v>118</v>
      </c>
      <c r="C112" s="107" t="n">
        <f aca="false">AL_DFree/AL_DPaid</f>
        <v>0.572519083969466</v>
      </c>
      <c r="D112" s="107" t="n">
        <f aca="false">AL_DFree/AL_DPaid</f>
        <v>0.572519083969466</v>
      </c>
      <c r="E112" s="107" t="n">
        <f aca="false">AL_DFree/AL_DPaid</f>
        <v>0.572519083969466</v>
      </c>
      <c r="F112" s="59" t="s">
        <v>162</v>
      </c>
      <c r="G112" s="87" t="s">
        <v>1533</v>
      </c>
    </row>
    <row r="113" customFormat="false" ht="29.85" hidden="false" customHeight="false" outlineLevel="0" collapsed="false">
      <c r="A113" s="5" t="s">
        <v>1534</v>
      </c>
      <c r="B113" s="62" t="s">
        <v>118</v>
      </c>
      <c r="C113" s="107" t="n">
        <f aca="false">IF(AND(ISNUMBER(C110),ISNUMBER(C111)),IF_FreeShare*(C111/C110)/(1-IF_FreeShare),AL_UnavailTxt)</f>
        <v>3.03920792534747</v>
      </c>
      <c r="D113" s="107" t="n">
        <f aca="false">IF(AND(ISNUMBER(D110),ISNUMBER(D111)),IF_FreeShare*(D111/D110)/(1-IF_FreeShare),AL_UnavailTxt)</f>
        <v>3.03920792534747</v>
      </c>
      <c r="E113" s="107" t="n">
        <f aca="false">IF(AND(ISNUMBER(E110),ISNUMBER(E111)),IF_FreeShare*(E111/E110)/(1-IF_FreeShare),AL_UnavailTxt)</f>
        <v>3.03920792534747</v>
      </c>
      <c r="F113" s="59" t="s">
        <v>1535</v>
      </c>
      <c r="G113" s="93" t="s">
        <v>1536</v>
      </c>
      <c r="O113" s="74" t="s">
        <v>1537</v>
      </c>
    </row>
    <row r="114" customFormat="false" ht="39.55" hidden="false" customHeight="false" outlineLevel="0" collapsed="false">
      <c r="A114" s="5" t="s">
        <v>1538</v>
      </c>
      <c r="B114" s="62" t="s">
        <v>118</v>
      </c>
      <c r="C114" s="107" t="n">
        <f aca="false">(AL_UtilActual*CTL_ProdDerate)/IF_Util</f>
        <v>0.580833333333333</v>
      </c>
      <c r="D114" s="107" t="n">
        <f aca="false">(AL_UtilActual_Hi*CTL_ProdDerate)/IF_Util</f>
        <v>0.920833333333333</v>
      </c>
      <c r="E114" s="107" t="n">
        <f aca="false">(AL_UtilActual_Lo*CTL_ProdDerate)/IF_Util</f>
        <v>0.425</v>
      </c>
      <c r="F114" s="59" t="s">
        <v>1454</v>
      </c>
      <c r="G114" s="87" t="s">
        <v>1539</v>
      </c>
    </row>
    <row r="115" customFormat="false" ht="44" hidden="false" customHeight="false" outlineLevel="0" collapsed="false">
      <c r="A115" s="5" t="s">
        <v>1540</v>
      </c>
      <c r="B115" s="62" t="s">
        <v>118</v>
      </c>
      <c r="C115" s="108" t="n">
        <f aca="false">AL_ProdRatioPaid</f>
        <v>0.786035259183175</v>
      </c>
      <c r="D115" s="108" t="n">
        <f aca="false">AL_ProdRatioPaid</f>
        <v>0.786035259183175</v>
      </c>
      <c r="E115" s="108" t="n">
        <f aca="false">AL_ProdRatioPaid</f>
        <v>0.786035259183175</v>
      </c>
      <c r="F115" s="59" t="s">
        <v>162</v>
      </c>
      <c r="G115" s="93" t="s">
        <v>1541</v>
      </c>
    </row>
    <row r="116" customFormat="false" ht="29.85" hidden="false" customHeight="false" outlineLevel="0" collapsed="false">
      <c r="A116" s="5" t="s">
        <v>1542</v>
      </c>
      <c r="B116" s="62" t="s">
        <v>931</v>
      </c>
      <c r="C116" s="68" t="n">
        <f aca="false">IF(AND(ISNUMBER(C110),ISNUMBER(C111),ISNUMBER(C112)),C109*C114/(1/C110+C112/C111),AL_UnavailTxt)</f>
        <v>19098300660.0604</v>
      </c>
      <c r="D116" s="68" t="n">
        <f aca="false">IF(AND(ISNUMBER(D110),ISNUMBER(D111),ISNUMBER(D112)),D109*D114/(1/D110+D112/D111),AL_UnavailTxt)</f>
        <v>42305958361.5773</v>
      </c>
      <c r="E116" s="68" t="n">
        <f aca="false">IF(AND(ISNUMBER(E110),ISNUMBER(E111),ISNUMBER(E112)),E109*E114/(1/E110+E112/E111),AL_UnavailTxt)</f>
        <v>6599006325.63064</v>
      </c>
      <c r="F116" s="59" t="s">
        <v>162</v>
      </c>
      <c r="G116" s="93" t="str">
        <f aca="false">"r 取模型（第 r 列）；A 段 3.2 節 2025 組合變體約 8.2 × 10⁹（報告當時值；現值 "&amp;IF(ISNUMBER(C116/1000000000),TEXT(C116/1000000000,"0.0"),"—")&amp;" × 10⁹）"</f>
        <v>r 取模型（第 r 列）；A 段 3.2 節 2025 組合變體約 8.2 × 10⁹（報告當時值；現值 19.1 × 10⁹）</v>
      </c>
    </row>
    <row r="117" customFormat="false" ht="15" hidden="false" customHeight="false" outlineLevel="0" collapsed="false">
      <c r="A117" s="5" t="s">
        <v>1543</v>
      </c>
      <c r="B117" s="62" t="s">
        <v>931</v>
      </c>
      <c r="C117" s="68" t="n">
        <f aca="false">IF(AND(ISNUMBER(C110),ISNUMBER(C111),ISNUMBER(C113)),C109*C114/(1/C110+C113/C111),AL_UnavailTxt)</f>
        <v>11968021820.6648</v>
      </c>
      <c r="D117" s="68" t="n">
        <f aca="false">IF(AND(ISNUMBER(D110),ISNUMBER(D111),ISNUMBER(D113)),D109*D114/(1/D110+D113/D111),AL_UnavailTxt)</f>
        <v>26511187661.5462</v>
      </c>
      <c r="E117" s="68" t="n">
        <f aca="false">IF(AND(ISNUMBER(E110),ISNUMBER(E111),ISNUMBER(E113)),E109*E114/(1/E110+E113/E111),AL_UnavailTxt)</f>
        <v>4135292092.50614</v>
      </c>
      <c r="F117" s="59" t="s">
        <v>162</v>
      </c>
      <c r="G117" s="93" t="s">
        <v>1544</v>
      </c>
      <c r="O117" s="74" t="s">
        <v>1545</v>
      </c>
    </row>
    <row r="118" customFormat="false" ht="41" hidden="false" customHeight="false" outlineLevel="0" collapsed="false">
      <c r="A118" s="5" t="s">
        <v>1546</v>
      </c>
      <c r="B118" s="62" t="s">
        <v>931</v>
      </c>
      <c r="C118" s="71" t="n">
        <f aca="false">IF(AND(ISNUMBER(C110),ISNUMBER(C111),ISNUMBER(C112),ISNUMBER(C115)),C109*C115/(1/C110+C112/C111),AL_UnavailTxt)</f>
        <v>25845516859.6077</v>
      </c>
      <c r="D118" s="68" t="n">
        <f aca="false">IF(AND(ISNUMBER(D110),ISNUMBER(D111),ISNUMBER(D112),ISNUMBER(D115)),D109*D115/(1/D110+D112/D111),AL_UnavailTxt)</f>
        <v>36112913968.219</v>
      </c>
      <c r="E118" s="68" t="n">
        <f aca="false">IF(AND(ISNUMBER(E110),ISNUMBER(E111),ISNUMBER(E112),ISNUMBER(E115)),E109*E115/(1/E110+E112/E111),AL_UnavailTxt)</f>
        <v>12204827405.9259</v>
      </c>
      <c r="F118" s="59" t="s">
        <v>162</v>
      </c>
      <c r="G118" s="93" t="str">
        <f aca="false">"A 段 3.2 節約 12.0 × 10⁹（報告當時值；現值 "&amp;IF(ISNUMBER(C118/1000000000),TEXT(C118/1000000000,"0.0"),"—")&amp;" × 10⁹）；上限 ÷ 需求路線＝L1_ScaleServe ÷（L1_GapSpendBasis × L1_GapUtil）"</f>
        <v>A 段 3.2 節約 12.0 × 10⁹（報告當時值；現值 25.8 × 10⁹）；上限 ÷ 需求路線＝L1_ScaleServe ÷（L1_GapSpendBasis × L1_GapUtil）</v>
      </c>
    </row>
    <row r="119" customFormat="false" ht="72.35" hidden="false" customHeight="false" outlineLevel="0" collapsed="false">
      <c r="A119" s="5" t="s">
        <v>1547</v>
      </c>
      <c r="B119" s="62" t="s">
        <v>118</v>
      </c>
      <c r="C119" s="106" t="n">
        <f aca="false">IF(ISNUMBER(C116),SRC_DEM_007*1000000000/(C116*AL_PriceFleet25),AL_UnavailTxt)</f>
        <v>0.407295434678084</v>
      </c>
      <c r="D119" s="107" t="n">
        <f aca="false">IF(ISNUMBER(D116),SRC_DEM_007*1000000000/(D116*AL_PriceFleet25),AL_UnavailTxt)</f>
        <v>0.1838665514316</v>
      </c>
      <c r="E119" s="107" t="n">
        <f aca="false">IF(ISNUMBER(E116),SRC_DEM_007*1000000000/(E116*AL_PriceFleet25),AL_UnavailTxt)</f>
        <v>1.17876090506834</v>
      </c>
      <c r="F119" s="59" t="s">
        <v>162</v>
      </c>
      <c r="G119" s="93" t="str">
        <f aca="false">"分子同 H1（毛額，SRC_DEM_007）；單價同 H4；A 段 2025 組合約 0.81（報告當時值；現值 "&amp;IF(ISNUMBER(C119),TEXT(C119,"0.00"),"—")&amp;"）"</f>
        <v>分子同 H1（毛額，SRC_DEM_007）；單價同 H4；A 段 2025 組合約 0.81（報告當時值；現值 0.41）</v>
      </c>
    </row>
    <row r="120" customFormat="false" ht="15" hidden="false" customHeight="false" outlineLevel="0" collapsed="false">
      <c r="A120" s="5" t="s">
        <v>1548</v>
      </c>
      <c r="B120" s="62" t="s">
        <v>118</v>
      </c>
      <c r="C120" s="107" t="n">
        <f aca="false">IF(ISNUMBER(C117),SRC_DEM_007*1000000000/(C117*AL_PriceFleet25),AL_UnavailTxt)</f>
        <v>0.649952914985573</v>
      </c>
      <c r="D120" s="107" t="n">
        <f aca="false">IF(ISNUMBER(D117),SRC_DEM_007*1000000000/(D117*AL_PriceFleet25),AL_UnavailTxt)</f>
        <v>0.293410116825312</v>
      </c>
      <c r="E120" s="107" t="n">
        <f aca="false">IF(ISNUMBER(E117),SRC_DEM_007*1000000000/(E117*AL_PriceFleet25),AL_UnavailTxt)</f>
        <v>1.88104020101707</v>
      </c>
      <c r="F120" s="59" t="s">
        <v>162</v>
      </c>
      <c r="G120" s="93"/>
      <c r="O120" s="74" t="s">
        <v>1549</v>
      </c>
    </row>
    <row r="121" customFormat="false" ht="44" hidden="false" customHeight="false" outlineLevel="0" collapsed="false">
      <c r="A121" s="6" t="s">
        <v>1550</v>
      </c>
      <c r="B121" s="62" t="s">
        <v>118</v>
      </c>
      <c r="C121" s="106" t="n">
        <f aca="false">IF(ISNUMBER(C118),SRC_DEM_007*1000000000/(C118*AL_PriceFleet25),AL_UnavailTxt)</f>
        <v>0.300967115929835</v>
      </c>
      <c r="D121" s="107" t="n">
        <f aca="false">IF(ISNUMBER(D118),SRC_DEM_007*1000000000/(D118*AL_PriceFleet25),AL_UnavailTxt)</f>
        <v>0.215398033949784</v>
      </c>
      <c r="E121" s="107" t="n">
        <f aca="false">IF(ISNUMBER(E118),SRC_DEM_007*1000000000/(E118*AL_PriceFleet25),AL_UnavailTxt)</f>
        <v>0.637342127851415</v>
      </c>
      <c r="F121" s="59" t="s">
        <v>162</v>
      </c>
      <c r="G121" s="93" t="str">
        <f aca="false">"A 段 2025 組合約 0.56（報告當時值；現值 "&amp;IF(ISNUMBER(C121),TEXT(C121,"0.00"),"—")&amp;"）；m 不可能低於此值（除非 C23、C24 改）"</f>
        <v>A 段 2025 組合約 0.56（報告當時值；現值 0.30）；m 不可能低於此值（除非 C23、C24 改）</v>
      </c>
    </row>
    <row r="122" customFormat="false" ht="15" hidden="false" customHeight="false" outlineLevel="0" collapsed="false">
      <c r="A122" s="60" t="s">
        <v>1551</v>
      </c>
    </row>
    <row r="123" customFormat="false" ht="15" hidden="false" customHeight="false" outlineLevel="0" collapsed="false">
      <c r="A123" s="6" t="s">
        <v>1552</v>
      </c>
      <c r="B123" s="62" t="s">
        <v>931</v>
      </c>
      <c r="C123" s="68" t="n">
        <f aca="false">IF(ISNUMBER(AL_PriceFleet25),SRC_DEM_007*1000000000/(1*AL_PriceFleet25),AL_PriceFleet25)</f>
        <v>7778650668.95205</v>
      </c>
      <c r="D123" s="77" t="n">
        <f aca="false">IF(ISNUMBER(C123),C123/AL_DPaid,C123)</f>
        <v>2.0335278335648</v>
      </c>
      <c r="E123" s="68" t="str">
        <f aca="false">IF(AND(ISNUMBER(C118),ISNUMBER(C123)),IF(C123&lt;=C118,"低於上限（m＝1 未被排除）","高於上限（m＝1 被物理上限排除）"),AL_UnavailTxt)</f>
        <v>低於上限（m＝1 未被排除）</v>
      </c>
      <c r="F123" s="59" t="s">
        <v>162</v>
      </c>
      <c r="G123" s="87" t="s">
        <v>1553</v>
      </c>
    </row>
    <row r="124" customFormat="false" ht="15" hidden="false" customHeight="false" outlineLevel="0" collapsed="false">
      <c r="A124" s="6" t="s">
        <v>1554</v>
      </c>
      <c r="B124" s="62" t="s">
        <v>931</v>
      </c>
      <c r="C124" s="68" t="n">
        <f aca="false">IF(ISNUMBER(AL_PriceFleet25),SRC_DEM_007*1000000000/(0.6*AL_PriceFleet25),AL_PriceFleet25)</f>
        <v>12964417781.5868</v>
      </c>
      <c r="D124" s="77" t="n">
        <f aca="false">IF(ISNUMBER(C124),C124/AL_DPaid,C124)</f>
        <v>3.38921305594132</v>
      </c>
      <c r="E124" s="68" t="str">
        <f aca="false">IF(AND(ISNUMBER(C118),ISNUMBER(C124)),IF(C124&lt;=C118,"低於上限（m＝0.6 未被排除）","高於上限（m＝0.6 被物理上限排除）"),AL_UnavailTxt)</f>
        <v>低於上限（m＝0.6 未被排除）</v>
      </c>
      <c r="F124" s="59" t="s">
        <v>162</v>
      </c>
      <c r="G124" s="87" t="s">
        <v>1553</v>
      </c>
    </row>
    <row r="125" customFormat="false" ht="15" hidden="false" customHeight="false" outlineLevel="0" collapsed="false">
      <c r="A125" s="6" t="s">
        <v>1555</v>
      </c>
      <c r="B125" s="62" t="s">
        <v>931</v>
      </c>
      <c r="C125" s="68" t="n">
        <f aca="false">IF(ISNUMBER(AL_PriceFleet25),SRC_DEM_007*1000000000/(0.3*AL_PriceFleet25),AL_PriceFleet25)</f>
        <v>25928835563.1735</v>
      </c>
      <c r="D125" s="77" t="n">
        <f aca="false">IF(ISNUMBER(C125),C125/AL_DPaid,C125)</f>
        <v>6.77842611188265</v>
      </c>
      <c r="E125" s="68" t="str">
        <f aca="false">IF(AND(ISNUMBER(C118),ISNUMBER(C125)),IF(C125&lt;=C118,"低於上限（m＝0.3 未被排除）","高於上限（m＝0.3 被物理上限排除）"),AL_UnavailTxt)</f>
        <v>高於上限（m＝0.3 被物理上限排除）</v>
      </c>
      <c r="F125" s="59" t="s">
        <v>162</v>
      </c>
      <c r="G125" s="87" t="s">
        <v>1553</v>
      </c>
    </row>
    <row r="126" customFormat="false" ht="15" hidden="false" customHeight="false" outlineLevel="0" collapsed="false">
      <c r="A126" s="60" t="s">
        <v>1556</v>
      </c>
    </row>
    <row r="127" customFormat="false" ht="39.55" hidden="false" customHeight="false" outlineLevel="0" collapsed="false">
      <c r="A127" s="5" t="s">
        <v>1557</v>
      </c>
      <c r="B127" s="62" t="s">
        <v>113</v>
      </c>
      <c r="C127" s="150" t="n">
        <v>0.1</v>
      </c>
      <c r="D127" s="150" t="n">
        <v>0.2</v>
      </c>
      <c r="E127" s="150" t="n">
        <v>0.05</v>
      </c>
      <c r="F127" s="59" t="s">
        <v>114</v>
      </c>
      <c r="G127" s="93" t="s">
        <v>1558</v>
      </c>
      <c r="O127" s="74" t="s">
        <v>1559</v>
      </c>
    </row>
    <row r="128" customFormat="false" ht="15" hidden="false" customHeight="false" outlineLevel="0" collapsed="false">
      <c r="A128" s="5" t="s">
        <v>1560</v>
      </c>
      <c r="B128" s="62" t="s">
        <v>118</v>
      </c>
      <c r="C128" s="107" t="n">
        <f aca="false">C72*(1-C127)*1000000000/(C81*CAP_Price25Mix)</f>
        <v>3.35654104208205</v>
      </c>
      <c r="D128" s="107" t="n">
        <f aca="false">D72*(1-D127)*1000000000/(D81*CAP_Price25Mix)</f>
        <v>0.632458226578831</v>
      </c>
      <c r="E128" s="107" t="n">
        <f aca="false">E72*(1-E127)*1000000000/(E81*CAP_Price25Mix)</f>
        <v>16.6015585509963</v>
      </c>
      <c r="F128" s="59" t="s">
        <v>162</v>
      </c>
      <c r="G128" s="87" t="s">
        <v>1561</v>
      </c>
    </row>
    <row r="129" customFormat="false" ht="15" hidden="false" customHeight="false" outlineLevel="0" collapsed="false">
      <c r="A129" s="5" t="s">
        <v>1562</v>
      </c>
      <c r="B129" s="62" t="s">
        <v>118</v>
      </c>
      <c r="C129" s="107" t="n">
        <f aca="false">(C72*(1-C127)+C73)*1000000000/(C83*CAP_Price25Mix)</f>
        <v>1.89118088521526</v>
      </c>
      <c r="D129" s="107" t="n">
        <f aca="false">(D72*(1-D127)+D73)*1000000000/(D83*CAP_Price25Mix)</f>
        <v>0.587889588226535</v>
      </c>
      <c r="E129" s="107" t="n">
        <f aca="false">(E72*(1-E127)+E73)*1000000000/(E83*CAP_Price25Mix)</f>
        <v>4.02142291778249</v>
      </c>
      <c r="F129" s="59" t="s">
        <v>162</v>
      </c>
      <c r="G129" s="87" t="s">
        <v>1563</v>
      </c>
    </row>
    <row r="130" customFormat="false" ht="15" hidden="false" customHeight="false" outlineLevel="0" collapsed="false">
      <c r="A130" s="10" t="s">
        <v>1564</v>
      </c>
    </row>
    <row r="131" customFormat="false" ht="39.55" hidden="false" customHeight="false" outlineLevel="0" collapsed="false">
      <c r="A131" s="6" t="s">
        <v>1565</v>
      </c>
      <c r="B131" s="62" t="s">
        <v>113</v>
      </c>
      <c r="C131" s="150" t="n">
        <v>0.1</v>
      </c>
      <c r="D131" s="150" t="n">
        <v>0.05</v>
      </c>
      <c r="E131" s="150" t="n">
        <v>0.15</v>
      </c>
      <c r="F131" s="59" t="s">
        <v>114</v>
      </c>
      <c r="G131" s="93" t="s">
        <v>1566</v>
      </c>
    </row>
    <row r="132" customFormat="false" ht="29.85" hidden="false" customHeight="false" outlineLevel="0" collapsed="false">
      <c r="A132" s="5" t="s">
        <v>1567</v>
      </c>
      <c r="B132" s="62" t="s">
        <v>113</v>
      </c>
      <c r="C132" s="150" t="n">
        <v>0.75</v>
      </c>
      <c r="D132" s="150" t="n">
        <v>0.9</v>
      </c>
      <c r="E132" s="150" t="n">
        <v>0.6</v>
      </c>
      <c r="F132" s="59" t="s">
        <v>114</v>
      </c>
      <c r="G132" s="93" t="s">
        <v>1568</v>
      </c>
    </row>
    <row r="133" customFormat="false" ht="29.85" hidden="false" customHeight="false" outlineLevel="0" collapsed="false">
      <c r="A133" s="6" t="s">
        <v>1569</v>
      </c>
      <c r="B133" s="62" t="s">
        <v>1023</v>
      </c>
      <c r="C133" s="149" t="n">
        <v>0.5</v>
      </c>
      <c r="D133" s="149" t="n">
        <v>0</v>
      </c>
      <c r="E133" s="149" t="n">
        <v>1</v>
      </c>
      <c r="F133" s="59" t="s">
        <v>114</v>
      </c>
      <c r="G133" s="93" t="s">
        <v>1570</v>
      </c>
    </row>
    <row r="134" customFormat="false" ht="15" hidden="false" customHeight="false" outlineLevel="0" collapsed="false">
      <c r="A134" s="10" t="s">
        <v>1571</v>
      </c>
    </row>
    <row r="135" customFormat="false" ht="15" hidden="false" customHeight="false" outlineLevel="0" collapsed="false">
      <c r="A135" s="5" t="s">
        <v>1572</v>
      </c>
      <c r="B135" s="62" t="s">
        <v>1023</v>
      </c>
      <c r="C135" s="116" t="n">
        <f aca="false">C69*C70</f>
        <v>9.149</v>
      </c>
      <c r="D135" s="116" t="n">
        <f aca="false">D69*D70</f>
        <v>8</v>
      </c>
      <c r="E135" s="116" t="n">
        <f aca="false">E69*E70</f>
        <v>10.7174</v>
      </c>
      <c r="F135" s="59" t="s">
        <v>162</v>
      </c>
      <c r="G135" s="93" t="s">
        <v>1573</v>
      </c>
    </row>
    <row r="136" customFormat="false" ht="15" hidden="false" customHeight="false" outlineLevel="0" collapsed="false">
      <c r="A136" s="5" t="s">
        <v>1574</v>
      </c>
      <c r="B136" s="62" t="s">
        <v>1023</v>
      </c>
      <c r="C136" s="116" t="n">
        <f aca="false">C69*C131</f>
        <v>1.307</v>
      </c>
      <c r="D136" s="116" t="n">
        <f aca="false">D69*D131</f>
        <v>0.6535</v>
      </c>
      <c r="E136" s="116" t="n">
        <f aca="false">E69*E131</f>
        <v>1.9605</v>
      </c>
      <c r="F136" s="59" t="s">
        <v>162</v>
      </c>
      <c r="G136" s="93"/>
    </row>
    <row r="137" customFormat="false" ht="26.85" hidden="false" customHeight="false" outlineLevel="0" collapsed="false">
      <c r="A137" s="6" t="s">
        <v>1575</v>
      </c>
      <c r="B137" s="62" t="s">
        <v>1023</v>
      </c>
      <c r="C137" s="116" t="n">
        <f aca="false">C69-C135-C136</f>
        <v>2.614</v>
      </c>
      <c r="D137" s="116" t="n">
        <f aca="false">D69-D135-D136</f>
        <v>4.4165</v>
      </c>
      <c r="E137" s="116" t="n">
        <f aca="false">E69-E135-E136</f>
        <v>0.392100000000001</v>
      </c>
      <c r="F137" s="59" t="s">
        <v>162</v>
      </c>
      <c r="G137" s="93" t="s">
        <v>1576</v>
      </c>
    </row>
    <row r="138" customFormat="false" ht="15" hidden="false" customHeight="false" outlineLevel="0" collapsed="false">
      <c r="A138" s="6" t="s">
        <v>1577</v>
      </c>
      <c r="B138" s="62" t="s">
        <v>113</v>
      </c>
      <c r="C138" s="103" t="n">
        <f aca="false">C137/C69</f>
        <v>0.2</v>
      </c>
      <c r="D138" s="103" t="n">
        <f aca="false">D137/D69</f>
        <v>0.337911247130834</v>
      </c>
      <c r="E138" s="103" t="n">
        <f aca="false">E137/E69</f>
        <v>0.0300000000000001</v>
      </c>
      <c r="F138" s="59" t="s">
        <v>162</v>
      </c>
      <c r="G138" s="93" t="s">
        <v>1578</v>
      </c>
    </row>
    <row r="139" customFormat="false" ht="15" hidden="false" customHeight="false" outlineLevel="0" collapsed="false">
      <c r="A139" s="10" t="s">
        <v>1579</v>
      </c>
    </row>
    <row r="140" customFormat="false" ht="15" hidden="false" customHeight="false" outlineLevel="0" collapsed="false">
      <c r="A140" s="6" t="s">
        <v>1580</v>
      </c>
      <c r="B140" s="62" t="s">
        <v>931</v>
      </c>
      <c r="C140" s="68" t="n">
        <f aca="false">C82</f>
        <v>2365200000</v>
      </c>
      <c r="D140" s="68" t="n">
        <f aca="false">D82</f>
        <v>2838240000</v>
      </c>
      <c r="E140" s="68" t="n">
        <f aca="false">E82</f>
        <v>1892160000</v>
      </c>
      <c r="F140" s="59" t="s">
        <v>1454</v>
      </c>
      <c r="G140" s="87" t="s">
        <v>1581</v>
      </c>
    </row>
    <row r="141" customFormat="false" ht="29.85" hidden="false" customHeight="false" outlineLevel="0" collapsed="false">
      <c r="A141" s="5" t="s">
        <v>1582</v>
      </c>
      <c r="B141" s="62" t="s">
        <v>931</v>
      </c>
      <c r="C141" s="68" t="n">
        <f aca="false">C81*C132</f>
        <v>1095000000</v>
      </c>
      <c r="D141" s="68" t="n">
        <f aca="false">D81*D132</f>
        <v>5420250000</v>
      </c>
      <c r="E141" s="68" t="n">
        <f aca="false">E81*E132</f>
        <v>219000000</v>
      </c>
      <c r="F141" s="59" t="s">
        <v>1454</v>
      </c>
      <c r="G141" s="93"/>
    </row>
    <row r="142" customFormat="false" ht="29.85" hidden="false" customHeight="false" outlineLevel="0" collapsed="false">
      <c r="A142" s="5" t="s">
        <v>1583</v>
      </c>
      <c r="B142" s="62" t="s">
        <v>931</v>
      </c>
      <c r="C142" s="68" t="n">
        <f aca="false">C81*(1-C132)</f>
        <v>365000000</v>
      </c>
      <c r="D142" s="68" t="n">
        <f aca="false">D81*(1-D132)</f>
        <v>602250000</v>
      </c>
      <c r="E142" s="68" t="n">
        <f aca="false">E81*(1-E132)</f>
        <v>146000000</v>
      </c>
      <c r="F142" s="59" t="s">
        <v>1454</v>
      </c>
      <c r="G142" s="93"/>
    </row>
    <row r="143" customFormat="false" ht="15" hidden="false" customHeight="false" outlineLevel="0" collapsed="false">
      <c r="A143" s="10" t="s">
        <v>1584</v>
      </c>
    </row>
    <row r="144" customFormat="false" ht="15" hidden="false" customHeight="false" outlineLevel="0" collapsed="false">
      <c r="A144" s="6" t="s">
        <v>1585</v>
      </c>
      <c r="B144" s="62" t="s">
        <v>118</v>
      </c>
      <c r="C144" s="106" t="n">
        <f aca="false">C137*1000000000/(C140*CAP_Price25Mix)</f>
        <v>0.657758385671576</v>
      </c>
      <c r="D144" s="107" t="n">
        <f aca="false">D137*1000000000/(D140*CAP_Price25Mix)</f>
        <v>0.926099818387693</v>
      </c>
      <c r="E144" s="107" t="n">
        <f aca="false">E137*1000000000/(E140*CAP_Price25Mix)</f>
        <v>0.123329697313421</v>
      </c>
      <c r="F144" s="59" t="s">
        <v>162</v>
      </c>
      <c r="G144" s="93" t="s">
        <v>1586</v>
      </c>
    </row>
    <row r="145" customFormat="false" ht="15" hidden="false" customHeight="false" outlineLevel="0" collapsed="false">
      <c r="A145" s="6" t="s">
        <v>1587</v>
      </c>
      <c r="B145" s="62" t="s">
        <v>118</v>
      </c>
      <c r="C145" s="106" t="n">
        <f aca="false">C135*1000000000/(C141*CAP_Price25Mix)</f>
        <v>4.97265339567711</v>
      </c>
      <c r="D145" s="107" t="n">
        <f aca="false">D135*1000000000/(D141*CAP_Price25Mix)</f>
        <v>0.87841420358171</v>
      </c>
      <c r="E145" s="107" t="n">
        <f aca="false">E135*1000000000/(E141*CAP_Price25Mix)</f>
        <v>29.1255413175374</v>
      </c>
      <c r="F145" s="59" t="s">
        <v>162</v>
      </c>
      <c r="G145" s="87" t="s">
        <v>1588</v>
      </c>
    </row>
    <row r="146" customFormat="false" ht="15" hidden="false" customHeight="false" outlineLevel="0" collapsed="false">
      <c r="A146" s="6" t="s">
        <v>1589</v>
      </c>
      <c r="B146" s="62" t="s">
        <v>118</v>
      </c>
      <c r="C146" s="106" t="n">
        <f aca="false">C136*1000000000/(C142*CAP_Price25Mix)</f>
        <v>2.13113716957591</v>
      </c>
      <c r="D146" s="107" t="n">
        <f aca="false">D136*1000000000/(D142*CAP_Price25Mix)</f>
        <v>0.645799142295729</v>
      </c>
      <c r="E146" s="107" t="n">
        <f aca="false">E136*1000000000/(E142*CAP_Price25Mix)</f>
        <v>7.99176438590965</v>
      </c>
      <c r="F146" s="59" t="s">
        <v>162</v>
      </c>
      <c r="G146" s="93" t="s">
        <v>1590</v>
      </c>
    </row>
    <row r="147" customFormat="false" ht="15" hidden="false" customHeight="false" outlineLevel="0" collapsed="false">
      <c r="A147" s="6" t="s">
        <v>1591</v>
      </c>
      <c r="B147" s="62" t="s">
        <v>118</v>
      </c>
      <c r="C147" s="106" t="n">
        <f aca="false">(C135+C136+C137)*1000000000/((C140+C141+C142)*CAP_Price25Mix)</f>
        <v>2.03352783356479</v>
      </c>
      <c r="D147" s="107" t="n">
        <f aca="false">(D135+D136+D137)*1000000000/((D140+D141+D142)*CAP_Price25Mix)</f>
        <v>0.877878221113818</v>
      </c>
      <c r="E147" s="107" t="n">
        <f aca="false">(E135+E136+E137)*1000000000/((E140+E141+E142)*CAP_Price25Mix)</f>
        <v>3.44621146438536</v>
      </c>
      <c r="F147" s="59" t="s">
        <v>162</v>
      </c>
      <c r="G147" s="93" t="s">
        <v>1592</v>
      </c>
    </row>
    <row r="148" customFormat="false" ht="29.85" hidden="false" customHeight="false" outlineLevel="0" collapsed="false">
      <c r="A148" s="5" t="s">
        <v>1593</v>
      </c>
      <c r="B148" s="62" t="s">
        <v>118</v>
      </c>
      <c r="C148" s="107" t="n">
        <f aca="false">ABS(C147-C94)</f>
        <v>0</v>
      </c>
      <c r="D148" s="107" t="n">
        <f aca="false">ABS(D147-D94)</f>
        <v>0</v>
      </c>
      <c r="E148" s="107" t="n">
        <f aca="false">ABS(E147-E94)</f>
        <v>0</v>
      </c>
      <c r="F148" s="59" t="s">
        <v>162</v>
      </c>
      <c r="G148" s="93" t="s">
        <v>1594</v>
      </c>
      <c r="O148" s="74" t="s">
        <v>1595</v>
      </c>
    </row>
    <row r="149" customFormat="false" ht="15" hidden="false" customHeight="false" outlineLevel="0" collapsed="false">
      <c r="A149" s="10" t="s">
        <v>1596</v>
      </c>
    </row>
    <row r="150" customFormat="false" ht="26.85" hidden="false" customHeight="false" outlineLevel="0" collapsed="false">
      <c r="A150" s="5" t="s">
        <v>1597</v>
      </c>
      <c r="B150" s="62" t="s">
        <v>118</v>
      </c>
      <c r="C150" s="107" t="n">
        <f aca="false">(1-B4_Disc)/(1-B4_Disc)</f>
        <v>1</v>
      </c>
      <c r="D150" s="107" t="n">
        <f aca="false">(1-B4_Disc_Hi)/(1-B4_Disc)</f>
        <v>0.75</v>
      </c>
      <c r="E150" s="107" t="n">
        <f aca="false">(1-B4_Disc_Lo)/(1-B4_Disc)</f>
        <v>1.125</v>
      </c>
      <c r="F150" s="59" t="s">
        <v>1454</v>
      </c>
      <c r="G150" s="93" t="s">
        <v>1598</v>
      </c>
    </row>
    <row r="151" customFormat="false" ht="26.85" hidden="false" customHeight="false" outlineLevel="0" collapsed="false">
      <c r="A151" s="5" t="s">
        <v>1599</v>
      </c>
      <c r="B151" s="62" t="s">
        <v>118</v>
      </c>
      <c r="C151" s="106" t="n">
        <f aca="false">C144/C150</f>
        <v>0.657758385671576</v>
      </c>
      <c r="D151" s="107" t="n">
        <f aca="false">D144/D150</f>
        <v>1.23479975785026</v>
      </c>
      <c r="E151" s="107" t="n">
        <f aca="false">E144/E150</f>
        <v>0.109626397611929</v>
      </c>
      <c r="F151" s="59" t="s">
        <v>162</v>
      </c>
      <c r="G151" s="87" t="s">
        <v>1600</v>
      </c>
    </row>
    <row r="152" customFormat="false" ht="29.85" hidden="false" customHeight="false" outlineLevel="0" collapsed="false">
      <c r="A152" s="5" t="s">
        <v>1601</v>
      </c>
      <c r="B152" s="62" t="s">
        <v>118</v>
      </c>
      <c r="C152" s="107" t="n">
        <f aca="false">C107</f>
        <v>0.196163661504425</v>
      </c>
      <c r="D152" s="107" t="n">
        <f aca="false">D107</f>
        <v>0.112163306415929</v>
      </c>
      <c r="E152" s="107" t="n">
        <f aca="false">E107</f>
        <v>0.196163661504425</v>
      </c>
      <c r="F152" s="59" t="s">
        <v>162</v>
      </c>
      <c r="G152" s="87" t="s">
        <v>1602</v>
      </c>
      <c r="O152" s="74" t="s">
        <v>1603</v>
      </c>
    </row>
    <row r="153" customFormat="false" ht="15" hidden="false" customHeight="false" outlineLevel="0" collapsed="false">
      <c r="A153" s="10" t="s">
        <v>1604</v>
      </c>
    </row>
    <row r="154" customFormat="false" ht="15" hidden="false" customHeight="false" outlineLevel="0" collapsed="false">
      <c r="A154" s="5" t="s">
        <v>1605</v>
      </c>
      <c r="B154" s="62" t="s">
        <v>1505</v>
      </c>
      <c r="C154" s="64" t="n">
        <v>20</v>
      </c>
      <c r="D154" s="68" t="n">
        <f aca="false">C154</f>
        <v>20</v>
      </c>
      <c r="E154" s="68" t="n">
        <f aca="false">C154</f>
        <v>20</v>
      </c>
      <c r="F154" s="59" t="s">
        <v>114</v>
      </c>
      <c r="G154" s="93" t="s">
        <v>1606</v>
      </c>
      <c r="O154" s="74" t="s">
        <v>1607</v>
      </c>
    </row>
    <row r="155" customFormat="false" ht="29.85" hidden="false" customHeight="false" outlineLevel="0" collapsed="false">
      <c r="A155" s="5" t="s">
        <v>1608</v>
      </c>
      <c r="B155" s="62" t="s">
        <v>1505</v>
      </c>
      <c r="C155" s="64" t="n">
        <v>700</v>
      </c>
      <c r="D155" s="68" t="n">
        <f aca="false">C155</f>
        <v>700</v>
      </c>
      <c r="E155" s="68" t="n">
        <f aca="false">C155</f>
        <v>700</v>
      </c>
      <c r="F155" s="59" t="s">
        <v>114</v>
      </c>
      <c r="G155" s="93" t="s">
        <v>1609</v>
      </c>
      <c r="O155" s="74" t="s">
        <v>1610</v>
      </c>
    </row>
    <row r="156" customFormat="false" ht="15" hidden="false" customHeight="false" outlineLevel="0" collapsed="false">
      <c r="A156" s="5" t="s">
        <v>1611</v>
      </c>
      <c r="B156" s="62" t="s">
        <v>1505</v>
      </c>
      <c r="C156" s="64" t="n">
        <v>200</v>
      </c>
      <c r="D156" s="68" t="n">
        <f aca="false">C156</f>
        <v>200</v>
      </c>
      <c r="E156" s="68" t="n">
        <f aca="false">C156</f>
        <v>200</v>
      </c>
      <c r="F156" s="59" t="s">
        <v>114</v>
      </c>
      <c r="G156" s="93" t="s">
        <v>1612</v>
      </c>
      <c r="O156" s="74" t="s">
        <v>1613</v>
      </c>
    </row>
    <row r="157" customFormat="false" ht="29.85" hidden="false" customHeight="false" outlineLevel="0" collapsed="false">
      <c r="A157" s="5" t="s">
        <v>1614</v>
      </c>
      <c r="B157" s="62" t="s">
        <v>1505</v>
      </c>
      <c r="C157" s="64" t="n">
        <v>14000</v>
      </c>
      <c r="D157" s="68" t="n">
        <f aca="false">C157</f>
        <v>14000</v>
      </c>
      <c r="E157" s="68" t="n">
        <f aca="false">C157</f>
        <v>14000</v>
      </c>
      <c r="F157" s="59" t="s">
        <v>114</v>
      </c>
      <c r="G157" s="93" t="s">
        <v>1615</v>
      </c>
      <c r="O157" s="74" t="s">
        <v>1616</v>
      </c>
    </row>
    <row r="158" customFormat="false" ht="29.85" hidden="false" customHeight="false" outlineLevel="0" collapsed="false">
      <c r="A158" s="5" t="s">
        <v>1617</v>
      </c>
      <c r="B158" s="62" t="s">
        <v>118</v>
      </c>
      <c r="C158" s="107" t="n">
        <f aca="false">C154/C155</f>
        <v>0.0285714285714286</v>
      </c>
      <c r="D158" s="107" t="n">
        <f aca="false">D154/D155</f>
        <v>0.0285714285714286</v>
      </c>
      <c r="E158" s="107" t="n">
        <f aca="false">E154/E155</f>
        <v>0.0285714285714286</v>
      </c>
      <c r="F158" s="59" t="s">
        <v>119</v>
      </c>
      <c r="G158" s="87" t="s">
        <v>1618</v>
      </c>
      <c r="O158" s="74" t="s">
        <v>1619</v>
      </c>
    </row>
    <row r="159" customFormat="false" ht="29.85" hidden="false" customHeight="false" outlineLevel="0" collapsed="false">
      <c r="A159" s="5" t="s">
        <v>1620</v>
      </c>
      <c r="B159" s="62" t="s">
        <v>118</v>
      </c>
      <c r="C159" s="107" t="n">
        <f aca="false">C156/C157</f>
        <v>0.0142857142857143</v>
      </c>
      <c r="D159" s="107" t="n">
        <f aca="false">D156/D157</f>
        <v>0.0142857142857143</v>
      </c>
      <c r="E159" s="107" t="n">
        <f aca="false">E156/E157</f>
        <v>0.0142857142857143</v>
      </c>
      <c r="F159" s="59" t="s">
        <v>119</v>
      </c>
      <c r="G159" s="87" t="s">
        <v>1621</v>
      </c>
      <c r="O159" s="74" t="s">
        <v>1622</v>
      </c>
    </row>
    <row r="160" customFormat="false" ht="15" hidden="false" customHeight="false" outlineLevel="0" collapsed="false">
      <c r="A160" s="10" t="s">
        <v>1623</v>
      </c>
    </row>
    <row r="161" customFormat="false" ht="29.85" hidden="false" customHeight="false" outlineLevel="0" collapsed="false">
      <c r="A161" s="5" t="s">
        <v>1624</v>
      </c>
      <c r="B161" s="62" t="s">
        <v>1625</v>
      </c>
      <c r="C161" s="68" t="n">
        <f aca="false">C135*1000000000/(C79*1000000)</f>
        <v>279.358778625954</v>
      </c>
      <c r="D161" s="68" t="n">
        <f aca="false">D135*1000000000/(D79*1000000)</f>
        <v>244.274809160305</v>
      </c>
      <c r="E161" s="68" t="n">
        <f aca="false">E135*1000000000/(E79*1000000)</f>
        <v>327.248854961832</v>
      </c>
      <c r="F161" s="59" t="s">
        <v>162</v>
      </c>
      <c r="G161" s="93" t="s">
        <v>1626</v>
      </c>
    </row>
    <row r="162" customFormat="false" ht="15" hidden="false" customHeight="false" outlineLevel="0" collapsed="false">
      <c r="A162" s="6" t="s">
        <v>1627</v>
      </c>
      <c r="B162" s="62" t="s">
        <v>1461</v>
      </c>
      <c r="C162" s="75" t="n">
        <f aca="false">C161/CAP_Price25Mix</f>
        <v>166.261235672258</v>
      </c>
      <c r="D162" s="75" t="n">
        <f aca="false">D161/CAP_Price25Mix</f>
        <v>145.380903418741</v>
      </c>
      <c r="E162" s="75" t="n">
        <f aca="false">E161/CAP_Price25Mix</f>
        <v>194.763161787502</v>
      </c>
      <c r="F162" s="59" t="s">
        <v>162</v>
      </c>
      <c r="G162" s="87" t="s">
        <v>1628</v>
      </c>
    </row>
    <row r="163" customFormat="false" ht="29.85" hidden="false" customHeight="false" outlineLevel="0" collapsed="false">
      <c r="A163" s="5" t="s">
        <v>1629</v>
      </c>
      <c r="B163" s="62" t="s">
        <v>1461</v>
      </c>
      <c r="C163" s="75" t="n">
        <f aca="false">C155*12/CAP_Price25Mix</f>
        <v>4999.28581631195</v>
      </c>
      <c r="D163" s="75" t="n">
        <f aca="false">D155*12/CAP_Price25Mix</f>
        <v>4999.28581631195</v>
      </c>
      <c r="E163" s="75" t="n">
        <f aca="false">E155*12/CAP_Price25Mix</f>
        <v>4999.28581631195</v>
      </c>
      <c r="F163" s="59" t="s">
        <v>119</v>
      </c>
      <c r="G163" s="87" t="s">
        <v>1630</v>
      </c>
      <c r="O163" s="74" t="s">
        <v>1631</v>
      </c>
    </row>
    <row r="164" customFormat="false" ht="29.85" hidden="false" customHeight="false" outlineLevel="0" collapsed="false">
      <c r="A164" s="5" t="s">
        <v>1632</v>
      </c>
      <c r="B164" s="62" t="s">
        <v>1461</v>
      </c>
      <c r="C164" s="75" t="n">
        <f aca="false">C84</f>
        <v>44.5801526717557</v>
      </c>
      <c r="D164" s="75" t="n">
        <f aca="false">D84</f>
        <v>183.893129770992</v>
      </c>
      <c r="E164" s="75" t="n">
        <f aca="false">E84</f>
        <v>11.1450381679389</v>
      </c>
      <c r="F164" s="59" t="s">
        <v>162</v>
      </c>
      <c r="G164" s="93" t="s">
        <v>1633</v>
      </c>
      <c r="O164" s="74" t="s">
        <v>1634</v>
      </c>
    </row>
    <row r="165" customFormat="false" ht="15" hidden="false" customHeight="false" outlineLevel="0" collapsed="false">
      <c r="A165" s="5" t="s">
        <v>1635</v>
      </c>
      <c r="B165" s="62" t="s">
        <v>118</v>
      </c>
      <c r="C165" s="107" t="str">
        <f aca="false">"所需＝現值 × "&amp;TEXT(C162/C164,"0.00")&amp;"；＝Plus 上限 × "&amp;TEXT(C162/C163,"0.00")</f>
        <v>所需＝現值 × 3.73；＝Plus 上限 × 0.03</v>
      </c>
      <c r="D165" s="107" t="str">
        <f aca="false">"所需＝現值 × "&amp;TEXT(D162/D164,"0.00")&amp;"；＝Plus 上限 × "&amp;TEXT(D162/D163,"0.00")</f>
        <v>所需＝現值 × 0.79；＝Plus 上限 × 0.03</v>
      </c>
      <c r="E165" s="107" t="str">
        <f aca="false">"所需＝現值 × "&amp;TEXT(E162/E164,"0.00")&amp;"；＝Plus 上限 × "&amp;TEXT(E162/E163,"0.00")</f>
        <v>所需＝現值 × 17.48；＝Plus 上限 × 0.04</v>
      </c>
      <c r="F165" s="59" t="s">
        <v>162</v>
      </c>
      <c r="G165" s="93" t="s">
        <v>1636</v>
      </c>
      <c r="O165" s="74" t="s">
        <v>1637</v>
      </c>
    </row>
    <row r="166" customFormat="false" ht="15" hidden="false" customHeight="false" outlineLevel="0" collapsed="false">
      <c r="A166" s="10" t="s">
        <v>1638</v>
      </c>
    </row>
    <row r="167" customFormat="false" ht="29.85" hidden="false" customHeight="false" outlineLevel="0" collapsed="false">
      <c r="A167" s="6" t="s">
        <v>1639</v>
      </c>
      <c r="B167" s="62" t="s">
        <v>113</v>
      </c>
      <c r="C167" s="103" t="n">
        <f aca="false">SRC_DEM_034/(SRC_DEM_034+SRC_DEM_035)</f>
        <v>0.828067117018958</v>
      </c>
      <c r="D167" s="103" t="n">
        <f aca="false">SRC_DEM_034/(SRC_DEM_034+SRC_DEM_035)</f>
        <v>0.828067117018958</v>
      </c>
      <c r="E167" s="103" t="n">
        <f aca="false">SRC_DEM_034/(SRC_DEM_034+SRC_DEM_035)</f>
        <v>0.828067117018958</v>
      </c>
      <c r="F167" s="59" t="s">
        <v>1640</v>
      </c>
      <c r="G167" s="87" t="s">
        <v>1641</v>
      </c>
      <c r="O167" s="74" t="s">
        <v>1642</v>
      </c>
    </row>
    <row r="168" customFormat="false" ht="26.85" hidden="false" customHeight="false" outlineLevel="0" collapsed="false">
      <c r="A168" s="6" t="s">
        <v>1643</v>
      </c>
      <c r="B168" s="62" t="s">
        <v>113</v>
      </c>
      <c r="C168" s="103" t="n">
        <f aca="false">SRC_DEM_037/SRC_DEM_036</f>
        <v>0.1625</v>
      </c>
      <c r="D168" s="103" t="n">
        <f aca="false">SRC_DEM_037/SRC_DEM_036</f>
        <v>0.1625</v>
      </c>
      <c r="E168" s="103" t="n">
        <f aca="false">SRC_DEM_037/SRC_DEM_036</f>
        <v>0.1625</v>
      </c>
      <c r="F168" s="59" t="s">
        <v>1640</v>
      </c>
      <c r="G168" s="87" t="s">
        <v>1644</v>
      </c>
      <c r="O168" s="74" t="s">
        <v>1645</v>
      </c>
    </row>
    <row r="169" customFormat="false" ht="26.85" hidden="false" customHeight="false" outlineLevel="0" collapsed="false">
      <c r="A169" s="6" t="s">
        <v>1646</v>
      </c>
      <c r="B169" s="62" t="s">
        <v>118</v>
      </c>
      <c r="C169" s="107" t="str">
        <f aca="false">"缺分母（需 Anthropic 年 API token）"</f>
        <v>缺分母（需 Anthropic 年 API token）</v>
      </c>
      <c r="D169" s="107" t="str">
        <f aca="false">"缺分母（需 Anthropic 年 API token）"</f>
        <v>缺分母（需 Anthropic 年 API token）</v>
      </c>
      <c r="E169" s="107" t="str">
        <f aca="false">"缺分母（需 Anthropic 年 API token）"</f>
        <v>缺分母（需 Anthropic 年 API token）</v>
      </c>
      <c r="F169" s="74" t="s">
        <v>1647</v>
      </c>
      <c r="G169" s="93" t="s">
        <v>1648</v>
      </c>
    </row>
    <row r="170" customFormat="false" ht="15" hidden="false" customHeight="false" outlineLevel="0" collapsed="false">
      <c r="A170" s="10" t="s">
        <v>1649</v>
      </c>
    </row>
    <row r="171" customFormat="false" ht="15" hidden="false" customHeight="false" outlineLevel="0" collapsed="false">
      <c r="A171" s="5" t="s">
        <v>1650</v>
      </c>
      <c r="B171" s="62" t="s">
        <v>931</v>
      </c>
      <c r="C171" s="68" t="n">
        <f aca="false">C83</f>
        <v>3825200000</v>
      </c>
      <c r="D171" s="68" t="n">
        <f aca="false">D83</f>
        <v>8860740000</v>
      </c>
      <c r="E171" s="68" t="n">
        <f aca="false">E83</f>
        <v>2257160000</v>
      </c>
      <c r="F171" s="59" t="s">
        <v>1454</v>
      </c>
      <c r="G171" s="87" t="s">
        <v>1651</v>
      </c>
      <c r="O171" s="74" t="s">
        <v>1652</v>
      </c>
    </row>
    <row r="172" customFormat="false" ht="15" hidden="false" customHeight="false" outlineLevel="0" collapsed="false">
      <c r="A172" s="5" t="s">
        <v>1653</v>
      </c>
      <c r="B172" s="62" t="s">
        <v>931</v>
      </c>
      <c r="C172" s="68" t="n">
        <f aca="false">C116</f>
        <v>19098300660.0604</v>
      </c>
      <c r="D172" s="68" t="n">
        <f aca="false">D116</f>
        <v>42305958361.5773</v>
      </c>
      <c r="E172" s="68" t="n">
        <f aca="false">E116</f>
        <v>6599006325.63064</v>
      </c>
      <c r="F172" s="59" t="s">
        <v>162</v>
      </c>
      <c r="G172" s="87" t="s">
        <v>1654</v>
      </c>
      <c r="O172" s="74" t="s">
        <v>1655</v>
      </c>
    </row>
    <row r="173" customFormat="false" ht="29.85" hidden="false" customHeight="false" outlineLevel="0" collapsed="false">
      <c r="A173" s="5" t="s">
        <v>1656</v>
      </c>
      <c r="B173" s="62" t="s">
        <v>931</v>
      </c>
      <c r="C173" s="68" t="n">
        <f aca="false">C118</f>
        <v>25845516859.6077</v>
      </c>
      <c r="D173" s="68" t="n">
        <f aca="false">D118</f>
        <v>36112913968.219</v>
      </c>
      <c r="E173" s="68" t="n">
        <f aca="false">E118</f>
        <v>12204827405.9259</v>
      </c>
      <c r="F173" s="59" t="s">
        <v>162</v>
      </c>
      <c r="G173" s="87" t="s">
        <v>1657</v>
      </c>
    </row>
    <row r="174" customFormat="false" ht="29.85" hidden="false" customHeight="false" outlineLevel="0" collapsed="false">
      <c r="A174" s="5" t="s">
        <v>1658</v>
      </c>
      <c r="B174" s="62" t="s">
        <v>118</v>
      </c>
      <c r="C174" s="107" t="n">
        <f aca="false">IF(ISNUMBER(C172),C171/C172,AL_UnavailTxt)</f>
        <v>0.200290071252229</v>
      </c>
      <c r="D174" s="107" t="n">
        <f aca="false">IF(ISNUMBER(D172),D171/D172,AL_UnavailTxt)</f>
        <v>0.209444256628575</v>
      </c>
      <c r="E174" s="107" t="n">
        <f aca="false">IF(ISNUMBER(E172),E171/E172,AL_UnavailTxt)</f>
        <v>0.34204543663387</v>
      </c>
      <c r="F174" s="59" t="s">
        <v>162</v>
      </c>
      <c r="G174" s="93" t="str">
        <f aca="false">"現值 "&amp;IF(ISNUMBER(C174),TEXT(C174,"0.000"),"—")&amp;"（舊說明寫 0.465，為歷史值）；M4 在 &lt; 0.5 或 &gt; 2 時觸發（見 Checks M4）：需求路線只數到機隊產出的 "&amp;IF(ISNUMBER(C174),TEXT(C174,"0%"),"—")</f>
        <v>現值 0.200（舊說明寫 0.465，為歷史值）；M4 在 &lt; 0.5 或 &gt; 2 時觸發（見 Checks M4）：需求路線只數到機隊產出的 20%</v>
      </c>
      <c r="O174" s="74" t="s">
        <v>1659</v>
      </c>
    </row>
    <row r="175" customFormat="false" ht="15" hidden="false" customHeight="false" outlineLevel="0" collapsed="false">
      <c r="A175" s="5" t="s">
        <v>1660</v>
      </c>
      <c r="B175" s="62" t="s">
        <v>118</v>
      </c>
      <c r="C175" s="107" t="n">
        <f aca="false">IF(ISNUMBER(C173),C171/C173,AL_UnavailTxt)</f>
        <v>0.148002457090659</v>
      </c>
      <c r="D175" s="107" t="n">
        <f aca="false">IF(ISNUMBER(D173),D171/D173,AL_UnavailTxt)</f>
        <v>0.245362088692091</v>
      </c>
      <c r="E175" s="107" t="n">
        <f aca="false">IF(ISNUMBER(E173),E171/E173,AL_UnavailTxt)</f>
        <v>0.184939936053833</v>
      </c>
      <c r="F175" s="59" t="s">
        <v>162</v>
      </c>
      <c r="G175" s="93" t="str">
        <f aca="false">"現值 "&amp;IF(ISNUMBER(C175),TEXT(C175,"0.000"),"—")&amp;"（舊說明寫 0.319，為歷史值）（＝L1_TokCeiling 判讀）"</f>
        <v>現值 0.148（舊說明寫 0.319，為歷史值）（＝L1_TokCeiling 判讀）</v>
      </c>
    </row>
    <row r="176" customFormat="false" ht="15" hidden="false" customHeight="false" outlineLevel="0" collapsed="false">
      <c r="A176" s="60" t="str">
        <f aca="false">"閉合解：令需求 token（付費＋免費）佔滿機隊有效產能所需的每則 token 數 τ*（三步）；錨點 τ* ≈ "&amp;IF(ISNUMBER(C179),TEXT(C179,"#,##0"),"—")</f>
        <v>閉合解：令需求 token（付費＋免費）佔滿機隊有效產能所需的每則 token 數 τ*（三步）；錨點 τ* ≈ 38,186</v>
      </c>
    </row>
    <row r="177" customFormat="false" ht="29.85" hidden="false" customHeight="false" outlineLevel="0" collapsed="false">
      <c r="A177" s="6" t="s">
        <v>1661</v>
      </c>
      <c r="B177" s="62" t="s">
        <v>103</v>
      </c>
      <c r="C177" s="73" t="n">
        <f aca="false">C109*C114</f>
        <v>0.613699050196275</v>
      </c>
      <c r="D177" s="73" t="n">
        <f aca="false">D109*D114</f>
        <v>1.35944694380264</v>
      </c>
      <c r="E177" s="73" t="n">
        <f aca="false">E109*E114</f>
        <v>0.212050484823916</v>
      </c>
      <c r="F177" s="59" t="s">
        <v>162</v>
      </c>
      <c r="G177" s="87" t="s">
        <v>1662</v>
      </c>
    </row>
    <row r="178" customFormat="false" ht="44" hidden="false" customHeight="false" outlineLevel="0" collapsed="false">
      <c r="A178" s="6" t="s">
        <v>1663</v>
      </c>
      <c r="B178" s="62" t="s">
        <v>931</v>
      </c>
      <c r="C178" s="68" t="n">
        <f aca="false">IF(AND(ISNUMBER(C110),ISNUMBER(C111)),(C177-C140/C110)/((1-AL_FreeShare)/C110+AL_FreeShare/C111),AL_UnavailTxt)</f>
        <v>34844707076.4463</v>
      </c>
      <c r="D178" s="68" t="n">
        <f aca="false">IF(AND(ISNUMBER(D110),ISNUMBER(D111)),(D177-D140/D110)/((1-AL_FreeShare)/D110+AL_FreeShare/D111),AL_UnavailTxt)</f>
        <v>81412870577.7346</v>
      </c>
      <c r="E178" s="68" t="n">
        <f aca="false">IF(AND(ISNUMBER(E110),ISNUMBER(E111)),(E177-E140/E110)/((1-AL_FreeShare)/E110+AL_FreeShare/E111),AL_UnavailTxt)</f>
        <v>10147954360.655</v>
      </c>
      <c r="F178" s="59" t="s">
        <v>162</v>
      </c>
      <c r="G178" s="93" t="s">
        <v>1664</v>
      </c>
    </row>
    <row r="179" customFormat="false" ht="29.85" hidden="false" customHeight="false" outlineLevel="0" collapsed="false">
      <c r="A179" s="6" t="s">
        <v>1665</v>
      </c>
      <c r="B179" s="62" t="s">
        <v>308</v>
      </c>
      <c r="C179" s="71" t="n">
        <f aca="false">IF(ISNUMBER(C178),C178*1000000/(SRC_DEM_012*1000000000*365),AL_UnavailTxt)</f>
        <v>38185.9803577493</v>
      </c>
      <c r="D179" s="68" t="n">
        <f aca="false">IF(ISNUMBER(D178),D178*1000000/(SRC_DEM_012*1000000000*365),AL_UnavailTxt)</f>
        <v>89219.5841947776</v>
      </c>
      <c r="E179" s="68" t="n">
        <f aca="false">IF(ISNUMBER(E178),E178*1000000/(SRC_DEM_012*1000000000*365),AL_UnavailTxt)</f>
        <v>11121.0458746904</v>
      </c>
      <c r="F179" s="59" t="s">
        <v>162</v>
      </c>
      <c r="G179" s="93" t="s">
        <v>1666</v>
      </c>
    </row>
    <row r="180" customFormat="false" ht="29.85" hidden="false" customHeight="false" outlineLevel="0" collapsed="false">
      <c r="A180" s="6" t="s">
        <v>1667</v>
      </c>
      <c r="B180" s="62" t="s">
        <v>118</v>
      </c>
      <c r="C180" s="107" t="str">
        <f aca="false">IF(ISNUMBER(C179),IF(C179&gt;AL_TokPerPrompt_Hi,"高於區間（"&amp;TEXT(AL_TokPerPrompt_Lo,"#,##0")&amp;"–"&amp;TEXT(AL_TokPerPrompt_Hi,"#,##0")&amp;"）",IF(C179&lt;AL_TokPerPrompt_Lo,"低於區間","區間內")),AL_UnavailTxt)</f>
        <v>高於區間（2,000–11,000）</v>
      </c>
      <c r="D180" s="107" t="str">
        <f aca="false">IF(ISNUMBER(D179),IF(D179&gt;AL_TokPerPrompt_Hi,"高於區間（"&amp;TEXT(AL_TokPerPrompt_Lo,"#,##0")&amp;"–"&amp;TEXT(AL_TokPerPrompt_Hi,"#,##0")&amp;"）",IF(D179&lt;AL_TokPerPrompt_Lo,"低於區間","區間內")),AL_UnavailTxt)</f>
        <v>高於區間（2,000–11,000）</v>
      </c>
      <c r="E180" s="107" t="str">
        <f aca="false">IF(ISNUMBER(E179),IF(E179&gt;AL_TokPerPrompt_Hi,"高於區間（"&amp;TEXT(AL_TokPerPrompt_Lo,"#,##0")&amp;"–"&amp;TEXT(AL_TokPerPrompt_Hi,"#,##0")&amp;"）",IF(E179&lt;AL_TokPerPrompt_Lo,"低於區間","區間內")),AL_UnavailTxt)</f>
        <v>高於區間（2,000–11,000）</v>
      </c>
      <c r="F180" s="59" t="s">
        <v>162</v>
      </c>
      <c r="G180" s="93" t="s">
        <v>1636</v>
      </c>
      <c r="O180" s="74" t="s">
        <v>1668</v>
      </c>
    </row>
    <row r="181" customFormat="false" ht="29.85" hidden="false" customHeight="false" outlineLevel="0" collapsed="false">
      <c r="A181" s="5" t="s">
        <v>1669</v>
      </c>
      <c r="B181" s="62" t="s">
        <v>113</v>
      </c>
      <c r="C181" s="103" t="n">
        <f aca="false">IF(ISNUMBER(C178),(C178*AL_FreeShare/C111)/C177,AL_UnavailTxt)</f>
        <v>0.264401012930026</v>
      </c>
      <c r="D181" s="103" t="n">
        <f aca="false">IF(ISNUMBER(D178),(D178*AL_FreeShare/D111)/D177,AL_UnavailTxt)</f>
        <v>0.278876907030439</v>
      </c>
      <c r="E181" s="103" t="n">
        <f aca="false">IF(ISNUMBER(E178),(E178*AL_FreeShare/E111)/E177,AL_UnavailTxt)</f>
        <v>0.222854282113398</v>
      </c>
      <c r="F181" s="59" t="s">
        <v>162</v>
      </c>
      <c r="G181" s="93" t="s">
        <v>1670</v>
      </c>
      <c r="O181" s="74" t="s">
        <v>1671</v>
      </c>
    </row>
    <row r="182" customFormat="false" ht="15" hidden="false" customHeight="false" outlineLevel="0" collapsed="false">
      <c r="A182" s="10" t="s">
        <v>1672</v>
      </c>
    </row>
    <row r="183" customFormat="false" ht="15" hidden="false" customHeight="false" outlineLevel="0" collapsed="false">
      <c r="A183" s="60" t="s">
        <v>386</v>
      </c>
      <c r="B183" s="60" t="s">
        <v>95</v>
      </c>
      <c r="C183" s="10" t="s">
        <v>1673</v>
      </c>
      <c r="D183" s="10" t="s">
        <v>1674</v>
      </c>
      <c r="E183" s="10" t="s">
        <v>1675</v>
      </c>
      <c r="F183" s="10" t="s">
        <v>1676</v>
      </c>
      <c r="G183" s="60" t="s">
        <v>99</v>
      </c>
      <c r="H183" s="60" t="s">
        <v>354</v>
      </c>
    </row>
    <row r="184" customFormat="false" ht="15" hidden="false" customHeight="false" outlineLevel="0" collapsed="false">
      <c r="A184" s="10" t="s">
        <v>1677</v>
      </c>
    </row>
    <row r="185" customFormat="false" ht="167.9" hidden="false" customHeight="false" outlineLevel="0" collapsed="false">
      <c r="A185" s="5" t="s">
        <v>1678</v>
      </c>
      <c r="B185" s="62" t="s">
        <v>1023</v>
      </c>
      <c r="C185" s="94" t="n">
        <f aca="false">SRC_DEM_007</f>
        <v>13.07</v>
      </c>
      <c r="D185" s="116" t="n">
        <f aca="false">SRC_DEM_069*4</f>
        <v>22.8</v>
      </c>
      <c r="E185" s="116" t="n">
        <f aca="false">SRC_DEM_042*4</f>
        <v>26.8</v>
      </c>
      <c r="F185" s="149" t="n">
        <v>36</v>
      </c>
      <c r="G185" s="59" t="s">
        <v>1679</v>
      </c>
      <c r="H185" s="87" t="s">
        <v>1680</v>
      </c>
    </row>
    <row r="186" customFormat="false" ht="314.15" hidden="false" customHeight="false" outlineLevel="0" collapsed="false">
      <c r="A186" s="5" t="s">
        <v>1681</v>
      </c>
      <c r="B186" s="62" t="s">
        <v>1023</v>
      </c>
      <c r="C186" s="116" t="n">
        <v>0</v>
      </c>
      <c r="D186" s="149" t="n">
        <v>0</v>
      </c>
      <c r="E186" s="149" t="n">
        <v>0.5</v>
      </c>
      <c r="F186" s="149" t="n">
        <v>1</v>
      </c>
      <c r="G186" s="59" t="s">
        <v>1682</v>
      </c>
      <c r="H186" s="87" t="s">
        <v>1683</v>
      </c>
    </row>
    <row r="187" customFormat="false" ht="179.1" hidden="false" customHeight="false" outlineLevel="0" collapsed="false">
      <c r="A187" s="6" t="s">
        <v>1684</v>
      </c>
      <c r="B187" s="62" t="s">
        <v>1023</v>
      </c>
      <c r="C187" s="116" t="n">
        <f aca="false">C185-C186</f>
        <v>13.07</v>
      </c>
      <c r="D187" s="116" t="n">
        <f aca="false">D185-D186</f>
        <v>22.8</v>
      </c>
      <c r="E187" s="116" t="n">
        <f aca="false">E185-E186</f>
        <v>26.3</v>
      </c>
      <c r="F187" s="116" t="n">
        <f aca="false">F185-F186</f>
        <v>35</v>
      </c>
      <c r="G187" s="59" t="s">
        <v>162</v>
      </c>
      <c r="H187" s="87" t="s">
        <v>1685</v>
      </c>
    </row>
    <row r="188" customFormat="false" ht="208.2" hidden="false" customHeight="false" outlineLevel="0" collapsed="false">
      <c r="A188" s="5" t="s">
        <v>1686</v>
      </c>
      <c r="B188" s="62" t="s">
        <v>113</v>
      </c>
      <c r="C188" s="103" t="n">
        <f aca="false">C70</f>
        <v>0.7</v>
      </c>
      <c r="D188" s="150" t="n">
        <v>0.6</v>
      </c>
      <c r="E188" s="150" t="n">
        <v>0.55</v>
      </c>
      <c r="F188" s="150" t="n">
        <v>0.45</v>
      </c>
      <c r="G188" s="59" t="s">
        <v>1687</v>
      </c>
      <c r="H188" s="87" t="s">
        <v>1688</v>
      </c>
    </row>
    <row r="189" customFormat="false" ht="242.5" hidden="false" customHeight="false" outlineLevel="0" collapsed="false">
      <c r="A189" s="5" t="s">
        <v>1689</v>
      </c>
      <c r="B189" s="62" t="s">
        <v>113</v>
      </c>
      <c r="C189" s="103" t="n">
        <f aca="false">C131</f>
        <v>0.1</v>
      </c>
      <c r="D189" s="150" t="n">
        <v>0.2</v>
      </c>
      <c r="E189" s="150" t="n">
        <v>0.25</v>
      </c>
      <c r="F189" s="150" t="n">
        <v>0.35</v>
      </c>
      <c r="G189" s="59" t="s">
        <v>114</v>
      </c>
      <c r="H189" s="87" t="s">
        <v>1690</v>
      </c>
    </row>
    <row r="190" customFormat="false" ht="15" hidden="false" customHeight="false" outlineLevel="0" collapsed="false">
      <c r="A190" s="5" t="s">
        <v>1691</v>
      </c>
      <c r="B190" s="62" t="s">
        <v>113</v>
      </c>
      <c r="C190" s="103" t="n">
        <f aca="false">1-C188-C189</f>
        <v>0.2</v>
      </c>
      <c r="D190" s="103" t="n">
        <f aca="false">1-D188-D189</f>
        <v>0.2</v>
      </c>
      <c r="E190" s="103" t="n">
        <f aca="false">1-E188-E189</f>
        <v>0.2</v>
      </c>
      <c r="F190" s="103" t="n">
        <f aca="false">1-F188-F189</f>
        <v>0.2</v>
      </c>
      <c r="G190" s="59" t="s">
        <v>162</v>
      </c>
      <c r="H190" s="93" t="s">
        <v>1692</v>
      </c>
    </row>
    <row r="191" customFormat="false" ht="64.9" hidden="false" customHeight="false" outlineLevel="0" collapsed="false">
      <c r="A191" s="5" t="s">
        <v>1693</v>
      </c>
      <c r="B191" s="62" t="s">
        <v>1023</v>
      </c>
      <c r="C191" s="116" t="n">
        <f aca="false">C187*C188</f>
        <v>9.149</v>
      </c>
      <c r="D191" s="116" t="n">
        <f aca="false">D187*D188</f>
        <v>13.68</v>
      </c>
      <c r="E191" s="116" t="n">
        <f aca="false">E187*E188</f>
        <v>14.465</v>
      </c>
      <c r="F191" s="116" t="n">
        <f aca="false">F187*F188</f>
        <v>15.75</v>
      </c>
      <c r="G191" s="59" t="s">
        <v>162</v>
      </c>
      <c r="H191" s="87" t="s">
        <v>1694</v>
      </c>
    </row>
    <row r="192" customFormat="false" ht="39.55" hidden="false" customHeight="false" outlineLevel="0" collapsed="false">
      <c r="A192" s="5" t="s">
        <v>1695</v>
      </c>
      <c r="B192" s="62" t="s">
        <v>1023</v>
      </c>
      <c r="C192" s="116" t="n">
        <f aca="false">C187*C189</f>
        <v>1.307</v>
      </c>
      <c r="D192" s="116" t="n">
        <f aca="false">D187*D189</f>
        <v>4.56</v>
      </c>
      <c r="E192" s="116" t="n">
        <f aca="false">E187*E189</f>
        <v>6.575</v>
      </c>
      <c r="F192" s="116" t="n">
        <f aca="false">F187*F189</f>
        <v>12.25</v>
      </c>
      <c r="G192" s="59" t="s">
        <v>162</v>
      </c>
      <c r="H192" s="87" t="s">
        <v>1696</v>
      </c>
    </row>
    <row r="193" customFormat="false" ht="77.6" hidden="false" customHeight="false" outlineLevel="0" collapsed="false">
      <c r="A193" s="6" t="s">
        <v>1697</v>
      </c>
      <c r="B193" s="62" t="s">
        <v>1023</v>
      </c>
      <c r="C193" s="116" t="n">
        <f aca="false">C187*C190</f>
        <v>2.614</v>
      </c>
      <c r="D193" s="116" t="n">
        <f aca="false">D187*D190</f>
        <v>4.56</v>
      </c>
      <c r="E193" s="116" t="n">
        <f aca="false">E187*E190</f>
        <v>5.26</v>
      </c>
      <c r="F193" s="116" t="n">
        <f aca="false">F187*F190</f>
        <v>7</v>
      </c>
      <c r="G193" s="59" t="s">
        <v>162</v>
      </c>
      <c r="H193" s="87" t="s">
        <v>1698</v>
      </c>
    </row>
    <row r="194" customFormat="false" ht="15" hidden="false" customHeight="false" outlineLevel="0" collapsed="false">
      <c r="A194" s="10" t="s">
        <v>1699</v>
      </c>
    </row>
    <row r="195" customFormat="false" ht="88.05" hidden="false" customHeight="false" outlineLevel="0" collapsed="false">
      <c r="A195" s="6" t="s">
        <v>1700</v>
      </c>
      <c r="B195" s="62" t="s">
        <v>118</v>
      </c>
      <c r="C195" s="62" t="s">
        <v>751</v>
      </c>
      <c r="D195" s="62" t="s">
        <v>751</v>
      </c>
      <c r="E195" s="62" t="s">
        <v>751</v>
      </c>
      <c r="F195" s="148" t="n">
        <v>1.3</v>
      </c>
      <c r="G195" s="59" t="s">
        <v>114</v>
      </c>
      <c r="H195" s="93" t="s">
        <v>1701</v>
      </c>
    </row>
    <row r="196" customFormat="false" ht="73.1" hidden="false" customHeight="false" outlineLevel="0" collapsed="false">
      <c r="A196" s="6" t="s">
        <v>1702</v>
      </c>
      <c r="B196" s="62" t="s">
        <v>931</v>
      </c>
      <c r="C196" s="63" t="n">
        <f aca="false">AL_DAPI</f>
        <v>2365200000</v>
      </c>
      <c r="D196" s="68" t="n">
        <f aca="false">SRC_DEM_011*1000000000*525600/1000000</f>
        <v>7884000000</v>
      </c>
      <c r="E196" s="68" t="n">
        <f aca="false">SRC_DEM_011*1000000000*525600/1000000</f>
        <v>7884000000</v>
      </c>
      <c r="F196" s="68" t="n">
        <f aca="false">E196*F195</f>
        <v>10249200000</v>
      </c>
      <c r="G196" s="59" t="s">
        <v>1640</v>
      </c>
      <c r="H196" s="87" t="s">
        <v>1703</v>
      </c>
    </row>
    <row r="197" customFormat="false" ht="121.6" hidden="false" customHeight="false" outlineLevel="0" collapsed="false">
      <c r="A197" s="6" t="s">
        <v>1704</v>
      </c>
      <c r="B197" s="62" t="s">
        <v>1705</v>
      </c>
      <c r="C197" s="97" t="n">
        <f aca="false">SRC_DEM_012</f>
        <v>2.5</v>
      </c>
      <c r="D197" s="79" t="n">
        <v>3.2</v>
      </c>
      <c r="E197" s="79" t="n">
        <v>3.6</v>
      </c>
      <c r="F197" s="79" t="n">
        <v>3.8</v>
      </c>
      <c r="G197" s="59" t="s">
        <v>1706</v>
      </c>
      <c r="H197" s="87" t="s">
        <v>1707</v>
      </c>
    </row>
    <row r="198" customFormat="false" ht="100.7" hidden="false" customHeight="false" outlineLevel="0" collapsed="false">
      <c r="A198" s="6" t="s">
        <v>1708</v>
      </c>
      <c r="B198" s="62" t="s">
        <v>931</v>
      </c>
      <c r="C198" s="68" t="n">
        <f aca="false">C197*1000000000*AL_TokPerPrompt*365/1000000*(1-AL_FreeShare)</f>
        <v>1460000000</v>
      </c>
      <c r="D198" s="68" t="n">
        <f aca="false">D197*1000000000*AL_TokPerPrompt*365/1000000*(1-AL_FreeShare)</f>
        <v>1868800000</v>
      </c>
      <c r="E198" s="68" t="n">
        <f aca="false">E197*1000000000*AL_TokPerPrompt*365/1000000*(1-AL_FreeShare)</f>
        <v>2102400000</v>
      </c>
      <c r="F198" s="68" t="n">
        <f aca="false">F197*1000000000*AL_TokPerPrompt*365/1000000*(1-AL_FreeShare)</f>
        <v>2219200000</v>
      </c>
      <c r="G198" s="59" t="s">
        <v>1454</v>
      </c>
      <c r="H198" s="87" t="s">
        <v>1709</v>
      </c>
    </row>
    <row r="199" customFormat="false" ht="26.85" hidden="false" customHeight="false" outlineLevel="0" collapsed="false">
      <c r="A199" s="6" t="s">
        <v>1710</v>
      </c>
      <c r="B199" s="62" t="s">
        <v>931</v>
      </c>
      <c r="C199" s="68" t="n">
        <f aca="false">C197*1000000000*AL_TokPerPrompt*365/1000000*AL_FreeShare</f>
        <v>2190000000</v>
      </c>
      <c r="D199" s="68" t="n">
        <f aca="false">D197*1000000000*AL_TokPerPrompt*365/1000000*AL_FreeShare</f>
        <v>2803200000</v>
      </c>
      <c r="E199" s="68" t="n">
        <f aca="false">E197*1000000000*AL_TokPerPrompt*365/1000000*AL_FreeShare</f>
        <v>3153600000</v>
      </c>
      <c r="F199" s="68" t="n">
        <f aca="false">F197*1000000000*AL_TokPerPrompt*365/1000000*AL_FreeShare</f>
        <v>3328800000</v>
      </c>
      <c r="G199" s="59" t="s">
        <v>1454</v>
      </c>
      <c r="H199" s="87" t="s">
        <v>1711</v>
      </c>
    </row>
    <row r="200" customFormat="false" ht="204.45" hidden="false" customHeight="false" outlineLevel="0" collapsed="false">
      <c r="A200" s="6" t="s">
        <v>1712</v>
      </c>
      <c r="B200" s="62" t="s">
        <v>113</v>
      </c>
      <c r="C200" s="103" t="n">
        <f aca="false">$C$132</f>
        <v>0.75</v>
      </c>
      <c r="D200" s="150" t="n">
        <v>0.65</v>
      </c>
      <c r="E200" s="103" t="n">
        <f aca="false">D200</f>
        <v>0.65</v>
      </c>
      <c r="F200" s="103" t="n">
        <f aca="false">D200</f>
        <v>0.65</v>
      </c>
      <c r="G200" s="59" t="s">
        <v>1713</v>
      </c>
      <c r="H200" s="93" t="s">
        <v>1714</v>
      </c>
    </row>
    <row r="201" customFormat="false" ht="64.9" hidden="false" customHeight="false" outlineLevel="0" collapsed="false">
      <c r="A201" s="5" t="s">
        <v>1715</v>
      </c>
      <c r="B201" s="62" t="s">
        <v>931</v>
      </c>
      <c r="C201" s="68" t="n">
        <f aca="false">C198*C200</f>
        <v>1095000000</v>
      </c>
      <c r="D201" s="68" t="n">
        <f aca="false">D198*D200</f>
        <v>1214720000</v>
      </c>
      <c r="E201" s="68" t="n">
        <f aca="false">E198*E200</f>
        <v>1366560000</v>
      </c>
      <c r="F201" s="68" t="n">
        <f aca="false">F198*F200</f>
        <v>1442480000</v>
      </c>
      <c r="G201" s="59" t="s">
        <v>1454</v>
      </c>
      <c r="H201" s="87" t="s">
        <v>1716</v>
      </c>
    </row>
    <row r="202" customFormat="false" ht="29.85" hidden="false" customHeight="false" outlineLevel="0" collapsed="false">
      <c r="A202" s="5" t="s">
        <v>1583</v>
      </c>
      <c r="B202" s="62" t="s">
        <v>931</v>
      </c>
      <c r="C202" s="68" t="n">
        <f aca="false">C198*(1-C200)</f>
        <v>365000000</v>
      </c>
      <c r="D202" s="68" t="n">
        <f aca="false">D198*(1-D200)</f>
        <v>654080000</v>
      </c>
      <c r="E202" s="68" t="n">
        <f aca="false">E198*(1-E200)</f>
        <v>735840000</v>
      </c>
      <c r="F202" s="68" t="n">
        <f aca="false">F198*(1-F200)</f>
        <v>776720000</v>
      </c>
      <c r="G202" s="59" t="s">
        <v>1454</v>
      </c>
      <c r="H202" s="93"/>
    </row>
    <row r="203" customFormat="false" ht="15" hidden="false" customHeight="false" outlineLevel="0" collapsed="false">
      <c r="A203" s="10" t="s">
        <v>1717</v>
      </c>
    </row>
    <row r="204" customFormat="false" ht="141" hidden="false" customHeight="false" outlineLevel="0" collapsed="false">
      <c r="A204" s="6" t="s">
        <v>1718</v>
      </c>
      <c r="B204" s="62" t="s">
        <v>118</v>
      </c>
      <c r="C204" s="107" t="n">
        <f aca="false">$C$232</f>
        <v>0.741199548797632</v>
      </c>
      <c r="D204" s="107" t="n">
        <f aca="false">C204</f>
        <v>0.741199548797632</v>
      </c>
      <c r="E204" s="107" t="n">
        <f aca="false">C204</f>
        <v>0.741199548797632</v>
      </c>
      <c r="F204" s="107" t="n">
        <f aca="false">C204</f>
        <v>0.741199548797632</v>
      </c>
      <c r="G204" s="59" t="s">
        <v>1719</v>
      </c>
      <c r="H204" s="87" t="s">
        <v>1720</v>
      </c>
    </row>
    <row r="205" customFormat="false" ht="44" hidden="false" customHeight="false" outlineLevel="0" collapsed="false">
      <c r="A205" s="5" t="s">
        <v>1721</v>
      </c>
      <c r="B205" s="62" t="s">
        <v>976</v>
      </c>
      <c r="C205" s="126" t="n">
        <f aca="false">CAP_Price25Mix</f>
        <v>1.68024</v>
      </c>
      <c r="D205" s="126" t="n">
        <f aca="false">$C$90</f>
        <v>1.96067555555556</v>
      </c>
      <c r="E205" s="126" t="n">
        <f aca="false">$C$90</f>
        <v>1.96067555555556</v>
      </c>
      <c r="F205" s="126" t="n">
        <f aca="false">$C$90</f>
        <v>1.96067555555556</v>
      </c>
      <c r="G205" s="59" t="s">
        <v>162</v>
      </c>
      <c r="H205" s="93" t="s">
        <v>1722</v>
      </c>
    </row>
    <row r="206" customFormat="false" ht="88.05" hidden="false" customHeight="false" outlineLevel="0" collapsed="false">
      <c r="A206" s="6" t="s">
        <v>1723</v>
      </c>
      <c r="B206" s="62" t="s">
        <v>118</v>
      </c>
      <c r="C206" s="106" t="n">
        <f aca="false">C193*1000000000/(C196*C205)</f>
        <v>0.657758385671576</v>
      </c>
      <c r="D206" s="107" t="n">
        <f aca="false">D193*1000000000/(D196*D205)</f>
        <v>0.294993531257639</v>
      </c>
      <c r="E206" s="107" t="n">
        <f aca="false">E193*1000000000/(E196*E205)</f>
        <v>0.340277625968241</v>
      </c>
      <c r="F206" s="107" t="n">
        <f aca="false">F193*1000000000/(F196*F205)</f>
        <v>0.348339190081557</v>
      </c>
      <c r="G206" s="59" t="s">
        <v>162</v>
      </c>
      <c r="H206" s="93" t="s">
        <v>1724</v>
      </c>
    </row>
    <row r="207" customFormat="false" ht="88.05" hidden="false" customHeight="false" outlineLevel="0" collapsed="false">
      <c r="A207" s="6" t="s">
        <v>1725</v>
      </c>
      <c r="B207" s="62" t="s">
        <v>118</v>
      </c>
      <c r="C207" s="107" t="n">
        <f aca="false">C191*1000000000/(C201*C205)</f>
        <v>4.97265339567711</v>
      </c>
      <c r="D207" s="107" t="n">
        <f aca="false">D191*1000000000/(D201*D205)</f>
        <v>5.74386443073768</v>
      </c>
      <c r="E207" s="107" t="n">
        <f aca="false">E191*1000000000/(E201*E205)</f>
        <v>5.39863541199614</v>
      </c>
      <c r="F207" s="107" t="n">
        <f aca="false">F191*1000000000/(F201*F205)</f>
        <v>5.56884363090911</v>
      </c>
      <c r="G207" s="59" t="s">
        <v>162</v>
      </c>
      <c r="H207" s="93" t="s">
        <v>1726</v>
      </c>
    </row>
    <row r="208" customFormat="false" ht="88.05" hidden="false" customHeight="false" outlineLevel="0" collapsed="false">
      <c r="A208" s="6" t="s">
        <v>1727</v>
      </c>
      <c r="B208" s="62" t="s">
        <v>118</v>
      </c>
      <c r="C208" s="107" t="n">
        <f aca="false">C192*1000000000/(C202*C205)</f>
        <v>2.13113716957591</v>
      </c>
      <c r="D208" s="107" t="n">
        <f aca="false">D192*1000000000/(D202*D205)</f>
        <v>3.55572559998047</v>
      </c>
      <c r="E208" s="107" t="n">
        <f aca="false">E192*1000000000/(E202*E205)</f>
        <v>4.55728963350323</v>
      </c>
      <c r="F208" s="107" t="n">
        <f aca="false">F192*1000000000/(F202*F205)</f>
        <v>8.04388524464649</v>
      </c>
      <c r="G208" s="59" t="s">
        <v>162</v>
      </c>
      <c r="H208" s="93" t="s">
        <v>1728</v>
      </c>
    </row>
    <row r="209" customFormat="false" ht="123.85" hidden="false" customHeight="false" outlineLevel="0" collapsed="false">
      <c r="A209" s="6" t="s">
        <v>1729</v>
      </c>
      <c r="B209" s="62" t="s">
        <v>118</v>
      </c>
      <c r="C209" s="106" t="n">
        <f aca="false">C187*1000000000/((C196+C198)*C205)</f>
        <v>2.03352783356479</v>
      </c>
      <c r="D209" s="107" t="n">
        <f aca="false">D187*1000000000/((D196+D198)*D205)</f>
        <v>1.19233912334674</v>
      </c>
      <c r="E209" s="107" t="n">
        <f aca="false">E187*1000000000/((E196+E198)*E205)</f>
        <v>1.34320115513779</v>
      </c>
      <c r="F209" s="107" t="n">
        <f aca="false">F187*1000000000/((F196+F198)*F205)</f>
        <v>1.4316985447146</v>
      </c>
      <c r="G209" s="59" t="s">
        <v>162</v>
      </c>
      <c r="H209" s="93" t="s">
        <v>1730</v>
      </c>
    </row>
    <row r="210" customFormat="false" ht="15" hidden="false" customHeight="false" outlineLevel="0" collapsed="false">
      <c r="A210" s="10" t="s">
        <v>1731</v>
      </c>
    </row>
    <row r="211" customFormat="false" ht="88.05" hidden="false" customHeight="false" outlineLevel="0" collapsed="false">
      <c r="A211" s="6" t="s">
        <v>1732</v>
      </c>
      <c r="B211" s="62" t="s">
        <v>113</v>
      </c>
      <c r="C211" s="112" t="n">
        <f aca="false">AL_MixHopper</f>
        <v>0.6</v>
      </c>
      <c r="D211" s="150" t="n">
        <v>0.25</v>
      </c>
      <c r="E211" s="103" t="n">
        <f aca="false">D211</f>
        <v>0.25</v>
      </c>
      <c r="F211" s="103" t="n">
        <f aca="false">D211</f>
        <v>0.25</v>
      </c>
      <c r="G211" s="59" t="s">
        <v>114</v>
      </c>
      <c r="H211" s="93" t="s">
        <v>1733</v>
      </c>
      <c r="O211" s="74" t="s">
        <v>1734</v>
      </c>
    </row>
    <row r="212" customFormat="false" ht="62.65" hidden="false" customHeight="false" outlineLevel="0" collapsed="false">
      <c r="A212" s="6" t="s">
        <v>1735</v>
      </c>
      <c r="B212" s="62" t="s">
        <v>113</v>
      </c>
      <c r="C212" s="112" t="n">
        <f aca="false">AL_MixGB200</f>
        <v>0.4</v>
      </c>
      <c r="D212" s="150" t="n">
        <v>0.45</v>
      </c>
      <c r="E212" s="103" t="n">
        <f aca="false">D212</f>
        <v>0.45</v>
      </c>
      <c r="F212" s="103" t="n">
        <f aca="false">D212</f>
        <v>0.45</v>
      </c>
      <c r="G212" s="59" t="s">
        <v>114</v>
      </c>
      <c r="H212" s="93" t="s">
        <v>1736</v>
      </c>
      <c r="O212" s="74" t="s">
        <v>1737</v>
      </c>
    </row>
    <row r="213" customFormat="false" ht="62.65" hidden="false" customHeight="false" outlineLevel="0" collapsed="false">
      <c r="A213" s="6" t="s">
        <v>1738</v>
      </c>
      <c r="B213" s="62" t="s">
        <v>113</v>
      </c>
      <c r="C213" s="112" t="n">
        <f aca="false">AL_MixGB300</f>
        <v>0</v>
      </c>
      <c r="D213" s="150" t="n">
        <v>0.25</v>
      </c>
      <c r="E213" s="103" t="n">
        <f aca="false">D213</f>
        <v>0.25</v>
      </c>
      <c r="F213" s="103" t="n">
        <f aca="false">D213</f>
        <v>0.25</v>
      </c>
      <c r="G213" s="59" t="s">
        <v>114</v>
      </c>
      <c r="H213" s="93" t="s">
        <v>1739</v>
      </c>
      <c r="O213" s="74" t="s">
        <v>1740</v>
      </c>
    </row>
    <row r="214" customFormat="false" ht="113.4" hidden="false" customHeight="false" outlineLevel="0" collapsed="false">
      <c r="A214" s="6" t="s">
        <v>1741</v>
      </c>
      <c r="B214" s="62" t="s">
        <v>113</v>
      </c>
      <c r="C214" s="112" t="n">
        <f aca="false">AL_MixVR200</f>
        <v>0</v>
      </c>
      <c r="D214" s="150" t="n">
        <v>0.05</v>
      </c>
      <c r="E214" s="103" t="n">
        <f aca="false">D214</f>
        <v>0.05</v>
      </c>
      <c r="F214" s="103" t="n">
        <f aca="false">D214</f>
        <v>0.05</v>
      </c>
      <c r="G214" s="59" t="s">
        <v>114</v>
      </c>
      <c r="H214" s="93" t="s">
        <v>1742</v>
      </c>
      <c r="O214" s="74" t="s">
        <v>1743</v>
      </c>
    </row>
    <row r="215" customFormat="false" ht="15" hidden="false" customHeight="false" outlineLevel="0" collapsed="false">
      <c r="A215" s="5" t="s">
        <v>1744</v>
      </c>
      <c r="B215" s="62" t="s">
        <v>113</v>
      </c>
      <c r="C215" s="103" t="n">
        <f aca="false">C211+C212+C213+C214</f>
        <v>1</v>
      </c>
      <c r="D215" s="103" t="n">
        <f aca="false">D211+D212+D213+D214</f>
        <v>1</v>
      </c>
      <c r="E215" s="103" t="n">
        <f aca="false">E211+E212+E213+E214</f>
        <v>1</v>
      </c>
      <c r="F215" s="103" t="n">
        <f aca="false">F211+F212+F213+F214</f>
        <v>1</v>
      </c>
      <c r="G215" s="59" t="s">
        <v>162</v>
      </c>
      <c r="H215" s="93"/>
    </row>
    <row r="216" customFormat="false" ht="180.55" hidden="false" customHeight="false" outlineLevel="0" collapsed="false">
      <c r="A216" s="5" t="s">
        <v>1745</v>
      </c>
      <c r="B216" s="62" t="s">
        <v>1023</v>
      </c>
      <c r="C216" s="94" t="n">
        <f aca="false">SRC_DEM_004</f>
        <v>8.4</v>
      </c>
      <c r="D216" s="94" t="n">
        <f aca="false">SRC_DEM_070</f>
        <v>14.1</v>
      </c>
      <c r="E216" s="94" t="n">
        <f aca="false">SRC_DEM_070</f>
        <v>14.1</v>
      </c>
      <c r="F216" s="94" t="n">
        <f aca="false">SRC_DEM_070</f>
        <v>14.1</v>
      </c>
      <c r="G216" s="59" t="s">
        <v>1428</v>
      </c>
      <c r="H216" s="87" t="s">
        <v>1746</v>
      </c>
    </row>
    <row r="217" customFormat="false" ht="39.55" hidden="false" customHeight="false" outlineLevel="0" collapsed="false">
      <c r="A217" s="5" t="s">
        <v>1747</v>
      </c>
      <c r="B217" s="62" t="s">
        <v>1748</v>
      </c>
      <c r="C217" s="107" t="n">
        <f aca="false">SUMPRODUCT(AL_ShareGen,AL_HoldGen)</f>
        <v>9.35311859805586</v>
      </c>
      <c r="D217" s="107" t="n">
        <f aca="false">D211*INDEX(AL_HoldGen,1,1)+D212*INDEX(AL_HoldGen,1,2)+D213*INDEX(AL_HoldGen,1,3)+D214*INDEX(AL_HoldGen,1,4)</f>
        <v>9.73132262697082</v>
      </c>
      <c r="E217" s="107" t="n">
        <f aca="false">E211*INDEX(AL_HoldGen,1,1)+E212*INDEX(AL_HoldGen,1,2)+E213*INDEX(AL_HoldGen,1,3)+E214*INDEX(AL_HoldGen,1,4)</f>
        <v>9.73132262697082</v>
      </c>
      <c r="F217" s="107" t="n">
        <f aca="false">F211*INDEX(AL_HoldGen,1,1)+F212*INDEX(AL_HoldGen,1,2)+F213*INDEX(AL_HoldGen,1,3)+F214*INDEX(AL_HoldGen,1,4)</f>
        <v>9.73132262697082</v>
      </c>
      <c r="G217" s="59" t="s">
        <v>162</v>
      </c>
      <c r="H217" s="87" t="s">
        <v>1749</v>
      </c>
    </row>
    <row r="218" customFormat="false" ht="261.15" hidden="false" customHeight="false" outlineLevel="0" collapsed="false">
      <c r="A218" s="5" t="s">
        <v>1750</v>
      </c>
      <c r="B218" s="62" t="s">
        <v>103</v>
      </c>
      <c r="C218" s="73" t="n">
        <f aca="false">C216/C217/AL_SpendBasis*(AL_UtilActual*CTL_ProdDerate)/IF_Util*AL_Kappa</f>
        <v>0.613699050196275</v>
      </c>
      <c r="D218" s="73" t="n">
        <f aca="false">D216/D217/AL_SpendBasis*(AL_UtilActual*CTL_ProdDerate)/IF_Util*AL_Kappa</f>
        <v>0.990101794929308</v>
      </c>
      <c r="E218" s="73" t="n">
        <f aca="false">E216/E217/AL_SpendBasis*(AL_UtilActual*CTL_ProdDerate)/IF_Util*AL_Kappa</f>
        <v>0.990101794929308</v>
      </c>
      <c r="F218" s="73" t="n">
        <f aca="false">F216/F217/AL_SpendBasis*(AL_UtilActual*CTL_ProdDerate)/IF_Util*AL_Kappa</f>
        <v>0.990101794929308</v>
      </c>
      <c r="G218" s="59" t="s">
        <v>1454</v>
      </c>
      <c r="H218" s="93" t="s">
        <v>1751</v>
      </c>
    </row>
    <row r="219" customFormat="false" ht="64.9" hidden="false" customHeight="false" outlineLevel="0" collapsed="false">
      <c r="A219" s="5" t="s">
        <v>1752</v>
      </c>
      <c r="B219" s="62" t="s">
        <v>1528</v>
      </c>
      <c r="C219" s="63" t="n">
        <f aca="false">AL_BlendPaid</f>
        <v>36113797739.3207</v>
      </c>
      <c r="D219" s="68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211,0)+IF(AND(D212&gt;0,ISNUMBER(INDEX(AL_CapPaid,1,2))),D212,0)+IF(AND(D213&gt;0,ISNUMBER(INDEX(AL_CapPaid,1,3))),D213,0)+IF(AND(D214&gt;0,ISNUMBER(INDEX(AL_CapPaid,1,4))),D214,0))&gt;0,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/(IF(AND(D211&gt;0,ISNUMBER(INDEX(AL_CapPaid,1,1))),D211,0)+IF(AND(D212&gt;0,ISNUMBER(INDEX(AL_CapPaid,1,2))),D212,0)+IF(AND(D213&gt;0,ISNUMBER(INDEX(AL_CapPaid,1,3))),D213,0)+IF(AND(D214&gt;0,ISNUMBER(INDEX(AL_CapPaid,1,4))),D214,0)),AL_UnavailTxt))</f>
        <v>64783450975.3129</v>
      </c>
      <c r="E219" s="68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211,0)+IF(AND(E212&gt;0,ISNUMBER(INDEX(AL_CapPaid,1,2))),E212,0)+IF(AND(E213&gt;0,ISNUMBER(INDEX(AL_CapPaid,1,3))),E213,0)+IF(AND(E214&gt;0,ISNUMBER(INDEX(AL_CapPaid,1,4))),E214,0))&gt;0,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/(IF(AND(E211&gt;0,ISNUMBER(INDEX(AL_CapPaid,1,1))),E211,0)+IF(AND(E212&gt;0,ISNUMBER(INDEX(AL_CapPaid,1,2))),E212,0)+IF(AND(E213&gt;0,ISNUMBER(INDEX(AL_CapPaid,1,3))),E213,0)+IF(AND(E214&gt;0,ISNUMBER(INDEX(AL_CapPaid,1,4))),E214,0)),AL_UnavailTxt))</f>
        <v>64783450975.3129</v>
      </c>
      <c r="F219" s="68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211,0)+IF(AND(F212&gt;0,ISNUMBER(INDEX(AL_CapPaid,1,2))),F212,0)+IF(AND(F213&gt;0,ISNUMBER(INDEX(AL_CapPaid,1,3))),F213,0)+IF(AND(F214&gt;0,ISNUMBER(INDEX(AL_CapPaid,1,4))),F214,0))&gt;0,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/(IF(AND(F211&gt;0,ISNUMBER(INDEX(AL_CapPaid,1,1))),F211,0)+IF(AND(F212&gt;0,ISNUMBER(INDEX(AL_CapPaid,1,2))),F212,0)+IF(AND(F213&gt;0,ISNUMBER(INDEX(AL_CapPaid,1,3))),F213,0)+IF(AND(F214&gt;0,ISNUMBER(INDEX(AL_CapPaid,1,4))),F214,0)),AL_UnavailTxt))</f>
        <v>64783450975.3129</v>
      </c>
      <c r="G219" s="59" t="s">
        <v>162</v>
      </c>
      <c r="H219" s="87" t="s">
        <v>1753</v>
      </c>
    </row>
    <row r="220" customFormat="false" ht="26.85" hidden="false" customHeight="false" outlineLevel="0" collapsed="false">
      <c r="A220" s="5" t="s">
        <v>1754</v>
      </c>
      <c r="B220" s="62" t="s">
        <v>1528</v>
      </c>
      <c r="C220" s="63" t="n">
        <f aca="false">AL_BlendFree</f>
        <v>128845573400.042</v>
      </c>
      <c r="D220" s="68" t="n">
        <f aca="false">IF(OR(AND(D211&gt;0,NOT(ISNUMBER(INDEX(AL_CapFree,1,1)))),AND(D212&gt;0,NOT(ISNUMBER(INDEX(AL_CapFree,1,2)))),AND(D213&gt;0,NOT(ISNUMBER(INDEX(AL_CapFree,1,3)))),AND(D214&gt;0,NOT(ISNUMBER(INDEX(AL_CapFree,1,4))))),"整代不可達",IF((IF(AND(D211&gt;0,ISNUMBER(INDEX(AL_CapFree,1,1))),D211,0)+IF(AND(D212&gt;0,ISNUMBER(INDEX(AL_CapFree,1,2))),D212,0)+IF(AND(D213&gt;0,ISNUMBER(INDEX(AL_CapFree,1,3))),D213,0)+IF(AND(D214&gt;0,ISNUMBER(INDEX(AL_CapFree,1,4))),D214,0))&gt;0,(IF(AND(D211&gt;0,ISNUMBER(INDEX(AL_CapFree,1,1))),D211*INDEX(AL_CapFree,1,1),0)+IF(AND(D212&gt;0,ISNUMBER(INDEX(AL_CapFree,1,2))),D212*INDEX(AL_CapFree,1,2),0)+IF(AND(D213&gt;0,ISNUMBER(INDEX(AL_CapFree,1,3))),D213*INDEX(AL_CapFree,1,3),0)+IF(AND(D214&gt;0,ISNUMBER(INDEX(AL_CapFree,1,4))),D214*INDEX(AL_CapFree,1,4),0))/(IF(AND(D211&gt;0,ISNUMBER(INDEX(AL_CapFree,1,1))),D211,0)+IF(AND(D212&gt;0,ISNUMBER(INDEX(AL_CapFree,1,2))),D212,0)+IF(AND(D213&gt;0,ISNUMBER(INDEX(AL_CapFree,1,3))),D213,0)+IF(AND(D214&gt;0,ISNUMBER(INDEX(AL_CapFree,1,4))),D214,0)),AL_UnavailTxt))</f>
        <v>234699940768.467</v>
      </c>
      <c r="E220" s="68" t="n">
        <f aca="false">IF(OR(AND(E211&gt;0,NOT(ISNUMBER(INDEX(AL_CapFree,1,1)))),AND(E212&gt;0,NOT(ISNUMBER(INDEX(AL_CapFree,1,2)))),AND(E213&gt;0,NOT(ISNUMBER(INDEX(AL_CapFree,1,3)))),AND(E214&gt;0,NOT(ISNUMBER(INDEX(AL_CapFree,1,4))))),"整代不可達",IF((IF(AND(E211&gt;0,ISNUMBER(INDEX(AL_CapFree,1,1))),E211,0)+IF(AND(E212&gt;0,ISNUMBER(INDEX(AL_CapFree,1,2))),E212,0)+IF(AND(E213&gt;0,ISNUMBER(INDEX(AL_CapFree,1,3))),E213,0)+IF(AND(E214&gt;0,ISNUMBER(INDEX(AL_CapFree,1,4))),E214,0))&gt;0,(IF(AND(E211&gt;0,ISNUMBER(INDEX(AL_CapFree,1,1))),E211*INDEX(AL_CapFree,1,1),0)+IF(AND(E212&gt;0,ISNUMBER(INDEX(AL_CapFree,1,2))),E212*INDEX(AL_CapFree,1,2),0)+IF(AND(E213&gt;0,ISNUMBER(INDEX(AL_CapFree,1,3))),E213*INDEX(AL_CapFree,1,3),0)+IF(AND(E214&gt;0,ISNUMBER(INDEX(AL_CapFree,1,4))),E214*INDEX(AL_CapFree,1,4),0))/(IF(AND(E211&gt;0,ISNUMBER(INDEX(AL_CapFree,1,1))),E211,0)+IF(AND(E212&gt;0,ISNUMBER(INDEX(AL_CapFree,1,2))),E212,0)+IF(AND(E213&gt;0,ISNUMBER(INDEX(AL_CapFree,1,3))),E213,0)+IF(AND(E214&gt;0,ISNUMBER(INDEX(AL_CapFree,1,4))),E214,0)),AL_UnavailTxt))</f>
        <v>234699940768.467</v>
      </c>
      <c r="F220" s="68" t="n">
        <f aca="false">IF(OR(AND(F211&gt;0,NOT(ISNUMBER(INDEX(AL_CapFree,1,1)))),AND(F212&gt;0,NOT(ISNUMBER(INDEX(AL_CapFree,1,2)))),AND(F213&gt;0,NOT(ISNUMBER(INDEX(AL_CapFree,1,3)))),AND(F214&gt;0,NOT(ISNUMBER(INDEX(AL_CapFree,1,4))))),"整代不可達",IF((IF(AND(F211&gt;0,ISNUMBER(INDEX(AL_CapFree,1,1))),F211,0)+IF(AND(F212&gt;0,ISNUMBER(INDEX(AL_CapFree,1,2))),F212,0)+IF(AND(F213&gt;0,ISNUMBER(INDEX(AL_CapFree,1,3))),F213,0)+IF(AND(F214&gt;0,ISNUMBER(INDEX(AL_CapFree,1,4))),F214,0))&gt;0,(IF(AND(F211&gt;0,ISNUMBER(INDEX(AL_CapFree,1,1))),F211*INDEX(AL_CapFree,1,1),0)+IF(AND(F212&gt;0,ISNUMBER(INDEX(AL_CapFree,1,2))),F212*INDEX(AL_CapFree,1,2),0)+IF(AND(F213&gt;0,ISNUMBER(INDEX(AL_CapFree,1,3))),F213*INDEX(AL_CapFree,1,3),0)+IF(AND(F214&gt;0,ISNUMBER(INDEX(AL_CapFree,1,4))),F214*INDEX(AL_CapFree,1,4),0))/(IF(AND(F211&gt;0,ISNUMBER(INDEX(AL_CapFree,1,1))),F211,0)+IF(AND(F212&gt;0,ISNUMBER(INDEX(AL_CapFree,1,2))),F212,0)+IF(AND(F213&gt;0,ISNUMBER(INDEX(AL_CapFree,1,3))),F213,0)+IF(AND(F214&gt;0,ISNUMBER(INDEX(AL_CapFree,1,4))),F214,0)),AL_UnavailTxt))</f>
        <v>234699940768.467</v>
      </c>
      <c r="G220" s="59" t="s">
        <v>162</v>
      </c>
      <c r="H220" s="87" t="s">
        <v>1755</v>
      </c>
    </row>
    <row r="221" customFormat="false" ht="37.3" hidden="false" customHeight="false" outlineLevel="0" collapsed="false">
      <c r="A221" s="5" t="s">
        <v>1756</v>
      </c>
      <c r="B221" s="62" t="s">
        <v>118</v>
      </c>
      <c r="C221" s="107" t="n">
        <f aca="false">C199/(C196+C198)</f>
        <v>0.572519083969466</v>
      </c>
      <c r="D221" s="107" t="n">
        <f aca="false">D199/(D196+D198)</f>
        <v>0.287425149700599</v>
      </c>
      <c r="E221" s="107" t="n">
        <f aca="false">E199/(E196+E198)</f>
        <v>0.315789473684211</v>
      </c>
      <c r="F221" s="107" t="n">
        <f aca="false">F199/(F196+F198)</f>
        <v>0.266978922716628</v>
      </c>
      <c r="G221" s="59" t="s">
        <v>162</v>
      </c>
      <c r="H221" s="87" t="s">
        <v>1757</v>
      </c>
    </row>
    <row r="222" customFormat="false" ht="29.85" hidden="false" customHeight="false" outlineLevel="0" collapsed="false">
      <c r="A222" s="5" t="s">
        <v>1542</v>
      </c>
      <c r="B222" s="62" t="s">
        <v>931</v>
      </c>
      <c r="C222" s="68" t="n">
        <f aca="false">IF(AND(ISNUMBER(C219),ISNUMBER(C220)),C218/(1/C219+C221/C220),AL_UnavailTxt)</f>
        <v>19098300660.0604</v>
      </c>
      <c r="D222" s="68" t="n">
        <f aca="false">IF(AND(ISNUMBER(D219),ISNUMBER(D220)),D218/(1/D219+D221/D220),AL_UnavailTxt)</f>
        <v>59427417114.7661</v>
      </c>
      <c r="E222" s="68" t="n">
        <f aca="false">IF(AND(ISNUMBER(E219),ISNUMBER(E220)),E218/(1/E219+E221/E220),AL_UnavailTxt)</f>
        <v>58999446058.5153</v>
      </c>
      <c r="F222" s="68" t="n">
        <f aca="false">IF(AND(ISNUMBER(F219),ISNUMBER(F220)),F218/(1/F219+F221/F220),AL_UnavailTxt)</f>
        <v>59739788241.2839</v>
      </c>
      <c r="G222" s="59" t="s">
        <v>162</v>
      </c>
      <c r="H222" s="87" t="s">
        <v>1758</v>
      </c>
    </row>
    <row r="223" customFormat="false" ht="60.4" hidden="false" customHeight="false" outlineLevel="0" collapsed="false">
      <c r="A223" s="6" t="s">
        <v>1759</v>
      </c>
      <c r="B223" s="62" t="s">
        <v>118</v>
      </c>
      <c r="C223" s="106" t="n">
        <f aca="false">IF(ISNUMBER(C222),C187*1000000000/(C222*INDEX(B4_PriceFleet,1,1)),AL_UnavailTxt)</f>
        <v>0.407295434678084</v>
      </c>
      <c r="D223" s="107" t="n">
        <f aca="false">IF(ISNUMBER(D222),D187*1000000000/(D222*INDEX(B4_PriceFleet,1,2)),AL_UnavailTxt)</f>
        <v>0.195678115704051</v>
      </c>
      <c r="E223" s="107" t="n">
        <f aca="false">IF(ISNUMBER(E222),E187*1000000000/(E222*INDEX(B4_PriceFleet,1,3)),AL_UnavailTxt)</f>
        <v>0.227353728073386</v>
      </c>
      <c r="F223" s="107" t="n">
        <f aca="false">IF(ISNUMBER(F222),F187*1000000000/(F222*INDEX(B4_PriceFleet,1,4)),AL_UnavailTxt)</f>
        <v>0.298812410630263</v>
      </c>
      <c r="G223" s="59" t="s">
        <v>162</v>
      </c>
      <c r="H223" s="93" t="s">
        <v>1760</v>
      </c>
    </row>
    <row r="224" customFormat="false" ht="39.55" hidden="false" customHeight="false" outlineLevel="0" collapsed="false">
      <c r="A224" s="5" t="s">
        <v>1761</v>
      </c>
      <c r="B224" s="62" t="s">
        <v>118</v>
      </c>
      <c r="C224" s="107" t="str">
        <f aca="false">IF(AND(ISNUMBER(C223),ISNUMBER(C119)),IF(AND(ABS(C209/C94-1)&lt;=0.000000001,ABS(C223/C119-1)&lt;=0.000000001),"一致","不一致"),IF(ABS(C209/C94-1)&lt;=0.000000001,"一致（m_fleet 為文字）","不一致"))</f>
        <v>一致</v>
      </c>
      <c r="D224" s="62" t="s">
        <v>751</v>
      </c>
      <c r="E224" s="62" t="s">
        <v>751</v>
      </c>
      <c r="F224" s="62" t="s">
        <v>751</v>
      </c>
      <c r="G224" s="59" t="s">
        <v>162</v>
      </c>
      <c r="H224" s="87" t="s">
        <v>1762</v>
      </c>
      <c r="O224" s="74" t="s">
        <v>1763</v>
      </c>
    </row>
    <row r="225" customFormat="false" ht="15" hidden="false" customHeight="false" outlineLevel="0" collapsed="false">
      <c r="A225" s="10" t="s">
        <v>1764</v>
      </c>
    </row>
    <row r="226" customFormat="false" ht="102.95" hidden="false" customHeight="false" outlineLevel="0" collapsed="false">
      <c r="A226" s="5" t="s">
        <v>1765</v>
      </c>
      <c r="B226" s="62" t="s">
        <v>113</v>
      </c>
      <c r="C226" s="150" t="n">
        <v>-0.1</v>
      </c>
      <c r="D226" s="150" t="n">
        <v>-0.25</v>
      </c>
      <c r="E226" s="150" t="n">
        <v>0.05</v>
      </c>
      <c r="F226" s="59" t="s">
        <v>114</v>
      </c>
      <c r="G226" s="93" t="s">
        <v>1766</v>
      </c>
    </row>
    <row r="227" customFormat="false" ht="26.85" hidden="false" customHeight="false" outlineLevel="0" collapsed="false">
      <c r="A227" s="5" t="s">
        <v>1767</v>
      </c>
      <c r="B227" s="61" t="s">
        <v>149</v>
      </c>
      <c r="C227" s="67" t="n">
        <v>4</v>
      </c>
      <c r="D227" s="67" t="n">
        <v>3</v>
      </c>
      <c r="E227" s="67" t="n">
        <v>5</v>
      </c>
      <c r="F227" s="59" t="s">
        <v>114</v>
      </c>
      <c r="G227" s="93" t="s">
        <v>1768</v>
      </c>
    </row>
    <row r="228" customFormat="false" ht="29.85" hidden="false" customHeight="false" outlineLevel="0" collapsed="false">
      <c r="A228" s="5" t="s">
        <v>1769</v>
      </c>
      <c r="B228" s="62" t="s">
        <v>118</v>
      </c>
      <c r="C228" s="148" t="n">
        <v>0.5</v>
      </c>
      <c r="D228" s="107" t="n">
        <f aca="false">IF_PriceRef_Luna/IF_PriceRef_Sol</f>
        <v>0.05</v>
      </c>
      <c r="E228" s="148" t="n">
        <v>1</v>
      </c>
      <c r="F228" s="59" t="s">
        <v>1770</v>
      </c>
      <c r="G228" s="93" t="s">
        <v>1771</v>
      </c>
    </row>
    <row r="229" customFormat="false" ht="29.85" hidden="false" customHeight="false" outlineLevel="0" collapsed="false">
      <c r="A229" s="5" t="s">
        <v>1772</v>
      </c>
      <c r="B229" s="61" t="s">
        <v>149</v>
      </c>
      <c r="C229" s="105" t="n">
        <f aca="false">INDEX(IF_DeprLifeIT,1,2)</f>
        <v>6</v>
      </c>
      <c r="D229" s="105" t="n">
        <f aca="false">INDEX(IF_DeprLifeIT,1,2)</f>
        <v>6</v>
      </c>
      <c r="E229" s="105" t="n">
        <f aca="false">INDEX(IF_DeprLifeIT,1,2)</f>
        <v>6</v>
      </c>
      <c r="F229" s="59" t="s">
        <v>1773</v>
      </c>
      <c r="G229" s="87" t="s">
        <v>1774</v>
      </c>
    </row>
    <row r="230" customFormat="false" ht="15" hidden="false" customHeight="false" outlineLevel="0" collapsed="false">
      <c r="A230" s="10" t="s">
        <v>1775</v>
      </c>
    </row>
    <row r="231" customFormat="false" ht="15" hidden="false" customHeight="false" outlineLevel="0" collapsed="false">
      <c r="A231" s="6" t="s">
        <v>1776</v>
      </c>
      <c r="B231" s="62" t="s">
        <v>118</v>
      </c>
      <c r="C231" s="107" t="n">
        <f aca="false">LN(1+C226)</f>
        <v>-0.105360515657826</v>
      </c>
      <c r="D231" s="107" t="n">
        <f aca="false">LN(1+D226)</f>
        <v>-0.287682072451781</v>
      </c>
      <c r="E231" s="107" t="n">
        <f aca="false">LN(1+E226)</f>
        <v>0.0487901641694321</v>
      </c>
      <c r="F231" s="59" t="s">
        <v>162</v>
      </c>
      <c r="G231" s="93" t="s">
        <v>1777</v>
      </c>
    </row>
    <row r="232" customFormat="false" ht="15" hidden="false" customHeight="false" outlineLevel="0" collapsed="false">
      <c r="A232" s="6" t="s">
        <v>1778</v>
      </c>
      <c r="B232" s="62" t="s">
        <v>118</v>
      </c>
      <c r="C232" s="106" t="n">
        <f aca="false">IF(ABS(LN(1+C226))&lt;0.000000000001,1,((1+C226)^C229-1)/(C229*LN(1+C226)))</f>
        <v>0.741199548797632</v>
      </c>
      <c r="D232" s="107" t="n">
        <f aca="false">IF(ABS(LN(1+D226))&lt;0.000000000001,1,((1+D226)^D229-1)/(D229*LN(1+D226)))</f>
        <v>0.476232597886788</v>
      </c>
      <c r="E232" s="107" t="n">
        <f aca="false">IF(ABS(LN(1+E226))&lt;0.000000000001,1,((1+E226)^E229-1)/(E229*LN(1+E226)))</f>
        <v>1.16176298513761</v>
      </c>
      <c r="F232" s="59" t="s">
        <v>162</v>
      </c>
      <c r="G232" s="93" t="s">
        <v>1779</v>
      </c>
    </row>
    <row r="233" customFormat="false" ht="29.85" hidden="false" customHeight="false" outlineLevel="0" collapsed="false">
      <c r="A233" s="6" t="s">
        <v>1780</v>
      </c>
      <c r="B233" s="62" t="s">
        <v>118</v>
      </c>
      <c r="C233" s="106" t="n">
        <f aca="false">IF(ABS(LN(1+C226))&lt;0.000000000001,(C227+C228*(C229-C227))/C229,(((1+C226)^C227-1)+C228*((1+C226)^C229-(1+C226)^C227))/(C229*LN(1+C226)))</f>
        <v>0.642602366208498</v>
      </c>
      <c r="D233" s="107" t="n">
        <f aca="false">IF(ABS(LN(1+D226))&lt;0.000000000001,(D227+D228*(D229-D227))/D229,(((1+D226)^D227-1)+D228*((1+D226)^D229-(1+D226)^D227))/(D229*LN(1+D226)))</f>
        <v>0.341997805185732</v>
      </c>
      <c r="E233" s="107" t="n">
        <f aca="false">IF(ABS(LN(1+E226))&lt;0.000000000001,(E227+E228*(E229-E227))/E229,(((1+E226)^E227-1)+E228*((1+E226)^E229-(1+E226)^E227))/(E229*LN(1+E226)))</f>
        <v>1.16176298513761</v>
      </c>
      <c r="F233" s="59" t="s">
        <v>162</v>
      </c>
      <c r="G233" s="93" t="s">
        <v>1781</v>
      </c>
    </row>
    <row r="234" customFormat="false" ht="15" hidden="false" customHeight="false" outlineLevel="0" collapsed="false">
      <c r="A234" s="6" t="s">
        <v>1782</v>
      </c>
      <c r="B234" s="62" t="s">
        <v>118</v>
      </c>
      <c r="C234" s="106" t="n">
        <f aca="false">C233/C232</f>
        <v>0.8669761972345</v>
      </c>
      <c r="D234" s="107" t="n">
        <f aca="false">D233/D232</f>
        <v>0.718131868131868</v>
      </c>
      <c r="E234" s="107" t="n">
        <f aca="false">E233/E232</f>
        <v>1</v>
      </c>
      <c r="F234" s="59" t="s">
        <v>162</v>
      </c>
      <c r="G234" s="93" t="s">
        <v>1783</v>
      </c>
    </row>
    <row r="235" customFormat="false" ht="15" hidden="false" customHeight="false" outlineLevel="0" collapsed="false">
      <c r="A235" s="10" t="s">
        <v>1784</v>
      </c>
    </row>
    <row r="236" customFormat="false" ht="29.85" hidden="false" customHeight="false" outlineLevel="0" collapsed="false">
      <c r="A236" s="5" t="s">
        <v>1785</v>
      </c>
      <c r="B236" s="62" t="s">
        <v>118</v>
      </c>
      <c r="C236" s="107" t="n">
        <f aca="false">CTL_PriceLife</f>
        <v>1</v>
      </c>
      <c r="D236" s="107" t="n">
        <f aca="false">CTL_PriceLife</f>
        <v>1</v>
      </c>
      <c r="E236" s="107" t="n">
        <f aca="false">CTL_PriceLife</f>
        <v>1</v>
      </c>
      <c r="F236" s="59" t="s">
        <v>1786</v>
      </c>
      <c r="G236" s="87" t="s">
        <v>1787</v>
      </c>
      <c r="O236" s="74" t="s">
        <v>1788</v>
      </c>
    </row>
    <row r="237" customFormat="false" ht="29.85" hidden="false" customHeight="false" outlineLevel="0" collapsed="false">
      <c r="A237" s="5" t="s">
        <v>1789</v>
      </c>
      <c r="B237" s="62" t="s">
        <v>118</v>
      </c>
      <c r="C237" s="62" t="s">
        <v>1790</v>
      </c>
      <c r="D237" s="62" t="s">
        <v>751</v>
      </c>
      <c r="E237" s="62" t="s">
        <v>751</v>
      </c>
      <c r="F237" s="59" t="s">
        <v>1791</v>
      </c>
      <c r="G237" s="87" t="s">
        <v>1792</v>
      </c>
    </row>
    <row r="238" customFormat="false" ht="29.85" hidden="false" customHeight="false" outlineLevel="0" collapsed="false">
      <c r="A238" s="5" t="s">
        <v>1793</v>
      </c>
      <c r="B238" s="62" t="s">
        <v>118</v>
      </c>
      <c r="C238" s="107" t="str">
        <f aca="false">IF(AND(C233&gt;=Gov_Map!$K$597,C233&lt;=Gov_Map!$L$597),"區間內（"&amp;TEXT(Gov_Map!$K$597,"0.0")&amp;"–"&amp;TEXT(Gov_Map!$L$597,"0.0")&amp;"）","區間外（"&amp;TEXT(Gov_Map!$K$597,"0.0")&amp;"–"&amp;TEXT(Gov_Map!$L$597,"0.0")&amp;"）")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D238" s="107" t="str">
        <f aca="false">IF(AND(D233&gt;=Gov_Map!$K$597,D233&lt;=Gov_Map!$L$597),"區間內（"&amp;TEXT(Gov_Map!$K$597,"0.0")&amp;"–"&amp;TEXT(Gov_Map!$L$597,"0.0")&amp;"）","區間外（"&amp;TEXT(Gov_Map!$K$597,"0.0")&amp;"–"&amp;TEXT(Gov_Map!$L$597,"0.0")&amp;"）")</f>
        <v>區間內（0.3–1.0）</v>
      </c>
      <c r="E238" s="107" t="str">
        <f aca="false">IF(AND(E233&gt;=Gov_Map!$K$597,E233&lt;=Gov_Map!$L$597),"區間內（"&amp;TEXT(Gov_Map!$K$597,"0.0")&amp;"–"&amp;TEXT(Gov_Map!$L$597,"0.0")&amp;"）","區間外（"&amp;TEXT(Gov_Map!$K$597,"0.0")&amp;"–"&amp;TEXT(Gov_Map!$L$597,"0.0")&amp;"）")</f>
        <v>區間外（0.3–1.0）</v>
      </c>
      <c r="F238" s="59" t="s">
        <v>162</v>
      </c>
      <c r="G238" s="93" t="s">
        <v>1794</v>
      </c>
      <c r="O238" s="74" t="s">
        <v>1795</v>
      </c>
    </row>
    <row r="239" customFormat="false" ht="15" hidden="false" customHeight="false" outlineLevel="0" collapsed="false">
      <c r="A239" s="10" t="s">
        <v>1796</v>
      </c>
    </row>
    <row r="240" customFormat="false" ht="41" hidden="false" customHeight="false" outlineLevel="0" collapsed="false">
      <c r="A240" s="5" t="s">
        <v>1797</v>
      </c>
      <c r="B240" s="62" t="s">
        <v>118</v>
      </c>
      <c r="C240" s="106" t="n">
        <f aca="false">IF(AND(ISNUMBER(L1_FleetBreakeven2025),ISNUMBER(L1_MFleet)),L1_FleetBreakeven2025/(IF_Util*CTL_ProdDerate*L1_MFleet),"m 非數字（本情境）")</f>
        <v>2.01097131655178</v>
      </c>
      <c r="D240" s="107" t="n">
        <f aca="false">IF(AND(ISNUMBER(L1_FleetBreakeven2025),ISNUMBER(L1_MFleet_Hi)),L1_FleetBreakeven2025/(IF_Util*CTL_ProdDerate*L1_MFleet_Hi),"m 非數字（本情境）")</f>
        <v>0.69484781262968</v>
      </c>
      <c r="E240" s="107" t="n">
        <f aca="false">IF(AND(ISNUMBER(L1_FleetBreakeven2025),ISNUMBER(L1_MFleet_Lo)),L1_FleetBreakeven2025/(IF_Util*CTL_ProdDerate*L1_MFleet_Lo),"m 非數字（本情境）")</f>
        <v>4.45464077137931</v>
      </c>
      <c r="F240" s="59" t="s">
        <v>162</v>
      </c>
      <c r="G240" s="93" t="str">
        <f aca="false">"v8.0 L4：L1_FleetBreakeven2025（Alloc K 節）÷（IF_Util × CTL_ProdDerate × m）；基準值見 L1_LReqFleet；v7.0 的 VR200 口徑（當時 0.530，現值 "&amp;IF(ISNUMBER(C288),TEXT(C288,"0.000"),"—")&amp;"）保留於 M 節對照列"</f>
        <v>v8.0 L4：L1_FleetBreakeven2025（Alloc K 節）÷（IF_Util × CTL_ProdDerate × m）；基準值見 L1_LReqFleet；v7.0 的 VR200 口徑（當時 0.530，現值 0.625）保留於 M 節對照列</v>
      </c>
    </row>
    <row r="241" customFormat="false" ht="29.85" hidden="false" customHeight="false" outlineLevel="0" collapsed="false">
      <c r="A241" s="5" t="s">
        <v>1798</v>
      </c>
      <c r="B241" s="62" t="s">
        <v>118</v>
      </c>
      <c r="C241" s="107" t="n">
        <f aca="false">IF(AND(ISNUMBER(L1_FleetBreakeven2025),ISNUMBER(L1_MAPI)),L1_FleetBreakeven2025/(IF_Util*CTL_ProdDerate*L1_MAPI),"m 非數字（本情境）")</f>
        <v>1.24522842177656</v>
      </c>
      <c r="D241" s="107" t="n">
        <f aca="false">IF(AND(ISNUMBER(L1_FleetBreakeven2025),ISNUMBER(L1_MAPI_Hi)),L1_FleetBreakeven2025/(IF_Util*CTL_ProdDerate*L1_MAPI_Hi),"m 非數字（本情境）")</f>
        <v>0.884418094289305</v>
      </c>
      <c r="E241" s="107" t="n">
        <f aca="false">IF(AND(ISNUMBER(L1_FleetBreakeven2025),ISNUMBER(L1_MAPI_Lo)),L1_FleetBreakeven2025/(IF_Util*CTL_ProdDerate*L1_MAPI_Lo),"m 非數字（本情境）")</f>
        <v>6.64121824947498</v>
      </c>
      <c r="F241" s="59" t="s">
        <v>162</v>
      </c>
      <c r="G241" s="87" t="s">
        <v>1799</v>
      </c>
    </row>
    <row r="242" customFormat="false" ht="15" hidden="false" customHeight="false" outlineLevel="0" collapsed="false">
      <c r="A242" s="5" t="s">
        <v>1800</v>
      </c>
      <c r="B242" s="62" t="s">
        <v>118</v>
      </c>
      <c r="C242" s="107" t="str">
        <f aca="false">IF(ISNUMBER(C240),IF(C233&gt;=C240,"回本（L_total 口徑）：L_total ≥ 所需 L","未回本（L_total 口徑）：L_total &lt; 所需 L"),"m 非數字（本情境）")</f>
        <v>未回本（L_total 口徑）：L_total &lt; 所需 L</v>
      </c>
      <c r="D242" s="107" t="str">
        <f aca="false">IF(ISNUMBER(D240),IF(D233&gt;=D240,"回本（L_total 口徑）：L_total ≥ 所需 L","未回本（L_total 口徑）：L_total &lt; 所需 L"),"m 非數字（本情境）")</f>
        <v>未回本（L_total 口徑）：L_total &lt; 所需 L</v>
      </c>
      <c r="E242" s="107" t="str">
        <f aca="false">IF(ISNUMBER(E240),IF(E233&gt;=E240,"回本（L_total 口徑）：L_total ≥ 所需 L","未回本（L_total 口徑）：L_total &lt; 所需 L"),"m 非數字（本情境）")</f>
        <v>未回本（L_total 口徑）：L_total &lt; 所需 L</v>
      </c>
      <c r="F242" s="59" t="s">
        <v>162</v>
      </c>
      <c r="G242" s="93" t="s">
        <v>1801</v>
      </c>
      <c r="O242" s="74" t="s">
        <v>1802</v>
      </c>
    </row>
    <row r="243" customFormat="false" ht="15" hidden="false" customHeight="false" outlineLevel="0" collapsed="false">
      <c r="A243" s="5" t="s">
        <v>1803</v>
      </c>
      <c r="B243" s="62" t="s">
        <v>118</v>
      </c>
      <c r="C243" s="107" t="str">
        <f aca="false">IF(ISNUMBER(C241),IF(C233&gt;=C241,"回本（L_total 口徑）：L_total ≥ 所需 L","未回本（L_total 口徑）：L_total &lt; 所需 L"),"m 非數字（本情境）")</f>
        <v>未回本（L_total 口徑）：L_total &lt; 所需 L</v>
      </c>
      <c r="D243" s="107" t="str">
        <f aca="false">IF(ISNUMBER(D241),IF(D233&gt;=D241,"回本（L_total 口徑）：L_total ≥ 所需 L","未回本（L_total 口徑）：L_total &lt; 所需 L"),"m 非數字（本情境）")</f>
        <v>未回本（L_total 口徑）：L_total &lt; 所需 L</v>
      </c>
      <c r="E243" s="107" t="str">
        <f aca="false">IF(ISNUMBER(E241),IF(E233&gt;=E241,"回本（L_total 口徑）：L_total ≥ 所需 L","未回本（L_total 口徑）：L_total &lt; 所需 L"),"m 非數字（本情境）")</f>
        <v>未回本（L_total 口徑）：L_total &lt; 所需 L</v>
      </c>
      <c r="F243" s="59" t="s">
        <v>162</v>
      </c>
      <c r="G243" s="93" t="s">
        <v>1804</v>
      </c>
      <c r="O243" s="74" t="s">
        <v>1805</v>
      </c>
    </row>
    <row r="244" customFormat="false" ht="15" hidden="false" customHeight="false" outlineLevel="0" collapsed="false">
      <c r="A244" s="10" t="s">
        <v>1806</v>
      </c>
    </row>
    <row r="245" customFormat="false" ht="29.85" hidden="false" customHeight="false" outlineLevel="0" collapsed="false">
      <c r="A245" s="5" t="s">
        <v>1807</v>
      </c>
      <c r="B245" s="62" t="s">
        <v>118</v>
      </c>
      <c r="C245" s="107" t="n">
        <f aca="false">AL_Kappa</f>
        <v>1</v>
      </c>
      <c r="D245" s="107" t="n">
        <f aca="false">AL_Kappa_Lo</f>
        <v>0.65</v>
      </c>
      <c r="E245" s="107" t="n">
        <f aca="false">AL_Kappa_Hi</f>
        <v>1.2</v>
      </c>
      <c r="F245" s="59" t="s">
        <v>1808</v>
      </c>
      <c r="G245" s="93" t="s">
        <v>1809</v>
      </c>
    </row>
    <row r="246" customFormat="false" ht="29.85" hidden="false" customHeight="false" outlineLevel="0" collapsed="false">
      <c r="A246" s="5" t="s">
        <v>1810</v>
      </c>
      <c r="B246" s="62" t="s">
        <v>118</v>
      </c>
      <c r="C246" s="107" t="n">
        <f aca="false">IF(ISNUMBER(Sens_Perf!$W$98),IF(Sens_Perf!$W$98&gt;0,INDEX(IF_TokGW_Sol,1,11)/Sens_Perf!$W$98,AL_UnavailTxt),AL_UnavailTxt)</f>
        <v>2.57356456784898</v>
      </c>
      <c r="D246" s="107" t="n">
        <f aca="false">IF(ISNUMBER(Sens_Perf!$Y$98),IF(Sens_Perf!$Y$98&gt;0,INDEX(IF_TokGW_Sol,1,11)/Sens_Perf!$Y$98,AL_UnavailTxt),AL_UnavailTxt)</f>
        <v>0.423734794397393</v>
      </c>
      <c r="E246" s="107" t="n">
        <f aca="false">IF(ISNUMBER(Sens_Perf!$W$98),IF(Sens_Perf!$W$98&gt;0,INDEX(IF_TokGW_Sol,1,11)/Sens_Perf!$W$98,AL_UnavailTxt),AL_UnavailTxt)</f>
        <v>2.57356456784898</v>
      </c>
      <c r="F246" s="59" t="s">
        <v>1811</v>
      </c>
      <c r="G246" s="93" t="s">
        <v>1812</v>
      </c>
      <c r="O246" s="74" t="s">
        <v>1813</v>
      </c>
    </row>
    <row r="247" customFormat="false" ht="15" hidden="false" customHeight="false" outlineLevel="0" collapsed="false">
      <c r="A247" s="10" t="s">
        <v>1814</v>
      </c>
    </row>
    <row r="248" customFormat="false" ht="44" hidden="false" customHeight="false" outlineLevel="0" collapsed="false">
      <c r="A248" s="6" t="s">
        <v>1815</v>
      </c>
      <c r="B248" s="62" t="s">
        <v>308</v>
      </c>
      <c r="C248" s="68" t="n">
        <f aca="false">AL_TokPerPrompt</f>
        <v>4000</v>
      </c>
      <c r="D248" s="68" t="n">
        <f aca="false">AL_TokPerPrompt_Lo</f>
        <v>2000</v>
      </c>
      <c r="E248" s="68" t="n">
        <f aca="false">AL_TokPerPrompt_Hi</f>
        <v>11000</v>
      </c>
      <c r="F248" s="59" t="s">
        <v>1816</v>
      </c>
      <c r="G248" s="93" t="s">
        <v>1817</v>
      </c>
    </row>
    <row r="249" customFormat="false" ht="15" hidden="false" customHeight="false" outlineLevel="0" collapsed="false">
      <c r="A249" s="6" t="s">
        <v>1818</v>
      </c>
      <c r="B249" s="62" t="s">
        <v>103</v>
      </c>
      <c r="C249" s="73" t="n">
        <f aca="false">IF(AND(ISNUMBER(AL_BlendPaid),ISNUMBER(AL_BlendFree)),AL_DAPI/AL_BlendPaid+C248*SRC_DEM_012*1000000000*365/1000000*((1-AL_FreeShare)/AL_BlendPaid+AL_FreeShare/AL_BlendFree),AL_UnavailTxt)</f>
        <v>0.122917826491237</v>
      </c>
      <c r="D249" s="73" t="n">
        <f aca="false">IF(AND(ISNUMBER(AL_BlendPaid),ISNUMBER(AL_BlendFree)),AL_DAPI/AL_BlendPaid+D248*SRC_DEM_012*1000000000*365/1000000*((1-AL_FreeShare)/AL_BlendPaid+AL_FreeShare/AL_BlendFree),AL_UnavailTxt)</f>
        <v>0.0942054000187996</v>
      </c>
      <c r="E249" s="73" t="n">
        <f aca="false">IF(AND(ISNUMBER(AL_BlendPaid),ISNUMBER(AL_BlendFree)),AL_DAPI/AL_BlendPaid+E248*SRC_DEM_012*1000000000*365/1000000*((1-AL_FreeShare)/AL_BlendPaid+AL_FreeShare/AL_BlendFree),AL_UnavailTxt)</f>
        <v>0.223411319144769</v>
      </c>
      <c r="F249" s="59" t="s">
        <v>162</v>
      </c>
      <c r="G249" s="93" t="s">
        <v>1819</v>
      </c>
    </row>
    <row r="250" customFormat="false" ht="29.85" hidden="false" customHeight="false" outlineLevel="0" collapsed="false">
      <c r="A250" s="6" t="s">
        <v>1820</v>
      </c>
      <c r="B250" s="62" t="s">
        <v>103</v>
      </c>
      <c r="C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D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E250" s="73" t="n">
        <f aca="false">IF(AND(ISNUMBER(AL_BlendPaid),ISNUMBER(AL_BlendFree)),AL_DAPI/AL_BlendPaid+CST_TokPerPromptV528*SRC_DEM_012*1000000000*365/1000000*((1-AL_FreeShare)/AL_BlendPaid+AL_FreeShare/AL_BlendFree),AL_UnavailTxt)</f>
        <v>0.0942054000187996</v>
      </c>
      <c r="F250" s="59" t="s">
        <v>162</v>
      </c>
      <c r="G250" s="87" t="s">
        <v>1821</v>
      </c>
    </row>
    <row r="251" customFormat="false" ht="26.85" hidden="false" customHeight="false" outlineLevel="0" collapsed="false">
      <c r="A251" s="5" t="s">
        <v>1822</v>
      </c>
      <c r="B251" s="62" t="s">
        <v>118</v>
      </c>
      <c r="C251" s="106" t="n">
        <f aca="false">IF(AND(ISNUMBER(C249),ISNUMBER(C250)),C249/C250,AL_UnavailTxt)</f>
        <v>1.30478535696157</v>
      </c>
      <c r="D251" s="107" t="n">
        <f aca="false">IF(AND(ISNUMBER(D249),ISNUMBER(D250)),D249/D250,AL_UnavailTxt)</f>
        <v>1</v>
      </c>
      <c r="E251" s="107" t="n">
        <f aca="false">IF(AND(ISNUMBER(E249),ISNUMBER(E250)),E249/E250,AL_UnavailTxt)</f>
        <v>2.37153410632708</v>
      </c>
      <c r="F251" s="59" t="s">
        <v>162</v>
      </c>
      <c r="G251" s="93" t="s">
        <v>1823</v>
      </c>
    </row>
    <row r="252" customFormat="false" ht="29.85" hidden="false" customHeight="false" outlineLevel="0" collapsed="false">
      <c r="A252" s="5" t="s">
        <v>1824</v>
      </c>
      <c r="B252" s="62" t="s">
        <v>118</v>
      </c>
      <c r="C252" s="107" t="n">
        <f aca="false">IF(AND(ISNUMBER(C249),ISNUMBER(AL_ServeGW)),ABS(C249/AL_ServeGW-1),AL_UnavailTxt)</f>
        <v>0</v>
      </c>
      <c r="D252" s="62" t="s">
        <v>751</v>
      </c>
      <c r="E252" s="62" t="s">
        <v>751</v>
      </c>
      <c r="F252" s="59" t="s">
        <v>162</v>
      </c>
      <c r="G252" s="93" t="s">
        <v>1825</v>
      </c>
      <c r="O252" s="74" t="s">
        <v>1826</v>
      </c>
    </row>
    <row r="253" customFormat="false" ht="29.85" hidden="false" customHeight="false" outlineLevel="0" collapsed="false">
      <c r="A253" s="6" t="s">
        <v>1827</v>
      </c>
      <c r="B253" s="62" t="s">
        <v>118</v>
      </c>
      <c r="C253" s="107" t="n">
        <f aca="false">IF(AND(ISNUMBER(C250),ISNUMBER(AL_ServeGWSpend)),AL_ServeGWSpend/C250,AL_UnavailTxt)</f>
        <v>9.53338312707887</v>
      </c>
      <c r="D253" s="107" t="n">
        <f aca="false">C253</f>
        <v>9.53338312707887</v>
      </c>
      <c r="E253" s="107" t="n">
        <f aca="false">C253</f>
        <v>9.53338312707887</v>
      </c>
      <c r="F253" s="59" t="s">
        <v>162</v>
      </c>
      <c r="G253" s="87" t="s">
        <v>1828</v>
      </c>
    </row>
    <row r="254" customFormat="false" ht="15" hidden="false" customHeight="false" outlineLevel="0" collapsed="false">
      <c r="A254" s="10" t="s">
        <v>1829</v>
      </c>
    </row>
    <row r="255" customFormat="false" ht="52.2" hidden="false" customHeight="false" outlineLevel="0" collapsed="false">
      <c r="A255" s="5" t="s">
        <v>1830</v>
      </c>
      <c r="B255" s="62" t="s">
        <v>118</v>
      </c>
      <c r="C255" s="106" t="n">
        <f aca="false">IF(AND(ISNUMBER(L1_ScaleServe),ISNUMBER(AL_SpendBasis),ISNUMBER(AL_UtilActual),ISNUMBER(CTL_ProdDerate),ISNUMBER(AL_Kappa)),L1_ScaleServe/(AL_SpendBasis*IF_Util/((AL_UtilActual*CTL_ProdDerate)*AL_Kappa)),AL_UnavailTxt)</f>
        <v>4.99275872112842</v>
      </c>
      <c r="D255" s="62" t="s">
        <v>751</v>
      </c>
      <c r="E255" s="62" t="s">
        <v>751</v>
      </c>
      <c r="F255" s="59" t="s">
        <v>162</v>
      </c>
      <c r="G255" s="93" t="str">
        <f aca="false">"基準 "&amp;IF(ISNUMBER(C255),TEXT(C255,"0.000"),"—")&amp;"（現值，隨輸入變動；舊說明寫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0）"</f>
        <v>基準 4.993（現值，隨輸入變動；舊說明寫 2.207＝1 ÷ 閉合比 0.4531、v5.35 為 2.152，皆為歷史值）；只算基準欄：H 節 D／E 欄的需求 token 隨 τ 區間端點改變，ScaleServe 以基準 τ 計，D／E 欄不成立；v6.1 D13：分母的實際利用率乘 CTL_ProdDerate（與第 114 列一致，驗算差仍須為 0）</v>
      </c>
    </row>
    <row r="256" customFormat="false" ht="29.85" hidden="false" customHeight="false" outlineLevel="0" collapsed="false">
      <c r="A256" s="5" t="s">
        <v>1831</v>
      </c>
      <c r="B256" s="62" t="s">
        <v>118</v>
      </c>
      <c r="C256" s="107" t="n">
        <f aca="false">IF(AND(ISNUMBER(C255),ISNUMBER(C174)),C255-1/C174,AL_UnavailTxt)</f>
        <v>0</v>
      </c>
      <c r="D256" s="62" t="s">
        <v>751</v>
      </c>
      <c r="E256" s="62" t="s">
        <v>751</v>
      </c>
      <c r="F256" s="59" t="s">
        <v>162</v>
      </c>
      <c r="G256" s="87" t="s">
        <v>1832</v>
      </c>
    </row>
    <row r="257" customFormat="false" ht="15" hidden="false" customHeight="false" outlineLevel="0" collapsed="false">
      <c r="A257" s="10" t="s">
        <v>1833</v>
      </c>
    </row>
    <row r="258" customFormat="false" ht="29.85" hidden="false" customHeight="false" outlineLevel="0" collapsed="false">
      <c r="A258" s="6" t="s">
        <v>1834</v>
      </c>
      <c r="B258" s="62" t="s">
        <v>976</v>
      </c>
      <c r="C258" s="151" t="n">
        <v>2.722</v>
      </c>
      <c r="D258" s="67" t="n">
        <v>7</v>
      </c>
      <c r="E258" s="62" t="s">
        <v>751</v>
      </c>
      <c r="F258" s="59" t="s">
        <v>1835</v>
      </c>
      <c r="G258" s="93" t="s">
        <v>1836</v>
      </c>
    </row>
    <row r="259" customFormat="false" ht="29.85" hidden="false" customHeight="false" outlineLevel="0" collapsed="false">
      <c r="A259" s="6" t="s">
        <v>1837</v>
      </c>
      <c r="B259" s="62" t="s">
        <v>976</v>
      </c>
      <c r="C259" s="151" t="n">
        <v>1.672</v>
      </c>
      <c r="D259" s="67" t="n">
        <v>4</v>
      </c>
      <c r="E259" s="62" t="s">
        <v>751</v>
      </c>
      <c r="F259" s="59" t="s">
        <v>1835</v>
      </c>
      <c r="G259" s="93" t="s">
        <v>1838</v>
      </c>
    </row>
    <row r="260" customFormat="false" ht="29.85" hidden="false" customHeight="false" outlineLevel="0" collapsed="false">
      <c r="A260" s="6" t="s">
        <v>1839</v>
      </c>
      <c r="B260" s="62" t="s">
        <v>976</v>
      </c>
      <c r="C260" s="151" t="n">
        <v>2.341</v>
      </c>
      <c r="D260" s="67" t="n">
        <v>1</v>
      </c>
      <c r="E260" s="62" t="s">
        <v>751</v>
      </c>
      <c r="F260" s="59" t="s">
        <v>1835</v>
      </c>
      <c r="G260" s="93" t="s">
        <v>1840</v>
      </c>
    </row>
    <row r="261" customFormat="false" ht="26.85" hidden="false" customHeight="false" outlineLevel="0" collapsed="false">
      <c r="A261" s="6" t="s">
        <v>1841</v>
      </c>
      <c r="B261" s="62" t="s">
        <v>976</v>
      </c>
      <c r="C261" s="126" t="n">
        <f aca="false">IF_PriceRef_Sol/(1-B4_Disc)</f>
        <v>2.00888888888889</v>
      </c>
      <c r="D261" s="62" t="s">
        <v>751</v>
      </c>
      <c r="E261" s="62" t="s">
        <v>751</v>
      </c>
      <c r="F261" s="59" t="s">
        <v>316</v>
      </c>
      <c r="G261" s="87" t="s">
        <v>1842</v>
      </c>
    </row>
    <row r="262" customFormat="false" ht="15" hidden="false" customHeight="false" outlineLevel="0" collapsed="false">
      <c r="A262" s="6" t="s">
        <v>1843</v>
      </c>
      <c r="B262" s="62" t="s">
        <v>976</v>
      </c>
      <c r="C262" s="126" t="n">
        <f aca="false">(C258*D258+C259*D259+C260*D260)/(D258+D259+D260)</f>
        <v>2.34025</v>
      </c>
      <c r="D262" s="62" t="s">
        <v>751</v>
      </c>
      <c r="E262" s="62" t="s">
        <v>751</v>
      </c>
      <c r="F262" s="59" t="s">
        <v>162</v>
      </c>
      <c r="G262" s="87" t="s">
        <v>1844</v>
      </c>
    </row>
    <row r="263" customFormat="false" ht="44" hidden="false" customHeight="false" outlineLevel="0" collapsed="false">
      <c r="A263" s="5" t="s">
        <v>1845</v>
      </c>
      <c r="B263" s="62" t="s">
        <v>118</v>
      </c>
      <c r="C263" s="106" t="n">
        <f aca="false">C262/C261</f>
        <v>1.16494745575221</v>
      </c>
      <c r="D263" s="107" t="n">
        <f aca="false">MIN(C258,C259,C260)/C261</f>
        <v>0.832300884955752</v>
      </c>
      <c r="E263" s="107" t="n">
        <f aca="false">MAX(C258,C259,C260)/C261</f>
        <v>1.35497787610619</v>
      </c>
      <c r="F263" s="59" t="s">
        <v>162</v>
      </c>
      <c r="G263" s="93" t="s">
        <v>1846</v>
      </c>
    </row>
    <row r="264" customFormat="false" ht="15" hidden="false" customHeight="false" outlineLevel="0" collapsed="false">
      <c r="A264" s="74" t="s">
        <v>1847</v>
      </c>
    </row>
    <row r="266" customFormat="false" ht="15" hidden="false" customHeight="false" outlineLevel="0" collapsed="false">
      <c r="A266" s="10" t="s">
        <v>1848</v>
      </c>
    </row>
    <row r="267" customFormat="false" ht="29.85" hidden="false" customHeight="false" outlineLevel="0" collapsed="false">
      <c r="A267" s="5" t="s">
        <v>1849</v>
      </c>
      <c r="B267" s="62" t="s">
        <v>976</v>
      </c>
      <c r="C267" s="152" t="n">
        <f aca="false">AL_PriceFleet25</f>
        <v>1.68024</v>
      </c>
      <c r="D267" s="73" t="n">
        <f aca="false">IF(OR(AND(D211&gt;0,NOT(ISNUMBER(INDEX(AL_CapPaid,1,1)))),AND(D212&gt;0,NOT(ISNUMBER(INDEX(AL_CapPaid,1,2)))),AND(D213&gt;0,NOT(ISNUMBER(INDEX(AL_CapPaid,1,3)))),AND(D214&gt;0,NOT(ISNUMBER(INDEX(AL_CapPaid,1,4))))),"整代不可達",IF(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&gt;0,(IF(AND(D211&gt;0,ISNUMBER(INDEX(AL_CapPaid,1,1))),D211*INDEX(AL_CapPaid,1,1)*INDEX(AL_PriceGen,1,1),0)+IF(AND(D212&gt;0,ISNUMBER(INDEX(AL_CapPaid,1,2))),D212*INDEX(AL_CapPaid,1,2)*INDEX(AL_PriceGen,1,2),0)+IF(AND(D213&gt;0,ISNUMBER(INDEX(AL_CapPaid,1,3))),D213*INDEX(AL_CapPaid,1,3)*INDEX(AL_PriceGen,1,3),0)+IF(AND(D214&gt;0,ISNUMBER(INDEX(AL_CapPaid,1,4))),D214*INDEX(AL_CapPaid,1,4)*INDEX(AL_PriceGen,1,4),0))/(IF(AND(D211&gt;0,ISNUMBER(INDEX(AL_CapPaid,1,1))),D211*INDEX(AL_CapPaid,1,1),0)+IF(AND(D212&gt;0,ISNUMBER(INDEX(AL_CapPaid,1,2))),D212*INDEX(AL_CapPaid,1,2),0)+IF(AND(D213&gt;0,ISNUMBER(INDEX(AL_CapPaid,1,3))),D213*INDEX(AL_CapPaid,1,3),0)+IF(AND(D214&gt;0,ISNUMBER(INDEX(AL_CapPaid,1,4))),D214*INDEX(AL_CapPaid,1,4),0)),AL_UnavailTxt))</f>
        <v>1.96067555555556</v>
      </c>
      <c r="E267" s="73" t="n">
        <f aca="false">IF(OR(AND(E211&gt;0,NOT(ISNUMBER(INDEX(AL_CapPaid,1,1)))),AND(E212&gt;0,NOT(ISNUMBER(INDEX(AL_CapPaid,1,2)))),AND(E213&gt;0,NOT(ISNUMBER(INDEX(AL_CapPaid,1,3)))),AND(E214&gt;0,NOT(ISNUMBER(INDEX(AL_CapPaid,1,4))))),"整代不可達",IF(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&gt;0,(IF(AND(E211&gt;0,ISNUMBER(INDEX(AL_CapPaid,1,1))),E211*INDEX(AL_CapPaid,1,1)*INDEX(AL_PriceGen,1,1),0)+IF(AND(E212&gt;0,ISNUMBER(INDEX(AL_CapPaid,1,2))),E212*INDEX(AL_CapPaid,1,2)*INDEX(AL_PriceGen,1,2),0)+IF(AND(E213&gt;0,ISNUMBER(INDEX(AL_CapPaid,1,3))),E213*INDEX(AL_CapPaid,1,3)*INDEX(AL_PriceGen,1,3),0)+IF(AND(E214&gt;0,ISNUMBER(INDEX(AL_CapPaid,1,4))),E214*INDEX(AL_CapPaid,1,4)*INDEX(AL_PriceGen,1,4),0))/(IF(AND(E211&gt;0,ISNUMBER(INDEX(AL_CapPaid,1,1))),E211*INDEX(AL_CapPaid,1,1),0)+IF(AND(E212&gt;0,ISNUMBER(INDEX(AL_CapPaid,1,2))),E212*INDEX(AL_CapPaid,1,2),0)+IF(AND(E213&gt;0,ISNUMBER(INDEX(AL_CapPaid,1,3))),E213*INDEX(AL_CapPaid,1,3),0)+IF(AND(E214&gt;0,ISNUMBER(INDEX(AL_CapPaid,1,4))),E214*INDEX(AL_CapPaid,1,4),0)),AL_UnavailTxt))</f>
        <v>1.96067555555556</v>
      </c>
      <c r="F267" s="73" t="n">
        <f aca="false">IF(OR(AND(F211&gt;0,NOT(ISNUMBER(INDEX(AL_CapPaid,1,1)))),AND(F212&gt;0,NOT(ISNUMBER(INDEX(AL_CapPaid,1,2)))),AND(F213&gt;0,NOT(ISNUMBER(INDEX(AL_CapPaid,1,3)))),AND(F214&gt;0,NOT(ISNUMBER(INDEX(AL_CapPaid,1,4))))),"整代不可達",IF(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&gt;0,(IF(AND(F211&gt;0,ISNUMBER(INDEX(AL_CapPaid,1,1))),F211*INDEX(AL_CapPaid,1,1)*INDEX(AL_PriceGen,1,1),0)+IF(AND(F212&gt;0,ISNUMBER(INDEX(AL_CapPaid,1,2))),F212*INDEX(AL_CapPaid,1,2)*INDEX(AL_PriceGen,1,2),0)+IF(AND(F213&gt;0,ISNUMBER(INDEX(AL_CapPaid,1,3))),F213*INDEX(AL_CapPaid,1,3)*INDEX(AL_PriceGen,1,3),0)+IF(AND(F214&gt;0,ISNUMBER(INDEX(AL_CapPaid,1,4))),F214*INDEX(AL_CapPaid,1,4)*INDEX(AL_PriceGen,1,4),0))/(IF(AND(F211&gt;0,ISNUMBER(INDEX(AL_CapPaid,1,1))),F211*INDEX(AL_CapPaid,1,1),0)+IF(AND(F212&gt;0,ISNUMBER(INDEX(AL_CapPaid,1,2))),F212*INDEX(AL_CapPaid,1,2),0)+IF(AND(F213&gt;0,ISNUMBER(INDEX(AL_CapPaid,1,3))),F213*INDEX(AL_CapPaid,1,3),0)+IF(AND(F214&gt;0,ISNUMBER(INDEX(AL_CapPaid,1,4))),F214*INDEX(AL_CapPaid,1,4),0)),AL_UnavailTxt))</f>
        <v>1.96067555555556</v>
      </c>
      <c r="G267" s="59" t="s">
        <v>1850</v>
      </c>
    </row>
    <row r="268" customFormat="false" ht="44" hidden="false" customHeight="false" outlineLevel="0" collapsed="false">
      <c r="A268" s="5" t="s">
        <v>1851</v>
      </c>
      <c r="B268" s="62" t="s">
        <v>976</v>
      </c>
      <c r="C268" s="73" t="n">
        <f aca="false">$C$281</f>
        <v>1.68024</v>
      </c>
      <c r="D268" s="73" t="n">
        <f aca="false">$C$90</f>
        <v>1.96067555555556</v>
      </c>
      <c r="E268" s="73" t="n">
        <f aca="false">$C$90</f>
        <v>1.96067555555556</v>
      </c>
      <c r="F268" s="73" t="n">
        <f aca="false">$C$90</f>
        <v>1.96067555555556</v>
      </c>
      <c r="O268" s="74" t="s">
        <v>1852</v>
      </c>
    </row>
    <row r="269" customFormat="false" ht="15" hidden="false" customHeight="false" outlineLevel="0" collapsed="false">
      <c r="A269" s="5" t="s">
        <v>1853</v>
      </c>
      <c r="B269" s="62" t="s">
        <v>118</v>
      </c>
      <c r="C269" s="73" t="n">
        <f aca="false">IF(ISNUMBER(C267),C267/C268,C267)</f>
        <v>1</v>
      </c>
      <c r="D269" s="73" t="n">
        <f aca="false">IF(ISNUMBER(D267),D267/D268,D267)</f>
        <v>1</v>
      </c>
      <c r="E269" s="73" t="n">
        <f aca="false">IF(ISNUMBER(E267),E267/E268,E267)</f>
        <v>1</v>
      </c>
      <c r="F269" s="73" t="n">
        <f aca="false">IF(ISNUMBER(F267),F267/F268,F267)</f>
        <v>1</v>
      </c>
    </row>
    <row r="271" customFormat="false" ht="15" hidden="false" customHeight="false" outlineLevel="0" collapsed="false">
      <c r="A271" s="10" t="s">
        <v>1854</v>
      </c>
    </row>
    <row r="272" customFormat="false" ht="29.85" hidden="false" customHeight="false" outlineLevel="0" collapsed="false">
      <c r="A272" s="5" t="s">
        <v>1855</v>
      </c>
      <c r="B272" s="61" t="s">
        <v>149</v>
      </c>
      <c r="C272" s="153" t="n">
        <v>1.88</v>
      </c>
      <c r="D272" s="79" t="n">
        <v>1.88</v>
      </c>
      <c r="E272" s="79" t="n">
        <v>2.17</v>
      </c>
      <c r="F272" s="62" t="s">
        <v>1856</v>
      </c>
      <c r="G272" s="74" t="s">
        <v>1857</v>
      </c>
    </row>
    <row r="273" customFormat="false" ht="29.85" hidden="false" customHeight="false" outlineLevel="0" collapsed="false">
      <c r="A273" s="5" t="s">
        <v>1858</v>
      </c>
      <c r="B273" s="61" t="s">
        <v>149</v>
      </c>
      <c r="C273" s="153" t="n">
        <v>0.41</v>
      </c>
      <c r="D273" s="79" t="n">
        <v>0.41</v>
      </c>
      <c r="E273" s="79" t="n">
        <v>0.54</v>
      </c>
      <c r="F273" s="62" t="s">
        <v>1856</v>
      </c>
      <c r="G273" s="74" t="s">
        <v>1859</v>
      </c>
    </row>
    <row r="274" customFormat="false" ht="29.85" hidden="false" customHeight="false" outlineLevel="0" collapsed="false">
      <c r="A274" s="5" t="s">
        <v>1860</v>
      </c>
      <c r="B274" s="61" t="s">
        <v>149</v>
      </c>
      <c r="C274" s="153" t="n">
        <v>1.18</v>
      </c>
      <c r="D274" s="79" t="n">
        <v>1.11</v>
      </c>
      <c r="E274" s="79" t="n">
        <v>1.24</v>
      </c>
      <c r="F274" s="62" t="s">
        <v>1856</v>
      </c>
      <c r="G274" s="74" t="s">
        <v>1861</v>
      </c>
    </row>
    <row r="276" customFormat="false" ht="15" hidden="false" customHeight="false" outlineLevel="0" collapsed="false">
      <c r="A276" s="10" t="s">
        <v>1862</v>
      </c>
    </row>
    <row r="277" customFormat="false" ht="15" hidden="false" customHeight="false" outlineLevel="0" collapsed="false">
      <c r="A277" s="10" t="s">
        <v>1863</v>
      </c>
    </row>
    <row r="278" customFormat="false" ht="29.85" hidden="false" customHeight="false" outlineLevel="0" collapsed="false">
      <c r="A278" s="6" t="s">
        <v>1864</v>
      </c>
      <c r="B278" s="62" t="s">
        <v>976</v>
      </c>
      <c r="C278" s="154" t="n">
        <v>0.1035</v>
      </c>
      <c r="D278" s="155" t="n">
        <v>0.0669</v>
      </c>
      <c r="E278" s="155" t="n">
        <v>0.3026</v>
      </c>
      <c r="F278" s="62" t="s">
        <v>162</v>
      </c>
      <c r="G278" s="59" t="s">
        <v>1865</v>
      </c>
    </row>
    <row r="279" customFormat="false" ht="29.85" hidden="false" customHeight="false" outlineLevel="0" collapsed="false">
      <c r="A279" s="6" t="s">
        <v>1866</v>
      </c>
      <c r="B279" s="62" t="s">
        <v>976</v>
      </c>
      <c r="C279" s="154" t="n">
        <v>2.184</v>
      </c>
      <c r="D279" s="155" t="n">
        <v>1.672</v>
      </c>
      <c r="E279" s="155" t="n">
        <v>2.338</v>
      </c>
      <c r="F279" s="62" t="s">
        <v>162</v>
      </c>
      <c r="G279" s="59" t="s">
        <v>1867</v>
      </c>
    </row>
    <row r="280" customFormat="false" ht="29.85" hidden="false" customHeight="false" outlineLevel="0" collapsed="false">
      <c r="A280" s="6" t="s">
        <v>1868</v>
      </c>
      <c r="B280" s="62" t="s">
        <v>976</v>
      </c>
      <c r="C280" s="154" t="n">
        <v>7.174</v>
      </c>
      <c r="D280" s="155" t="n">
        <v>2.089</v>
      </c>
      <c r="E280" s="155" t="n">
        <v>16.33</v>
      </c>
      <c r="F280" s="62" t="s">
        <v>162</v>
      </c>
      <c r="G280" s="74" t="s">
        <v>1869</v>
      </c>
    </row>
    <row r="281" customFormat="false" ht="44" hidden="false" customHeight="false" outlineLevel="0" collapsed="false">
      <c r="A281" s="6" t="s">
        <v>1870</v>
      </c>
      <c r="B281" s="62" t="s">
        <v>976</v>
      </c>
      <c r="C281" s="152" t="n">
        <f aca="false">(INDEX(B4_MixPaid,1,1)*CAP_Px25_Luna*(1-B4_Disc)+INDEX(B4_MixPaid,1,2)*CAP_Px25_Sol*(1-B4_Disc)+INDEX(B4_MixPaid,1,3)*CAP_Px25_Astra*(1-B4_Disc))*AL_Kappa</f>
        <v>1.68024</v>
      </c>
      <c r="D281" s="73" t="n">
        <f aca="false">(INDEX(B4_MixPaid,1,1)*CAP_Px25_Luna_Lo*(1-B4_Disc)+INDEX(B4_MixPaid,1,2)*CAP_Px25_Sol_Lo*(1-B4_Disc)+INDEX(B4_MixPaid,1,3)*CAP_Px25_Astra_Lo*(1-B4_Disc))*AL_Kappa</f>
        <v>0.874008</v>
      </c>
      <c r="E281" s="73" t="n">
        <f aca="false">(INDEX(B4_MixPaid,1,1)*CAP_Px25_Luna_Hi*(1-B4_Disc)+INDEX(B4_MixPaid,1,2)*CAP_Px25_Sol_Hi*(1-B4_Disc)+INDEX(B4_MixPaid,1,3)*CAP_Px25_Astra_Hi*(1-B4_Disc))*AL_Kappa</f>
        <v>2.898112</v>
      </c>
      <c r="F281" s="62" t="s">
        <v>162</v>
      </c>
      <c r="G281" s="74" t="s">
        <v>1871</v>
      </c>
    </row>
    <row r="282" customFormat="false" ht="15" hidden="false" customHeight="false" outlineLevel="0" collapsed="false">
      <c r="A282" s="6" t="s">
        <v>1872</v>
      </c>
      <c r="B282" s="62" t="s">
        <v>118</v>
      </c>
      <c r="C282" s="107" t="n">
        <f aca="false">C281/$C$90</f>
        <v>0.856969933265632</v>
      </c>
      <c r="D282" s="107" t="n">
        <f aca="false">D281/$C$90</f>
        <v>0.445768805309734</v>
      </c>
      <c r="E282" s="107" t="n">
        <f aca="false">E281/$C$90</f>
        <v>1.47811910633977</v>
      </c>
      <c r="F282" s="62" t="s">
        <v>162</v>
      </c>
      <c r="G282" s="74" t="s">
        <v>1873</v>
      </c>
    </row>
    <row r="283" customFormat="false" ht="15" hidden="false" customHeight="false" outlineLevel="0" collapsed="false">
      <c r="A283" s="10" t="s">
        <v>1874</v>
      </c>
    </row>
    <row r="284" customFormat="false" ht="44" hidden="false" customHeight="false" outlineLevel="0" collapsed="false">
      <c r="A284" s="6" t="s">
        <v>1875</v>
      </c>
      <c r="B284" s="62" t="s">
        <v>118</v>
      </c>
      <c r="C284" s="152" t="n">
        <f aca="false">IF(ISNUMBER(C116),SRC_DEM_007*1000000000/(C116*AL_PriceFleet),AL_UnavailTxt)</f>
        <v>0.349039941475474</v>
      </c>
      <c r="D284" s="73" t="n">
        <f aca="false">IF(ISNUMBER(D116),SRC_DEM_007*1000000000/(D116*AL_PriceFleet),AL_UnavailTxt)</f>
        <v>0.15756810631012</v>
      </c>
      <c r="E284" s="73" t="n">
        <f aca="false">IF(ISNUMBER(E116),SRC_DEM_007*1000000000/(E116*AL_PriceFleet),AL_UnavailTxt)</f>
        <v>1.01016265415255</v>
      </c>
      <c r="F284" s="62" t="s">
        <v>162</v>
      </c>
      <c r="G284" s="74" t="str">
        <f aca="false">"v7.0 當時的 L1_MFleet 值為 0.5565（歷史值）；本列現值 "&amp;IF(ISNUMBER(C284),TEXT(C284,"0.0000"),"—")&amp;"（公式，隨輸入變動）；D2 之前的混用口徑，只作對照 → L1_MFleet_Px2026"</f>
        <v>v7.0 當時的 L1_MFleet 值為 0.5565（歷史值）；本列現值 0.3490（公式，隨輸入變動）；D2 之前的混用口徑，只作對照 → L1_MFleet_Px2026</v>
      </c>
    </row>
    <row r="285" customFormat="false" ht="29.85" hidden="false" customHeight="false" outlineLevel="0" collapsed="false">
      <c r="A285" s="6" t="s">
        <v>1876</v>
      </c>
      <c r="B285" s="62" t="s">
        <v>118</v>
      </c>
      <c r="C285" s="73" t="n">
        <f aca="false">IF(ISNUMBER(C116),SRC_DEM_007*1000000000/(C116*AL_PriceFleet25_Lo),AL_UnavailTxt)</f>
        <v>0.783006655732561</v>
      </c>
      <c r="D285" s="73" t="n">
        <f aca="false">IF(ISNUMBER(D116),SRC_DEM_007*1000000000/(D116*AL_PriceFleet25_Lo),AL_UnavailTxt)</f>
        <v>0.353474950317881</v>
      </c>
      <c r="E285" s="73" t="n">
        <f aca="false">IF(ISNUMBER(E116),SRC_DEM_007*1000000000/(E116*AL_PriceFleet25_Lo),AL_UnavailTxt)</f>
        <v>2.26611338012012</v>
      </c>
      <c r="F285" s="62" t="s">
        <v>162</v>
      </c>
      <c r="G285" s="74" t="s">
        <v>1877</v>
      </c>
    </row>
    <row r="286" customFormat="false" ht="29.85" hidden="false" customHeight="false" outlineLevel="0" collapsed="false">
      <c r="A286" s="6" t="s">
        <v>1878</v>
      </c>
      <c r="B286" s="62" t="s">
        <v>118</v>
      </c>
      <c r="C286" s="73" t="n">
        <f aca="false">IF(ISNUMBER(C116),SRC_DEM_007*1000000000/(C116*AL_PriceFleet25_Hi),AL_UnavailTxt)</f>
        <v>0.236137899833928</v>
      </c>
      <c r="D286" s="73" t="n">
        <f aca="false">IF(ISNUMBER(D116),SRC_DEM_007*1000000000/(D116*AL_PriceFleet25_Hi),AL_UnavailTxt)</f>
        <v>0.106600412398634</v>
      </c>
      <c r="E286" s="73" t="n">
        <f aca="false">IF(ISNUMBER(E116),SRC_DEM_007*1000000000/(E116*AL_PriceFleet25_Hi),AL_UnavailTxt)</f>
        <v>0.683410863048779</v>
      </c>
      <c r="F286" s="62" t="s">
        <v>162</v>
      </c>
      <c r="G286" s="74" t="s">
        <v>1879</v>
      </c>
    </row>
    <row r="287" customFormat="false" ht="15" hidden="false" customHeight="false" outlineLevel="0" collapsed="false">
      <c r="A287" s="10" t="s">
        <v>1880</v>
      </c>
    </row>
    <row r="288" customFormat="false" ht="55.2" hidden="false" customHeight="false" outlineLevel="0" collapsed="false">
      <c r="A288" s="5" t="s">
        <v>1881</v>
      </c>
      <c r="B288" s="62" t="s">
        <v>118</v>
      </c>
      <c r="C288" s="107" t="n">
        <f aca="false">IF(AND(ISNUMBER(L1_FleetBreakeven),ISNUMBER(C284)),L1_FleetBreakeven/(IF_Util*CTL_ProdDerate*C284),"m 非數字（本情境）")</f>
        <v>0.624701009994666</v>
      </c>
      <c r="D288" s="107" t="n">
        <f aca="false">IF(AND(ISNUMBER(L1_FleetBreakeven),ISNUMBER(E284)),L1_FleetBreakeven/(IF_Util*CTL_ProdDerate*E284),"m 非數字（本情境）")</f>
        <v>0.215851974998157</v>
      </c>
      <c r="E288" s="107" t="n">
        <f aca="false">IF(AND(ISNUMBER(L1_FleetBreakeven),ISNUMBER(D284)),L1_FleetBreakeven/(IF_Util*CTL_ProdDerate*D284),"m 非數字（本情境）")</f>
        <v>1.38381814108407</v>
      </c>
      <c r="F288" s="62" t="s">
        <v>162</v>
      </c>
      <c r="G288" s="74" t="str">
        <f aca="false">"v7.0 當時的 L1_LReqFleet 值為 0.5304（歷史值，原樣保留作對照）；本列現值 "&amp;IF(ISNUMBER(C288),TEXT(C288,"0.000"),"—")&amp;"（公式）；VR200 損益兩平（2026 單價）對 2025 的 m（2026 牌價）混用世代與年度，故不再作為所需 L 的主口徑（v8.0 L4）"</f>
        <v>v7.0 當時的 L1_LReqFleet 值為 0.5304（歷史值，原樣保留作對照）；本列現值 0.625（公式）；VR200 損益兩平（2026 單價）對 2025 的 m（2026 牌價）混用世代與年度，故不再作為所需 L 的主口徑（v8.0 L4）</v>
      </c>
    </row>
    <row r="289" customFormat="false" ht="44" hidden="false" customHeight="false" outlineLevel="0" collapsed="false">
      <c r="A289" s="5" t="s">
        <v>1882</v>
      </c>
      <c r="B289" s="62" t="s">
        <v>118</v>
      </c>
      <c r="C289" s="107" t="n">
        <f aca="false">IF(ISNUMBER(C109),C109*SUMPRODUCT(AL_ShareGen,AL_HoldGen)/SRC_DEM_007,AL_UnavailTxt)</f>
        <v>0.756109635897205</v>
      </c>
      <c r="D289" s="107" t="n">
        <f aca="false">IF(ISNUMBER(E109),E109*SUMPRODUCT(AL_ShareGen,AL_HoldGen)/SRC_DEM_007,AL_UnavailTxt)</f>
        <v>0.357051772507014</v>
      </c>
      <c r="E289" s="107" t="n">
        <f aca="false">IF(ISNUMBER(D109),D109*SUMPRODUCT(AL_ShareGen,AL_HoldGen)/SRC_DEM_007,AL_UnavailTxt)</f>
        <v>1.05648195700705</v>
      </c>
      <c r="F289" s="62" t="s">
        <v>162</v>
      </c>
      <c r="G289" s="74" t="s">
        <v>1883</v>
      </c>
    </row>
    <row r="290" customFormat="false" ht="15" hidden="false" customHeight="false" outlineLevel="0" collapsed="false">
      <c r="A290" s="10" t="s">
        <v>1884</v>
      </c>
    </row>
    <row r="291" customFormat="false" ht="29.85" hidden="false" customHeight="false" outlineLevel="0" collapsed="false">
      <c r="A291" s="6" t="s">
        <v>1885</v>
      </c>
      <c r="B291" s="62" t="s">
        <v>1886</v>
      </c>
      <c r="C291" s="89" t="n">
        <f aca="false">Training!$N$22</f>
        <v>180</v>
      </c>
      <c r="F291" s="62" t="s">
        <v>1887</v>
      </c>
      <c r="G291" s="74" t="s">
        <v>1888</v>
      </c>
    </row>
    <row r="292" customFormat="false" ht="29.85" hidden="false" customHeight="false" outlineLevel="0" collapsed="false">
      <c r="A292" s="6" t="s">
        <v>1889</v>
      </c>
      <c r="B292" s="62" t="s">
        <v>1886</v>
      </c>
      <c r="C292" s="156" t="n">
        <v>400</v>
      </c>
      <c r="F292" s="62" t="s">
        <v>114</v>
      </c>
      <c r="G292" s="59" t="s">
        <v>1890</v>
      </c>
    </row>
    <row r="293" customFormat="false" ht="29.85" hidden="false" customHeight="false" outlineLevel="0" collapsed="false">
      <c r="A293" s="6" t="s">
        <v>1891</v>
      </c>
      <c r="B293" s="62" t="s">
        <v>1886</v>
      </c>
      <c r="C293" s="156" t="n">
        <v>800</v>
      </c>
      <c r="F293" s="62" t="s">
        <v>114</v>
      </c>
      <c r="G293" s="59" t="s">
        <v>1890</v>
      </c>
    </row>
    <row r="294" customFormat="false" ht="41" hidden="false" customHeight="false" outlineLevel="0" collapsed="false">
      <c r="A294" s="6" t="s">
        <v>1892</v>
      </c>
      <c r="B294" s="62" t="s">
        <v>1893</v>
      </c>
      <c r="C294" s="68" t="n">
        <f aca="false">IF(ISNUMBER($C291),IF($C291&gt;0,SRC_MOD_055/(6*$C291*1000000000)/1000000000000,"—"),"—")</f>
        <v>926.018518518519</v>
      </c>
      <c r="D294" s="68" t="n">
        <f aca="false">IF(ISNUMBER($C291),IF($C291&gt;0,SRC_MOD_055_Lo/(6*$C291*1000000000)/1000000000000,"—"),"—")</f>
        <v>462.962962962963</v>
      </c>
      <c r="E294" s="68" t="n">
        <f aca="false">IF(ISNUMBER($C291),IF($C291&gt;0,SRC_MOD_055_Hi/(6*$C291*1000000000)/1000000000000,"—"),"—")</f>
        <v>1851.85185185185</v>
      </c>
      <c r="F294" s="62" t="s">
        <v>162</v>
      </c>
      <c r="G294" s="59" t="s">
        <v>1894</v>
      </c>
    </row>
    <row r="295" customFormat="false" ht="41" hidden="false" customHeight="false" outlineLevel="0" collapsed="false">
      <c r="A295" s="6" t="s">
        <v>1895</v>
      </c>
      <c r="B295" s="62" t="s">
        <v>1893</v>
      </c>
      <c r="C295" s="68" t="n">
        <f aca="false">IF(ISNUMBER($C292),IF($C292&gt;0,SRC_MOD_055/(6*$C292*1000000000)/1000000000000,"—"),"—")</f>
        <v>416.708333333333</v>
      </c>
      <c r="D295" s="68" t="n">
        <f aca="false">IF(ISNUMBER($C292),IF($C292&gt;0,SRC_MOD_055_Lo/(6*$C292*1000000000)/1000000000000,"—"),"—")</f>
        <v>208.333333333333</v>
      </c>
      <c r="E295" s="68" t="n">
        <f aca="false">IF(ISNUMBER($C292),IF($C292&gt;0,SRC_MOD_055_Hi/(6*$C292*1000000000)/1000000000000,"—"),"—")</f>
        <v>833.333333333333</v>
      </c>
      <c r="F295" s="62" t="s">
        <v>162</v>
      </c>
      <c r="G295" s="59" t="s">
        <v>1894</v>
      </c>
    </row>
    <row r="296" customFormat="false" ht="41" hidden="false" customHeight="false" outlineLevel="0" collapsed="false">
      <c r="A296" s="6" t="s">
        <v>1896</v>
      </c>
      <c r="B296" s="62" t="s">
        <v>1893</v>
      </c>
      <c r="C296" s="68" t="n">
        <f aca="false">IF(ISNUMBER($C293),IF($C293&gt;0,SRC_MOD_055/(6*$C293*1000000000)/1000000000000,"—"),"—")</f>
        <v>208.354166666667</v>
      </c>
      <c r="D296" s="68" t="n">
        <f aca="false">IF(ISNUMBER($C293),IF($C293&gt;0,SRC_MOD_055_Lo/(6*$C293*1000000000)/1000000000000,"—"),"—")</f>
        <v>104.166666666667</v>
      </c>
      <c r="E296" s="68" t="n">
        <f aca="false">IF(ISNUMBER($C293),IF($C293&gt;0,SRC_MOD_055_Hi/(6*$C293*1000000000)/1000000000000,"—"),"—")</f>
        <v>416.666666666667</v>
      </c>
      <c r="F296" s="62" t="s">
        <v>162</v>
      </c>
      <c r="G296" s="59" t="s">
        <v>1894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6" min="4" style="0" width="10"/>
    <col collapsed="false" customWidth="true" hidden="false" outlineLevel="0" max="7" min="7" style="0" width="9"/>
    <col collapsed="false" customWidth="true" hidden="false" outlineLevel="0" max="16" min="8" style="0" width="11"/>
    <col collapsed="false" customWidth="true" hidden="false" outlineLevel="0" max="17" min="17" style="0" width="46"/>
  </cols>
  <sheetData>
    <row r="1" customFormat="false" ht="20.1" hidden="false" customHeight="false" outlineLevel="0" collapsed="false">
      <c r="A1" s="58" t="s">
        <v>1897</v>
      </c>
    </row>
    <row r="2" customFormat="false" ht="15" hidden="false" customHeight="false" outlineLevel="0" collapsed="false">
      <c r="A2" s="74" t="s">
        <v>1898</v>
      </c>
    </row>
    <row r="3" customFormat="false" ht="15" hidden="false" customHeight="false" outlineLevel="0" collapsed="false">
      <c r="Q3" s="60" t="s">
        <v>2</v>
      </c>
    </row>
    <row r="4" customFormat="false" ht="15" hidden="false" customHeight="false" outlineLevel="0" collapsed="false">
      <c r="A4" s="76" t="s">
        <v>1899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P4" s="70"/>
    </row>
    <row r="5" customFormat="false" ht="30" hidden="false" customHeight="true" outlineLevel="0" collapsed="false">
      <c r="A5" s="83" t="s">
        <v>1357</v>
      </c>
      <c r="B5" s="83" t="s">
        <v>1359</v>
      </c>
      <c r="C5" s="83" t="s">
        <v>1365</v>
      </c>
      <c r="D5" s="83" t="s">
        <v>1900</v>
      </c>
      <c r="E5" s="83" t="s">
        <v>1301</v>
      </c>
      <c r="F5" s="83" t="s">
        <v>1303</v>
      </c>
      <c r="G5" s="83" t="s">
        <v>1901</v>
      </c>
      <c r="H5" s="83" t="s">
        <v>1902</v>
      </c>
      <c r="I5" s="83" t="s">
        <v>1903</v>
      </c>
      <c r="J5" s="83" t="s">
        <v>1904</v>
      </c>
      <c r="K5" s="83" t="s">
        <v>1905</v>
      </c>
      <c r="L5" s="83" t="s">
        <v>1906</v>
      </c>
      <c r="M5" s="83" t="s">
        <v>1907</v>
      </c>
      <c r="N5" s="83" t="s">
        <v>1908</v>
      </c>
      <c r="O5" s="83" t="s">
        <v>1909</v>
      </c>
      <c r="P5" s="83" t="s">
        <v>1910</v>
      </c>
    </row>
    <row r="6" customFormat="false" ht="15" hidden="false" customHeight="false" outlineLevel="0" collapsed="false">
      <c r="A6" s="92" t="str">
        <f aca="false">Cap_In!A46</f>
        <v>GPT-6 Luna</v>
      </c>
      <c r="B6" s="92" t="str">
        <f aca="false">Cap_In!C46</f>
        <v>美國</v>
      </c>
      <c r="C6" s="89" t="n">
        <f aca="false">IF(ISNUMBER(Cap_In!I46),Cap_In!I46,"—")</f>
        <v>37</v>
      </c>
      <c r="D6" s="108" t="n">
        <f aca="false">IF(Cap_In!H46=1,IF(B4_PeakMode=1,1,(B4_PeakHrs+(168-B4_PeakHrs)*B4_OffPeak)/168),1)</f>
        <v>1</v>
      </c>
      <c r="E6" s="94" t="n">
        <f aca="false">Cap_In!E46*D6</f>
        <v>0.1</v>
      </c>
      <c r="F6" s="94" t="n">
        <f aca="false">IF(ISNUMBER(Cap_In!F46),Cap_In!F46,Cap_In!E46)*D6</f>
        <v>0.01</v>
      </c>
      <c r="G6" s="94" t="n">
        <f aca="false">Cap_In!G46*D6</f>
        <v>0.5</v>
      </c>
      <c r="H6" s="116" t="n">
        <f aca="false">(INDEX(B4_ISL,1,1)*((1-B4_CacheHit)*E6+B4_CacheHit*F6)+INDEX(B4_OSL,1,1)*G6)/(INDEX(B4_ISL,1,1)+INDEX(B4_OSL,1,1))</f>
        <v>0.100444444444444</v>
      </c>
      <c r="I6" s="116" t="n">
        <f aca="false">(INDEX(B4_ISL,1,2)*((1-B4_CacheHit)*E6+B4_CacheHit*F6)+INDEX(B4_OSL,1,2)*G6)/(INDEX(B4_ISL,1,2)+INDEX(B4_OSL,1,2))</f>
        <v>0.100444444444444</v>
      </c>
      <c r="J6" s="116" t="n">
        <f aca="false">(INDEX(B4_ISL,1,3)*((1-B4_CacheHit)*E6+B4_CacheHit*F6)+INDEX(B4_OSL,1,3)*G6)/(INDEX(B4_ISL,1,3)+INDEX(B4_OSL,1,3))</f>
        <v>0.100444444444444</v>
      </c>
      <c r="K6" s="116" t="n">
        <f aca="false">IF(AND(ISNUMBER(C6),ISNUMBER($C$6)),IF(C6&gt;=$C$6,H6,1000000000),1000000000)</f>
        <v>0.100444444444444</v>
      </c>
      <c r="L6" s="116" t="n">
        <f aca="false">IF(AND(ISNUMBER(C6),ISNUMBER($C$7)),IF(C6&gt;=$C$7,I6,1000000000),1000000000)</f>
        <v>1000000000</v>
      </c>
      <c r="M6" s="116" t="n">
        <f aca="false">IF(AND(ISNUMBER(C6),ISNUMBER($C$8)),IF(C6&gt;=$C$8,J6,1000000000),1000000000)</f>
        <v>1000000000</v>
      </c>
      <c r="N6" s="94" t="n">
        <f aca="false">IF(Cap_In!N46=1,K6,1000000000)</f>
        <v>1000000000</v>
      </c>
      <c r="O6" s="94" t="n">
        <f aca="false">IF(Cap_In!N46=1,L6,1000000000)</f>
        <v>1000000000</v>
      </c>
      <c r="P6" s="94" t="n">
        <f aca="false">IF(Cap_In!N46=1,M6,1000000000)</f>
        <v>1000000000</v>
      </c>
      <c r="Q6" s="74" t="s">
        <v>1911</v>
      </c>
    </row>
    <row r="7" customFormat="false" ht="15" hidden="false" customHeight="false" outlineLevel="0" collapsed="false">
      <c r="A7" s="92" t="str">
        <f aca="false">Cap_In!A47</f>
        <v>GPT-6 Sol</v>
      </c>
      <c r="B7" s="92" t="str">
        <f aca="false">Cap_In!C47</f>
        <v>美國</v>
      </c>
      <c r="C7" s="89" t="n">
        <f aca="false">IF(ISNUMBER(Cap_In!I47),Cap_In!I47,"—")</f>
        <v>48</v>
      </c>
      <c r="D7" s="108" t="n">
        <f aca="false">IF(Cap_In!H47=1,IF(B4_PeakMode=1,1,(B4_PeakHrs+(168-B4_PeakHrs)*B4_OffPeak)/168),1)</f>
        <v>1</v>
      </c>
      <c r="E7" s="94" t="n">
        <f aca="false">Cap_In!E47*D7</f>
        <v>2</v>
      </c>
      <c r="F7" s="94" t="n">
        <f aca="false">IF(ISNUMBER(Cap_In!F47),Cap_In!F47,Cap_In!E47)*D7</f>
        <v>0.2</v>
      </c>
      <c r="G7" s="94" t="n">
        <f aca="false">Cap_In!G47*D7</f>
        <v>10</v>
      </c>
      <c r="H7" s="116" t="n">
        <f aca="false">(INDEX(B4_ISL,1,1)*((1-B4_CacheHit)*E7+B4_CacheHit*F7)+INDEX(B4_OSL,1,1)*G7)/(INDEX(B4_ISL,1,1)+INDEX(B4_OSL,1,1))</f>
        <v>2.00888888888889</v>
      </c>
      <c r="I7" s="116" t="n">
        <f aca="false">(INDEX(B4_ISL,1,2)*((1-B4_CacheHit)*E7+B4_CacheHit*F7)+INDEX(B4_OSL,1,2)*G7)/(INDEX(B4_ISL,1,2)+INDEX(B4_OSL,1,2))</f>
        <v>2.00888888888889</v>
      </c>
      <c r="J7" s="116" t="n">
        <f aca="false">(INDEX(B4_ISL,1,3)*((1-B4_CacheHit)*E7+B4_CacheHit*F7)+INDEX(B4_OSL,1,3)*G7)/(INDEX(B4_ISL,1,3)+INDEX(B4_OSL,1,3))</f>
        <v>2.00888888888889</v>
      </c>
      <c r="K7" s="116" t="n">
        <f aca="false">IF(AND(ISNUMBER(C7),ISNUMBER($C$6)),IF(C7&gt;=$C$6,H7,1000000000),1000000000)</f>
        <v>2.00888888888889</v>
      </c>
      <c r="L7" s="116" t="n">
        <f aca="false">IF(AND(ISNUMBER(C7),ISNUMBER($C$7)),IF(C7&gt;=$C$7,I7,1000000000),1000000000)</f>
        <v>2.00888888888889</v>
      </c>
      <c r="M7" s="116" t="n">
        <f aca="false">IF(AND(ISNUMBER(C7),ISNUMBER($C$8)),IF(C7&gt;=$C$8,J7,1000000000),1000000000)</f>
        <v>1000000000</v>
      </c>
      <c r="N7" s="94" t="n">
        <f aca="false">IF(Cap_In!N47=1,K7,1000000000)</f>
        <v>1000000000</v>
      </c>
      <c r="O7" s="94" t="n">
        <f aca="false">IF(Cap_In!N47=1,L7,1000000000)</f>
        <v>1000000000</v>
      </c>
      <c r="P7" s="94" t="n">
        <f aca="false">IF(Cap_In!N47=1,M7,1000000000)</f>
        <v>1000000000</v>
      </c>
      <c r="Q7" s="74" t="s">
        <v>1912</v>
      </c>
    </row>
    <row r="8" customFormat="false" ht="15" hidden="false" customHeight="false" outlineLevel="0" collapsed="false">
      <c r="A8" s="92" t="str">
        <f aca="false">Cap_In!A48</f>
        <v>GPT-6 Astra</v>
      </c>
      <c r="B8" s="92" t="str">
        <f aca="false">Cap_In!C48</f>
        <v>美國</v>
      </c>
      <c r="C8" s="89" t="n">
        <f aca="false">IF(ISNUMBER(Cap_In!I48),Cap_In!I48,"—")</f>
        <v>53</v>
      </c>
      <c r="D8" s="108" t="n">
        <f aca="false">IF(Cap_In!H48=1,IF(B4_PeakMode=1,1,(B4_PeakHrs+(168-B4_PeakHrs)*B4_OffPeak)/168),1)</f>
        <v>1</v>
      </c>
      <c r="E8" s="94" t="n">
        <f aca="false">Cap_In!E48*D8</f>
        <v>10</v>
      </c>
      <c r="F8" s="94" t="n">
        <f aca="false">IF(ISNUMBER(Cap_In!F48),Cap_In!F48,Cap_In!E48)*D8</f>
        <v>1</v>
      </c>
      <c r="G8" s="94" t="n">
        <f aca="false">Cap_In!G48*D8</f>
        <v>50</v>
      </c>
      <c r="H8" s="116" t="n">
        <f aca="false">(INDEX(B4_ISL,1,1)*((1-B4_CacheHit)*E8+B4_CacheHit*F8)+INDEX(B4_OSL,1,1)*G8)/(INDEX(B4_ISL,1,1)+INDEX(B4_OSL,1,1))</f>
        <v>10.0444444444444</v>
      </c>
      <c r="I8" s="116" t="n">
        <f aca="false">(INDEX(B4_ISL,1,2)*((1-B4_CacheHit)*E8+B4_CacheHit*F8)+INDEX(B4_OSL,1,2)*G8)/(INDEX(B4_ISL,1,2)+INDEX(B4_OSL,1,2))</f>
        <v>10.0444444444444</v>
      </c>
      <c r="J8" s="116" t="n">
        <f aca="false">(INDEX(B4_ISL,1,3)*((1-B4_CacheHit)*E8+B4_CacheHit*F8)+INDEX(B4_OSL,1,3)*G8)/(INDEX(B4_ISL,1,3)+INDEX(B4_OSL,1,3))</f>
        <v>10.0444444444444</v>
      </c>
      <c r="K8" s="116" t="n">
        <f aca="false">IF(AND(ISNUMBER(C8),ISNUMBER($C$6)),IF(C8&gt;=$C$6,H8,1000000000),1000000000)</f>
        <v>10.0444444444444</v>
      </c>
      <c r="L8" s="116" t="n">
        <f aca="false">IF(AND(ISNUMBER(C8),ISNUMBER($C$7)),IF(C8&gt;=$C$7,I8,1000000000),1000000000)</f>
        <v>10.0444444444444</v>
      </c>
      <c r="M8" s="116" t="n">
        <f aca="false">IF(AND(ISNUMBER(C8),ISNUMBER($C$8)),IF(C8&gt;=$C$8,J8,1000000000),1000000000)</f>
        <v>10.0444444444444</v>
      </c>
      <c r="N8" s="94" t="n">
        <f aca="false">IF(Cap_In!N48=1,K8,1000000000)</f>
        <v>1000000000</v>
      </c>
      <c r="O8" s="94" t="n">
        <f aca="false">IF(Cap_In!N48=1,L8,1000000000)</f>
        <v>1000000000</v>
      </c>
      <c r="P8" s="94" t="n">
        <f aca="false">IF(Cap_In!N48=1,M8,1000000000)</f>
        <v>1000000000</v>
      </c>
      <c r="Q8" s="74" t="s">
        <v>1913</v>
      </c>
    </row>
    <row r="9" customFormat="false" ht="15" hidden="false" customHeight="false" outlineLevel="0" collapsed="false">
      <c r="A9" s="92" t="str">
        <f aca="false">Cap_In!A49</f>
        <v>Claude Fable 5.1</v>
      </c>
      <c r="B9" s="92" t="str">
        <f aca="false">Cap_In!C49</f>
        <v>美國</v>
      </c>
      <c r="C9" s="89" t="n">
        <f aca="false">IF(ISNUMBER(Cap_In!I49),Cap_In!I49,"—")</f>
        <v>53</v>
      </c>
      <c r="D9" s="108" t="n">
        <f aca="false">IF(Cap_In!H49=1,IF(B4_PeakMode=1,1,(B4_PeakHrs+(168-B4_PeakHrs)*B4_OffPeak)/168),1)</f>
        <v>1</v>
      </c>
      <c r="E9" s="94" t="n">
        <f aca="false">Cap_In!E49*D9</f>
        <v>10</v>
      </c>
      <c r="F9" s="94" t="n">
        <f aca="false">IF(ISNUMBER(Cap_In!F49),Cap_In!F49,Cap_In!E49)*D9</f>
        <v>0.25</v>
      </c>
      <c r="G9" s="94" t="n">
        <f aca="false">Cap_In!G49*D9</f>
        <v>50</v>
      </c>
      <c r="H9" s="116" t="n">
        <f aca="false">(INDEX(B4_ISL,1,1)*((1-B4_CacheHit)*E9+B4_CacheHit*F9)+INDEX(B4_OSL,1,1)*G9)/(INDEX(B4_ISL,1,1)+INDEX(B4_OSL,1,1))</f>
        <v>9.67777777777778</v>
      </c>
      <c r="I9" s="116" t="n">
        <f aca="false">(INDEX(B4_ISL,1,2)*((1-B4_CacheHit)*E9+B4_CacheHit*F9)+INDEX(B4_OSL,1,2)*G9)/(INDEX(B4_ISL,1,2)+INDEX(B4_OSL,1,2))</f>
        <v>9.67777777777778</v>
      </c>
      <c r="J9" s="116" t="n">
        <f aca="false">(INDEX(B4_ISL,1,3)*((1-B4_CacheHit)*E9+B4_CacheHit*F9)+INDEX(B4_OSL,1,3)*G9)/(INDEX(B4_ISL,1,3)+INDEX(B4_OSL,1,3))</f>
        <v>9.67777777777778</v>
      </c>
      <c r="K9" s="116" t="n">
        <f aca="false">IF(AND(ISNUMBER(C9),ISNUMBER($C$6)),IF(C9&gt;=$C$6,H9,1000000000),1000000000)</f>
        <v>9.67777777777778</v>
      </c>
      <c r="L9" s="116" t="n">
        <f aca="false">IF(AND(ISNUMBER(C9),ISNUMBER($C$7)),IF(C9&gt;=$C$7,I9,1000000000),1000000000)</f>
        <v>9.67777777777778</v>
      </c>
      <c r="M9" s="116" t="n">
        <f aca="false">IF(AND(ISNUMBER(C9),ISNUMBER($C$8)),IF(C9&gt;=$C$8,J9,1000000000),1000000000)</f>
        <v>9.67777777777778</v>
      </c>
      <c r="N9" s="94" t="n">
        <f aca="false">IF(Cap_In!N49=1,K9,1000000000)</f>
        <v>1000000000</v>
      </c>
      <c r="O9" s="94" t="n">
        <f aca="false">IF(Cap_In!N49=1,L9,1000000000)</f>
        <v>1000000000</v>
      </c>
      <c r="P9" s="94" t="n">
        <f aca="false">IF(Cap_In!N49=1,M9,1000000000)</f>
        <v>1000000000</v>
      </c>
      <c r="Q9" s="74" t="s">
        <v>1914</v>
      </c>
    </row>
    <row r="10" customFormat="false" ht="15" hidden="false" customHeight="false" outlineLevel="0" collapsed="false">
      <c r="A10" s="92" t="str">
        <f aca="false">Cap_In!A50</f>
        <v>Claude Opus 5</v>
      </c>
      <c r="B10" s="92" t="str">
        <f aca="false">Cap_In!C50</f>
        <v>美國</v>
      </c>
      <c r="C10" s="89" t="n">
        <f aca="false">IF(ISNUMBER(Cap_In!I50),Cap_In!I50,"—")</f>
        <v>51</v>
      </c>
      <c r="D10" s="108" t="n">
        <f aca="false">IF(Cap_In!H50=1,IF(B4_PeakMode=1,1,(B4_PeakHrs+(168-B4_PeakHrs)*B4_OffPeak)/168),1)</f>
        <v>1</v>
      </c>
      <c r="E10" s="94" t="n">
        <f aca="false">Cap_In!E50*D10</f>
        <v>5</v>
      </c>
      <c r="F10" s="94" t="n">
        <f aca="false">IF(ISNUMBER(Cap_In!F50),Cap_In!F50,Cap_In!E50)*D10</f>
        <v>0.5</v>
      </c>
      <c r="G10" s="94" t="n">
        <f aca="false">Cap_In!G50*D10</f>
        <v>25</v>
      </c>
      <c r="H10" s="116" t="n">
        <f aca="false">(INDEX(B4_ISL,1,1)*((1-B4_CacheHit)*E10+B4_CacheHit*F10)+INDEX(B4_OSL,1,1)*G10)/(INDEX(B4_ISL,1,1)+INDEX(B4_OSL,1,1))</f>
        <v>5.02222222222222</v>
      </c>
      <c r="I10" s="116" t="n">
        <f aca="false">(INDEX(B4_ISL,1,2)*((1-B4_CacheHit)*E10+B4_CacheHit*F10)+INDEX(B4_OSL,1,2)*G10)/(INDEX(B4_ISL,1,2)+INDEX(B4_OSL,1,2))</f>
        <v>5.02222222222222</v>
      </c>
      <c r="J10" s="116" t="n">
        <f aca="false">(INDEX(B4_ISL,1,3)*((1-B4_CacheHit)*E10+B4_CacheHit*F10)+INDEX(B4_OSL,1,3)*G10)/(INDEX(B4_ISL,1,3)+INDEX(B4_OSL,1,3))</f>
        <v>5.02222222222222</v>
      </c>
      <c r="K10" s="116" t="n">
        <f aca="false">IF(AND(ISNUMBER(C10),ISNUMBER($C$6)),IF(C10&gt;=$C$6,H10,1000000000),1000000000)</f>
        <v>5.02222222222222</v>
      </c>
      <c r="L10" s="116" t="n">
        <f aca="false">IF(AND(ISNUMBER(C10),ISNUMBER($C$7)),IF(C10&gt;=$C$7,I10,1000000000),1000000000)</f>
        <v>5.02222222222222</v>
      </c>
      <c r="M10" s="116" t="n">
        <f aca="false">IF(AND(ISNUMBER(C10),ISNUMBER($C$8)),IF(C10&gt;=$C$8,J10,1000000000),1000000000)</f>
        <v>1000000000</v>
      </c>
      <c r="N10" s="94" t="n">
        <f aca="false">IF(Cap_In!N50=1,K10,1000000000)</f>
        <v>1000000000</v>
      </c>
      <c r="O10" s="94" t="n">
        <f aca="false">IF(Cap_In!N50=1,L10,1000000000)</f>
        <v>1000000000</v>
      </c>
      <c r="P10" s="94" t="n">
        <f aca="false">IF(Cap_In!N50=1,M10,1000000000)</f>
        <v>1000000000</v>
      </c>
      <c r="Q10" s="74" t="s">
        <v>1915</v>
      </c>
    </row>
    <row r="11" customFormat="false" ht="15" hidden="false" customHeight="false" outlineLevel="0" collapsed="false">
      <c r="A11" s="92" t="str">
        <f aca="false">Cap_In!A51</f>
        <v>Claude Opus 5.5</v>
      </c>
      <c r="B11" s="92" t="str">
        <f aca="false">Cap_In!C51</f>
        <v>美國</v>
      </c>
      <c r="C11" s="89" t="str">
        <f aca="false">IF(ISNUMBER(Cap_In!I51),Cap_In!I51,"—")</f>
        <v>—</v>
      </c>
      <c r="D11" s="108" t="n">
        <f aca="false">IF(Cap_In!H51=1,IF(B4_PeakMode=1,1,(B4_PeakHrs+(168-B4_PeakHrs)*B4_OffPeak)/168),1)</f>
        <v>1</v>
      </c>
      <c r="E11" s="94" t="n">
        <f aca="false">Cap_In!E51*D11</f>
        <v>4</v>
      </c>
      <c r="F11" s="94" t="n">
        <f aca="false">IF(ISNUMBER(Cap_In!F51),Cap_In!F51,Cap_In!E51)*D11</f>
        <v>0.2</v>
      </c>
      <c r="G11" s="94" t="n">
        <f aca="false">Cap_In!G51*D11</f>
        <v>20</v>
      </c>
      <c r="H11" s="116" t="n">
        <f aca="false">(INDEX(B4_ISL,1,1)*((1-B4_CacheHit)*E11+B4_CacheHit*F11)+INDEX(B4_OSL,1,1)*G11)/(INDEX(B4_ISL,1,1)+INDEX(B4_OSL,1,1))</f>
        <v>3.92</v>
      </c>
      <c r="I11" s="116" t="n">
        <f aca="false">(INDEX(B4_ISL,1,2)*((1-B4_CacheHit)*E11+B4_CacheHit*F11)+INDEX(B4_OSL,1,2)*G11)/(INDEX(B4_ISL,1,2)+INDEX(B4_OSL,1,2))</f>
        <v>3.92</v>
      </c>
      <c r="J11" s="116" t="n">
        <f aca="false">(INDEX(B4_ISL,1,3)*((1-B4_CacheHit)*E11+B4_CacheHit*F11)+INDEX(B4_OSL,1,3)*G11)/(INDEX(B4_ISL,1,3)+INDEX(B4_OSL,1,3))</f>
        <v>3.92</v>
      </c>
      <c r="K11" s="116" t="n">
        <f aca="false">IF(AND(ISNUMBER(C11),ISNUMBER($C$6)),IF(C11&gt;=$C$6,H11,1000000000),1000000000)</f>
        <v>1000000000</v>
      </c>
      <c r="L11" s="116" t="n">
        <f aca="false">IF(AND(ISNUMBER(C11),ISNUMBER($C$7)),IF(C11&gt;=$C$7,I11,1000000000),1000000000)</f>
        <v>1000000000</v>
      </c>
      <c r="M11" s="116" t="n">
        <f aca="false">IF(AND(ISNUMBER(C11),ISNUMBER($C$8)),IF(C11&gt;=$C$8,J11,1000000000),1000000000)</f>
        <v>1000000000</v>
      </c>
      <c r="N11" s="94" t="n">
        <f aca="false">IF(Cap_In!N51=1,K11,1000000000)</f>
        <v>1000000000</v>
      </c>
      <c r="O11" s="94" t="n">
        <f aca="false">IF(Cap_In!N51=1,L11,1000000000)</f>
        <v>1000000000</v>
      </c>
      <c r="P11" s="94" t="n">
        <f aca="false">IF(Cap_In!N51=1,M11,1000000000)</f>
        <v>1000000000</v>
      </c>
      <c r="Q11" s="74" t="s">
        <v>1916</v>
      </c>
    </row>
    <row r="12" customFormat="false" ht="15" hidden="false" customHeight="false" outlineLevel="0" collapsed="false">
      <c r="A12" s="92" t="str">
        <f aca="false">Cap_In!A52</f>
        <v>DeepSeek V4.1-Flash</v>
      </c>
      <c r="B12" s="92" t="str">
        <f aca="false">Cap_In!C52</f>
        <v>中國</v>
      </c>
      <c r="C12" s="89" t="n">
        <f aca="false">IF(ISNUMBER(Cap_In!I52),Cap_In!I52,"—")</f>
        <v>39</v>
      </c>
      <c r="D12" s="108" t="n">
        <f aca="false">IF(Cap_In!H52=1,IF(B4_PeakMode=1,1,(B4_PeakHrs+(168-B4_PeakHrs)*B4_OffPeak)/168),1)</f>
        <v>0.604166666666667</v>
      </c>
      <c r="E12" s="94" t="n">
        <f aca="false">Cap_In!E52*D12</f>
        <v>0.18125</v>
      </c>
      <c r="F12" s="94" t="n">
        <f aca="false">IF(ISNUMBER(Cap_In!F52),Cap_In!F52,Cap_In!E52)*D12</f>
        <v>0.003625</v>
      </c>
      <c r="G12" s="94" t="n">
        <f aca="false">Cap_In!G52*D12</f>
        <v>0.725</v>
      </c>
      <c r="H12" s="116" t="n">
        <f aca="false">(INDEX(B4_ISL,1,1)*((1-B4_CacheHit)*E12+B4_CacheHit*F12)+INDEX(B4_OSL,1,1)*G12)/(INDEX(B4_ISL,1,1)+INDEX(B4_OSL,1,1))</f>
        <v>0.154827777777778</v>
      </c>
      <c r="I12" s="116" t="n">
        <f aca="false">(INDEX(B4_ISL,1,2)*((1-B4_CacheHit)*E12+B4_CacheHit*F12)+INDEX(B4_OSL,1,2)*G12)/(INDEX(B4_ISL,1,2)+INDEX(B4_OSL,1,2))</f>
        <v>0.154827777777778</v>
      </c>
      <c r="J12" s="116" t="n">
        <f aca="false">(INDEX(B4_ISL,1,3)*((1-B4_CacheHit)*E12+B4_CacheHit*F12)+INDEX(B4_OSL,1,3)*G12)/(INDEX(B4_ISL,1,3)+INDEX(B4_OSL,1,3))</f>
        <v>0.154827777777778</v>
      </c>
      <c r="K12" s="116" t="n">
        <f aca="false">IF(AND(ISNUMBER(C12),ISNUMBER($C$6)),IF(C12&gt;=$C$6,H12,1000000000),1000000000)</f>
        <v>0.154827777777778</v>
      </c>
      <c r="L12" s="116" t="n">
        <f aca="false">IF(AND(ISNUMBER(C12),ISNUMBER($C$7)),IF(C12&gt;=$C$7,I12,1000000000),1000000000)</f>
        <v>1000000000</v>
      </c>
      <c r="M12" s="116" t="n">
        <f aca="false">IF(AND(ISNUMBER(C12),ISNUMBER($C$8)),IF(C12&gt;=$C$8,J12,1000000000),1000000000)</f>
        <v>1000000000</v>
      </c>
      <c r="N12" s="94" t="n">
        <f aca="false">IF(Cap_In!N52=1,K12,1000000000)</f>
        <v>0.154827777777778</v>
      </c>
      <c r="O12" s="94" t="n">
        <f aca="false">IF(Cap_In!N52=1,L12,1000000000)</f>
        <v>1000000000</v>
      </c>
      <c r="P12" s="94" t="n">
        <f aca="false">IF(Cap_In!N52=1,M12,1000000000)</f>
        <v>1000000000</v>
      </c>
      <c r="Q12" s="74" t="s">
        <v>1917</v>
      </c>
    </row>
    <row r="13" customFormat="false" ht="15" hidden="false" customHeight="false" outlineLevel="0" collapsed="false">
      <c r="A13" s="92" t="str">
        <f aca="false">Cap_In!A53</f>
        <v>DeepSeek V4-Pro-0813</v>
      </c>
      <c r="B13" s="92" t="str">
        <f aca="false">Cap_In!C53</f>
        <v>中國</v>
      </c>
      <c r="C13" s="89" t="n">
        <f aca="false">IF(ISNUMBER(Cap_In!I53),Cap_In!I53,"—")</f>
        <v>36</v>
      </c>
      <c r="D13" s="108" t="n">
        <f aca="false">IF(Cap_In!H53=1,IF(B4_PeakMode=1,1,(B4_PeakHrs+(168-B4_PeakHrs)*B4_OffPeak)/168),1)</f>
        <v>0.604166666666667</v>
      </c>
      <c r="E13" s="94" t="n">
        <f aca="false">Cap_In!E53*D13</f>
        <v>0.7975</v>
      </c>
      <c r="F13" s="94" t="n">
        <f aca="false">IF(ISNUMBER(Cap_In!F53),Cap_In!F53,Cap_In!E53)*D13</f>
        <v>0.0265833333333333</v>
      </c>
      <c r="G13" s="94" t="n">
        <f aca="false">Cap_In!G53*D13</f>
        <v>2.3925</v>
      </c>
      <c r="H13" s="116" t="n">
        <f aca="false">(INDEX(B4_ISL,1,1)*((1-B4_CacheHit)*E13+B4_CacheHit*F13)+INDEX(B4_OSL,1,1)*G13)/(INDEX(B4_ISL,1,1)+INDEX(B4_OSL,1,1))</f>
        <v>0.59782962962963</v>
      </c>
      <c r="I13" s="116" t="n">
        <f aca="false">(INDEX(B4_ISL,1,2)*((1-B4_CacheHit)*E13+B4_CacheHit*F13)+INDEX(B4_OSL,1,2)*G13)/(INDEX(B4_ISL,1,2)+INDEX(B4_OSL,1,2))</f>
        <v>0.59782962962963</v>
      </c>
      <c r="J13" s="116" t="n">
        <f aca="false">(INDEX(B4_ISL,1,3)*((1-B4_CacheHit)*E13+B4_CacheHit*F13)+INDEX(B4_OSL,1,3)*G13)/(INDEX(B4_ISL,1,3)+INDEX(B4_OSL,1,3))</f>
        <v>0.59782962962963</v>
      </c>
      <c r="K13" s="116" t="n">
        <f aca="false">IF(AND(ISNUMBER(C13),ISNUMBER($C$6)),IF(C13&gt;=$C$6,H13,1000000000),1000000000)</f>
        <v>1000000000</v>
      </c>
      <c r="L13" s="116" t="n">
        <f aca="false">IF(AND(ISNUMBER(C13),ISNUMBER($C$7)),IF(C13&gt;=$C$7,I13,1000000000),1000000000)</f>
        <v>1000000000</v>
      </c>
      <c r="M13" s="116" t="n">
        <f aca="false">IF(AND(ISNUMBER(C13),ISNUMBER($C$8)),IF(C13&gt;=$C$8,J13,1000000000),1000000000)</f>
        <v>1000000000</v>
      </c>
      <c r="N13" s="94" t="n">
        <f aca="false">IF(Cap_In!N53=1,K13,1000000000)</f>
        <v>1000000000</v>
      </c>
      <c r="O13" s="94" t="n">
        <f aca="false">IF(Cap_In!N53=1,L13,1000000000)</f>
        <v>1000000000</v>
      </c>
      <c r="P13" s="94" t="n">
        <f aca="false">IF(Cap_In!N53=1,M13,1000000000)</f>
        <v>1000000000</v>
      </c>
      <c r="Q13" s="74" t="s">
        <v>1918</v>
      </c>
    </row>
    <row r="14" customFormat="false" ht="15" hidden="false" customHeight="false" outlineLevel="0" collapsed="false">
      <c r="A14" s="92" t="str">
        <f aca="false">Cap_In!A54</f>
        <v>GLM-5.3</v>
      </c>
      <c r="B14" s="92" t="str">
        <f aca="false">Cap_In!C54</f>
        <v>中國</v>
      </c>
      <c r="C14" s="89" t="n">
        <f aca="false">IF(ISNUMBER(Cap_In!I54),Cap_In!I54,"—")</f>
        <v>45</v>
      </c>
      <c r="D14" s="108" t="n">
        <f aca="false">IF(Cap_In!H54=1,IF(B4_PeakMode=1,1,(B4_PeakHrs+(168-B4_PeakHrs)*B4_OffPeak)/168),1)</f>
        <v>1</v>
      </c>
      <c r="E14" s="94" t="n">
        <f aca="false">Cap_In!E54*D14</f>
        <v>1.4</v>
      </c>
      <c r="F14" s="94" t="n">
        <f aca="false">IF(ISNUMBER(Cap_In!F54),Cap_In!F54,Cap_In!E54)*D14</f>
        <v>0.26</v>
      </c>
      <c r="G14" s="94" t="n">
        <f aca="false">Cap_In!G54*D14</f>
        <v>4.4</v>
      </c>
      <c r="H14" s="116" t="n">
        <f aca="false">(INDEX(B4_ISL,1,1)*((1-B4_CacheHit)*E14+B4_CacheHit*F14)+INDEX(B4_OSL,1,1)*G14)/(INDEX(B4_ISL,1,1)+INDEX(B4_OSL,1,1))</f>
        <v>1.176</v>
      </c>
      <c r="I14" s="116" t="n">
        <f aca="false">(INDEX(B4_ISL,1,2)*((1-B4_CacheHit)*E14+B4_CacheHit*F14)+INDEX(B4_OSL,1,2)*G14)/(INDEX(B4_ISL,1,2)+INDEX(B4_OSL,1,2))</f>
        <v>1.176</v>
      </c>
      <c r="J14" s="116" t="n">
        <f aca="false">(INDEX(B4_ISL,1,3)*((1-B4_CacheHit)*E14+B4_CacheHit*F14)+INDEX(B4_OSL,1,3)*G14)/(INDEX(B4_ISL,1,3)+INDEX(B4_OSL,1,3))</f>
        <v>1.176</v>
      </c>
      <c r="K14" s="116" t="n">
        <f aca="false">IF(AND(ISNUMBER(C14),ISNUMBER($C$6)),IF(C14&gt;=$C$6,H14,1000000000),1000000000)</f>
        <v>1.176</v>
      </c>
      <c r="L14" s="116" t="n">
        <f aca="false">IF(AND(ISNUMBER(C14),ISNUMBER($C$7)),IF(C14&gt;=$C$7,I14,1000000000),1000000000)</f>
        <v>1000000000</v>
      </c>
      <c r="M14" s="116" t="n">
        <f aca="false">IF(AND(ISNUMBER(C14),ISNUMBER($C$8)),IF(C14&gt;=$C$8,J14,1000000000),1000000000)</f>
        <v>1000000000</v>
      </c>
      <c r="N14" s="94" t="n">
        <f aca="false">IF(Cap_In!N54=1,K14,1000000000)</f>
        <v>1.176</v>
      </c>
      <c r="O14" s="94" t="n">
        <f aca="false">IF(Cap_In!N54=1,L14,1000000000)</f>
        <v>1000000000</v>
      </c>
      <c r="P14" s="94" t="n">
        <f aca="false">IF(Cap_In!N54=1,M14,1000000000)</f>
        <v>1000000000</v>
      </c>
      <c r="Q14" s="74" t="s">
        <v>1919</v>
      </c>
    </row>
    <row r="15" customFormat="false" ht="15" hidden="false" customHeight="false" outlineLevel="0" collapsed="false">
      <c r="A15" s="92" t="str">
        <f aca="false">Cap_In!A55</f>
        <v>GLM-5.3-Flash</v>
      </c>
      <c r="B15" s="92" t="str">
        <f aca="false">Cap_In!C55</f>
        <v>中國</v>
      </c>
      <c r="C15" s="89" t="n">
        <f aca="false">IF(ISNUMBER(Cap_In!I55),Cap_In!I55,"—")</f>
        <v>42</v>
      </c>
      <c r="D15" s="108" t="n">
        <f aca="false">IF(Cap_In!H55=1,IF(B4_PeakMode=1,1,(B4_PeakHrs+(168-B4_PeakHrs)*B4_OffPeak)/168),1)</f>
        <v>1</v>
      </c>
      <c r="E15" s="94" t="n">
        <f aca="false">Cap_In!E55*D15</f>
        <v>0.15</v>
      </c>
      <c r="F15" s="94" t="n">
        <f aca="false">IF(ISNUMBER(Cap_In!F55),Cap_In!F55,Cap_In!E55)*D15</f>
        <v>0.03</v>
      </c>
      <c r="G15" s="94" t="n">
        <f aca="false">Cap_In!G55*D15</f>
        <v>0.5</v>
      </c>
      <c r="H15" s="116" t="n">
        <f aca="false">(INDEX(B4_ISL,1,1)*((1-B4_CacheHit)*E15+B4_CacheHit*F15)+INDEX(B4_OSL,1,1)*G15)/(INDEX(B4_ISL,1,1)+INDEX(B4_OSL,1,1))</f>
        <v>0.130222222222222</v>
      </c>
      <c r="I15" s="116" t="n">
        <f aca="false">(INDEX(B4_ISL,1,2)*((1-B4_CacheHit)*E15+B4_CacheHit*F15)+INDEX(B4_OSL,1,2)*G15)/(INDEX(B4_ISL,1,2)+INDEX(B4_OSL,1,2))</f>
        <v>0.130222222222222</v>
      </c>
      <c r="J15" s="116" t="n">
        <f aca="false">(INDEX(B4_ISL,1,3)*((1-B4_CacheHit)*E15+B4_CacheHit*F15)+INDEX(B4_OSL,1,3)*G15)/(INDEX(B4_ISL,1,3)+INDEX(B4_OSL,1,3))</f>
        <v>0.130222222222222</v>
      </c>
      <c r="K15" s="116" t="n">
        <f aca="false">IF(AND(ISNUMBER(C15),ISNUMBER($C$6)),IF(C15&gt;=$C$6,H15,1000000000),1000000000)</f>
        <v>0.130222222222222</v>
      </c>
      <c r="L15" s="116" t="n">
        <f aca="false">IF(AND(ISNUMBER(C15),ISNUMBER($C$7)),IF(C15&gt;=$C$7,I15,1000000000),1000000000)</f>
        <v>1000000000</v>
      </c>
      <c r="M15" s="116" t="n">
        <f aca="false">IF(AND(ISNUMBER(C15),ISNUMBER($C$8)),IF(C15&gt;=$C$8,J15,1000000000),1000000000)</f>
        <v>1000000000</v>
      </c>
      <c r="N15" s="94" t="n">
        <f aca="false">IF(Cap_In!N55=1,K15,1000000000)</f>
        <v>0.130222222222222</v>
      </c>
      <c r="O15" s="94" t="n">
        <f aca="false">IF(Cap_In!N55=1,L15,1000000000)</f>
        <v>1000000000</v>
      </c>
      <c r="P15" s="94" t="n">
        <f aca="false">IF(Cap_In!N55=1,M15,1000000000)</f>
        <v>1000000000</v>
      </c>
      <c r="Q15" s="74" t="s">
        <v>1920</v>
      </c>
    </row>
    <row r="16" customFormat="false" ht="15" hidden="false" customHeight="false" outlineLevel="0" collapsed="false">
      <c r="A16" s="92" t="str">
        <f aca="false">Cap_In!A56</f>
        <v>Qwen3.8-Max</v>
      </c>
      <c r="B16" s="92" t="str">
        <f aca="false">Cap_In!C56</f>
        <v>中國</v>
      </c>
      <c r="C16" s="89" t="n">
        <f aca="false">IF(ISNUMBER(Cap_In!I56),Cap_In!I56,"—")</f>
        <v>40</v>
      </c>
      <c r="D16" s="108" t="n">
        <f aca="false">IF(Cap_In!H56=1,IF(B4_PeakMode=1,1,(B4_PeakHrs+(168-B4_PeakHrs)*B4_OffPeak)/168),1)</f>
        <v>1</v>
      </c>
      <c r="E16" s="94" t="n">
        <f aca="false">Cap_In!E56*D16</f>
        <v>2</v>
      </c>
      <c r="F16" s="94" t="n">
        <f aca="false">IF(ISNUMBER(Cap_In!F56),Cap_In!F56,Cap_In!E56)*D16</f>
        <v>0.25</v>
      </c>
      <c r="G16" s="94" t="n">
        <f aca="false">Cap_In!G56*D16</f>
        <v>6</v>
      </c>
      <c r="H16" s="116" t="n">
        <f aca="false">(INDEX(B4_ISL,1,1)*((1-B4_CacheHit)*E16+B4_CacheHit*F16)+INDEX(B4_OSL,1,1)*G16)/(INDEX(B4_ISL,1,1)+INDEX(B4_OSL,1,1))</f>
        <v>1.58888888888889</v>
      </c>
      <c r="I16" s="116" t="n">
        <f aca="false">(INDEX(B4_ISL,1,2)*((1-B4_CacheHit)*E16+B4_CacheHit*F16)+INDEX(B4_OSL,1,2)*G16)/(INDEX(B4_ISL,1,2)+INDEX(B4_OSL,1,2))</f>
        <v>1.58888888888889</v>
      </c>
      <c r="J16" s="116" t="n">
        <f aca="false">(INDEX(B4_ISL,1,3)*((1-B4_CacheHit)*E16+B4_CacheHit*F16)+INDEX(B4_OSL,1,3)*G16)/(INDEX(B4_ISL,1,3)+INDEX(B4_OSL,1,3))</f>
        <v>1.58888888888889</v>
      </c>
      <c r="K16" s="116" t="n">
        <f aca="false">IF(AND(ISNUMBER(C16),ISNUMBER($C$6)),IF(C16&gt;=$C$6,H16,1000000000),1000000000)</f>
        <v>1.58888888888889</v>
      </c>
      <c r="L16" s="116" t="n">
        <f aca="false">IF(AND(ISNUMBER(C16),ISNUMBER($C$7)),IF(C16&gt;=$C$7,I16,1000000000),1000000000)</f>
        <v>1000000000</v>
      </c>
      <c r="M16" s="116" t="n">
        <f aca="false">IF(AND(ISNUMBER(C16),ISNUMBER($C$8)),IF(C16&gt;=$C$8,J16,1000000000),1000000000)</f>
        <v>1000000000</v>
      </c>
      <c r="N16" s="94" t="n">
        <f aca="false">IF(Cap_In!N56=1,K16,1000000000)</f>
        <v>1.58888888888889</v>
      </c>
      <c r="O16" s="94" t="n">
        <f aca="false">IF(Cap_In!N56=1,L16,1000000000)</f>
        <v>1000000000</v>
      </c>
      <c r="P16" s="94" t="n">
        <f aca="false">IF(Cap_In!N56=1,M16,1000000000)</f>
        <v>1000000000</v>
      </c>
      <c r="Q16" s="74" t="s">
        <v>1921</v>
      </c>
    </row>
    <row r="17" customFormat="false" ht="15" hidden="false" customHeight="false" outlineLevel="0" collapsed="false">
      <c r="A17" s="92" t="str">
        <f aca="false">Cap_In!A57</f>
        <v>Kimi K3</v>
      </c>
      <c r="B17" s="92" t="str">
        <f aca="false">Cap_In!C57</f>
        <v>中國</v>
      </c>
      <c r="C17" s="89" t="str">
        <f aca="false">IF(ISNUMBER(Cap_In!I57),Cap_In!I57,"—")</f>
        <v>—</v>
      </c>
      <c r="D17" s="108" t="n">
        <f aca="false">IF(Cap_In!H57=1,IF(B4_PeakMode=1,1,(B4_PeakHrs+(168-B4_PeakHrs)*B4_OffPeak)/168),1)</f>
        <v>1</v>
      </c>
      <c r="E17" s="94" t="n">
        <f aca="false">Cap_In!E57*D17</f>
        <v>3</v>
      </c>
      <c r="F17" s="94" t="n">
        <f aca="false">IF(ISNUMBER(Cap_In!F57),Cap_In!F57,Cap_In!E57)*D17</f>
        <v>0.3</v>
      </c>
      <c r="G17" s="94" t="n">
        <f aca="false">Cap_In!G57*D17</f>
        <v>15</v>
      </c>
      <c r="H17" s="116" t="n">
        <f aca="false">(INDEX(B4_ISL,1,1)*((1-B4_CacheHit)*E17+B4_CacheHit*F17)+INDEX(B4_OSL,1,1)*G17)/(INDEX(B4_ISL,1,1)+INDEX(B4_OSL,1,1))</f>
        <v>3.01333333333333</v>
      </c>
      <c r="I17" s="116" t="n">
        <f aca="false">(INDEX(B4_ISL,1,2)*((1-B4_CacheHit)*E17+B4_CacheHit*F17)+INDEX(B4_OSL,1,2)*G17)/(INDEX(B4_ISL,1,2)+INDEX(B4_OSL,1,2))</f>
        <v>3.01333333333333</v>
      </c>
      <c r="J17" s="116" t="n">
        <f aca="false">(INDEX(B4_ISL,1,3)*((1-B4_CacheHit)*E17+B4_CacheHit*F17)+INDEX(B4_OSL,1,3)*G17)/(INDEX(B4_ISL,1,3)+INDEX(B4_OSL,1,3))</f>
        <v>3.01333333333333</v>
      </c>
      <c r="K17" s="116" t="n">
        <f aca="false">IF(AND(ISNUMBER(C17),ISNUMBER($C$6)),IF(C17&gt;=$C$6,H17,1000000000),1000000000)</f>
        <v>1000000000</v>
      </c>
      <c r="L17" s="116" t="n">
        <f aca="false">IF(AND(ISNUMBER(C17),ISNUMBER($C$7)),IF(C17&gt;=$C$7,I17,1000000000),1000000000)</f>
        <v>1000000000</v>
      </c>
      <c r="M17" s="116" t="n">
        <f aca="false">IF(AND(ISNUMBER(C17),ISNUMBER($C$8)),IF(C17&gt;=$C$8,J17,1000000000),1000000000)</f>
        <v>1000000000</v>
      </c>
      <c r="N17" s="94" t="n">
        <f aca="false">IF(Cap_In!N57=1,K17,1000000000)</f>
        <v>1000000000</v>
      </c>
      <c r="O17" s="94" t="n">
        <f aca="false">IF(Cap_In!N57=1,L17,1000000000)</f>
        <v>1000000000</v>
      </c>
      <c r="P17" s="94" t="n">
        <f aca="false">IF(Cap_In!N57=1,M17,1000000000)</f>
        <v>1000000000</v>
      </c>
      <c r="Q17" s="74" t="s">
        <v>1922</v>
      </c>
    </row>
    <row r="18" customFormat="false" ht="15" hidden="false" customHeight="false" outlineLevel="0" collapsed="false">
      <c r="A18" s="92" t="str">
        <f aca="false">Cap_In!A58</f>
        <v>MiniMax M3</v>
      </c>
      <c r="B18" s="92" t="str">
        <f aca="false">Cap_In!C58</f>
        <v>中國</v>
      </c>
      <c r="C18" s="89" t="str">
        <f aca="false">IF(ISNUMBER(Cap_In!I58),Cap_In!I58,"—")</f>
        <v>—</v>
      </c>
      <c r="D18" s="108" t="n">
        <f aca="false">IF(Cap_In!H58=1,IF(B4_PeakMode=1,1,(B4_PeakHrs+(168-B4_PeakHrs)*B4_OffPeak)/168),1)</f>
        <v>1</v>
      </c>
      <c r="E18" s="94" t="n">
        <f aca="false">Cap_In!E58*D18</f>
        <v>0.3</v>
      </c>
      <c r="F18" s="94" t="n">
        <f aca="false">IF(ISNUMBER(Cap_In!F58),Cap_In!F58,Cap_In!E58)*D18</f>
        <v>0.3</v>
      </c>
      <c r="G18" s="94" t="n">
        <f aca="false">Cap_In!G58*D18</f>
        <v>1.2</v>
      </c>
      <c r="H18" s="116" t="n">
        <f aca="false">(INDEX(B4_ISL,1,1)*((1-B4_CacheHit)*E18+B4_CacheHit*F18)+INDEX(B4_OSL,1,1)*G18)/(INDEX(B4_ISL,1,1)+INDEX(B4_OSL,1,1))</f>
        <v>0.4</v>
      </c>
      <c r="I18" s="116" t="n">
        <f aca="false">(INDEX(B4_ISL,1,2)*((1-B4_CacheHit)*E18+B4_CacheHit*F18)+INDEX(B4_OSL,1,2)*G18)/(INDEX(B4_ISL,1,2)+INDEX(B4_OSL,1,2))</f>
        <v>0.4</v>
      </c>
      <c r="J18" s="116" t="n">
        <f aca="false">(INDEX(B4_ISL,1,3)*((1-B4_CacheHit)*E18+B4_CacheHit*F18)+INDEX(B4_OSL,1,3)*G18)/(INDEX(B4_ISL,1,3)+INDEX(B4_OSL,1,3))</f>
        <v>0.4</v>
      </c>
      <c r="K18" s="116" t="n">
        <f aca="false">IF(AND(ISNUMBER(C18),ISNUMBER($C$6)),IF(C18&gt;=$C$6,H18,1000000000),1000000000)</f>
        <v>1000000000</v>
      </c>
      <c r="L18" s="116" t="n">
        <f aca="false">IF(AND(ISNUMBER(C18),ISNUMBER($C$7)),IF(C18&gt;=$C$7,I18,1000000000),1000000000)</f>
        <v>1000000000</v>
      </c>
      <c r="M18" s="116" t="n">
        <f aca="false">IF(AND(ISNUMBER(C18),ISNUMBER($C$8)),IF(C18&gt;=$C$8,J18,1000000000),1000000000)</f>
        <v>1000000000</v>
      </c>
      <c r="N18" s="94" t="n">
        <f aca="false">IF(Cap_In!N58=1,K18,1000000000)</f>
        <v>1000000000</v>
      </c>
      <c r="O18" s="94" t="n">
        <f aca="false">IF(Cap_In!N58=1,L18,1000000000)</f>
        <v>1000000000</v>
      </c>
      <c r="P18" s="94" t="n">
        <f aca="false">IF(Cap_In!N58=1,M18,1000000000)</f>
        <v>1000000000</v>
      </c>
      <c r="Q18" s="74" t="s">
        <v>1923</v>
      </c>
    </row>
    <row r="19" customFormat="false" ht="15" hidden="false" customHeight="false" outlineLevel="0" collapsed="false">
      <c r="A19" s="74" t="s">
        <v>1924</v>
      </c>
    </row>
    <row r="21" customFormat="false" ht="15" hidden="false" customHeight="false" outlineLevel="0" collapsed="false">
      <c r="A21" s="76" t="s">
        <v>1925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</row>
    <row r="22" customFormat="false" ht="15" hidden="false" customHeight="false" outlineLevel="0" collapsed="false">
      <c r="A22" s="60" t="s">
        <v>386</v>
      </c>
      <c r="B22" s="60" t="s">
        <v>95</v>
      </c>
      <c r="C22" s="10" t="s">
        <v>278</v>
      </c>
      <c r="D22" s="10" t="s">
        <v>279</v>
      </c>
      <c r="E22" s="10" t="s">
        <v>280</v>
      </c>
    </row>
    <row r="23" customFormat="false" ht="29.85" hidden="false" customHeight="false" outlineLevel="0" collapsed="false">
      <c r="A23" s="5" t="s">
        <v>1926</v>
      </c>
      <c r="B23" s="61" t="s">
        <v>1927</v>
      </c>
      <c r="C23" s="105" t="n">
        <f aca="false">$C$6</f>
        <v>37</v>
      </c>
      <c r="D23" s="105" t="n">
        <f aca="false">$C$7</f>
        <v>48</v>
      </c>
      <c r="E23" s="105" t="n">
        <f aca="false">$C$8</f>
        <v>53</v>
      </c>
    </row>
    <row r="24" customFormat="false" ht="29.85" hidden="false" customHeight="false" outlineLevel="0" collapsed="false">
      <c r="A24" s="6" t="s">
        <v>1928</v>
      </c>
      <c r="B24" s="62" t="s">
        <v>976</v>
      </c>
      <c r="C24" s="116" t="n">
        <f aca="false">INDEX($H$6:$H$18,1)</f>
        <v>0.100444444444444</v>
      </c>
      <c r="D24" s="116" t="n">
        <f aca="false">INDEX($I$6:$I$18,2)</f>
        <v>2.00888888888889</v>
      </c>
      <c r="E24" s="116" t="n">
        <f aca="false">INDEX($J$6:$J$18,3)</f>
        <v>10.0444444444444</v>
      </c>
      <c r="Q24" s="74" t="s">
        <v>1929</v>
      </c>
    </row>
    <row r="25" customFormat="false" ht="15" hidden="false" customHeight="false" outlineLevel="0" collapsed="false">
      <c r="A25" s="5" t="s">
        <v>1930</v>
      </c>
      <c r="B25" s="62" t="s">
        <v>976</v>
      </c>
      <c r="C25" s="125" t="n">
        <f aca="false">MIN($K$6:$K$18)</f>
        <v>0.100444444444444</v>
      </c>
      <c r="D25" s="125" t="n">
        <f aca="false">MIN($L$6:$L$18)</f>
        <v>2.00888888888889</v>
      </c>
      <c r="E25" s="125" t="n">
        <f aca="false">MIN($M$6:$M$18)</f>
        <v>9.67777777777778</v>
      </c>
    </row>
    <row r="26" customFormat="false" ht="15" hidden="false" customHeight="false" outlineLevel="0" collapsed="false">
      <c r="A26" s="5" t="s">
        <v>1931</v>
      </c>
      <c r="B26" s="61"/>
      <c r="C26" s="116" t="str">
        <f aca="false">INDEX($A$6:$A$18,MATCH(C25,$K$6:$K$18,0))</f>
        <v>GPT-6 Luna</v>
      </c>
      <c r="D26" s="116" t="str">
        <f aca="false">INDEX($A$6:$A$18,MATCH(D25,$L$6:$L$18,0))</f>
        <v>GPT-6 Sol</v>
      </c>
      <c r="E26" s="116" t="str">
        <f aca="false">INDEX($A$6:$A$18,MATCH(E25,$M$6:$M$18,0))</f>
        <v>Claude Fable 5.1</v>
      </c>
    </row>
    <row r="27" customFormat="false" ht="29.85" hidden="false" customHeight="false" outlineLevel="0" collapsed="false">
      <c r="A27" s="5" t="s">
        <v>1932</v>
      </c>
      <c r="B27" s="62" t="s">
        <v>976</v>
      </c>
      <c r="C27" s="116" t="n">
        <f aca="false">INDEX($E$6:$E$18,MATCH(C25,$K$6:$K$18,0))</f>
        <v>0.1</v>
      </c>
      <c r="D27" s="116" t="n">
        <f aca="false">INDEX($E$6:$E$18,MATCH(D25,$L$6:$L$18,0))</f>
        <v>2</v>
      </c>
      <c r="E27" s="116" t="n">
        <f aca="false">INDEX($E$6:$E$18,MATCH(E25,$M$6:$M$18,0))</f>
        <v>10</v>
      </c>
    </row>
    <row r="28" customFormat="false" ht="15" hidden="false" customHeight="false" outlineLevel="0" collapsed="false">
      <c r="A28" s="5" t="s">
        <v>1933</v>
      </c>
      <c r="B28" s="62" t="s">
        <v>976</v>
      </c>
      <c r="C28" s="116" t="n">
        <f aca="false">INDEX($F$6:$F$18,MATCH(C25,$K$6:$K$18,0))</f>
        <v>0.01</v>
      </c>
      <c r="D28" s="116" t="n">
        <f aca="false">INDEX($F$6:$F$18,MATCH(D25,$L$6:$L$18,0))</f>
        <v>0.2</v>
      </c>
      <c r="E28" s="116" t="n">
        <f aca="false">INDEX($F$6:$F$18,MATCH(E25,$M$6:$M$18,0))</f>
        <v>0.25</v>
      </c>
    </row>
    <row r="29" customFormat="false" ht="15" hidden="false" customHeight="false" outlineLevel="0" collapsed="false">
      <c r="A29" s="5" t="s">
        <v>1934</v>
      </c>
      <c r="B29" s="62" t="s">
        <v>976</v>
      </c>
      <c r="C29" s="116" t="n">
        <f aca="false">INDEX($G$6:$G$18,MATCH(C25,$K$6:$K$18,0))</f>
        <v>0.5</v>
      </c>
      <c r="D29" s="116" t="n">
        <f aca="false">INDEX($G$6:$G$18,MATCH(D25,$L$6:$L$18,0))</f>
        <v>10</v>
      </c>
      <c r="E29" s="116" t="n">
        <f aca="false">INDEX($G$6:$G$18,MATCH(E25,$M$6:$M$18,0))</f>
        <v>50</v>
      </c>
    </row>
    <row r="30" customFormat="false" ht="29.85" hidden="false" customHeight="false" outlineLevel="0" collapsed="false">
      <c r="A30" s="6" t="s">
        <v>1935</v>
      </c>
      <c r="B30" s="62" t="s">
        <v>118</v>
      </c>
      <c r="C30" s="104" t="n">
        <f aca="false">C24/C25</f>
        <v>1</v>
      </c>
      <c r="D30" s="104" t="n">
        <f aca="false">D24/D25</f>
        <v>1</v>
      </c>
      <c r="E30" s="104" t="n">
        <f aca="false">E24/E25</f>
        <v>1.03788748564868</v>
      </c>
    </row>
    <row r="31" customFormat="false" ht="29.85" hidden="false" customHeight="false" outlineLevel="0" collapsed="false">
      <c r="A31" s="5" t="s">
        <v>1936</v>
      </c>
      <c r="B31" s="62" t="s">
        <v>976</v>
      </c>
      <c r="C31" s="116" t="n">
        <f aca="false">IF(MIN($N$6:$N$18)&gt;=1000000000,"無合格",MIN($N$6:$N$18))</f>
        <v>0.130222222222222</v>
      </c>
      <c r="D31" s="116" t="str">
        <f aca="false">IF(MIN($O$6:$O$18)&gt;=1000000000,"無合格",MIN($O$6:$O$18))</f>
        <v>無合格</v>
      </c>
      <c r="E31" s="116" t="str">
        <f aca="false">IF(MIN($P$6:$P$18)&gt;=1000000000,"無合格",MIN($P$6:$P$18))</f>
        <v>無合格</v>
      </c>
      <c r="Q31" s="74" t="s">
        <v>1937</v>
      </c>
    </row>
    <row r="32" customFormat="false" ht="15" hidden="false" customHeight="false" outlineLevel="0" collapsed="false">
      <c r="A32" s="5" t="s">
        <v>1938</v>
      </c>
      <c r="B32" s="61"/>
      <c r="C32" s="116" t="str">
        <f aca="false">IF(ISNUMBER(C31),INDEX($A$6:$A$18,MATCH(C31,$N$6:$N$18,0)),"—")</f>
        <v>GLM-5.3-Flash</v>
      </c>
      <c r="D32" s="116" t="str">
        <f aca="false">IF(ISNUMBER(D31),INDEX($A$6:$A$18,MATCH(D31,$O$6:$O$18,0)),"—")</f>
        <v>—</v>
      </c>
      <c r="E32" s="116" t="str">
        <f aca="false">IF(ISNUMBER(E31),INDEX($A$6:$A$18,MATCH(E31,$P$6:$P$18,0)),"—")</f>
        <v>—</v>
      </c>
    </row>
    <row r="33" customFormat="false" ht="29.85" hidden="false" customHeight="false" outlineLevel="0" collapsed="false">
      <c r="A33" s="5" t="s">
        <v>1939</v>
      </c>
      <c r="B33" s="62" t="s">
        <v>118</v>
      </c>
      <c r="C33" s="77" t="n">
        <f aca="false">IF(ISNUMBER(C31),C31/C24,"—")</f>
        <v>1.29646017699115</v>
      </c>
      <c r="D33" s="77" t="str">
        <f aca="false">IF(ISNUMBER(D31),D31/D24,"—")</f>
        <v>—</v>
      </c>
      <c r="E33" s="77" t="str">
        <f aca="false">IF(ISNUMBER(E31),E31/E24,"—")</f>
        <v>—</v>
      </c>
      <c r="Q33" s="74" t="s">
        <v>1940</v>
      </c>
    </row>
    <row r="34" customFormat="false" ht="29.85" hidden="false" customHeight="false" outlineLevel="0" collapsed="false">
      <c r="A34" s="5" t="s">
        <v>1941</v>
      </c>
      <c r="B34" s="61" t="s">
        <v>345</v>
      </c>
      <c r="C34" s="105" t="n">
        <f aca="false">COUNTIF($N$6:$N$18,"&lt;1E9")</f>
        <v>4</v>
      </c>
      <c r="D34" s="105" t="n">
        <f aca="false">COUNTIF($O$6:$O$18,"&lt;1E9")</f>
        <v>0</v>
      </c>
      <c r="E34" s="105" t="n">
        <f aca="false">COUNTIF($P$6:$P$18,"&lt;1E9")</f>
        <v>0</v>
      </c>
    </row>
    <row r="36" customFormat="false" ht="15" hidden="false" customHeight="false" outlineLevel="0" collapsed="false">
      <c r="A36" s="76" t="s">
        <v>1942</v>
      </c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</row>
    <row r="37" customFormat="false" ht="44" hidden="false" customHeight="false" outlineLevel="0" collapsed="false">
      <c r="A37" s="6" t="s">
        <v>1943</v>
      </c>
      <c r="B37" s="62" t="s">
        <v>118</v>
      </c>
      <c r="C37" s="97" t="n">
        <f aca="false">Tech_Registry!$E$29</f>
        <v>1</v>
      </c>
      <c r="D37" s="97" t="n">
        <f aca="false">Tech_Registry!$E$29</f>
        <v>1</v>
      </c>
      <c r="E37" s="97" t="n">
        <f aca="false">Tech_Registry!$E$29</f>
        <v>1</v>
      </c>
    </row>
    <row r="38" customFormat="false" ht="29.85" hidden="false" customHeight="false" outlineLevel="0" collapsed="false">
      <c r="A38" s="5" t="s">
        <v>1944</v>
      </c>
      <c r="B38" s="62" t="s">
        <v>118</v>
      </c>
      <c r="C38" s="106" t="n">
        <f aca="false">EXP(B4_Eps*LN(C37*B4_CompMult))</f>
        <v>1</v>
      </c>
      <c r="D38" s="106" t="n">
        <f aca="false">EXP(B4_Eps*LN(D37*B4_CompMult))</f>
        <v>1</v>
      </c>
      <c r="E38" s="106" t="n">
        <f aca="false">EXP(B4_Eps*LN(E37*B4_CompMult))</f>
        <v>1</v>
      </c>
    </row>
    <row r="40" customFormat="false" ht="15" hidden="false" customHeight="false" outlineLevel="0" collapsed="false">
      <c r="A40" s="76" t="s">
        <v>1945</v>
      </c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</row>
    <row r="41" customFormat="false" ht="15" hidden="false" customHeight="false" outlineLevel="0" collapsed="false">
      <c r="A41" s="5" t="s">
        <v>1946</v>
      </c>
      <c r="B41" s="62" t="s">
        <v>976</v>
      </c>
      <c r="C41" s="125" t="n">
        <f aca="false">INDEX(B4_PriceIn,1,1)*(1-B4_Disc)*C38</f>
        <v>0.08</v>
      </c>
      <c r="D41" s="125" t="n">
        <f aca="false">INDEX(B4_PriceIn,1,2)*(1-B4_Disc)*D38</f>
        <v>1.6</v>
      </c>
      <c r="E41" s="125" t="n">
        <f aca="false">INDEX(B4_PriceIn,1,3)*(1-B4_Disc)*E38</f>
        <v>8</v>
      </c>
    </row>
    <row r="42" customFormat="false" ht="15" hidden="false" customHeight="false" outlineLevel="0" collapsed="false">
      <c r="A42" s="5" t="s">
        <v>1947</v>
      </c>
      <c r="B42" s="62" t="s">
        <v>976</v>
      </c>
      <c r="C42" s="125" t="n">
        <f aca="false">INDEX(B4_PriceCache,1,1)*(1-B4_Disc)*C38</f>
        <v>0.008</v>
      </c>
      <c r="D42" s="125" t="n">
        <f aca="false">INDEX(B4_PriceCache,1,2)*(1-B4_Disc)*D38</f>
        <v>0.16</v>
      </c>
      <c r="E42" s="125" t="n">
        <f aca="false">INDEX(B4_PriceCache,1,3)*(1-B4_Disc)*E38</f>
        <v>0.8</v>
      </c>
    </row>
    <row r="43" customFormat="false" ht="29.85" hidden="false" customHeight="false" outlineLevel="0" collapsed="false">
      <c r="A43" s="5" t="s">
        <v>1948</v>
      </c>
      <c r="B43" s="62" t="s">
        <v>976</v>
      </c>
      <c r="C43" s="125" t="n">
        <f aca="false">INDEX(B4_PriceOut,1,1)*(1-B4_Disc)*C38</f>
        <v>0.4</v>
      </c>
      <c r="D43" s="125" t="n">
        <f aca="false">INDEX(B4_PriceOut,1,2)*(1-B4_Disc)*D38</f>
        <v>8</v>
      </c>
      <c r="E43" s="125" t="n">
        <f aca="false">INDEX(B4_PriceOut,1,3)*(1-B4_Disc)*E38</f>
        <v>40</v>
      </c>
    </row>
    <row r="44" customFormat="false" ht="15" hidden="false" customHeight="false" outlineLevel="0" collapsed="false">
      <c r="A44" s="5" t="s">
        <v>1949</v>
      </c>
      <c r="B44" s="62" t="s">
        <v>976</v>
      </c>
      <c r="C44" s="125" t="n">
        <f aca="false">INDEX(B4_PriceOut,1,1)*(1-B4_Disc)*C38</f>
        <v>0.4</v>
      </c>
      <c r="D44" s="125" t="n">
        <f aca="false">INDEX(B4_PriceOut,1,2)*(1-B4_Disc)*D38</f>
        <v>8</v>
      </c>
      <c r="E44" s="125" t="n">
        <f aca="false">INDEX(B4_PriceOut,1,3)*(1-B4_Disc)*E38</f>
        <v>40</v>
      </c>
    </row>
    <row r="45" customFormat="false" ht="29.85" hidden="false" customHeight="false" outlineLevel="0" collapsed="false">
      <c r="A45" s="5" t="s">
        <v>1950</v>
      </c>
      <c r="B45" s="62" t="s">
        <v>976</v>
      </c>
      <c r="C45" s="125" t="n">
        <f aca="false">(INDEX(B4_ISL,1,1)*((1-B4_CacheHit)*C41+B4_CacheHit*C42)+INDEX(B4_OSL,1,1)*C44)/(INDEX(B4_ISL,1,1)+INDEX(B4_OSL,1,1))</f>
        <v>0.0803555555555556</v>
      </c>
      <c r="D45" s="125" t="n">
        <f aca="false">(INDEX(B4_ISL,1,2)*((1-B4_CacheHit)*D41+B4_CacheHit*D42)+INDEX(B4_OSL,1,2)*D44)/(INDEX(B4_ISL,1,2)+INDEX(B4_OSL,1,2))</f>
        <v>1.60711111111111</v>
      </c>
      <c r="E45" s="125" t="n">
        <f aca="false">(INDEX(B4_ISL,1,3)*((1-B4_CacheHit)*E41+B4_CacheHit*E42)+INDEX(B4_OSL,1,3)*E44)/(INDEX(B4_ISL,1,3)+INDEX(B4_OSL,1,3))</f>
        <v>8.03555555555555</v>
      </c>
    </row>
    <row r="46" customFormat="false" ht="44" hidden="false" customHeight="false" outlineLevel="0" collapsed="false">
      <c r="A46" s="5" t="s">
        <v>1951</v>
      </c>
      <c r="B46" s="62" t="s">
        <v>976</v>
      </c>
      <c r="C46" s="125" t="n">
        <f aca="false">C25*(1-B4_Disc)</f>
        <v>0.0803555555555556</v>
      </c>
      <c r="D46" s="125" t="n">
        <f aca="false">D25*(1-B4_Disc)</f>
        <v>1.60711111111111</v>
      </c>
      <c r="E46" s="125" t="n">
        <f aca="false">E25*(1-B4_Disc)</f>
        <v>7.74222222222222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1952</v>
      </c>
    </row>
    <row r="2" customFormat="false" ht="15" hidden="false" customHeight="false" outlineLevel="0" collapsed="false">
      <c r="A2" s="74" t="s">
        <v>1953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186</v>
      </c>
      <c r="C4" s="82" t="str">
        <f aca="false">Unit_Cost!C4</f>
        <v>Hopper H100</v>
      </c>
      <c r="D4" s="82" t="str">
        <f aca="false">Unit_Cost!D4</f>
        <v>Hopper H100</v>
      </c>
      <c r="E4" s="82" t="str">
        <f aca="false">Unit_Cost!E4</f>
        <v>Hopper H100</v>
      </c>
      <c r="F4" s="82" t="str">
        <f aca="false">Unit_Cost!F4</f>
        <v>GB200 NVL72</v>
      </c>
      <c r="G4" s="82" t="str">
        <f aca="false">Unit_Cost!G4</f>
        <v>GB200 NVL72</v>
      </c>
      <c r="H4" s="82" t="str">
        <f aca="false">Unit_Cost!H4</f>
        <v>GB200 NVL72</v>
      </c>
      <c r="I4" s="82" t="str">
        <f aca="false">Unit_Cost!I4</f>
        <v>GB300 NVL72</v>
      </c>
      <c r="J4" s="82" t="str">
        <f aca="false">Unit_Cost!J4</f>
        <v>GB300 NVL72</v>
      </c>
      <c r="K4" s="82" t="str">
        <f aca="false">Unit_Cost!K4</f>
        <v>GB300 NVL72</v>
      </c>
      <c r="L4" s="82" t="str">
        <f aca="false">Unit_Cost!L4</f>
        <v>VR200 NVL72</v>
      </c>
      <c r="M4" s="82" t="str">
        <f aca="false">Unit_Cost!M4</f>
        <v>VR200 NVL72</v>
      </c>
      <c r="N4" s="82" t="str">
        <f aca="false">Unit_Cost!N4</f>
        <v>VR200 NVL72</v>
      </c>
      <c r="O4" s="82" t="str">
        <f aca="false">Unit_Cost!O4</f>
        <v>Rubin Ultra（MGX NVL 單架，72 GPU）</v>
      </c>
      <c r="P4" s="82" t="str">
        <f aca="false">Unit_Cost!P4</f>
        <v>Rubin Ultra（MGX NVL 單架，72 GPU）</v>
      </c>
      <c r="Q4" s="82" t="str">
        <f aca="false">Unit_Cost!Q4</f>
        <v>Rubin Ultra（MGX NVL 單架，72 GPU）</v>
      </c>
      <c r="R4" s="74" t="s">
        <v>1011</v>
      </c>
    </row>
    <row r="5" customFormat="false" ht="15" hidden="false" customHeight="false" outlineLevel="0" collapsed="false">
      <c r="A5" s="60" t="s">
        <v>28</v>
      </c>
      <c r="C5" s="82" t="str">
        <f aca="false">Unit_Cost!C5</f>
        <v>低成本</v>
      </c>
      <c r="D5" s="82" t="str">
        <f aca="false">Unit_Cost!D5</f>
        <v>基準</v>
      </c>
      <c r="E5" s="82" t="str">
        <f aca="false">Unit_Cost!E5</f>
        <v>高成本</v>
      </c>
      <c r="F5" s="82" t="str">
        <f aca="false">Unit_Cost!F5</f>
        <v>低成本</v>
      </c>
      <c r="G5" s="82" t="str">
        <f aca="false">Unit_Cost!G5</f>
        <v>基準</v>
      </c>
      <c r="H5" s="82" t="str">
        <f aca="false">Unit_Cost!H5</f>
        <v>高成本</v>
      </c>
      <c r="I5" s="82" t="str">
        <f aca="false">Unit_Cost!I5</f>
        <v>低成本</v>
      </c>
      <c r="J5" s="82" t="str">
        <f aca="false">Unit_Cost!J5</f>
        <v>基準</v>
      </c>
      <c r="K5" s="82" t="str">
        <f aca="false">Unit_Cost!K5</f>
        <v>高成本</v>
      </c>
      <c r="L5" s="82" t="str">
        <f aca="false">Unit_Cost!L5</f>
        <v>低成本</v>
      </c>
      <c r="M5" s="82" t="str">
        <f aca="false">Unit_Cost!M5</f>
        <v>基準</v>
      </c>
      <c r="N5" s="82" t="str">
        <f aca="false">Unit_Cost!N5</f>
        <v>高成本</v>
      </c>
      <c r="O5" s="82" t="str">
        <f aca="false">Unit_Cost!O5</f>
        <v>低成本</v>
      </c>
      <c r="P5" s="82" t="str">
        <f aca="false">Unit_Cost!P5</f>
        <v>基準</v>
      </c>
      <c r="Q5" s="82" t="str">
        <f aca="false">Unit_Cost!Q5</f>
        <v>高成本</v>
      </c>
      <c r="R5" s="74" t="s">
        <v>1954</v>
      </c>
    </row>
    <row r="6" customFormat="false" ht="15" hidden="false" customHeight="false" outlineLevel="0" collapsed="false">
      <c r="A6" s="60" t="s">
        <v>469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</row>
    <row r="7" customFormat="false" ht="15" hidden="false" customHeight="false" outlineLevel="0" collapsed="false">
      <c r="A7" s="60" t="s">
        <v>1955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69" t="s">
        <v>1956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6" t="s">
        <v>1957</v>
      </c>
      <c r="B10" s="62" t="s">
        <v>1958</v>
      </c>
      <c r="C10" s="157" t="n">
        <f aca="false">B4_SSDcost/(B4_SSDlife*8760)</f>
        <v>2.28310502283105E-006</v>
      </c>
      <c r="D10" s="157" t="n">
        <f aca="false">B4_SSDcost/(B4_SSDlife*8760)</f>
        <v>2.28310502283105E-006</v>
      </c>
      <c r="E10" s="157" t="n">
        <f aca="false">B4_SSDcost/(B4_SSDlife*8760)</f>
        <v>2.28310502283105E-006</v>
      </c>
      <c r="F10" s="157" t="n">
        <f aca="false">B4_SSDcost/(B4_SSDlife*8760)</f>
        <v>2.28310502283105E-006</v>
      </c>
      <c r="G10" s="157" t="n">
        <f aca="false">B4_SSDcost/(B4_SSDlife*8760)</f>
        <v>2.28310502283105E-006</v>
      </c>
      <c r="H10" s="157" t="n">
        <f aca="false">B4_SSDcost/(B4_SSDlife*8760)</f>
        <v>2.28310502283105E-006</v>
      </c>
      <c r="I10" s="157" t="n">
        <f aca="false">B4_SSDcost/(B4_SSDlife*8760)</f>
        <v>2.28310502283105E-006</v>
      </c>
      <c r="J10" s="157" t="n">
        <f aca="false">B4_SSDcost/(B4_SSDlife*8760)</f>
        <v>2.28310502283105E-006</v>
      </c>
      <c r="K10" s="157" t="n">
        <f aca="false">B4_SSDcost/(B4_SSDlife*8760)</f>
        <v>2.28310502283105E-006</v>
      </c>
      <c r="L10" s="157" t="n">
        <f aca="false">B4_SSDcost/(B4_SSDlife*8760)</f>
        <v>2.28310502283105E-006</v>
      </c>
      <c r="M10" s="157" t="n">
        <f aca="false">B4_SSDcost/(B4_SSDlife*8760)</f>
        <v>2.28310502283105E-006</v>
      </c>
      <c r="N10" s="157" t="n">
        <f aca="false">B4_SSDcost/(B4_SSDlife*8760)</f>
        <v>2.28310502283105E-006</v>
      </c>
      <c r="O10" s="157" t="n">
        <f aca="false">B4_SSDcost/(B4_SSDlife*8760)</f>
        <v>2.28310502283105E-006</v>
      </c>
      <c r="P10" s="157" t="n">
        <f aca="false">B4_SSDcost/(B4_SSDlife*8760)</f>
        <v>2.28310502283105E-006</v>
      </c>
      <c r="Q10" s="157" t="n">
        <f aca="false">B4_SSDcost/(B4_SSDlife*8760)</f>
        <v>2.28310502283105E-006</v>
      </c>
    </row>
    <row r="11" customFormat="false" ht="15" hidden="false" customHeight="false" outlineLevel="0" collapsed="false">
      <c r="A11" s="6" t="s">
        <v>1959</v>
      </c>
      <c r="B11" s="62" t="s">
        <v>1958</v>
      </c>
      <c r="C11" s="157" t="n">
        <f aca="false">B4_DRAMcost/(B4_DRAMlife*8760)</f>
        <v>0.000285388127853881</v>
      </c>
      <c r="D11" s="157" t="n">
        <f aca="false">B4_DRAMcost/(B4_DRAMlife*8760)</f>
        <v>0.000285388127853881</v>
      </c>
      <c r="E11" s="157" t="n">
        <f aca="false">B4_DRAMcost/(B4_DRAMlife*8760)</f>
        <v>0.000285388127853881</v>
      </c>
      <c r="F11" s="157" t="n">
        <f aca="false">B4_DRAMcost/(B4_DRAMlife*8760)</f>
        <v>0.000285388127853881</v>
      </c>
      <c r="G11" s="157" t="n">
        <f aca="false">B4_DRAMcost/(B4_DRAMlife*8760)</f>
        <v>0.000285388127853881</v>
      </c>
      <c r="H11" s="157" t="n">
        <f aca="false">B4_DRAMcost/(B4_DRAMlife*8760)</f>
        <v>0.000285388127853881</v>
      </c>
      <c r="I11" s="157" t="n">
        <f aca="false">B4_DRAMcost/(B4_DRAMlife*8760)</f>
        <v>0.000285388127853881</v>
      </c>
      <c r="J11" s="157" t="n">
        <f aca="false">B4_DRAMcost/(B4_DRAMlife*8760)</f>
        <v>0.000285388127853881</v>
      </c>
      <c r="K11" s="157" t="n">
        <f aca="false">B4_DRAMcost/(B4_DRAMlife*8760)</f>
        <v>0.000285388127853881</v>
      </c>
      <c r="L11" s="157" t="n">
        <f aca="false">B4_DRAMcost/(B4_DRAMlife*8760)</f>
        <v>0.000285388127853881</v>
      </c>
      <c r="M11" s="157" t="n">
        <f aca="false">B4_DRAMcost/(B4_DRAMlife*8760)</f>
        <v>0.000285388127853881</v>
      </c>
      <c r="N11" s="157" t="n">
        <f aca="false">B4_DRAMcost/(B4_DRAMlife*8760)</f>
        <v>0.000285388127853881</v>
      </c>
      <c r="O11" s="157" t="n">
        <f aca="false">B4_DRAMcost/(B4_DRAMlife*8760)</f>
        <v>0.000285388127853881</v>
      </c>
      <c r="P11" s="157" t="n">
        <f aca="false">B4_DRAMcost/(B4_DRAMlife*8760)</f>
        <v>0.000285388127853881</v>
      </c>
      <c r="Q11" s="157" t="n">
        <f aca="false">B4_DRAMcost/(B4_DRAMlife*8760)</f>
        <v>0.000285388127853881</v>
      </c>
    </row>
    <row r="12" customFormat="false" ht="15" hidden="false" customHeight="false" outlineLevel="0" collapsed="false">
      <c r="A12" s="6" t="s">
        <v>1960</v>
      </c>
      <c r="B12" s="62" t="s">
        <v>1958</v>
      </c>
      <c r="C12" s="158" t="n">
        <f aca="false">Unit_Cost!C$8/INDEX(Spec_Rack!$C$25:$G$25,1,C$6)</f>
        <v>0.0134955607522832</v>
      </c>
      <c r="D12" s="158" t="n">
        <f aca="false">Unit_Cost!D$8/INDEX(Spec_Rack!$C$25:$G$25,1,D$6)</f>
        <v>0.0192824568481987</v>
      </c>
      <c r="E12" s="158" t="n">
        <f aca="false">Unit_Cost!E$8/INDEX(Spec_Rack!$C$25:$G$25,1,E$6)</f>
        <v>0.0331150706309994</v>
      </c>
      <c r="F12" s="158" t="n">
        <f aca="false">Unit_Cost!F$8/INDEX(Spec_Rack!$C$25:$G$25,1,F$6)</f>
        <v>0.0080872480876766</v>
      </c>
      <c r="G12" s="158" t="n">
        <f aca="false">Unit_Cost!G$8/INDEX(Spec_Rack!$C$25:$G$25,1,G$6)</f>
        <v>0.0107981774006494</v>
      </c>
      <c r="H12" s="158" t="n">
        <f aca="false">Unit_Cost!H$8/INDEX(Spec_Rack!$C$25:$G$25,1,H$6)</f>
        <v>0.0175137756908532</v>
      </c>
      <c r="I12" s="158" t="n">
        <f aca="false">Unit_Cost!I$8/INDEX(Spec_Rack!$C$25:$G$25,1,I$6)</f>
        <v>0.00686022195155025</v>
      </c>
      <c r="J12" s="158" t="n">
        <f aca="false">Unit_Cost!J$8/INDEX(Spec_Rack!$C$25:$G$25,1,J$6)</f>
        <v>0.0088603736572776</v>
      </c>
      <c r="K12" s="158" t="n">
        <f aca="false">Unit_Cost!K$8/INDEX(Spec_Rack!$C$25:$G$25,1,K$6)</f>
        <v>0.0150852181439048</v>
      </c>
      <c r="L12" s="158" t="n">
        <f aca="false">Unit_Cost!L$8/INDEX(Spec_Rack!$C$25:$G$25,1,L$6)</f>
        <v>0.0129234011848593</v>
      </c>
      <c r="M12" s="158" t="n">
        <f aca="false">Unit_Cost!M$8/INDEX(Spec_Rack!$C$25:$G$25,1,M$6)</f>
        <v>0.0166099021084798</v>
      </c>
      <c r="N12" s="158" t="n">
        <f aca="false">Unit_Cost!N$8/INDEX(Spec_Rack!$C$25:$G$25,1,N$6)</f>
        <v>0.0268338112088143</v>
      </c>
      <c r="O12" s="158" t="n">
        <f aca="false">Unit_Cost!O$8/INDEX(Spec_Rack!$C$25:$G$25,1,O$6)</f>
        <v>0.00578265059127264</v>
      </c>
      <c r="P12" s="158" t="n">
        <f aca="false">Unit_Cost!P$8/INDEX(Spec_Rack!$C$25:$G$25,1,P$6)</f>
        <v>0.00878883600486841</v>
      </c>
      <c r="Q12" s="158" t="n">
        <f aca="false">Unit_Cost!Q$8/INDEX(Spec_Rack!$C$25:$G$25,1,Q$6)</f>
        <v>0.0160443846491459</v>
      </c>
    </row>
    <row r="13" customFormat="false" ht="15" hidden="false" customHeight="false" outlineLevel="0" collapsed="false">
      <c r="A13" s="5" t="s">
        <v>1961</v>
      </c>
      <c r="B13" s="62" t="s">
        <v>1958</v>
      </c>
      <c r="C13" s="157" t="n">
        <f aca="false">CHOOSE(B4_StoreTier,C10,C11,C12)</f>
        <v>0.000285388127853881</v>
      </c>
      <c r="D13" s="157" t="n">
        <f aca="false">CHOOSE(B4_StoreTier,D10,D11,D12)</f>
        <v>0.000285388127853881</v>
      </c>
      <c r="E13" s="157" t="n">
        <f aca="false">CHOOSE(B4_StoreTier,E10,E11,E12)</f>
        <v>0.000285388127853881</v>
      </c>
      <c r="F13" s="157" t="n">
        <f aca="false">CHOOSE(B4_StoreTier,F10,F11,F12)</f>
        <v>0.000285388127853881</v>
      </c>
      <c r="G13" s="157" t="n">
        <f aca="false">CHOOSE(B4_StoreTier,G10,G11,G12)</f>
        <v>0.000285388127853881</v>
      </c>
      <c r="H13" s="157" t="n">
        <f aca="false">CHOOSE(B4_StoreTier,H10,H11,H12)</f>
        <v>0.000285388127853881</v>
      </c>
      <c r="I13" s="157" t="n">
        <f aca="false">CHOOSE(B4_StoreTier,I10,I11,I12)</f>
        <v>0.000285388127853881</v>
      </c>
      <c r="J13" s="157" t="n">
        <f aca="false">CHOOSE(B4_StoreTier,J10,J11,J12)</f>
        <v>0.000285388127853881</v>
      </c>
      <c r="K13" s="157" t="n">
        <f aca="false">CHOOSE(B4_StoreTier,K10,K11,K12)</f>
        <v>0.000285388127853881</v>
      </c>
      <c r="L13" s="157" t="n">
        <f aca="false">CHOOSE(B4_StoreTier,L10,L11,L12)</f>
        <v>0.000285388127853881</v>
      </c>
      <c r="M13" s="157" t="n">
        <f aca="false">CHOOSE(B4_StoreTier,M10,M11,M12)</f>
        <v>0.000285388127853881</v>
      </c>
      <c r="N13" s="157" t="n">
        <f aca="false">CHOOSE(B4_StoreTier,N10,N11,N12)</f>
        <v>0.000285388127853881</v>
      </c>
      <c r="O13" s="157" t="n">
        <f aca="false">CHOOSE(B4_StoreTier,O10,O11,O12)</f>
        <v>0.000285388127853881</v>
      </c>
      <c r="P13" s="157" t="n">
        <f aca="false">CHOOSE(B4_StoreTier,P10,P11,P12)</f>
        <v>0.000285388127853881</v>
      </c>
      <c r="Q13" s="157" t="n">
        <f aca="false">CHOOSE(B4_StoreTier,Q10,Q11,Q12)</f>
        <v>0.000285388127853881</v>
      </c>
    </row>
    <row r="15" customFormat="false" ht="15" hidden="false" customHeight="false" outlineLevel="0" collapsed="false">
      <c r="A15" s="76" t="s">
        <v>278</v>
      </c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</row>
    <row r="16" customFormat="false" ht="15" hidden="false" customHeight="false" outlineLevel="0" collapsed="false">
      <c r="A16" s="6" t="s">
        <v>1962</v>
      </c>
      <c r="B16" s="62" t="s">
        <v>287</v>
      </c>
      <c r="C16" s="63" t="n">
        <f aca="false">Arch!$C$25</f>
        <v>2795</v>
      </c>
      <c r="D16" s="63" t="n">
        <f aca="false">Arch!$C$25</f>
        <v>2795</v>
      </c>
      <c r="E16" s="63" t="n">
        <f aca="false">Arch!$C$25</f>
        <v>2795</v>
      </c>
      <c r="F16" s="63" t="n">
        <f aca="false">Arch!$C$25</f>
        <v>2795</v>
      </c>
      <c r="G16" s="63" t="n">
        <f aca="false">Arch!$C$25</f>
        <v>2795</v>
      </c>
      <c r="H16" s="63" t="n">
        <f aca="false">Arch!$C$25</f>
        <v>2795</v>
      </c>
      <c r="I16" s="63" t="n">
        <f aca="false">Arch!$C$25</f>
        <v>2795</v>
      </c>
      <c r="J16" s="63" t="n">
        <f aca="false">Arch!$C$25</f>
        <v>2795</v>
      </c>
      <c r="K16" s="63" t="n">
        <f aca="false">Arch!$C$25</f>
        <v>2795</v>
      </c>
      <c r="L16" s="63" t="n">
        <f aca="false">Arch!$C$25</f>
        <v>2795</v>
      </c>
      <c r="M16" s="63" t="n">
        <f aca="false">Arch!$C$25</f>
        <v>2795</v>
      </c>
      <c r="N16" s="63" t="n">
        <f aca="false">Arch!$C$25</f>
        <v>2795</v>
      </c>
      <c r="O16" s="63" t="n">
        <f aca="false">Arch!$C$25</f>
        <v>2795</v>
      </c>
      <c r="P16" s="63" t="n">
        <f aca="false">Arch!$C$25</f>
        <v>2795</v>
      </c>
      <c r="Q16" s="63" t="n">
        <f aca="false">Arch!$C$25</f>
        <v>2795</v>
      </c>
    </row>
    <row r="17" customFormat="false" ht="15" hidden="false" customHeight="false" outlineLevel="0" collapsed="false">
      <c r="A17" s="5" t="s">
        <v>1963</v>
      </c>
      <c r="B17" s="62" t="s">
        <v>976</v>
      </c>
      <c r="C17" s="159" t="n">
        <f aca="false">C16*1000000/1000000000*C$13*B4_Retain/B4_Hits</f>
        <v>1.32943302891933E-005</v>
      </c>
      <c r="D17" s="159" t="n">
        <f aca="false">D16*1000000/1000000000*D$13*B4_Retain/B4_Hits</f>
        <v>1.32943302891933E-005</v>
      </c>
      <c r="E17" s="159" t="n">
        <f aca="false">E16*1000000/1000000000*E$13*B4_Retain/B4_Hits</f>
        <v>1.32943302891933E-005</v>
      </c>
      <c r="F17" s="159" t="n">
        <f aca="false">F16*1000000/1000000000*F$13*B4_Retain/B4_Hits</f>
        <v>1.32943302891933E-005</v>
      </c>
      <c r="G17" s="159" t="n">
        <f aca="false">G16*1000000/1000000000*G$13*B4_Retain/B4_Hits</f>
        <v>1.32943302891933E-005</v>
      </c>
      <c r="H17" s="159" t="n">
        <f aca="false">H16*1000000/1000000000*H$13*B4_Retain/B4_Hits</f>
        <v>1.32943302891933E-005</v>
      </c>
      <c r="I17" s="159" t="n">
        <f aca="false">I16*1000000/1000000000*I$13*B4_Retain/B4_Hits</f>
        <v>1.32943302891933E-005</v>
      </c>
      <c r="J17" s="159" t="n">
        <f aca="false">J16*1000000/1000000000*J$13*B4_Retain/B4_Hits</f>
        <v>1.32943302891933E-005</v>
      </c>
      <c r="K17" s="159" t="n">
        <f aca="false">K16*1000000/1000000000*K$13*B4_Retain/B4_Hits</f>
        <v>1.32943302891933E-005</v>
      </c>
      <c r="L17" s="159" t="n">
        <f aca="false">L16*1000000/1000000000*L$13*B4_Retain/B4_Hits</f>
        <v>1.32943302891933E-005</v>
      </c>
      <c r="M17" s="159" t="n">
        <f aca="false">M16*1000000/1000000000*M$13*B4_Retain/B4_Hits</f>
        <v>1.32943302891933E-005</v>
      </c>
      <c r="N17" s="159" t="n">
        <f aca="false">N16*1000000/1000000000*N$13*B4_Retain/B4_Hits</f>
        <v>1.32943302891933E-005</v>
      </c>
      <c r="O17" s="159" t="n">
        <f aca="false">O16*1000000/1000000000*O$13*B4_Retain/B4_Hits</f>
        <v>1.32943302891933E-005</v>
      </c>
      <c r="P17" s="159" t="n">
        <f aca="false">P16*1000000/1000000000*P$13*B4_Retain/B4_Hits</f>
        <v>1.32943302891933E-005</v>
      </c>
      <c r="Q17" s="159" t="n">
        <f aca="false">Q16*1000000/1000000000*Q$13*B4_Retain/B4_Hits</f>
        <v>1.32943302891933E-005</v>
      </c>
    </row>
    <row r="18" customFormat="false" ht="15" hidden="false" customHeight="false" outlineLevel="0" collapsed="false">
      <c r="A18" s="5" t="s">
        <v>1964</v>
      </c>
      <c r="B18" s="62" t="s">
        <v>118</v>
      </c>
      <c r="C18" s="77" t="n">
        <f aca="false">IF(INDEX(IF_CostCache_Luna,1,C$7)&gt;0,C17/INDEX(IF_CostCache_Luna,1,C$7),0)</f>
        <v>1.58601113224732</v>
      </c>
      <c r="D18" s="77" t="n">
        <f aca="false">IF(INDEX(IF_CostCache_Luna,1,D$7)&gt;0,D17/INDEX(IF_CostCache_Luna,1,D$7),0)</f>
        <v>1.11003020815994</v>
      </c>
      <c r="E18" s="77" t="n">
        <f aca="false">IF(INDEX(IF_CostCache_Luna,1,E$7)&gt;0,E17/INDEX(IF_CostCache_Luna,1,E$7),0)</f>
        <v>0.646355546921421</v>
      </c>
      <c r="F18" s="77" t="n">
        <f aca="false">IF(INDEX(IF_CostCache_Luna,1,F$7)&gt;0,F17/INDEX(IF_CostCache_Luna,1,F$7),0)</f>
        <v>1.13834379020424</v>
      </c>
      <c r="G18" s="77" t="n">
        <f aca="false">IF(INDEX(IF_CostCache_Luna,1,G$7)&gt;0,G17/INDEX(IF_CostCache_Luna,1,G$7),0)</f>
        <v>0.852557639948957</v>
      </c>
      <c r="H18" s="77" t="n">
        <f aca="false">IF(INDEX(IF_CostCache_Luna,1,H$7)&gt;0,H17/INDEX(IF_CostCache_Luna,1,H$7),0)</f>
        <v>0.525647284911602</v>
      </c>
      <c r="I18" s="77" t="n">
        <f aca="false">IF(INDEX(IF_CostCache_Luna,1,I$7)&gt;0,I17/INDEX(IF_CostCache_Luna,1,I$7),0)</f>
        <v>0.866675457287835</v>
      </c>
      <c r="J18" s="77" t="n">
        <f aca="false">IF(INDEX(IF_CostCache_Luna,1,J$7)&gt;0,J17/INDEX(IF_CostCache_Luna,1,J$7),0)</f>
        <v>0.671031067868381</v>
      </c>
      <c r="K18" s="77" t="n">
        <f aca="false">IF(INDEX(IF_CostCache_Luna,1,K$7)&gt;0,K17/INDEX(IF_CostCache_Luna,1,K$7),0)</f>
        <v>0.394133246217469</v>
      </c>
      <c r="L18" s="77" t="n">
        <f aca="false">IF(INDEX(IF_CostCache_Luna,1,L$7)&gt;0,L17/INDEX(IF_CostCache_Luna,1,L$7),0)</f>
        <v>0.460063563137044</v>
      </c>
      <c r="M18" s="77" t="n">
        <f aca="false">IF(INDEX(IF_CostCache_Luna,1,M$7)&gt;0,M17/INDEX(IF_CostCache_Luna,1,M$7),0)</f>
        <v>0.357954306902294</v>
      </c>
      <c r="N18" s="77" t="n">
        <f aca="false">IF(INDEX(IF_CostCache_Luna,1,N$7)&gt;0,N17/INDEX(IF_CostCache_Luna,1,N$7),0)</f>
        <v>0.221570687469206</v>
      </c>
      <c r="O18" s="77" t="n">
        <f aca="false">IF(INDEX(IF_CostCache_Luna,1,O$7)&gt;0,O17/INDEX(IF_CostCache_Luna,1,O$7),0)</f>
        <v>0.289174667438418</v>
      </c>
      <c r="P18" s="77" t="n">
        <f aca="false">IF(INDEX(IF_CostCache_Luna,1,P$7)&gt;0,P17/INDEX(IF_CostCache_Luna,1,P$7),0)</f>
        <v>0.190263655018429</v>
      </c>
      <c r="Q18" s="77" t="n">
        <f aca="false">IF(INDEX(IF_CostCache_Luna,1,Q$7)&gt;0,Q17/INDEX(IF_CostCache_Luna,1,Q$7),0)</f>
        <v>0.104223134648723</v>
      </c>
    </row>
    <row r="19" customFormat="false" ht="15" hidden="false" customHeight="false" outlineLevel="0" collapsed="false">
      <c r="A19" s="5" t="s">
        <v>1965</v>
      </c>
      <c r="B19" s="62" t="s">
        <v>113</v>
      </c>
      <c r="C19" s="102" t="n">
        <f aca="false">C17/INDEX(B4_EffCache,1,1)</f>
        <v>0.00166179128614916</v>
      </c>
      <c r="D19" s="102" t="n">
        <f aca="false">D17/INDEX(B4_EffCache,1,1)</f>
        <v>0.00166179128614916</v>
      </c>
      <c r="E19" s="102" t="n">
        <f aca="false">E17/INDEX(B4_EffCache,1,1)</f>
        <v>0.00166179128614916</v>
      </c>
      <c r="F19" s="102" t="n">
        <f aca="false">F17/INDEX(B4_EffCache,1,1)</f>
        <v>0.00166179128614916</v>
      </c>
      <c r="G19" s="102" t="n">
        <f aca="false">G17/INDEX(B4_EffCache,1,1)</f>
        <v>0.00166179128614916</v>
      </c>
      <c r="H19" s="102" t="n">
        <f aca="false">H17/INDEX(B4_EffCache,1,1)</f>
        <v>0.00166179128614916</v>
      </c>
      <c r="I19" s="102" t="n">
        <f aca="false">I17/INDEX(B4_EffCache,1,1)</f>
        <v>0.00166179128614916</v>
      </c>
      <c r="J19" s="102" t="n">
        <f aca="false">J17/INDEX(B4_EffCache,1,1)</f>
        <v>0.00166179128614916</v>
      </c>
      <c r="K19" s="102" t="n">
        <f aca="false">K17/INDEX(B4_EffCache,1,1)</f>
        <v>0.00166179128614916</v>
      </c>
      <c r="L19" s="102" t="n">
        <f aca="false">L17/INDEX(B4_EffCache,1,1)</f>
        <v>0.00166179128614916</v>
      </c>
      <c r="M19" s="102" t="n">
        <f aca="false">M17/INDEX(B4_EffCache,1,1)</f>
        <v>0.00166179128614916</v>
      </c>
      <c r="N19" s="102" t="n">
        <f aca="false">N17/INDEX(B4_EffCache,1,1)</f>
        <v>0.00166179128614916</v>
      </c>
      <c r="O19" s="102" t="n">
        <f aca="false">O17/INDEX(B4_EffCache,1,1)</f>
        <v>0.00166179128614916</v>
      </c>
      <c r="P19" s="102" t="n">
        <f aca="false">P17/INDEX(B4_EffCache,1,1)</f>
        <v>0.00166179128614916</v>
      </c>
      <c r="Q19" s="102" t="n">
        <f aca="false">Q17/INDEX(B4_EffCache,1,1)</f>
        <v>0.00166179128614916</v>
      </c>
    </row>
    <row r="21" customFormat="false" ht="15" hidden="false" customHeight="false" outlineLevel="0" collapsed="false">
      <c r="A21" s="76" t="s">
        <v>279</v>
      </c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</row>
    <row r="22" customFormat="false" ht="15" hidden="false" customHeight="false" outlineLevel="0" collapsed="false">
      <c r="A22" s="6" t="s">
        <v>1962</v>
      </c>
      <c r="B22" s="62" t="s">
        <v>287</v>
      </c>
      <c r="C22" s="63" t="n">
        <f aca="false">Arch!$D$25</f>
        <v>3965</v>
      </c>
      <c r="D22" s="63" t="n">
        <f aca="false">Arch!$D$25</f>
        <v>3965</v>
      </c>
      <c r="E22" s="63" t="n">
        <f aca="false">Arch!$D$25</f>
        <v>3965</v>
      </c>
      <c r="F22" s="63" t="n">
        <f aca="false">Arch!$D$25</f>
        <v>3965</v>
      </c>
      <c r="G22" s="63" t="n">
        <f aca="false">Arch!$D$25</f>
        <v>3965</v>
      </c>
      <c r="H22" s="63" t="n">
        <f aca="false">Arch!$D$25</f>
        <v>3965</v>
      </c>
      <c r="I22" s="63" t="n">
        <f aca="false">Arch!$D$25</f>
        <v>3965</v>
      </c>
      <c r="J22" s="63" t="n">
        <f aca="false">Arch!$D$25</f>
        <v>3965</v>
      </c>
      <c r="K22" s="63" t="n">
        <f aca="false">Arch!$D$25</f>
        <v>3965</v>
      </c>
      <c r="L22" s="63" t="n">
        <f aca="false">Arch!$D$25</f>
        <v>3965</v>
      </c>
      <c r="M22" s="63" t="n">
        <f aca="false">Arch!$D$25</f>
        <v>3965</v>
      </c>
      <c r="N22" s="63" t="n">
        <f aca="false">Arch!$D$25</f>
        <v>3965</v>
      </c>
      <c r="O22" s="63" t="n">
        <f aca="false">Arch!$D$25</f>
        <v>3965</v>
      </c>
      <c r="P22" s="63" t="n">
        <f aca="false">Arch!$D$25</f>
        <v>3965</v>
      </c>
      <c r="Q22" s="63" t="n">
        <f aca="false">Arch!$D$25</f>
        <v>3965</v>
      </c>
    </row>
    <row r="23" customFormat="false" ht="15" hidden="false" customHeight="false" outlineLevel="0" collapsed="false">
      <c r="A23" s="5" t="s">
        <v>1966</v>
      </c>
      <c r="B23" s="62" t="s">
        <v>976</v>
      </c>
      <c r="C23" s="159" t="n">
        <f aca="false">C22*1000000/1000000000*C$13*B4_Retain/B4_Hits</f>
        <v>1.8859398782344E-005</v>
      </c>
      <c r="D23" s="159" t="n">
        <f aca="false">D22*1000000/1000000000*D$13*B4_Retain/B4_Hits</f>
        <v>1.8859398782344E-005</v>
      </c>
      <c r="E23" s="159" t="n">
        <f aca="false">E22*1000000/1000000000*E$13*B4_Retain/B4_Hits</f>
        <v>1.8859398782344E-005</v>
      </c>
      <c r="F23" s="159" t="n">
        <f aca="false">F22*1000000/1000000000*F$13*B4_Retain/B4_Hits</f>
        <v>1.8859398782344E-005</v>
      </c>
      <c r="G23" s="159" t="n">
        <f aca="false">G22*1000000/1000000000*G$13*B4_Retain/B4_Hits</f>
        <v>1.8859398782344E-005</v>
      </c>
      <c r="H23" s="159" t="n">
        <f aca="false">H22*1000000/1000000000*H$13*B4_Retain/B4_Hits</f>
        <v>1.8859398782344E-005</v>
      </c>
      <c r="I23" s="159" t="n">
        <f aca="false">I22*1000000/1000000000*I$13*B4_Retain/B4_Hits</f>
        <v>1.8859398782344E-005</v>
      </c>
      <c r="J23" s="159" t="n">
        <f aca="false">J22*1000000/1000000000*J$13*B4_Retain/B4_Hits</f>
        <v>1.8859398782344E-005</v>
      </c>
      <c r="K23" s="159" t="n">
        <f aca="false">K22*1000000/1000000000*K$13*B4_Retain/B4_Hits</f>
        <v>1.8859398782344E-005</v>
      </c>
      <c r="L23" s="159" t="n">
        <f aca="false">L22*1000000/1000000000*L$13*B4_Retain/B4_Hits</f>
        <v>1.8859398782344E-005</v>
      </c>
      <c r="M23" s="159" t="n">
        <f aca="false">M22*1000000/1000000000*M$13*B4_Retain/B4_Hits</f>
        <v>1.8859398782344E-005</v>
      </c>
      <c r="N23" s="159" t="n">
        <f aca="false">N22*1000000/1000000000*N$13*B4_Retain/B4_Hits</f>
        <v>1.8859398782344E-005</v>
      </c>
      <c r="O23" s="159" t="n">
        <f aca="false">O22*1000000/1000000000*O$13*B4_Retain/B4_Hits</f>
        <v>1.8859398782344E-005</v>
      </c>
      <c r="P23" s="159" t="n">
        <f aca="false">P22*1000000/1000000000*P$13*B4_Retain/B4_Hits</f>
        <v>1.8859398782344E-005</v>
      </c>
      <c r="Q23" s="159" t="n">
        <f aca="false">Q22*1000000/1000000000*Q$13*B4_Retain/B4_Hits</f>
        <v>1.8859398782344E-005</v>
      </c>
    </row>
    <row r="24" customFormat="false" ht="15" hidden="false" customHeight="false" outlineLevel="0" collapsed="false">
      <c r="A24" s="5" t="s">
        <v>1964</v>
      </c>
      <c r="B24" s="62" t="s">
        <v>118</v>
      </c>
      <c r="C24" s="77" t="n">
        <f aca="false">IF(INDEX(IF_CostCache_Sol,1,C$7)&gt;0,C23/INDEX(IF_CostCache_Sol,1,C$7),0)</f>
        <v>1.58601113224732</v>
      </c>
      <c r="D24" s="77" t="n">
        <f aca="false">IF(INDEX(IF_CostCache_Sol,1,D$7)&gt;0,D23/INDEX(IF_CostCache_Sol,1,D$7),0)</f>
        <v>1.11003020815994</v>
      </c>
      <c r="E24" s="77" t="n">
        <f aca="false">IF(INDEX(IF_CostCache_Sol,1,E$7)&gt;0,E23/INDEX(IF_CostCache_Sol,1,E$7),0)</f>
        <v>0.646355546921421</v>
      </c>
      <c r="F24" s="77" t="n">
        <f aca="false">IF(INDEX(IF_CostCache_Sol,1,F$7)&gt;0,F23/INDEX(IF_CostCache_Sol,1,F$7),0)</f>
        <v>1.13834379020424</v>
      </c>
      <c r="G24" s="77" t="n">
        <f aca="false">IF(INDEX(IF_CostCache_Sol,1,G$7)&gt;0,G23/INDEX(IF_CostCache_Sol,1,G$7),0)</f>
        <v>0.852557639948957</v>
      </c>
      <c r="H24" s="77" t="n">
        <f aca="false">IF(INDEX(IF_CostCache_Sol,1,H$7)&gt;0,H23/INDEX(IF_CostCache_Sol,1,H$7),0)</f>
        <v>0.525647284911602</v>
      </c>
      <c r="I24" s="77" t="n">
        <f aca="false">IF(INDEX(IF_CostCache_Sol,1,I$7)&gt;0,I23/INDEX(IF_CostCache_Sol,1,I$7),0)</f>
        <v>0.866675457287835</v>
      </c>
      <c r="J24" s="77" t="n">
        <f aca="false">IF(INDEX(IF_CostCache_Sol,1,J$7)&gt;0,J23/INDEX(IF_CostCache_Sol,1,J$7),0)</f>
        <v>0.67103106786838</v>
      </c>
      <c r="K24" s="77" t="n">
        <f aca="false">IF(INDEX(IF_CostCache_Sol,1,K$7)&gt;0,K23/INDEX(IF_CostCache_Sol,1,K$7),0)</f>
        <v>0.394133246217469</v>
      </c>
      <c r="L24" s="77" t="n">
        <f aca="false">IF(INDEX(IF_CostCache_Sol,1,L$7)&gt;0,L23/INDEX(IF_CostCache_Sol,1,L$7),0)</f>
        <v>0.460063563137044</v>
      </c>
      <c r="M24" s="77" t="n">
        <f aca="false">IF(INDEX(IF_CostCache_Sol,1,M$7)&gt;0,M23/INDEX(IF_CostCache_Sol,1,M$7),0)</f>
        <v>0.357954306902294</v>
      </c>
      <c r="N24" s="77" t="n">
        <f aca="false">IF(INDEX(IF_CostCache_Sol,1,N$7)&gt;0,N23/INDEX(IF_CostCache_Sol,1,N$7),0)</f>
        <v>0.221570687469206</v>
      </c>
      <c r="O24" s="77" t="n">
        <f aca="false">IF(INDEX(IF_CostCache_Sol,1,O$7)&gt;0,O23/INDEX(IF_CostCache_Sol,1,O$7),0)</f>
        <v>0.289174667438418</v>
      </c>
      <c r="P24" s="77" t="n">
        <f aca="false">IF(INDEX(IF_CostCache_Sol,1,P$7)&gt;0,P23/INDEX(IF_CostCache_Sol,1,P$7),0)</f>
        <v>0.190263655018429</v>
      </c>
      <c r="Q24" s="77" t="n">
        <f aca="false">IF(INDEX(IF_CostCache_Sol,1,Q$7)&gt;0,Q23/INDEX(IF_CostCache_Sol,1,Q$7),0)</f>
        <v>0.104223134648723</v>
      </c>
    </row>
    <row r="25" customFormat="false" ht="15" hidden="false" customHeight="false" outlineLevel="0" collapsed="false">
      <c r="A25" s="5" t="s">
        <v>1965</v>
      </c>
      <c r="B25" s="62" t="s">
        <v>113</v>
      </c>
      <c r="C25" s="102" t="n">
        <f aca="false">C23/INDEX(B4_EffCache,1,2)</f>
        <v>0.00011787124238965</v>
      </c>
      <c r="D25" s="102" t="n">
        <f aca="false">D23/INDEX(B4_EffCache,1,2)</f>
        <v>0.00011787124238965</v>
      </c>
      <c r="E25" s="102" t="n">
        <f aca="false">E23/INDEX(B4_EffCache,1,2)</f>
        <v>0.00011787124238965</v>
      </c>
      <c r="F25" s="102" t="n">
        <f aca="false">F23/INDEX(B4_EffCache,1,2)</f>
        <v>0.00011787124238965</v>
      </c>
      <c r="G25" s="102" t="n">
        <f aca="false">G23/INDEX(B4_EffCache,1,2)</f>
        <v>0.00011787124238965</v>
      </c>
      <c r="H25" s="102" t="n">
        <f aca="false">H23/INDEX(B4_EffCache,1,2)</f>
        <v>0.00011787124238965</v>
      </c>
      <c r="I25" s="102" t="n">
        <f aca="false">I23/INDEX(B4_EffCache,1,2)</f>
        <v>0.00011787124238965</v>
      </c>
      <c r="J25" s="102" t="n">
        <f aca="false">J23/INDEX(B4_EffCache,1,2)</f>
        <v>0.00011787124238965</v>
      </c>
      <c r="K25" s="102" t="n">
        <f aca="false">K23/INDEX(B4_EffCache,1,2)</f>
        <v>0.00011787124238965</v>
      </c>
      <c r="L25" s="102" t="n">
        <f aca="false">L23/INDEX(B4_EffCache,1,2)</f>
        <v>0.00011787124238965</v>
      </c>
      <c r="M25" s="102" t="n">
        <f aca="false">M23/INDEX(B4_EffCache,1,2)</f>
        <v>0.00011787124238965</v>
      </c>
      <c r="N25" s="102" t="n">
        <f aca="false">N23/INDEX(B4_EffCache,1,2)</f>
        <v>0.00011787124238965</v>
      </c>
      <c r="O25" s="102" t="n">
        <f aca="false">O23/INDEX(B4_EffCache,1,2)</f>
        <v>0.00011787124238965</v>
      </c>
      <c r="P25" s="102" t="n">
        <f aca="false">P23/INDEX(B4_EffCache,1,2)</f>
        <v>0.00011787124238965</v>
      </c>
      <c r="Q25" s="102" t="n">
        <f aca="false">Q23/INDEX(B4_EffCache,1,2)</f>
        <v>0.00011787124238965</v>
      </c>
    </row>
    <row r="27" customFormat="false" ht="15" hidden="false" customHeight="false" outlineLevel="0" collapsed="false">
      <c r="A27" s="76" t="s">
        <v>280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6" t="s">
        <v>1962</v>
      </c>
      <c r="B28" s="62" t="s">
        <v>287</v>
      </c>
      <c r="C28" s="63" t="n">
        <f aca="false">Arch!$E$25</f>
        <v>57600</v>
      </c>
      <c r="D28" s="63" t="n">
        <f aca="false">Arch!$E$25</f>
        <v>57600</v>
      </c>
      <c r="E28" s="63" t="n">
        <f aca="false">Arch!$E$25</f>
        <v>57600</v>
      </c>
      <c r="F28" s="63" t="n">
        <f aca="false">Arch!$E$25</f>
        <v>57600</v>
      </c>
      <c r="G28" s="63" t="n">
        <f aca="false">Arch!$E$25</f>
        <v>57600</v>
      </c>
      <c r="H28" s="63" t="n">
        <f aca="false">Arch!$E$25</f>
        <v>57600</v>
      </c>
      <c r="I28" s="63" t="n">
        <f aca="false">Arch!$E$25</f>
        <v>57600</v>
      </c>
      <c r="J28" s="63" t="n">
        <f aca="false">Arch!$E$25</f>
        <v>57600</v>
      </c>
      <c r="K28" s="63" t="n">
        <f aca="false">Arch!$E$25</f>
        <v>57600</v>
      </c>
      <c r="L28" s="63" t="n">
        <f aca="false">Arch!$E$25</f>
        <v>57600</v>
      </c>
      <c r="M28" s="63" t="n">
        <f aca="false">Arch!$E$25</f>
        <v>57600</v>
      </c>
      <c r="N28" s="63" t="n">
        <f aca="false">Arch!$E$25</f>
        <v>57600</v>
      </c>
      <c r="O28" s="63" t="n">
        <f aca="false">Arch!$E$25</f>
        <v>57600</v>
      </c>
      <c r="P28" s="63" t="n">
        <f aca="false">Arch!$E$25</f>
        <v>57600</v>
      </c>
      <c r="Q28" s="63" t="n">
        <f aca="false">Arch!$E$25</f>
        <v>57600</v>
      </c>
    </row>
    <row r="29" customFormat="false" ht="15" hidden="false" customHeight="false" outlineLevel="0" collapsed="false">
      <c r="A29" s="5" t="s">
        <v>1967</v>
      </c>
      <c r="B29" s="62" t="s">
        <v>976</v>
      </c>
      <c r="C29" s="159" t="n">
        <f aca="false">C28*1000000/1000000000*C$13*B4_Retain/B4_Hits</f>
        <v>0.000273972602739726</v>
      </c>
      <c r="D29" s="159" t="n">
        <f aca="false">D28*1000000/1000000000*D$13*B4_Retain/B4_Hits</f>
        <v>0.000273972602739726</v>
      </c>
      <c r="E29" s="159" t="n">
        <f aca="false">E28*1000000/1000000000*E$13*B4_Retain/B4_Hits</f>
        <v>0.000273972602739726</v>
      </c>
      <c r="F29" s="159" t="n">
        <f aca="false">F28*1000000/1000000000*F$13*B4_Retain/B4_Hits</f>
        <v>0.000273972602739726</v>
      </c>
      <c r="G29" s="159" t="n">
        <f aca="false">G28*1000000/1000000000*G$13*B4_Retain/B4_Hits</f>
        <v>0.000273972602739726</v>
      </c>
      <c r="H29" s="159" t="n">
        <f aca="false">H28*1000000/1000000000*H$13*B4_Retain/B4_Hits</f>
        <v>0.000273972602739726</v>
      </c>
      <c r="I29" s="159" t="n">
        <f aca="false">I28*1000000/1000000000*I$13*B4_Retain/B4_Hits</f>
        <v>0.000273972602739726</v>
      </c>
      <c r="J29" s="159" t="n">
        <f aca="false">J28*1000000/1000000000*J$13*B4_Retain/B4_Hits</f>
        <v>0.000273972602739726</v>
      </c>
      <c r="K29" s="159" t="n">
        <f aca="false">K28*1000000/1000000000*K$13*B4_Retain/B4_Hits</f>
        <v>0.000273972602739726</v>
      </c>
      <c r="L29" s="159" t="n">
        <f aca="false">L28*1000000/1000000000*L$13*B4_Retain/B4_Hits</f>
        <v>0.000273972602739726</v>
      </c>
      <c r="M29" s="159" t="n">
        <f aca="false">M28*1000000/1000000000*M$13*B4_Retain/B4_Hits</f>
        <v>0.000273972602739726</v>
      </c>
      <c r="N29" s="159" t="n">
        <f aca="false">N28*1000000/1000000000*N$13*B4_Retain/B4_Hits</f>
        <v>0.000273972602739726</v>
      </c>
      <c r="O29" s="159" t="n">
        <f aca="false">O28*1000000/1000000000*O$13*B4_Retain/B4_Hits</f>
        <v>0.000273972602739726</v>
      </c>
      <c r="P29" s="159" t="n">
        <f aca="false">P28*1000000/1000000000*P$13*B4_Retain/B4_Hits</f>
        <v>0.000273972602739726</v>
      </c>
      <c r="Q29" s="159" t="n">
        <f aca="false">Q28*1000000/1000000000*Q$13*B4_Retain/B4_Hits</f>
        <v>0.000273972602739726</v>
      </c>
    </row>
    <row r="30" customFormat="false" ht="15" hidden="false" customHeight="false" outlineLevel="0" collapsed="false">
      <c r="A30" s="5" t="s">
        <v>1964</v>
      </c>
      <c r="B30" s="62" t="s">
        <v>118</v>
      </c>
      <c r="C30" s="77" t="n">
        <f aca="false">IF(INDEX(IF_CostCache_Astra,1,C$7)&gt;0,C29/INDEX(IF_CostCache_Astra,1,C$7),0)</f>
        <v>1.58601113224732</v>
      </c>
      <c r="D30" s="77" t="n">
        <f aca="false">IF(INDEX(IF_CostCache_Astra,1,D$7)&gt;0,D29/INDEX(IF_CostCache_Astra,1,D$7),0)</f>
        <v>1.11003020815994</v>
      </c>
      <c r="E30" s="77" t="n">
        <f aca="false">IF(INDEX(IF_CostCache_Astra,1,E$7)&gt;0,E29/INDEX(IF_CostCache_Astra,1,E$7),0)</f>
        <v>0.646355546921421</v>
      </c>
      <c r="F30" s="77" t="n">
        <f aca="false">IF(INDEX(IF_CostCache_Astra,1,F$7)&gt;0,F29/INDEX(IF_CostCache_Astra,1,F$7),0)</f>
        <v>1.13834379020424</v>
      </c>
      <c r="G30" s="77" t="n">
        <f aca="false">IF(INDEX(IF_CostCache_Astra,1,G$7)&gt;0,G29/INDEX(IF_CostCache_Astra,1,G$7),0)</f>
        <v>0.852557639948957</v>
      </c>
      <c r="H30" s="77" t="n">
        <f aca="false">IF(INDEX(IF_CostCache_Astra,1,H$7)&gt;0,H29/INDEX(IF_CostCache_Astra,1,H$7),0)</f>
        <v>0.525647284911602</v>
      </c>
      <c r="I30" s="77" t="n">
        <f aca="false">IF(INDEX(IF_CostCache_Astra,1,I$7)&gt;0,I29/INDEX(IF_CostCache_Astra,1,I$7),0)</f>
        <v>0.866675457287835</v>
      </c>
      <c r="J30" s="77" t="n">
        <f aca="false">IF(INDEX(IF_CostCache_Astra,1,J$7)&gt;0,J29/INDEX(IF_CostCache_Astra,1,J$7),0)</f>
        <v>0.67103106786838</v>
      </c>
      <c r="K30" s="77" t="n">
        <f aca="false">IF(INDEX(IF_CostCache_Astra,1,K$7)&gt;0,K29/INDEX(IF_CostCache_Astra,1,K$7),0)</f>
        <v>0.394133246217469</v>
      </c>
      <c r="L30" s="77" t="n">
        <f aca="false">IF(INDEX(IF_CostCache_Astra,1,L$7)&gt;0,L29/INDEX(IF_CostCache_Astra,1,L$7),0)</f>
        <v>0.460063563137044</v>
      </c>
      <c r="M30" s="77" t="n">
        <f aca="false">IF(INDEX(IF_CostCache_Astra,1,M$7)&gt;0,M29/INDEX(IF_CostCache_Astra,1,M$7),0)</f>
        <v>0.357954306902294</v>
      </c>
      <c r="N30" s="77" t="n">
        <f aca="false">IF(INDEX(IF_CostCache_Astra,1,N$7)&gt;0,N29/INDEX(IF_CostCache_Astra,1,N$7),0)</f>
        <v>0.221570687469206</v>
      </c>
      <c r="O30" s="77" t="n">
        <f aca="false">IF(INDEX(IF_CostCache_Astra,1,O$7)&gt;0,O29/INDEX(IF_CostCache_Astra,1,O$7),0)</f>
        <v>0.289174667438418</v>
      </c>
      <c r="P30" s="77" t="n">
        <f aca="false">IF(INDEX(IF_CostCache_Astra,1,P$7)&gt;0,P29/INDEX(IF_CostCache_Astra,1,P$7),0)</f>
        <v>0.190263655018429</v>
      </c>
      <c r="Q30" s="77" t="n">
        <f aca="false">IF(INDEX(IF_CostCache_Astra,1,Q$7)&gt;0,Q29/INDEX(IF_CostCache_Astra,1,Q$7),0)</f>
        <v>0.104223134648723</v>
      </c>
    </row>
    <row r="31" customFormat="false" ht="15" hidden="false" customHeight="false" outlineLevel="0" collapsed="false">
      <c r="A31" s="5" t="s">
        <v>1965</v>
      </c>
      <c r="B31" s="62" t="s">
        <v>113</v>
      </c>
      <c r="C31" s="102" t="n">
        <f aca="false">C29/INDEX(B4_EffCache,1,3)</f>
        <v>0.000342465753424657</v>
      </c>
      <c r="D31" s="102" t="n">
        <f aca="false">D29/INDEX(B4_EffCache,1,3)</f>
        <v>0.000342465753424657</v>
      </c>
      <c r="E31" s="102" t="n">
        <f aca="false">E29/INDEX(B4_EffCache,1,3)</f>
        <v>0.000342465753424657</v>
      </c>
      <c r="F31" s="102" t="n">
        <f aca="false">F29/INDEX(B4_EffCache,1,3)</f>
        <v>0.000342465753424657</v>
      </c>
      <c r="G31" s="102" t="n">
        <f aca="false">G29/INDEX(B4_EffCache,1,3)</f>
        <v>0.000342465753424657</v>
      </c>
      <c r="H31" s="102" t="n">
        <f aca="false">H29/INDEX(B4_EffCache,1,3)</f>
        <v>0.000342465753424657</v>
      </c>
      <c r="I31" s="102" t="n">
        <f aca="false">I29/INDEX(B4_EffCache,1,3)</f>
        <v>0.000342465753424657</v>
      </c>
      <c r="J31" s="102" t="n">
        <f aca="false">J29/INDEX(B4_EffCache,1,3)</f>
        <v>0.000342465753424657</v>
      </c>
      <c r="K31" s="102" t="n">
        <f aca="false">K29/INDEX(B4_EffCache,1,3)</f>
        <v>0.000342465753424657</v>
      </c>
      <c r="L31" s="102" t="n">
        <f aca="false">L29/INDEX(B4_EffCache,1,3)</f>
        <v>0.000342465753424657</v>
      </c>
      <c r="M31" s="102" t="n">
        <f aca="false">M29/INDEX(B4_EffCache,1,3)</f>
        <v>0.000342465753424657</v>
      </c>
      <c r="N31" s="102" t="n">
        <f aca="false">N29/INDEX(B4_EffCache,1,3)</f>
        <v>0.000342465753424657</v>
      </c>
      <c r="O31" s="102" t="n">
        <f aca="false">O29/INDEX(B4_EffCache,1,3)</f>
        <v>0.000342465753424657</v>
      </c>
      <c r="P31" s="102" t="n">
        <f aca="false">P29/INDEX(B4_EffCache,1,3)</f>
        <v>0.000342465753424657</v>
      </c>
      <c r="Q31" s="102" t="n">
        <f aca="false">Q29/INDEX(B4_EffCache,1,3)</f>
        <v>0.000342465753424657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1968</v>
      </c>
    </row>
    <row r="2" customFormat="false" ht="15" hidden="false" customHeight="false" outlineLevel="0" collapsed="false">
      <c r="A2" s="74" t="s">
        <v>1969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186</v>
      </c>
      <c r="C4" s="82" t="str">
        <f aca="false">Unit_Cost!C4</f>
        <v>Hopper H100</v>
      </c>
      <c r="D4" s="82" t="str">
        <f aca="false">Unit_Cost!D4</f>
        <v>Hopper H100</v>
      </c>
      <c r="E4" s="82" t="str">
        <f aca="false">Unit_Cost!E4</f>
        <v>Hopper H100</v>
      </c>
      <c r="F4" s="82" t="str">
        <f aca="false">Unit_Cost!F4</f>
        <v>GB200 NVL72</v>
      </c>
      <c r="G4" s="82" t="str">
        <f aca="false">Unit_Cost!G4</f>
        <v>GB200 NVL72</v>
      </c>
      <c r="H4" s="82" t="str">
        <f aca="false">Unit_Cost!H4</f>
        <v>GB200 NVL72</v>
      </c>
      <c r="I4" s="82" t="str">
        <f aca="false">Unit_Cost!I4</f>
        <v>GB300 NVL72</v>
      </c>
      <c r="J4" s="82" t="str">
        <f aca="false">Unit_Cost!J4</f>
        <v>GB300 NVL72</v>
      </c>
      <c r="K4" s="82" t="str">
        <f aca="false">Unit_Cost!K4</f>
        <v>GB300 NVL72</v>
      </c>
      <c r="L4" s="82" t="str">
        <f aca="false">Unit_Cost!L4</f>
        <v>VR200 NVL72</v>
      </c>
      <c r="M4" s="82" t="str">
        <f aca="false">Unit_Cost!M4</f>
        <v>VR200 NVL72</v>
      </c>
      <c r="N4" s="82" t="str">
        <f aca="false">Unit_Cost!N4</f>
        <v>VR200 NVL72</v>
      </c>
      <c r="O4" s="82" t="str">
        <f aca="false">Unit_Cost!O4</f>
        <v>Rubin Ultra（MGX NVL 單架，72 GPU）</v>
      </c>
      <c r="P4" s="82" t="str">
        <f aca="false">Unit_Cost!P4</f>
        <v>Rubin Ultra（MGX NVL 單架，72 GPU）</v>
      </c>
      <c r="Q4" s="82" t="str">
        <f aca="false">Unit_Cost!Q4</f>
        <v>Rubin Ultra（MGX NVL 單架，72 GPU）</v>
      </c>
      <c r="R4" s="74" t="s">
        <v>853</v>
      </c>
    </row>
    <row r="5" customFormat="false" ht="15" hidden="false" customHeight="false" outlineLevel="0" collapsed="false">
      <c r="A5" s="60" t="s">
        <v>28</v>
      </c>
      <c r="C5" s="82" t="str">
        <f aca="false">Unit_Cost!C5</f>
        <v>低成本</v>
      </c>
      <c r="D5" s="82" t="str">
        <f aca="false">Unit_Cost!D5</f>
        <v>基準</v>
      </c>
      <c r="E5" s="82" t="str">
        <f aca="false">Unit_Cost!E5</f>
        <v>高成本</v>
      </c>
      <c r="F5" s="82" t="str">
        <f aca="false">Unit_Cost!F5</f>
        <v>低成本</v>
      </c>
      <c r="G5" s="82" t="str">
        <f aca="false">Unit_Cost!G5</f>
        <v>基準</v>
      </c>
      <c r="H5" s="82" t="str">
        <f aca="false">Unit_Cost!H5</f>
        <v>高成本</v>
      </c>
      <c r="I5" s="82" t="str">
        <f aca="false">Unit_Cost!I5</f>
        <v>低成本</v>
      </c>
      <c r="J5" s="82" t="str">
        <f aca="false">Unit_Cost!J5</f>
        <v>基準</v>
      </c>
      <c r="K5" s="82" t="str">
        <f aca="false">Unit_Cost!K5</f>
        <v>高成本</v>
      </c>
      <c r="L5" s="82" t="str">
        <f aca="false">Unit_Cost!L5</f>
        <v>低成本</v>
      </c>
      <c r="M5" s="82" t="str">
        <f aca="false">Unit_Cost!M5</f>
        <v>基準</v>
      </c>
      <c r="N5" s="82" t="str">
        <f aca="false">Unit_Cost!N5</f>
        <v>高成本</v>
      </c>
      <c r="O5" s="82" t="str">
        <f aca="false">Unit_Cost!O5</f>
        <v>低成本</v>
      </c>
      <c r="P5" s="82" t="str">
        <f aca="false">Unit_Cost!P5</f>
        <v>基準</v>
      </c>
      <c r="Q5" s="82" t="str">
        <f aca="false">Unit_Cost!Q5</f>
        <v>高成本</v>
      </c>
      <c r="R5" s="74" t="s">
        <v>855</v>
      </c>
    </row>
    <row r="6" customFormat="false" ht="15" hidden="false" customHeight="false" outlineLevel="0" collapsed="false">
      <c r="A6" s="60" t="s">
        <v>469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74" t="s">
        <v>1970</v>
      </c>
    </row>
    <row r="7" customFormat="false" ht="15" hidden="false" customHeight="false" outlineLevel="0" collapsed="false">
      <c r="A7" s="60" t="s">
        <v>1955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6" t="s">
        <v>1971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1972</v>
      </c>
      <c r="B10" s="62" t="s">
        <v>103</v>
      </c>
      <c r="C10" s="107" t="n">
        <f aca="false">B4_Serve</f>
        <v>0.41</v>
      </c>
      <c r="D10" s="107" t="n">
        <f aca="false">B4_Serve</f>
        <v>0.41</v>
      </c>
      <c r="E10" s="107" t="n">
        <f aca="false">B4_Serve</f>
        <v>0.41</v>
      </c>
      <c r="F10" s="107" t="n">
        <f aca="false">B4_Serve</f>
        <v>0.41</v>
      </c>
      <c r="G10" s="107" t="n">
        <f aca="false">B4_Serve</f>
        <v>0.41</v>
      </c>
      <c r="H10" s="107" t="n">
        <f aca="false">B4_Serve</f>
        <v>0.41</v>
      </c>
      <c r="I10" s="107" t="n">
        <f aca="false">B4_Serve</f>
        <v>0.41</v>
      </c>
      <c r="J10" s="107" t="n">
        <f aca="false">B4_Serve</f>
        <v>0.41</v>
      </c>
      <c r="K10" s="107" t="n">
        <f aca="false">B4_Serve</f>
        <v>0.41</v>
      </c>
      <c r="L10" s="107" t="n">
        <f aca="false">B4_Serve</f>
        <v>0.41</v>
      </c>
      <c r="M10" s="107" t="n">
        <f aca="false">B4_Serve</f>
        <v>0.41</v>
      </c>
      <c r="N10" s="107" t="n">
        <f aca="false">B4_Serve</f>
        <v>0.41</v>
      </c>
      <c r="O10" s="107" t="n">
        <f aca="false">B4_Serve</f>
        <v>0.41</v>
      </c>
      <c r="P10" s="107" t="n">
        <f aca="false">B4_Serve</f>
        <v>0.41</v>
      </c>
      <c r="Q10" s="107" t="n">
        <f aca="false">B4_Serve</f>
        <v>0.41</v>
      </c>
      <c r="R10" s="74" t="s">
        <v>988</v>
      </c>
    </row>
    <row r="11" customFormat="false" ht="15" hidden="false" customHeight="false" outlineLevel="0" collapsed="false">
      <c r="A11" s="5" t="s">
        <v>1973</v>
      </c>
      <c r="B11" s="62" t="s">
        <v>103</v>
      </c>
      <c r="C11" s="106" t="n">
        <f aca="false">B4_Serve*(1-B4_Free)</f>
        <v>0.2214</v>
      </c>
      <c r="D11" s="106" t="n">
        <f aca="false">B4_Serve*(1-B4_Free)</f>
        <v>0.2214</v>
      </c>
      <c r="E11" s="106" t="n">
        <f aca="false">B4_Serve*(1-B4_Free)</f>
        <v>0.2214</v>
      </c>
      <c r="F11" s="106" t="n">
        <f aca="false">B4_Serve*(1-B4_Free)</f>
        <v>0.2214</v>
      </c>
      <c r="G11" s="106" t="n">
        <f aca="false">B4_Serve*(1-B4_Free)</f>
        <v>0.2214</v>
      </c>
      <c r="H11" s="106" t="n">
        <f aca="false">B4_Serve*(1-B4_Free)</f>
        <v>0.2214</v>
      </c>
      <c r="I11" s="106" t="n">
        <f aca="false">B4_Serve*(1-B4_Free)</f>
        <v>0.2214</v>
      </c>
      <c r="J11" s="106" t="n">
        <f aca="false">B4_Serve*(1-B4_Free)</f>
        <v>0.2214</v>
      </c>
      <c r="K11" s="106" t="n">
        <f aca="false">B4_Serve*(1-B4_Free)</f>
        <v>0.2214</v>
      </c>
      <c r="L11" s="106" t="n">
        <f aca="false">B4_Serve*(1-B4_Free)</f>
        <v>0.2214</v>
      </c>
      <c r="M11" s="106" t="n">
        <f aca="false">B4_Serve*(1-B4_Free)</f>
        <v>0.2214</v>
      </c>
      <c r="N11" s="106" t="n">
        <f aca="false">B4_Serve*(1-B4_Free)</f>
        <v>0.2214</v>
      </c>
      <c r="O11" s="106" t="n">
        <f aca="false">B4_Serve*(1-B4_Free)</f>
        <v>0.2214</v>
      </c>
      <c r="P11" s="106" t="n">
        <f aca="false">B4_Serve*(1-B4_Free)</f>
        <v>0.2214</v>
      </c>
      <c r="Q11" s="106" t="n">
        <f aca="false">B4_Serve*(1-B4_Free)</f>
        <v>0.2214</v>
      </c>
    </row>
    <row r="12" customFormat="false" ht="15" hidden="false" customHeight="false" outlineLevel="0" collapsed="false">
      <c r="A12" s="5" t="s">
        <v>1974</v>
      </c>
      <c r="B12" s="62" t="s">
        <v>103</v>
      </c>
      <c r="C12" s="107" t="n">
        <f aca="false">B4_Serve*B4_Free</f>
        <v>0.1886</v>
      </c>
      <c r="D12" s="107" t="n">
        <f aca="false">B4_Serve*B4_Free</f>
        <v>0.1886</v>
      </c>
      <c r="E12" s="107" t="n">
        <f aca="false">B4_Serve*B4_Free</f>
        <v>0.1886</v>
      </c>
      <c r="F12" s="107" t="n">
        <f aca="false">B4_Serve*B4_Free</f>
        <v>0.1886</v>
      </c>
      <c r="G12" s="107" t="n">
        <f aca="false">B4_Serve*B4_Free</f>
        <v>0.1886</v>
      </c>
      <c r="H12" s="107" t="n">
        <f aca="false">B4_Serve*B4_Free</f>
        <v>0.1886</v>
      </c>
      <c r="I12" s="107" t="n">
        <f aca="false">B4_Serve*B4_Free</f>
        <v>0.1886</v>
      </c>
      <c r="J12" s="107" t="n">
        <f aca="false">B4_Serve*B4_Free</f>
        <v>0.1886</v>
      </c>
      <c r="K12" s="107" t="n">
        <f aca="false">B4_Serve*B4_Free</f>
        <v>0.1886</v>
      </c>
      <c r="L12" s="107" t="n">
        <f aca="false">B4_Serve*B4_Free</f>
        <v>0.1886</v>
      </c>
      <c r="M12" s="107" t="n">
        <f aca="false">B4_Serve*B4_Free</f>
        <v>0.1886</v>
      </c>
      <c r="N12" s="107" t="n">
        <f aca="false">B4_Serve*B4_Free</f>
        <v>0.1886</v>
      </c>
      <c r="O12" s="107" t="n">
        <f aca="false">B4_Serve*B4_Free</f>
        <v>0.1886</v>
      </c>
      <c r="P12" s="107" t="n">
        <f aca="false">B4_Serve*B4_Free</f>
        <v>0.1886</v>
      </c>
      <c r="Q12" s="107" t="n">
        <f aca="false">B4_Serve*B4_Free</f>
        <v>0.1886</v>
      </c>
    </row>
    <row r="13" customFormat="false" ht="15" hidden="false" customHeight="false" outlineLevel="0" collapsed="false">
      <c r="A13" s="5" t="s">
        <v>1975</v>
      </c>
      <c r="B13" s="62" t="s">
        <v>103</v>
      </c>
      <c r="C13" s="106" t="n">
        <f aca="false">1-B4_Serve</f>
        <v>0.59</v>
      </c>
      <c r="D13" s="106" t="n">
        <f aca="false">1-B4_Serve</f>
        <v>0.59</v>
      </c>
      <c r="E13" s="106" t="n">
        <f aca="false">1-B4_Serve</f>
        <v>0.59</v>
      </c>
      <c r="F13" s="106" t="n">
        <f aca="false">1-B4_Serve</f>
        <v>0.59</v>
      </c>
      <c r="G13" s="106" t="n">
        <f aca="false">1-B4_Serve</f>
        <v>0.59</v>
      </c>
      <c r="H13" s="106" t="n">
        <f aca="false">1-B4_Serve</f>
        <v>0.59</v>
      </c>
      <c r="I13" s="106" t="n">
        <f aca="false">1-B4_Serve</f>
        <v>0.59</v>
      </c>
      <c r="J13" s="106" t="n">
        <f aca="false">1-B4_Serve</f>
        <v>0.59</v>
      </c>
      <c r="K13" s="106" t="n">
        <f aca="false">1-B4_Serve</f>
        <v>0.59</v>
      </c>
      <c r="L13" s="106" t="n">
        <f aca="false">1-B4_Serve</f>
        <v>0.59</v>
      </c>
      <c r="M13" s="106" t="n">
        <f aca="false">1-B4_Serve</f>
        <v>0.59</v>
      </c>
      <c r="N13" s="106" t="n">
        <f aca="false">1-B4_Serve</f>
        <v>0.59</v>
      </c>
      <c r="O13" s="106" t="n">
        <f aca="false">1-B4_Serve</f>
        <v>0.59</v>
      </c>
      <c r="P13" s="106" t="n">
        <f aca="false">1-B4_Serve</f>
        <v>0.59</v>
      </c>
      <c r="Q13" s="106" t="n">
        <f aca="false">1-B4_Serve</f>
        <v>0.59</v>
      </c>
    </row>
    <row r="14" customFormat="false" ht="15" hidden="false" customHeight="false" outlineLevel="0" collapsed="false">
      <c r="A14" s="5" t="s">
        <v>1976</v>
      </c>
      <c r="B14" s="62" t="s">
        <v>103</v>
      </c>
      <c r="C14" s="107" t="n">
        <f aca="false">(1-B4_Serve)/IF_RDMult</f>
        <v>0.07375</v>
      </c>
      <c r="D14" s="107" t="n">
        <f aca="false">(1-B4_Serve)/IF_RDMult</f>
        <v>0.07375</v>
      </c>
      <c r="E14" s="107" t="n">
        <f aca="false">(1-B4_Serve)/IF_RDMult</f>
        <v>0.07375</v>
      </c>
      <c r="F14" s="107" t="n">
        <f aca="false">(1-B4_Serve)/IF_RDMult</f>
        <v>0.07375</v>
      </c>
      <c r="G14" s="107" t="n">
        <f aca="false">(1-B4_Serve)/IF_RDMult</f>
        <v>0.07375</v>
      </c>
      <c r="H14" s="107" t="n">
        <f aca="false">(1-B4_Serve)/IF_RDMult</f>
        <v>0.07375</v>
      </c>
      <c r="I14" s="107" t="n">
        <f aca="false">(1-B4_Serve)/IF_RDMult</f>
        <v>0.07375</v>
      </c>
      <c r="J14" s="107" t="n">
        <f aca="false">(1-B4_Serve)/IF_RDMult</f>
        <v>0.07375</v>
      </c>
      <c r="K14" s="107" t="n">
        <f aca="false">(1-B4_Serve)/IF_RDMult</f>
        <v>0.07375</v>
      </c>
      <c r="L14" s="107" t="n">
        <f aca="false">(1-B4_Serve)/IF_RDMult</f>
        <v>0.07375</v>
      </c>
      <c r="M14" s="107" t="n">
        <f aca="false">(1-B4_Serve)/IF_RDMult</f>
        <v>0.07375</v>
      </c>
      <c r="N14" s="107" t="n">
        <f aca="false">(1-B4_Serve)/IF_RDMult</f>
        <v>0.07375</v>
      </c>
      <c r="O14" s="107" t="n">
        <f aca="false">(1-B4_Serve)/IF_RDMult</f>
        <v>0.07375</v>
      </c>
      <c r="P14" s="107" t="n">
        <f aca="false">(1-B4_Serve)/IF_RDMult</f>
        <v>0.07375</v>
      </c>
      <c r="Q14" s="107" t="n">
        <f aca="false">(1-B4_Serve)/IF_RDMult</f>
        <v>0.07375</v>
      </c>
    </row>
    <row r="15" customFormat="false" ht="15" hidden="false" customHeight="false" outlineLevel="0" collapsed="false">
      <c r="A15" s="5" t="s">
        <v>1977</v>
      </c>
      <c r="B15" s="62" t="s">
        <v>103</v>
      </c>
      <c r="C15" s="107" t="n">
        <f aca="false">(1-B4_Serve)*(1-1/IF_RDMult)</f>
        <v>0.51625</v>
      </c>
      <c r="D15" s="107" t="n">
        <f aca="false">(1-B4_Serve)*(1-1/IF_RDMult)</f>
        <v>0.51625</v>
      </c>
      <c r="E15" s="107" t="n">
        <f aca="false">(1-B4_Serve)*(1-1/IF_RDMult)</f>
        <v>0.51625</v>
      </c>
      <c r="F15" s="107" t="n">
        <f aca="false">(1-B4_Serve)*(1-1/IF_RDMult)</f>
        <v>0.51625</v>
      </c>
      <c r="G15" s="107" t="n">
        <f aca="false">(1-B4_Serve)*(1-1/IF_RDMult)</f>
        <v>0.51625</v>
      </c>
      <c r="H15" s="107" t="n">
        <f aca="false">(1-B4_Serve)*(1-1/IF_RDMult)</f>
        <v>0.51625</v>
      </c>
      <c r="I15" s="107" t="n">
        <f aca="false">(1-B4_Serve)*(1-1/IF_RDMult)</f>
        <v>0.51625</v>
      </c>
      <c r="J15" s="107" t="n">
        <f aca="false">(1-B4_Serve)*(1-1/IF_RDMult)</f>
        <v>0.51625</v>
      </c>
      <c r="K15" s="107" t="n">
        <f aca="false">(1-B4_Serve)*(1-1/IF_RDMult)</f>
        <v>0.51625</v>
      </c>
      <c r="L15" s="107" t="n">
        <f aca="false">(1-B4_Serve)*(1-1/IF_RDMult)</f>
        <v>0.51625</v>
      </c>
      <c r="M15" s="107" t="n">
        <f aca="false">(1-B4_Serve)*(1-1/IF_RDMult)</f>
        <v>0.51625</v>
      </c>
      <c r="N15" s="107" t="n">
        <f aca="false">(1-B4_Serve)*(1-1/IF_RDMult)</f>
        <v>0.51625</v>
      </c>
      <c r="O15" s="107" t="n">
        <f aca="false">(1-B4_Serve)*(1-1/IF_RDMult)</f>
        <v>0.51625</v>
      </c>
      <c r="P15" s="107" t="n">
        <f aca="false">(1-B4_Serve)*(1-1/IF_RDMult)</f>
        <v>0.51625</v>
      </c>
      <c r="Q15" s="107" t="n">
        <f aca="false">(1-B4_Serve)*(1-1/IF_RDMult)</f>
        <v>0.51625</v>
      </c>
    </row>
    <row r="17" customFormat="false" ht="15" hidden="false" customHeight="false" outlineLevel="0" collapsed="false">
      <c r="A17" s="76" t="s">
        <v>1978</v>
      </c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</row>
    <row r="18" customFormat="false" ht="29.85" hidden="false" customHeight="false" outlineLevel="0" collapsed="false">
      <c r="A18" s="5" t="s">
        <v>1979</v>
      </c>
      <c r="B18" s="61" t="s">
        <v>1980</v>
      </c>
      <c r="C18" s="105" t="n">
        <f aca="false">IF(AND(C41&gt;0,C42&gt;0),1,0)</f>
        <v>1</v>
      </c>
      <c r="D18" s="105" t="n">
        <f aca="false">IF(AND(D41&gt;0,D42&gt;0),1,0)</f>
        <v>1</v>
      </c>
      <c r="E18" s="105" t="n">
        <f aca="false">IF(AND(E41&gt;0,E42&gt;0),1,0)</f>
        <v>1</v>
      </c>
      <c r="F18" s="105" t="n">
        <f aca="false">IF(AND(F41&gt;0,F42&gt;0),1,0)</f>
        <v>1</v>
      </c>
      <c r="G18" s="105" t="n">
        <f aca="false">IF(AND(G41&gt;0,G42&gt;0),1,0)</f>
        <v>1</v>
      </c>
      <c r="H18" s="105" t="n">
        <f aca="false">IF(AND(H41&gt;0,H42&gt;0),1,0)</f>
        <v>1</v>
      </c>
      <c r="I18" s="105" t="n">
        <f aca="false">IF(AND(I41&gt;0,I42&gt;0),1,0)</f>
        <v>1</v>
      </c>
      <c r="J18" s="105" t="n">
        <f aca="false">IF(AND(J41&gt;0,J42&gt;0),1,0)</f>
        <v>1</v>
      </c>
      <c r="K18" s="105" t="n">
        <f aca="false">IF(AND(K41&gt;0,K42&gt;0),1,0)</f>
        <v>1</v>
      </c>
      <c r="L18" s="105" t="n">
        <f aca="false">IF(AND(L41&gt;0,L42&gt;0),1,0)</f>
        <v>1</v>
      </c>
      <c r="M18" s="105" t="n">
        <f aca="false">IF(AND(M41&gt;0,M42&gt;0),1,0)</f>
        <v>1</v>
      </c>
      <c r="N18" s="105" t="n">
        <f aca="false">IF(AND(N41&gt;0,N42&gt;0),1,0)</f>
        <v>1</v>
      </c>
      <c r="O18" s="105" t="n">
        <f aca="false">IF(AND(O41&gt;0,O42&gt;0),1,0)</f>
        <v>1</v>
      </c>
      <c r="P18" s="105" t="n">
        <f aca="false">IF(AND(P41&gt;0,P42&gt;0),1,0)</f>
        <v>1</v>
      </c>
      <c r="Q18" s="105" t="n">
        <f aca="false">IF(AND(Q41&gt;0,Q42&gt;0),1,0)</f>
        <v>1</v>
      </c>
    </row>
    <row r="19" customFormat="false" ht="15" hidden="false" customHeight="false" outlineLevel="0" collapsed="false">
      <c r="A19" s="5" t="s">
        <v>1981</v>
      </c>
      <c r="B19" s="62" t="s">
        <v>931</v>
      </c>
      <c r="C19" s="68" t="n">
        <f aca="false">IF(C18=1,C11*IF_Util/(IF(C38=1,C44/INDEX(IF_TokGW_Luna,1,C$7),0)+IF(C39=1,C45/INDEX(IF_TokGW_Sol,1,C$7),0)+IF(C40=1,C46/INDEX(IF_TokGW_Astra,1,C$7),0)),"SLO 不可達")</f>
        <v>3408539579.55429</v>
      </c>
      <c r="D19" s="68" t="n">
        <f aca="false">IF(D18=1,D11*IF_Util/(IF(D38=1,D44/INDEX(IF_TokGW_Luna,1,D$7),0)+IF(D39=1,D45/INDEX(IF_TokGW_Sol,1,D$7),0)+IF(D40=1,D46/INDEX(IF_TokGW_Astra,1,D$7),0)),"SLO 不可達")</f>
        <v>3408539579.55429</v>
      </c>
      <c r="E19" s="68" t="n">
        <f aca="false">IF(E18=1,E11*IF_Util/(IF(E38=1,E44/INDEX(IF_TokGW_Luna,1,E$7),0)+IF(E39=1,E45/INDEX(IF_TokGW_Sol,1,E$7),0)+IF(E40=1,E46/INDEX(IF_TokGW_Astra,1,E$7),0)),"SLO 不可達")</f>
        <v>3408539579.55429</v>
      </c>
      <c r="F19" s="68" t="n">
        <f aca="false">IF(F18=1,F11*IF_Util/(IF(F38=1,F44/INDEX(IF_TokGW_Luna,1,F$7),0)+IF(F39=1,F45/INDEX(IF_TokGW_Sol,1,F$7),0)+IF(F40=1,F46/INDEX(IF_TokGW_Astra,1,F$7),0)),"SLO 不可達")</f>
        <v>14876177679.3826</v>
      </c>
      <c r="G19" s="68" t="n">
        <f aca="false">IF(G18=1,G11*IF_Util/(IF(G38=1,G44/INDEX(IF_TokGW_Luna,1,G$7),0)+IF(G39=1,G45/INDEX(IF_TokGW_Sol,1,G$7),0)+IF(G40=1,G46/INDEX(IF_TokGW_Astra,1,G$7),0)),"SLO 不可達")</f>
        <v>14876177679.3826</v>
      </c>
      <c r="H19" s="68" t="n">
        <f aca="false">IF(H18=1,H11*IF_Util/(IF(H38=1,H44/INDEX(IF_TokGW_Luna,1,H$7),0)+IF(H39=1,H45/INDEX(IF_TokGW_Sol,1,H$7),0)+IF(H40=1,H46/INDEX(IF_TokGW_Astra,1,H$7),0)),"SLO 不可達")</f>
        <v>14876177679.3826</v>
      </c>
      <c r="I19" s="68" t="n">
        <f aca="false">IF(I18=1,I11*IF_Util/(IF(I38=1,I44/INDEX(IF_TokGW_Luna,1,I$7),0)+IF(I39=1,I45/INDEX(IF_TokGW_Sol,1,I$7),0)+IF(I40=1,I46/INDEX(IF_TokGW_Astra,1,I$7),0)),"SLO 不可達")</f>
        <v>20457981993.5727</v>
      </c>
      <c r="J19" s="68" t="n">
        <f aca="false">IF(J18=1,J11*IF_Util/(IF(J38=1,J44/INDEX(IF_TokGW_Luna,1,J$7),0)+IF(J39=1,J45/INDEX(IF_TokGW_Sol,1,J$7),0)+IF(J40=1,J46/INDEX(IF_TokGW_Astra,1,J$7),0)),"SLO 不可達")</f>
        <v>20457981993.5727</v>
      </c>
      <c r="K19" s="68" t="n">
        <f aca="false">IF(K18=1,K11*IF_Util/(IF(K38=1,K44/INDEX(IF_TokGW_Luna,1,K$7),0)+IF(K39=1,K45/INDEX(IF_TokGW_Sol,1,K$7),0)+IF(K40=1,K46/INDEX(IF_TokGW_Astra,1,K$7),0)),"SLO 不可達")</f>
        <v>20457981993.5727</v>
      </c>
      <c r="L19" s="68" t="n">
        <f aca="false">IF(L18=1,L11*IF_Util/(IF(L38=1,L44/INDEX(IF_TokGW_Luna,1,L$7),0)+IF(L39=1,L45/INDEX(IF_TokGW_Sol,1,L$7),0)+IF(L40=1,L46/INDEX(IF_TokGW_Astra,1,L$7),0)),"SLO 不可達")</f>
        <v>33642913938.6076</v>
      </c>
      <c r="M19" s="68" t="n">
        <f aca="false">IF(M18=1,M11*IF_Util/(IF(M38=1,M44/INDEX(IF_TokGW_Luna,1,M$7),0)+IF(M39=1,M45/INDEX(IF_TokGW_Sol,1,M$7),0)+IF(M40=1,M46/INDEX(IF_TokGW_Astra,1,M$7),0)),"SLO 不可達")</f>
        <v>33642913938.6076</v>
      </c>
      <c r="N19" s="68" t="n">
        <f aca="false">IF(N18=1,N11*IF_Util/(IF(N38=1,N44/INDEX(IF_TokGW_Luna,1,N$7),0)+IF(N39=1,N45/INDEX(IF_TokGW_Sol,1,N$7),0)+IF(N40=1,N46/INDEX(IF_TokGW_Astra,1,N$7),0)),"SLO 不可達")</f>
        <v>33642913938.6076</v>
      </c>
      <c r="O19" s="68" t="n">
        <f aca="false">IF(O18=1,O11*IF_Util/(IF(O38=1,O44/INDEX(IF_TokGW_Luna,1,O$7),0)+IF(O39=1,O45/INDEX(IF_TokGW_Sol,1,O$7),0)+IF(O40=1,O46/INDEX(IF_TokGW_Astra,1,O$7),0)),"SLO 不可達")</f>
        <v>46721206278.4315</v>
      </c>
      <c r="P19" s="68" t="n">
        <f aca="false">IF(P18=1,P11*IF_Util/(IF(P38=1,P44/INDEX(IF_TokGW_Luna,1,P$7),0)+IF(P39=1,P45/INDEX(IF_TokGW_Sol,1,P$7),0)+IF(P40=1,P46/INDEX(IF_TokGW_Astra,1,P$7),0)),"SLO 不可達")</f>
        <v>46721206278.4315</v>
      </c>
      <c r="Q19" s="68" t="n">
        <f aca="false">IF(Q18=1,Q11*IF_Util/(IF(Q38=1,Q44/INDEX(IF_TokGW_Luna,1,Q$7),0)+IF(Q39=1,Q45/INDEX(IF_TokGW_Sol,1,Q$7),0)+IF(Q40=1,Q46/INDEX(IF_TokGW_Astra,1,Q$7),0)),"SLO 不可達")</f>
        <v>46721206278.4315</v>
      </c>
    </row>
    <row r="20" customFormat="false" ht="15" hidden="false" customHeight="false" outlineLevel="0" collapsed="false">
      <c r="A20" s="5" t="s">
        <v>1982</v>
      </c>
      <c r="B20" s="62" t="s">
        <v>931</v>
      </c>
      <c r="C20" s="68" t="n">
        <f aca="false">IF(C18=1,C12*IF_Util/(IF(C38=1,C47/INDEX(IF_TokGW_Luna,1,C$7),0)+IF(C39=1,C48/INDEX(IF_TokGW_Sol,1,C$7),0)+IF(C40=1,C49/INDEX(IF_TokGW_Astra,1,C$7),0)),"SLO 不可達")</f>
        <v>10294317020.8848</v>
      </c>
      <c r="D20" s="68" t="n">
        <f aca="false">IF(D18=1,D12*IF_Util/(IF(D38=1,D47/INDEX(IF_TokGW_Luna,1,D$7),0)+IF(D39=1,D48/INDEX(IF_TokGW_Sol,1,D$7),0)+IF(D40=1,D49/INDEX(IF_TokGW_Astra,1,D$7),0)),"SLO 不可達")</f>
        <v>10294317020.8848</v>
      </c>
      <c r="E20" s="68" t="n">
        <f aca="false">IF(E18=1,E12*IF_Util/(IF(E38=1,E47/INDEX(IF_TokGW_Luna,1,E$7),0)+IF(E39=1,E48/INDEX(IF_TokGW_Sol,1,E$7),0)+IF(E40=1,E49/INDEX(IF_TokGW_Astra,1,E$7),0)),"SLO 不可達")</f>
        <v>10294317020.8848</v>
      </c>
      <c r="F20" s="68" t="n">
        <f aca="false">IF(F18=1,F12*IF_Util/(IF(F38=1,F47/INDEX(IF_TokGW_Luna,1,F$7),0)+IF(F39=1,F48/INDEX(IF_TokGW_Sol,1,F$7),0)+IF(F40=1,F49/INDEX(IF_TokGW_Astra,1,F$7),0)),"SLO 不可達")</f>
        <v>45309212326.7925</v>
      </c>
      <c r="G20" s="68" t="n">
        <f aca="false">IF(G18=1,G12*IF_Util/(IF(G38=1,G47/INDEX(IF_TokGW_Luna,1,G$7),0)+IF(G39=1,G48/INDEX(IF_TokGW_Sol,1,G$7),0)+IF(G40=1,G49/INDEX(IF_TokGW_Astra,1,G$7),0)),"SLO 不可達")</f>
        <v>45309212326.7925</v>
      </c>
      <c r="H20" s="68" t="n">
        <f aca="false">IF(H18=1,H12*IF_Util/(IF(H38=1,H47/INDEX(IF_TokGW_Luna,1,H$7),0)+IF(H39=1,H48/INDEX(IF_TokGW_Sol,1,H$7),0)+IF(H40=1,H49/INDEX(IF_TokGW_Astra,1,H$7),0)),"SLO 不可達")</f>
        <v>45309212326.7925</v>
      </c>
      <c r="I20" s="68" t="n">
        <f aca="false">IF(I18=1,I12*IF_Util/(IF(I38=1,I47/INDEX(IF_TokGW_Luna,1,I$7),0)+IF(I39=1,I48/INDEX(IF_TokGW_Sol,1,I$7),0)+IF(I40=1,I49/INDEX(IF_TokGW_Astra,1,I$7),0)),"SLO 不可達")</f>
        <v>65964595819.7211</v>
      </c>
      <c r="J20" s="68" t="n">
        <f aca="false">IF(J18=1,J12*IF_Util/(IF(J38=1,J47/INDEX(IF_TokGW_Luna,1,J$7),0)+IF(J39=1,J48/INDEX(IF_TokGW_Sol,1,J$7),0)+IF(J40=1,J49/INDEX(IF_TokGW_Astra,1,J$7),0)),"SLO 不可達")</f>
        <v>65964595819.7211</v>
      </c>
      <c r="K20" s="68" t="n">
        <f aca="false">IF(K18=1,K12*IF_Util/(IF(K38=1,K47/INDEX(IF_TokGW_Luna,1,K$7),0)+IF(K39=1,K48/INDEX(IF_TokGW_Sol,1,K$7),0)+IF(K40=1,K49/INDEX(IF_TokGW_Astra,1,K$7),0)),"SLO 不可達")</f>
        <v>65964595819.7211</v>
      </c>
      <c r="L20" s="68" t="n">
        <f aca="false">IF(L18=1,L12*IF_Util/(IF(L38=1,L47/INDEX(IF_TokGW_Luna,1,L$7),0)+IF(L39=1,L48/INDEX(IF_TokGW_Sol,1,L$7),0)+IF(L40=1,L49/INDEX(IF_TokGW_Astra,1,L$7),0)),"SLO 不可達")</f>
        <v>96210701434.4965</v>
      </c>
      <c r="M20" s="68" t="n">
        <f aca="false">IF(M18=1,M12*IF_Util/(IF(M38=1,M47/INDEX(IF_TokGW_Luna,1,M$7),0)+IF(M39=1,M48/INDEX(IF_TokGW_Sol,1,M$7),0)+IF(M40=1,M49/INDEX(IF_TokGW_Astra,1,M$7),0)),"SLO 不可達")</f>
        <v>96210701434.4965</v>
      </c>
      <c r="N20" s="68" t="n">
        <f aca="false">IF(N18=1,N12*IF_Util/(IF(N38=1,N47/INDEX(IF_TokGW_Luna,1,N$7),0)+IF(N39=1,N48/INDEX(IF_TokGW_Sol,1,N$7),0)+IF(N40=1,N49/INDEX(IF_TokGW_Astra,1,N$7),0)),"SLO 不可達")</f>
        <v>96210701434.4965</v>
      </c>
      <c r="O20" s="68" t="n">
        <f aca="false">IF(O18=1,O12*IF_Util/(IF(O38=1,O47/INDEX(IF_TokGW_Luna,1,O$7),0)+IF(O39=1,O48/INDEX(IF_TokGW_Sol,1,O$7),0)+IF(O40=1,O49/INDEX(IF_TokGW_Astra,1,O$7),0)),"SLO 不可達")</f>
        <v>129924072735.651</v>
      </c>
      <c r="P20" s="68" t="n">
        <f aca="false">IF(P18=1,P12*IF_Util/(IF(P38=1,P47/INDEX(IF_TokGW_Luna,1,P$7),0)+IF(P39=1,P48/INDEX(IF_TokGW_Sol,1,P$7),0)+IF(P40=1,P49/INDEX(IF_TokGW_Astra,1,P$7),0)),"SLO 不可達")</f>
        <v>129924072735.651</v>
      </c>
      <c r="Q20" s="68" t="n">
        <f aca="false">IF(Q18=1,Q12*IF_Util/(IF(Q38=1,Q47/INDEX(IF_TokGW_Luna,1,Q$7),0)+IF(Q39=1,Q48/INDEX(IF_TokGW_Sol,1,Q$7),0)+IF(Q40=1,Q49/INDEX(IF_TokGW_Astra,1,Q$7),0)),"SLO 不可達")</f>
        <v>129924072735.651</v>
      </c>
    </row>
    <row r="21" customFormat="false" ht="15" hidden="false" customHeight="false" outlineLevel="0" collapsed="false">
      <c r="A21" s="6" t="s">
        <v>1983</v>
      </c>
      <c r="B21" s="62" t="s">
        <v>931</v>
      </c>
      <c r="C21" s="68" t="n">
        <f aca="false">IF(AND(C18=1,C38=1),C19*C44,"SLO 不可達")</f>
        <v>1363415831.82172</v>
      </c>
      <c r="D21" s="68" t="n">
        <f aca="false">IF(AND(D18=1,D38=1),D19*D44,"SLO 不可達")</f>
        <v>1363415831.82172</v>
      </c>
      <c r="E21" s="68" t="n">
        <f aca="false">IF(AND(E18=1,E38=1),E19*E44,"SLO 不可達")</f>
        <v>1363415831.82172</v>
      </c>
      <c r="F21" s="68" t="n">
        <f aca="false">IF(AND(F18=1,F38=1),F19*F44,"SLO 不可達")</f>
        <v>5950471071.75304</v>
      </c>
      <c r="G21" s="68" t="n">
        <f aca="false">IF(AND(G18=1,G38=1),G19*G44,"SLO 不可達")</f>
        <v>5950471071.75304</v>
      </c>
      <c r="H21" s="68" t="n">
        <f aca="false">IF(AND(H18=1,H38=1),H19*H44,"SLO 不可達")</f>
        <v>5950471071.75304</v>
      </c>
      <c r="I21" s="68" t="n">
        <f aca="false">IF(AND(I18=1,I38=1),I19*I44,"SLO 不可達")</f>
        <v>8183192797.42907</v>
      </c>
      <c r="J21" s="68" t="n">
        <f aca="false">IF(AND(J18=1,J38=1),J19*J44,"SLO 不可達")</f>
        <v>8183192797.42907</v>
      </c>
      <c r="K21" s="68" t="n">
        <f aca="false">IF(AND(K18=1,K38=1),K19*K44,"SLO 不可達")</f>
        <v>8183192797.42907</v>
      </c>
      <c r="L21" s="68" t="n">
        <f aca="false">IF(AND(L18=1,L38=1),L19*L44,"SLO 不可達")</f>
        <v>13457165575.443</v>
      </c>
      <c r="M21" s="68" t="n">
        <f aca="false">IF(AND(M18=1,M38=1),M19*M44,"SLO 不可達")</f>
        <v>13457165575.443</v>
      </c>
      <c r="N21" s="68" t="n">
        <f aca="false">IF(AND(N18=1,N38=1),N19*N44,"SLO 不可達")</f>
        <v>13457165575.443</v>
      </c>
      <c r="O21" s="68" t="n">
        <f aca="false">IF(AND(O18=1,O38=1),O19*O44,"SLO 不可達")</f>
        <v>18688482511.3726</v>
      </c>
      <c r="P21" s="68" t="n">
        <f aca="false">IF(AND(P18=1,P38=1),P19*P44,"SLO 不可達")</f>
        <v>18688482511.3726</v>
      </c>
      <c r="Q21" s="68" t="n">
        <f aca="false">IF(AND(Q18=1,Q38=1),Q19*Q44,"SLO 不可達")</f>
        <v>18688482511.3726</v>
      </c>
    </row>
    <row r="22" customFormat="false" ht="15" hidden="false" customHeight="false" outlineLevel="0" collapsed="false">
      <c r="A22" s="6" t="s">
        <v>1984</v>
      </c>
      <c r="B22" s="62" t="s">
        <v>931</v>
      </c>
      <c r="C22" s="68" t="n">
        <f aca="false">IF(AND(C18=1,C38=1),C20*C47,"SLO 不可達")</f>
        <v>9264885318.79632</v>
      </c>
      <c r="D22" s="68" t="n">
        <f aca="false">IF(AND(D18=1,D38=1),D20*D47,"SLO 不可達")</f>
        <v>9264885318.79632</v>
      </c>
      <c r="E22" s="68" t="n">
        <f aca="false">IF(AND(E18=1,E38=1),E20*E47,"SLO 不可達")</f>
        <v>9264885318.79632</v>
      </c>
      <c r="F22" s="68" t="n">
        <f aca="false">IF(AND(F18=1,F38=1),F20*F47,"SLO 不可達")</f>
        <v>40778291094.1132</v>
      </c>
      <c r="G22" s="68" t="n">
        <f aca="false">IF(AND(G18=1,G38=1),G20*G47,"SLO 不可達")</f>
        <v>40778291094.1132</v>
      </c>
      <c r="H22" s="68" t="n">
        <f aca="false">IF(AND(H18=1,H38=1),H20*H47,"SLO 不可達")</f>
        <v>40778291094.1132</v>
      </c>
      <c r="I22" s="68" t="n">
        <f aca="false">IF(AND(I18=1,I38=1),I20*I47,"SLO 不可達")</f>
        <v>59368136237.749</v>
      </c>
      <c r="J22" s="68" t="n">
        <f aca="false">IF(AND(J18=1,J38=1),J20*J47,"SLO 不可達")</f>
        <v>59368136237.749</v>
      </c>
      <c r="K22" s="68" t="n">
        <f aca="false">IF(AND(K18=1,K38=1),K20*K47,"SLO 不可達")</f>
        <v>59368136237.749</v>
      </c>
      <c r="L22" s="68" t="n">
        <f aca="false">IF(AND(L18=1,L38=1),L20*L47,"SLO 不可達")</f>
        <v>86589631291.0469</v>
      </c>
      <c r="M22" s="68" t="n">
        <f aca="false">IF(AND(M18=1,M38=1),M20*M47,"SLO 不可達")</f>
        <v>86589631291.0469</v>
      </c>
      <c r="N22" s="68" t="n">
        <f aca="false">IF(AND(N18=1,N38=1),N20*N47,"SLO 不可達")</f>
        <v>86589631291.0469</v>
      </c>
      <c r="O22" s="68" t="n">
        <f aca="false">IF(AND(O18=1,O38=1),O20*O47,"SLO 不可達")</f>
        <v>116931665462.086</v>
      </c>
      <c r="P22" s="68" t="n">
        <f aca="false">IF(AND(P18=1,P38=1),P20*P47,"SLO 不可達")</f>
        <v>116931665462.086</v>
      </c>
      <c r="Q22" s="68" t="n">
        <f aca="false">IF(AND(Q18=1,Q38=1),Q20*Q47,"SLO 不可達")</f>
        <v>116931665462.086</v>
      </c>
    </row>
    <row r="23" customFormat="false" ht="15" hidden="false" customHeight="false" outlineLevel="0" collapsed="false">
      <c r="A23" s="6" t="s">
        <v>1985</v>
      </c>
      <c r="B23" s="62" t="s">
        <v>103</v>
      </c>
      <c r="C23" s="107" t="n">
        <f aca="false">IF(AND(C18=1,C38=1),(C21+C22)/(INDEX(IF_TokGW_Luna,1,C$7)*IF_Util),"SLO 不可達")</f>
        <v>0.157837592128848</v>
      </c>
      <c r="D23" s="107" t="n">
        <f aca="false">IF(AND(D18=1,D38=1),(D21+D22)/(INDEX(IF_TokGW_Luna,1,D$7)*IF_Util),"SLO 不可達")</f>
        <v>0.157837592128848</v>
      </c>
      <c r="E23" s="107" t="n">
        <f aca="false">IF(AND(E18=1,E38=1),(E21+E22)/(INDEX(IF_TokGW_Luna,1,E$7)*IF_Util),"SLO 不可達")</f>
        <v>0.157837592128848</v>
      </c>
      <c r="F23" s="107" t="n">
        <f aca="false">IF(AND(F18=1,F38=1),(F21+F22)/(INDEX(IF_TokGW_Luna,1,F$7)*IF_Util),"SLO 不可達")</f>
        <v>0.156788205639418</v>
      </c>
      <c r="G23" s="107" t="n">
        <f aca="false">IF(AND(G18=1,G38=1),(G21+G22)/(INDEX(IF_TokGW_Luna,1,G$7)*IF_Util),"SLO 不可達")</f>
        <v>0.156788205639418</v>
      </c>
      <c r="H23" s="107" t="n">
        <f aca="false">IF(AND(H18=1,H38=1),(H21+H22)/(INDEX(IF_TokGW_Luna,1,H$7)*IF_Util),"SLO 不可達")</f>
        <v>0.156788205639418</v>
      </c>
      <c r="I23" s="107" t="n">
        <f aca="false">IF(AND(I18=1,I38=1),(I21+I22)/(INDEX(IF_TokGW_Luna,1,I$7)*IF_Util),"SLO 不可達")</f>
        <v>0.15568207718671</v>
      </c>
      <c r="J23" s="107" t="n">
        <f aca="false">IF(AND(J18=1,J38=1),(J21+J22)/(INDEX(IF_TokGW_Luna,1,J$7)*IF_Util),"SLO 不可達")</f>
        <v>0.15568207718671</v>
      </c>
      <c r="K23" s="107" t="n">
        <f aca="false">IF(AND(K18=1,K38=1),(K21+K22)/(INDEX(IF_TokGW_Luna,1,K$7)*IF_Util),"SLO 不可達")</f>
        <v>0.15568207718671</v>
      </c>
      <c r="L23" s="107" t="n">
        <f aca="false">IF(AND(L18=1,L38=1),(L21+L22)/(INDEX(IF_TokGW_Luna,1,L$7)*IF_Util),"SLO 不可達")</f>
        <v>0.159829217887593</v>
      </c>
      <c r="M23" s="107" t="n">
        <f aca="false">IF(AND(M18=1,M38=1),(M21+M22)/(INDEX(IF_TokGW_Luna,1,M$7)*IF_Util),"SLO 不可達")</f>
        <v>0.159829217887593</v>
      </c>
      <c r="N23" s="107" t="n">
        <f aca="false">IF(AND(N18=1,N38=1),(N21+N22)/(INDEX(IF_TokGW_Luna,1,N$7)*IF_Util),"SLO 不可達")</f>
        <v>0.159829217887593</v>
      </c>
      <c r="O23" s="107" t="n">
        <f aca="false">IF(AND(O18=1,O38=1),(O21+O22)/(INDEX(IF_TokGW_Luna,1,O$7)*IF_Util),"SLO 不可達")</f>
        <v>0.160925184301504</v>
      </c>
      <c r="P23" s="107" t="n">
        <f aca="false">IF(AND(P18=1,P38=1),(P21+P22)/(INDEX(IF_TokGW_Luna,1,P$7)*IF_Util),"SLO 不可達")</f>
        <v>0.160925184301504</v>
      </c>
      <c r="Q23" s="107" t="n">
        <f aca="false">IF(AND(Q18=1,Q38=1),(Q21+Q22)/(INDEX(IF_TokGW_Luna,1,Q$7)*IF_Util),"SLO 不可達")</f>
        <v>0.160925184301504</v>
      </c>
      <c r="R23" s="74" t="s">
        <v>1986</v>
      </c>
    </row>
    <row r="24" customFormat="false" ht="15" hidden="false" customHeight="false" outlineLevel="0" collapsed="false">
      <c r="A24" s="6" t="s">
        <v>1987</v>
      </c>
      <c r="B24" s="62" t="s">
        <v>931</v>
      </c>
      <c r="C24" s="68" t="n">
        <f aca="false">IF(AND(C18=1,C39=1),C19*C45,"SLO 不可達")</f>
        <v>1533842810.79943</v>
      </c>
      <c r="D24" s="68" t="n">
        <f aca="false">IF(AND(D18=1,D39=1),D19*D45,"SLO 不可達")</f>
        <v>1533842810.79943</v>
      </c>
      <c r="E24" s="68" t="n">
        <f aca="false">IF(AND(E18=1,E39=1),E19*E45,"SLO 不可達")</f>
        <v>1533842810.79943</v>
      </c>
      <c r="F24" s="68" t="n">
        <f aca="false">IF(AND(F18=1,F39=1),F19*F45,"SLO 不可達")</f>
        <v>6694279955.72217</v>
      </c>
      <c r="G24" s="68" t="n">
        <f aca="false">IF(AND(G18=1,G39=1),G19*G45,"SLO 不可達")</f>
        <v>6694279955.72217</v>
      </c>
      <c r="H24" s="68" t="n">
        <f aca="false">IF(AND(H18=1,H39=1),H19*H45,"SLO 不可達")</f>
        <v>6694279955.72217</v>
      </c>
      <c r="I24" s="68" t="n">
        <f aca="false">IF(AND(I18=1,I39=1),I19*I45,"SLO 不可達")</f>
        <v>9206091897.1077</v>
      </c>
      <c r="J24" s="68" t="n">
        <f aca="false">IF(AND(J18=1,J39=1),J19*J45,"SLO 不可達")</f>
        <v>9206091897.1077</v>
      </c>
      <c r="K24" s="68" t="n">
        <f aca="false">IF(AND(K18=1,K39=1),K19*K45,"SLO 不可達")</f>
        <v>9206091897.1077</v>
      </c>
      <c r="L24" s="68" t="n">
        <f aca="false">IF(AND(L18=1,L39=1),L19*L45,"SLO 不可達")</f>
        <v>15139311272.3734</v>
      </c>
      <c r="M24" s="68" t="n">
        <f aca="false">IF(AND(M18=1,M39=1),M19*M45,"SLO 不可達")</f>
        <v>15139311272.3734</v>
      </c>
      <c r="N24" s="68" t="n">
        <f aca="false">IF(AND(N18=1,N39=1),N19*N45,"SLO 不可達")</f>
        <v>15139311272.3734</v>
      </c>
      <c r="O24" s="68" t="n">
        <f aca="false">IF(AND(O18=1,O39=1),O19*O45,"SLO 不可達")</f>
        <v>21024542825.2942</v>
      </c>
      <c r="P24" s="68" t="n">
        <f aca="false">IF(AND(P18=1,P39=1),P19*P45,"SLO 不可達")</f>
        <v>21024542825.2942</v>
      </c>
      <c r="Q24" s="68" t="n">
        <f aca="false">IF(AND(Q18=1,Q39=1),Q19*Q45,"SLO 不可達")</f>
        <v>21024542825.2942</v>
      </c>
    </row>
    <row r="25" customFormat="false" ht="15" hidden="false" customHeight="false" outlineLevel="0" collapsed="false">
      <c r="A25" s="6" t="s">
        <v>1988</v>
      </c>
      <c r="B25" s="62" t="s">
        <v>931</v>
      </c>
      <c r="C25" s="68" t="n">
        <f aca="false">IF(AND(C18=1,C39=1),C20*C48,"SLO 不可達")</f>
        <v>1029431702.08848</v>
      </c>
      <c r="D25" s="68" t="n">
        <f aca="false">IF(AND(D18=1,D39=1),D20*D48,"SLO 不可達")</f>
        <v>1029431702.08848</v>
      </c>
      <c r="E25" s="68" t="n">
        <f aca="false">IF(AND(E18=1,E39=1),E20*E48,"SLO 不可達")</f>
        <v>1029431702.08848</v>
      </c>
      <c r="F25" s="68" t="n">
        <f aca="false">IF(AND(F18=1,F39=1),F20*F48,"SLO 不可達")</f>
        <v>4530921232.67925</v>
      </c>
      <c r="G25" s="68" t="n">
        <f aca="false">IF(AND(G18=1,G39=1),G20*G48,"SLO 不可達")</f>
        <v>4530921232.67925</v>
      </c>
      <c r="H25" s="68" t="n">
        <f aca="false">IF(AND(H18=1,H39=1),H20*H48,"SLO 不可達")</f>
        <v>4530921232.67925</v>
      </c>
      <c r="I25" s="68" t="n">
        <f aca="false">IF(AND(I18=1,I39=1),I20*I48,"SLO 不可達")</f>
        <v>6596459581.97212</v>
      </c>
      <c r="J25" s="68" t="n">
        <f aca="false">IF(AND(J18=1,J39=1),J20*J48,"SLO 不可達")</f>
        <v>6596459581.97212</v>
      </c>
      <c r="K25" s="68" t="n">
        <f aca="false">IF(AND(K18=1,K39=1),K20*K48,"SLO 不可達")</f>
        <v>6596459581.97212</v>
      </c>
      <c r="L25" s="68" t="n">
        <f aca="false">IF(AND(L18=1,L39=1),L20*L48,"SLO 不可達")</f>
        <v>9621070143.44965</v>
      </c>
      <c r="M25" s="68" t="n">
        <f aca="false">IF(AND(M18=1,M39=1),M20*M48,"SLO 不可達")</f>
        <v>9621070143.44965</v>
      </c>
      <c r="N25" s="68" t="n">
        <f aca="false">IF(AND(N18=1,N39=1),N20*N48,"SLO 不可達")</f>
        <v>9621070143.44965</v>
      </c>
      <c r="O25" s="68" t="n">
        <f aca="false">IF(AND(O18=1,O39=1),O20*O48,"SLO 不可達")</f>
        <v>12992407273.5651</v>
      </c>
      <c r="P25" s="68" t="n">
        <f aca="false">IF(AND(P18=1,P39=1),P20*P48,"SLO 不可達")</f>
        <v>12992407273.5651</v>
      </c>
      <c r="Q25" s="68" t="n">
        <f aca="false">IF(AND(Q18=1,Q39=1),Q20*Q48,"SLO 不可達")</f>
        <v>12992407273.5651</v>
      </c>
    </row>
    <row r="26" customFormat="false" ht="15" hidden="false" customHeight="false" outlineLevel="0" collapsed="false">
      <c r="A26" s="6" t="s">
        <v>1989</v>
      </c>
      <c r="B26" s="62" t="s">
        <v>103</v>
      </c>
      <c r="C26" s="107" t="n">
        <f aca="false">IF(AND(C18=1,C39=1),(C24+C25)/(INDEX(IF_TokGW_Sol,1,C$7)*IF_Util),"SLO 不可達")</f>
        <v>0.127014562689908</v>
      </c>
      <c r="D26" s="107" t="n">
        <f aca="false">IF(AND(D18=1,D39=1),(D24+D25)/(INDEX(IF_TokGW_Sol,1,D$7)*IF_Util),"SLO 不可達")</f>
        <v>0.127014562689908</v>
      </c>
      <c r="E26" s="107" t="n">
        <f aca="false">IF(AND(E18=1,E39=1),(E24+E25)/(INDEX(IF_TokGW_Sol,1,E$7)*IF_Util),"SLO 不可達")</f>
        <v>0.127014562689908</v>
      </c>
      <c r="F26" s="107" t="n">
        <f aca="false">IF(AND(F18=1,F39=1),(F24+F25)/(INDEX(IF_TokGW_Sol,1,F$7)*IF_Util),"SLO 不可達")</f>
        <v>0.128276492994653</v>
      </c>
      <c r="G26" s="107" t="n">
        <f aca="false">IF(AND(G18=1,G39=1),(G24+G25)/(INDEX(IF_TokGW_Sol,1,G$7)*IF_Util),"SLO 不可達")</f>
        <v>0.128276492994653</v>
      </c>
      <c r="H26" s="107" t="n">
        <f aca="false">IF(AND(H18=1,H39=1),(H24+H25)/(INDEX(IF_TokGW_Sol,1,H$7)*IF_Util),"SLO 不可達")</f>
        <v>0.128276492994653</v>
      </c>
      <c r="I26" s="107" t="n">
        <f aca="false">IF(AND(I18=1,I39=1),(I24+I25)/(INDEX(IF_TokGW_Sol,1,I$7)*IF_Util),"SLO 不可達")</f>
        <v>0.124038288403391</v>
      </c>
      <c r="J26" s="107" t="n">
        <f aca="false">IF(AND(J18=1,J39=1),(J24+J25)/(INDEX(IF_TokGW_Sol,1,J$7)*IF_Util),"SLO 不可達")</f>
        <v>0.124038288403391</v>
      </c>
      <c r="K26" s="107" t="n">
        <f aca="false">IF(AND(K18=1,K39=1),(K24+K25)/(INDEX(IF_TokGW_Sol,1,K$7)*IF_Util),"SLO 不可達")</f>
        <v>0.124038288403391</v>
      </c>
      <c r="L26" s="107" t="n">
        <f aca="false">IF(AND(L18=1,L39=1),(L24+L25)/(INDEX(IF_TokGW_Sol,1,L$7)*IF_Util),"SLO 不可達")</f>
        <v>0.129370708901442</v>
      </c>
      <c r="M26" s="107" t="n">
        <f aca="false">IF(AND(M18=1,M39=1),(M24+M25)/(INDEX(IF_TokGW_Sol,1,M$7)*IF_Util),"SLO 不可達")</f>
        <v>0.129370708901442</v>
      </c>
      <c r="N26" s="107" t="n">
        <f aca="false">IF(AND(N18=1,N39=1),(N24+N25)/(INDEX(IF_TokGW_Sol,1,N$7)*IF_Util),"SLO 不可達")</f>
        <v>0.129370708901442</v>
      </c>
      <c r="O26" s="107" t="n">
        <f aca="false">IF(AND(O18=1,O39=1),(O24+O25)/(INDEX(IF_TokGW_Sol,1,O$7)*IF_Util),"SLO 不可達")</f>
        <v>0.130519032653824</v>
      </c>
      <c r="P26" s="107" t="n">
        <f aca="false">IF(AND(P18=1,P39=1),(P24+P25)/(INDEX(IF_TokGW_Sol,1,P$7)*IF_Util),"SLO 不可達")</f>
        <v>0.130519032653824</v>
      </c>
      <c r="Q26" s="107" t="n">
        <f aca="false">IF(AND(Q18=1,Q39=1),(Q24+Q25)/(INDEX(IF_TokGW_Sol,1,Q$7)*IF_Util),"SLO 不可達")</f>
        <v>0.130519032653824</v>
      </c>
      <c r="R26" s="74" t="s">
        <v>1990</v>
      </c>
    </row>
    <row r="27" customFormat="false" ht="15" hidden="false" customHeight="false" outlineLevel="0" collapsed="false">
      <c r="A27" s="6" t="s">
        <v>1991</v>
      </c>
      <c r="B27" s="62" t="s">
        <v>931</v>
      </c>
      <c r="C27" s="68" t="n">
        <f aca="false">IF(AND(C18=1,C40=1),C19*C46,"SLO 不可達")</f>
        <v>511280936.933144</v>
      </c>
      <c r="D27" s="68" t="n">
        <f aca="false">IF(AND(D18=1,D40=1),D19*D46,"SLO 不可達")</f>
        <v>511280936.933144</v>
      </c>
      <c r="E27" s="68" t="n">
        <f aca="false">IF(AND(E18=1,E40=1),E19*E46,"SLO 不可達")</f>
        <v>511280936.933144</v>
      </c>
      <c r="F27" s="68" t="n">
        <f aca="false">IF(AND(F18=1,F40=1),F19*F46,"SLO 不可達")</f>
        <v>2231426651.90739</v>
      </c>
      <c r="G27" s="68" t="n">
        <f aca="false">IF(AND(G18=1,G40=1),G19*G46,"SLO 不可達")</f>
        <v>2231426651.90739</v>
      </c>
      <c r="H27" s="68" t="n">
        <f aca="false">IF(AND(H18=1,H40=1),H19*H46,"SLO 不可達")</f>
        <v>2231426651.90739</v>
      </c>
      <c r="I27" s="68" t="n">
        <f aca="false">IF(AND(I18=1,I40=1),I19*I46,"SLO 不可達")</f>
        <v>3068697299.0359</v>
      </c>
      <c r="J27" s="68" t="n">
        <f aca="false">IF(AND(J18=1,J40=1),J19*J46,"SLO 不可達")</f>
        <v>3068697299.0359</v>
      </c>
      <c r="K27" s="68" t="n">
        <f aca="false">IF(AND(K18=1,K40=1),K19*K46,"SLO 不可達")</f>
        <v>3068697299.0359</v>
      </c>
      <c r="L27" s="68" t="n">
        <f aca="false">IF(AND(L18=1,L40=1),L19*L46,"SLO 不可達")</f>
        <v>5046437090.79114</v>
      </c>
      <c r="M27" s="68" t="n">
        <f aca="false">IF(AND(M18=1,M40=1),M19*M46,"SLO 不可達")</f>
        <v>5046437090.79114</v>
      </c>
      <c r="N27" s="68" t="n">
        <f aca="false">IF(AND(N18=1,N40=1),N19*N46,"SLO 不可達")</f>
        <v>5046437090.79114</v>
      </c>
      <c r="O27" s="68" t="n">
        <f aca="false">IF(AND(O18=1,O40=1),O19*O46,"SLO 不可達")</f>
        <v>7008180941.76473</v>
      </c>
      <c r="P27" s="68" t="n">
        <f aca="false">IF(AND(P18=1,P40=1),P19*P46,"SLO 不可達")</f>
        <v>7008180941.76473</v>
      </c>
      <c r="Q27" s="68" t="n">
        <f aca="false">IF(AND(Q18=1,Q40=1),Q19*Q46,"SLO 不可達")</f>
        <v>7008180941.76473</v>
      </c>
    </row>
    <row r="28" customFormat="false" ht="15" hidden="false" customHeight="false" outlineLevel="0" collapsed="false">
      <c r="A28" s="6" t="s">
        <v>1992</v>
      </c>
      <c r="B28" s="62" t="s">
        <v>931</v>
      </c>
      <c r="C28" s="68" t="n">
        <f aca="false">IF(AND(C18=1,C40=1),C20*C49,"SLO 不可達")</f>
        <v>0</v>
      </c>
      <c r="D28" s="68" t="n">
        <f aca="false">IF(AND(D18=1,D40=1),D20*D49,"SLO 不可達")</f>
        <v>0</v>
      </c>
      <c r="E28" s="68" t="n">
        <f aca="false">IF(AND(E18=1,E40=1),E20*E49,"SLO 不可達")</f>
        <v>0</v>
      </c>
      <c r="F28" s="68" t="n">
        <f aca="false">IF(AND(F18=1,F40=1),F20*F49,"SLO 不可達")</f>
        <v>0</v>
      </c>
      <c r="G28" s="68" t="n">
        <f aca="false">IF(AND(G18=1,G40=1),G20*G49,"SLO 不可達")</f>
        <v>0</v>
      </c>
      <c r="H28" s="68" t="n">
        <f aca="false">IF(AND(H18=1,H40=1),H20*H49,"SLO 不可達")</f>
        <v>0</v>
      </c>
      <c r="I28" s="68" t="n">
        <f aca="false">IF(AND(I18=1,I40=1),I20*I49,"SLO 不可達")</f>
        <v>0</v>
      </c>
      <c r="J28" s="68" t="n">
        <f aca="false">IF(AND(J18=1,J40=1),J20*J49,"SLO 不可達")</f>
        <v>0</v>
      </c>
      <c r="K28" s="68" t="n">
        <f aca="false">IF(AND(K18=1,K40=1),K20*K49,"SLO 不可達")</f>
        <v>0</v>
      </c>
      <c r="L28" s="68" t="n">
        <f aca="false">IF(AND(L18=1,L40=1),L20*L49,"SLO 不可達")</f>
        <v>0</v>
      </c>
      <c r="M28" s="68" t="n">
        <f aca="false">IF(AND(M18=1,M40=1),M20*M49,"SLO 不可達")</f>
        <v>0</v>
      </c>
      <c r="N28" s="68" t="n">
        <f aca="false">IF(AND(N18=1,N40=1),N20*N49,"SLO 不可達")</f>
        <v>0</v>
      </c>
      <c r="O28" s="68" t="n">
        <f aca="false">IF(AND(O18=1,O40=1),O20*O49,"SLO 不可達")</f>
        <v>0</v>
      </c>
      <c r="P28" s="68" t="n">
        <f aca="false">IF(AND(P18=1,P40=1),P20*P49,"SLO 不可達")</f>
        <v>0</v>
      </c>
      <c r="Q28" s="68" t="n">
        <f aca="false">IF(AND(Q18=1,Q40=1),Q20*Q49,"SLO 不可達")</f>
        <v>0</v>
      </c>
    </row>
    <row r="29" customFormat="false" ht="15" hidden="false" customHeight="false" outlineLevel="0" collapsed="false">
      <c r="A29" s="6" t="s">
        <v>1993</v>
      </c>
      <c r="B29" s="62" t="s">
        <v>103</v>
      </c>
      <c r="C29" s="107" t="n">
        <f aca="false">IF(AND(C18=1,C40=1),(C27+C28)/(INDEX(IF_TokGW_Astra,1,C$7)*IF_Util),"SLO 不可達")</f>
        <v>0.125147845181244</v>
      </c>
      <c r="D29" s="107" t="n">
        <f aca="false">IF(AND(D18=1,D40=1),(D27+D28)/(INDEX(IF_TokGW_Astra,1,D$7)*IF_Util),"SLO 不可達")</f>
        <v>0.125147845181244</v>
      </c>
      <c r="E29" s="107" t="n">
        <f aca="false">IF(AND(E18=1,E40=1),(E27+E28)/(INDEX(IF_TokGW_Astra,1,E$7)*IF_Util),"SLO 不可達")</f>
        <v>0.125147845181244</v>
      </c>
      <c r="F29" s="107" t="n">
        <f aca="false">IF(AND(F18=1,F40=1),(F27+F28)/(INDEX(IF_TokGW_Astra,1,F$7)*IF_Util),"SLO 不可達")</f>
        <v>0.124935301365929</v>
      </c>
      <c r="G29" s="107" t="n">
        <f aca="false">IF(AND(G18=1,G40=1),(G27+G28)/(INDEX(IF_TokGW_Astra,1,G$7)*IF_Util),"SLO 不可達")</f>
        <v>0.124935301365929</v>
      </c>
      <c r="H29" s="107" t="n">
        <f aca="false">IF(AND(H18=1,H40=1),(H27+H28)/(INDEX(IF_TokGW_Astra,1,H$7)*IF_Util),"SLO 不可達")</f>
        <v>0.124935301365929</v>
      </c>
      <c r="I29" s="107" t="n">
        <f aca="false">IF(AND(I18=1,I40=1),(I27+I28)/(INDEX(IF_TokGW_Astra,1,I$7)*IF_Util),"SLO 不可達")</f>
        <v>0.130279634409899</v>
      </c>
      <c r="J29" s="107" t="n">
        <f aca="false">IF(AND(J18=1,J40=1),(J27+J28)/(INDEX(IF_TokGW_Astra,1,J$7)*IF_Util),"SLO 不可達")</f>
        <v>0.130279634409899</v>
      </c>
      <c r="K29" s="107" t="n">
        <f aca="false">IF(AND(K18=1,K40=1),(K27+K28)/(INDEX(IF_TokGW_Astra,1,K$7)*IF_Util),"SLO 不可達")</f>
        <v>0.130279634409899</v>
      </c>
      <c r="L29" s="107" t="n">
        <f aca="false">IF(AND(L18=1,L40=1),(L27+L28)/(INDEX(IF_TokGW_Astra,1,L$7)*IF_Util),"SLO 不可達")</f>
        <v>0.120800073210965</v>
      </c>
      <c r="M29" s="107" t="n">
        <f aca="false">IF(AND(M18=1,M40=1),(M27+M28)/(INDEX(IF_TokGW_Astra,1,M$7)*IF_Util),"SLO 不可達")</f>
        <v>0.120800073210965</v>
      </c>
      <c r="N29" s="107" t="n">
        <f aca="false">IF(AND(N18=1,N40=1),(N27+N28)/(INDEX(IF_TokGW_Astra,1,N$7)*IF_Util),"SLO 不可達")</f>
        <v>0.120800073210965</v>
      </c>
      <c r="O29" s="107" t="n">
        <f aca="false">IF(AND(O18=1,O40=1),(O27+O28)/(INDEX(IF_TokGW_Astra,1,O$7)*IF_Util),"SLO 不可達")</f>
        <v>0.118555783044672</v>
      </c>
      <c r="P29" s="107" t="n">
        <f aca="false">IF(AND(P18=1,P40=1),(P27+P28)/(INDEX(IF_TokGW_Astra,1,P$7)*IF_Util),"SLO 不可達")</f>
        <v>0.118555783044672</v>
      </c>
      <c r="Q29" s="107" t="n">
        <f aca="false">IF(AND(Q18=1,Q40=1),(Q27+Q28)/(INDEX(IF_TokGW_Astra,1,Q$7)*IF_Util),"SLO 不可達")</f>
        <v>0.118555783044672</v>
      </c>
      <c r="R29" s="74" t="s">
        <v>1994</v>
      </c>
    </row>
    <row r="30" customFormat="false" ht="15" hidden="false" customHeight="false" outlineLevel="0" collapsed="false">
      <c r="A30" s="5" t="s">
        <v>1995</v>
      </c>
      <c r="B30" s="62" t="s">
        <v>103</v>
      </c>
      <c r="C30" s="157" t="n">
        <f aca="false">IF(C18=1,SUM(C23,C26,C29)-C10,"SLO 不可達")</f>
        <v>0</v>
      </c>
      <c r="D30" s="157" t="n">
        <f aca="false">IF(D18=1,SUM(D23,D26,D29)-D10,"SLO 不可達")</f>
        <v>0</v>
      </c>
      <c r="E30" s="157" t="n">
        <f aca="false">IF(E18=1,SUM(E23,E26,E29)-E10,"SLO 不可達")</f>
        <v>0</v>
      </c>
      <c r="F30" s="157" t="n">
        <f aca="false">IF(F18=1,SUM(F23,F26,F29)-F10,"SLO 不可達")</f>
        <v>0</v>
      </c>
      <c r="G30" s="157" t="n">
        <f aca="false">IF(G18=1,SUM(G23,G26,G29)-G10,"SLO 不可達")</f>
        <v>0</v>
      </c>
      <c r="H30" s="157" t="n">
        <f aca="false">IF(H18=1,SUM(H23,H26,H29)-H10,"SLO 不可達")</f>
        <v>0</v>
      </c>
      <c r="I30" s="157" t="n">
        <f aca="false">IF(I18=1,SUM(I23,I26,I29)-I10,"SLO 不可達")</f>
        <v>0</v>
      </c>
      <c r="J30" s="157" t="n">
        <f aca="false">IF(J18=1,SUM(J23,J26,J29)-J10,"SLO 不可達")</f>
        <v>0</v>
      </c>
      <c r="K30" s="157" t="n">
        <f aca="false">IF(K18=1,SUM(K23,K26,K29)-K10,"SLO 不可達")</f>
        <v>0</v>
      </c>
      <c r="L30" s="157" t="n">
        <f aca="false">IF(L18=1,SUM(L23,L26,L29)-L10,"SLO 不可達")</f>
        <v>0</v>
      </c>
      <c r="M30" s="157" t="n">
        <f aca="false">IF(M18=1,SUM(M23,M26,M29)-M10,"SLO 不可達")</f>
        <v>0</v>
      </c>
      <c r="N30" s="157" t="n">
        <f aca="false">IF(N18=1,SUM(N23,N26,N29)-N10,"SLO 不可達")</f>
        <v>0</v>
      </c>
      <c r="O30" s="157" t="n">
        <f aca="false">IF(O18=1,SUM(O23,O26,O29)-O10,"SLO 不可達")</f>
        <v>0</v>
      </c>
      <c r="P30" s="157" t="n">
        <f aca="false">IF(P18=1,SUM(P23,P26,P29)-P10,"SLO 不可達")</f>
        <v>0</v>
      </c>
      <c r="Q30" s="157" t="n">
        <f aca="false">IF(Q18=1,SUM(Q23,Q26,Q29)-Q10,"SLO 不可達")</f>
        <v>0</v>
      </c>
      <c r="R30" s="74" t="s">
        <v>1996</v>
      </c>
    </row>
    <row r="32" customFormat="false" ht="15" hidden="false" customHeight="false" outlineLevel="0" collapsed="false">
      <c r="A32" s="76" t="s">
        <v>1997</v>
      </c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</row>
    <row r="33" customFormat="false" ht="15" hidden="false" customHeight="false" outlineLevel="0" collapsed="false">
      <c r="A33" s="5" t="s">
        <v>1998</v>
      </c>
      <c r="B33" s="62" t="s">
        <v>113</v>
      </c>
      <c r="C33" s="102" t="n">
        <f aca="false">IF(COUNT(INDEX(IF_ProgGWyr_Luna,1,C$7),INDEX(IF_ProgGWyr_Sol,1,C$7),INDEX(IF_ProgGWyr_Astra,1,C$7))=3,INDEX(IF_ProgGWyr_Luna,1,C$7)+INDEX(IF_ProgGWyr_Sol,1,C$7)+INDEX(IF_ProgGWyr_Astra,1,C$7),"SLO 不可達")</f>
        <v>0.191879838535831</v>
      </c>
      <c r="D33" s="102" t="n">
        <f aca="false">IF(COUNT(INDEX(IF_ProgGWyr_Luna,1,D$7),INDEX(IF_ProgGWyr_Sol,1,D$7),INDEX(IF_ProgGWyr_Astra,1,D$7))=3,INDEX(IF_ProgGWyr_Luna,1,D$7)+INDEX(IF_ProgGWyr_Sol,1,D$7)+INDEX(IF_ProgGWyr_Astra,1,D$7),"SLO 不可達")</f>
        <v>0.191879838535831</v>
      </c>
      <c r="E33" s="102" t="n">
        <f aca="false">IF(COUNT(INDEX(IF_ProgGWyr_Luna,1,E$7),INDEX(IF_ProgGWyr_Sol,1,E$7),INDEX(IF_ProgGWyr_Astra,1,E$7))=3,INDEX(IF_ProgGWyr_Luna,1,E$7)+INDEX(IF_ProgGWyr_Sol,1,E$7)+INDEX(IF_ProgGWyr_Astra,1,E$7),"SLO 不可達")</f>
        <v>0.191879838535831</v>
      </c>
      <c r="F33" s="102" t="n">
        <f aca="false">IF(COUNT(INDEX(IF_ProgGWyr_Luna,1,F$7),INDEX(IF_ProgGWyr_Sol,1,F$7),INDEX(IF_ProgGWyr_Astra,1,F$7))=3,INDEX(IF_ProgGWyr_Luna,1,F$7)+INDEX(IF_ProgGWyr_Sol,1,F$7)+INDEX(IF_ProgGWyr_Astra,1,F$7),"SLO 不可達")</f>
        <v>0.0853804375916351</v>
      </c>
      <c r="G33" s="102" t="n">
        <f aca="false">IF(COUNT(INDEX(IF_ProgGWyr_Luna,1,G$7),INDEX(IF_ProgGWyr_Sol,1,G$7),INDEX(IF_ProgGWyr_Astra,1,G$7))=3,INDEX(IF_ProgGWyr_Luna,1,G$7)+INDEX(IF_ProgGWyr_Sol,1,G$7)+INDEX(IF_ProgGWyr_Astra,1,G$7),"SLO 不可達")</f>
        <v>0.0853804375916351</v>
      </c>
      <c r="H33" s="102" t="n">
        <f aca="false">IF(COUNT(INDEX(IF_ProgGWyr_Luna,1,H$7),INDEX(IF_ProgGWyr_Sol,1,H$7),INDEX(IF_ProgGWyr_Astra,1,H$7))=3,INDEX(IF_ProgGWyr_Luna,1,H$7)+INDEX(IF_ProgGWyr_Sol,1,H$7)+INDEX(IF_ProgGWyr_Astra,1,H$7),"SLO 不可達")</f>
        <v>0.0853804375916351</v>
      </c>
      <c r="I33" s="102" t="n">
        <f aca="false">IF(COUNT(INDEX(IF_ProgGWyr_Luna,1,I$7),INDEX(IF_ProgGWyr_Sol,1,I$7),INDEX(IF_ProgGWyr_Astra,1,I$7))=3,INDEX(IF_ProgGWyr_Luna,1,I$7)+INDEX(IF_ProgGWyr_Sol,1,I$7)+INDEX(IF_ProgGWyr_Astra,1,I$7),"SLO 不可達")</f>
        <v>0.0791426774667742</v>
      </c>
      <c r="J33" s="102" t="n">
        <f aca="false">IF(COUNT(INDEX(IF_ProgGWyr_Luna,1,J$7),INDEX(IF_ProgGWyr_Sol,1,J$7),INDEX(IF_ProgGWyr_Astra,1,J$7))=3,INDEX(IF_ProgGWyr_Luna,1,J$7)+INDEX(IF_ProgGWyr_Sol,1,J$7)+INDEX(IF_ProgGWyr_Astra,1,J$7),"SLO 不可達")</f>
        <v>0.0791426774667742</v>
      </c>
      <c r="K33" s="102" t="n">
        <f aca="false">IF(COUNT(INDEX(IF_ProgGWyr_Luna,1,K$7),INDEX(IF_ProgGWyr_Sol,1,K$7),INDEX(IF_ProgGWyr_Astra,1,K$7))=3,INDEX(IF_ProgGWyr_Luna,1,K$7)+INDEX(IF_ProgGWyr_Sol,1,K$7)+INDEX(IF_ProgGWyr_Astra,1,K$7),"SLO 不可達")</f>
        <v>0.0791426774667742</v>
      </c>
      <c r="L33" s="102" t="n">
        <f aca="false">IF(COUNT(INDEX(IF_ProgGWyr_Luna,1,L$7),INDEX(IF_ProgGWyr_Sol,1,L$7),INDEX(IF_ProgGWyr_Astra,1,L$7))=3,INDEX(IF_ProgGWyr_Luna,1,L$7)+INDEX(IF_ProgGWyr_Sol,1,L$7)+INDEX(IF_ProgGWyr_Astra,1,L$7),"SLO 不可達")</f>
        <v>0.0486433041379322</v>
      </c>
      <c r="M33" s="102" t="n">
        <f aca="false">IF(COUNT(INDEX(IF_ProgGWyr_Luna,1,M$7),INDEX(IF_ProgGWyr_Sol,1,M$7),INDEX(IF_ProgGWyr_Astra,1,M$7))=3,INDEX(IF_ProgGWyr_Luna,1,M$7)+INDEX(IF_ProgGWyr_Sol,1,M$7)+INDEX(IF_ProgGWyr_Astra,1,M$7),"SLO 不可達")</f>
        <v>0.0486433041379322</v>
      </c>
      <c r="N33" s="102" t="n">
        <f aca="false">IF(COUNT(INDEX(IF_ProgGWyr_Luna,1,N$7),INDEX(IF_ProgGWyr_Sol,1,N$7),INDEX(IF_ProgGWyr_Astra,1,N$7))=3,INDEX(IF_ProgGWyr_Luna,1,N$7)+INDEX(IF_ProgGWyr_Sol,1,N$7)+INDEX(IF_ProgGWyr_Astra,1,N$7),"SLO 不可達")</f>
        <v>0.0486433041379322</v>
      </c>
      <c r="O33" s="102" t="n">
        <f aca="false">IF(COUNT(INDEX(IF_ProgGWyr_Luna,1,O$7),INDEX(IF_ProgGWyr_Sol,1,O$7),INDEX(IF_ProgGWyr_Astra,1,O$7))=3,INDEX(IF_ProgGWyr_Luna,1,O$7)+INDEX(IF_ProgGWyr_Sol,1,O$7)+INDEX(IF_ProgGWyr_Astra,1,O$7),"SLO 不可達")</f>
        <v>0.0329903486184271</v>
      </c>
      <c r="P33" s="102" t="n">
        <f aca="false">IF(COUNT(INDEX(IF_ProgGWyr_Luna,1,P$7),INDEX(IF_ProgGWyr_Sol,1,P$7),INDEX(IF_ProgGWyr_Astra,1,P$7))=3,INDEX(IF_ProgGWyr_Luna,1,P$7)+INDEX(IF_ProgGWyr_Sol,1,P$7)+INDEX(IF_ProgGWyr_Astra,1,P$7),"SLO 不可達")</f>
        <v>0.0329903486184271</v>
      </c>
      <c r="Q33" s="102" t="n">
        <f aca="false">IF(COUNT(INDEX(IF_ProgGWyr_Luna,1,Q$7),INDEX(IF_ProgGWyr_Sol,1,Q$7),INDEX(IF_ProgGWyr_Astra,1,Q$7))=3,INDEX(IF_ProgGWyr_Luna,1,Q$7)+INDEX(IF_ProgGWyr_Sol,1,Q$7)+INDEX(IF_ProgGWyr_Astra,1,Q$7),"SLO 不可達")</f>
        <v>0.0329903486184271</v>
      </c>
      <c r="R33" s="74" t="s">
        <v>1004</v>
      </c>
    </row>
    <row r="34" customFormat="false" ht="29.85" hidden="false" customHeight="false" outlineLevel="0" collapsed="false">
      <c r="A34" s="5" t="s">
        <v>1999</v>
      </c>
      <c r="B34" s="61" t="s">
        <v>345</v>
      </c>
      <c r="C34" s="88" t="n">
        <f aca="false">IF(ISNUMBER(C33),C13/C33,C33)</f>
        <v>3.07484102812514</v>
      </c>
      <c r="D34" s="88" t="n">
        <f aca="false">IF(ISNUMBER(D33),D13/D33,D33)</f>
        <v>3.07484102812514</v>
      </c>
      <c r="E34" s="88" t="n">
        <f aca="false">IF(ISNUMBER(E33),E13/E33,E33)</f>
        <v>3.07484102812514</v>
      </c>
      <c r="F34" s="88" t="n">
        <f aca="false">IF(ISNUMBER(F33),F13/F33,F33)</f>
        <v>6.91024802217462</v>
      </c>
      <c r="G34" s="88" t="n">
        <f aca="false">IF(ISNUMBER(G33),G13/G33,G33)</f>
        <v>6.91024802217462</v>
      </c>
      <c r="H34" s="88" t="n">
        <f aca="false">IF(ISNUMBER(H33),H13/H33,H33)</f>
        <v>6.91024802217462</v>
      </c>
      <c r="I34" s="88" t="n">
        <f aca="false">IF(ISNUMBER(I33),I13/I33,I33)</f>
        <v>7.45489057086418</v>
      </c>
      <c r="J34" s="88" t="n">
        <f aca="false">IF(ISNUMBER(J33),J13/J33,J33)</f>
        <v>7.45489057086418</v>
      </c>
      <c r="K34" s="88" t="n">
        <f aca="false">IF(ISNUMBER(K33),K13/K33,K33)</f>
        <v>7.45489057086418</v>
      </c>
      <c r="L34" s="88" t="n">
        <f aca="false">IF(ISNUMBER(L33),L13/L33,L33)</f>
        <v>12.1291102743968</v>
      </c>
      <c r="M34" s="88" t="n">
        <f aca="false">IF(ISNUMBER(M33),M13/M33,M33)</f>
        <v>12.1291102743968</v>
      </c>
      <c r="N34" s="88" t="n">
        <f aca="false">IF(ISNUMBER(N33),N13/N33,N33)</f>
        <v>12.1291102743968</v>
      </c>
      <c r="O34" s="88" t="n">
        <f aca="false">IF(ISNUMBER(O33),O13/O33,O33)</f>
        <v>17.8840183480344</v>
      </c>
      <c r="P34" s="88" t="n">
        <f aca="false">IF(ISNUMBER(P33),P13/P33,P33)</f>
        <v>17.8840183480344</v>
      </c>
      <c r="Q34" s="88" t="n">
        <f aca="false">IF(ISNUMBER(Q33),Q13/Q33,Q33)</f>
        <v>17.8840183480344</v>
      </c>
      <c r="R34" s="74" t="s">
        <v>1005</v>
      </c>
    </row>
    <row r="35" customFormat="false" ht="15" hidden="false" customHeight="false" outlineLevel="0" collapsed="false">
      <c r="A35" s="74" t="s">
        <v>2000</v>
      </c>
    </row>
    <row r="37" customFormat="false" ht="15" hidden="false" customHeight="false" outlineLevel="0" collapsed="false">
      <c r="A37" s="76" t="s">
        <v>2001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</row>
    <row r="38" customFormat="false" ht="15" hidden="false" customHeight="false" outlineLevel="0" collapsed="false">
      <c r="A38" s="6" t="s">
        <v>2002</v>
      </c>
      <c r="B38" s="61" t="s">
        <v>1980</v>
      </c>
      <c r="C38" s="105" t="n">
        <f aca="false">IF(ISNUMBER(INDEX(IF_TokGW_Luna,1,C$7)),IF(INDEX(IF_TokGW_Luna,1,C$7)&gt;0,1,0),0)</f>
        <v>1</v>
      </c>
      <c r="D38" s="105" t="n">
        <f aca="false">IF(ISNUMBER(INDEX(IF_TokGW_Luna,1,D$7)),IF(INDEX(IF_TokGW_Luna,1,D$7)&gt;0,1,0),0)</f>
        <v>1</v>
      </c>
      <c r="E38" s="105" t="n">
        <f aca="false">IF(ISNUMBER(INDEX(IF_TokGW_Luna,1,E$7)),IF(INDEX(IF_TokGW_Luna,1,E$7)&gt;0,1,0),0)</f>
        <v>1</v>
      </c>
      <c r="F38" s="105" t="n">
        <f aca="false">IF(ISNUMBER(INDEX(IF_TokGW_Luna,1,F$7)),IF(INDEX(IF_TokGW_Luna,1,F$7)&gt;0,1,0),0)</f>
        <v>1</v>
      </c>
      <c r="G38" s="105" t="n">
        <f aca="false">IF(ISNUMBER(INDEX(IF_TokGW_Luna,1,G$7)),IF(INDEX(IF_TokGW_Luna,1,G$7)&gt;0,1,0),0)</f>
        <v>1</v>
      </c>
      <c r="H38" s="105" t="n">
        <f aca="false">IF(ISNUMBER(INDEX(IF_TokGW_Luna,1,H$7)),IF(INDEX(IF_TokGW_Luna,1,H$7)&gt;0,1,0),0)</f>
        <v>1</v>
      </c>
      <c r="I38" s="105" t="n">
        <f aca="false">IF(ISNUMBER(INDEX(IF_TokGW_Luna,1,I$7)),IF(INDEX(IF_TokGW_Luna,1,I$7)&gt;0,1,0),0)</f>
        <v>1</v>
      </c>
      <c r="J38" s="105" t="n">
        <f aca="false">IF(ISNUMBER(INDEX(IF_TokGW_Luna,1,J$7)),IF(INDEX(IF_TokGW_Luna,1,J$7)&gt;0,1,0),0)</f>
        <v>1</v>
      </c>
      <c r="K38" s="105" t="n">
        <f aca="false">IF(ISNUMBER(INDEX(IF_TokGW_Luna,1,K$7)),IF(INDEX(IF_TokGW_Luna,1,K$7)&gt;0,1,0),0)</f>
        <v>1</v>
      </c>
      <c r="L38" s="105" t="n">
        <f aca="false">IF(ISNUMBER(INDEX(IF_TokGW_Luna,1,L$7)),IF(INDEX(IF_TokGW_Luna,1,L$7)&gt;0,1,0),0)</f>
        <v>1</v>
      </c>
      <c r="M38" s="105" t="n">
        <f aca="false">IF(ISNUMBER(INDEX(IF_TokGW_Luna,1,M$7)),IF(INDEX(IF_TokGW_Luna,1,M$7)&gt;0,1,0),0)</f>
        <v>1</v>
      </c>
      <c r="N38" s="105" t="n">
        <f aca="false">IF(ISNUMBER(INDEX(IF_TokGW_Luna,1,N$7)),IF(INDEX(IF_TokGW_Luna,1,N$7)&gt;0,1,0),0)</f>
        <v>1</v>
      </c>
      <c r="O38" s="105" t="n">
        <f aca="false">IF(ISNUMBER(INDEX(IF_TokGW_Luna,1,O$7)),IF(INDEX(IF_TokGW_Luna,1,O$7)&gt;0,1,0),0)</f>
        <v>1</v>
      </c>
      <c r="P38" s="105" t="n">
        <f aca="false">IF(ISNUMBER(INDEX(IF_TokGW_Luna,1,P$7)),IF(INDEX(IF_TokGW_Luna,1,P$7)&gt;0,1,0),0)</f>
        <v>1</v>
      </c>
      <c r="Q38" s="105" t="n">
        <f aca="false">IF(ISNUMBER(INDEX(IF_TokGW_Luna,1,Q$7)),IF(INDEX(IF_TokGW_Luna,1,Q$7)&gt;0,1,0),0)</f>
        <v>1</v>
      </c>
    </row>
    <row r="39" customFormat="false" ht="15" hidden="false" customHeight="false" outlineLevel="0" collapsed="false">
      <c r="A39" s="6" t="s">
        <v>2003</v>
      </c>
      <c r="B39" s="61" t="s">
        <v>1980</v>
      </c>
      <c r="C39" s="105" t="n">
        <f aca="false">IF(ISNUMBER(INDEX(IF_TokGW_Sol,1,C$7)),IF(INDEX(IF_TokGW_Sol,1,C$7)&gt;0,1,0),0)</f>
        <v>1</v>
      </c>
      <c r="D39" s="105" t="n">
        <f aca="false">IF(ISNUMBER(INDEX(IF_TokGW_Sol,1,D$7)),IF(INDEX(IF_TokGW_Sol,1,D$7)&gt;0,1,0),0)</f>
        <v>1</v>
      </c>
      <c r="E39" s="105" t="n">
        <f aca="false">IF(ISNUMBER(INDEX(IF_TokGW_Sol,1,E$7)),IF(INDEX(IF_TokGW_Sol,1,E$7)&gt;0,1,0),0)</f>
        <v>1</v>
      </c>
      <c r="F39" s="105" t="n">
        <f aca="false">IF(ISNUMBER(INDEX(IF_TokGW_Sol,1,F$7)),IF(INDEX(IF_TokGW_Sol,1,F$7)&gt;0,1,0),0)</f>
        <v>1</v>
      </c>
      <c r="G39" s="105" t="n">
        <f aca="false">IF(ISNUMBER(INDEX(IF_TokGW_Sol,1,G$7)),IF(INDEX(IF_TokGW_Sol,1,G$7)&gt;0,1,0),0)</f>
        <v>1</v>
      </c>
      <c r="H39" s="105" t="n">
        <f aca="false">IF(ISNUMBER(INDEX(IF_TokGW_Sol,1,H$7)),IF(INDEX(IF_TokGW_Sol,1,H$7)&gt;0,1,0),0)</f>
        <v>1</v>
      </c>
      <c r="I39" s="105" t="n">
        <f aca="false">IF(ISNUMBER(INDEX(IF_TokGW_Sol,1,I$7)),IF(INDEX(IF_TokGW_Sol,1,I$7)&gt;0,1,0),0)</f>
        <v>1</v>
      </c>
      <c r="J39" s="105" t="n">
        <f aca="false">IF(ISNUMBER(INDEX(IF_TokGW_Sol,1,J$7)),IF(INDEX(IF_TokGW_Sol,1,J$7)&gt;0,1,0),0)</f>
        <v>1</v>
      </c>
      <c r="K39" s="105" t="n">
        <f aca="false">IF(ISNUMBER(INDEX(IF_TokGW_Sol,1,K$7)),IF(INDEX(IF_TokGW_Sol,1,K$7)&gt;0,1,0),0)</f>
        <v>1</v>
      </c>
      <c r="L39" s="105" t="n">
        <f aca="false">IF(ISNUMBER(INDEX(IF_TokGW_Sol,1,L$7)),IF(INDEX(IF_TokGW_Sol,1,L$7)&gt;0,1,0),0)</f>
        <v>1</v>
      </c>
      <c r="M39" s="105" t="n">
        <f aca="false">IF(ISNUMBER(INDEX(IF_TokGW_Sol,1,M$7)),IF(INDEX(IF_TokGW_Sol,1,M$7)&gt;0,1,0),0)</f>
        <v>1</v>
      </c>
      <c r="N39" s="105" t="n">
        <f aca="false">IF(ISNUMBER(INDEX(IF_TokGW_Sol,1,N$7)),IF(INDEX(IF_TokGW_Sol,1,N$7)&gt;0,1,0),0)</f>
        <v>1</v>
      </c>
      <c r="O39" s="105" t="n">
        <f aca="false">IF(ISNUMBER(INDEX(IF_TokGW_Sol,1,O$7)),IF(INDEX(IF_TokGW_Sol,1,O$7)&gt;0,1,0),0)</f>
        <v>1</v>
      </c>
      <c r="P39" s="105" t="n">
        <f aca="false">IF(ISNUMBER(INDEX(IF_TokGW_Sol,1,P$7)),IF(INDEX(IF_TokGW_Sol,1,P$7)&gt;0,1,0),0)</f>
        <v>1</v>
      </c>
      <c r="Q39" s="105" t="n">
        <f aca="false">IF(ISNUMBER(INDEX(IF_TokGW_Sol,1,Q$7)),IF(INDEX(IF_TokGW_Sol,1,Q$7)&gt;0,1,0),0)</f>
        <v>1</v>
      </c>
    </row>
    <row r="40" customFormat="false" ht="15" hidden="false" customHeight="false" outlineLevel="0" collapsed="false">
      <c r="A40" s="6" t="s">
        <v>2004</v>
      </c>
      <c r="B40" s="61" t="s">
        <v>1980</v>
      </c>
      <c r="C40" s="105" t="n">
        <f aca="false">IF(ISNUMBER(INDEX(IF_TokGW_Astra,1,C$7)),IF(INDEX(IF_TokGW_Astra,1,C$7)&gt;0,1,0),0)</f>
        <v>1</v>
      </c>
      <c r="D40" s="105" t="n">
        <f aca="false">IF(ISNUMBER(INDEX(IF_TokGW_Astra,1,D$7)),IF(INDEX(IF_TokGW_Astra,1,D$7)&gt;0,1,0),0)</f>
        <v>1</v>
      </c>
      <c r="E40" s="105" t="n">
        <f aca="false">IF(ISNUMBER(INDEX(IF_TokGW_Astra,1,E$7)),IF(INDEX(IF_TokGW_Astra,1,E$7)&gt;0,1,0),0)</f>
        <v>1</v>
      </c>
      <c r="F40" s="105" t="n">
        <f aca="false">IF(ISNUMBER(INDEX(IF_TokGW_Astra,1,F$7)),IF(INDEX(IF_TokGW_Astra,1,F$7)&gt;0,1,0),0)</f>
        <v>1</v>
      </c>
      <c r="G40" s="105" t="n">
        <f aca="false">IF(ISNUMBER(INDEX(IF_TokGW_Astra,1,G$7)),IF(INDEX(IF_TokGW_Astra,1,G$7)&gt;0,1,0),0)</f>
        <v>1</v>
      </c>
      <c r="H40" s="105" t="n">
        <f aca="false">IF(ISNUMBER(INDEX(IF_TokGW_Astra,1,H$7)),IF(INDEX(IF_TokGW_Astra,1,H$7)&gt;0,1,0),0)</f>
        <v>1</v>
      </c>
      <c r="I40" s="105" t="n">
        <f aca="false">IF(ISNUMBER(INDEX(IF_TokGW_Astra,1,I$7)),IF(INDEX(IF_TokGW_Astra,1,I$7)&gt;0,1,0),0)</f>
        <v>1</v>
      </c>
      <c r="J40" s="105" t="n">
        <f aca="false">IF(ISNUMBER(INDEX(IF_TokGW_Astra,1,J$7)),IF(INDEX(IF_TokGW_Astra,1,J$7)&gt;0,1,0),0)</f>
        <v>1</v>
      </c>
      <c r="K40" s="105" t="n">
        <f aca="false">IF(ISNUMBER(INDEX(IF_TokGW_Astra,1,K$7)),IF(INDEX(IF_TokGW_Astra,1,K$7)&gt;0,1,0),0)</f>
        <v>1</v>
      </c>
      <c r="L40" s="105" t="n">
        <f aca="false">IF(ISNUMBER(INDEX(IF_TokGW_Astra,1,L$7)),IF(INDEX(IF_TokGW_Astra,1,L$7)&gt;0,1,0),0)</f>
        <v>1</v>
      </c>
      <c r="M40" s="105" t="n">
        <f aca="false">IF(ISNUMBER(INDEX(IF_TokGW_Astra,1,M$7)),IF(INDEX(IF_TokGW_Astra,1,M$7)&gt;0,1,0),0)</f>
        <v>1</v>
      </c>
      <c r="N40" s="105" t="n">
        <f aca="false">IF(ISNUMBER(INDEX(IF_TokGW_Astra,1,N$7)),IF(INDEX(IF_TokGW_Astra,1,N$7)&gt;0,1,0),0)</f>
        <v>1</v>
      </c>
      <c r="O40" s="105" t="n">
        <f aca="false">IF(ISNUMBER(INDEX(IF_TokGW_Astra,1,O$7)),IF(INDEX(IF_TokGW_Astra,1,O$7)&gt;0,1,0),0)</f>
        <v>1</v>
      </c>
      <c r="P40" s="105" t="n">
        <f aca="false">IF(ISNUMBER(INDEX(IF_TokGW_Astra,1,P$7)),IF(INDEX(IF_TokGW_Astra,1,P$7)&gt;0,1,0),0)</f>
        <v>1</v>
      </c>
      <c r="Q40" s="105" t="n">
        <f aca="false">IF(ISNUMBER(INDEX(IF_TokGW_Astra,1,Q$7)),IF(INDEX(IF_TokGW_Astra,1,Q$7)&gt;0,1,0),0)</f>
        <v>1</v>
      </c>
    </row>
    <row r="41" customFormat="false" ht="15" hidden="false" customHeight="false" outlineLevel="0" collapsed="false">
      <c r="A41" s="5" t="s">
        <v>2005</v>
      </c>
      <c r="B41" s="62" t="s">
        <v>113</v>
      </c>
      <c r="C41" s="103" t="n">
        <f aca="false">INDEX(B4_MixPaid,1,1)*C38+INDEX(B4_MixPaid,1,2)*C39+INDEX(B4_MixPaid,1,3)*C40</f>
        <v>1</v>
      </c>
      <c r="D41" s="103" t="n">
        <f aca="false">INDEX(B4_MixPaid,1,1)*D38+INDEX(B4_MixPaid,1,2)*D39+INDEX(B4_MixPaid,1,3)*D40</f>
        <v>1</v>
      </c>
      <c r="E41" s="103" t="n">
        <f aca="false">INDEX(B4_MixPaid,1,1)*E38+INDEX(B4_MixPaid,1,2)*E39+INDEX(B4_MixPaid,1,3)*E40</f>
        <v>1</v>
      </c>
      <c r="F41" s="103" t="n">
        <f aca="false">INDEX(B4_MixPaid,1,1)*F38+INDEX(B4_MixPaid,1,2)*F39+INDEX(B4_MixPaid,1,3)*F40</f>
        <v>1</v>
      </c>
      <c r="G41" s="103" t="n">
        <f aca="false">INDEX(B4_MixPaid,1,1)*G38+INDEX(B4_MixPaid,1,2)*G39+INDEX(B4_MixPaid,1,3)*G40</f>
        <v>1</v>
      </c>
      <c r="H41" s="103" t="n">
        <f aca="false">INDEX(B4_MixPaid,1,1)*H38+INDEX(B4_MixPaid,1,2)*H39+INDEX(B4_MixPaid,1,3)*H40</f>
        <v>1</v>
      </c>
      <c r="I41" s="103" t="n">
        <f aca="false">INDEX(B4_MixPaid,1,1)*I38+INDEX(B4_MixPaid,1,2)*I39+INDEX(B4_MixPaid,1,3)*I40</f>
        <v>1</v>
      </c>
      <c r="J41" s="103" t="n">
        <f aca="false">INDEX(B4_MixPaid,1,1)*J38+INDEX(B4_MixPaid,1,2)*J39+INDEX(B4_MixPaid,1,3)*J40</f>
        <v>1</v>
      </c>
      <c r="K41" s="103" t="n">
        <f aca="false">INDEX(B4_MixPaid,1,1)*K38+INDEX(B4_MixPaid,1,2)*K39+INDEX(B4_MixPaid,1,3)*K40</f>
        <v>1</v>
      </c>
      <c r="L41" s="103" t="n">
        <f aca="false">INDEX(B4_MixPaid,1,1)*L38+INDEX(B4_MixPaid,1,2)*L39+INDEX(B4_MixPaid,1,3)*L40</f>
        <v>1</v>
      </c>
      <c r="M41" s="103" t="n">
        <f aca="false">INDEX(B4_MixPaid,1,1)*M38+INDEX(B4_MixPaid,1,2)*M39+INDEX(B4_MixPaid,1,3)*M40</f>
        <v>1</v>
      </c>
      <c r="N41" s="103" t="n">
        <f aca="false">INDEX(B4_MixPaid,1,1)*N38+INDEX(B4_MixPaid,1,2)*N39+INDEX(B4_MixPaid,1,3)*N40</f>
        <v>1</v>
      </c>
      <c r="O41" s="103" t="n">
        <f aca="false">INDEX(B4_MixPaid,1,1)*O38+INDEX(B4_MixPaid,1,2)*O39+INDEX(B4_MixPaid,1,3)*O40</f>
        <v>1</v>
      </c>
      <c r="P41" s="103" t="n">
        <f aca="false">INDEX(B4_MixPaid,1,1)*P38+INDEX(B4_MixPaid,1,2)*P39+INDEX(B4_MixPaid,1,3)*P40</f>
        <v>1</v>
      </c>
      <c r="Q41" s="103" t="n">
        <f aca="false">INDEX(B4_MixPaid,1,1)*Q38+INDEX(B4_MixPaid,1,2)*Q39+INDEX(B4_MixPaid,1,3)*Q40</f>
        <v>1</v>
      </c>
    </row>
    <row r="42" customFormat="false" ht="15" hidden="false" customHeight="false" outlineLevel="0" collapsed="false">
      <c r="A42" s="5" t="s">
        <v>2006</v>
      </c>
      <c r="B42" s="62" t="s">
        <v>113</v>
      </c>
      <c r="C42" s="103" t="n">
        <f aca="false">INDEX(B4_MixFree,1,1)*C38+INDEX(B4_MixFree,1,2)*C39+INDEX(B4_MixFree,1,3)*C40</f>
        <v>1</v>
      </c>
      <c r="D42" s="103" t="n">
        <f aca="false">INDEX(B4_MixFree,1,1)*D38+INDEX(B4_MixFree,1,2)*D39+INDEX(B4_MixFree,1,3)*D40</f>
        <v>1</v>
      </c>
      <c r="E42" s="103" t="n">
        <f aca="false">INDEX(B4_MixFree,1,1)*E38+INDEX(B4_MixFree,1,2)*E39+INDEX(B4_MixFree,1,3)*E40</f>
        <v>1</v>
      </c>
      <c r="F42" s="103" t="n">
        <f aca="false">INDEX(B4_MixFree,1,1)*F38+INDEX(B4_MixFree,1,2)*F39+INDEX(B4_MixFree,1,3)*F40</f>
        <v>1</v>
      </c>
      <c r="G42" s="103" t="n">
        <f aca="false">INDEX(B4_MixFree,1,1)*G38+INDEX(B4_MixFree,1,2)*G39+INDEX(B4_MixFree,1,3)*G40</f>
        <v>1</v>
      </c>
      <c r="H42" s="103" t="n">
        <f aca="false">INDEX(B4_MixFree,1,1)*H38+INDEX(B4_MixFree,1,2)*H39+INDEX(B4_MixFree,1,3)*H40</f>
        <v>1</v>
      </c>
      <c r="I42" s="103" t="n">
        <f aca="false">INDEX(B4_MixFree,1,1)*I38+INDEX(B4_MixFree,1,2)*I39+INDEX(B4_MixFree,1,3)*I40</f>
        <v>1</v>
      </c>
      <c r="J42" s="103" t="n">
        <f aca="false">INDEX(B4_MixFree,1,1)*J38+INDEX(B4_MixFree,1,2)*J39+INDEX(B4_MixFree,1,3)*J40</f>
        <v>1</v>
      </c>
      <c r="K42" s="103" t="n">
        <f aca="false">INDEX(B4_MixFree,1,1)*K38+INDEX(B4_MixFree,1,2)*K39+INDEX(B4_MixFree,1,3)*K40</f>
        <v>1</v>
      </c>
      <c r="L42" s="103" t="n">
        <f aca="false">INDEX(B4_MixFree,1,1)*L38+INDEX(B4_MixFree,1,2)*L39+INDEX(B4_MixFree,1,3)*L40</f>
        <v>1</v>
      </c>
      <c r="M42" s="103" t="n">
        <f aca="false">INDEX(B4_MixFree,1,1)*M38+INDEX(B4_MixFree,1,2)*M39+INDEX(B4_MixFree,1,3)*M40</f>
        <v>1</v>
      </c>
      <c r="N42" s="103" t="n">
        <f aca="false">INDEX(B4_MixFree,1,1)*N38+INDEX(B4_MixFree,1,2)*N39+INDEX(B4_MixFree,1,3)*N40</f>
        <v>1</v>
      </c>
      <c r="O42" s="103" t="n">
        <f aca="false">INDEX(B4_MixFree,1,1)*O38+INDEX(B4_MixFree,1,2)*O39+INDEX(B4_MixFree,1,3)*O40</f>
        <v>1</v>
      </c>
      <c r="P42" s="103" t="n">
        <f aca="false">INDEX(B4_MixFree,1,1)*P38+INDEX(B4_MixFree,1,2)*P39+INDEX(B4_MixFree,1,3)*P40</f>
        <v>1</v>
      </c>
      <c r="Q42" s="103" t="n">
        <f aca="false">INDEX(B4_MixFree,1,1)*Q38+INDEX(B4_MixFree,1,2)*Q39+INDEX(B4_MixFree,1,3)*Q40</f>
        <v>1</v>
      </c>
    </row>
    <row r="43" customFormat="false" ht="15" hidden="false" customHeight="false" outlineLevel="0" collapsed="false">
      <c r="A43" s="5" t="s">
        <v>2007</v>
      </c>
      <c r="B43" s="61" t="s">
        <v>1636</v>
      </c>
      <c r="C43" s="61" t="str">
        <f aca="false">IF(C38*C39*C40=1,"無",TRIM(IF(C38=0,"Luna ","")&amp;IF(C39=0,"Sol ","")&amp;IF(C40=0,"Astra","")))</f>
        <v>無</v>
      </c>
      <c r="D43" s="61" t="str">
        <f aca="false">IF(D38*D39*D40=1,"無",TRIM(IF(D38=0,"Luna ","")&amp;IF(D39=0,"Sol ","")&amp;IF(D40=0,"Astra","")))</f>
        <v>無</v>
      </c>
      <c r="E43" s="61" t="str">
        <f aca="false">IF(E38*E39*E40=1,"無",TRIM(IF(E38=0,"Luna ","")&amp;IF(E39=0,"Sol ","")&amp;IF(E40=0,"Astra","")))</f>
        <v>無</v>
      </c>
      <c r="F43" s="61" t="str">
        <f aca="false">IF(F38*F39*F40=1,"無",TRIM(IF(F38=0,"Luna ","")&amp;IF(F39=0,"Sol ","")&amp;IF(F40=0,"Astra","")))</f>
        <v>無</v>
      </c>
      <c r="G43" s="61" t="str">
        <f aca="false">IF(G38*G39*G40=1,"無",TRIM(IF(G38=0,"Luna ","")&amp;IF(G39=0,"Sol ","")&amp;IF(G40=0,"Astra","")))</f>
        <v>無</v>
      </c>
      <c r="H43" s="61" t="str">
        <f aca="false">IF(H38*H39*H40=1,"無",TRIM(IF(H38=0,"Luna ","")&amp;IF(H39=0,"Sol ","")&amp;IF(H40=0,"Astra","")))</f>
        <v>無</v>
      </c>
      <c r="I43" s="61" t="str">
        <f aca="false">IF(I38*I39*I40=1,"無",TRIM(IF(I38=0,"Luna ","")&amp;IF(I39=0,"Sol ","")&amp;IF(I40=0,"Astra","")))</f>
        <v>無</v>
      </c>
      <c r="J43" s="61" t="str">
        <f aca="false">IF(J38*J39*J40=1,"無",TRIM(IF(J38=0,"Luna ","")&amp;IF(J39=0,"Sol ","")&amp;IF(J40=0,"Astra","")))</f>
        <v>無</v>
      </c>
      <c r="K43" s="61" t="str">
        <f aca="false">IF(K38*K39*K40=1,"無",TRIM(IF(K38=0,"Luna ","")&amp;IF(K39=0,"Sol ","")&amp;IF(K40=0,"Astra","")))</f>
        <v>無</v>
      </c>
      <c r="L43" s="61" t="str">
        <f aca="false">IF(L38*L39*L40=1,"無",TRIM(IF(L38=0,"Luna ","")&amp;IF(L39=0,"Sol ","")&amp;IF(L40=0,"Astra","")))</f>
        <v>無</v>
      </c>
      <c r="M43" s="61" t="str">
        <f aca="false">IF(M38*M39*M40=1,"無",TRIM(IF(M38=0,"Luna ","")&amp;IF(M39=0,"Sol ","")&amp;IF(M40=0,"Astra","")))</f>
        <v>無</v>
      </c>
      <c r="N43" s="61" t="str">
        <f aca="false">IF(N38*N39*N40=1,"無",TRIM(IF(N38=0,"Luna ","")&amp;IF(N39=0,"Sol ","")&amp;IF(N40=0,"Astra","")))</f>
        <v>無</v>
      </c>
      <c r="O43" s="61" t="str">
        <f aca="false">IF(O38*O39*O40=1,"無",TRIM(IF(O38=0,"Luna ","")&amp;IF(O39=0,"Sol ","")&amp;IF(O40=0,"Astra","")))</f>
        <v>無</v>
      </c>
      <c r="P43" s="61" t="str">
        <f aca="false">IF(P38*P39*P40=1,"無",TRIM(IF(P38=0,"Luna ","")&amp;IF(P39=0,"Sol ","")&amp;IF(P40=0,"Astra","")))</f>
        <v>無</v>
      </c>
      <c r="Q43" s="61" t="str">
        <f aca="false">IF(Q38*Q39*Q40=1,"無",TRIM(IF(Q38=0,"Luna ","")&amp;IF(Q39=0,"Sol ","")&amp;IF(Q40=0,"Astra","")))</f>
        <v>無</v>
      </c>
    </row>
    <row r="44" customFormat="false" ht="15" hidden="false" customHeight="false" outlineLevel="0" collapsed="false">
      <c r="A44" s="6" t="s">
        <v>2008</v>
      </c>
      <c r="B44" s="62" t="s">
        <v>113</v>
      </c>
      <c r="C44" s="103" t="n">
        <f aca="false">IF(C41&gt;0,INDEX(B4_MixPaid,1,1)*C38/C41,0)</f>
        <v>0.4</v>
      </c>
      <c r="D44" s="103" t="n">
        <f aca="false">IF(D41&gt;0,INDEX(B4_MixPaid,1,1)*D38/D41,0)</f>
        <v>0.4</v>
      </c>
      <c r="E44" s="103" t="n">
        <f aca="false">IF(E41&gt;0,INDEX(B4_MixPaid,1,1)*E38/E41,0)</f>
        <v>0.4</v>
      </c>
      <c r="F44" s="103" t="n">
        <f aca="false">IF(F41&gt;0,INDEX(B4_MixPaid,1,1)*F38/F41,0)</f>
        <v>0.4</v>
      </c>
      <c r="G44" s="103" t="n">
        <f aca="false">IF(G41&gt;0,INDEX(B4_MixPaid,1,1)*G38/G41,0)</f>
        <v>0.4</v>
      </c>
      <c r="H44" s="103" t="n">
        <f aca="false">IF(H41&gt;0,INDEX(B4_MixPaid,1,1)*H38/H41,0)</f>
        <v>0.4</v>
      </c>
      <c r="I44" s="103" t="n">
        <f aca="false">IF(I41&gt;0,INDEX(B4_MixPaid,1,1)*I38/I41,0)</f>
        <v>0.4</v>
      </c>
      <c r="J44" s="103" t="n">
        <f aca="false">IF(J41&gt;0,INDEX(B4_MixPaid,1,1)*J38/J41,0)</f>
        <v>0.4</v>
      </c>
      <c r="K44" s="103" t="n">
        <f aca="false">IF(K41&gt;0,INDEX(B4_MixPaid,1,1)*K38/K41,0)</f>
        <v>0.4</v>
      </c>
      <c r="L44" s="103" t="n">
        <f aca="false">IF(L41&gt;0,INDEX(B4_MixPaid,1,1)*L38/L41,0)</f>
        <v>0.4</v>
      </c>
      <c r="M44" s="103" t="n">
        <f aca="false">IF(M41&gt;0,INDEX(B4_MixPaid,1,1)*M38/M41,0)</f>
        <v>0.4</v>
      </c>
      <c r="N44" s="103" t="n">
        <f aca="false">IF(N41&gt;0,INDEX(B4_MixPaid,1,1)*N38/N41,0)</f>
        <v>0.4</v>
      </c>
      <c r="O44" s="103" t="n">
        <f aca="false">IF(O41&gt;0,INDEX(B4_MixPaid,1,1)*O38/O41,0)</f>
        <v>0.4</v>
      </c>
      <c r="P44" s="103" t="n">
        <f aca="false">IF(P41&gt;0,INDEX(B4_MixPaid,1,1)*P38/P41,0)</f>
        <v>0.4</v>
      </c>
      <c r="Q44" s="103" t="n">
        <f aca="false">IF(Q41&gt;0,INDEX(B4_MixPaid,1,1)*Q38/Q41,0)</f>
        <v>0.4</v>
      </c>
    </row>
    <row r="45" customFormat="false" ht="15" hidden="false" customHeight="false" outlineLevel="0" collapsed="false">
      <c r="A45" s="6" t="s">
        <v>2009</v>
      </c>
      <c r="B45" s="62" t="s">
        <v>113</v>
      </c>
      <c r="C45" s="103" t="n">
        <f aca="false">IF(C41&gt;0,INDEX(B4_MixPaid,1,2)*C39/C41,0)</f>
        <v>0.45</v>
      </c>
      <c r="D45" s="103" t="n">
        <f aca="false">IF(D41&gt;0,INDEX(B4_MixPaid,1,2)*D39/D41,0)</f>
        <v>0.45</v>
      </c>
      <c r="E45" s="103" t="n">
        <f aca="false">IF(E41&gt;0,INDEX(B4_MixPaid,1,2)*E39/E41,0)</f>
        <v>0.45</v>
      </c>
      <c r="F45" s="103" t="n">
        <f aca="false">IF(F41&gt;0,INDEX(B4_MixPaid,1,2)*F39/F41,0)</f>
        <v>0.45</v>
      </c>
      <c r="G45" s="103" t="n">
        <f aca="false">IF(G41&gt;0,INDEX(B4_MixPaid,1,2)*G39/G41,0)</f>
        <v>0.45</v>
      </c>
      <c r="H45" s="103" t="n">
        <f aca="false">IF(H41&gt;0,INDEX(B4_MixPaid,1,2)*H39/H41,0)</f>
        <v>0.45</v>
      </c>
      <c r="I45" s="103" t="n">
        <f aca="false">IF(I41&gt;0,INDEX(B4_MixPaid,1,2)*I39/I41,0)</f>
        <v>0.45</v>
      </c>
      <c r="J45" s="103" t="n">
        <f aca="false">IF(J41&gt;0,INDEX(B4_MixPaid,1,2)*J39/J41,0)</f>
        <v>0.45</v>
      </c>
      <c r="K45" s="103" t="n">
        <f aca="false">IF(K41&gt;0,INDEX(B4_MixPaid,1,2)*K39/K41,0)</f>
        <v>0.45</v>
      </c>
      <c r="L45" s="103" t="n">
        <f aca="false">IF(L41&gt;0,INDEX(B4_MixPaid,1,2)*L39/L41,0)</f>
        <v>0.45</v>
      </c>
      <c r="M45" s="103" t="n">
        <f aca="false">IF(M41&gt;0,INDEX(B4_MixPaid,1,2)*M39/M41,0)</f>
        <v>0.45</v>
      </c>
      <c r="N45" s="103" t="n">
        <f aca="false">IF(N41&gt;0,INDEX(B4_MixPaid,1,2)*N39/N41,0)</f>
        <v>0.45</v>
      </c>
      <c r="O45" s="103" t="n">
        <f aca="false">IF(O41&gt;0,INDEX(B4_MixPaid,1,2)*O39/O41,0)</f>
        <v>0.45</v>
      </c>
      <c r="P45" s="103" t="n">
        <f aca="false">IF(P41&gt;0,INDEX(B4_MixPaid,1,2)*P39/P41,0)</f>
        <v>0.45</v>
      </c>
      <c r="Q45" s="103" t="n">
        <f aca="false">IF(Q41&gt;0,INDEX(B4_MixPaid,1,2)*Q39/Q41,0)</f>
        <v>0.45</v>
      </c>
    </row>
    <row r="46" customFormat="false" ht="15" hidden="false" customHeight="false" outlineLevel="0" collapsed="false">
      <c r="A46" s="6" t="s">
        <v>2010</v>
      </c>
      <c r="B46" s="62" t="s">
        <v>113</v>
      </c>
      <c r="C46" s="103" t="n">
        <f aca="false">IF(C41&gt;0,INDEX(B4_MixPaid,1,3)*C40/C41,0)</f>
        <v>0.15</v>
      </c>
      <c r="D46" s="103" t="n">
        <f aca="false">IF(D41&gt;0,INDEX(B4_MixPaid,1,3)*D40/D41,0)</f>
        <v>0.15</v>
      </c>
      <c r="E46" s="103" t="n">
        <f aca="false">IF(E41&gt;0,INDEX(B4_MixPaid,1,3)*E40/E41,0)</f>
        <v>0.15</v>
      </c>
      <c r="F46" s="103" t="n">
        <f aca="false">IF(F41&gt;0,INDEX(B4_MixPaid,1,3)*F40/F41,0)</f>
        <v>0.15</v>
      </c>
      <c r="G46" s="103" t="n">
        <f aca="false">IF(G41&gt;0,INDEX(B4_MixPaid,1,3)*G40/G41,0)</f>
        <v>0.15</v>
      </c>
      <c r="H46" s="103" t="n">
        <f aca="false">IF(H41&gt;0,INDEX(B4_MixPaid,1,3)*H40/H41,0)</f>
        <v>0.15</v>
      </c>
      <c r="I46" s="103" t="n">
        <f aca="false">IF(I41&gt;0,INDEX(B4_MixPaid,1,3)*I40/I41,0)</f>
        <v>0.15</v>
      </c>
      <c r="J46" s="103" t="n">
        <f aca="false">IF(J41&gt;0,INDEX(B4_MixPaid,1,3)*J40/J41,0)</f>
        <v>0.15</v>
      </c>
      <c r="K46" s="103" t="n">
        <f aca="false">IF(K41&gt;0,INDEX(B4_MixPaid,1,3)*K40/K41,0)</f>
        <v>0.15</v>
      </c>
      <c r="L46" s="103" t="n">
        <f aca="false">IF(L41&gt;0,INDEX(B4_MixPaid,1,3)*L40/L41,0)</f>
        <v>0.15</v>
      </c>
      <c r="M46" s="103" t="n">
        <f aca="false">IF(M41&gt;0,INDEX(B4_MixPaid,1,3)*M40/M41,0)</f>
        <v>0.15</v>
      </c>
      <c r="N46" s="103" t="n">
        <f aca="false">IF(N41&gt;0,INDEX(B4_MixPaid,1,3)*N40/N41,0)</f>
        <v>0.15</v>
      </c>
      <c r="O46" s="103" t="n">
        <f aca="false">IF(O41&gt;0,INDEX(B4_MixPaid,1,3)*O40/O41,0)</f>
        <v>0.15</v>
      </c>
      <c r="P46" s="103" t="n">
        <f aca="false">IF(P41&gt;0,INDEX(B4_MixPaid,1,3)*P40/P41,0)</f>
        <v>0.15</v>
      </c>
      <c r="Q46" s="103" t="n">
        <f aca="false">IF(Q41&gt;0,INDEX(B4_MixPaid,1,3)*Q40/Q41,0)</f>
        <v>0.15</v>
      </c>
    </row>
    <row r="47" customFormat="false" ht="15" hidden="false" customHeight="false" outlineLevel="0" collapsed="false">
      <c r="A47" s="6" t="s">
        <v>2011</v>
      </c>
      <c r="B47" s="62" t="s">
        <v>113</v>
      </c>
      <c r="C47" s="103" t="n">
        <f aca="false">IF(C42&gt;0,INDEX(B4_MixFree,1,1)*C38/C42,0)</f>
        <v>0.9</v>
      </c>
      <c r="D47" s="103" t="n">
        <f aca="false">IF(D42&gt;0,INDEX(B4_MixFree,1,1)*D38/D42,0)</f>
        <v>0.9</v>
      </c>
      <c r="E47" s="103" t="n">
        <f aca="false">IF(E42&gt;0,INDEX(B4_MixFree,1,1)*E38/E42,0)</f>
        <v>0.9</v>
      </c>
      <c r="F47" s="103" t="n">
        <f aca="false">IF(F42&gt;0,INDEX(B4_MixFree,1,1)*F38/F42,0)</f>
        <v>0.9</v>
      </c>
      <c r="G47" s="103" t="n">
        <f aca="false">IF(G42&gt;0,INDEX(B4_MixFree,1,1)*G38/G42,0)</f>
        <v>0.9</v>
      </c>
      <c r="H47" s="103" t="n">
        <f aca="false">IF(H42&gt;0,INDEX(B4_MixFree,1,1)*H38/H42,0)</f>
        <v>0.9</v>
      </c>
      <c r="I47" s="103" t="n">
        <f aca="false">IF(I42&gt;0,INDEX(B4_MixFree,1,1)*I38/I42,0)</f>
        <v>0.9</v>
      </c>
      <c r="J47" s="103" t="n">
        <f aca="false">IF(J42&gt;0,INDEX(B4_MixFree,1,1)*J38/J42,0)</f>
        <v>0.9</v>
      </c>
      <c r="K47" s="103" t="n">
        <f aca="false">IF(K42&gt;0,INDEX(B4_MixFree,1,1)*K38/K42,0)</f>
        <v>0.9</v>
      </c>
      <c r="L47" s="103" t="n">
        <f aca="false">IF(L42&gt;0,INDEX(B4_MixFree,1,1)*L38/L42,0)</f>
        <v>0.9</v>
      </c>
      <c r="M47" s="103" t="n">
        <f aca="false">IF(M42&gt;0,INDEX(B4_MixFree,1,1)*M38/M42,0)</f>
        <v>0.9</v>
      </c>
      <c r="N47" s="103" t="n">
        <f aca="false">IF(N42&gt;0,INDEX(B4_MixFree,1,1)*N38/N42,0)</f>
        <v>0.9</v>
      </c>
      <c r="O47" s="103" t="n">
        <f aca="false">IF(O42&gt;0,INDEX(B4_MixFree,1,1)*O38/O42,0)</f>
        <v>0.9</v>
      </c>
      <c r="P47" s="103" t="n">
        <f aca="false">IF(P42&gt;0,INDEX(B4_MixFree,1,1)*P38/P42,0)</f>
        <v>0.9</v>
      </c>
      <c r="Q47" s="103" t="n">
        <f aca="false">IF(Q42&gt;0,INDEX(B4_MixFree,1,1)*Q38/Q42,0)</f>
        <v>0.9</v>
      </c>
    </row>
    <row r="48" customFormat="false" ht="15" hidden="false" customHeight="false" outlineLevel="0" collapsed="false">
      <c r="A48" s="6" t="s">
        <v>2012</v>
      </c>
      <c r="B48" s="62" t="s">
        <v>113</v>
      </c>
      <c r="C48" s="103" t="n">
        <f aca="false">IF(C42&gt;0,INDEX(B4_MixFree,1,2)*C39/C42,0)</f>
        <v>0.1</v>
      </c>
      <c r="D48" s="103" t="n">
        <f aca="false">IF(D42&gt;0,INDEX(B4_MixFree,1,2)*D39/D42,0)</f>
        <v>0.1</v>
      </c>
      <c r="E48" s="103" t="n">
        <f aca="false">IF(E42&gt;0,INDEX(B4_MixFree,1,2)*E39/E42,0)</f>
        <v>0.1</v>
      </c>
      <c r="F48" s="103" t="n">
        <f aca="false">IF(F42&gt;0,INDEX(B4_MixFree,1,2)*F39/F42,0)</f>
        <v>0.1</v>
      </c>
      <c r="G48" s="103" t="n">
        <f aca="false">IF(G42&gt;0,INDEX(B4_MixFree,1,2)*G39/G42,0)</f>
        <v>0.1</v>
      </c>
      <c r="H48" s="103" t="n">
        <f aca="false">IF(H42&gt;0,INDEX(B4_MixFree,1,2)*H39/H42,0)</f>
        <v>0.1</v>
      </c>
      <c r="I48" s="103" t="n">
        <f aca="false">IF(I42&gt;0,INDEX(B4_MixFree,1,2)*I39/I42,0)</f>
        <v>0.1</v>
      </c>
      <c r="J48" s="103" t="n">
        <f aca="false">IF(J42&gt;0,INDEX(B4_MixFree,1,2)*J39/J42,0)</f>
        <v>0.1</v>
      </c>
      <c r="K48" s="103" t="n">
        <f aca="false">IF(K42&gt;0,INDEX(B4_MixFree,1,2)*K39/K42,0)</f>
        <v>0.1</v>
      </c>
      <c r="L48" s="103" t="n">
        <f aca="false">IF(L42&gt;0,INDEX(B4_MixFree,1,2)*L39/L42,0)</f>
        <v>0.1</v>
      </c>
      <c r="M48" s="103" t="n">
        <f aca="false">IF(M42&gt;0,INDEX(B4_MixFree,1,2)*M39/M42,0)</f>
        <v>0.1</v>
      </c>
      <c r="N48" s="103" t="n">
        <f aca="false">IF(N42&gt;0,INDEX(B4_MixFree,1,2)*N39/N42,0)</f>
        <v>0.1</v>
      </c>
      <c r="O48" s="103" t="n">
        <f aca="false">IF(O42&gt;0,INDEX(B4_MixFree,1,2)*O39/O42,0)</f>
        <v>0.1</v>
      </c>
      <c r="P48" s="103" t="n">
        <f aca="false">IF(P42&gt;0,INDEX(B4_MixFree,1,2)*P39/P42,0)</f>
        <v>0.1</v>
      </c>
      <c r="Q48" s="103" t="n">
        <f aca="false">IF(Q42&gt;0,INDEX(B4_MixFree,1,2)*Q39/Q42,0)</f>
        <v>0.1</v>
      </c>
    </row>
    <row r="49" customFormat="false" ht="15" hidden="false" customHeight="false" outlineLevel="0" collapsed="false">
      <c r="A49" s="6" t="s">
        <v>2013</v>
      </c>
      <c r="B49" s="62" t="s">
        <v>113</v>
      </c>
      <c r="C49" s="103" t="n">
        <f aca="false">IF(C42&gt;0,INDEX(B4_MixFree,1,3)*C40/C42,0)</f>
        <v>0</v>
      </c>
      <c r="D49" s="103" t="n">
        <f aca="false">IF(D42&gt;0,INDEX(B4_MixFree,1,3)*D40/D42,0)</f>
        <v>0</v>
      </c>
      <c r="E49" s="103" t="n">
        <f aca="false">IF(E42&gt;0,INDEX(B4_MixFree,1,3)*E40/E42,0)</f>
        <v>0</v>
      </c>
      <c r="F49" s="103" t="n">
        <f aca="false">IF(F42&gt;0,INDEX(B4_MixFree,1,3)*F40/F42,0)</f>
        <v>0</v>
      </c>
      <c r="G49" s="103" t="n">
        <f aca="false">IF(G42&gt;0,INDEX(B4_MixFree,1,3)*G40/G42,0)</f>
        <v>0</v>
      </c>
      <c r="H49" s="103" t="n">
        <f aca="false">IF(H42&gt;0,INDEX(B4_MixFree,1,3)*H40/H42,0)</f>
        <v>0</v>
      </c>
      <c r="I49" s="103" t="n">
        <f aca="false">IF(I42&gt;0,INDEX(B4_MixFree,1,3)*I40/I42,0)</f>
        <v>0</v>
      </c>
      <c r="J49" s="103" t="n">
        <f aca="false">IF(J42&gt;0,INDEX(B4_MixFree,1,3)*J40/J42,0)</f>
        <v>0</v>
      </c>
      <c r="K49" s="103" t="n">
        <f aca="false">IF(K42&gt;0,INDEX(B4_MixFree,1,3)*K40/K42,0)</f>
        <v>0</v>
      </c>
      <c r="L49" s="103" t="n">
        <f aca="false">IF(L42&gt;0,INDEX(B4_MixFree,1,3)*L40/L42,0)</f>
        <v>0</v>
      </c>
      <c r="M49" s="103" t="n">
        <f aca="false">IF(M42&gt;0,INDEX(B4_MixFree,1,3)*M40/M42,0)</f>
        <v>0</v>
      </c>
      <c r="N49" s="103" t="n">
        <f aca="false">IF(N42&gt;0,INDEX(B4_MixFree,1,3)*N40/N42,0)</f>
        <v>0</v>
      </c>
      <c r="O49" s="103" t="n">
        <f aca="false">IF(O42&gt;0,INDEX(B4_MixFree,1,3)*O40/O42,0)</f>
        <v>0</v>
      </c>
      <c r="P49" s="103" t="n">
        <f aca="false">IF(P42&gt;0,INDEX(B4_MixFree,1,3)*P40/P42,0)</f>
        <v>0</v>
      </c>
      <c r="Q49" s="103" t="n">
        <f aca="false">IF(Q42&gt;0,INDEX(B4_MixFree,1,3)*Q40/Q42,0)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2014</v>
      </c>
    </row>
    <row r="2" customFormat="false" ht="15" hidden="false" customHeight="false" outlineLevel="0" collapsed="false">
      <c r="A2" s="74" t="s">
        <v>2015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186</v>
      </c>
      <c r="C4" s="82" t="str">
        <f aca="false">Unit_Cost!C4</f>
        <v>Hopper H100</v>
      </c>
      <c r="D4" s="82" t="str">
        <f aca="false">Unit_Cost!D4</f>
        <v>Hopper H100</v>
      </c>
      <c r="E4" s="82" t="str">
        <f aca="false">Unit_Cost!E4</f>
        <v>Hopper H100</v>
      </c>
      <c r="F4" s="82" t="str">
        <f aca="false">Unit_Cost!F4</f>
        <v>GB200 NVL72</v>
      </c>
      <c r="G4" s="82" t="str">
        <f aca="false">Unit_Cost!G4</f>
        <v>GB200 NVL72</v>
      </c>
      <c r="H4" s="82" t="str">
        <f aca="false">Unit_Cost!H4</f>
        <v>GB200 NVL72</v>
      </c>
      <c r="I4" s="82" t="str">
        <f aca="false">Unit_Cost!I4</f>
        <v>GB300 NVL72</v>
      </c>
      <c r="J4" s="82" t="str">
        <f aca="false">Unit_Cost!J4</f>
        <v>GB300 NVL72</v>
      </c>
      <c r="K4" s="82" t="str">
        <f aca="false">Unit_Cost!K4</f>
        <v>GB300 NVL72</v>
      </c>
      <c r="L4" s="82" t="str">
        <f aca="false">Unit_Cost!L4</f>
        <v>VR200 NVL72</v>
      </c>
      <c r="M4" s="82" t="str">
        <f aca="false">Unit_Cost!M4</f>
        <v>VR200 NVL72</v>
      </c>
      <c r="N4" s="82" t="str">
        <f aca="false">Unit_Cost!N4</f>
        <v>VR200 NVL72</v>
      </c>
      <c r="O4" s="82" t="str">
        <f aca="false">Unit_Cost!O4</f>
        <v>Rubin Ultra（MGX NVL 單架，72 GPU）</v>
      </c>
      <c r="P4" s="82" t="str">
        <f aca="false">Unit_Cost!P4</f>
        <v>Rubin Ultra（MGX NVL 單架，72 GPU）</v>
      </c>
      <c r="Q4" s="82" t="str">
        <f aca="false">Unit_Cost!Q4</f>
        <v>Rubin Ultra（MGX NVL 單架，72 GPU）</v>
      </c>
      <c r="R4" s="74" t="s">
        <v>853</v>
      </c>
    </row>
    <row r="5" customFormat="false" ht="15" hidden="false" customHeight="false" outlineLevel="0" collapsed="false">
      <c r="A5" s="60" t="s">
        <v>28</v>
      </c>
      <c r="C5" s="82" t="str">
        <f aca="false">Unit_Cost!C5</f>
        <v>低成本</v>
      </c>
      <c r="D5" s="82" t="str">
        <f aca="false">Unit_Cost!D5</f>
        <v>基準</v>
      </c>
      <c r="E5" s="82" t="str">
        <f aca="false">Unit_Cost!E5</f>
        <v>高成本</v>
      </c>
      <c r="F5" s="82" t="str">
        <f aca="false">Unit_Cost!F5</f>
        <v>低成本</v>
      </c>
      <c r="G5" s="82" t="str">
        <f aca="false">Unit_Cost!G5</f>
        <v>基準</v>
      </c>
      <c r="H5" s="82" t="str">
        <f aca="false">Unit_Cost!H5</f>
        <v>高成本</v>
      </c>
      <c r="I5" s="82" t="str">
        <f aca="false">Unit_Cost!I5</f>
        <v>低成本</v>
      </c>
      <c r="J5" s="82" t="str">
        <f aca="false">Unit_Cost!J5</f>
        <v>基準</v>
      </c>
      <c r="K5" s="82" t="str">
        <f aca="false">Unit_Cost!K5</f>
        <v>高成本</v>
      </c>
      <c r="L5" s="82" t="str">
        <f aca="false">Unit_Cost!L5</f>
        <v>低成本</v>
      </c>
      <c r="M5" s="82" t="str">
        <f aca="false">Unit_Cost!M5</f>
        <v>基準</v>
      </c>
      <c r="N5" s="82" t="str">
        <f aca="false">Unit_Cost!N5</f>
        <v>高成本</v>
      </c>
      <c r="O5" s="82" t="str">
        <f aca="false">Unit_Cost!O5</f>
        <v>低成本</v>
      </c>
      <c r="P5" s="82" t="str">
        <f aca="false">Unit_Cost!P5</f>
        <v>基準</v>
      </c>
      <c r="Q5" s="82" t="str">
        <f aca="false">Unit_Cost!Q5</f>
        <v>高成本</v>
      </c>
      <c r="R5" s="74" t="s">
        <v>855</v>
      </c>
    </row>
    <row r="6" customFormat="false" ht="15" hidden="false" customHeight="false" outlineLevel="0" collapsed="false">
      <c r="A6" s="60" t="s">
        <v>469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74" t="s">
        <v>1970</v>
      </c>
    </row>
    <row r="7" customFormat="false" ht="15" hidden="false" customHeight="false" outlineLevel="0" collapsed="false">
      <c r="A7" s="60" t="s">
        <v>1955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6" t="s">
        <v>278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2016</v>
      </c>
      <c r="B10" s="62" t="s">
        <v>1021</v>
      </c>
      <c r="C10" s="75" t="n">
        <f aca="false">INDEX(IF_ProgCost_Luna,1,C$7)</f>
        <v>62.9827624661971</v>
      </c>
      <c r="D10" s="75" t="n">
        <f aca="false">INDEX(IF_ProgCost_Luna,1,D$7)</f>
        <v>89.9897693565145</v>
      </c>
      <c r="E10" s="75" t="n">
        <f aca="false">INDEX(IF_ProgCost_Luna,1,E$7)</f>
        <v>154.545532852403</v>
      </c>
      <c r="F10" s="75" t="n">
        <f aca="false">INDEX(IF_ProgCost_Luna,1,F$7)</f>
        <v>25.0277109184711</v>
      </c>
      <c r="G10" s="75" t="n">
        <f aca="false">INDEX(IF_ProgCost_Luna,1,G$7)</f>
        <v>33.4172588128753</v>
      </c>
      <c r="H10" s="75" t="n">
        <f aca="false">INDEX(IF_ProgCost_Luna,1,H$7)</f>
        <v>54.2001074196734</v>
      </c>
      <c r="I10" s="75" t="n">
        <f aca="false">INDEX(IF_ProgCost_Luna,1,I$7)</f>
        <v>28.059514355151</v>
      </c>
      <c r="J10" s="75" t="n">
        <f aca="false">INDEX(IF_ProgCost_Luna,1,J$7)</f>
        <v>36.2404866175213</v>
      </c>
      <c r="K10" s="75" t="n">
        <f aca="false">INDEX(IF_ProgCost_Luna,1,K$7)</f>
        <v>61.7011953911825</v>
      </c>
      <c r="L10" s="75" t="n">
        <f aca="false">INDEX(IF_ProgCost_Luna,1,L$7)</f>
        <v>20.9678485935643</v>
      </c>
      <c r="M10" s="75" t="n">
        <f aca="false">INDEX(IF_ProgCost_Luna,1,M$7)</f>
        <v>26.9490908455707</v>
      </c>
      <c r="N10" s="75" t="n">
        <f aca="false">INDEX(IF_ProgCost_Luna,1,N$7)</f>
        <v>43.5370907833372</v>
      </c>
      <c r="O10" s="75" t="n">
        <f aca="false">INDEX(IF_ProgCost_Luna,1,O$7)</f>
        <v>14.4511701546132</v>
      </c>
      <c r="P10" s="75" t="n">
        <f aca="false">INDEX(IF_ProgCost_Luna,1,P$7)</f>
        <v>21.9637971484962</v>
      </c>
      <c r="Q10" s="75" t="n">
        <f aca="false">INDEX(IF_ProgCost_Luna,1,Q$7)</f>
        <v>40.0958226562748</v>
      </c>
    </row>
    <row r="11" customFormat="false" ht="15" hidden="false" customHeight="false" outlineLevel="0" collapsed="false">
      <c r="A11" s="5" t="s">
        <v>2017</v>
      </c>
      <c r="B11" s="62" t="s">
        <v>931</v>
      </c>
      <c r="C11" s="63" t="n">
        <f aca="false">IF(AND(ISNUMBER(Fleet_1GW!C21),ISNUMBER(Fleet_1GW!C22)),Fleet_1GW!C21+Fleet_1GW!C22,"SLO 不可達")</f>
        <v>10628301150.618</v>
      </c>
      <c r="D11" s="63" t="n">
        <f aca="false">IF(AND(ISNUMBER(Fleet_1GW!D21),ISNUMBER(Fleet_1GW!D22)),Fleet_1GW!D21+Fleet_1GW!D22,"SLO 不可達")</f>
        <v>10628301150.618</v>
      </c>
      <c r="E11" s="63" t="n">
        <f aca="false">IF(AND(ISNUMBER(Fleet_1GW!E21),ISNUMBER(Fleet_1GW!E22)),Fleet_1GW!E21+Fleet_1GW!E22,"SLO 不可達")</f>
        <v>10628301150.618</v>
      </c>
      <c r="F11" s="63" t="n">
        <f aca="false">IF(AND(ISNUMBER(Fleet_1GW!F21),ISNUMBER(Fleet_1GW!F22)),Fleet_1GW!F21+Fleet_1GW!F22,"SLO 不可達")</f>
        <v>46728762165.8663</v>
      </c>
      <c r="G11" s="63" t="n">
        <f aca="false">IF(AND(ISNUMBER(Fleet_1GW!G21),ISNUMBER(Fleet_1GW!G22)),Fleet_1GW!G21+Fleet_1GW!G22,"SLO 不可達")</f>
        <v>46728762165.8663</v>
      </c>
      <c r="H11" s="63" t="n">
        <f aca="false">IF(AND(ISNUMBER(Fleet_1GW!H21),ISNUMBER(Fleet_1GW!H22)),Fleet_1GW!H21+Fleet_1GW!H22,"SLO 不可達")</f>
        <v>46728762165.8663</v>
      </c>
      <c r="I11" s="63" t="n">
        <f aca="false">IF(AND(ISNUMBER(Fleet_1GW!I21),ISNUMBER(Fleet_1GW!I22)),Fleet_1GW!I21+Fleet_1GW!I22,"SLO 不可達")</f>
        <v>67551329035.1781</v>
      </c>
      <c r="J11" s="63" t="n">
        <f aca="false">IF(AND(ISNUMBER(Fleet_1GW!J21),ISNUMBER(Fleet_1GW!J22)),Fleet_1GW!J21+Fleet_1GW!J22,"SLO 不可達")</f>
        <v>67551329035.1781</v>
      </c>
      <c r="K11" s="63" t="n">
        <f aca="false">IF(AND(ISNUMBER(Fleet_1GW!K21),ISNUMBER(Fleet_1GW!K22)),Fleet_1GW!K21+Fleet_1GW!K22,"SLO 不可達")</f>
        <v>67551329035.1781</v>
      </c>
      <c r="L11" s="63" t="n">
        <f aca="false">IF(AND(ISNUMBER(Fleet_1GW!L21),ISNUMBER(Fleet_1GW!L22)),Fleet_1GW!L21+Fleet_1GW!L22,"SLO 不可達")</f>
        <v>100046796866.49</v>
      </c>
      <c r="M11" s="63" t="n">
        <f aca="false">IF(AND(ISNUMBER(Fleet_1GW!M21),ISNUMBER(Fleet_1GW!M22)),Fleet_1GW!M21+Fleet_1GW!M22,"SLO 不可達")</f>
        <v>100046796866.49</v>
      </c>
      <c r="N11" s="63" t="n">
        <f aca="false">IF(AND(ISNUMBER(Fleet_1GW!N21),ISNUMBER(Fleet_1GW!N22)),Fleet_1GW!N21+Fleet_1GW!N22,"SLO 不可達")</f>
        <v>100046796866.49</v>
      </c>
      <c r="O11" s="63" t="n">
        <f aca="false">IF(AND(ISNUMBER(Fleet_1GW!O21),ISNUMBER(Fleet_1GW!O22)),Fleet_1GW!O21+Fleet_1GW!O22,"SLO 不可達")</f>
        <v>135620147973.458</v>
      </c>
      <c r="P11" s="63" t="n">
        <f aca="false">IF(AND(ISNUMBER(Fleet_1GW!P21),ISNUMBER(Fleet_1GW!P22)),Fleet_1GW!P21+Fleet_1GW!P22,"SLO 不可達")</f>
        <v>135620147973.458</v>
      </c>
      <c r="Q11" s="63" t="n">
        <f aca="false">IF(AND(ISNUMBER(Fleet_1GW!Q21),ISNUMBER(Fleet_1GW!Q22)),Fleet_1GW!Q21+Fleet_1GW!Q22,"SLO 不可達")</f>
        <v>135620147973.458</v>
      </c>
    </row>
    <row r="12" customFormat="false" ht="29.85" hidden="false" customHeight="false" outlineLevel="0" collapsed="false">
      <c r="A12" s="5" t="s">
        <v>2018</v>
      </c>
      <c r="B12" s="62" t="s">
        <v>2019</v>
      </c>
      <c r="C12" s="63" t="n">
        <f aca="false">IF(ISNUMBER(Fleet_1GW!C21),Fleet_1GW!C21*INDEX(B4_Life,1,1)/12,"SLO 不可達")</f>
        <v>1363415831.82172</v>
      </c>
      <c r="D12" s="63" t="n">
        <f aca="false">IF(ISNUMBER(Fleet_1GW!D21),Fleet_1GW!D21*INDEX(B4_Life,1,1)/12,"SLO 不可達")</f>
        <v>1363415831.82172</v>
      </c>
      <c r="E12" s="63" t="n">
        <f aca="false">IF(ISNUMBER(Fleet_1GW!E21),Fleet_1GW!E21*INDEX(B4_Life,1,1)/12,"SLO 不可達")</f>
        <v>1363415831.82172</v>
      </c>
      <c r="F12" s="63" t="n">
        <f aca="false">IF(ISNUMBER(Fleet_1GW!F21),Fleet_1GW!F21*INDEX(B4_Life,1,1)/12,"SLO 不可達")</f>
        <v>5950471071.75304</v>
      </c>
      <c r="G12" s="63" t="n">
        <f aca="false">IF(ISNUMBER(Fleet_1GW!G21),Fleet_1GW!G21*INDEX(B4_Life,1,1)/12,"SLO 不可達")</f>
        <v>5950471071.75304</v>
      </c>
      <c r="H12" s="63" t="n">
        <f aca="false">IF(ISNUMBER(Fleet_1GW!H21),Fleet_1GW!H21*INDEX(B4_Life,1,1)/12,"SLO 不可達")</f>
        <v>5950471071.75304</v>
      </c>
      <c r="I12" s="63" t="n">
        <f aca="false">IF(ISNUMBER(Fleet_1GW!I21),Fleet_1GW!I21*INDEX(B4_Life,1,1)/12,"SLO 不可達")</f>
        <v>8183192797.42907</v>
      </c>
      <c r="J12" s="63" t="n">
        <f aca="false">IF(ISNUMBER(Fleet_1GW!J21),Fleet_1GW!J21*INDEX(B4_Life,1,1)/12,"SLO 不可達")</f>
        <v>8183192797.42907</v>
      </c>
      <c r="K12" s="63" t="n">
        <f aca="false">IF(ISNUMBER(Fleet_1GW!K21),Fleet_1GW!K21*INDEX(B4_Life,1,1)/12,"SLO 不可達")</f>
        <v>8183192797.42907</v>
      </c>
      <c r="L12" s="63" t="n">
        <f aca="false">IF(ISNUMBER(Fleet_1GW!L21),Fleet_1GW!L21*INDEX(B4_Life,1,1)/12,"SLO 不可達")</f>
        <v>13457165575.443</v>
      </c>
      <c r="M12" s="63" t="n">
        <f aca="false">IF(ISNUMBER(Fleet_1GW!M21),Fleet_1GW!M21*INDEX(B4_Life,1,1)/12,"SLO 不可達")</f>
        <v>13457165575.443</v>
      </c>
      <c r="N12" s="63" t="n">
        <f aca="false">IF(ISNUMBER(Fleet_1GW!N21),Fleet_1GW!N21*INDEX(B4_Life,1,1)/12,"SLO 不可達")</f>
        <v>13457165575.443</v>
      </c>
      <c r="O12" s="63" t="n">
        <f aca="false">IF(ISNUMBER(Fleet_1GW!O21),Fleet_1GW!O21*INDEX(B4_Life,1,1)/12,"SLO 不可達")</f>
        <v>18688482511.3726</v>
      </c>
      <c r="P12" s="63" t="n">
        <f aca="false">IF(ISNUMBER(Fleet_1GW!P21),Fleet_1GW!P21*INDEX(B4_Life,1,1)/12,"SLO 不可達")</f>
        <v>18688482511.3726</v>
      </c>
      <c r="Q12" s="63" t="n">
        <f aca="false">IF(ISNUMBER(Fleet_1GW!Q21),Fleet_1GW!Q21*INDEX(B4_Life,1,1)/12,"SLO 不可達")</f>
        <v>18688482511.3726</v>
      </c>
    </row>
    <row r="13" customFormat="false" ht="26.85" hidden="false" customHeight="false" outlineLevel="0" collapsed="false">
      <c r="A13" s="5" t="s">
        <v>2020</v>
      </c>
      <c r="B13" s="62" t="s">
        <v>976</v>
      </c>
      <c r="C13" s="159" t="n">
        <f aca="false">IF(AND(ISNUMBER(C12),ISNUMBER(C10)),IF(C12&gt;0,C10*1000000/C12,0),"SLO 不可達")</f>
        <v>0.0461948299236361</v>
      </c>
      <c r="D13" s="159" t="n">
        <f aca="false">IF(AND(ISNUMBER(D12),ISNUMBER(D10)),IF(D12&gt;0,D10*1000000/D12,0),"SLO 不可達")</f>
        <v>0.0660031717808905</v>
      </c>
      <c r="E13" s="159" t="n">
        <f aca="false">IF(AND(ISNUMBER(E12),ISNUMBER(E10)),IF(E12&gt;0,E10*1000000/E12,0),"SLO 不可達")</f>
        <v>0.113351722376516</v>
      </c>
      <c r="F13" s="159" t="n">
        <f aca="false">IF(AND(ISNUMBER(F12),ISNUMBER(F10)),IF(F12&gt;0,F10*1000000/F12,0),"SLO 不可達")</f>
        <v>0.00420600497282946</v>
      </c>
      <c r="G13" s="159" t="n">
        <f aca="false">IF(AND(ISNUMBER(G12),ISNUMBER(G10)),IF(G12&gt;0,G10*1000000/G12,0),"SLO 不可達")</f>
        <v>0.00561590139837962</v>
      </c>
      <c r="H13" s="159" t="n">
        <f aca="false">IF(AND(ISNUMBER(H12),ISNUMBER(H10)),IF(H12&gt;0,H10*1000000/H12,0),"SLO 不可達")</f>
        <v>0.0091085406123495</v>
      </c>
      <c r="I13" s="159" t="n">
        <f aca="false">IF(AND(ISNUMBER(I12),ISNUMBER(I10)),IF(I12&gt;0,I10*1000000/I12,0),"SLO 不可達")</f>
        <v>0.00342892011098242</v>
      </c>
      <c r="J13" s="159" t="n">
        <f aca="false">IF(AND(ISNUMBER(J12),ISNUMBER(J10)),IF(J12&gt;0,J10*1000000/J12,0),"SLO 不可達")</f>
        <v>0.00442864875784267</v>
      </c>
      <c r="K13" s="159" t="n">
        <f aca="false">IF(AND(ISNUMBER(K12),ISNUMBER(K10)),IF(K12&gt;0,K10*1000000/K12,0),"SLO 不可達")</f>
        <v>0.0075399904314325</v>
      </c>
      <c r="L13" s="159" t="n">
        <f aca="false">IF(AND(ISNUMBER(L12),ISNUMBER(L10)),IF(L12&gt;0,L10*1000000/L12,0),"SLO 不可達")</f>
        <v>0.00155811775340172</v>
      </c>
      <c r="M13" s="159" t="n">
        <f aca="false">IF(AND(ISNUMBER(M12),ISNUMBER(M10)),IF(M12&gt;0,M10*1000000/M12,0),"SLO 不可達")</f>
        <v>0.00200258298781343</v>
      </c>
      <c r="N13" s="159" t="n">
        <f aca="false">IF(AND(ISNUMBER(N12),ISNUMBER(N10)),IF(N12&gt;0,N10*1000000/N12,0),"SLO 不可達")</f>
        <v>0.00323523483004361</v>
      </c>
      <c r="O13" s="159" t="n">
        <f aca="false">IF(AND(ISNUMBER(O12),ISNUMBER(O10)),IF(O12&gt;0,O10*1000000/O12,0),"SLO 不可達")</f>
        <v>0.000773266108996229</v>
      </c>
      <c r="P13" s="159" t="n">
        <f aca="false">IF(AND(ISNUMBER(P12),ISNUMBER(P10)),IF(P12&gt;0,P10*1000000/P12,0),"SLO 不可達")</f>
        <v>0.00117525845852548</v>
      </c>
      <c r="Q13" s="159" t="n">
        <f aca="false">IF(AND(ISNUMBER(Q12),ISNUMBER(Q10)),IF(Q12&gt;0,Q10*1000000/Q12,0),"SLO 不可達")</f>
        <v>0.00214548306058959</v>
      </c>
    </row>
    <row r="14" customFormat="false" ht="15" hidden="false" customHeight="false" outlineLevel="0" collapsed="false">
      <c r="A14" s="5" t="s">
        <v>2021</v>
      </c>
      <c r="B14" s="62" t="s">
        <v>976</v>
      </c>
      <c r="C14" s="160" t="n">
        <f aca="false"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>0.100869798218528</v>
      </c>
      <c r="D14" s="160" t="n">
        <f aca="false">IF(ISNUMBER(INDEX(IF_CostDec_Luna,1,D$7)),(INDEX(B4_ISL,1,1)*((1-B4_CacheHit)*INDEX(IF_CostPre_Luna,1,D$7)+B4_CacheHit*(INDEX(IF_CostCache_Luna,1,D$7)+Cache_Store!D17))+INDEX(B4_OSL,1,1)*INDEX(IF_CostDec_Luna,1,D$7))/(INDEX(B4_ISL,1,1)+INDEX(B4_OSL,1,1))/IF_Util,"SLO 不可達")</f>
        <v>0.144118120103531</v>
      </c>
      <c r="E14" s="160" t="n">
        <f aca="false">IF(ISNUMBER(INDEX(IF_CostDec_Luna,1,E$7)),(INDEX(B4_ISL,1,1)*((1-B4_CacheHit)*INDEX(IF_CostPre_Luna,1,E$7)+B4_CacheHit*(INDEX(IF_CostCache_Luna,1,E$7)+Cache_Store!E17))+INDEX(B4_OSL,1,1)*INDEX(IF_CostDec_Luna,1,E$7))/(INDEX(B4_ISL,1,1)+INDEX(B4_OSL,1,1))/IF_Util,"SLO 不可達")</f>
        <v>0.247496049044011</v>
      </c>
      <c r="F14" s="160" t="n">
        <f aca="false">IF(ISNUMBER(INDEX(IF_CostDec_Luna,1,F$7)),(INDEX(B4_ISL,1,1)*((1-B4_CacheHit)*INDEX(IF_CostPre_Luna,1,F$7)+B4_CacheHit*(INDEX(IF_CostCache_Luna,1,F$7)+Cache_Store!F17))+INDEX(B4_OSL,1,1)*INDEX(IF_CostDec_Luna,1,F$7))/(INDEX(B4_ISL,1,1)+INDEX(B4_OSL,1,1))/IF_Util,"SLO 不可達")</f>
        <v>0.0222048608965624</v>
      </c>
      <c r="G14" s="160" t="n">
        <f aca="false">IF(ISNUMBER(INDEX(IF_CostDec_Luna,1,G$7)),(INDEX(B4_ISL,1,1)*((1-B4_CacheHit)*INDEX(IF_CostPre_Luna,1,G$7)+B4_CacheHit*(INDEX(IF_CostCache_Luna,1,G$7)+Cache_Store!G17))+INDEX(B4_OSL,1,1)*INDEX(IF_CostDec_Luna,1,G$7))/(INDEX(B4_ISL,1,1)+INDEX(B4_OSL,1,1))/IF_Util,"SLO 不可達")</f>
        <v>0.0296445290908819</v>
      </c>
      <c r="H14" s="160" t="n">
        <f aca="false">IF(ISNUMBER(INDEX(IF_CostDec_Luna,1,H$7)),(INDEX(B4_ISL,1,1)*((1-B4_CacheHit)*INDEX(IF_CostPre_Luna,1,H$7)+B4_CacheHit*(INDEX(IF_CostCache_Luna,1,H$7)+Cache_Store!H17))+INDEX(B4_OSL,1,1)*INDEX(IF_CostDec_Luna,1,H$7))/(INDEX(B4_ISL,1,1)+INDEX(B4_OSL,1,1))/IF_Util,"SLO 不可達")</f>
        <v>0.0480743062032436</v>
      </c>
      <c r="I14" s="160" t="n">
        <f aca="false">IF(ISNUMBER(INDEX(IF_CostDec_Luna,1,I$7)),(INDEX(B4_ISL,1,1)*((1-B4_CacheHit)*INDEX(IF_CostPre_Luna,1,I$7)+B4_CacheHit*(INDEX(IF_CostCache_Luna,1,I$7)+Cache_Store!I17))+INDEX(B4_OSL,1,1)*INDEX(IF_CostDec_Luna,1,I$7))/(INDEX(B4_ISL,1,1)+INDEX(B4_OSL,1,1))/IF_Util,"SLO 不可達")</f>
        <v>0.0194489819538409</v>
      </c>
      <c r="J14" s="160" t="n">
        <f aca="false">IF(ISNUMBER(INDEX(IF_CostDec_Luna,1,J$7)),(INDEX(B4_ISL,1,1)*((1-B4_CacheHit)*INDEX(IF_CostPre_Luna,1,J$7)+B4_CacheHit*(INDEX(IF_CostCache_Luna,1,J$7)+Cache_Store!J17))+INDEX(B4_OSL,1,1)*INDEX(IF_CostDec_Luna,1,J$7))/(INDEX(B4_ISL,1,1)+INDEX(B4_OSL,1,1))/IF_Util,"SLO 不可達")</f>
        <v>0.0251163274459156</v>
      </c>
      <c r="K14" s="160" t="n">
        <f aca="false">IF(ISNUMBER(INDEX(IF_CostDec_Luna,1,K$7)),(INDEX(B4_ISL,1,1)*((1-B4_CacheHit)*INDEX(IF_CostPre_Luna,1,K$7)+B4_CacheHit*(INDEX(IF_CostCache_Luna,1,K$7)+Cache_Store!K17))+INDEX(B4_OSL,1,1)*INDEX(IF_CostDec_Luna,1,K$7))/(INDEX(B4_ISL,1,1)+INDEX(B4_OSL,1,1))/IF_Util,"SLO 不可達")</f>
        <v>0.0427541617357521</v>
      </c>
      <c r="L14" s="160" t="n">
        <f aca="false">IF(ISNUMBER(INDEX(IF_CostDec_Luna,1,L$7)),(INDEX(B4_ISL,1,1)*((1-B4_CacheHit)*INDEX(IF_CostPre_Luna,1,L$7)+B4_CacheHit*(INDEX(IF_CostCache_Luna,1,L$7)+Cache_Store!L17))+INDEX(B4_OSL,1,1)*INDEX(IF_CostDec_Luna,1,L$7))/(INDEX(B4_ISL,1,1)+INDEX(B4_OSL,1,1))/IF_Util,"SLO 不可達")</f>
        <v>0.015230344804445</v>
      </c>
      <c r="M14" s="160" t="n">
        <f aca="false">IF(ISNUMBER(INDEX(IF_CostDec_Luna,1,M$7)),(INDEX(B4_ISL,1,1)*((1-B4_CacheHit)*INDEX(IF_CostPre_Luna,1,M$7)+B4_CacheHit*(INDEX(IF_CostCache_Luna,1,M$7)+Cache_Store!M17))+INDEX(B4_OSL,1,1)*INDEX(IF_CostDec_Luna,1,M$7))/(INDEX(B4_ISL,1,1)+INDEX(B4_OSL,1,1))/IF_Util,"SLO 不可達")</f>
        <v>0.0195718293463084</v>
      </c>
      <c r="N14" s="160" t="n">
        <f aca="false">IF(ISNUMBER(INDEX(IF_CostDec_Luna,1,N$7)),(INDEX(B4_ISL,1,1)*((1-B4_CacheHit)*INDEX(IF_CostPre_Luna,1,N$7)+B4_CacheHit*(INDEX(IF_CostCache_Luna,1,N$7)+Cache_Store!N17))+INDEX(B4_OSL,1,1)*INDEX(IF_CostDec_Luna,1,N$7))/(INDEX(B4_ISL,1,1)+INDEX(B4_OSL,1,1))/IF_Util,"SLO 不可達")</f>
        <v>0.0316122286941337</v>
      </c>
      <c r="O14" s="160" t="n">
        <f aca="false">IF(ISNUMBER(INDEX(IF_CostDec_Luna,1,O$7)),(INDEX(B4_ISL,1,1)*((1-B4_CacheHit)*INDEX(IF_CostPre_Luna,1,O$7)+B4_CacheHit*(INDEX(IF_CostCache_Luna,1,O$7)+Cache_Store!O17))+INDEX(B4_OSL,1,1)*INDEX(IF_CostDec_Luna,1,O$7))/(INDEX(B4_ISL,1,1)+INDEX(B4_OSL,1,1))/IF_Util,"SLO 不可達")</f>
        <v>0.0120358463245421</v>
      </c>
      <c r="P14" s="160" t="n">
        <f aca="false">IF(ISNUMBER(INDEX(IF_CostDec_Luna,1,P$7)),(INDEX(B4_ISL,1,1)*((1-B4_CacheHit)*INDEX(IF_CostPre_Luna,1,P$7)+B4_CacheHit*(INDEX(IF_CostCache_Luna,1,P$7)+Cache_Store!P17))+INDEX(B4_OSL,1,1)*INDEX(IF_CostDec_Luna,1,P$7))/(INDEX(B4_ISL,1,1)+INDEX(B4_OSL,1,1))/IF_Util,"SLO 不可達")</f>
        <v>0.0182872047346244</v>
      </c>
      <c r="Q14" s="160" t="n">
        <f aca="false">IF(ISNUMBER(INDEX(IF_CostDec_Luna,1,Q$7)),(INDEX(B4_ISL,1,1)*((1-B4_CacheHit)*INDEX(IF_CostPre_Luna,1,Q$7)+B4_CacheHit*(INDEX(IF_CostCache_Luna,1,Q$7)+Cache_Store!Q17))+INDEX(B4_OSL,1,1)*INDEX(IF_CostDec_Luna,1,Q$7))/(INDEX(B4_ISL,1,1)+INDEX(B4_OSL,1,1))/IF_Util,"SLO 不可達")</f>
        <v>0.0333751081061308</v>
      </c>
    </row>
    <row r="15" customFormat="false" ht="15" hidden="false" customHeight="false" outlineLevel="0" collapsed="false">
      <c r="A15" s="5" t="s">
        <v>2022</v>
      </c>
      <c r="B15" s="62" t="s">
        <v>976</v>
      </c>
      <c r="C15" s="161" t="n">
        <f aca="false">IF(ISNUMBER(C14),Fleet_1GW!C13/(1-Fleet_1GW!C13)*C14,"SLO 不可達")</f>
        <v>0.145154099875442</v>
      </c>
      <c r="D15" s="161" t="n">
        <f aca="false">IF(ISNUMBER(D14),Fleet_1GW!D13/(1-Fleet_1GW!D13)*D14,"SLO 不可達")</f>
        <v>0.207389489905081</v>
      </c>
      <c r="E15" s="161" t="n">
        <f aca="false">IF(ISNUMBER(E14),Fleet_1GW!E13/(1-Fleet_1GW!E13)*E14,"SLO 不可達")</f>
        <v>0.356152851063333</v>
      </c>
      <c r="F15" s="161" t="n">
        <f aca="false">IF(ISNUMBER(F14),Fleet_1GW!F13/(1-Fleet_1GW!F13)*F14,"SLO 不可達")</f>
        <v>0.0319533364121264</v>
      </c>
      <c r="G15" s="161" t="n">
        <f aca="false">IF(ISNUMBER(G14),Fleet_1GW!G13/(1-Fleet_1GW!G13)*G14,"SLO 不可達")</f>
        <v>0.042659200399074</v>
      </c>
      <c r="H15" s="161" t="n">
        <f aca="false">IF(ISNUMBER(H14),Fleet_1GW!H13/(1-Fleet_1GW!H13)*H14,"SLO 不可達")</f>
        <v>0.0691800991705213</v>
      </c>
      <c r="I15" s="161" t="n">
        <f aca="false">IF(ISNUMBER(I14),Fleet_1GW!I13/(1-Fleet_1GW!I13)*I14,"SLO 不可達")</f>
        <v>0.0279875593969906</v>
      </c>
      <c r="J15" s="161" t="n">
        <f aca="false">IF(ISNUMBER(J14),Fleet_1GW!J13/(1-Fleet_1GW!J13)*J14,"SLO 不可達")</f>
        <v>0.0361430077880249</v>
      </c>
      <c r="K15" s="161" t="n">
        <f aca="false">IF(ISNUMBER(K14),Fleet_1GW!K13/(1-Fleet_1GW!K13)*K14,"SLO 不可達")</f>
        <v>0.0615242815221799</v>
      </c>
      <c r="L15" s="161" t="n">
        <f aca="false">IF(ISNUMBER(L14),Fleet_1GW!L13/(1-Fleet_1GW!L13)*L14,"SLO 不可達")</f>
        <v>0.0219168376454209</v>
      </c>
      <c r="M15" s="161" t="n">
        <f aca="false">IF(ISNUMBER(M14),Fleet_1GW!M13/(1-Fleet_1GW!M13)*M14,"SLO 不可達")</f>
        <v>0.0281643397910292</v>
      </c>
      <c r="N15" s="161" t="n">
        <f aca="false">IF(ISNUMBER(N14),Fleet_1GW!N13/(1-Fleet_1GW!N13)*N14,"SLO 不可達")</f>
        <v>0.0454907681208266</v>
      </c>
      <c r="O15" s="161" t="n">
        <f aca="false">IF(ISNUMBER(O14),Fleet_1GW!O13/(1-Fleet_1GW!O13)*O14,"SLO 不可達")</f>
        <v>0.0173198764182435</v>
      </c>
      <c r="P15" s="161" t="n">
        <f aca="false">IF(ISNUMBER(P14),Fleet_1GW!P13/(1-Fleet_1GW!P13)*P14,"SLO 不可達")</f>
        <v>0.0263157336425082</v>
      </c>
      <c r="Q15" s="161" t="n">
        <f aca="false">IF(ISNUMBER(Q14),Fleet_1GW!Q13/(1-Fleet_1GW!Q13)*Q14,"SLO 不可達")</f>
        <v>0.0480275945917492</v>
      </c>
    </row>
    <row r="16" customFormat="false" ht="15" hidden="false" customHeight="false" outlineLevel="0" collapsed="false">
      <c r="A16" s="5" t="s">
        <v>2023</v>
      </c>
      <c r="B16" s="62" t="s">
        <v>118</v>
      </c>
      <c r="C16" s="75" t="n">
        <f aca="false">IF(AND(ISNUMBER(C13),ISNUMBER(C15)),IF(C13&gt;0,C15/C13,0),"SLO 不可達")</f>
        <v>3.14221526771273</v>
      </c>
      <c r="D16" s="75" t="n">
        <f aca="false">IF(AND(ISNUMBER(D13),ISNUMBER(D15)),IF(D13&gt;0,D15/D13,0),"SLO 不可達")</f>
        <v>3.14211399709014</v>
      </c>
      <c r="E16" s="75" t="n">
        <f aca="false">IF(AND(ISNUMBER(E13),ISNUMBER(E15)),IF(E13&gt;0,E15/E13,0),"SLO 不可達")</f>
        <v>3.14201534477185</v>
      </c>
      <c r="F16" s="75" t="n">
        <f aca="false">IF(AND(ISNUMBER(F13),ISNUMBER(F15)),IF(F13&gt;0,F15/F13,0),"SLO 不可達")</f>
        <v>7.59707528130448</v>
      </c>
      <c r="G16" s="75" t="n">
        <f aca="false">IF(AND(ISNUMBER(G13),ISNUMBER(G15)),IF(G13&gt;0,G15/G13,0),"SLO 不可達")</f>
        <v>7.59614483462667</v>
      </c>
      <c r="H16" s="75" t="n">
        <f aca="false">IF(AND(ISNUMBER(H13),ISNUMBER(H15)),IF(H13&gt;0,H15/H13,0),"SLO 不可達")</f>
        <v>7.59508049804662</v>
      </c>
      <c r="I16" s="75" t="n">
        <f aca="false">IF(AND(ISNUMBER(I13),ISNUMBER(I15)),IF(I13&gt;0,I15/I13,0),"SLO 不可達")</f>
        <v>8.16220806875896</v>
      </c>
      <c r="J16" s="75" t="n">
        <f aca="false">IF(AND(ISNUMBER(J13),ISNUMBER(J15)),IF(J13&gt;0,J15/J13,0),"SLO 不可達")</f>
        <v>8.16118183317643</v>
      </c>
      <c r="K16" s="75" t="n">
        <f aca="false">IF(AND(ISNUMBER(K13),ISNUMBER(K15)),IF(K13&gt;0,K15/K13,0),"SLO 不可達")</f>
        <v>8.15972938980124</v>
      </c>
      <c r="L16" s="75" t="n">
        <f aca="false">IF(AND(ISNUMBER(L13),ISNUMBER(L15)),IF(L13&gt;0,L15/L13,0),"SLO 不可達")</f>
        <v>14.0662267646791</v>
      </c>
      <c r="M16" s="75" t="n">
        <f aca="false">IF(AND(ISNUMBER(M13),ISNUMBER(M15)),IF(M13&gt;0,M15/M13,0),"SLO 不可達")</f>
        <v>14.0640063170521</v>
      </c>
      <c r="N16" s="75" t="n">
        <f aca="false">IF(AND(ISNUMBER(N13),ISNUMBER(N15)),IF(N13&gt;0,N15/N13,0),"SLO 不可達")</f>
        <v>14.0610405459233</v>
      </c>
      <c r="O16" s="75" t="n">
        <f aca="false">IF(AND(ISNUMBER(O13),ISNUMBER(O15)),IF(O13&gt;0,O15/O13,0),"SLO 不可達")</f>
        <v>22.3983389634472</v>
      </c>
      <c r="P16" s="75" t="n">
        <f aca="false">IF(AND(ISNUMBER(P13),ISNUMBER(P15)),IF(P13&gt;0,P15/P13,0),"SLO 不可達")</f>
        <v>22.3914437301943</v>
      </c>
      <c r="Q16" s="75" t="n">
        <f aca="false">IF(AND(ISNUMBER(Q13),ISNUMBER(Q15)),IF(Q13&gt;0,Q15/Q13,0),"SLO 不可達")</f>
        <v>22.3854457180151</v>
      </c>
    </row>
    <row r="18" customFormat="false" ht="15" hidden="false" customHeight="false" outlineLevel="0" collapsed="false">
      <c r="A18" s="76" t="s">
        <v>279</v>
      </c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</row>
    <row r="19" customFormat="false" ht="15" hidden="false" customHeight="false" outlineLevel="0" collapsed="false">
      <c r="A19" s="5" t="s">
        <v>2016</v>
      </c>
      <c r="B19" s="62" t="s">
        <v>1021</v>
      </c>
      <c r="C19" s="75" t="n">
        <f aca="false">INDEX(IF_ProgCost_Sol,1,C$7)</f>
        <v>174.920108637806</v>
      </c>
      <c r="D19" s="75" t="n">
        <f aca="false">INDEX(IF_ProgCost_Sol,1,D$7)</f>
        <v>249.925846624795</v>
      </c>
      <c r="E19" s="75" t="n">
        <f aca="false">INDEX(IF_ProgCost_Sol,1,E$7)</f>
        <v>429.214603131113</v>
      </c>
      <c r="F19" s="75" t="n">
        <f aca="false">INDEX(IF_ProgCost_Sol,1,F$7)</f>
        <v>74.0361250834957</v>
      </c>
      <c r="G19" s="75" t="n">
        <f aca="false">INDEX(IF_ProgCost_Sol,1,G$7)</f>
        <v>98.8538009519539</v>
      </c>
      <c r="H19" s="75" t="n">
        <f aca="false">INDEX(IF_ProgCost_Sol,1,H$7)</f>
        <v>160.332918401272</v>
      </c>
      <c r="I19" s="75" t="n">
        <f aca="false">INDEX(IF_ProgCost_Sol,1,I$7)</f>
        <v>86.2049176761941</v>
      </c>
      <c r="J19" s="75" t="n">
        <f aca="false">INDEX(IF_ProgCost_Sol,1,J$7)</f>
        <v>111.33863993035</v>
      </c>
      <c r="K19" s="75" t="n">
        <f aca="false">INDEX(IF_ProgCost_Sol,1,K$7)</f>
        <v>189.559462858032</v>
      </c>
      <c r="L19" s="75" t="n">
        <f aca="false">INDEX(IF_ProgCost_Sol,1,L$7)</f>
        <v>61.07819684623</v>
      </c>
      <c r="M19" s="75" t="n">
        <f aca="false">INDEX(IF_ProgCost_Sol,1,M$7)</f>
        <v>78.50122859042</v>
      </c>
      <c r="N19" s="75" t="n">
        <f aca="false">INDEX(IF_ProgCost_Sol,1,N$7)</f>
        <v>126.821165705719</v>
      </c>
      <c r="O19" s="75" t="n">
        <f aca="false">INDEX(IF_ProgCost_Sol,1,O$7)</f>
        <v>43.536770447398</v>
      </c>
      <c r="P19" s="75" t="n">
        <f aca="false">INDEX(IF_ProgCost_Sol,1,P$7)</f>
        <v>66.1699214926233</v>
      </c>
      <c r="Q19" s="75" t="n">
        <f aca="false">INDEX(IF_ProgCost_Sol,1,Q$7)</f>
        <v>120.79593612207</v>
      </c>
    </row>
    <row r="20" customFormat="false" ht="15" hidden="false" customHeight="false" outlineLevel="0" collapsed="false">
      <c r="A20" s="5" t="s">
        <v>2017</v>
      </c>
      <c r="B20" s="62" t="s">
        <v>931</v>
      </c>
      <c r="C20" s="63" t="n">
        <f aca="false">IF(AND(ISNUMBER(Fleet_1GW!C24),ISNUMBER(Fleet_1GW!C25)),Fleet_1GW!C24+Fleet_1GW!C25,"SLO 不可達")</f>
        <v>2563274512.88791</v>
      </c>
      <c r="D20" s="63" t="n">
        <f aca="false">IF(AND(ISNUMBER(Fleet_1GW!D24),ISNUMBER(Fleet_1GW!D25)),Fleet_1GW!D24+Fleet_1GW!D25,"SLO 不可達")</f>
        <v>2563274512.88791</v>
      </c>
      <c r="E20" s="63" t="n">
        <f aca="false">IF(AND(ISNUMBER(Fleet_1GW!E24),ISNUMBER(Fleet_1GW!E25)),Fleet_1GW!E24+Fleet_1GW!E25,"SLO 不可達")</f>
        <v>2563274512.88791</v>
      </c>
      <c r="F20" s="63" t="n">
        <f aca="false">IF(AND(ISNUMBER(Fleet_1GW!F24),ISNUMBER(Fleet_1GW!F25)),Fleet_1GW!F24+Fleet_1GW!F25,"SLO 不可達")</f>
        <v>11225201188.4014</v>
      </c>
      <c r="G20" s="63" t="n">
        <f aca="false">IF(AND(ISNUMBER(Fleet_1GW!G24),ISNUMBER(Fleet_1GW!G25)),Fleet_1GW!G24+Fleet_1GW!G25,"SLO 不可達")</f>
        <v>11225201188.4014</v>
      </c>
      <c r="H20" s="63" t="n">
        <f aca="false">IF(AND(ISNUMBER(Fleet_1GW!H24),ISNUMBER(Fleet_1GW!H25)),Fleet_1GW!H24+Fleet_1GW!H25,"SLO 不可達")</f>
        <v>11225201188.4014</v>
      </c>
      <c r="I20" s="63" t="n">
        <f aca="false">IF(AND(ISNUMBER(Fleet_1GW!I24),ISNUMBER(Fleet_1GW!I25)),Fleet_1GW!I24+Fleet_1GW!I25,"SLO 不可達")</f>
        <v>15802551479.0798</v>
      </c>
      <c r="J20" s="63" t="n">
        <f aca="false">IF(AND(ISNUMBER(Fleet_1GW!J24),ISNUMBER(Fleet_1GW!J25)),Fleet_1GW!J24+Fleet_1GW!J25,"SLO 不可達")</f>
        <v>15802551479.0798</v>
      </c>
      <c r="K20" s="63" t="n">
        <f aca="false">IF(AND(ISNUMBER(Fleet_1GW!K24),ISNUMBER(Fleet_1GW!K25)),Fleet_1GW!K24+Fleet_1GW!K25,"SLO 不可達")</f>
        <v>15802551479.0798</v>
      </c>
      <c r="L20" s="63" t="n">
        <f aca="false">IF(AND(ISNUMBER(Fleet_1GW!L24),ISNUMBER(Fleet_1GW!L25)),Fleet_1GW!L24+Fleet_1GW!L25,"SLO 不可達")</f>
        <v>24760381415.8231</v>
      </c>
      <c r="M20" s="63" t="n">
        <f aca="false">IF(AND(ISNUMBER(Fleet_1GW!M24),ISNUMBER(Fleet_1GW!M25)),Fleet_1GW!M24+Fleet_1GW!M25,"SLO 不可達")</f>
        <v>24760381415.8231</v>
      </c>
      <c r="N20" s="63" t="n">
        <f aca="false">IF(AND(ISNUMBER(Fleet_1GW!N24),ISNUMBER(Fleet_1GW!N25)),Fleet_1GW!N24+Fleet_1GW!N25,"SLO 不可達")</f>
        <v>24760381415.8231</v>
      </c>
      <c r="O20" s="63" t="n">
        <f aca="false">IF(AND(ISNUMBER(Fleet_1GW!O24),ISNUMBER(Fleet_1GW!O25)),Fleet_1GW!O24+Fleet_1GW!O25,"SLO 不可達")</f>
        <v>34016950098.8592</v>
      </c>
      <c r="P20" s="63" t="n">
        <f aca="false">IF(AND(ISNUMBER(Fleet_1GW!P24),ISNUMBER(Fleet_1GW!P25)),Fleet_1GW!P24+Fleet_1GW!P25,"SLO 不可達")</f>
        <v>34016950098.8592</v>
      </c>
      <c r="Q20" s="63" t="n">
        <f aca="false">IF(AND(ISNUMBER(Fleet_1GW!Q24),ISNUMBER(Fleet_1GW!Q25)),Fleet_1GW!Q24+Fleet_1GW!Q25,"SLO 不可達")</f>
        <v>34016950098.8592</v>
      </c>
    </row>
    <row r="21" customFormat="false" ht="29.85" hidden="false" customHeight="false" outlineLevel="0" collapsed="false">
      <c r="A21" s="5" t="s">
        <v>2018</v>
      </c>
      <c r="B21" s="62" t="s">
        <v>2019</v>
      </c>
      <c r="C21" s="63" t="n">
        <f aca="false">IF(ISNUMBER(Fleet_1GW!C24),Fleet_1GW!C24*INDEX(B4_Life,1,2)/12,"SLO 不可達")</f>
        <v>1533842810.79943</v>
      </c>
      <c r="D21" s="63" t="n">
        <f aca="false">IF(ISNUMBER(Fleet_1GW!D24),Fleet_1GW!D24*INDEX(B4_Life,1,2)/12,"SLO 不可達")</f>
        <v>1533842810.79943</v>
      </c>
      <c r="E21" s="63" t="n">
        <f aca="false">IF(ISNUMBER(Fleet_1GW!E24),Fleet_1GW!E24*INDEX(B4_Life,1,2)/12,"SLO 不可達")</f>
        <v>1533842810.79943</v>
      </c>
      <c r="F21" s="63" t="n">
        <f aca="false">IF(ISNUMBER(Fleet_1GW!F24),Fleet_1GW!F24*INDEX(B4_Life,1,2)/12,"SLO 不可達")</f>
        <v>6694279955.72217</v>
      </c>
      <c r="G21" s="63" t="n">
        <f aca="false">IF(ISNUMBER(Fleet_1GW!G24),Fleet_1GW!G24*INDEX(B4_Life,1,2)/12,"SLO 不可達")</f>
        <v>6694279955.72217</v>
      </c>
      <c r="H21" s="63" t="n">
        <f aca="false">IF(ISNUMBER(Fleet_1GW!H24),Fleet_1GW!H24*INDEX(B4_Life,1,2)/12,"SLO 不可達")</f>
        <v>6694279955.72217</v>
      </c>
      <c r="I21" s="63" t="n">
        <f aca="false">IF(ISNUMBER(Fleet_1GW!I24),Fleet_1GW!I24*INDEX(B4_Life,1,2)/12,"SLO 不可達")</f>
        <v>9206091897.1077</v>
      </c>
      <c r="J21" s="63" t="n">
        <f aca="false">IF(ISNUMBER(Fleet_1GW!J24),Fleet_1GW!J24*INDEX(B4_Life,1,2)/12,"SLO 不可達")</f>
        <v>9206091897.1077</v>
      </c>
      <c r="K21" s="63" t="n">
        <f aca="false">IF(ISNUMBER(Fleet_1GW!K24),Fleet_1GW!K24*INDEX(B4_Life,1,2)/12,"SLO 不可達")</f>
        <v>9206091897.1077</v>
      </c>
      <c r="L21" s="63" t="n">
        <f aca="false">IF(ISNUMBER(Fleet_1GW!L24),Fleet_1GW!L24*INDEX(B4_Life,1,2)/12,"SLO 不可達")</f>
        <v>15139311272.3734</v>
      </c>
      <c r="M21" s="63" t="n">
        <f aca="false">IF(ISNUMBER(Fleet_1GW!M24),Fleet_1GW!M24*INDEX(B4_Life,1,2)/12,"SLO 不可達")</f>
        <v>15139311272.3734</v>
      </c>
      <c r="N21" s="63" t="n">
        <f aca="false">IF(ISNUMBER(Fleet_1GW!N24),Fleet_1GW!N24*INDEX(B4_Life,1,2)/12,"SLO 不可達")</f>
        <v>15139311272.3734</v>
      </c>
      <c r="O21" s="63" t="n">
        <f aca="false">IF(ISNUMBER(Fleet_1GW!O24),Fleet_1GW!O24*INDEX(B4_Life,1,2)/12,"SLO 不可達")</f>
        <v>21024542825.2942</v>
      </c>
      <c r="P21" s="63" t="n">
        <f aca="false">IF(ISNUMBER(Fleet_1GW!P24),Fleet_1GW!P24*INDEX(B4_Life,1,2)/12,"SLO 不可達")</f>
        <v>21024542825.2942</v>
      </c>
      <c r="Q21" s="63" t="n">
        <f aca="false">IF(ISNUMBER(Fleet_1GW!Q24),Fleet_1GW!Q24*INDEX(B4_Life,1,2)/12,"SLO 不可達")</f>
        <v>21024542825.2942</v>
      </c>
    </row>
    <row r="22" customFormat="false" ht="26.85" hidden="false" customHeight="false" outlineLevel="0" collapsed="false">
      <c r="A22" s="5" t="s">
        <v>2024</v>
      </c>
      <c r="B22" s="62" t="s">
        <v>976</v>
      </c>
      <c r="C22" s="159" t="n">
        <f aca="false">IF(AND(ISNUMBER(C21),ISNUMBER(C19)),IF(C21&gt;0,C19*1000000/C21,0),"SLO 不可達")</f>
        <v>0.114040439741435</v>
      </c>
      <c r="D22" s="159" t="n">
        <f aca="false">IF(AND(ISNUMBER(D21),ISNUMBER(D19)),IF(D21&gt;0,D19*1000000/D21,0),"SLO 不可達")</f>
        <v>0.162940977305579</v>
      </c>
      <c r="E22" s="159" t="n">
        <f aca="false">IF(AND(ISNUMBER(E21),ISNUMBER(E19)),IF(E21&gt;0,E19*1000000/E21,0),"SLO 不可達")</f>
        <v>0.279829588866025</v>
      </c>
      <c r="F22" s="159" t="n">
        <f aca="false">IF(AND(ISNUMBER(F21),ISNUMBER(F19)),IF(F21&gt;0,F19*1000000/F21,0),"SLO 不可達")</f>
        <v>0.0110596099316418</v>
      </c>
      <c r="G22" s="159" t="n">
        <f aca="false">IF(AND(ISNUMBER(G21),ISNUMBER(G19)),IF(G21&gt;0,G19*1000000/G21,0),"SLO 不可達")</f>
        <v>0.0147669057173887</v>
      </c>
      <c r="H22" s="159" t="n">
        <f aca="false">IF(AND(ISNUMBER(H21),ISNUMBER(H19)),IF(H21&gt;0,H19*1000000/H21,0),"SLO 不可達")</f>
        <v>0.0239507339791222</v>
      </c>
      <c r="I22" s="159" t="n">
        <f aca="false">IF(AND(ISNUMBER(I21),ISNUMBER(I19)),IF(I21&gt;0,I19*1000000/I21,0),"SLO 不可達")</f>
        <v>0.00936389932228216</v>
      </c>
      <c r="J22" s="159" t="n">
        <f aca="false">IF(AND(ISNUMBER(J21),ISNUMBER(J19)),IF(J21&gt;0,J19*1000000/J21,0),"SLO 不可達")</f>
        <v>0.0120940178715063</v>
      </c>
      <c r="K22" s="159" t="n">
        <f aca="false">IF(AND(ISNUMBER(K21),ISNUMBER(K19)),IF(K21&gt;0,K19*1000000/K21,0),"SLO 不可達")</f>
        <v>0.0205906550767309</v>
      </c>
      <c r="L22" s="159" t="n">
        <f aca="false">IF(AND(ISNUMBER(L21),ISNUMBER(L19)),IF(L21&gt;0,L19*1000000/L21,0),"SLO 不可達")</f>
        <v>0.00403441053211496</v>
      </c>
      <c r="M22" s="159" t="n">
        <f aca="false">IF(AND(ISNUMBER(M21),ISNUMBER(M19)),IF(M21&gt;0,M19*1000000/M21,0),"SLO 不可達")</f>
        <v>0.00518525758392133</v>
      </c>
      <c r="N22" s="159" t="n">
        <f aca="false">IF(AND(ISNUMBER(N21),ISNUMBER(N19)),IF(N21&gt;0,N19*1000000/N21,0),"SLO 不可達")</f>
        <v>0.00837694419673806</v>
      </c>
      <c r="O22" s="159" t="n">
        <f aca="false">IF(AND(ISNUMBER(O21),ISNUMBER(O19)),IF(O21&gt;0,O19*1000000/O21,0),"SLO 不可達")</f>
        <v>0.00207075943620614</v>
      </c>
      <c r="P22" s="159" t="n">
        <f aca="false">IF(AND(ISNUMBER(P21),ISNUMBER(P19)),IF(P21&gt;0,P19*1000000/P21,0),"SLO 不可達")</f>
        <v>0.00314727040880126</v>
      </c>
      <c r="Q22" s="159" t="n">
        <f aca="false">IF(AND(ISNUMBER(Q21),ISNUMBER(Q19)),IF(Q21&gt;0,Q19*1000000/Q21,0),"SLO 不可達")</f>
        <v>0.00574547266619956</v>
      </c>
    </row>
    <row r="23" customFormat="false" ht="15" hidden="false" customHeight="false" outlineLevel="0" collapsed="false">
      <c r="A23" s="5" t="s">
        <v>2021</v>
      </c>
      <c r="B23" s="62" t="s">
        <v>976</v>
      </c>
      <c r="C23" s="160" t="n">
        <f aca="false"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>0.336534225353718</v>
      </c>
      <c r="D23" s="160" t="n">
        <f aca="false">IF(ISNUMBER(INDEX(IF_CostDec_Sol,1,D$7)),(INDEX(B4_ISL,1,2)*((1-B4_CacheHit)*INDEX(IF_CostPre_Sol,1,D$7)+B4_CacheHit*(INDEX(IF_CostCache_Sol,1,D$7)+Cache_Store!D23))+INDEX(B4_OSL,1,2)*INDEX(IF_CostDec_Sol,1,D$7))/(INDEX(B4_ISL,1,2)+INDEX(B4_OSL,1,2))/IF_Util,"SLO 不可達")</f>
        <v>0.480833503007437</v>
      </c>
      <c r="E23" s="160" t="n">
        <f aca="false">IF(ISNUMBER(INDEX(IF_CostDec_Sol,1,E$7)),(INDEX(B4_ISL,1,2)*((1-B4_CacheHit)*INDEX(IF_CostPre_Sol,1,E$7)+B4_CacheHit*(INDEX(IF_CostCache_Sol,1,E$7)+Cache_Store!E23))+INDEX(B4_OSL,1,2)*INDEX(IF_CostDec_Sol,1,E$7))/(INDEX(B4_ISL,1,2)+INDEX(B4_OSL,1,2))/IF_Util,"SLO 不可達")</f>
        <v>0.825756954860989</v>
      </c>
      <c r="F23" s="160" t="n">
        <f aca="false">IF(ISNUMBER(INDEX(IF_CostDec_Sol,1,F$7)),(INDEX(B4_ISL,1,2)*((1-B4_CacheHit)*INDEX(IF_CostPre_Sol,1,F$7)+B4_CacheHit*(INDEX(IF_CostCache_Sol,1,F$7)+Cache_Store!F23))+INDEX(B4_OSL,1,2)*INDEX(IF_CostDec_Sol,1,F$7))/(INDEX(B4_ISL,1,2)+INDEX(B4_OSL,1,2))/IF_Util,"SLO 不可達")</f>
        <v>0.0755856950640258</v>
      </c>
      <c r="G23" s="160" t="n">
        <f aca="false">IF(ISNUMBER(INDEX(IF_CostDec_Sol,1,G$7)),(INDEX(B4_ISL,1,2)*((1-B4_CacheHit)*INDEX(IF_CostPre_Sol,1,G$7)+B4_CacheHit*(INDEX(IF_CostCache_Sol,1,G$7)+Cache_Store!G23))+INDEX(B4_OSL,1,2)*INDEX(IF_CostDec_Sol,1,G$7))/(INDEX(B4_ISL,1,2)+INDEX(B4_OSL,1,2))/IF_Util,"SLO 不可達")</f>
        <v>0.100917651687873</v>
      </c>
      <c r="H23" s="160" t="n">
        <f aca="false">IF(ISNUMBER(INDEX(IF_CostDec_Sol,1,H$7)),(INDEX(B4_ISL,1,2)*((1-B4_CacheHit)*INDEX(IF_CostPre_Sol,1,H$7)+B4_CacheHit*(INDEX(IF_CostCache_Sol,1,H$7)+Cache_Store!H23))+INDEX(B4_OSL,1,2)*INDEX(IF_CostDec_Sol,1,H$7))/(INDEX(B4_ISL,1,2)+INDEX(B4_OSL,1,2))/IF_Util,"SLO 不可達")</f>
        <v>0.163670761396985</v>
      </c>
      <c r="I23" s="160" t="n">
        <f aca="false">IF(ISNUMBER(INDEX(IF_CostDec_Sol,1,I$7)),(INDEX(B4_ISL,1,2)*((1-B4_CacheHit)*INDEX(IF_CostPre_Sol,1,I$7)+B4_CacheHit*(INDEX(IF_CostCache_Sol,1,I$7)+Cache_Store!I23))+INDEX(B4_OSL,1,2)*INDEX(IF_CostDec_Sol,1,I$7))/(INDEX(B4_ISL,1,2)+INDEX(B4_OSL,1,2))/IF_Util,"SLO 不可達")</f>
        <v>0.0661936935368566</v>
      </c>
      <c r="J23" s="160" t="n">
        <f aca="false">IF(ISNUMBER(INDEX(IF_CostDec_Sol,1,J$7)),(INDEX(B4_ISL,1,2)*((1-B4_CacheHit)*INDEX(IF_CostPre_Sol,1,J$7)+B4_CacheHit*(INDEX(IF_CostCache_Sol,1,J$7)+Cache_Store!J23))+INDEX(B4_OSL,1,2)*INDEX(IF_CostDec_Sol,1,J$7))/(INDEX(B4_ISL,1,2)+INDEX(B4_OSL,1,2))/IF_Util,"SLO 不可達")</f>
        <v>0.0854885055421626</v>
      </c>
      <c r="K23" s="160" t="n">
        <f aca="false">IF(ISNUMBER(INDEX(IF_CostDec_Sol,1,K$7)),(INDEX(B4_ISL,1,2)*((1-B4_CacheHit)*INDEX(IF_CostPre_Sol,1,K$7)+B4_CacheHit*(INDEX(IF_CostCache_Sol,1,K$7)+Cache_Store!K23))+INDEX(B4_OSL,1,2)*INDEX(IF_CostDec_Sol,1,K$7))/(INDEX(B4_ISL,1,2)+INDEX(B4_OSL,1,2))/IF_Util,"SLO 不可達")</f>
        <v>0.145537552715842</v>
      </c>
      <c r="L23" s="160" t="n">
        <f aca="false">IF(ISNUMBER(INDEX(IF_CostDec_Sol,1,L$7)),(INDEX(B4_ISL,1,2)*((1-B4_CacheHit)*INDEX(IF_CostPre_Sol,1,L$7)+B4_CacheHit*(INDEX(IF_CostCache_Sol,1,L$7)+Cache_Store!L23))+INDEX(B4_OSL,1,2)*INDEX(IF_CostDec_Sol,1,L$7))/(INDEX(B4_ISL,1,2)+INDEX(B4_OSL,1,2))/IF_Util,"SLO 不可達")</f>
        <v>0.0497484931122575</v>
      </c>
      <c r="M23" s="160" t="n">
        <f aca="false">IF(ISNUMBER(INDEX(IF_CostDec_Sol,1,M$7)),(INDEX(B4_ISL,1,2)*((1-B4_CacheHit)*INDEX(IF_CostPre_Sol,1,M$7)+B4_CacheHit*(INDEX(IF_CostCache_Sol,1,M$7)+Cache_Store!M23))+INDEX(B4_OSL,1,2)*INDEX(IF_CostDec_Sol,1,M$7))/(INDEX(B4_ISL,1,2)+INDEX(B4_OSL,1,2))/IF_Util,"SLO 不可達")</f>
        <v>0.0639352550202769</v>
      </c>
      <c r="N23" s="160" t="n">
        <f aca="false">IF(ISNUMBER(INDEX(IF_CostDec_Sol,1,N$7)),(INDEX(B4_ISL,1,2)*((1-B4_CacheHit)*INDEX(IF_CostPre_Sol,1,N$7)+B4_CacheHit*(INDEX(IF_CostCache_Sol,1,N$7)+Cache_Store!N23))+INDEX(B4_OSL,1,2)*INDEX(IF_CostDec_Sol,1,N$7))/(INDEX(B4_ISL,1,2)+INDEX(B4_OSL,1,2))/IF_Util,"SLO 不可達")</f>
        <v>0.103279925530552</v>
      </c>
      <c r="O23" s="160" t="n">
        <f aca="false">IF(ISNUMBER(INDEX(IF_CostDec_Sol,1,O$7)),(INDEX(B4_ISL,1,2)*((1-B4_CacheHit)*INDEX(IF_CostPre_Sol,1,O$7)+B4_CacheHit*(INDEX(IF_CostCache_Sol,1,O$7)+Cache_Store!O23))+INDEX(B4_OSL,1,2)*INDEX(IF_CostDec_Sol,1,O$7))/(INDEX(B4_ISL,1,2)+INDEX(B4_OSL,1,2))/IF_Util,"SLO 不可達")</f>
        <v>0.0388307820968141</v>
      </c>
      <c r="P23" s="160" t="n">
        <f aca="false">IF(ISNUMBER(INDEX(IF_CostDec_Sol,1,P$7)),(INDEX(B4_ISL,1,2)*((1-B4_CacheHit)*INDEX(IF_CostPre_Sol,1,P$7)+B4_CacheHit*(INDEX(IF_CostCache_Sol,1,P$7)+Cache_Store!P23))+INDEX(B4_OSL,1,2)*INDEX(IF_CostDec_Sol,1,P$7))/(INDEX(B4_ISL,1,2)+INDEX(B4_OSL,1,2))/IF_Util,"SLO 不可達")</f>
        <v>0.0590094757759281</v>
      </c>
      <c r="Q23" s="160" t="n">
        <f aca="false">IF(ISNUMBER(INDEX(IF_CostDec_Sol,1,Q$7)),(INDEX(B4_ISL,1,2)*((1-B4_CacheHit)*INDEX(IF_CostPre_Sol,1,Q$7)+B4_CacheHit*(INDEX(IF_CostCache_Sol,1,Q$7)+Cache_Store!Q23))+INDEX(B4_OSL,1,2)*INDEX(IF_CostDec_Sol,1,Q$7))/(INDEX(B4_ISL,1,2)+INDEX(B4_OSL,1,2))/IF_Util,"SLO 不可達")</f>
        <v>0.10771155945468</v>
      </c>
    </row>
    <row r="24" customFormat="false" ht="15" hidden="false" customHeight="false" outlineLevel="0" collapsed="false">
      <c r="A24" s="5" t="s">
        <v>2025</v>
      </c>
      <c r="B24" s="62" t="s">
        <v>976</v>
      </c>
      <c r="C24" s="161" t="n">
        <f aca="false">IF(ISNUMBER(C23),Fleet_1GW!C13/(1-Fleet_1GW!C13)*C23,"SLO 不可達")</f>
        <v>0.484280958435838</v>
      </c>
      <c r="D24" s="161" t="n">
        <f aca="false">IF(ISNUMBER(D23),Fleet_1GW!D13/(1-Fleet_1GW!D13)*D23,"SLO 不可達")</f>
        <v>0.691931138474116</v>
      </c>
      <c r="E24" s="161" t="n">
        <f aca="false">IF(ISNUMBER(E23),Fleet_1GW!E13/(1-Fleet_1GW!E13)*E23,"SLO 不可達")</f>
        <v>1.1882843984585</v>
      </c>
      <c r="F24" s="161" t="n">
        <f aca="false">IF(ISNUMBER(F23),Fleet_1GW!F13/(1-Fleet_1GW!F13)*F23,"SLO 不可達")</f>
        <v>0.108769658750671</v>
      </c>
      <c r="G24" s="161" t="n">
        <f aca="false">IF(ISNUMBER(G23),Fleet_1GW!G13/(1-Fleet_1GW!G13)*G23,"SLO 不可達")</f>
        <v>0.145222962184988</v>
      </c>
      <c r="H24" s="161" t="n">
        <f aca="false">IF(ISNUMBER(H23),Fleet_1GW!H13/(1-Fleet_1GW!H13)*H23,"SLO 不可達")</f>
        <v>0.235526217620051</v>
      </c>
      <c r="I24" s="161" t="n">
        <f aca="false">IF(ISNUMBER(I23),Fleet_1GW!I13/(1-Fleet_1GW!I13)*I23,"SLO 不可達")</f>
        <v>0.0952543394798669</v>
      </c>
      <c r="J24" s="161" t="n">
        <f aca="false">IF(ISNUMBER(J23),Fleet_1GW!J13/(1-Fleet_1GW!J13)*J23,"SLO 不可達")</f>
        <v>0.123020044560673</v>
      </c>
      <c r="K24" s="161" t="n">
        <f aca="false">IF(ISNUMBER(K23),Fleet_1GW!K13/(1-Fleet_1GW!K13)*K23,"SLO 不可達")</f>
        <v>0.209432088054504</v>
      </c>
      <c r="L24" s="161" t="n">
        <f aca="false">IF(ISNUMBER(L23),Fleet_1GW!L13/(1-Fleet_1GW!L13)*L23,"SLO 不可達")</f>
        <v>0.0715892949664193</v>
      </c>
      <c r="M24" s="161" t="n">
        <f aca="false">IF(ISNUMBER(M23),Fleet_1GW!M13/(1-Fleet_1GW!M13)*M23,"SLO 不可達")</f>
        <v>0.0920043913706423</v>
      </c>
      <c r="N24" s="161" t="n">
        <f aca="false">IF(ISNUMBER(N23),Fleet_1GW!N13/(1-Fleet_1GW!N13)*N23,"SLO 不可達")</f>
        <v>0.148622331861039</v>
      </c>
      <c r="O24" s="161" t="n">
        <f aca="false">IF(ISNUMBER(O23),Fleet_1GW!O13/(1-Fleet_1GW!O13)*O23,"SLO 不可達")</f>
        <v>0.0558784425295617</v>
      </c>
      <c r="P24" s="161" t="n">
        <f aca="false">IF(ISNUMBER(P23),Fleet_1GW!P13/(1-Fleet_1GW!P13)*P23,"SLO 不可達")</f>
        <v>0.0849160748970673</v>
      </c>
      <c r="Q24" s="161" t="n">
        <f aca="false">IF(ISNUMBER(Q23),Fleet_1GW!Q13/(1-Fleet_1GW!Q13)*Q23,"SLO 不可達")</f>
        <v>0.154999561166491</v>
      </c>
    </row>
    <row r="25" customFormat="false" ht="15" hidden="false" customHeight="false" outlineLevel="0" collapsed="false">
      <c r="A25" s="5" t="s">
        <v>2023</v>
      </c>
      <c r="B25" s="62" t="s">
        <v>118</v>
      </c>
      <c r="C25" s="75" t="n">
        <f aca="false">IF(AND(ISNUMBER(C22),ISNUMBER(C24)),IF(C22&gt;0,C24/C22,0),"SLO 不可達")</f>
        <v>4.24657217679844</v>
      </c>
      <c r="D25" s="75" t="n">
        <f aca="false">IF(AND(ISNUMBER(D22),ISNUMBER(D24)),IF(D22&gt;0,D24/D22,0),"SLO 不可達")</f>
        <v>4.24651398264583</v>
      </c>
      <c r="E25" s="75" t="n">
        <f aca="false">IF(AND(ISNUMBER(E22),ISNUMBER(E24)),IF(E22&gt;0,E24/E22,0),"SLO 不可達")</f>
        <v>4.24645729307566</v>
      </c>
      <c r="F25" s="75" t="n">
        <f aca="false">IF(AND(ISNUMBER(F22),ISNUMBER(F24)),IF(F22&gt;0,F24/F22,0),"SLO 不可達")</f>
        <v>9.83485488393931</v>
      </c>
      <c r="G25" s="75" t="n">
        <f aca="false">IF(AND(ISNUMBER(G22),ISNUMBER(G24)),IF(G22&gt;0,G24/G22,0),"SLO 不可達")</f>
        <v>9.83435290806943</v>
      </c>
      <c r="H25" s="75" t="n">
        <f aca="false">IF(AND(ISNUMBER(H22),ISNUMBER(H24)),IF(H22&gt;0,H24/H22,0),"SLO 不可達")</f>
        <v>9.83377869861353</v>
      </c>
      <c r="I25" s="75" t="n">
        <f aca="false">IF(AND(ISNUMBER(I22),ISNUMBER(I24)),IF(I22&gt;0,I24/I22,0),"SLO 不可達")</f>
        <v>10.1725078625313</v>
      </c>
      <c r="J25" s="75" t="n">
        <f aca="false">IF(AND(ISNUMBER(J22),ISNUMBER(J24)),IF(J22&gt;0,J24/J22,0),"SLO 不可達")</f>
        <v>10.1719747620442</v>
      </c>
      <c r="K25" s="75" t="n">
        <f aca="false">IF(AND(ISNUMBER(K22),ISNUMBER(K24)),IF(K22&gt;0,K24/K22,0),"SLO 不可達")</f>
        <v>10.1712202586104</v>
      </c>
      <c r="L25" s="75" t="n">
        <f aca="false">IF(AND(ISNUMBER(L22),ISNUMBER(L24)),IF(L22&gt;0,L24/L22,0),"SLO 不可達")</f>
        <v>17.7446728330074</v>
      </c>
      <c r="M25" s="75" t="n">
        <f aca="false">IF(AND(ISNUMBER(M22),ISNUMBER(M24)),IF(M22&gt;0,M24/M22,0),"SLO 不可達")</f>
        <v>17.7434563050317</v>
      </c>
      <c r="N25" s="75" t="n">
        <f aca="false">IF(AND(ISNUMBER(N22),ISNUMBER(N24)),IF(N22&gt;0,N24/N22,0),"SLO 不可達")</f>
        <v>17.7418314328644</v>
      </c>
      <c r="O25" s="75" t="n">
        <f aca="false">IF(AND(ISNUMBER(O22),ISNUMBER(O24)),IF(O22&gt;0,O24/O22,0),"SLO 不可達")</f>
        <v>26.9845166717855</v>
      </c>
      <c r="P25" s="75" t="n">
        <f aca="false">IF(AND(ISNUMBER(P22),ISNUMBER(P24)),IF(P22&gt;0,P24/P22,0),"SLO 不可達")</f>
        <v>26.9808640082535</v>
      </c>
      <c r="Q25" s="75" t="n">
        <f aca="false">IF(AND(ISNUMBER(Q22),ISNUMBER(Q24)),IF(Q22&gt;0,Q24/Q22,0),"SLO 不可達")</f>
        <v>26.9776866363579</v>
      </c>
    </row>
    <row r="26" customFormat="false" ht="29.85" hidden="false" customHeight="false" outlineLevel="0" collapsed="false">
      <c r="A26" s="5" t="s">
        <v>2026</v>
      </c>
      <c r="B26" s="62" t="s">
        <v>113</v>
      </c>
      <c r="C26" s="162" t="n">
        <f aca="false">IF(ISNUMBER(C22),C22/(INDEX(B4_EffRef,1,2)-INDEX(B4_EffRef,1,1)),"SLO 不可達")</f>
        <v>0.0746946289643193</v>
      </c>
      <c r="D26" s="162" t="n">
        <f aca="false">IF(ISNUMBER(D22),D22/(INDEX(B4_EffRef,1,2)-INDEX(B4_EffRef,1,1)),"SLO 不可達")</f>
        <v>0.106723683901243</v>
      </c>
      <c r="E26" s="162" t="n">
        <f aca="false">IF(ISNUMBER(E22),E22/(INDEX(B4_EffRef,1,2)-INDEX(B4_EffRef,1,1)),"SLO 不可達")</f>
        <v>0.183283818976641</v>
      </c>
      <c r="F26" s="162" t="n">
        <f aca="false">IF(ISNUMBER(F22),F22/(INDEX(B4_EffRef,1,2)-INDEX(B4_EffRef,1,1)),"SLO 不可達")</f>
        <v>0.00724386421349386</v>
      </c>
      <c r="G26" s="162" t="n">
        <f aca="false">IF(ISNUMBER(G22),G22/(INDEX(B4_EffRef,1,2)-INDEX(B4_EffRef,1,1)),"SLO 不可達")</f>
        <v>0.00967208251750247</v>
      </c>
      <c r="H26" s="162" t="n">
        <f aca="false">IF(ISNUMBER(H22),H22/(INDEX(B4_EffRef,1,2)-INDEX(B4_EffRef,1,1)),"SLO 不可達")</f>
        <v>0.015687340315855</v>
      </c>
      <c r="I26" s="162" t="n">
        <f aca="false">IF(ISNUMBER(I22),I22/(INDEX(B4_EffRef,1,2)-INDEX(B4_EffRef,1,1)),"SLO 不可達")</f>
        <v>0.00613320140752645</v>
      </c>
      <c r="J26" s="162" t="n">
        <f aca="false">IF(ISNUMBER(J22),J22/(INDEX(B4_EffRef,1,2)-INDEX(B4_EffRef,1,1)),"SLO 不可達")</f>
        <v>0.00792138455137667</v>
      </c>
      <c r="K26" s="162" t="n">
        <f aca="false">IF(ISNUMBER(K22),K22/(INDEX(B4_EffRef,1,2)-INDEX(B4_EffRef,1,1)),"SLO 不可達")</f>
        <v>0.0134865434101783</v>
      </c>
      <c r="L26" s="162" t="n">
        <f aca="false">IF(ISNUMBER(L22),L22/(INDEX(B4_EffRef,1,2)-INDEX(B4_EffRef,1,1)),"SLO 不可達")</f>
        <v>0.00264247313031517</v>
      </c>
      <c r="M26" s="162" t="n">
        <f aca="false">IF(ISNUMBER(M22),M22/(INDEX(B4_EffRef,1,2)-INDEX(B4_EffRef,1,1)),"SLO 不可達")</f>
        <v>0.0033962591883509</v>
      </c>
      <c r="N26" s="162" t="n">
        <f aca="false">IF(ISNUMBER(N22),N22/(INDEX(B4_EffRef,1,2)-INDEX(B4_EffRef,1,1)),"SLO 不可達")</f>
        <v>0.0054867618894564</v>
      </c>
      <c r="O26" s="162" t="n">
        <f aca="false">IF(ISNUMBER(O22),O22/(INDEX(B4_EffRef,1,2)-INDEX(B4_EffRef,1,1)),"SLO 不可達")</f>
        <v>0.0013563136735747</v>
      </c>
      <c r="P26" s="162" t="n">
        <f aca="false">IF(ISNUMBER(P22),P22/(INDEX(B4_EffRef,1,2)-INDEX(B4_EffRef,1,1)),"SLO 不可達")</f>
        <v>0.00206141081154019</v>
      </c>
      <c r="Q26" s="162" t="n">
        <f aca="false">IF(ISNUMBER(Q22),Q22/(INDEX(B4_EffRef,1,2)-INDEX(B4_EffRef,1,1)),"SLO 不可達")</f>
        <v>0.00376319093471967</v>
      </c>
    </row>
    <row r="28" customFormat="false" ht="15" hidden="false" customHeight="false" outlineLevel="0" collapsed="false">
      <c r="A28" s="76" t="s">
        <v>280</v>
      </c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</row>
    <row r="29" customFormat="false" ht="15" hidden="false" customHeight="false" outlineLevel="0" collapsed="false">
      <c r="A29" s="5" t="s">
        <v>2016</v>
      </c>
      <c r="B29" s="62" t="s">
        <v>1021</v>
      </c>
      <c r="C29" s="75" t="n">
        <f aca="false">INDEX(IF_ProgCost_Astra,1,C$7)</f>
        <v>1065.16743684915</v>
      </c>
      <c r="D29" s="75" t="n">
        <f aca="false">INDEX(IF_ProgCost_Astra,1,D$7)</f>
        <v>1521.91120577745</v>
      </c>
      <c r="E29" s="75" t="n">
        <f aca="false">INDEX(IF_ProgCost_Astra,1,E$7)</f>
        <v>2613.68130991761</v>
      </c>
      <c r="F29" s="75" t="n">
        <f aca="false">INDEX(IF_ProgCost_Astra,1,F$7)</f>
        <v>465.455930936714</v>
      </c>
      <c r="G29" s="75" t="n">
        <f aca="false">INDEX(IF_ProgCost_Astra,1,G$7)</f>
        <v>621.48157938889</v>
      </c>
      <c r="H29" s="75" t="n">
        <f aca="false">INDEX(IF_ProgCost_Astra,1,H$7)</f>
        <v>1007.99316158296</v>
      </c>
      <c r="I29" s="75" t="n">
        <f aca="false">INDEX(IF_ProgCost_Astra,1,I$7)</f>
        <v>552.821212490455</v>
      </c>
      <c r="J29" s="75" t="n">
        <f aca="false">INDEX(IF_ProgCost_Astra,1,J$7)</f>
        <v>714.000588162868</v>
      </c>
      <c r="K29" s="75" t="n">
        <f aca="false">INDEX(IF_ProgCost_Astra,1,K$7)</f>
        <v>1215.62081283856</v>
      </c>
      <c r="L29" s="75" t="n">
        <f aca="false">INDEX(IF_ProgCost_Astra,1,L$7)</f>
        <v>380.652805094568</v>
      </c>
      <c r="M29" s="75" t="n">
        <f aca="false">INDEX(IF_ProgCost_Astra,1,M$7)</f>
        <v>489.236984869465</v>
      </c>
      <c r="N29" s="75" t="n">
        <f aca="false">INDEX(IF_ProgCost_Astra,1,N$7)</f>
        <v>790.377499073548</v>
      </c>
      <c r="O29" s="75" t="n">
        <f aca="false">INDEX(IF_ProgCost_Astra,1,O$7)</f>
        <v>275.298530538818</v>
      </c>
      <c r="P29" s="75" t="n">
        <f aca="false">INDEX(IF_ProgCost_Astra,1,P$7)</f>
        <v>418.416018588187</v>
      </c>
      <c r="Q29" s="75" t="n">
        <f aca="false">INDEX(IF_ProgCost_Astra,1,Q$7)</f>
        <v>763.835795988727</v>
      </c>
    </row>
    <row r="30" customFormat="false" ht="15" hidden="false" customHeight="false" outlineLevel="0" collapsed="false">
      <c r="A30" s="5" t="s">
        <v>2017</v>
      </c>
      <c r="B30" s="62" t="s">
        <v>931</v>
      </c>
      <c r="C30" s="63" t="n">
        <f aca="false">IF(AND(ISNUMBER(Fleet_1GW!C27),ISNUMBER(Fleet_1GW!C28)),Fleet_1GW!C27+Fleet_1GW!C28,"SLO 不可達")</f>
        <v>511280936.933144</v>
      </c>
      <c r="D30" s="63" t="n">
        <f aca="false">IF(AND(ISNUMBER(Fleet_1GW!D27),ISNUMBER(Fleet_1GW!D28)),Fleet_1GW!D27+Fleet_1GW!D28,"SLO 不可達")</f>
        <v>511280936.933144</v>
      </c>
      <c r="E30" s="63" t="n">
        <f aca="false">IF(AND(ISNUMBER(Fleet_1GW!E27),ISNUMBER(Fleet_1GW!E28)),Fleet_1GW!E27+Fleet_1GW!E28,"SLO 不可達")</f>
        <v>511280936.933144</v>
      </c>
      <c r="F30" s="63" t="n">
        <f aca="false">IF(AND(ISNUMBER(Fleet_1GW!F27),ISNUMBER(Fleet_1GW!F28)),Fleet_1GW!F27+Fleet_1GW!F28,"SLO 不可達")</f>
        <v>2231426651.90739</v>
      </c>
      <c r="G30" s="63" t="n">
        <f aca="false">IF(AND(ISNUMBER(Fleet_1GW!G27),ISNUMBER(Fleet_1GW!G28)),Fleet_1GW!G27+Fleet_1GW!G28,"SLO 不可達")</f>
        <v>2231426651.90739</v>
      </c>
      <c r="H30" s="63" t="n">
        <f aca="false">IF(AND(ISNUMBER(Fleet_1GW!H27),ISNUMBER(Fleet_1GW!H28)),Fleet_1GW!H27+Fleet_1GW!H28,"SLO 不可達")</f>
        <v>2231426651.90739</v>
      </c>
      <c r="I30" s="63" t="n">
        <f aca="false">IF(AND(ISNUMBER(Fleet_1GW!I27),ISNUMBER(Fleet_1GW!I28)),Fleet_1GW!I27+Fleet_1GW!I28,"SLO 不可達")</f>
        <v>3068697299.0359</v>
      </c>
      <c r="J30" s="63" t="n">
        <f aca="false">IF(AND(ISNUMBER(Fleet_1GW!J27),ISNUMBER(Fleet_1GW!J28)),Fleet_1GW!J27+Fleet_1GW!J28,"SLO 不可達")</f>
        <v>3068697299.0359</v>
      </c>
      <c r="K30" s="63" t="n">
        <f aca="false">IF(AND(ISNUMBER(Fleet_1GW!K27),ISNUMBER(Fleet_1GW!K28)),Fleet_1GW!K27+Fleet_1GW!K28,"SLO 不可達")</f>
        <v>3068697299.0359</v>
      </c>
      <c r="L30" s="63" t="n">
        <f aca="false">IF(AND(ISNUMBER(Fleet_1GW!L27),ISNUMBER(Fleet_1GW!L28)),Fleet_1GW!L27+Fleet_1GW!L28,"SLO 不可達")</f>
        <v>5046437090.79114</v>
      </c>
      <c r="M30" s="63" t="n">
        <f aca="false">IF(AND(ISNUMBER(Fleet_1GW!M27),ISNUMBER(Fleet_1GW!M28)),Fleet_1GW!M27+Fleet_1GW!M28,"SLO 不可達")</f>
        <v>5046437090.79114</v>
      </c>
      <c r="N30" s="63" t="n">
        <f aca="false">IF(AND(ISNUMBER(Fleet_1GW!N27),ISNUMBER(Fleet_1GW!N28)),Fleet_1GW!N27+Fleet_1GW!N28,"SLO 不可達")</f>
        <v>5046437090.79114</v>
      </c>
      <c r="O30" s="63" t="n">
        <f aca="false">IF(AND(ISNUMBER(Fleet_1GW!O27),ISNUMBER(Fleet_1GW!O28)),Fleet_1GW!O27+Fleet_1GW!O28,"SLO 不可達")</f>
        <v>7008180941.76473</v>
      </c>
      <c r="P30" s="63" t="n">
        <f aca="false">IF(AND(ISNUMBER(Fleet_1GW!P27),ISNUMBER(Fleet_1GW!P28)),Fleet_1GW!P27+Fleet_1GW!P28,"SLO 不可達")</f>
        <v>7008180941.76473</v>
      </c>
      <c r="Q30" s="63" t="n">
        <f aca="false">IF(AND(ISNUMBER(Fleet_1GW!Q27),ISNUMBER(Fleet_1GW!Q28)),Fleet_1GW!Q27+Fleet_1GW!Q28,"SLO 不可達")</f>
        <v>7008180941.76473</v>
      </c>
    </row>
    <row r="31" customFormat="false" ht="29.85" hidden="false" customHeight="false" outlineLevel="0" collapsed="false">
      <c r="A31" s="5" t="s">
        <v>2018</v>
      </c>
      <c r="B31" s="62" t="s">
        <v>2019</v>
      </c>
      <c r="C31" s="63" t="n">
        <f aca="false">IF(ISNUMBER(Fleet_1GW!C27),Fleet_1GW!C27*INDEX(B4_Life,1,3)/12,"SLO 不可達")</f>
        <v>383460702.699858</v>
      </c>
      <c r="D31" s="63" t="n">
        <f aca="false">IF(ISNUMBER(Fleet_1GW!D27),Fleet_1GW!D27*INDEX(B4_Life,1,3)/12,"SLO 不可達")</f>
        <v>383460702.699858</v>
      </c>
      <c r="E31" s="63" t="n">
        <f aca="false">IF(ISNUMBER(Fleet_1GW!E27),Fleet_1GW!E27*INDEX(B4_Life,1,3)/12,"SLO 不可達")</f>
        <v>383460702.699858</v>
      </c>
      <c r="F31" s="63" t="n">
        <f aca="false">IF(ISNUMBER(Fleet_1GW!F27),Fleet_1GW!F27*INDEX(B4_Life,1,3)/12,"SLO 不可達")</f>
        <v>1673569988.93054</v>
      </c>
      <c r="G31" s="63" t="n">
        <f aca="false">IF(ISNUMBER(Fleet_1GW!G27),Fleet_1GW!G27*INDEX(B4_Life,1,3)/12,"SLO 不可達")</f>
        <v>1673569988.93054</v>
      </c>
      <c r="H31" s="63" t="n">
        <f aca="false">IF(ISNUMBER(Fleet_1GW!H27),Fleet_1GW!H27*INDEX(B4_Life,1,3)/12,"SLO 不可達")</f>
        <v>1673569988.93054</v>
      </c>
      <c r="I31" s="63" t="n">
        <f aca="false">IF(ISNUMBER(Fleet_1GW!I27),Fleet_1GW!I27*INDEX(B4_Life,1,3)/12,"SLO 不可達")</f>
        <v>2301522974.27693</v>
      </c>
      <c r="J31" s="63" t="n">
        <f aca="false">IF(ISNUMBER(Fleet_1GW!J27),Fleet_1GW!J27*INDEX(B4_Life,1,3)/12,"SLO 不可達")</f>
        <v>2301522974.27693</v>
      </c>
      <c r="K31" s="63" t="n">
        <f aca="false">IF(ISNUMBER(Fleet_1GW!K27),Fleet_1GW!K27*INDEX(B4_Life,1,3)/12,"SLO 不可達")</f>
        <v>2301522974.27693</v>
      </c>
      <c r="L31" s="63" t="n">
        <f aca="false">IF(ISNUMBER(Fleet_1GW!L27),Fleet_1GW!L27*INDEX(B4_Life,1,3)/12,"SLO 不可達")</f>
        <v>3784827818.09335</v>
      </c>
      <c r="M31" s="63" t="n">
        <f aca="false">IF(ISNUMBER(Fleet_1GW!M27),Fleet_1GW!M27*INDEX(B4_Life,1,3)/12,"SLO 不可達")</f>
        <v>3784827818.09335</v>
      </c>
      <c r="N31" s="63" t="n">
        <f aca="false">IF(ISNUMBER(Fleet_1GW!N27),Fleet_1GW!N27*INDEX(B4_Life,1,3)/12,"SLO 不可達")</f>
        <v>3784827818.09335</v>
      </c>
      <c r="O31" s="63" t="n">
        <f aca="false">IF(ISNUMBER(Fleet_1GW!O27),Fleet_1GW!O27*INDEX(B4_Life,1,3)/12,"SLO 不可達")</f>
        <v>5256135706.32354</v>
      </c>
      <c r="P31" s="63" t="n">
        <f aca="false">IF(ISNUMBER(Fleet_1GW!P27),Fleet_1GW!P27*INDEX(B4_Life,1,3)/12,"SLO 不可達")</f>
        <v>5256135706.32354</v>
      </c>
      <c r="Q31" s="63" t="n">
        <f aca="false">IF(ISNUMBER(Fleet_1GW!Q27),Fleet_1GW!Q27*INDEX(B4_Life,1,3)/12,"SLO 不可達")</f>
        <v>5256135706.32354</v>
      </c>
    </row>
    <row r="32" customFormat="false" ht="26.85" hidden="false" customHeight="false" outlineLevel="0" collapsed="false">
      <c r="A32" s="5" t="s">
        <v>2027</v>
      </c>
      <c r="B32" s="62" t="s">
        <v>976</v>
      </c>
      <c r="C32" s="159" t="n">
        <f aca="false">IF(AND(ISNUMBER(C31),ISNUMBER(C29)),IF(C31&gt;0,C29*1000000/C31,0),"SLO 不可達")</f>
        <v>2.77777469594551</v>
      </c>
      <c r="D32" s="159" t="n">
        <f aca="false">IF(AND(ISNUMBER(D31),ISNUMBER(D29)),IF(D31&gt;0,D29*1000000/D31,0),"SLO 不可達")</f>
        <v>3.96888441256699</v>
      </c>
      <c r="E32" s="159" t="n">
        <f aca="false">IF(AND(ISNUMBER(E31),ISNUMBER(E29)),IF(E31&gt;0,E29*1000000/E31,0),"SLO 不可達")</f>
        <v>6.81603431985413</v>
      </c>
      <c r="F32" s="159" t="n">
        <f aca="false">IF(AND(ISNUMBER(F31),ISNUMBER(F29)),IF(F31&gt;0,F29*1000000/F31,0),"SLO 不可達")</f>
        <v>0.278121580821459</v>
      </c>
      <c r="G32" s="159" t="n">
        <f aca="false">IF(AND(ISNUMBER(G31),ISNUMBER(G29)),IF(G31&gt;0,G29*1000000/G31,0),"SLO 不可達")</f>
        <v>0.371350815023897</v>
      </c>
      <c r="H32" s="159" t="n">
        <f aca="false">IF(AND(ISNUMBER(H31),ISNUMBER(H29)),IF(H31&gt;0,H29*1000000/H31,0),"SLO 不可達")</f>
        <v>0.602301169505969</v>
      </c>
      <c r="I32" s="159" t="n">
        <f aca="false">IF(AND(ISNUMBER(I31),ISNUMBER(I29)),IF(I31&gt;0,I29*1000000/I31,0),"SLO 不可達")</f>
        <v>0.24019799874652</v>
      </c>
      <c r="J32" s="159" t="n">
        <f aca="false">IF(AND(ISNUMBER(J31),ISNUMBER(J29)),IF(J31&gt;0,J29*1000000/J31,0),"SLO 不可達")</f>
        <v>0.310229615842608</v>
      </c>
      <c r="K32" s="159" t="n">
        <f aca="false">IF(AND(ISNUMBER(K31),ISNUMBER(K29)),IF(K31&gt;0,K29*1000000/K31,0),"SLO 不可達")</f>
        <v>0.528181046387546</v>
      </c>
      <c r="L32" s="159" t="n">
        <f aca="false">IF(AND(ISNUMBER(L31),ISNUMBER(L29)),IF(L31&gt;0,L29*1000000/L31,0),"SLO 不可達")</f>
        <v>0.100573347953864</v>
      </c>
      <c r="M32" s="159" t="n">
        <f aca="false">IF(AND(ISNUMBER(M31),ISNUMBER(M29)),IF(M31&gt;0,M29*1000000/M31,0),"SLO 不可達")</f>
        <v>0.129262679409264</v>
      </c>
      <c r="N32" s="159" t="n">
        <f aca="false">IF(AND(ISNUMBER(N31),ISNUMBER(N29)),IF(N31&gt;0,N29*1000000/N31,0),"SLO 不可達")</f>
        <v>0.208827861414237</v>
      </c>
      <c r="O32" s="159" t="n">
        <f aca="false">IF(AND(ISNUMBER(O31),ISNUMBER(O29)),IF(O31&gt;0,O29*1000000/O31,0),"SLO 不可達")</f>
        <v>0.0523766024928945</v>
      </c>
      <c r="P32" s="159" t="n">
        <f aca="false">IF(AND(ISNUMBER(P31),ISNUMBER(P29)),IF(P31&gt;0,P29*1000000/P31,0),"SLO 不可達")</f>
        <v>0.0796052541194475</v>
      </c>
      <c r="Q32" s="159" t="n">
        <f aca="false">IF(AND(ISNUMBER(Q31),ISNUMBER(Q29)),IF(Q31&gt;0,Q29*1000000/Q31,0),"SLO 不可達")</f>
        <v>0.145322693070838</v>
      </c>
    </row>
    <row r="33" customFormat="false" ht="15" hidden="false" customHeight="false" outlineLevel="0" collapsed="false">
      <c r="A33" s="5" t="s">
        <v>2021</v>
      </c>
      <c r="B33" s="62" t="s">
        <v>976</v>
      </c>
      <c r="C33" s="160" t="n">
        <f aca="false"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>1.66263672159069</v>
      </c>
      <c r="D33" s="160" t="n">
        <f aca="false">IF(ISNUMBER(INDEX(IF_CostDec_Astra,1,D$7)),(INDEX(B4_ISL,1,3)*((1-B4_CacheHit)*INDEX(IF_CostPre_Astra,1,D$7)+B4_CacheHit*(INDEX(IF_CostCache_Astra,1,D$7)+Cache_Store!D29))+INDEX(B4_OSL,1,3)*INDEX(IF_CostDec_Astra,1,D$7))/(INDEX(B4_ISL,1,3)+INDEX(B4_OSL,1,3))/IF_Util,"SLO 不可達")</f>
        <v>2.37547958012256</v>
      </c>
      <c r="E33" s="160" t="n">
        <f aca="false">IF(ISNUMBER(INDEX(IF_CostDec_Astra,1,E$7)),(INDEX(B4_ISL,1,3)*((1-B4_CacheHit)*INDEX(IF_CostPre_Astra,1,E$7)+B4_CacheHit*(INDEX(IF_CostCache_Astra,1,E$7)+Cache_Store!E29))+INDEX(B4_OSL,1,3)*INDEX(IF_CostDec_Astra,1,E$7))/(INDEX(B4_ISL,1,3)+INDEX(B4_OSL,1,3))/IF_Util,"SLO 不可達")</f>
        <v>4.07941201410193</v>
      </c>
      <c r="F33" s="160" t="n">
        <f aca="false">IF(ISNUMBER(INDEX(IF_CostDec_Astra,1,F$7)),(INDEX(B4_ISL,1,3)*((1-B4_CacheHit)*INDEX(IF_CostPre_Astra,1,F$7)+B4_CacheHit*(INDEX(IF_CostCache_Astra,1,F$7)+Cache_Store!F29))+INDEX(B4_OSL,1,3)*INDEX(IF_CostDec_Astra,1,F$7))/(INDEX(B4_ISL,1,3)+INDEX(B4_OSL,1,3))/IF_Util,"SLO 不可達")</f>
        <v>0.370608190541235</v>
      </c>
      <c r="G33" s="160" t="n">
        <f aca="false">IF(ISNUMBER(INDEX(IF_CostDec_Astra,1,G$7)),(INDEX(B4_ISL,1,3)*((1-B4_CacheHit)*INDEX(IF_CostPre_Astra,1,G$7)+B4_CacheHit*(INDEX(IF_CostCache_Astra,1,G$7)+Cache_Store!G29))+INDEX(B4_OSL,1,3)*INDEX(IF_CostDec_Astra,1,G$7))/(INDEX(B4_ISL,1,3)+INDEX(B4_OSL,1,3))/IF_Util,"SLO 不可達")</f>
        <v>0.494765062808293</v>
      </c>
      <c r="H33" s="160" t="n">
        <f aca="false">IF(ISNUMBER(INDEX(IF_CostDec_Astra,1,H$7)),(INDEX(B4_ISL,1,3)*((1-B4_CacheHit)*INDEX(IF_CostPre_Astra,1,H$7)+B4_CacheHit*(INDEX(IF_CostCache_Astra,1,H$7)+Cache_Store!H29))+INDEX(B4_OSL,1,3)*INDEX(IF_CostDec_Astra,1,H$7))/(INDEX(B4_ISL,1,3)+INDEX(B4_OSL,1,3))/IF_Util,"SLO 不可達")</f>
        <v>0.802330322855367</v>
      </c>
      <c r="I33" s="160" t="n">
        <f aca="false">IF(ISNUMBER(INDEX(IF_CostDec_Astra,1,I$7)),(INDEX(B4_ISL,1,3)*((1-B4_CacheHit)*INDEX(IF_CostPre_Astra,1,I$7)+B4_CacheHit*(INDEX(IF_CostCache_Astra,1,I$7)+Cache_Store!I29))+INDEX(B4_OSL,1,3)*INDEX(IF_CostDec_Astra,1,I$7))/(INDEX(B4_ISL,1,3)+INDEX(B4_OSL,1,3))/IF_Util,"SLO 不可達")</f>
        <v>0.358324482905226</v>
      </c>
      <c r="J33" s="160" t="n">
        <f aca="false">IF(ISNUMBER(INDEX(IF_CostDec_Astra,1,J$7)),(INDEX(B4_ISL,1,3)*((1-B4_CacheHit)*INDEX(IF_CostPre_Astra,1,J$7)+B4_CacheHit*(INDEX(IF_CostCache_Astra,1,J$7)+Cache_Store!J29))+INDEX(B4_OSL,1,3)*INDEX(IF_CostDec_Astra,1,J$7))/(INDEX(B4_ISL,1,3)+INDEX(B4_OSL,1,3))/IF_Util,"SLO 不可達")</f>
        <v>0.462731719727564</v>
      </c>
      <c r="K33" s="160" t="n">
        <f aca="false">IF(ISNUMBER(INDEX(IF_CostDec_Astra,1,K$7)),(INDEX(B4_ISL,1,3)*((1-B4_CacheHit)*INDEX(IF_CostPre_Astra,1,K$7)+B4_CacheHit*(INDEX(IF_CostCache_Astra,1,K$7)+Cache_Store!K29))+INDEX(B4_OSL,1,3)*INDEX(IF_CostDec_Astra,1,K$7))/(INDEX(B4_ISL,1,3)+INDEX(B4_OSL,1,3))/IF_Util,"SLO 不可達")</f>
        <v>0.78766647874434</v>
      </c>
      <c r="L33" s="160" t="n">
        <f aca="false">IF(ISNUMBER(INDEX(IF_CostDec_Astra,1,L$7)),(INDEX(B4_ISL,1,3)*((1-B4_CacheHit)*INDEX(IF_CostPre_Astra,1,L$7)+B4_CacheHit*(INDEX(IF_CostCache_Astra,1,L$7)+Cache_Store!L29))+INDEX(B4_OSL,1,3)*INDEX(IF_CostDec_Astra,1,L$7))/(INDEX(B4_ISL,1,3)+INDEX(B4_OSL,1,3))/IF_Util,"SLO 不可達")</f>
        <v>0.228405666106599</v>
      </c>
      <c r="M33" s="160" t="n">
        <f aca="false">IF(ISNUMBER(INDEX(IF_CostDec_Astra,1,M$7)),(INDEX(B4_ISL,1,3)*((1-B4_CacheHit)*INDEX(IF_CostPre_Astra,1,M$7)+B4_CacheHit*(INDEX(IF_CostCache_Astra,1,M$7)+Cache_Store!M29))+INDEX(B4_OSL,1,3)*INDEX(IF_CostDec_Astra,1,M$7))/(INDEX(B4_ISL,1,3)+INDEX(B4_OSL,1,3))/IF_Util,"SLO 不可達")</f>
        <v>0.293496482669542</v>
      </c>
      <c r="N33" s="160" t="n">
        <f aca="false">IF(ISNUMBER(INDEX(IF_CostDec_Astra,1,N$7)),(INDEX(B4_ISL,1,3)*((1-B4_CacheHit)*INDEX(IF_CostPre_Astra,1,N$7)+B4_CacheHit*(INDEX(IF_CostCache_Astra,1,N$7)+Cache_Store!N29))+INDEX(B4_OSL,1,3)*INDEX(IF_CostDec_Astra,1,N$7))/(INDEX(B4_ISL,1,3)+INDEX(B4_OSL,1,3))/IF_Util,"SLO 不可達")</f>
        <v>0.474015247100636</v>
      </c>
      <c r="O33" s="160" t="n">
        <f aca="false">IF(ISNUMBER(INDEX(IF_CostDec_Astra,1,O$7)),(INDEX(B4_ISL,1,3)*((1-B4_CacheHit)*INDEX(IF_CostPre_Astra,1,O$7)+B4_CacheHit*(INDEX(IF_CostCache_Astra,1,O$7)+Cache_Store!O29))+INDEX(B4_OSL,1,3)*INDEX(IF_CostDec_Astra,1,O$7))/(INDEX(B4_ISL,1,3)+INDEX(B4_OSL,1,3))/IF_Util,"SLO 不可達")</f>
        <v>0.171897638404717</v>
      </c>
      <c r="P33" s="160" t="n">
        <f aca="false">IF(ISNUMBER(INDEX(IF_CostDec_Astra,1,P$7)),(INDEX(B4_ISL,1,3)*((1-B4_CacheHit)*INDEX(IF_CostPre_Astra,1,P$7)+B4_CacheHit*(INDEX(IF_CostCache_Astra,1,P$7)+Cache_Store!P29))+INDEX(B4_OSL,1,3)*INDEX(IF_CostDec_Astra,1,P$7))/(INDEX(B4_ISL,1,3)+INDEX(B4_OSL,1,3))/IF_Util,"SLO 不可達")</f>
        <v>0.261144787863002</v>
      </c>
      <c r="Q33" s="160" t="n">
        <f aca="false">IF(ISNUMBER(INDEX(IF_CostDec_Astra,1,Q$7)),(INDEX(B4_ISL,1,3)*((1-B4_CacheHit)*INDEX(IF_CostPre_Astra,1,Q$7)+B4_CacheHit*(INDEX(IF_CostCache_Astra,1,Q$7)+Cache_Store!Q29))+INDEX(B4_OSL,1,3)*INDEX(IF_CostDec_Astra,1,Q$7))/(INDEX(B4_ISL,1,3)+INDEX(B4_OSL,1,3))/IF_Util,"SLO 不可達")</f>
        <v>0.476546350031833</v>
      </c>
    </row>
    <row r="34" customFormat="false" ht="15" hidden="false" customHeight="false" outlineLevel="0" collapsed="false">
      <c r="A34" s="5" t="s">
        <v>2028</v>
      </c>
      <c r="B34" s="62" t="s">
        <v>976</v>
      </c>
      <c r="C34" s="161" t="n">
        <f aca="false">IF(ISNUMBER(C33),Fleet_1GW!C13/(1-Fleet_1GW!C13)*C33,"SLO 不可達")</f>
        <v>2.39257479448417</v>
      </c>
      <c r="D34" s="161" t="n">
        <f aca="false">IF(ISNUMBER(D33),Fleet_1GW!D13/(1-Fleet_1GW!D13)*D33,"SLO 不可達")</f>
        <v>3.41837305432272</v>
      </c>
      <c r="E34" s="161" t="n">
        <f aca="false">IF(ISNUMBER(E33),Fleet_1GW!E13/(1-Fleet_1GW!E13)*E33,"SLO 不可達")</f>
        <v>5.87037338614669</v>
      </c>
      <c r="F34" s="161" t="n">
        <f aca="false">IF(ISNUMBER(F33),Fleet_1GW!F13/(1-Fleet_1GW!F13)*F33,"SLO 不可達")</f>
        <v>0.533314225412997</v>
      </c>
      <c r="G34" s="161" t="n">
        <f aca="false">IF(ISNUMBER(G33),Fleet_1GW!G13/(1-Fleet_1GW!G13)*G33,"SLO 不可達")</f>
        <v>0.711978992821689</v>
      </c>
      <c r="H34" s="161" t="n">
        <f aca="false">IF(ISNUMBER(H33),Fleet_1GW!H13/(1-Fleet_1GW!H13)*H33,"SLO 不可達")</f>
        <v>1.15457290362114</v>
      </c>
      <c r="I34" s="161" t="n">
        <f aca="false">IF(ISNUMBER(I33),Fleet_1GW!I13/(1-Fleet_1GW!I13)*I33,"SLO 不可達")</f>
        <v>0.515637670522155</v>
      </c>
      <c r="J34" s="161" t="n">
        <f aca="false">IF(ISNUMBER(J33),Fleet_1GW!J13/(1-Fleet_1GW!J13)*J33,"SLO 不可達")</f>
        <v>0.66588223082747</v>
      </c>
      <c r="K34" s="161" t="n">
        <f aca="false">IF(ISNUMBER(K33),Fleet_1GW!K13/(1-Fleet_1GW!K13)*K33,"SLO 不可達")</f>
        <v>1.13347127429064</v>
      </c>
      <c r="L34" s="161" t="n">
        <f aca="false">IF(ISNUMBER(L33),Fleet_1GW!L13/(1-Fleet_1GW!L13)*L33,"SLO 不可達")</f>
        <v>0.3286813243973</v>
      </c>
      <c r="M34" s="161" t="n">
        <f aca="false">IF(ISNUMBER(M33),Fleet_1GW!M13/(1-Fleet_1GW!M13)*M33,"SLO 不可達")</f>
        <v>0.422348597012267</v>
      </c>
      <c r="N34" s="161" t="n">
        <f aca="false">IF(ISNUMBER(N33),Fleet_1GW!N13/(1-Fleet_1GW!N13)*N33,"SLO 不可達")</f>
        <v>0.682119501925305</v>
      </c>
      <c r="O34" s="161" t="n">
        <f aca="false">IF(ISNUMBER(O33),Fleet_1GW!O13/(1-Fleet_1GW!O13)*O33,"SLO 不可達")</f>
        <v>0.247364894289715</v>
      </c>
      <c r="P34" s="161" t="n">
        <f aca="false">IF(ISNUMBER(P33),Fleet_1GW!P13/(1-Fleet_1GW!P13)*P33,"SLO 不可達")</f>
        <v>0.375793719119929</v>
      </c>
      <c r="Q34" s="161" t="n">
        <f aca="false">IF(ISNUMBER(Q33),Fleet_1GW!Q13/(1-Fleet_1GW!Q13)*Q33,"SLO 不可達")</f>
        <v>0.685761820777516</v>
      </c>
    </row>
    <row r="35" customFormat="false" ht="15" hidden="false" customHeight="false" outlineLevel="0" collapsed="false">
      <c r="A35" s="5" t="s">
        <v>2023</v>
      </c>
      <c r="B35" s="62" t="s">
        <v>118</v>
      </c>
      <c r="C35" s="75" t="n">
        <f aca="false">IF(AND(ISNUMBER(C32),ISNUMBER(C34)),IF(C32&gt;0,C34/C32,0),"SLO 不可達")</f>
        <v>0.861327881622802</v>
      </c>
      <c r="D35" s="75" t="n">
        <f aca="false">IF(AND(ISNUMBER(D32),ISNUMBER(D34)),IF(D32&gt;0,D34/D32,0),"SLO 不可達")</f>
        <v>0.861293174348654</v>
      </c>
      <c r="E35" s="75" t="n">
        <f aca="false">IF(AND(ISNUMBER(E32),ISNUMBER(E34)),IF(E32&gt;0,E34/E32,0),"SLO 不可達")</f>
        <v>0.86125936441475</v>
      </c>
      <c r="F35" s="75" t="n">
        <f aca="false">IF(AND(ISNUMBER(F32),ISNUMBER(F34)),IF(F32&gt;0,F34/F32,0),"SLO 不可達")</f>
        <v>1.91755786745423</v>
      </c>
      <c r="G35" s="75" t="n">
        <f aca="false">IF(AND(ISNUMBER(G32),ISNUMBER(G34)),IF(G32&gt;0,G34/G32,0),"SLO 不可達")</f>
        <v>1.91726788798315</v>
      </c>
      <c r="H35" s="75" t="n">
        <f aca="false">IF(AND(ISNUMBER(H32),ISNUMBER(H34)),IF(H32&gt;0,H34/H32,0),"SLO 不可達")</f>
        <v>1.91693618089462</v>
      </c>
      <c r="I35" s="75" t="n">
        <f aca="false">IF(AND(ISNUMBER(I32),ISNUMBER(I34)),IF(I32&gt;0,I34/I32,0),"SLO 不可達")</f>
        <v>2.1467192616634</v>
      </c>
      <c r="J35" s="75" t="n">
        <f aca="false">IF(AND(ISNUMBER(J32),ISNUMBER(J34)),IF(J32&gt;0,J34/J32,0),"SLO 不可達")</f>
        <v>2.14641735289805</v>
      </c>
      <c r="K35" s="75" t="n">
        <f aca="false">IF(AND(ISNUMBER(K32),ISNUMBER(K34)),IF(K32&gt;0,K34/K32,0),"SLO 不可達")</f>
        <v>2.1459900578465</v>
      </c>
      <c r="L35" s="75" t="n">
        <f aca="false">IF(AND(ISNUMBER(L32),ISNUMBER(L34)),IF(L32&gt;0,L34/L32,0),"SLO 不可達")</f>
        <v>3.26807579825299</v>
      </c>
      <c r="M35" s="75" t="n">
        <f aca="false">IF(AND(ISNUMBER(M32),ISNUMBER(M34)),IF(M32&gt;0,M34/M32,0),"SLO 不可達")</f>
        <v>3.26736687605748</v>
      </c>
      <c r="N35" s="75" t="n">
        <f aca="false">IF(AND(ISNUMBER(N32),ISNUMBER(N34)),IF(N32&gt;0,N34/N32,0),"SLO 不可達")</f>
        <v>3.26641999446728</v>
      </c>
      <c r="O35" s="75" t="n">
        <f aca="false">IF(AND(ISNUMBER(O32),ISNUMBER(O34)),IF(O32&gt;0,O34/O32,0),"SLO 不可達")</f>
        <v>4.72281290721888</v>
      </c>
      <c r="P35" s="75" t="n">
        <f aca="false">IF(AND(ISNUMBER(P32),ISNUMBER(P34)),IF(P32&gt;0,P34/P32,0),"SLO 不可達")</f>
        <v>4.720715024112</v>
      </c>
      <c r="Q35" s="75" t="n">
        <f aca="false">IF(AND(ISNUMBER(Q32),ISNUMBER(Q34)),IF(Q32&gt;0,Q34/Q32,0),"SLO 不可達")</f>
        <v>4.71889012160848</v>
      </c>
    </row>
    <row r="36" customFormat="false" ht="29.85" hidden="false" customHeight="false" outlineLevel="0" collapsed="false">
      <c r="A36" s="5" t="s">
        <v>2026</v>
      </c>
      <c r="B36" s="62" t="s">
        <v>113</v>
      </c>
      <c r="C36" s="162" t="n">
        <f aca="false">IF(ISNUMBER(C32),C32/(INDEX(B4_EffRef,1,3)-INDEX(B4_EffRef,1,2)),"SLO 不可達")</f>
        <v>0.432106821479356</v>
      </c>
      <c r="D36" s="162" t="n">
        <f aca="false">IF(ISNUMBER(D32),D32/(INDEX(B4_EffRef,1,3)-INDEX(B4_EffRef,1,2)),"SLO 不可達")</f>
        <v>0.61739421517393</v>
      </c>
      <c r="E36" s="162" t="n">
        <f aca="false">IF(ISNUMBER(E32),E32/(INDEX(B4_EffRef,1,3)-INDEX(B4_EffRef,1,2)),"SLO 不可達")</f>
        <v>1.0602929493689</v>
      </c>
      <c r="F36" s="162" t="n">
        <f aca="false">IF(ISNUMBER(F32),F32/(INDEX(B4_EffRef,1,3)-INDEX(B4_EffRef,1,2)),"SLO 不可達")</f>
        <v>0.0432642116183824</v>
      </c>
      <c r="G36" s="162" t="n">
        <f aca="false">IF(ISNUMBER(G32),G32/(INDEX(B4_EffRef,1,3)-INDEX(B4_EffRef,1,2)),"SLO 不可達")</f>
        <v>0.0577668234101056</v>
      </c>
      <c r="H36" s="162" t="n">
        <f aca="false">IF(ISNUMBER(H32),H32/(INDEX(B4_EffRef,1,3)-INDEX(B4_EffRef,1,2)),"SLO 不可達")</f>
        <v>0.0936931437630276</v>
      </c>
      <c r="I36" s="162" t="n">
        <f aca="false">IF(ISNUMBER(I32),I32/(INDEX(B4_EffRef,1,3)-INDEX(B4_EffRef,1,2)),"SLO 不可達")</f>
        <v>0.0373648712098776</v>
      </c>
      <c r="J36" s="162" t="n">
        <f aca="false">IF(ISNUMBER(J32),J32/(INDEX(B4_EffRef,1,3)-INDEX(B4_EffRef,1,2)),"SLO 不可達")</f>
        <v>0.0482588935042774</v>
      </c>
      <c r="K36" s="162" t="n">
        <f aca="false">IF(ISNUMBER(K32),K32/(INDEX(B4_EffRef,1,3)-INDEX(B4_EffRef,1,2)),"SLO 不可達")</f>
        <v>0.0821631190799211</v>
      </c>
      <c r="L36" s="162" t="n">
        <f aca="false">IF(ISNUMBER(L32),L32/(INDEX(B4_EffRef,1,3)-INDEX(B4_EffRef,1,2)),"SLO 不可達")</f>
        <v>0.0156450520531108</v>
      </c>
      <c r="M36" s="162" t="n">
        <f aca="false">IF(ISNUMBER(M32),M32/(INDEX(B4_EffRef,1,3)-INDEX(B4_EffRef,1,2)),"SLO 不可達")</f>
        <v>0.02010792510169</v>
      </c>
      <c r="N36" s="162" t="n">
        <f aca="false">IF(ISNUMBER(N32),N32/(INDEX(B4_EffRef,1,3)-INDEX(B4_EffRef,1,2)),"SLO 不可達")</f>
        <v>0.0324849756763021</v>
      </c>
      <c r="O36" s="162" t="n">
        <f aca="false">IF(ISNUMBER(O32),O32/(INDEX(B4_EffRef,1,3)-INDEX(B4_EffRef,1,2)),"SLO 不可達")</f>
        <v>0.00814763243978241</v>
      </c>
      <c r="P36" s="162" t="n">
        <f aca="false">IF(ISNUMBER(P32),P32/(INDEX(B4_EffRef,1,3)-INDEX(B4_EffRef,1,2)),"SLO 不可達")</f>
        <v>0.0123832841377736</v>
      </c>
      <c r="Q36" s="162" t="n">
        <f aca="false">IF(ISNUMBER(Q32),Q32/(INDEX(B4_EffRef,1,3)-INDEX(B4_EffRef,1,2)),"SLO 不可達")</f>
        <v>0.0226061987976621</v>
      </c>
    </row>
    <row r="38" customFormat="false" ht="15" hidden="false" customHeight="false" outlineLevel="0" collapsed="false">
      <c r="A38" s="76" t="s">
        <v>2029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</row>
    <row r="39" customFormat="false" ht="15" hidden="false" customHeight="false" outlineLevel="0" collapsed="false">
      <c r="A39" s="5" t="s">
        <v>2030</v>
      </c>
      <c r="B39" s="62" t="s">
        <v>2031</v>
      </c>
      <c r="C39" s="75" t="n">
        <f aca="false">IF(OR(AND(ISNUMBER(C15),ISNUMBER(C11),ISNUMBER(C13)),AND(ISNUMBER(C24),ISNUMBER(C20),ISNUMBER(C22)),AND(ISNUMBER(C34),ISNUMBER(C30),ISNUMBER(C32))),(IF(AND(ISNUMBER(C15),ISNUMBER(C11),ISNUMBER(C13)),C15*C11,0)+IF(AND(ISNUMBER(C24),ISNUMBER(C20),ISNUMBER(C22)),C24*C20,0)+IF(AND(ISNUMBER(C34),ISNUMBER(C30),ISNUMBER(C32)),C34*C30,0))/1000000,"SLO 不可達")</f>
        <v>4007.36440716509</v>
      </c>
      <c r="D39" s="75" t="n">
        <f aca="false">IF(OR(AND(ISNUMBER(D15),ISNUMBER(D11),ISNUMBER(D13)),AND(ISNUMBER(D24),ISNUMBER(D20),ISNUMBER(D22)),AND(ISNUMBER(D34),ISNUMBER(D30),ISNUMBER(D32))),(IF(AND(ISNUMBER(D15),ISNUMBER(D11),ISNUMBER(D13)),D15*D11,0)+IF(AND(ISNUMBER(D24),ISNUMBER(D20),ISNUMBER(D22)),D24*D20,0)+IF(AND(ISNUMBER(D34),ISNUMBER(D30),ISNUMBER(D32)),D34*D30,0))/1000000,"SLO 不可達")</f>
        <v>5725.55638410961</v>
      </c>
      <c r="E39" s="75" t="n">
        <f aca="false">IF(OR(AND(ISNUMBER(E15),ISNUMBER(E11),ISNUMBER(E13)),AND(ISNUMBER(E24),ISNUMBER(E20),ISNUMBER(E22)),AND(ISNUMBER(E34),ISNUMBER(E30),ISNUMBER(E32))),(IF(AND(ISNUMBER(E15),ISNUMBER(E11),ISNUMBER(E13)),E15*E11,0)+IF(AND(ISNUMBER(E24),ISNUMBER(E20),ISNUMBER(E22)),E24*E20,0)+IF(AND(ISNUMBER(E34),ISNUMBER(E30),ISNUMBER(E32)),E34*E30,0))/1000000,"SLO 不可達")</f>
        <v>9832.6088743998</v>
      </c>
      <c r="F39" s="75" t="n">
        <f aca="false">IF(OR(AND(ISNUMBER(F15),ISNUMBER(F11),ISNUMBER(F13)),AND(ISNUMBER(F24),ISNUMBER(F20),ISNUMBER(F22)),AND(ISNUMBER(F34),ISNUMBER(F30),ISNUMBER(F32))),(IF(AND(ISNUMBER(F15),ISNUMBER(F11),ISNUMBER(F13)),F15*F11,0)+IF(AND(ISNUMBER(F24),ISNUMBER(F20),ISNUMBER(F22)),F24*F20,0)+IF(AND(ISNUMBER(F34),ISNUMBER(F30),ISNUMBER(F32)),F34*F30,0))/1000000,"SLO 不可達")</f>
        <v>3904.15273670613</v>
      </c>
      <c r="G39" s="75" t="n">
        <f aca="false">IF(OR(AND(ISNUMBER(G15),ISNUMBER(G11),ISNUMBER(G13)),AND(ISNUMBER(G24),ISNUMBER(G20),ISNUMBER(G22)),AND(ISNUMBER(G34),ISNUMBER(G30),ISNUMBER(G32))),(IF(AND(ISNUMBER(G15),ISNUMBER(G11),ISNUMBER(G13)),G15*G11,0)+IF(AND(ISNUMBER(G24),ISNUMBER(G20),ISNUMBER(G22)),G24*G20,0)+IF(AND(ISNUMBER(G34),ISNUMBER(G30),ISNUMBER(G32)),G34*G30,0))/1000000,"SLO 不可達")</f>
        <v>5212.29749751696</v>
      </c>
      <c r="H39" s="75" t="n">
        <f aca="false">IF(OR(AND(ISNUMBER(H15),ISNUMBER(H11),ISNUMBER(H13)),AND(ISNUMBER(H24),ISNUMBER(H20),ISNUMBER(H22)),AND(ISNUMBER(H34),ISNUMBER(H30),ISNUMBER(H32))),(IF(AND(ISNUMBER(H15),ISNUMBER(H11),ISNUMBER(H13)),H15*H11,0)+IF(AND(ISNUMBER(H24),ISNUMBER(H20),ISNUMBER(H22)),H24*H20,0)+IF(AND(ISNUMBER(H34),ISNUMBER(H30),ISNUMBER(H32)),H34*H30,0))/1000000,"SLO 不可達")</f>
        <v>8452.87432738893</v>
      </c>
      <c r="I39" s="75" t="n">
        <f aca="false">IF(OR(AND(ISNUMBER(I15),ISNUMBER(I11),ISNUMBER(I13)),AND(ISNUMBER(I24),ISNUMBER(I20),ISNUMBER(I22)),AND(ISNUMBER(I34),ISNUMBER(I30),ISNUMBER(I32))),(IF(AND(ISNUMBER(I15),ISNUMBER(I11),ISNUMBER(I13)),I15*I11,0)+IF(AND(ISNUMBER(I24),ISNUMBER(I20),ISNUMBER(I22)),I24*I20,0)+IF(AND(ISNUMBER(I34),ISNUMBER(I30),ISNUMBER(I32)),I34*I30,0))/1000000,"SLO 不可達")</f>
        <v>4978.19436376654</v>
      </c>
      <c r="J39" s="75" t="n">
        <f aca="false">IF(OR(AND(ISNUMBER(J15),ISNUMBER(J11),ISNUMBER(J13)),AND(ISNUMBER(J24),ISNUMBER(J20),ISNUMBER(J22)),AND(ISNUMBER(J34),ISNUMBER(J30),ISNUMBER(J32))),(IF(AND(ISNUMBER(J15),ISNUMBER(J11),ISNUMBER(J13)),J15*J11,0)+IF(AND(ISNUMBER(J24),ISNUMBER(J20),ISNUMBER(J22)),J24*J20,0)+IF(AND(ISNUMBER(J34),ISNUMBER(J30),ISNUMBER(J32)),J34*J30,0))/1000000,"SLO 不可達")</f>
        <v>6428.92980175486</v>
      </c>
      <c r="K39" s="75" t="n">
        <f aca="false">IF(OR(AND(ISNUMBER(K15),ISNUMBER(K11),ISNUMBER(K13)),AND(ISNUMBER(K24),ISNUMBER(K20),ISNUMBER(K22)),AND(ISNUMBER(K34),ISNUMBER(K30),ISNUMBER(K32))),(IF(AND(ISNUMBER(K15),ISNUMBER(K11),ISNUMBER(K13)),K15*K11,0)+IF(AND(ISNUMBER(K24),ISNUMBER(K20),ISNUMBER(K22)),K24*K20,0)+IF(AND(ISNUMBER(K34),ISNUMBER(K30),ISNUMBER(K32)),K34*K30,0))/1000000,"SLO 不可達")</f>
        <v>10943.8885755606</v>
      </c>
      <c r="L39" s="75" t="n">
        <f aca="false">IF(OR(AND(ISNUMBER(L15),ISNUMBER(L11),ISNUMBER(L13)),AND(ISNUMBER(L24),ISNUMBER(L20),ISNUMBER(L22)),AND(ISNUMBER(L34),ISNUMBER(L30),ISNUMBER(L32))),(IF(AND(ISNUMBER(L15),ISNUMBER(L11),ISNUMBER(L13)),L15*L11,0)+IF(AND(ISNUMBER(L24),ISNUMBER(L20),ISNUMBER(L22)),L24*L20,0)+IF(AND(ISNUMBER(L34),ISNUMBER(L30),ISNUMBER(L32)),L34*L30,0))/1000000,"SLO 不可達")</f>
        <v>5623.95727901456</v>
      </c>
      <c r="M39" s="75" t="n">
        <f aca="false">IF(OR(AND(ISNUMBER(M15),ISNUMBER(M11),ISNUMBER(M13)),AND(ISNUMBER(M24),ISNUMBER(M20),ISNUMBER(M22)),AND(ISNUMBER(M34),ISNUMBER(M30),ISNUMBER(M32))),(IF(AND(ISNUMBER(M15),ISNUMBER(M11),ISNUMBER(M13)),M15*M11,0)+IF(AND(ISNUMBER(M24),ISNUMBER(M20),ISNUMBER(M22)),M24*M20,0)+IF(AND(ISNUMBER(M34),ISNUMBER(M30),ISNUMBER(M32)),M34*M30,0))/1000000,"SLO 不可達")</f>
        <v>7227.17142942597</v>
      </c>
      <c r="N39" s="75" t="n">
        <f aca="false">IF(OR(AND(ISNUMBER(N15),ISNUMBER(N11),ISNUMBER(N13)),AND(ISNUMBER(N24),ISNUMBER(N20),ISNUMBER(N22)),AND(ISNUMBER(N34),ISNUMBER(N30),ISNUMBER(N32))),(IF(AND(ISNUMBER(N15),ISNUMBER(N11),ISNUMBER(N13)),N15*N11,0)+IF(AND(ISNUMBER(N24),ISNUMBER(N20),ISNUMBER(N22)),N24*N20,0)+IF(AND(ISNUMBER(N34),ISNUMBER(N30),ISNUMBER(N32)),N34*N30,0))/1000000,"SLO 不可達")</f>
        <v>11673.4244161411</v>
      </c>
      <c r="O39" s="75" t="n">
        <f aca="false">IF(OR(AND(ISNUMBER(O15),ISNUMBER(O11),ISNUMBER(O13)),AND(ISNUMBER(O24),ISNUMBER(O20),ISNUMBER(O22)),AND(ISNUMBER(O34),ISNUMBER(O30),ISNUMBER(O32))),(IF(AND(ISNUMBER(O15),ISNUMBER(O11),ISNUMBER(O13)),O15*O11,0)+IF(AND(ISNUMBER(O24),ISNUMBER(O20),ISNUMBER(O22)),O24*O20,0)+IF(AND(ISNUMBER(O34),ISNUMBER(O30),ISNUMBER(O32)),O34*O30,0))/1000000,"SLO 不可達")</f>
        <v>5983.31633167709</v>
      </c>
      <c r="P39" s="75" t="n">
        <f aca="false">IF(OR(AND(ISNUMBER(P15),ISNUMBER(P11),ISNUMBER(P13)),AND(ISNUMBER(P24),ISNUMBER(P20),ISNUMBER(P22)),AND(ISNUMBER(P34),ISNUMBER(P30),ISNUMBER(P32))),(IF(AND(ISNUMBER(P15),ISNUMBER(P11),ISNUMBER(P13)),P15*P11,0)+IF(AND(ISNUMBER(P24),ISNUMBER(P20),ISNUMBER(P22)),P24*P20,0)+IF(AND(ISNUMBER(P34),ISNUMBER(P30),ISNUMBER(P32)),P34*P30,0))/1000000,"SLO 不可達")</f>
        <v>9091.15995336279</v>
      </c>
      <c r="Q39" s="75" t="n">
        <f aca="false">IF(OR(AND(ISNUMBER(Q15),ISNUMBER(Q11),ISNUMBER(Q13)),AND(ISNUMBER(Q24),ISNUMBER(Q20),ISNUMBER(Q22)),AND(ISNUMBER(Q34),ISNUMBER(Q30),ISNUMBER(Q32))),(IF(AND(ISNUMBER(Q15),ISNUMBER(Q11),ISNUMBER(Q13)),Q15*Q11,0)+IF(AND(ISNUMBER(Q24),ISNUMBER(Q20),ISNUMBER(Q22)),Q24*Q20,0)+IF(AND(ISNUMBER(Q34),ISNUMBER(Q30),ISNUMBER(Q32)),Q34*Q30,0))/1000000,"SLO 不可達")</f>
        <v>16592.0647458508</v>
      </c>
    </row>
    <row r="40" customFormat="false" ht="29.85" hidden="false" customHeight="false" outlineLevel="0" collapsed="false">
      <c r="A40" s="5" t="s">
        <v>2032</v>
      </c>
      <c r="B40" s="62" t="s">
        <v>2031</v>
      </c>
      <c r="C40" s="75" t="n">
        <f aca="false">IF(AND(ISNUMBER(C15),ISNUMBER(C11),ISNUMBER(C13)),C10*12/INDEX(B4_Life,1,1),0)+IF(AND(ISNUMBER(C24),ISNUMBER(C20),ISNUMBER(C22)),C19*12/INDEX(B4_Life,1,2),0)+IF(AND(ISNUMBER(C34),ISNUMBER(C30),ISNUMBER(C32)),C29*12/INDEX(B4_Life,1,3),0)</f>
        <v>1658.1261202362</v>
      </c>
      <c r="D40" s="75" t="n">
        <f aca="false">IF(AND(ISNUMBER(D15),ISNUMBER(D11),ISNUMBER(D13)),D10*12/INDEX(B4_Life,1,1),0)+IF(AND(ISNUMBER(D24),ISNUMBER(D20),ISNUMBER(D22)),D19*12/INDEX(B4_Life,1,2),0)+IF(AND(ISNUMBER(D34),ISNUMBER(D30),ISNUMBER(D32)),D29*12/INDEX(B4_Life,1,3),0)</f>
        <v>2369.13055701791</v>
      </c>
      <c r="E40" s="75" t="n">
        <f aca="false">IF(AND(ISNUMBER(E15),ISNUMBER(E11),ISNUMBER(E13)),E10*12/INDEX(B4_Life,1,1),0)+IF(AND(ISNUMBER(E24),ISNUMBER(E20),ISNUMBER(E22)),E19*12/INDEX(B4_Life,1,2),0)+IF(AND(ISNUMBER(E34),ISNUMBER(E30),ISNUMBER(E32)),E29*12/INDEX(B4_Life,1,3),0)</f>
        <v>4068.668549207</v>
      </c>
      <c r="F40" s="75" t="n">
        <f aca="false">IF(AND(ISNUMBER(F15),ISNUMBER(F11),ISNUMBER(F13)),F10*12/INDEX(B4_Life,1,1),0)+IF(AND(ISNUMBER(F24),ISNUMBER(F20),ISNUMBER(F22)),F19*12/INDEX(B4_Life,1,2),0)+IF(AND(ISNUMBER(F34),ISNUMBER(F30),ISNUMBER(F32)),F29*12/INDEX(B4_Life,1,3),0)</f>
        <v>719.671743917585</v>
      </c>
      <c r="G40" s="75" t="n">
        <f aca="false">IF(AND(ISNUMBER(G15),ISNUMBER(G11),ISNUMBER(G13)),G10*12/INDEX(B4_Life,1,1),0)+IF(AND(ISNUMBER(G24),ISNUMBER(G20),ISNUMBER(G22)),G19*12/INDEX(B4_Life,1,2),0)+IF(AND(ISNUMBER(G34),ISNUMBER(G30),ISNUMBER(G32)),G29*12/INDEX(B4_Life,1,3),0)</f>
        <v>960.913165616683</v>
      </c>
      <c r="H40" s="75" t="n">
        <f aca="false">IF(AND(ISNUMBER(H15),ISNUMBER(H11),ISNUMBER(H13)),H10*12/INDEX(B4_Life,1,1),0)+IF(AND(ISNUMBER(H24),ISNUMBER(H20),ISNUMBER(H22)),H19*12/INDEX(B4_Life,1,2),0)+IF(AND(ISNUMBER(H34),ISNUMBER(H30),ISNUMBER(H32)),H29*12/INDEX(B4_Life,1,3),0)</f>
        <v>1558.52390793155</v>
      </c>
      <c r="I40" s="75" t="n">
        <f aca="false">IF(AND(ISNUMBER(I15),ISNUMBER(I11),ISNUMBER(I13)),I10*12/INDEX(B4_Life,1,1),0)+IF(AND(ISNUMBER(I24),ISNUMBER(I20),ISNUMBER(I22)),I19*12/INDEX(B4_Life,1,2),0)+IF(AND(ISNUMBER(I34),ISNUMBER(I30),ISNUMBER(I32)),I29*12/INDEX(B4_Life,1,3),0)</f>
        <v>851.359382018619</v>
      </c>
      <c r="J40" s="75" t="n">
        <f aca="false">IF(AND(ISNUMBER(J15),ISNUMBER(J11),ISNUMBER(J13)),J10*12/INDEX(B4_Life,1,1),0)+IF(AND(ISNUMBER(J24),ISNUMBER(J20),ISNUMBER(J22)),J19*12/INDEX(B4_Life,1,2),0)+IF(AND(ISNUMBER(J34),ISNUMBER(J30),ISNUMBER(J32)),J29*12/INDEX(B4_Life,1,3),0)</f>
        <v>1099.57991076503</v>
      </c>
      <c r="K40" s="75" t="n">
        <f aca="false">IF(AND(ISNUMBER(K15),ISNUMBER(K11),ISNUMBER(K13)),K10*12/INDEX(B4_Life,1,1),0)+IF(AND(ISNUMBER(K24),ISNUMBER(K20),ISNUMBER(K22)),K19*12/INDEX(B4_Life,1,2),0)+IF(AND(ISNUMBER(K34),ISNUMBER(K30),ISNUMBER(K32)),K29*12/INDEX(B4_Life,1,3),0)</f>
        <v>1872.08840870063</v>
      </c>
      <c r="L40" s="75" t="n">
        <f aca="false">IF(AND(ISNUMBER(L15),ISNUMBER(L11),ISNUMBER(L13)),L10*12/INDEX(B4_Life,1,1),0)+IF(AND(ISNUMBER(L24),ISNUMBER(L20),ISNUMBER(L22)),L19*12/INDEX(B4_Life,1,2),0)+IF(AND(ISNUMBER(L34),ISNUMBER(L30),ISNUMBER(L32)),L29*12/INDEX(B4_Life,1,3),0)</f>
        <v>589.583118899218</v>
      </c>
      <c r="M40" s="75" t="n">
        <f aca="false">IF(AND(ISNUMBER(M15),ISNUMBER(M11),ISNUMBER(M13)),M10*12/INDEX(B4_Life,1,1),0)+IF(AND(ISNUMBER(M24),ISNUMBER(M20),ISNUMBER(M22)),M19*12/INDEX(B4_Life,1,2),0)+IF(AND(ISNUMBER(M34),ISNUMBER(M30),ISNUMBER(M32)),M29*12/INDEX(B4_Life,1,3),0)</f>
        <v>757.766299261945</v>
      </c>
      <c r="N40" s="75" t="n">
        <f aca="false">IF(AND(ISNUMBER(N15),ISNUMBER(N11),ISNUMBER(N13)),N10*12/INDEX(B4_Life,1,1),0)+IF(AND(ISNUMBER(N24),ISNUMBER(N20),ISNUMBER(N22)),N19*12/INDEX(B4_Life,1,2),0)+IF(AND(ISNUMBER(N34),ISNUMBER(N30),ISNUMBER(N32)),N29*12/INDEX(B4_Life,1,3),0)</f>
        <v>1224.19492192045</v>
      </c>
      <c r="O40" s="75" t="n">
        <f aca="false">IF(AND(ISNUMBER(O15),ISNUMBER(O11),ISNUMBER(O13)),O10*12/INDEX(B4_Life,1,1),0)+IF(AND(ISNUMBER(O24),ISNUMBER(O20),ISNUMBER(O22)),O19*12/INDEX(B4_Life,1,2),0)+IF(AND(ISNUMBER(O34),ISNUMBER(O30),ISNUMBER(O32)),O29*12/INDEX(B4_Life,1,3),0)</f>
        <v>425.052647987101</v>
      </c>
      <c r="P40" s="75" t="n">
        <f aca="false">IF(AND(ISNUMBER(P15),ISNUMBER(P11),ISNUMBER(P13)),P10*12/INDEX(B4_Life,1,1),0)+IF(AND(ISNUMBER(P24),ISNUMBER(P20),ISNUMBER(P22)),P19*12/INDEX(B4_Life,1,2),0)+IF(AND(ISNUMBER(P34),ISNUMBER(P30),ISNUMBER(P32)),P29*12/INDEX(B4_Life,1,3),0)</f>
        <v>646.02174342537</v>
      </c>
      <c r="Q40" s="75" t="n">
        <f aca="false">IF(AND(ISNUMBER(Q15),ISNUMBER(Q11),ISNUMBER(Q13)),Q10*12/INDEX(B4_Life,1,1),0)+IF(AND(ISNUMBER(Q24),ISNUMBER(Q20),ISNUMBER(Q22)),Q19*12/INDEX(B4_Life,1,2),0)+IF(AND(ISNUMBER(Q34),ISNUMBER(Q30),ISNUMBER(Q32)),Q29*12/INDEX(B4_Life,1,3),0)</f>
        <v>1179.33948676331</v>
      </c>
    </row>
    <row r="41" customFormat="false" ht="15" hidden="false" customHeight="false" outlineLevel="0" collapsed="false">
      <c r="A41" s="5" t="s">
        <v>2033</v>
      </c>
      <c r="B41" s="62" t="s">
        <v>118</v>
      </c>
      <c r="C41" s="104" t="n">
        <f aca="false">IF(ISNUMBER(C39),IF(C40&gt;0,C39/C40,0),"SLO 不可達")</f>
        <v>2.41680313593651</v>
      </c>
      <c r="D41" s="104" t="n">
        <f aca="false">IF(ISNUMBER(D39),IF(D40&gt;0,D39/D40,0),"SLO 不可達")</f>
        <v>2.41673316278379</v>
      </c>
      <c r="E41" s="104" t="n">
        <f aca="false">IF(ISNUMBER(E39),IF(E40&gt;0,E39/E40,0),"SLO 不可達")</f>
        <v>2.41666499875401</v>
      </c>
      <c r="F41" s="104" t="n">
        <f aca="false">IF(ISNUMBER(F39),IF(F40&gt;0,F39/F40,0),"SLO 不可達")</f>
        <v>5.42490763282381</v>
      </c>
      <c r="G41" s="104" t="n">
        <f aca="false">IF(ISNUMBER(G39),IF(G40&gt;0,G39/G40,0),"SLO 不可達")</f>
        <v>5.42431687276537</v>
      </c>
      <c r="H41" s="104" t="n">
        <f aca="false">IF(ISNUMBER(H39),IF(H40&gt;0,H39/H40,0),"SLO 不可達")</f>
        <v>5.42364110320735</v>
      </c>
      <c r="I41" s="104" t="n">
        <f aca="false">IF(ISNUMBER(I39),IF(I40&gt;0,I39/I40,0),"SLO 不可達")</f>
        <v>5.84734774633361</v>
      </c>
      <c r="J41" s="104" t="n">
        <f aca="false">IF(ISNUMBER(J39),IF(J40&gt;0,J39/J40,0),"SLO 不可達")</f>
        <v>5.84671449415801</v>
      </c>
      <c r="K41" s="104" t="n">
        <f aca="false">IF(ISNUMBER(K39),IF(K40&gt;0,K39/K40,0),"SLO 不可達")</f>
        <v>5.84581824485336</v>
      </c>
      <c r="L41" s="104" t="n">
        <f aca="false">IF(ISNUMBER(L39),IF(L40&gt;0,L39/L40,0),"SLO 不可達")</f>
        <v>9.53887093903702</v>
      </c>
      <c r="M41" s="104" t="n">
        <f aca="false">IF(ISNUMBER(M39),IF(M40&gt;0,M39/M40,0),"SLO 不可達")</f>
        <v>9.53746747046569</v>
      </c>
      <c r="N41" s="104" t="n">
        <f aca="false">IF(ISNUMBER(N39),IF(N40&gt;0,N39/N40,0),"SLO 不可達")</f>
        <v>9.5355929085447</v>
      </c>
      <c r="O41" s="104" t="n">
        <f aca="false">IF(ISNUMBER(O39),IF(O40&gt;0,O39/O40,0),"SLO 不可達")</f>
        <v>14.0766475870976</v>
      </c>
      <c r="P41" s="104" t="n">
        <f aca="false">IF(ISNUMBER(P39),IF(P40&gt;0,P39/P40,0),"SLO 不可達")</f>
        <v>14.0725293628031</v>
      </c>
      <c r="Q41" s="104" t="n">
        <f aca="false">IF(ISNUMBER(Q39),IF(Q40&gt;0,Q39/Q40,0),"SLO 不可達")</f>
        <v>14.068947009811</v>
      </c>
    </row>
    <row r="42" customFormat="false" ht="15" hidden="false" customHeight="false" outlineLevel="0" collapsed="false">
      <c r="A42" s="5" t="s">
        <v>2034</v>
      </c>
      <c r="B42" s="62" t="s">
        <v>2031</v>
      </c>
      <c r="C42" s="98" t="n">
        <f aca="false">IF(OR(AND(ISNUMBER(C15),ISNUMBER(C11),ISNUMBER(C13)),AND(ISNUMBER(C24),ISNUMBER(C20),ISNUMBER(C22)),AND(ISNUMBER(C34),ISNUMBER(C30),ISNUMBER(C32))),(IF(AND(ISNUMBER(C15),ISNUMBER(C11),ISNUMBER(C13)),Fleet_1GW!C21*INDEX(B4_EffRef,1,1),0)+IF(AND(ISNUMBER(C24),ISNUMBER(C20),ISNUMBER(C22)),Fleet_1GW!C24*INDEX(B4_EffRef,1,2),0)+IF(AND(ISNUMBER(C34),ISNUMBER(C30),ISNUMBER(C32)),Fleet_1GW!C27*INDEX(B4_EffRef,1,3),0))/1000000,"SLO 不可達")</f>
        <v>6683.04023377572</v>
      </c>
      <c r="D42" s="98" t="n">
        <f aca="false">IF(OR(AND(ISNUMBER(D15),ISNUMBER(D11),ISNUMBER(D13)),AND(ISNUMBER(D24),ISNUMBER(D20),ISNUMBER(D22)),AND(ISNUMBER(D34),ISNUMBER(D30),ISNUMBER(D32))),(IF(AND(ISNUMBER(D15),ISNUMBER(D11),ISNUMBER(D13)),Fleet_1GW!D21*INDEX(B4_EffRef,1,1),0)+IF(AND(ISNUMBER(D24),ISNUMBER(D20),ISNUMBER(D22)),Fleet_1GW!D24*INDEX(B4_EffRef,1,2),0)+IF(AND(ISNUMBER(D34),ISNUMBER(D30),ISNUMBER(D32)),Fleet_1GW!D27*INDEX(B4_EffRef,1,3),0))/1000000,"SLO 不可達")</f>
        <v>6683.04023377572</v>
      </c>
      <c r="E42" s="98" t="n">
        <f aca="false">IF(OR(AND(ISNUMBER(E15),ISNUMBER(E11),ISNUMBER(E13)),AND(ISNUMBER(E24),ISNUMBER(E20),ISNUMBER(E22)),AND(ISNUMBER(E34),ISNUMBER(E30),ISNUMBER(E32))),(IF(AND(ISNUMBER(E15),ISNUMBER(E11),ISNUMBER(E13)),Fleet_1GW!E21*INDEX(B4_EffRef,1,1),0)+IF(AND(ISNUMBER(E24),ISNUMBER(E20),ISNUMBER(E22)),Fleet_1GW!E24*INDEX(B4_EffRef,1,2),0)+IF(AND(ISNUMBER(E34),ISNUMBER(E30),ISNUMBER(E32)),Fleet_1GW!E27*INDEX(B4_EffRef,1,3),0))/1000000,"SLO 不可達")</f>
        <v>6683.04023377572</v>
      </c>
      <c r="F42" s="98" t="n">
        <f aca="false">IF(OR(AND(ISNUMBER(F15),ISNUMBER(F11),ISNUMBER(F13)),AND(ISNUMBER(F24),ISNUMBER(F20),ISNUMBER(F22)),AND(ISNUMBER(F34),ISNUMBER(F30),ISNUMBER(F32))),(IF(AND(ISNUMBER(F15),ISNUMBER(F11),ISNUMBER(F13)),Fleet_1GW!F21*INDEX(B4_EffRef,1,1),0)+IF(AND(ISNUMBER(F24),ISNUMBER(F20),ISNUMBER(F22)),Fleet_1GW!F24*INDEX(B4_EffRef,1,2),0)+IF(AND(ISNUMBER(F34),ISNUMBER(F30),ISNUMBER(F32)),Fleet_1GW!F27*INDEX(B4_EffRef,1,3),0))/1000000,"SLO 不可達")</f>
        <v>29167.3579360666</v>
      </c>
      <c r="G42" s="98" t="n">
        <f aca="false">IF(OR(AND(ISNUMBER(G15),ISNUMBER(G11),ISNUMBER(G13)),AND(ISNUMBER(G24),ISNUMBER(G20),ISNUMBER(G22)),AND(ISNUMBER(G34),ISNUMBER(G30),ISNUMBER(G32))),(IF(AND(ISNUMBER(G15),ISNUMBER(G11),ISNUMBER(G13)),Fleet_1GW!G21*INDEX(B4_EffRef,1,1),0)+IF(AND(ISNUMBER(G24),ISNUMBER(G20),ISNUMBER(G22)),Fleet_1GW!G24*INDEX(B4_EffRef,1,2),0)+IF(AND(ISNUMBER(G34),ISNUMBER(G30),ISNUMBER(G32)),Fleet_1GW!G27*INDEX(B4_EffRef,1,3),0))/1000000,"SLO 不可達")</f>
        <v>29167.3579360666</v>
      </c>
      <c r="H42" s="98" t="n">
        <f aca="false">IF(OR(AND(ISNUMBER(H15),ISNUMBER(H11),ISNUMBER(H13)),AND(ISNUMBER(H24),ISNUMBER(H20),ISNUMBER(H22)),AND(ISNUMBER(H34),ISNUMBER(H30),ISNUMBER(H32))),(IF(AND(ISNUMBER(H15),ISNUMBER(H11),ISNUMBER(H13)),Fleet_1GW!H21*INDEX(B4_EffRef,1,1),0)+IF(AND(ISNUMBER(H24),ISNUMBER(H20),ISNUMBER(H22)),Fleet_1GW!H24*INDEX(B4_EffRef,1,2),0)+IF(AND(ISNUMBER(H34),ISNUMBER(H30),ISNUMBER(H32)),Fleet_1GW!H27*INDEX(B4_EffRef,1,3),0))/1000000,"SLO 不可達")</f>
        <v>29167.3579360666</v>
      </c>
      <c r="I42" s="98" t="n">
        <f aca="false">IF(OR(AND(ISNUMBER(I15),ISNUMBER(I11),ISNUMBER(I13)),AND(ISNUMBER(I24),ISNUMBER(I20),ISNUMBER(I22)),AND(ISNUMBER(I34),ISNUMBER(I30),ISNUMBER(I32))),(IF(AND(ISNUMBER(I15),ISNUMBER(I11),ISNUMBER(I13)),Fleet_1GW!I21*INDEX(B4_EffRef,1,1),0)+IF(AND(ISNUMBER(I24),ISNUMBER(I20),ISNUMBER(I22)),Fleet_1GW!I24*INDEX(B4_EffRef,1,2),0)+IF(AND(ISNUMBER(I34),ISNUMBER(I30),ISNUMBER(I32)),Fleet_1GW!I27*INDEX(B4_EffRef,1,3),0))/1000000,"SLO 不可達")</f>
        <v>40111.4652107936</v>
      </c>
      <c r="J42" s="98" t="n">
        <f aca="false">IF(OR(AND(ISNUMBER(J15),ISNUMBER(J11),ISNUMBER(J13)),AND(ISNUMBER(J24),ISNUMBER(J20),ISNUMBER(J22)),AND(ISNUMBER(J34),ISNUMBER(J30),ISNUMBER(J32))),(IF(AND(ISNUMBER(J15),ISNUMBER(J11),ISNUMBER(J13)),Fleet_1GW!J21*INDEX(B4_EffRef,1,1),0)+IF(AND(ISNUMBER(J24),ISNUMBER(J20),ISNUMBER(J22)),Fleet_1GW!J24*INDEX(B4_EffRef,1,2),0)+IF(AND(ISNUMBER(J34),ISNUMBER(J30),ISNUMBER(J32)),Fleet_1GW!J27*INDEX(B4_EffRef,1,3),0))/1000000,"SLO 不可達")</f>
        <v>40111.4652107936</v>
      </c>
      <c r="K42" s="98" t="n">
        <f aca="false">IF(OR(AND(ISNUMBER(K15),ISNUMBER(K11),ISNUMBER(K13)),AND(ISNUMBER(K24),ISNUMBER(K20),ISNUMBER(K22)),AND(ISNUMBER(K34),ISNUMBER(K30),ISNUMBER(K32))),(IF(AND(ISNUMBER(K15),ISNUMBER(K11),ISNUMBER(K13)),Fleet_1GW!K21*INDEX(B4_EffRef,1,1),0)+IF(AND(ISNUMBER(K24),ISNUMBER(K20),ISNUMBER(K22)),Fleet_1GW!K24*INDEX(B4_EffRef,1,2),0)+IF(AND(ISNUMBER(K34),ISNUMBER(K30),ISNUMBER(K32)),Fleet_1GW!K27*INDEX(B4_EffRef,1,3),0))/1000000,"SLO 不可達")</f>
        <v>40111.4652107936</v>
      </c>
      <c r="L42" s="98" t="n">
        <f aca="false">IF(OR(AND(ISNUMBER(L15),ISNUMBER(L11),ISNUMBER(L13)),AND(ISNUMBER(L24),ISNUMBER(L20),ISNUMBER(L22)),AND(ISNUMBER(L34),ISNUMBER(L30),ISNUMBER(L32))),(IF(AND(ISNUMBER(L15),ISNUMBER(L11),ISNUMBER(L13)),Fleet_1GW!L21*INDEX(B4_EffRef,1,1),0)+IF(AND(ISNUMBER(L24),ISNUMBER(L20),ISNUMBER(L22)),Fleet_1GW!L24*INDEX(B4_EffRef,1,2),0)+IF(AND(ISNUMBER(L34),ISNUMBER(L30),ISNUMBER(L32)),Fleet_1GW!L27*INDEX(B4_EffRef,1,3),0))/1000000,"SLO 不可達")</f>
        <v>65962.8389770871</v>
      </c>
      <c r="M42" s="98" t="n">
        <f aca="false">IF(OR(AND(ISNUMBER(M15),ISNUMBER(M11),ISNUMBER(M13)),AND(ISNUMBER(M24),ISNUMBER(M20),ISNUMBER(M22)),AND(ISNUMBER(M34),ISNUMBER(M30),ISNUMBER(M32))),(IF(AND(ISNUMBER(M15),ISNUMBER(M11),ISNUMBER(M13)),Fleet_1GW!M21*INDEX(B4_EffRef,1,1),0)+IF(AND(ISNUMBER(M24),ISNUMBER(M20),ISNUMBER(M22)),Fleet_1GW!M24*INDEX(B4_EffRef,1,2),0)+IF(AND(ISNUMBER(M34),ISNUMBER(M30),ISNUMBER(M32)),Fleet_1GW!M27*INDEX(B4_EffRef,1,3),0))/1000000,"SLO 不可達")</f>
        <v>65962.8389770871</v>
      </c>
      <c r="N42" s="98" t="n">
        <f aca="false">IF(OR(AND(ISNUMBER(N15),ISNUMBER(N11),ISNUMBER(N13)),AND(ISNUMBER(N24),ISNUMBER(N20),ISNUMBER(N22)),AND(ISNUMBER(N34),ISNUMBER(N30),ISNUMBER(N32))),(IF(AND(ISNUMBER(N15),ISNUMBER(N11),ISNUMBER(N13)),Fleet_1GW!N21*INDEX(B4_EffRef,1,1),0)+IF(AND(ISNUMBER(N24),ISNUMBER(N20),ISNUMBER(N22)),Fleet_1GW!N24*INDEX(B4_EffRef,1,2),0)+IF(AND(ISNUMBER(N34),ISNUMBER(N30),ISNUMBER(N32)),Fleet_1GW!N27*INDEX(B4_EffRef,1,3),0))/1000000,"SLO 不可達")</f>
        <v>65962.8389770871</v>
      </c>
      <c r="O42" s="98" t="n">
        <f aca="false">IF(OR(AND(ISNUMBER(O15),ISNUMBER(O11),ISNUMBER(O13)),AND(ISNUMBER(O24),ISNUMBER(O20),ISNUMBER(O22)),AND(ISNUMBER(O34),ISNUMBER(O30),ISNUMBER(O32))),(IF(AND(ISNUMBER(O15),ISNUMBER(O11),ISNUMBER(O13)),Fleet_1GW!O21*INDEX(B4_EffRef,1,1),0)+IF(AND(ISNUMBER(O24),ISNUMBER(O20),ISNUMBER(O22)),Fleet_1GW!O24*INDEX(B4_EffRef,1,2),0)+IF(AND(ISNUMBER(O34),ISNUMBER(O30),ISNUMBER(O32)),Fleet_1GW!O27*INDEX(B4_EffRef,1,3),0))/1000000,"SLO 不可達")</f>
        <v>91605.1270761894</v>
      </c>
      <c r="P42" s="98" t="n">
        <f aca="false">IF(OR(AND(ISNUMBER(P15),ISNUMBER(P11),ISNUMBER(P13)),AND(ISNUMBER(P24),ISNUMBER(P20),ISNUMBER(P22)),AND(ISNUMBER(P34),ISNUMBER(P30),ISNUMBER(P32))),(IF(AND(ISNUMBER(P15),ISNUMBER(P11),ISNUMBER(P13)),Fleet_1GW!P21*INDEX(B4_EffRef,1,1),0)+IF(AND(ISNUMBER(P24),ISNUMBER(P20),ISNUMBER(P22)),Fleet_1GW!P24*INDEX(B4_EffRef,1,2),0)+IF(AND(ISNUMBER(P34),ISNUMBER(P30),ISNUMBER(P32)),Fleet_1GW!P27*INDEX(B4_EffRef,1,3),0))/1000000,"SLO 不可達")</f>
        <v>91605.1270761894</v>
      </c>
      <c r="Q42" s="98" t="n">
        <f aca="false">IF(OR(AND(ISNUMBER(Q15),ISNUMBER(Q11),ISNUMBER(Q13)),AND(ISNUMBER(Q24),ISNUMBER(Q20),ISNUMBER(Q22)),AND(ISNUMBER(Q34),ISNUMBER(Q30),ISNUMBER(Q32))),(IF(AND(ISNUMBER(Q15),ISNUMBER(Q11),ISNUMBER(Q13)),Fleet_1GW!Q21*INDEX(B4_EffRef,1,1),0)+IF(AND(ISNUMBER(Q24),ISNUMBER(Q20),ISNUMBER(Q22)),Fleet_1GW!Q24*INDEX(B4_EffRef,1,2),0)+IF(AND(ISNUMBER(Q34),ISNUMBER(Q30),ISNUMBER(Q32)),Fleet_1GW!Q27*INDEX(B4_EffRef,1,3),0))/1000000,"SLO 不可達")</f>
        <v>91605.1270761894</v>
      </c>
    </row>
    <row r="43" customFormat="false" ht="29.85" hidden="false" customHeight="false" outlineLevel="0" collapsed="false">
      <c r="A43" s="6" t="s">
        <v>2035</v>
      </c>
      <c r="B43" s="62" t="s">
        <v>976</v>
      </c>
      <c r="C43" s="159" t="n">
        <f aca="false">IF(AND(ISNUMBER(C13),ISNUMBER(C41)),C13*C41,"SLO 不可達")</f>
        <v>0.111643809823497</v>
      </c>
      <c r="D43" s="159" t="n">
        <f aca="false">IF(AND(ISNUMBER(D13),ISNUMBER(D41)),D13*D41,"SLO 不可達")</f>
        <v>0.159512054091793</v>
      </c>
      <c r="E43" s="159" t="n">
        <f aca="false">IF(AND(ISNUMBER(E13),ISNUMBER(E41)),E13*E41,"SLO 不可達")</f>
        <v>0.273933140015809</v>
      </c>
      <c r="F43" s="159" t="n">
        <f aca="false">IF(AND(ISNUMBER(F13),ISNUMBER(F41)),F13*F41,"SLO 不可達")</f>
        <v>0.0228171884807974</v>
      </c>
      <c r="G43" s="159" t="n">
        <f aca="false">IF(AND(ISNUMBER(G13),ISNUMBER(G41)),G13*G41,"SLO 不可達")</f>
        <v>0.0304624287110172</v>
      </c>
      <c r="H43" s="159" t="n">
        <f aca="false">IF(AND(ISNUMBER(H13),ISNUMBER(H41)),H13*H41,"SLO 不可達")</f>
        <v>0.0494014552553722</v>
      </c>
      <c r="I43" s="159" t="n">
        <f aca="false">IF(AND(ISNUMBER(I13),ISNUMBER(I41)),I13*I41,"SLO 不可達")</f>
        <v>0.020050088283311</v>
      </c>
      <c r="J43" s="159" t="n">
        <f aca="false">IF(AND(ISNUMBER(J13),ISNUMBER(J41)),J13*J41,"SLO 不可達")</f>
        <v>0.0258930448820136</v>
      </c>
      <c r="K43" s="159" t="n">
        <f aca="false">IF(AND(ISNUMBER(K13),ISNUMBER(K41)),K13*K41,"SLO 不可達")</f>
        <v>0.0440774136300878</v>
      </c>
      <c r="L43" s="159" t="n">
        <f aca="false">IF(AND(ISNUMBER(L13),ISNUMBER(L41)),L13*L41,"SLO 不可達")</f>
        <v>0.0148626841575213</v>
      </c>
      <c r="M43" s="159" t="n">
        <f aca="false">IF(AND(ISNUMBER(M13),ISNUMBER(M41)),M13*M41,"SLO 不可達")</f>
        <v>0.0190995701031786</v>
      </c>
      <c r="N43" s="159" t="n">
        <f aca="false">IF(AND(ISNUMBER(N13),ISNUMBER(N41)),N13*N41,"SLO 不可達")</f>
        <v>0.0308498823028407</v>
      </c>
      <c r="O43" s="159" t="n">
        <f aca="false">IF(AND(ISNUMBER(O13),ISNUMBER(O41)),O13*O41,"SLO 不可達")</f>
        <v>0.0108849945073861</v>
      </c>
      <c r="P43" s="159" t="n">
        <f aca="false">IF(AND(ISNUMBER(P13),ISNUMBER(P41)),P13*P41,"SLO 不可達")</f>
        <v>0.0165388591664826</v>
      </c>
      <c r="Q43" s="159" t="n">
        <f aca="false">IF(AND(ISNUMBER(Q13),ISNUMBER(Q41)),Q13*Q41,"SLO 不可達")</f>
        <v>0.0301846874898821</v>
      </c>
    </row>
    <row r="44" customFormat="false" ht="29.85" hidden="false" customHeight="false" outlineLevel="0" collapsed="false">
      <c r="A44" s="6" t="s">
        <v>2036</v>
      </c>
      <c r="B44" s="62" t="s">
        <v>976</v>
      </c>
      <c r="C44" s="163" t="n">
        <f aca="false">IF(AND(ISNUMBER(C42),ISNUMBER(Fleet_1GW!C21)),IF(AND(C42&gt;0,Fleet_1GW!C21&gt;0),C39*(Fleet_1GW!C21*INDEX(B4_EffRef,1,1)/1000000/C42)*1000000/Fleet_1GW!C21,0),"SLO 不可達")</f>
        <v>0.0481837579884481</v>
      </c>
      <c r="D44" s="163" t="n">
        <f aca="false">IF(AND(ISNUMBER(D42),ISNUMBER(Fleet_1GW!D21)),IF(AND(D42&gt;0,Fleet_1GW!D21&gt;0),D39*(Fleet_1GW!D21*INDEX(B4_EffRef,1,1)/1000000/D42)*1000000/Fleet_1GW!D21,0),"SLO 不可達")</f>
        <v>0.0688429588953491</v>
      </c>
      <c r="E44" s="163" t="n">
        <f aca="false">IF(AND(ISNUMBER(E42),ISNUMBER(Fleet_1GW!E21)),IF(AND(E42&gt;0,Fleet_1GW!E21&gt;0),E39*(Fleet_1GW!E21*INDEX(B4_EffRef,1,1)/1000000/E42)*1000000/Fleet_1GW!E21,0),"SLO 不可達")</f>
        <v>0.118225346702199</v>
      </c>
      <c r="F44" s="163" t="n">
        <f aca="false">IF(AND(ISNUMBER(F42),ISNUMBER(Fleet_1GW!F21)),IF(AND(F42&gt;0,Fleet_1GW!F21&gt;0),F39*(Fleet_1GW!F21*INDEX(B4_EffRef,1,1)/1000000/F42)*1000000/Fleet_1GW!F21,0),"SLO 不可達")</f>
        <v>0.0107558717803451</v>
      </c>
      <c r="G44" s="163" t="n">
        <f aca="false">IF(AND(ISNUMBER(G42),ISNUMBER(Fleet_1GW!G21)),IF(AND(G42&gt;0,Fleet_1GW!G21&gt;0),G39*(Fleet_1GW!G21*INDEX(B4_EffRef,1,1)/1000000/G42)*1000000/Fleet_1GW!G21,0),"SLO 不可達")</f>
        <v>0.0143597874737876</v>
      </c>
      <c r="H44" s="163" t="n">
        <f aca="false">IF(AND(ISNUMBER(H42),ISNUMBER(Fleet_1GW!H21)),IF(AND(H42&gt;0,Fleet_1GW!H21&gt;0),H39*(Fleet_1GW!H21*INDEX(B4_EffRef,1,1)/1000000/H42)*1000000/Fleet_1GW!H21,0),"SLO 不可達")</f>
        <v>0.0232875193600833</v>
      </c>
      <c r="I44" s="163" t="n">
        <f aca="false">IF(AND(ISNUMBER(I42),ISNUMBER(Fleet_1GW!I21)),IF(AND(I42&gt;0,Fleet_1GW!I21&gt;0),I39*(Fleet_1GW!I21*INDEX(B4_EffRef,1,1)/1000000/I42)*1000000/Fleet_1GW!I21,0),"SLO 不可達")</f>
        <v>0.00997284870203028</v>
      </c>
      <c r="J44" s="163" t="n">
        <f aca="false">IF(AND(ISNUMBER(J42),ISNUMBER(Fleet_1GW!J21)),IF(AND(J42&gt;0,Fleet_1GW!J21&gt;0),J39*(Fleet_1GW!J21*INDEX(B4_EffRef,1,1)/1000000/J42)*1000000/Fleet_1GW!J21,0),"SLO 不可達")</f>
        <v>0.0128791163108314</v>
      </c>
      <c r="K44" s="163" t="n">
        <f aca="false">IF(AND(ISNUMBER(K42),ISNUMBER(Fleet_1GW!K21)),IF(AND(K42&gt;0,Fleet_1GW!K21&gt;0),K39*(Fleet_1GW!K21*INDEX(B4_EffRef,1,1)/1000000/K42)*1000000/Fleet_1GW!K21,0),"SLO 不可達")</f>
        <v>0.021923962184025</v>
      </c>
      <c r="L44" s="163" t="n">
        <f aca="false">IF(AND(ISNUMBER(L42),ISNUMBER(Fleet_1GW!L21)),IF(AND(L42&gt;0,Fleet_1GW!L21&gt;0),L39*(Fleet_1GW!L21*INDEX(B4_EffRef,1,1)/1000000/L42)*1000000/Fleet_1GW!L21,0),"SLO 不可達")</f>
        <v>0.00685107279468222</v>
      </c>
      <c r="M44" s="163" t="n">
        <f aca="false">IF(AND(ISNUMBER(M42),ISNUMBER(Fleet_1GW!M21)),IF(AND(M42&gt;0,Fleet_1GW!M21&gt;0),M39*(Fleet_1GW!M21*INDEX(B4_EffRef,1,1)/1000000/M42)*1000000/Fleet_1GW!M21,0),"SLO 不可達")</f>
        <v>0.00880409916117299</v>
      </c>
      <c r="N44" s="163" t="n">
        <f aca="false">IF(AND(ISNUMBER(N42),ISNUMBER(Fleet_1GW!N21)),IF(AND(N42&gt;0,Fleet_1GW!N21&gt;0),N39*(Fleet_1GW!N21*INDEX(B4_EffRef,1,1)/1000000/N42)*1000000/Fleet_1GW!N21,0),"SLO 不可達")</f>
        <v>0.014220499280218</v>
      </c>
      <c r="O44" s="163" t="n">
        <f aca="false">IF(AND(ISNUMBER(O42),ISNUMBER(Fleet_1GW!O21)),IF(AND(O42&gt;0,Fleet_1GW!O21&gt;0),O39*(Fleet_1GW!O21*INDEX(B4_EffRef,1,1)/1000000/O42)*1000000/Fleet_1GW!O21,0),"SLO 不可達")</f>
        <v>0.00524853491548195</v>
      </c>
      <c r="P44" s="163" t="n">
        <f aca="false">IF(AND(ISNUMBER(P42),ISNUMBER(Fleet_1GW!P21)),IF(AND(P42&gt;0,Fleet_1GW!P21&gt;0),P39*(Fleet_1GW!P21*INDEX(B4_EffRef,1,1)/1000000/P42)*1000000/Fleet_1GW!P21,0),"SLO 不可達")</f>
        <v>0.00797471966923092</v>
      </c>
      <c r="Q44" s="163" t="n">
        <f aca="false">IF(AND(ISNUMBER(Q42),ISNUMBER(Fleet_1GW!Q21)),IF(AND(Q42&gt;0,Fleet_1GW!Q21&gt;0),Q39*(Fleet_1GW!Q21*INDEX(B4_EffRef,1,1)/1000000/Q42)*1000000/Fleet_1GW!Q21,0),"SLO 不可達")</f>
        <v>0.014554475530149</v>
      </c>
    </row>
    <row r="45" customFormat="false" ht="29.85" hidden="false" customHeight="false" outlineLevel="0" collapsed="false">
      <c r="A45" s="6" t="s">
        <v>2037</v>
      </c>
      <c r="B45" s="62" t="s">
        <v>976</v>
      </c>
      <c r="C45" s="159" t="n">
        <f aca="false">IF(AND(ISNUMBER(C22),ISNUMBER(C41)),C22*C41,"SLO 不可達")</f>
        <v>0.275613292390679</v>
      </c>
      <c r="D45" s="159" t="n">
        <f aca="false">IF(AND(ISNUMBER(D22),ISNUMBER(D41)),D22*D41,"SLO 不可達")</f>
        <v>0.393784863430792</v>
      </c>
      <c r="E45" s="159" t="n">
        <f aca="false">IF(AND(ISNUMBER(E22),ISNUMBER(E41)),E22*E41,"SLO 不可達")</f>
        <v>0.676254373028246</v>
      </c>
      <c r="F45" s="159" t="n">
        <f aca="false">IF(AND(ISNUMBER(F22),ISNUMBER(F41)),F22*F41,"SLO 不可達")</f>
        <v>0.0599973623342177</v>
      </c>
      <c r="G45" s="159" t="n">
        <f aca="false">IF(AND(ISNUMBER(G22),ISNUMBER(G41)),G22*G41,"SLO 不可達")</f>
        <v>0.0801003758413667</v>
      </c>
      <c r="H45" s="159" t="n">
        <f aca="false">IF(AND(ISNUMBER(H22),ISNUMBER(H41)),H22*H41,"SLO 不可達")</f>
        <v>0.129900185261152</v>
      </c>
      <c r="I45" s="159" t="n">
        <f aca="false">IF(AND(ISNUMBER(I22),ISNUMBER(I41)),I22*I41,"SLO 不可達")</f>
        <v>0.0547539755990414</v>
      </c>
      <c r="J45" s="159" t="n">
        <f aca="false">IF(AND(ISNUMBER(J22),ISNUMBER(J41)),J22*J41,"SLO 不可達")</f>
        <v>0.0707102695819418</v>
      </c>
      <c r="K45" s="159" t="n">
        <f aca="false">IF(AND(ISNUMBER(K22),ISNUMBER(K41)),K22*K41,"SLO 不可達")</f>
        <v>0.120369227121036</v>
      </c>
      <c r="L45" s="159" t="n">
        <f aca="false">IF(AND(ISNUMBER(L22),ISNUMBER(L41)),L22*L41,"SLO 不可達")</f>
        <v>0.0384837213809363</v>
      </c>
      <c r="M45" s="159" t="n">
        <f aca="false">IF(AND(ISNUMBER(M22),ISNUMBER(M41)),M22*M41,"SLO 不可達")</f>
        <v>0.0494542255326352</v>
      </c>
      <c r="N45" s="159" t="n">
        <f aca="false">IF(AND(ISNUMBER(N22),ISNUMBER(N41)),N22*N41,"SLO 不可達")</f>
        <v>0.0798791296776901</v>
      </c>
      <c r="O45" s="159" t="n">
        <f aca="false">IF(AND(ISNUMBER(O22),ISNUMBER(O41)),O22*O41,"SLO 不可達")</f>
        <v>0.0291493508211308</v>
      </c>
      <c r="P45" s="159" t="n">
        <f aca="false">IF(AND(ISNUMBER(P22),ISNUMBER(P41)),P22*P41,"SLO 不可達")</f>
        <v>0.0442900552405372</v>
      </c>
      <c r="Q45" s="159" t="n">
        <f aca="false">IF(AND(ISNUMBER(Q22),ISNUMBER(Q41)),Q22*Q41,"SLO 不可達")</f>
        <v>0.0808327504870792</v>
      </c>
    </row>
    <row r="46" customFormat="false" ht="29.85" hidden="false" customHeight="false" outlineLevel="0" collapsed="false">
      <c r="A46" s="6" t="s">
        <v>2038</v>
      </c>
      <c r="B46" s="62" t="s">
        <v>976</v>
      </c>
      <c r="C46" s="163" t="n">
        <f aca="false">IF(AND(ISNUMBER(C42),ISNUMBER(Fleet_1GW!C24)),IF(AND(C42&gt;0,Fleet_1GW!C24&gt;0),C39*(Fleet_1GW!C24*INDEX(B4_EffRef,1,2)/1000000/C42)*1000000/Fleet_1GW!C24,0),"SLO 不可達")</f>
        <v>0.963675159768962</v>
      </c>
      <c r="D46" s="163" t="n">
        <f aca="false">IF(AND(ISNUMBER(D42),ISNUMBER(Fleet_1GW!D24)),IF(AND(D42&gt;0,Fleet_1GW!D24&gt;0),D39*(Fleet_1GW!D24*INDEX(B4_EffRef,1,2)/1000000/D42)*1000000/Fleet_1GW!D24,0),"SLO 不可達")</f>
        <v>1.37685917790698</v>
      </c>
      <c r="E46" s="163" t="n">
        <f aca="false">IF(AND(ISNUMBER(E42),ISNUMBER(Fleet_1GW!E24)),IF(AND(E42&gt;0,Fleet_1GW!E24&gt;0),E39*(Fleet_1GW!E24*INDEX(B4_EffRef,1,2)/1000000/E42)*1000000/Fleet_1GW!E24,0),"SLO 不可達")</f>
        <v>2.36450693404399</v>
      </c>
      <c r="F46" s="163" t="n">
        <f aca="false">IF(AND(ISNUMBER(F42),ISNUMBER(Fleet_1GW!F24)),IF(AND(F42&gt;0,Fleet_1GW!F24&gt;0),F39*(Fleet_1GW!F24*INDEX(B4_EffRef,1,2)/1000000/F42)*1000000/Fleet_1GW!F24,0),"SLO 不可達")</f>
        <v>0.215117435606902</v>
      </c>
      <c r="G46" s="163" t="n">
        <f aca="false">IF(AND(ISNUMBER(G42),ISNUMBER(Fleet_1GW!G24)),IF(AND(G42&gt;0,Fleet_1GW!G24&gt;0),G39*(Fleet_1GW!G24*INDEX(B4_EffRef,1,2)/1000000/G42)*1000000/Fleet_1GW!G24,0),"SLO 不可達")</f>
        <v>0.287195749475751</v>
      </c>
      <c r="H46" s="163" t="n">
        <f aca="false">IF(AND(ISNUMBER(H42),ISNUMBER(Fleet_1GW!H24)),IF(AND(H42&gt;0,Fleet_1GW!H24&gt;0),H39*(Fleet_1GW!H24*INDEX(B4_EffRef,1,2)/1000000/H42)*1000000/Fleet_1GW!H24,0),"SLO 不可達")</f>
        <v>0.465750387201666</v>
      </c>
      <c r="I46" s="163" t="n">
        <f aca="false">IF(AND(ISNUMBER(I42),ISNUMBER(Fleet_1GW!I24)),IF(AND(I42&gt;0,Fleet_1GW!I24&gt;0),I39*(Fleet_1GW!I24*INDEX(B4_EffRef,1,2)/1000000/I42)*1000000/Fleet_1GW!I24,0),"SLO 不可達")</f>
        <v>0.199456974040606</v>
      </c>
      <c r="J46" s="163" t="n">
        <f aca="false">IF(AND(ISNUMBER(J42),ISNUMBER(Fleet_1GW!J24)),IF(AND(J42&gt;0,Fleet_1GW!J24&gt;0),J39*(Fleet_1GW!J24*INDEX(B4_EffRef,1,2)/1000000/J42)*1000000/Fleet_1GW!J24,0),"SLO 不可達")</f>
        <v>0.257582326216629</v>
      </c>
      <c r="K46" s="163" t="n">
        <f aca="false">IF(AND(ISNUMBER(K42),ISNUMBER(Fleet_1GW!K24)),IF(AND(K42&gt;0,Fleet_1GW!K24&gt;0),K39*(Fleet_1GW!K24*INDEX(B4_EffRef,1,2)/1000000/K42)*1000000/Fleet_1GW!K24,0),"SLO 不可達")</f>
        <v>0.438479243680499</v>
      </c>
      <c r="L46" s="163" t="n">
        <f aca="false">IF(AND(ISNUMBER(L42),ISNUMBER(Fleet_1GW!L24)),IF(AND(L42&gt;0,Fleet_1GW!L24&gt;0),L39*(Fleet_1GW!L24*INDEX(B4_EffRef,1,2)/1000000/L42)*1000000/Fleet_1GW!L24,0),"SLO 不可達")</f>
        <v>0.137021455893644</v>
      </c>
      <c r="M46" s="163" t="n">
        <f aca="false">IF(AND(ISNUMBER(M42),ISNUMBER(Fleet_1GW!M24)),IF(AND(M42&gt;0,Fleet_1GW!M24&gt;0),M39*(Fleet_1GW!M24*INDEX(B4_EffRef,1,2)/1000000/M42)*1000000/Fleet_1GW!M24,0),"SLO 不可達")</f>
        <v>0.17608198322346</v>
      </c>
      <c r="N46" s="163" t="n">
        <f aca="false">IF(AND(ISNUMBER(N42),ISNUMBER(Fleet_1GW!N24)),IF(AND(N42&gt;0,Fleet_1GW!N24&gt;0),N39*(Fleet_1GW!N24*INDEX(B4_EffRef,1,2)/1000000/N42)*1000000/Fleet_1GW!N24,0),"SLO 不可達")</f>
        <v>0.284409985604361</v>
      </c>
      <c r="O46" s="163" t="n">
        <f aca="false">IF(AND(ISNUMBER(O42),ISNUMBER(Fleet_1GW!O24)),IF(AND(O42&gt;0,Fleet_1GW!O24&gt;0),O39*(Fleet_1GW!O24*INDEX(B4_EffRef,1,2)/1000000/O42)*1000000/Fleet_1GW!O24,0),"SLO 不可達")</f>
        <v>0.104970698309639</v>
      </c>
      <c r="P46" s="163" t="n">
        <f aca="false">IF(AND(ISNUMBER(P42),ISNUMBER(Fleet_1GW!P24)),IF(AND(P42&gt;0,Fleet_1GW!P24&gt;0),P39*(Fleet_1GW!P24*INDEX(B4_EffRef,1,2)/1000000/P42)*1000000/Fleet_1GW!P24,0),"SLO 不可達")</f>
        <v>0.159494393384618</v>
      </c>
      <c r="Q46" s="163" t="n">
        <f aca="false">IF(AND(ISNUMBER(Q42),ISNUMBER(Fleet_1GW!Q24)),IF(AND(Q42&gt;0,Fleet_1GW!Q24&gt;0),Q39*(Fleet_1GW!Q24*INDEX(B4_EffRef,1,2)/1000000/Q42)*1000000/Fleet_1GW!Q24,0),"SLO 不可達")</f>
        <v>0.29108951060298</v>
      </c>
    </row>
    <row r="47" customFormat="false" ht="29.85" hidden="false" customHeight="false" outlineLevel="0" collapsed="false">
      <c r="A47" s="6" t="s">
        <v>2039</v>
      </c>
      <c r="B47" s="62" t="s">
        <v>976</v>
      </c>
      <c r="C47" s="159" t="n">
        <f aca="false">IF(AND(ISNUMBER(C32),ISNUMBER(C41)),C32*C41,"SLO 不可達")</f>
        <v>6.71333459608619</v>
      </c>
      <c r="D47" s="159" t="n">
        <f aca="false">IF(AND(ISNUMBER(D32),ISNUMBER(D41)),D32*D41,"SLO 不可達")</f>
        <v>9.59173457910629</v>
      </c>
      <c r="E47" s="159" t="n">
        <f aca="false">IF(AND(ISNUMBER(E32),ISNUMBER(E41)),E32*E41,"SLO 不可達")</f>
        <v>16.4720715710975</v>
      </c>
      <c r="F47" s="159" t="n">
        <f aca="false">IF(AND(ISNUMBER(F32),ISNUMBER(F41)),F32*F41,"SLO 不可達")</f>
        <v>1.50878388665136</v>
      </c>
      <c r="G47" s="159" t="n">
        <f aca="false">IF(AND(ISNUMBER(G32),ISNUMBER(G41)),G32*G41,"SLO 不可達")</f>
        <v>2.0143244916493</v>
      </c>
      <c r="H47" s="159" t="n">
        <f aca="false">IF(AND(ISNUMBER(H32),ISNUMBER(H41)),H32*H41,"SLO 不可達")</f>
        <v>3.26666537944243</v>
      </c>
      <c r="I47" s="159" t="n">
        <f aca="false">IF(AND(ISNUMBER(I32),ISNUMBER(I41)),I32*I41,"SLO 不可達")</f>
        <v>1.4045212266443</v>
      </c>
      <c r="J47" s="159" t="n">
        <f aca="false">IF(AND(ISNUMBER(J32),ISNUMBER(J41)),J32*J41,"SLO 不可達")</f>
        <v>1.81382399146405</v>
      </c>
      <c r="K47" s="159" t="n">
        <f aca="false">IF(AND(ISNUMBER(K32),ISNUMBER(K41)),K32*K41,"SLO 不可達")</f>
        <v>3.08765039755805</v>
      </c>
      <c r="L47" s="159" t="n">
        <f aca="false">IF(AND(ISNUMBER(L32),ISNUMBER(L41)),L32*L41,"SLO 不可達")</f>
        <v>0.959356186038775</v>
      </c>
      <c r="M47" s="159" t="n">
        <f aca="false">IF(AND(ISNUMBER(M32),ISNUMBER(M41)),M32*M41,"SLO 不可達")</f>
        <v>1.23283860001109</v>
      </c>
      <c r="N47" s="159" t="n">
        <f aca="false">IF(AND(ISNUMBER(N32),ISNUMBER(N41)),N32*N41,"SLO 不可達")</f>
        <v>1.99129747440816</v>
      </c>
      <c r="O47" s="159" t="n">
        <f aca="false">IF(AND(ISNUMBER(O32),ISNUMBER(O41)),O32*O41,"SLO 不可達")</f>
        <v>0.737286975101976</v>
      </c>
      <c r="P47" s="159" t="n">
        <f aca="false">IF(AND(ISNUMBER(P32),ISNUMBER(P41)),P32*P41,"SLO 不可達")</f>
        <v>1.12024727602933</v>
      </c>
      <c r="Q47" s="159" t="n">
        <f aca="false">IF(AND(ISNUMBER(Q32),ISNUMBER(Q41)),Q32*Q41,"SLO 不可達")</f>
        <v>2.04453726813664</v>
      </c>
    </row>
    <row r="48" customFormat="false" ht="29.85" hidden="false" customHeight="false" outlineLevel="0" collapsed="false">
      <c r="A48" s="6" t="s">
        <v>2040</v>
      </c>
      <c r="B48" s="62" t="s">
        <v>976</v>
      </c>
      <c r="C48" s="163" t="n">
        <f aca="false">IF(AND(ISNUMBER(C42),ISNUMBER(Fleet_1GW!C27)),IF(AND(C42&gt;0,Fleet_1GW!C27&gt;0),C39*(Fleet_1GW!C27*INDEX(B4_EffRef,1,3)/1000000/C42)*1000000/Fleet_1GW!C27,0),"SLO 不可達")</f>
        <v>4.81837579884481</v>
      </c>
      <c r="D48" s="163" t="n">
        <f aca="false">IF(AND(ISNUMBER(D42),ISNUMBER(Fleet_1GW!D27)),IF(AND(D42&gt;0,Fleet_1GW!D27&gt;0),D39*(Fleet_1GW!D27*INDEX(B4_EffRef,1,3)/1000000/D42)*1000000/Fleet_1GW!D27,0),"SLO 不可達")</f>
        <v>6.8842958895349</v>
      </c>
      <c r="E48" s="163" t="n">
        <f aca="false">IF(AND(ISNUMBER(E42),ISNUMBER(Fleet_1GW!E27)),IF(AND(E42&gt;0,Fleet_1GW!E27&gt;0),E39*(Fleet_1GW!E27*INDEX(B4_EffRef,1,3)/1000000/E42)*1000000/Fleet_1GW!E27,0),"SLO 不可達")</f>
        <v>11.8225346702199</v>
      </c>
      <c r="F48" s="163" t="n">
        <f aca="false">IF(AND(ISNUMBER(F42),ISNUMBER(Fleet_1GW!F27)),IF(AND(F42&gt;0,Fleet_1GW!F27&gt;0),F39*(Fleet_1GW!F27*INDEX(B4_EffRef,1,3)/1000000/F42)*1000000/Fleet_1GW!F27,0),"SLO 不可達")</f>
        <v>1.07558717803451</v>
      </c>
      <c r="G48" s="163" t="n">
        <f aca="false">IF(AND(ISNUMBER(G42),ISNUMBER(Fleet_1GW!G27)),IF(AND(G42&gt;0,Fleet_1GW!G27&gt;0),G39*(Fleet_1GW!G27*INDEX(B4_EffRef,1,3)/1000000/G42)*1000000/Fleet_1GW!G27,0),"SLO 不可達")</f>
        <v>1.43597874737875</v>
      </c>
      <c r="H48" s="163" t="n">
        <f aca="false">IF(AND(ISNUMBER(H42),ISNUMBER(Fleet_1GW!H27)),IF(AND(H42&gt;0,Fleet_1GW!H27&gt;0),H39*(Fleet_1GW!H27*INDEX(B4_EffRef,1,3)/1000000/H42)*1000000/Fleet_1GW!H27,0),"SLO 不可達")</f>
        <v>2.32875193600833</v>
      </c>
      <c r="I48" s="163" t="n">
        <f aca="false">IF(AND(ISNUMBER(I42),ISNUMBER(Fleet_1GW!I27)),IF(AND(I42&gt;0,Fleet_1GW!I27&gt;0),I39*(Fleet_1GW!I27*INDEX(B4_EffRef,1,3)/1000000/I42)*1000000/Fleet_1GW!I27,0),"SLO 不可達")</f>
        <v>0.997284870203028</v>
      </c>
      <c r="J48" s="163" t="n">
        <f aca="false">IF(AND(ISNUMBER(J42),ISNUMBER(Fleet_1GW!J27)),IF(AND(J42&gt;0,Fleet_1GW!J27&gt;0),J39*(Fleet_1GW!J27*INDEX(B4_EffRef,1,3)/1000000/J42)*1000000/Fleet_1GW!J27,0),"SLO 不可達")</f>
        <v>1.28791163108314</v>
      </c>
      <c r="K48" s="163" t="n">
        <f aca="false">IF(AND(ISNUMBER(K42),ISNUMBER(Fleet_1GW!K27)),IF(AND(K42&gt;0,Fleet_1GW!K27&gt;0),K39*(Fleet_1GW!K27*INDEX(B4_EffRef,1,3)/1000000/K42)*1000000/Fleet_1GW!K27,0),"SLO 不可達")</f>
        <v>2.19239621840249</v>
      </c>
      <c r="L48" s="163" t="n">
        <f aca="false">IF(AND(ISNUMBER(L42),ISNUMBER(Fleet_1GW!L27)),IF(AND(L42&gt;0,Fleet_1GW!L27&gt;0),L39*(Fleet_1GW!L27*INDEX(B4_EffRef,1,3)/1000000/L42)*1000000/Fleet_1GW!L27,0),"SLO 不可達")</f>
        <v>0.685107279468222</v>
      </c>
      <c r="M48" s="163" t="n">
        <f aca="false">IF(AND(ISNUMBER(M42),ISNUMBER(Fleet_1GW!M27)),IF(AND(M42&gt;0,Fleet_1GW!M27&gt;0),M39*(Fleet_1GW!M27*INDEX(B4_EffRef,1,3)/1000000/M42)*1000000/Fleet_1GW!M27,0),"SLO 不可達")</f>
        <v>0.880409916117299</v>
      </c>
      <c r="N48" s="163" t="n">
        <f aca="false">IF(AND(ISNUMBER(N42),ISNUMBER(Fleet_1GW!N27)),IF(AND(N42&gt;0,Fleet_1GW!N27&gt;0),N39*(Fleet_1GW!N27*INDEX(B4_EffRef,1,3)/1000000/N42)*1000000/Fleet_1GW!N27,0),"SLO 不可達")</f>
        <v>1.4220499280218</v>
      </c>
      <c r="O48" s="163" t="n">
        <f aca="false">IF(AND(ISNUMBER(O42),ISNUMBER(Fleet_1GW!O27)),IF(AND(O42&gt;0,Fleet_1GW!O27&gt;0),O39*(Fleet_1GW!O27*INDEX(B4_EffRef,1,3)/1000000/O42)*1000000/Fleet_1GW!O27,0),"SLO 不可達")</f>
        <v>0.524853491548195</v>
      </c>
      <c r="P48" s="163" t="n">
        <f aca="false">IF(AND(ISNUMBER(P42),ISNUMBER(Fleet_1GW!P27)),IF(AND(P42&gt;0,Fleet_1GW!P27&gt;0),P39*(Fleet_1GW!P27*INDEX(B4_EffRef,1,3)/1000000/P42)*1000000/Fleet_1GW!P27,0),"SLO 不可達")</f>
        <v>0.797471966923091</v>
      </c>
      <c r="Q48" s="163" t="n">
        <f aca="false">IF(AND(ISNUMBER(Q42),ISNUMBER(Fleet_1GW!Q27)),IF(AND(Q42&gt;0,Fleet_1GW!Q27&gt;0),Q39*(Fleet_1GW!Q27*INDEX(B4_EffRef,1,3)/1000000/Q42)*1000000/Fleet_1GW!Q27,0),"SLO 不可達")</f>
        <v>1.4554475530149</v>
      </c>
    </row>
    <row r="49" customFormat="false" ht="15" hidden="false" customHeight="false" outlineLevel="0" collapsed="false">
      <c r="A49" s="6" t="s">
        <v>2041</v>
      </c>
      <c r="B49" s="62" t="s">
        <v>113</v>
      </c>
      <c r="C49" s="103" t="n">
        <f aca="false">IF(ISNUMBER(C42),IF(C42&gt;0,C39/C42,0),"SLO 不可達")</f>
        <v>0.599631943993408</v>
      </c>
      <c r="D49" s="103" t="n">
        <f aca="false">IF(ISNUMBER(D42),IF(D42&gt;0,D39/D42,0),"SLO 不可達")</f>
        <v>0.856729300412253</v>
      </c>
      <c r="E49" s="103" t="n">
        <f aca="false">IF(ISNUMBER(E42),IF(E42&gt;0,E39/E42,0),"SLO 不可達")</f>
        <v>1.47127782123865</v>
      </c>
      <c r="F49" s="103" t="n">
        <f aca="false">IF(ISNUMBER(F42),IF(F42&gt;0,F39/F42,0),"SLO 不可達")</f>
        <v>0.133853492841684</v>
      </c>
      <c r="G49" s="103" t="n">
        <f aca="false">IF(ISNUMBER(G42),IF(G42&gt;0,G39/G42,0),"SLO 不可達")</f>
        <v>0.178703107389502</v>
      </c>
      <c r="H49" s="103" t="n">
        <f aca="false">IF(ISNUMBER(H42),IF(H42&gt;0,H39/H42,0),"SLO 不可達")</f>
        <v>0.289805965487762</v>
      </c>
      <c r="I49" s="103" t="n">
        <f aca="false">IF(ISNUMBER(I42),IF(I42&gt;0,I39/I42,0),"SLO 不可達")</f>
        <v>0.124109013161328</v>
      </c>
      <c r="J49" s="103" t="n">
        <f aca="false">IF(ISNUMBER(J42),IF(J42&gt;0,J39/J42,0),"SLO 不可達")</f>
        <v>0.160276613381475</v>
      </c>
      <c r="K49" s="103" t="n">
        <f aca="false">IF(ISNUMBER(K42),IF(K42&gt;0,K39/K42,0),"SLO 不可達")</f>
        <v>0.272836918772434</v>
      </c>
      <c r="L49" s="103" t="n">
        <f aca="false">IF(ISNUMBER(L42),IF(L42&gt;0,L39/L42,0),"SLO 不可達")</f>
        <v>0.0852594789161227</v>
      </c>
      <c r="M49" s="103" t="n">
        <f aca="false">IF(ISNUMBER(M42),IF(M42&gt;0,M39/M42,0),"SLO 不可達")</f>
        <v>0.109564287127429</v>
      </c>
      <c r="N49" s="103" t="n">
        <f aca="false">IF(ISNUMBER(N42),IF(N42&gt;0,N39/N42,0),"SLO 不可達")</f>
        <v>0.17696970896289</v>
      </c>
      <c r="O49" s="103" t="n">
        <f aca="false">IF(ISNUMBER(O42),IF(O42&gt;0,O39/O42,0),"SLO 不可達")</f>
        <v>0.0653163913707655</v>
      </c>
      <c r="P49" s="103" t="n">
        <f aca="false">IF(ISNUMBER(P42),IF(P42&gt;0,P39/P42,0),"SLO 不可達")</f>
        <v>0.0992429162376635</v>
      </c>
      <c r="Q49" s="103" t="n">
        <f aca="false">IF(ISNUMBER(Q42),IF(Q42&gt;0,Q39/Q42,0),"SLO 不可達")</f>
        <v>0.18112593994931</v>
      </c>
    </row>
    <row r="50" customFormat="false" ht="15" hidden="false" customHeight="false" outlineLevel="0" collapsed="false">
      <c r="A50" s="74" t="s">
        <v>2042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18" min="18" style="0" width="46"/>
  </cols>
  <sheetData>
    <row r="1" customFormat="false" ht="20.1" hidden="false" customHeight="false" outlineLevel="0" collapsed="false">
      <c r="A1" s="58" t="s">
        <v>2043</v>
      </c>
    </row>
    <row r="2" customFormat="false" ht="15" hidden="false" customHeight="false" outlineLevel="0" collapsed="false">
      <c r="A2" s="59" t="s">
        <v>2044</v>
      </c>
    </row>
    <row r="3" customFormat="false" ht="15" hidden="false" customHeight="false" outlineLevel="0" collapsed="false">
      <c r="R3" s="60" t="s">
        <v>2</v>
      </c>
    </row>
    <row r="4" customFormat="false" ht="15" hidden="false" customHeight="false" outlineLevel="0" collapsed="false">
      <c r="A4" s="60" t="s">
        <v>186</v>
      </c>
      <c r="C4" s="82" t="str">
        <f aca="false">Unit_Cost!C4</f>
        <v>Hopper H100</v>
      </c>
      <c r="D4" s="82" t="str">
        <f aca="false">Unit_Cost!D4</f>
        <v>Hopper H100</v>
      </c>
      <c r="E4" s="82" t="str">
        <f aca="false">Unit_Cost!E4</f>
        <v>Hopper H100</v>
      </c>
      <c r="F4" s="82" t="str">
        <f aca="false">Unit_Cost!F4</f>
        <v>GB200 NVL72</v>
      </c>
      <c r="G4" s="82" t="str">
        <f aca="false">Unit_Cost!G4</f>
        <v>GB200 NVL72</v>
      </c>
      <c r="H4" s="82" t="str">
        <f aca="false">Unit_Cost!H4</f>
        <v>GB200 NVL72</v>
      </c>
      <c r="I4" s="82" t="str">
        <f aca="false">Unit_Cost!I4</f>
        <v>GB300 NVL72</v>
      </c>
      <c r="J4" s="82" t="str">
        <f aca="false">Unit_Cost!J4</f>
        <v>GB300 NVL72</v>
      </c>
      <c r="K4" s="82" t="str">
        <f aca="false">Unit_Cost!K4</f>
        <v>GB300 NVL72</v>
      </c>
      <c r="L4" s="82" t="str">
        <f aca="false">Unit_Cost!L4</f>
        <v>VR200 NVL72</v>
      </c>
      <c r="M4" s="82" t="str">
        <f aca="false">Unit_Cost!M4</f>
        <v>VR200 NVL72</v>
      </c>
      <c r="N4" s="82" t="str">
        <f aca="false">Unit_Cost!N4</f>
        <v>VR200 NVL72</v>
      </c>
      <c r="O4" s="82" t="str">
        <f aca="false">Unit_Cost!O4</f>
        <v>Rubin Ultra（MGX NVL 單架，72 GPU）</v>
      </c>
      <c r="P4" s="82" t="str">
        <f aca="false">Unit_Cost!P4</f>
        <v>Rubin Ultra（MGX NVL 單架，72 GPU）</v>
      </c>
      <c r="Q4" s="82" t="str">
        <f aca="false">Unit_Cost!Q4</f>
        <v>Rubin Ultra（MGX NVL 單架，72 GPU）</v>
      </c>
      <c r="R4" s="74" t="s">
        <v>853</v>
      </c>
    </row>
    <row r="5" customFormat="false" ht="15" hidden="false" customHeight="false" outlineLevel="0" collapsed="false">
      <c r="A5" s="60" t="s">
        <v>28</v>
      </c>
      <c r="C5" s="82" t="str">
        <f aca="false">Unit_Cost!C5</f>
        <v>低成本</v>
      </c>
      <c r="D5" s="82" t="str">
        <f aca="false">Unit_Cost!D5</f>
        <v>基準</v>
      </c>
      <c r="E5" s="82" t="str">
        <f aca="false">Unit_Cost!E5</f>
        <v>高成本</v>
      </c>
      <c r="F5" s="82" t="str">
        <f aca="false">Unit_Cost!F5</f>
        <v>低成本</v>
      </c>
      <c r="G5" s="82" t="str">
        <f aca="false">Unit_Cost!G5</f>
        <v>基準</v>
      </c>
      <c r="H5" s="82" t="str">
        <f aca="false">Unit_Cost!H5</f>
        <v>高成本</v>
      </c>
      <c r="I5" s="82" t="str">
        <f aca="false">Unit_Cost!I5</f>
        <v>低成本</v>
      </c>
      <c r="J5" s="82" t="str">
        <f aca="false">Unit_Cost!J5</f>
        <v>基準</v>
      </c>
      <c r="K5" s="82" t="str">
        <f aca="false">Unit_Cost!K5</f>
        <v>高成本</v>
      </c>
      <c r="L5" s="82" t="str">
        <f aca="false">Unit_Cost!L5</f>
        <v>低成本</v>
      </c>
      <c r="M5" s="82" t="str">
        <f aca="false">Unit_Cost!M5</f>
        <v>基準</v>
      </c>
      <c r="N5" s="82" t="str">
        <f aca="false">Unit_Cost!N5</f>
        <v>高成本</v>
      </c>
      <c r="O5" s="82" t="str">
        <f aca="false">Unit_Cost!O5</f>
        <v>低成本</v>
      </c>
      <c r="P5" s="82" t="str">
        <f aca="false">Unit_Cost!P5</f>
        <v>基準</v>
      </c>
      <c r="Q5" s="82" t="str">
        <f aca="false">Unit_Cost!Q5</f>
        <v>高成本</v>
      </c>
      <c r="R5" s="74" t="s">
        <v>855</v>
      </c>
    </row>
    <row r="6" customFormat="false" ht="15" hidden="false" customHeight="false" outlineLevel="0" collapsed="false">
      <c r="A6" s="60" t="s">
        <v>469</v>
      </c>
      <c r="C6" s="105" t="n">
        <v>1</v>
      </c>
      <c r="D6" s="105" t="n">
        <v>1</v>
      </c>
      <c r="E6" s="105" t="n">
        <v>1</v>
      </c>
      <c r="F6" s="105" t="n">
        <v>2</v>
      </c>
      <c r="G6" s="105" t="n">
        <v>2</v>
      </c>
      <c r="H6" s="105" t="n">
        <v>2</v>
      </c>
      <c r="I6" s="105" t="n">
        <v>3</v>
      </c>
      <c r="J6" s="105" t="n">
        <v>3</v>
      </c>
      <c r="K6" s="105" t="n">
        <v>3</v>
      </c>
      <c r="L6" s="105" t="n">
        <v>4</v>
      </c>
      <c r="M6" s="105" t="n">
        <v>4</v>
      </c>
      <c r="N6" s="105" t="n">
        <v>4</v>
      </c>
      <c r="O6" s="105" t="n">
        <v>5</v>
      </c>
      <c r="P6" s="105" t="n">
        <v>5</v>
      </c>
      <c r="Q6" s="105" t="n">
        <v>5</v>
      </c>
      <c r="R6" s="74" t="s">
        <v>1970</v>
      </c>
    </row>
    <row r="7" customFormat="false" ht="15" hidden="false" customHeight="false" outlineLevel="0" collapsed="false">
      <c r="A7" s="60" t="s">
        <v>1955</v>
      </c>
      <c r="C7" s="105" t="n">
        <v>1</v>
      </c>
      <c r="D7" s="105" t="n">
        <v>2</v>
      </c>
      <c r="E7" s="105" t="n">
        <v>3</v>
      </c>
      <c r="F7" s="105" t="n">
        <v>4</v>
      </c>
      <c r="G7" s="105" t="n">
        <v>5</v>
      </c>
      <c r="H7" s="105" t="n">
        <v>6</v>
      </c>
      <c r="I7" s="105" t="n">
        <v>7</v>
      </c>
      <c r="J7" s="105" t="n">
        <v>8</v>
      </c>
      <c r="K7" s="105" t="n">
        <v>9</v>
      </c>
      <c r="L7" s="105" t="n">
        <v>10</v>
      </c>
      <c r="M7" s="105" t="n">
        <v>11</v>
      </c>
      <c r="N7" s="105" t="n">
        <v>12</v>
      </c>
      <c r="O7" s="105" t="n">
        <v>13</v>
      </c>
      <c r="P7" s="105" t="n">
        <v>14</v>
      </c>
      <c r="Q7" s="105" t="n">
        <v>15</v>
      </c>
    </row>
    <row r="9" customFormat="false" ht="15" hidden="false" customHeight="false" outlineLevel="0" collapsed="false">
      <c r="A9" s="76" t="s">
        <v>2045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</row>
    <row r="10" customFormat="false" ht="15" hidden="false" customHeight="false" outlineLevel="0" collapsed="false">
      <c r="A10" s="5" t="s">
        <v>2046</v>
      </c>
      <c r="B10" s="62" t="s">
        <v>931</v>
      </c>
      <c r="C10" s="68" t="n">
        <f aca="false">IF(ISNUMBER(INDEX(IF_TokGW_Luna,1,C$7)),INDEX(IF_TokGW_Luna,1,C$7)*IF_Util,INDEX(IF_TokGW_Luna,1,C$7))</f>
        <v>67336944306.2829</v>
      </c>
      <c r="D10" s="68" t="n">
        <f aca="false">IF(ISNUMBER(INDEX(IF_TokGW_Luna,1,D$7)),INDEX(IF_TokGW_Luna,1,D$7)*IF_Util,INDEX(IF_TokGW_Luna,1,D$7))</f>
        <v>67336944306.2829</v>
      </c>
      <c r="E10" s="68" t="n">
        <f aca="false">IF(ISNUMBER(INDEX(IF_TokGW_Luna,1,E$7)),INDEX(IF_TokGW_Luna,1,E$7)*IF_Util,INDEX(IF_TokGW_Luna,1,E$7))</f>
        <v>67336944306.2829</v>
      </c>
      <c r="F10" s="68" t="n">
        <f aca="false">IF(ISNUMBER(INDEX(IF_TokGW_Luna,1,F$7)),INDEX(IF_TokGW_Luna,1,F$7)*IF_Util,INDEX(IF_TokGW_Luna,1,F$7))</f>
        <v>298037482955.404</v>
      </c>
      <c r="G10" s="68" t="n">
        <f aca="false">IF(ISNUMBER(INDEX(IF_TokGW_Luna,1,G$7)),INDEX(IF_TokGW_Luna,1,G$7)*IF_Util,INDEX(IF_TokGW_Luna,1,G$7))</f>
        <v>298037482955.404</v>
      </c>
      <c r="H10" s="68" t="n">
        <f aca="false">IF(ISNUMBER(INDEX(IF_TokGW_Luna,1,H$7)),INDEX(IF_TokGW_Luna,1,H$7)*IF_Util,INDEX(IF_TokGW_Luna,1,H$7))</f>
        <v>298037482955.404</v>
      </c>
      <c r="I10" s="68" t="n">
        <f aca="false">IF(ISNUMBER(INDEX(IF_TokGW_Luna,1,I$7)),INDEX(IF_TokGW_Luna,1,I$7)*IF_Util,INDEX(IF_TokGW_Luna,1,I$7))</f>
        <v>433905625206.705</v>
      </c>
      <c r="J10" s="68" t="n">
        <f aca="false">IF(ISNUMBER(INDEX(IF_TokGW_Luna,1,J$7)),INDEX(IF_TokGW_Luna,1,J$7)*IF_Util,INDEX(IF_TokGW_Luna,1,J$7))</f>
        <v>433905625206.705</v>
      </c>
      <c r="K10" s="68" t="n">
        <f aca="false">IF(ISNUMBER(INDEX(IF_TokGW_Luna,1,K$7)),INDEX(IF_TokGW_Luna,1,K$7)*IF_Util,INDEX(IF_TokGW_Luna,1,K$7))</f>
        <v>433905625206.705</v>
      </c>
      <c r="L10" s="68" t="n">
        <f aca="false">IF(ISNUMBER(INDEX(IF_TokGW_Luna,1,L$7)),INDEX(IF_TokGW_Luna,1,L$7)*IF_Util,INDEX(IF_TokGW_Luna,1,L$7))</f>
        <v>625960623400.238</v>
      </c>
      <c r="M10" s="68" t="n">
        <f aca="false">IF(ISNUMBER(INDEX(IF_TokGW_Luna,1,M$7)),INDEX(IF_TokGW_Luna,1,M$7)*IF_Util,INDEX(IF_TokGW_Luna,1,M$7))</f>
        <v>625960623400.238</v>
      </c>
      <c r="N10" s="68" t="n">
        <f aca="false">IF(ISNUMBER(INDEX(IF_TokGW_Luna,1,N$7)),INDEX(IF_TokGW_Luna,1,N$7)*IF_Util,INDEX(IF_TokGW_Luna,1,N$7))</f>
        <v>625960623400.238</v>
      </c>
      <c r="O10" s="68" t="n">
        <f aca="false">IF(ISNUMBER(INDEX(IF_TokGW_Luna,1,O$7)),INDEX(IF_TokGW_Luna,1,O$7)*IF_Util,INDEX(IF_TokGW_Luna,1,O$7))</f>
        <v>842752789515.931</v>
      </c>
      <c r="P10" s="68" t="n">
        <f aca="false">IF(ISNUMBER(INDEX(IF_TokGW_Luna,1,P$7)),INDEX(IF_TokGW_Luna,1,P$7)*IF_Util,INDEX(IF_TokGW_Luna,1,P$7))</f>
        <v>842752789515.931</v>
      </c>
      <c r="Q10" s="68" t="n">
        <f aca="false">IF(ISNUMBER(INDEX(IF_TokGW_Luna,1,Q$7)),INDEX(IF_TokGW_Luna,1,Q$7)*IF_Util,INDEX(IF_TokGW_Luna,1,Q$7))</f>
        <v>842752789515.931</v>
      </c>
    </row>
    <row r="11" customFormat="false" ht="15" hidden="false" customHeight="false" outlineLevel="0" collapsed="false">
      <c r="A11" s="5" t="s">
        <v>2047</v>
      </c>
      <c r="B11" s="62" t="s">
        <v>2048</v>
      </c>
      <c r="C11" s="114" t="n">
        <f aca="false">IF(ISNUMBER(C10),C10*INDEX(B4_EffRef,1,1)/1000000000,C10)</f>
        <v>5.41089756914487</v>
      </c>
      <c r="D11" s="114" t="n">
        <f aca="false">IF(ISNUMBER(D10),D10*INDEX(B4_EffRef,1,1)/1000000000,D10)</f>
        <v>5.41089756914487</v>
      </c>
      <c r="E11" s="114" t="n">
        <f aca="false">IF(ISNUMBER(E10),E10*INDEX(B4_EffRef,1,1)/1000000000,E10)</f>
        <v>5.41089756914487</v>
      </c>
      <c r="F11" s="114" t="n">
        <f aca="false">IF(ISNUMBER(F10),F10*INDEX(B4_EffRef,1,1)/1000000000,F10)</f>
        <v>23.9489675192609</v>
      </c>
      <c r="G11" s="114" t="n">
        <f aca="false">IF(ISNUMBER(G10),G10*INDEX(B4_EffRef,1,1)/1000000000,G10)</f>
        <v>23.9489675192609</v>
      </c>
      <c r="H11" s="114" t="n">
        <f aca="false">IF(ISNUMBER(H10),H10*INDEX(B4_EffRef,1,1)/1000000000,H10)</f>
        <v>23.9489675192609</v>
      </c>
      <c r="I11" s="114" t="n">
        <f aca="false">IF(ISNUMBER(I10),I10*INDEX(B4_EffRef,1,1)/1000000000,I10)</f>
        <v>34.8667275721655</v>
      </c>
      <c r="J11" s="114" t="n">
        <f aca="false">IF(ISNUMBER(J10),J10*INDEX(B4_EffRef,1,1)/1000000000,J10)</f>
        <v>34.8667275721655</v>
      </c>
      <c r="K11" s="114" t="n">
        <f aca="false">IF(ISNUMBER(K10),K10*INDEX(B4_EffRef,1,1)/1000000000,K10)</f>
        <v>34.8667275721655</v>
      </c>
      <c r="L11" s="114" t="n">
        <f aca="false">IF(ISNUMBER(L10),L10*INDEX(B4_EffRef,1,1)/1000000000,L10)</f>
        <v>50.299413649228</v>
      </c>
      <c r="M11" s="114" t="n">
        <f aca="false">IF(ISNUMBER(M10),M10*INDEX(B4_EffRef,1,1)/1000000000,M10)</f>
        <v>50.299413649228</v>
      </c>
      <c r="N11" s="114" t="n">
        <f aca="false">IF(ISNUMBER(N10),N10*INDEX(B4_EffRef,1,1)/1000000000,N10)</f>
        <v>50.299413649228</v>
      </c>
      <c r="O11" s="114" t="n">
        <f aca="false">IF(ISNUMBER(O10),O10*INDEX(B4_EffRef,1,1)/1000000000,O10)</f>
        <v>67.7198685975468</v>
      </c>
      <c r="P11" s="114" t="n">
        <f aca="false">IF(ISNUMBER(P10),P10*INDEX(B4_EffRef,1,1)/1000000000,P10)</f>
        <v>67.7198685975468</v>
      </c>
      <c r="Q11" s="114" t="n">
        <f aca="false">IF(ISNUMBER(Q10),Q10*INDEX(B4_EffRef,1,1)/1000000000,Q10)</f>
        <v>67.7198685975468</v>
      </c>
    </row>
    <row r="12" customFormat="false" ht="15" hidden="false" customHeight="false" outlineLevel="0" collapsed="false">
      <c r="A12" s="5" t="s">
        <v>2049</v>
      </c>
      <c r="B12" s="62" t="s">
        <v>2048</v>
      </c>
      <c r="C12" s="75" t="n">
        <f aca="false">IF(ISNUMBER(C10),C10*INDEX(B4_FrontRef,1,1)/1000000000,C10)</f>
        <v>5.41089756914487</v>
      </c>
      <c r="D12" s="75" t="n">
        <f aca="false">IF(ISNUMBER(D10),D10*INDEX(B4_FrontRef,1,1)/1000000000,D10)</f>
        <v>5.41089756914487</v>
      </c>
      <c r="E12" s="75" t="n">
        <f aca="false">IF(ISNUMBER(E10),E10*INDEX(B4_FrontRef,1,1)/1000000000,E10)</f>
        <v>5.41089756914487</v>
      </c>
      <c r="F12" s="75" t="n">
        <f aca="false">IF(ISNUMBER(F10),F10*INDEX(B4_FrontRef,1,1)/1000000000,F10)</f>
        <v>23.9489675192609</v>
      </c>
      <c r="G12" s="75" t="n">
        <f aca="false">IF(ISNUMBER(G10),G10*INDEX(B4_FrontRef,1,1)/1000000000,G10)</f>
        <v>23.9489675192609</v>
      </c>
      <c r="H12" s="75" t="n">
        <f aca="false">IF(ISNUMBER(H10),H10*INDEX(B4_FrontRef,1,1)/1000000000,H10)</f>
        <v>23.9489675192609</v>
      </c>
      <c r="I12" s="75" t="n">
        <f aca="false">IF(ISNUMBER(I10),I10*INDEX(B4_FrontRef,1,1)/1000000000,I10)</f>
        <v>34.8667275721655</v>
      </c>
      <c r="J12" s="75" t="n">
        <f aca="false">IF(ISNUMBER(J10),J10*INDEX(B4_FrontRef,1,1)/1000000000,J10)</f>
        <v>34.8667275721655</v>
      </c>
      <c r="K12" s="75" t="n">
        <f aca="false">IF(ISNUMBER(K10),K10*INDEX(B4_FrontRef,1,1)/1000000000,K10)</f>
        <v>34.8667275721655</v>
      </c>
      <c r="L12" s="75" t="n">
        <f aca="false">IF(ISNUMBER(L10),L10*INDEX(B4_FrontRef,1,1)/1000000000,L10)</f>
        <v>50.299413649228</v>
      </c>
      <c r="M12" s="75" t="n">
        <f aca="false">IF(ISNUMBER(M10),M10*INDEX(B4_FrontRef,1,1)/1000000000,M10)</f>
        <v>50.299413649228</v>
      </c>
      <c r="N12" s="75" t="n">
        <f aca="false">IF(ISNUMBER(N10),N10*INDEX(B4_FrontRef,1,1)/1000000000,N10)</f>
        <v>50.299413649228</v>
      </c>
      <c r="O12" s="75" t="n">
        <f aca="false">IF(ISNUMBER(O10),O10*INDEX(B4_FrontRef,1,1)/1000000000,O10)</f>
        <v>67.7198685975468</v>
      </c>
      <c r="P12" s="75" t="n">
        <f aca="false">IF(ISNUMBER(P10),P10*INDEX(B4_FrontRef,1,1)/1000000000,P10)</f>
        <v>67.7198685975468</v>
      </c>
      <c r="Q12" s="75" t="n">
        <f aca="false">IF(ISNUMBER(Q10),Q10*INDEX(B4_FrontRef,1,1)/1000000000,Q10)</f>
        <v>67.7198685975468</v>
      </c>
    </row>
    <row r="13" customFormat="false" ht="15" hidden="false" customHeight="false" outlineLevel="0" collapsed="false">
      <c r="A13" s="5" t="s">
        <v>2050</v>
      </c>
      <c r="B13" s="62" t="s">
        <v>2048</v>
      </c>
      <c r="C13" s="75" t="n">
        <f aca="false">IF(ISNUMBER(INDEX(IF_TokGW_Luna,1,C$7)),INDEX(IF_TokGW_Luna,1,C$7)*INDEX(B4_EffRef,1,1)/1000000000,INDEX(IF_TokGW_Luna,1,C$7))</f>
        <v>9.01816261524145</v>
      </c>
      <c r="D13" s="75" t="n">
        <f aca="false">IF(ISNUMBER(INDEX(IF_TokGW_Luna,1,D$7)),INDEX(IF_TokGW_Luna,1,D$7)*INDEX(B4_EffRef,1,1)/1000000000,INDEX(IF_TokGW_Luna,1,D$7))</f>
        <v>9.01816261524145</v>
      </c>
      <c r="E13" s="75" t="n">
        <f aca="false">IF(ISNUMBER(INDEX(IF_TokGW_Luna,1,E$7)),INDEX(IF_TokGW_Luna,1,E$7)*INDEX(B4_EffRef,1,1)/1000000000,INDEX(IF_TokGW_Luna,1,E$7))</f>
        <v>9.01816261524145</v>
      </c>
      <c r="F13" s="75" t="n">
        <f aca="false">IF(ISNUMBER(INDEX(IF_TokGW_Luna,1,F$7)),INDEX(IF_TokGW_Luna,1,F$7)*INDEX(B4_EffRef,1,1)/1000000000,INDEX(IF_TokGW_Luna,1,F$7))</f>
        <v>39.9149458654348</v>
      </c>
      <c r="G13" s="75" t="n">
        <f aca="false">IF(ISNUMBER(INDEX(IF_TokGW_Luna,1,G$7)),INDEX(IF_TokGW_Luna,1,G$7)*INDEX(B4_EffRef,1,1)/1000000000,INDEX(IF_TokGW_Luna,1,G$7))</f>
        <v>39.9149458654348</v>
      </c>
      <c r="H13" s="75" t="n">
        <f aca="false">IF(ISNUMBER(INDEX(IF_TokGW_Luna,1,H$7)),INDEX(IF_TokGW_Luna,1,H$7)*INDEX(B4_EffRef,1,1)/1000000000,INDEX(IF_TokGW_Luna,1,H$7))</f>
        <v>39.9149458654348</v>
      </c>
      <c r="I13" s="75" t="n">
        <f aca="false">IF(ISNUMBER(INDEX(IF_TokGW_Luna,1,I$7)),INDEX(IF_TokGW_Luna,1,I$7)*INDEX(B4_EffRef,1,1)/1000000000,INDEX(IF_TokGW_Luna,1,I$7))</f>
        <v>58.1112126202758</v>
      </c>
      <c r="J13" s="75" t="n">
        <f aca="false">IF(ISNUMBER(INDEX(IF_TokGW_Luna,1,J$7)),INDEX(IF_TokGW_Luna,1,J$7)*INDEX(B4_EffRef,1,1)/1000000000,INDEX(IF_TokGW_Luna,1,J$7))</f>
        <v>58.1112126202758</v>
      </c>
      <c r="K13" s="75" t="n">
        <f aca="false">IF(ISNUMBER(INDEX(IF_TokGW_Luna,1,K$7)),INDEX(IF_TokGW_Luna,1,K$7)*INDEX(B4_EffRef,1,1)/1000000000,INDEX(IF_TokGW_Luna,1,K$7))</f>
        <v>58.1112126202758</v>
      </c>
      <c r="L13" s="75" t="n">
        <f aca="false">IF(ISNUMBER(INDEX(IF_TokGW_Luna,1,L$7)),INDEX(IF_TokGW_Luna,1,L$7)*INDEX(B4_EffRef,1,1)/1000000000,INDEX(IF_TokGW_Luna,1,L$7))</f>
        <v>83.8323560820467</v>
      </c>
      <c r="M13" s="75" t="n">
        <f aca="false">IF(ISNUMBER(INDEX(IF_TokGW_Luna,1,M$7)),INDEX(IF_TokGW_Luna,1,M$7)*INDEX(B4_EffRef,1,1)/1000000000,INDEX(IF_TokGW_Luna,1,M$7))</f>
        <v>83.8323560820467</v>
      </c>
      <c r="N13" s="75" t="n">
        <f aca="false">IF(ISNUMBER(INDEX(IF_TokGW_Luna,1,N$7)),INDEX(IF_TokGW_Luna,1,N$7)*INDEX(B4_EffRef,1,1)/1000000000,INDEX(IF_TokGW_Luna,1,N$7))</f>
        <v>83.8323560820467</v>
      </c>
      <c r="O13" s="75" t="n">
        <f aca="false">IF(ISNUMBER(INDEX(IF_TokGW_Luna,1,O$7)),INDEX(IF_TokGW_Luna,1,O$7)*INDEX(B4_EffRef,1,1)/1000000000,INDEX(IF_TokGW_Luna,1,O$7))</f>
        <v>112.866447662578</v>
      </c>
      <c r="P13" s="75" t="n">
        <f aca="false">IF(ISNUMBER(INDEX(IF_TokGW_Luna,1,P$7)),INDEX(IF_TokGW_Luna,1,P$7)*INDEX(B4_EffRef,1,1)/1000000000,INDEX(IF_TokGW_Luna,1,P$7))</f>
        <v>112.866447662578</v>
      </c>
      <c r="Q13" s="75" t="n">
        <f aca="false">IF(ISNUMBER(INDEX(IF_TokGW_Luna,1,Q$7)),INDEX(IF_TokGW_Luna,1,Q$7)*INDEX(B4_EffRef,1,1)/1000000000,INDEX(IF_TokGW_Luna,1,Q$7))</f>
        <v>112.866447662578</v>
      </c>
    </row>
    <row r="14" customFormat="false" ht="15" hidden="false" customHeight="false" outlineLevel="0" collapsed="false">
      <c r="A14" s="5" t="s">
        <v>2051</v>
      </c>
      <c r="B14" s="62" t="s">
        <v>2048</v>
      </c>
      <c r="C14" s="75" t="n">
        <f aca="false">INDEX(IF_HoldEcon,1,C$7)</f>
        <v>6.79107465326444</v>
      </c>
      <c r="D14" s="75" t="n">
        <f aca="false">INDEX(IF_HoldEcon,1,D$7)</f>
        <v>9.70308728611469</v>
      </c>
      <c r="E14" s="75" t="n">
        <f aca="false">INDEX(IF_HoldEcon,1,E$7)</f>
        <v>16.6637697337026</v>
      </c>
      <c r="F14" s="75" t="n">
        <f aca="false">INDEX(IF_HoldEcon,1,F$7)</f>
        <v>6.6118162762144</v>
      </c>
      <c r="G14" s="75" t="n">
        <f aca="false">INDEX(IF_HoldEcon,1,G$7)</f>
        <v>8.82816556596761</v>
      </c>
      <c r="H14" s="75" t="n">
        <f aca="false">INDEX(IF_HoldEcon,1,H$7)</f>
        <v>14.3185748619737</v>
      </c>
      <c r="I14" s="75" t="n">
        <f aca="false">INDEX(IF_HoldEcon,1,I$7)</f>
        <v>8.42889912085495</v>
      </c>
      <c r="J14" s="75" t="n">
        <f aca="false">INDEX(IF_HoldEcon,1,J$7)</f>
        <v>10.8864110021101</v>
      </c>
      <c r="K14" s="75" t="n">
        <f aca="false">INDEX(IF_HoldEcon,1,K$7)</f>
        <v>18.5346455040469</v>
      </c>
      <c r="L14" s="75" t="n">
        <f aca="false">INDEX(IF_HoldEcon,1,L$7)</f>
        <v>9.51207691858967</v>
      </c>
      <c r="M14" s="75" t="n">
        <f aca="false">INDEX(IF_HoldEcon,1,M$7)</f>
        <v>12.2254710045841</v>
      </c>
      <c r="N14" s="75" t="n">
        <f aca="false">INDEX(IF_HoldEcon,1,N$7)</f>
        <v>19.7506269894487</v>
      </c>
      <c r="O14" s="75" t="n">
        <f aca="false">INDEX(IF_HoldEcon,1,O$7)</f>
        <v>10.1025446864987</v>
      </c>
      <c r="P14" s="75" t="n">
        <f aca="false">INDEX(IF_HoldEcon,1,P$7)</f>
        <v>15.3544827030524</v>
      </c>
      <c r="Q14" s="75" t="n">
        <f aca="false">INDEX(IF_HoldEcon,1,Q$7)</f>
        <v>28.0302450108258</v>
      </c>
    </row>
    <row r="15" customFormat="false" ht="15" hidden="false" customHeight="false" outlineLevel="0" collapsed="false">
      <c r="A15" s="5" t="s">
        <v>2052</v>
      </c>
      <c r="B15" s="62" t="s">
        <v>118</v>
      </c>
      <c r="C15" s="88" t="n">
        <f aca="false">IF(ISNUMBER(C11),C11/C14,C11)</f>
        <v>0.796766026794283</v>
      </c>
      <c r="D15" s="88" t="n">
        <f aca="false">IF(ISNUMBER(D11),D11/D14,D11)</f>
        <v>0.557647005493599</v>
      </c>
      <c r="E15" s="88" t="n">
        <f aca="false">IF(ISNUMBER(E11),E11/E14,E11)</f>
        <v>0.324710293985956</v>
      </c>
      <c r="F15" s="88" t="n">
        <f aca="false">IF(ISNUMBER(F11),F11/F14,F11)</f>
        <v>3.62214655077695</v>
      </c>
      <c r="G15" s="88" t="n">
        <f aca="false">IF(ISNUMBER(G11),G11/G14,G11)</f>
        <v>2.71279093491219</v>
      </c>
      <c r="H15" s="88" t="n">
        <f aca="false">IF(ISNUMBER(H11),H11/H14,H11)</f>
        <v>1.67258038946759</v>
      </c>
      <c r="I15" s="88" t="n">
        <f aca="false">IF(ISNUMBER(I11),I11/I14,I11)</f>
        <v>4.13656956528255</v>
      </c>
      <c r="J15" s="88" t="n">
        <f aca="false">IF(ISNUMBER(J11),J11/J14,J11)</f>
        <v>3.20277523652262</v>
      </c>
      <c r="K15" s="88" t="n">
        <f aca="false">IF(ISNUMBER(K11),K11/K14,K11)</f>
        <v>1.88116506272282</v>
      </c>
      <c r="L15" s="88" t="n">
        <f aca="false">IF(ISNUMBER(L11),L11/L14,L11)</f>
        <v>5.28795278672807</v>
      </c>
      <c r="M15" s="88" t="n">
        <f aca="false">IF(ISNUMBER(M11),M11/M14,M11)</f>
        <v>4.11431294797293</v>
      </c>
      <c r="N15" s="88" t="n">
        <f aca="false">IF(ISNUMBER(N11),N11/N14,N11)</f>
        <v>2.54672490529538</v>
      </c>
      <c r="O15" s="88" t="n">
        <f aca="false">IF(ISNUMBER(O11),O11/O14,O11)</f>
        <v>6.70324860706132</v>
      </c>
      <c r="P15" s="88" t="n">
        <f aca="false">IF(ISNUMBER(P11),P11/P14,P11)</f>
        <v>4.41042983389369</v>
      </c>
      <c r="Q15" s="88" t="n">
        <f aca="false">IF(ISNUMBER(Q11),Q11/Q14,Q11)</f>
        <v>2.41595706963646</v>
      </c>
    </row>
    <row r="16" customFormat="false" ht="15" hidden="false" customHeight="false" outlineLevel="0" collapsed="false">
      <c r="A16" s="5" t="s">
        <v>2053</v>
      </c>
      <c r="B16" s="62" t="s">
        <v>118</v>
      </c>
      <c r="C16" s="86" t="n">
        <f aca="false">IF(ISNUMBER(C12),C12/C14,C12)</f>
        <v>0.796766026794283</v>
      </c>
      <c r="D16" s="86" t="n">
        <f aca="false">IF(ISNUMBER(D12),D12/D14,D12)</f>
        <v>0.557647005493599</v>
      </c>
      <c r="E16" s="86" t="n">
        <f aca="false">IF(ISNUMBER(E12),E12/E14,E12)</f>
        <v>0.324710293985956</v>
      </c>
      <c r="F16" s="86" t="n">
        <f aca="false">IF(ISNUMBER(F12),F12/F14,F12)</f>
        <v>3.62214655077695</v>
      </c>
      <c r="G16" s="86" t="n">
        <f aca="false">IF(ISNUMBER(G12),G12/G14,G12)</f>
        <v>2.71279093491219</v>
      </c>
      <c r="H16" s="86" t="n">
        <f aca="false">IF(ISNUMBER(H12),H12/H14,H12)</f>
        <v>1.67258038946759</v>
      </c>
      <c r="I16" s="86" t="n">
        <f aca="false">IF(ISNUMBER(I12),I12/I14,I12)</f>
        <v>4.13656956528255</v>
      </c>
      <c r="J16" s="86" t="n">
        <f aca="false">IF(ISNUMBER(J12),J12/J14,J12)</f>
        <v>3.20277523652262</v>
      </c>
      <c r="K16" s="86" t="n">
        <f aca="false">IF(ISNUMBER(K12),K12/K14,K12)</f>
        <v>1.88116506272282</v>
      </c>
      <c r="L16" s="86" t="n">
        <f aca="false">IF(ISNUMBER(L12),L12/L14,L12)</f>
        <v>5.28795278672807</v>
      </c>
      <c r="M16" s="86" t="n">
        <f aca="false">IF(ISNUMBER(M12),M12/M14,M12)</f>
        <v>4.11431294797293</v>
      </c>
      <c r="N16" s="86" t="n">
        <f aca="false">IF(ISNUMBER(N12),N12/N14,N12)</f>
        <v>2.54672490529538</v>
      </c>
      <c r="O16" s="86" t="n">
        <f aca="false">IF(ISNUMBER(O12),O12/O14,O12)</f>
        <v>6.70324860706132</v>
      </c>
      <c r="P16" s="86" t="n">
        <f aca="false">IF(ISNUMBER(P12),P12/P14,P12)</f>
        <v>4.41042983389369</v>
      </c>
      <c r="Q16" s="86" t="n">
        <f aca="false">IF(ISNUMBER(Q12),Q12/Q14,Q12)</f>
        <v>2.41595706963646</v>
      </c>
    </row>
    <row r="17" customFormat="false" ht="15" hidden="false" customHeight="false" outlineLevel="0" collapsed="false">
      <c r="A17" s="5" t="s">
        <v>2054</v>
      </c>
      <c r="B17" s="62" t="s">
        <v>976</v>
      </c>
      <c r="C17" s="160" t="n">
        <f aca="false">Amortize!C14</f>
        <v>0.100869798218528</v>
      </c>
      <c r="D17" s="160" t="n">
        <f aca="false">Amortize!D14</f>
        <v>0.144118120103531</v>
      </c>
      <c r="E17" s="160" t="n">
        <f aca="false">Amortize!E14</f>
        <v>0.247496049044011</v>
      </c>
      <c r="F17" s="160" t="n">
        <f aca="false">Amortize!F14</f>
        <v>0.0222048608965624</v>
      </c>
      <c r="G17" s="160" t="n">
        <f aca="false">Amortize!G14</f>
        <v>0.0296445290908819</v>
      </c>
      <c r="H17" s="160" t="n">
        <f aca="false">Amortize!H14</f>
        <v>0.0480743062032436</v>
      </c>
      <c r="I17" s="160" t="n">
        <f aca="false">Amortize!I14</f>
        <v>0.0194489819538409</v>
      </c>
      <c r="J17" s="160" t="n">
        <f aca="false">Amortize!J14</f>
        <v>0.0251163274459156</v>
      </c>
      <c r="K17" s="160" t="n">
        <f aca="false">Amortize!K14</f>
        <v>0.0427541617357521</v>
      </c>
      <c r="L17" s="160" t="n">
        <f aca="false">Amortize!L14</f>
        <v>0.015230344804445</v>
      </c>
      <c r="M17" s="160" t="n">
        <f aca="false">Amortize!M14</f>
        <v>0.0195718293463084</v>
      </c>
      <c r="N17" s="160" t="n">
        <f aca="false">Amortize!N14</f>
        <v>0.0316122286941337</v>
      </c>
      <c r="O17" s="160" t="n">
        <f aca="false">Amortize!O14</f>
        <v>0.0120358463245421</v>
      </c>
      <c r="P17" s="160" t="n">
        <f aca="false">Amortize!P14</f>
        <v>0.0182872047346244</v>
      </c>
      <c r="Q17" s="160" t="n">
        <f aca="false">Amortize!Q14</f>
        <v>0.0333751081061308</v>
      </c>
    </row>
    <row r="18" customFormat="false" ht="15" hidden="false" customHeight="false" outlineLevel="0" collapsed="false">
      <c r="A18" s="5" t="s">
        <v>2055</v>
      </c>
      <c r="B18" s="62" t="s">
        <v>976</v>
      </c>
      <c r="C18" s="161" t="n">
        <f aca="false">IF(AND(ISNUMBER(C17),ISNUMBER(Amortize!C13)),C17+Amortize!C13,"SLO 不可達")</f>
        <v>0.147064628142164</v>
      </c>
      <c r="D18" s="161" t="n">
        <f aca="false">IF(AND(ISNUMBER(D17),ISNUMBER(Amortize!D13)),D17+Amortize!D13,"SLO 不可達")</f>
        <v>0.210121291884421</v>
      </c>
      <c r="E18" s="161" t="n">
        <f aca="false">IF(AND(ISNUMBER(E17),ISNUMBER(Amortize!E13)),E17+Amortize!E13,"SLO 不可達")</f>
        <v>0.360847771420528</v>
      </c>
      <c r="F18" s="161" t="n">
        <f aca="false">IF(AND(ISNUMBER(F17),ISNUMBER(Amortize!F13)),F17+Amortize!F13,"SLO 不可達")</f>
        <v>0.0264108658693919</v>
      </c>
      <c r="G18" s="161" t="n">
        <f aca="false">IF(AND(ISNUMBER(G17),ISNUMBER(Amortize!G13)),G17+Amortize!G13,"SLO 不可達")</f>
        <v>0.0352604304892615</v>
      </c>
      <c r="H18" s="161" t="n">
        <f aca="false">IF(AND(ISNUMBER(H17),ISNUMBER(Amortize!H13)),H17+Amortize!H13,"SLO 不可達")</f>
        <v>0.0571828468155931</v>
      </c>
      <c r="I18" s="161" t="n">
        <f aca="false">IF(AND(ISNUMBER(I17),ISNUMBER(Amortize!I13)),I17+Amortize!I13,"SLO 不可達")</f>
        <v>0.0228779020648233</v>
      </c>
      <c r="J18" s="161" t="n">
        <f aca="false">IF(AND(ISNUMBER(J17),ISNUMBER(Amortize!J13)),J17+Amortize!J13,"SLO 不可達")</f>
        <v>0.0295449762037583</v>
      </c>
      <c r="K18" s="161" t="n">
        <f aca="false">IF(AND(ISNUMBER(K17),ISNUMBER(Amortize!K13)),K17+Amortize!K13,"SLO 不可達")</f>
        <v>0.0502941521671846</v>
      </c>
      <c r="L18" s="161" t="n">
        <f aca="false">IF(AND(ISNUMBER(L17),ISNUMBER(Amortize!L13)),L17+Amortize!L13,"SLO 不可達")</f>
        <v>0.0167884625578468</v>
      </c>
      <c r="M18" s="161" t="n">
        <f aca="false">IF(AND(ISNUMBER(M17),ISNUMBER(Amortize!M13)),M17+Amortize!M13,"SLO 不可達")</f>
        <v>0.0215744123341219</v>
      </c>
      <c r="N18" s="161" t="n">
        <f aca="false">IF(AND(ISNUMBER(N17),ISNUMBER(Amortize!N13)),N17+Amortize!N13,"SLO 不可達")</f>
        <v>0.0348474635241773</v>
      </c>
      <c r="O18" s="161" t="n">
        <f aca="false">IF(AND(ISNUMBER(O17),ISNUMBER(Amortize!O13)),O17+Amortize!O13,"SLO 不可達")</f>
        <v>0.0128091124335383</v>
      </c>
      <c r="P18" s="161" t="n">
        <f aca="false">IF(AND(ISNUMBER(P17),ISNUMBER(Amortize!P13)),P17+Amortize!P13,"SLO 不可達")</f>
        <v>0.0194624631931499</v>
      </c>
      <c r="Q18" s="161" t="n">
        <f aca="false">IF(AND(ISNUMBER(Q17),ISNUMBER(Amortize!Q13)),Q17+Amortize!Q13,"SLO 不可達")</f>
        <v>0.0355205911667204</v>
      </c>
    </row>
    <row r="19" customFormat="false" ht="15" hidden="false" customHeight="false" outlineLevel="0" collapsed="false">
      <c r="A19" s="5" t="s">
        <v>2056</v>
      </c>
      <c r="B19" s="62" t="s">
        <v>976</v>
      </c>
      <c r="C19" s="160" t="n">
        <f aca="false">IF(AND(ISNUMBER(C17),ISNUMBER(Amortize!C15)),C17+Amortize!C15,"SLO 不可達")</f>
        <v>0.24602389809397</v>
      </c>
      <c r="D19" s="160" t="n">
        <f aca="false">IF(AND(ISNUMBER(D17),ISNUMBER(Amortize!D15)),D17+Amortize!D15,"SLO 不可達")</f>
        <v>0.351507610008612</v>
      </c>
      <c r="E19" s="160" t="n">
        <f aca="false">IF(AND(ISNUMBER(E17),ISNUMBER(Amortize!E15)),E17+Amortize!E15,"SLO 不可達")</f>
        <v>0.603648900107344</v>
      </c>
      <c r="F19" s="160" t="n">
        <f aca="false">IF(AND(ISNUMBER(F17),ISNUMBER(Amortize!F15)),F17+Amortize!F15,"SLO 不可達")</f>
        <v>0.0541581973086888</v>
      </c>
      <c r="G19" s="160" t="n">
        <f aca="false">IF(AND(ISNUMBER(G17),ISNUMBER(Amortize!G15)),G17+Amortize!G15,"SLO 不可達")</f>
        <v>0.0723037294899559</v>
      </c>
      <c r="H19" s="160" t="n">
        <f aca="false">IF(AND(ISNUMBER(H17),ISNUMBER(Amortize!H15)),H17+Amortize!H15,"SLO 不可達")</f>
        <v>0.117254405373765</v>
      </c>
      <c r="I19" s="160" t="n">
        <f aca="false">IF(AND(ISNUMBER(I17),ISNUMBER(Amortize!I15)),I17+Amortize!I15,"SLO 不可達")</f>
        <v>0.0474365413508315</v>
      </c>
      <c r="J19" s="160" t="n">
        <f aca="false">IF(AND(ISNUMBER(J17),ISNUMBER(Amortize!J15)),J17+Amortize!J15,"SLO 不可達")</f>
        <v>0.0612593352339405</v>
      </c>
      <c r="K19" s="160" t="n">
        <f aca="false">IF(AND(ISNUMBER(K17),ISNUMBER(Amortize!K15)),K17+Amortize!K15,"SLO 不可達")</f>
        <v>0.104278443257932</v>
      </c>
      <c r="L19" s="160" t="n">
        <f aca="false">IF(AND(ISNUMBER(L17),ISNUMBER(Amortize!L15)),L17+Amortize!L15,"SLO 不可達")</f>
        <v>0.037147182449866</v>
      </c>
      <c r="M19" s="160" t="n">
        <f aca="false">IF(AND(ISNUMBER(M17),ISNUMBER(Amortize!M15)),M17+Amortize!M15,"SLO 不可達")</f>
        <v>0.0477361691373377</v>
      </c>
      <c r="N19" s="160" t="n">
        <f aca="false">IF(AND(ISNUMBER(N17),ISNUMBER(Amortize!N15)),N17+Amortize!N15,"SLO 不可達")</f>
        <v>0.0771029968149603</v>
      </c>
      <c r="O19" s="160" t="n">
        <f aca="false">IF(AND(ISNUMBER(O17),ISNUMBER(Amortize!O15)),O17+Amortize!O15,"SLO 不可達")</f>
        <v>0.0293557227427856</v>
      </c>
      <c r="P19" s="160" t="n">
        <f aca="false">IF(AND(ISNUMBER(P17),ISNUMBER(Amortize!P15)),P17+Amortize!P15,"SLO 不可達")</f>
        <v>0.0446029383771326</v>
      </c>
      <c r="Q19" s="160" t="n">
        <f aca="false">IF(AND(ISNUMBER(Q17),ISNUMBER(Amortize!Q15)),Q17+Amortize!Q15,"SLO 不可達")</f>
        <v>0.0814027026978799</v>
      </c>
    </row>
    <row r="20" customFormat="false" ht="26.85" hidden="false" customHeight="false" outlineLevel="0" collapsed="false">
      <c r="A20" s="5" t="s">
        <v>2057</v>
      </c>
      <c r="B20" s="62" t="s">
        <v>976</v>
      </c>
      <c r="C20" s="161" t="n">
        <f aca="false">IF(AND(ISNUMBER(C17),ISNUMBER(Amortize!C43)),C17+Amortize!C43,"SLO 不可達")</f>
        <v>0.212513608042025</v>
      </c>
      <c r="D20" s="161" t="n">
        <f aca="false">IF(AND(ISNUMBER(D17),ISNUMBER(Amortize!D43)),D17+Amortize!D43,"SLO 不可達")</f>
        <v>0.303630174195324</v>
      </c>
      <c r="E20" s="161" t="n">
        <f aca="false">IF(AND(ISNUMBER(E17),ISNUMBER(Amortize!E43)),E17+Amortize!E43,"SLO 不可達")</f>
        <v>0.52142918905982</v>
      </c>
      <c r="F20" s="161" t="n">
        <f aca="false">IF(AND(ISNUMBER(F17),ISNUMBER(Amortize!F43)),F17+Amortize!F43,"SLO 不可達")</f>
        <v>0.0450220493773598</v>
      </c>
      <c r="G20" s="161" t="n">
        <f aca="false">IF(AND(ISNUMBER(G17),ISNUMBER(Amortize!G43)),G17+Amortize!G43,"SLO 不可達")</f>
        <v>0.0601069578018991</v>
      </c>
      <c r="H20" s="161" t="n">
        <f aca="false">IF(AND(ISNUMBER(H17),ISNUMBER(Amortize!H43)),H17+Amortize!H43,"SLO 不可達")</f>
        <v>0.0974757614586159</v>
      </c>
      <c r="I20" s="161" t="n">
        <f aca="false">IF(AND(ISNUMBER(I17),ISNUMBER(Amortize!I43)),I17+Amortize!I43,"SLO 不可達")</f>
        <v>0.0394990702371519</v>
      </c>
      <c r="J20" s="161" t="n">
        <f aca="false">IF(AND(ISNUMBER(J17),ISNUMBER(Amortize!J43)),J17+Amortize!J43,"SLO 不可達")</f>
        <v>0.0510093723279292</v>
      </c>
      <c r="K20" s="161" t="n">
        <f aca="false">IF(AND(ISNUMBER(K17),ISNUMBER(Amortize!K43)),K17+Amortize!K43,"SLO 不可達")</f>
        <v>0.0868315753658399</v>
      </c>
      <c r="L20" s="161" t="n">
        <f aca="false">IF(AND(ISNUMBER(L17),ISNUMBER(Amortize!L43)),L17+Amortize!L43,"SLO 不可達")</f>
        <v>0.0300930289619664</v>
      </c>
      <c r="M20" s="161" t="n">
        <f aca="false">IF(AND(ISNUMBER(M17),ISNUMBER(Amortize!M43)),M17+Amortize!M43,"SLO 不可達")</f>
        <v>0.038671399449487</v>
      </c>
      <c r="N20" s="161" t="n">
        <f aca="false">IF(AND(ISNUMBER(N17),ISNUMBER(Amortize!N43)),N17+Amortize!N43,"SLO 不可達")</f>
        <v>0.0624621109969744</v>
      </c>
      <c r="O20" s="161" t="n">
        <f aca="false">IF(AND(ISNUMBER(O17),ISNUMBER(Amortize!O43)),O17+Amortize!O43,"SLO 不可達")</f>
        <v>0.0229208408319282</v>
      </c>
      <c r="P20" s="161" t="n">
        <f aca="false">IF(AND(ISNUMBER(P17),ISNUMBER(Amortize!P43)),P17+Amortize!P43,"SLO 不可達")</f>
        <v>0.034826063901107</v>
      </c>
      <c r="Q20" s="161" t="n">
        <f aca="false">IF(AND(ISNUMBER(Q17),ISNUMBER(Amortize!Q43)),Q17+Amortize!Q43,"SLO 不可達")</f>
        <v>0.0635597955960129</v>
      </c>
    </row>
    <row r="21" customFormat="false" ht="29.85" hidden="false" customHeight="false" outlineLevel="0" collapsed="false">
      <c r="A21" s="5" t="s">
        <v>2058</v>
      </c>
      <c r="B21" s="62" t="s">
        <v>113</v>
      </c>
      <c r="C21" s="85" t="n">
        <f aca="false">IF(ISNUMBER(C17),1-C17/INDEX(B4_EffRef,1,1),"SLO 不可達")</f>
        <v>-0.255293395971721</v>
      </c>
      <c r="D21" s="85" t="n">
        <f aca="false">IF(ISNUMBER(D17),1-D17/INDEX(B4_EffRef,1,1),"SLO 不可達")</f>
        <v>-0.793505366332655</v>
      </c>
      <c r="E21" s="85" t="n">
        <f aca="false">IF(ISNUMBER(E17),1-E17/INDEX(B4_EffRef,1,1),"SLO 不可達")</f>
        <v>-2.08001167228443</v>
      </c>
      <c r="F21" s="85" t="n">
        <f aca="false">IF(ISNUMBER(F17),1-F17/INDEX(B4_EffRef,1,1),"SLO 不可達")</f>
        <v>0.723667383754063</v>
      </c>
      <c r="G21" s="85" t="n">
        <f aca="false">IF(ISNUMBER(G17),1-G17/INDEX(B4_EffRef,1,1),"SLO 不可達")</f>
        <v>0.631083017397764</v>
      </c>
      <c r="H21" s="85" t="n">
        <f aca="false">IF(ISNUMBER(H17),1-H17/INDEX(B4_EffRef,1,1),"SLO 不可達")</f>
        <v>0.401730149572466</v>
      </c>
      <c r="I21" s="85" t="n">
        <f aca="false">IF(ISNUMBER(I17),1-I17/INDEX(B4_EffRef,1,1),"SLO 不可達")</f>
        <v>0.757963443605409</v>
      </c>
      <c r="J21" s="85" t="n">
        <f aca="false">IF(ISNUMBER(J17),1-J17/INDEX(B4_EffRef,1,1),"SLO 不可達")</f>
        <v>0.687435084329037</v>
      </c>
      <c r="K21" s="85" t="n">
        <f aca="false">IF(ISNUMBER(K17),1-K17/INDEX(B4_EffRef,1,1),"SLO 不可達")</f>
        <v>0.467937699638041</v>
      </c>
      <c r="L21" s="85" t="n">
        <f aca="false">IF(ISNUMBER(L17),1-L17/INDEX(B4_EffRef,1,1),"SLO 不可達")</f>
        <v>0.810463076272116</v>
      </c>
      <c r="M21" s="85" t="n">
        <f aca="false">IF(ISNUMBER(M17),1-M17/INDEX(B4_EffRef,1,1),"SLO 不可達")</f>
        <v>0.756434645856228</v>
      </c>
      <c r="N21" s="85" t="n">
        <f aca="false">IF(ISNUMBER(N17),1-N17/INDEX(B4_EffRef,1,1),"SLO 不可達")</f>
        <v>0.606595605299774</v>
      </c>
      <c r="O21" s="85" t="n">
        <f aca="false">IF(ISNUMBER(O17),1-O17/INDEX(B4_EffRef,1,1),"SLO 不可達")</f>
        <v>0.850217620408077</v>
      </c>
      <c r="P21" s="85" t="n">
        <f aca="false">IF(ISNUMBER(P17),1-P17/INDEX(B4_EffRef,1,1),"SLO 不可達")</f>
        <v>0.772421401256057</v>
      </c>
      <c r="Q21" s="85" t="n">
        <f aca="false">IF(ISNUMBER(Q17),1-Q17/INDEX(B4_EffRef,1,1),"SLO 不可達")</f>
        <v>0.584657117042067</v>
      </c>
      <c r="R21" s="74" t="s">
        <v>2059</v>
      </c>
    </row>
    <row r="22" customFormat="false" ht="15" hidden="false" customHeight="false" outlineLevel="0" collapsed="false">
      <c r="A22" s="5" t="s">
        <v>2060</v>
      </c>
      <c r="B22" s="62" t="s">
        <v>113</v>
      </c>
      <c r="C22" s="85" t="n">
        <f aca="false">IF(ISNUMBER(C18),1-C18/INDEX(B4_EffRef,1,1),"SLO 不可達")</f>
        <v>-0.83017374623821</v>
      </c>
      <c r="D22" s="85" t="n">
        <f aca="false">IF(ISNUMBER(D18),1-D18/INDEX(B4_EffRef,1,1),"SLO 不可達")</f>
        <v>-1.61489439568555</v>
      </c>
      <c r="E22" s="85" t="n">
        <f aca="false">IF(ISNUMBER(E18),1-E18/INDEX(B4_EffRef,1,1),"SLO 不可達")</f>
        <v>-3.49063874831962</v>
      </c>
      <c r="F22" s="85" t="n">
        <f aca="false">IF(ISNUMBER(F18),1-F18/INDEX(B4_EffRef,1,1),"SLO 不可達")</f>
        <v>0.671324954612104</v>
      </c>
      <c r="G22" s="85" t="n">
        <f aca="false">IF(ISNUMBER(G18),1-G18/INDEX(B4_EffRef,1,1),"SLO 不可達")</f>
        <v>0.561194863933416</v>
      </c>
      <c r="H22" s="85" t="n">
        <f aca="false">IF(ISNUMBER(H18),1-H18/INDEX(B4_EffRef,1,1),"SLO 不可達")</f>
        <v>0.28837718288117</v>
      </c>
      <c r="I22" s="85" t="n">
        <f aca="false">IF(ISNUMBER(I18),1-I18/INDEX(B4_EffRef,1,1),"SLO 不可達")</f>
        <v>0.715291594879135</v>
      </c>
      <c r="J22" s="85" t="n">
        <f aca="false">IF(ISNUMBER(J18),1-J18/INDEX(B4_EffRef,1,1),"SLO 不可達")</f>
        <v>0.632321922243052</v>
      </c>
      <c r="K22" s="85" t="n">
        <f aca="false">IF(ISNUMBER(K18),1-K18/INDEX(B4_EffRef,1,1),"SLO 不可達")</f>
        <v>0.37410485411413</v>
      </c>
      <c r="L22" s="85" t="n">
        <f aca="false">IF(ISNUMBER(L18),1-L18/INDEX(B4_EffRef,1,1),"SLO 不可達")</f>
        <v>0.791072783433876</v>
      </c>
      <c r="M22" s="85" t="n">
        <f aca="false">IF(ISNUMBER(M18),1-M18/INDEX(B4_EffRef,1,1),"SLO 不可達")</f>
        <v>0.731513120841957</v>
      </c>
      <c r="N22" s="85" t="n">
        <f aca="false">IF(ISNUMBER(N18),1-N18/INDEX(B4_EffRef,1,1),"SLO 不可達")</f>
        <v>0.566334109903767</v>
      </c>
      <c r="O22" s="85" t="n">
        <f aca="false">IF(ISNUMBER(O18),1-O18/INDEX(B4_EffRef,1,1),"SLO 不可達")</f>
        <v>0.840594563188821</v>
      </c>
      <c r="P22" s="85" t="n">
        <f aca="false">IF(ISNUMBER(P18),1-P18/INDEX(B4_EffRef,1,1),"SLO 不可達")</f>
        <v>0.757795673757814</v>
      </c>
      <c r="Q22" s="85" t="n">
        <f aca="false">IF(ISNUMBER(Q18),1-Q18/INDEX(B4_EffRef,1,1),"SLO 不可達")</f>
        <v>0.557957244883182</v>
      </c>
    </row>
    <row r="23" customFormat="false" ht="15" hidden="false" customHeight="false" outlineLevel="0" collapsed="false">
      <c r="A23" s="5" t="s">
        <v>2061</v>
      </c>
      <c r="B23" s="62" t="s">
        <v>113</v>
      </c>
      <c r="C23" s="85" t="n">
        <f aca="false">IF(ISNUMBER(C19),1-C19/INDEX(B4_EffRef,1,1),"SLO 不可達")</f>
        <v>-2.06169120968712</v>
      </c>
      <c r="D23" s="85" t="n">
        <f aca="false">IF(ISNUMBER(D19),1-D19/INDEX(B4_EffRef,1,1),"SLO 不可達")</f>
        <v>-3.37440333251867</v>
      </c>
      <c r="E23" s="85" t="n">
        <f aca="false">IF(ISNUMBER(E19),1-E19/INDEX(B4_EffRef,1,1),"SLO 不可達")</f>
        <v>-6.51222359093764</v>
      </c>
      <c r="F23" s="85" t="n">
        <f aca="false">IF(ISNUMBER(F19),1-F19/INDEX(B4_EffRef,1,1),"SLO 不可達")</f>
        <v>0.326018009156251</v>
      </c>
      <c r="G23" s="85" t="n">
        <f aca="false">IF(ISNUMBER(G19),1-G19/INDEX(B4_EffRef,1,1),"SLO 不可達")</f>
        <v>0.10020248145796</v>
      </c>
      <c r="H23" s="85" t="n">
        <f aca="false">IF(ISNUMBER(H19),1-H19/INDEX(B4_EffRef,1,1),"SLO 不可達")</f>
        <v>-0.459194757140327</v>
      </c>
      <c r="I23" s="85" t="n">
        <f aca="false">IF(ISNUMBER(I19),1-I19/INDEX(B4_EffRef,1,1),"SLO 不可達")</f>
        <v>0.409666935622949</v>
      </c>
      <c r="J23" s="85" t="n">
        <f aca="false">IF(ISNUMBER(J19),1-J19/INDEX(B4_EffRef,1,1),"SLO 不可達")</f>
        <v>0.237646547143992</v>
      </c>
      <c r="K23" s="85" t="n">
        <f aca="false">IF(ISNUMBER(K19),1-K19/INDEX(B4_EffRef,1,1),"SLO 不可達")</f>
        <v>-0.297712927712095</v>
      </c>
      <c r="L23" s="85" t="n">
        <f aca="false">IF(ISNUMBER(L19),1-L19/INDEX(B4_EffRef,1,1),"SLO 不可達")</f>
        <v>0.537714820175894</v>
      </c>
      <c r="M23" s="85" t="n">
        <f aca="false">IF(ISNUMBER(M19),1-M19/INDEX(B4_EffRef,1,1),"SLO 不可達")</f>
        <v>0.405938160624946</v>
      </c>
      <c r="N23" s="85" t="n">
        <f aca="false">IF(ISNUMBER(N19),1-N19/INDEX(B4_EffRef,1,1),"SLO 不可達")</f>
        <v>0.0404770860970102</v>
      </c>
      <c r="O23" s="85" t="n">
        <f aca="false">IF(ISNUMBER(O19),1-O19/INDEX(B4_EffRef,1,1),"SLO 不可達")</f>
        <v>0.634677122946529</v>
      </c>
      <c r="P23" s="85" t="n">
        <f aca="false">IF(ISNUMBER(P19),1-P19/INDEX(B4_EffRef,1,1),"SLO 不可達")</f>
        <v>0.444930246965994</v>
      </c>
      <c r="Q23" s="85" t="n">
        <f aca="false">IF(ISNUMBER(Q19),1-Q19/INDEX(B4_EffRef,1,1),"SLO 不可達")</f>
        <v>-0.0130314218486163</v>
      </c>
    </row>
    <row r="24" customFormat="false" ht="15" hidden="false" customHeight="false" outlineLevel="0" collapsed="false">
      <c r="A24" s="5" t="s">
        <v>2062</v>
      </c>
      <c r="B24" s="62" t="s">
        <v>113</v>
      </c>
      <c r="C24" s="117" t="n">
        <f aca="false">IF(ISNUMBER(C20),1-C20/INDEX(B4_EffRef,1,1),"SLO 不可達")</f>
        <v>-1.64466602928405</v>
      </c>
      <c r="D24" s="117" t="n">
        <f aca="false">IF(ISNUMBER(D20),1-D20/INDEX(B4_EffRef,1,1),"SLO 不可達")</f>
        <v>-2.77858347311658</v>
      </c>
      <c r="E24" s="117" t="n">
        <f aca="false">IF(ISNUMBER(E20),1-E20/INDEX(B4_EffRef,1,1),"SLO 不可達")</f>
        <v>-5.48902475323338</v>
      </c>
      <c r="F24" s="117" t="n">
        <f aca="false">IF(ISNUMBER(F20),1-F20/INDEX(B4_EffRef,1,1),"SLO 不可達")</f>
        <v>0.439714540381308</v>
      </c>
      <c r="G24" s="117" t="n">
        <f aca="false">IF(ISNUMBER(G20),1-G20/INDEX(B4_EffRef,1,1),"SLO 不可達")</f>
        <v>0.251987527354685</v>
      </c>
      <c r="H24" s="117" t="n">
        <f aca="false">IF(ISNUMBER(H20),1-H20/INDEX(B4_EffRef,1,1),"SLO 不可達")</f>
        <v>-0.213055659744943</v>
      </c>
      <c r="I24" s="117" t="n">
        <f aca="false">IF(ISNUMBER(I20),1-I20/INDEX(B4_EffRef,1,1),"SLO 不可達")</f>
        <v>0.508446305123939</v>
      </c>
      <c r="J24" s="117" t="n">
        <f aca="false">IF(ISNUMBER(J20),1-J20/INDEX(B4_EffRef,1,1),"SLO 不可達")</f>
        <v>0.365204160742031</v>
      </c>
      <c r="K24" s="117" t="n">
        <f aca="false">IF(ISNUMBER(K20),1-K20/INDEX(B4_EffRef,1,1),"SLO 不可達")</f>
        <v>-0.0805920606921446</v>
      </c>
      <c r="L24" s="117" t="n">
        <f aca="false">IF(ISNUMBER(L20),1-L20/INDEX(B4_EffRef,1,1),"SLO 不可達")</f>
        <v>0.625501575418007</v>
      </c>
      <c r="M24" s="117" t="n">
        <f aca="false">IF(ISNUMBER(M20),1-M20/INDEX(B4_EffRef,1,1),"SLO 不可達")</f>
        <v>0.51874641171822</v>
      </c>
      <c r="N24" s="117" t="n">
        <f aca="false">IF(ISNUMBER(N20),1-N20/INDEX(B4_EffRef,1,1),"SLO 不可達")</f>
        <v>0.222678375314202</v>
      </c>
      <c r="O24" s="117" t="n">
        <f aca="false">IF(ISNUMBER(O20),1-O20/INDEX(B4_EffRef,1,1),"SLO 不可達")</f>
        <v>0.714757235222132</v>
      </c>
      <c r="P24" s="117" t="n">
        <f aca="false">IF(ISNUMBER(P20),1-P20/INDEX(B4_EffRef,1,1),"SLO 不可達")</f>
        <v>0.566600421584675</v>
      </c>
      <c r="Q24" s="117" t="n">
        <f aca="false">IF(ISNUMBER(Q20),1-Q20/INDEX(B4_EffRef,1,1),"SLO 不可達")</f>
        <v>0.209018030469972</v>
      </c>
    </row>
    <row r="25" customFormat="false" ht="15" hidden="false" customHeight="false" outlineLevel="0" collapsed="false">
      <c r="A25" s="5" t="s">
        <v>2063</v>
      </c>
      <c r="B25" s="62" t="s">
        <v>113</v>
      </c>
      <c r="C25" s="85" t="n">
        <f aca="false">IF(ISNUMBER(C19),1-C19/INDEX(B4_FrontRef,1,1),"SLO 不可達")</f>
        <v>-2.06169120968712</v>
      </c>
      <c r="D25" s="85" t="n">
        <f aca="false">IF(ISNUMBER(D19),1-D19/INDEX(B4_FrontRef,1,1),"SLO 不可達")</f>
        <v>-3.37440333251867</v>
      </c>
      <c r="E25" s="85" t="n">
        <f aca="false">IF(ISNUMBER(E19),1-E19/INDEX(B4_FrontRef,1,1),"SLO 不可達")</f>
        <v>-6.51222359093764</v>
      </c>
      <c r="F25" s="85" t="n">
        <f aca="false">IF(ISNUMBER(F19),1-F19/INDEX(B4_FrontRef,1,1),"SLO 不可達")</f>
        <v>0.326018009156251</v>
      </c>
      <c r="G25" s="85" t="n">
        <f aca="false">IF(ISNUMBER(G19),1-G19/INDEX(B4_FrontRef,1,1),"SLO 不可達")</f>
        <v>0.10020248145796</v>
      </c>
      <c r="H25" s="85" t="n">
        <f aca="false">IF(ISNUMBER(H19),1-H19/INDEX(B4_FrontRef,1,1),"SLO 不可達")</f>
        <v>-0.459194757140327</v>
      </c>
      <c r="I25" s="85" t="n">
        <f aca="false">IF(ISNUMBER(I19),1-I19/INDEX(B4_FrontRef,1,1),"SLO 不可達")</f>
        <v>0.409666935622949</v>
      </c>
      <c r="J25" s="85" t="n">
        <f aca="false">IF(ISNUMBER(J19),1-J19/INDEX(B4_FrontRef,1,1),"SLO 不可達")</f>
        <v>0.237646547143992</v>
      </c>
      <c r="K25" s="85" t="n">
        <f aca="false">IF(ISNUMBER(K19),1-K19/INDEX(B4_FrontRef,1,1),"SLO 不可達")</f>
        <v>-0.297712927712096</v>
      </c>
      <c r="L25" s="85" t="n">
        <f aca="false">IF(ISNUMBER(L19),1-L19/INDEX(B4_FrontRef,1,1),"SLO 不可達")</f>
        <v>0.537714820175893</v>
      </c>
      <c r="M25" s="85" t="n">
        <f aca="false">IF(ISNUMBER(M19),1-M19/INDEX(B4_FrontRef,1,1),"SLO 不可達")</f>
        <v>0.405938160624946</v>
      </c>
      <c r="N25" s="85" t="n">
        <f aca="false">IF(ISNUMBER(N19),1-N19/INDEX(B4_FrontRef,1,1),"SLO 不可達")</f>
        <v>0.0404770860970101</v>
      </c>
      <c r="O25" s="85" t="n">
        <f aca="false">IF(ISNUMBER(O19),1-O19/INDEX(B4_FrontRef,1,1),"SLO 不可達")</f>
        <v>0.634677122946529</v>
      </c>
      <c r="P25" s="85" t="n">
        <f aca="false">IF(ISNUMBER(P19),1-P19/INDEX(B4_FrontRef,1,1),"SLO 不可達")</f>
        <v>0.444930246965994</v>
      </c>
      <c r="Q25" s="85" t="n">
        <f aca="false">IF(ISNUMBER(Q19),1-Q19/INDEX(B4_FrontRef,1,1),"SLO 不可達")</f>
        <v>-0.0130314218486163</v>
      </c>
    </row>
    <row r="27" customFormat="false" ht="15" hidden="false" customHeight="false" outlineLevel="0" collapsed="false">
      <c r="A27" s="76" t="s">
        <v>2064</v>
      </c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</row>
    <row r="28" customFormat="false" ht="15" hidden="false" customHeight="false" outlineLevel="0" collapsed="false">
      <c r="A28" s="5" t="s">
        <v>2046</v>
      </c>
      <c r="B28" s="62" t="s">
        <v>931</v>
      </c>
      <c r="C28" s="68" t="n">
        <f aca="false">IF(ISNUMBER(INDEX(IF_TokGW_Sol,1,C$7)),INDEX(IF_TokGW_Sol,1,C$7)*IF_Util,INDEX(IF_TokGW_Sol,1,C$7))</f>
        <v>20180949795.0708</v>
      </c>
      <c r="D28" s="68" t="n">
        <f aca="false">IF(ISNUMBER(INDEX(IF_TokGW_Sol,1,D$7)),INDEX(IF_TokGW_Sol,1,D$7)*IF_Util,INDEX(IF_TokGW_Sol,1,D$7))</f>
        <v>20180949795.0708</v>
      </c>
      <c r="E28" s="68" t="n">
        <f aca="false">IF(ISNUMBER(INDEX(IF_TokGW_Sol,1,E$7)),INDEX(IF_TokGW_Sol,1,E$7)*IF_Util,INDEX(IF_TokGW_Sol,1,E$7))</f>
        <v>20180949795.0708</v>
      </c>
      <c r="F28" s="68" t="n">
        <f aca="false">IF(ISNUMBER(INDEX(IF_TokGW_Sol,1,F$7)),INDEX(IF_TokGW_Sol,1,F$7)*IF_Util,INDEX(IF_TokGW_Sol,1,F$7))</f>
        <v>87507858426.3237</v>
      </c>
      <c r="G28" s="68" t="n">
        <f aca="false">IF(ISNUMBER(INDEX(IF_TokGW_Sol,1,G$7)),INDEX(IF_TokGW_Sol,1,G$7)*IF_Util,INDEX(IF_TokGW_Sol,1,G$7))</f>
        <v>87507858426.3237</v>
      </c>
      <c r="H28" s="68" t="n">
        <f aca="false">IF(ISNUMBER(INDEX(IF_TokGW_Sol,1,H$7)),INDEX(IF_TokGW_Sol,1,H$7)*IF_Util,INDEX(IF_TokGW_Sol,1,H$7))</f>
        <v>87507858426.3237</v>
      </c>
      <c r="I28" s="68" t="n">
        <f aca="false">IF(ISNUMBER(INDEX(IF_TokGW_Sol,1,I$7)),INDEX(IF_TokGW_Sol,1,I$7)*IF_Util,INDEX(IF_TokGW_Sol,1,I$7))</f>
        <v>127400592853.133</v>
      </c>
      <c r="J28" s="68" t="n">
        <f aca="false">IF(ISNUMBER(INDEX(IF_TokGW_Sol,1,J$7)),INDEX(IF_TokGW_Sol,1,J$7)*IF_Util,INDEX(IF_TokGW_Sol,1,J$7))</f>
        <v>127400592853.133</v>
      </c>
      <c r="K28" s="68" t="n">
        <f aca="false">IF(ISNUMBER(INDEX(IF_TokGW_Sol,1,K$7)),INDEX(IF_TokGW_Sol,1,K$7)*IF_Util,INDEX(IF_TokGW_Sol,1,K$7))</f>
        <v>127400592853.133</v>
      </c>
      <c r="L28" s="68" t="n">
        <f aca="false">IF(ISNUMBER(INDEX(IF_TokGW_Sol,1,L$7)),INDEX(IF_TokGW_Sol,1,L$7)*IF_Util,INDEX(IF_TokGW_Sol,1,L$7))</f>
        <v>191390938691.432</v>
      </c>
      <c r="M28" s="68" t="n">
        <f aca="false">IF(ISNUMBER(INDEX(IF_TokGW_Sol,1,M$7)),INDEX(IF_TokGW_Sol,1,M$7)*IF_Util,INDEX(IF_TokGW_Sol,1,M$7))</f>
        <v>191390938691.432</v>
      </c>
      <c r="N28" s="68" t="n">
        <f aca="false">IF(ISNUMBER(INDEX(IF_TokGW_Sol,1,N$7)),INDEX(IF_TokGW_Sol,1,N$7)*IF_Util,INDEX(IF_TokGW_Sol,1,N$7))</f>
        <v>191390938691.432</v>
      </c>
      <c r="O28" s="68" t="n">
        <f aca="false">IF(ISNUMBER(INDEX(IF_TokGW_Sol,1,O$7)),INDEX(IF_TokGW_Sol,1,O$7)*IF_Util,INDEX(IF_TokGW_Sol,1,O$7))</f>
        <v>260628273188.957</v>
      </c>
      <c r="P28" s="68" t="n">
        <f aca="false">IF(ISNUMBER(INDEX(IF_TokGW_Sol,1,P$7)),INDEX(IF_TokGW_Sol,1,P$7)*IF_Util,INDEX(IF_TokGW_Sol,1,P$7))</f>
        <v>260628273188.957</v>
      </c>
      <c r="Q28" s="68" t="n">
        <f aca="false">IF(ISNUMBER(INDEX(IF_TokGW_Sol,1,Q$7)),INDEX(IF_TokGW_Sol,1,Q$7)*IF_Util,INDEX(IF_TokGW_Sol,1,Q$7))</f>
        <v>260628273188.957</v>
      </c>
    </row>
    <row r="29" customFormat="false" ht="15" hidden="false" customHeight="false" outlineLevel="0" collapsed="false">
      <c r="A29" s="5" t="s">
        <v>2065</v>
      </c>
      <c r="B29" s="62" t="s">
        <v>2048</v>
      </c>
      <c r="C29" s="114" t="n">
        <f aca="false">IF(ISNUMBER(C28),C28*INDEX(B4_EffRef,1,2)/1000000000,C28)</f>
        <v>32.4330286484338</v>
      </c>
      <c r="D29" s="114" t="n">
        <f aca="false">IF(ISNUMBER(D28),D28*INDEX(B4_EffRef,1,2)/1000000000,D28)</f>
        <v>32.4330286484338</v>
      </c>
      <c r="E29" s="114" t="n">
        <f aca="false">IF(ISNUMBER(E28),E28*INDEX(B4_EffRef,1,2)/1000000000,E28)</f>
        <v>32.4330286484338</v>
      </c>
      <c r="F29" s="114" t="n">
        <f aca="false">IF(ISNUMBER(F28),F28*INDEX(B4_EffRef,1,2)/1000000000,F28)</f>
        <v>140.634851586483</v>
      </c>
      <c r="G29" s="114" t="n">
        <f aca="false">IF(ISNUMBER(G28),G28*INDEX(B4_EffRef,1,2)/1000000000,G28)</f>
        <v>140.634851586483</v>
      </c>
      <c r="H29" s="114" t="n">
        <f aca="false">IF(ISNUMBER(H28),H28*INDEX(B4_EffRef,1,2)/1000000000,H28)</f>
        <v>140.634851586483</v>
      </c>
      <c r="I29" s="114" t="n">
        <f aca="false">IF(ISNUMBER(I28),I28*INDEX(B4_EffRef,1,2)/1000000000,I28)</f>
        <v>204.746908336412</v>
      </c>
      <c r="J29" s="114" t="n">
        <f aca="false">IF(ISNUMBER(J28),J28*INDEX(B4_EffRef,1,2)/1000000000,J28)</f>
        <v>204.746908336412</v>
      </c>
      <c r="K29" s="114" t="n">
        <f aca="false">IF(ISNUMBER(K28),K28*INDEX(B4_EffRef,1,2)/1000000000,K28)</f>
        <v>204.746908336412</v>
      </c>
      <c r="L29" s="114" t="n">
        <f aca="false">IF(ISNUMBER(L28),L28*INDEX(B4_EffRef,1,2)/1000000000,L28)</f>
        <v>307.586504136986</v>
      </c>
      <c r="M29" s="114" t="n">
        <f aca="false">IF(ISNUMBER(M28),M28*INDEX(B4_EffRef,1,2)/1000000000,M28)</f>
        <v>307.586504136986</v>
      </c>
      <c r="N29" s="114" t="n">
        <f aca="false">IF(ISNUMBER(N28),N28*INDEX(B4_EffRef,1,2)/1000000000,N28)</f>
        <v>307.586504136986</v>
      </c>
      <c r="O29" s="114" t="n">
        <f aca="false">IF(ISNUMBER(O28),O28*INDEX(B4_EffRef,1,2)/1000000000,O28)</f>
        <v>418.858593711675</v>
      </c>
      <c r="P29" s="114" t="n">
        <f aca="false">IF(ISNUMBER(P28),P28*INDEX(B4_EffRef,1,2)/1000000000,P28)</f>
        <v>418.858593711675</v>
      </c>
      <c r="Q29" s="114" t="n">
        <f aca="false">IF(ISNUMBER(Q28),Q28*INDEX(B4_EffRef,1,2)/1000000000,Q28)</f>
        <v>418.858593711675</v>
      </c>
    </row>
    <row r="30" customFormat="false" ht="15" hidden="false" customHeight="false" outlineLevel="0" collapsed="false">
      <c r="A30" s="5" t="s">
        <v>2066</v>
      </c>
      <c r="B30" s="62" t="s">
        <v>2048</v>
      </c>
      <c r="C30" s="75" t="n">
        <f aca="false">IF(ISNUMBER(C28),C28*INDEX(B4_FrontRef,1,2)/1000000000,C28)</f>
        <v>32.4330286484338</v>
      </c>
      <c r="D30" s="75" t="n">
        <f aca="false">IF(ISNUMBER(D28),D28*INDEX(B4_FrontRef,1,2)/1000000000,D28)</f>
        <v>32.4330286484338</v>
      </c>
      <c r="E30" s="75" t="n">
        <f aca="false">IF(ISNUMBER(E28),E28*INDEX(B4_FrontRef,1,2)/1000000000,E28)</f>
        <v>32.4330286484338</v>
      </c>
      <c r="F30" s="75" t="n">
        <f aca="false">IF(ISNUMBER(F28),F28*INDEX(B4_FrontRef,1,2)/1000000000,F28)</f>
        <v>140.634851586483</v>
      </c>
      <c r="G30" s="75" t="n">
        <f aca="false">IF(ISNUMBER(G28),G28*INDEX(B4_FrontRef,1,2)/1000000000,G28)</f>
        <v>140.634851586483</v>
      </c>
      <c r="H30" s="75" t="n">
        <f aca="false">IF(ISNUMBER(H28),H28*INDEX(B4_FrontRef,1,2)/1000000000,H28)</f>
        <v>140.634851586483</v>
      </c>
      <c r="I30" s="75" t="n">
        <f aca="false">IF(ISNUMBER(I28),I28*INDEX(B4_FrontRef,1,2)/1000000000,I28)</f>
        <v>204.746908336412</v>
      </c>
      <c r="J30" s="75" t="n">
        <f aca="false">IF(ISNUMBER(J28),J28*INDEX(B4_FrontRef,1,2)/1000000000,J28)</f>
        <v>204.746908336412</v>
      </c>
      <c r="K30" s="75" t="n">
        <f aca="false">IF(ISNUMBER(K28),K28*INDEX(B4_FrontRef,1,2)/1000000000,K28)</f>
        <v>204.746908336412</v>
      </c>
      <c r="L30" s="75" t="n">
        <f aca="false">IF(ISNUMBER(L28),L28*INDEX(B4_FrontRef,1,2)/1000000000,L28)</f>
        <v>307.586504136986</v>
      </c>
      <c r="M30" s="75" t="n">
        <f aca="false">IF(ISNUMBER(M28),M28*INDEX(B4_FrontRef,1,2)/1000000000,M28)</f>
        <v>307.586504136986</v>
      </c>
      <c r="N30" s="75" t="n">
        <f aca="false">IF(ISNUMBER(N28),N28*INDEX(B4_FrontRef,1,2)/1000000000,N28)</f>
        <v>307.586504136986</v>
      </c>
      <c r="O30" s="75" t="n">
        <f aca="false">IF(ISNUMBER(O28),O28*INDEX(B4_FrontRef,1,2)/1000000000,O28)</f>
        <v>418.858593711675</v>
      </c>
      <c r="P30" s="75" t="n">
        <f aca="false">IF(ISNUMBER(P28),P28*INDEX(B4_FrontRef,1,2)/1000000000,P28)</f>
        <v>418.858593711675</v>
      </c>
      <c r="Q30" s="75" t="n">
        <f aca="false">IF(ISNUMBER(Q28),Q28*INDEX(B4_FrontRef,1,2)/1000000000,Q28)</f>
        <v>418.858593711675</v>
      </c>
    </row>
    <row r="31" customFormat="false" ht="15" hidden="false" customHeight="false" outlineLevel="0" collapsed="false">
      <c r="A31" s="5" t="s">
        <v>2050</v>
      </c>
      <c r="B31" s="62" t="s">
        <v>2048</v>
      </c>
      <c r="C31" s="75" t="n">
        <f aca="false">IF(ISNUMBER(INDEX(IF_TokGW_Sol,1,C$7)),INDEX(IF_TokGW_Sol,1,C$7)*INDEX(B4_EffRef,1,2)/1000000000,INDEX(IF_TokGW_Sol,1,C$7))</f>
        <v>54.0550477473896</v>
      </c>
      <c r="D31" s="75" t="n">
        <f aca="false">IF(ISNUMBER(INDEX(IF_TokGW_Sol,1,D$7)),INDEX(IF_TokGW_Sol,1,D$7)*INDEX(B4_EffRef,1,2)/1000000000,INDEX(IF_TokGW_Sol,1,D$7))</f>
        <v>54.0550477473896</v>
      </c>
      <c r="E31" s="75" t="n">
        <f aca="false">IF(ISNUMBER(INDEX(IF_TokGW_Sol,1,E$7)),INDEX(IF_TokGW_Sol,1,E$7)*INDEX(B4_EffRef,1,2)/1000000000,INDEX(IF_TokGW_Sol,1,E$7))</f>
        <v>54.0550477473896</v>
      </c>
      <c r="F31" s="75" t="n">
        <f aca="false">IF(ISNUMBER(INDEX(IF_TokGW_Sol,1,F$7)),INDEX(IF_TokGW_Sol,1,F$7)*INDEX(B4_EffRef,1,2)/1000000000,INDEX(IF_TokGW_Sol,1,F$7))</f>
        <v>234.391419310805</v>
      </c>
      <c r="G31" s="75" t="n">
        <f aca="false">IF(ISNUMBER(INDEX(IF_TokGW_Sol,1,G$7)),INDEX(IF_TokGW_Sol,1,G$7)*INDEX(B4_EffRef,1,2)/1000000000,INDEX(IF_TokGW_Sol,1,G$7))</f>
        <v>234.391419310805</v>
      </c>
      <c r="H31" s="75" t="n">
        <f aca="false">IF(ISNUMBER(INDEX(IF_TokGW_Sol,1,H$7)),INDEX(IF_TokGW_Sol,1,H$7)*INDEX(B4_EffRef,1,2)/1000000000,INDEX(IF_TokGW_Sol,1,H$7))</f>
        <v>234.391419310805</v>
      </c>
      <c r="I31" s="75" t="n">
        <f aca="false">IF(ISNUMBER(INDEX(IF_TokGW_Sol,1,I$7)),INDEX(IF_TokGW_Sol,1,I$7)*INDEX(B4_EffRef,1,2)/1000000000,INDEX(IF_TokGW_Sol,1,I$7))</f>
        <v>341.244847227353</v>
      </c>
      <c r="J31" s="75" t="n">
        <f aca="false">IF(ISNUMBER(INDEX(IF_TokGW_Sol,1,J$7)),INDEX(IF_TokGW_Sol,1,J$7)*INDEX(B4_EffRef,1,2)/1000000000,INDEX(IF_TokGW_Sol,1,J$7))</f>
        <v>341.244847227353</v>
      </c>
      <c r="K31" s="75" t="n">
        <f aca="false">IF(ISNUMBER(INDEX(IF_TokGW_Sol,1,K$7)),INDEX(IF_TokGW_Sol,1,K$7)*INDEX(B4_EffRef,1,2)/1000000000,INDEX(IF_TokGW_Sol,1,K$7))</f>
        <v>341.244847227353</v>
      </c>
      <c r="L31" s="75" t="n">
        <f aca="false">IF(ISNUMBER(INDEX(IF_TokGW_Sol,1,L$7)),INDEX(IF_TokGW_Sol,1,L$7)*INDEX(B4_EffRef,1,2)/1000000000,INDEX(IF_TokGW_Sol,1,L$7))</f>
        <v>512.644173561644</v>
      </c>
      <c r="M31" s="75" t="n">
        <f aca="false">IF(ISNUMBER(INDEX(IF_TokGW_Sol,1,M$7)),INDEX(IF_TokGW_Sol,1,M$7)*INDEX(B4_EffRef,1,2)/1000000000,INDEX(IF_TokGW_Sol,1,M$7))</f>
        <v>512.644173561644</v>
      </c>
      <c r="N31" s="75" t="n">
        <f aca="false">IF(ISNUMBER(INDEX(IF_TokGW_Sol,1,N$7)),INDEX(IF_TokGW_Sol,1,N$7)*INDEX(B4_EffRef,1,2)/1000000000,INDEX(IF_TokGW_Sol,1,N$7))</f>
        <v>512.644173561644</v>
      </c>
      <c r="O31" s="75" t="n">
        <f aca="false">IF(ISNUMBER(INDEX(IF_TokGW_Sol,1,O$7)),INDEX(IF_TokGW_Sol,1,O$7)*INDEX(B4_EffRef,1,2)/1000000000,INDEX(IF_TokGW_Sol,1,O$7))</f>
        <v>698.097656186124</v>
      </c>
      <c r="P31" s="75" t="n">
        <f aca="false">IF(ISNUMBER(INDEX(IF_TokGW_Sol,1,P$7)),INDEX(IF_TokGW_Sol,1,P$7)*INDEX(B4_EffRef,1,2)/1000000000,INDEX(IF_TokGW_Sol,1,P$7))</f>
        <v>698.097656186124</v>
      </c>
      <c r="Q31" s="75" t="n">
        <f aca="false">IF(ISNUMBER(INDEX(IF_TokGW_Sol,1,Q$7)),INDEX(IF_TokGW_Sol,1,Q$7)*INDEX(B4_EffRef,1,2)/1000000000,INDEX(IF_TokGW_Sol,1,Q$7))</f>
        <v>698.097656186124</v>
      </c>
    </row>
    <row r="32" customFormat="false" ht="15" hidden="false" customHeight="false" outlineLevel="0" collapsed="false">
      <c r="A32" s="5" t="s">
        <v>2051</v>
      </c>
      <c r="B32" s="62" t="s">
        <v>2048</v>
      </c>
      <c r="C32" s="75" t="n">
        <f aca="false">INDEX(IF_HoldEcon,1,C$7)</f>
        <v>6.79107465326444</v>
      </c>
      <c r="D32" s="75" t="n">
        <f aca="false">INDEX(IF_HoldEcon,1,D$7)</f>
        <v>9.70308728611469</v>
      </c>
      <c r="E32" s="75" t="n">
        <f aca="false">INDEX(IF_HoldEcon,1,E$7)</f>
        <v>16.6637697337026</v>
      </c>
      <c r="F32" s="75" t="n">
        <f aca="false">INDEX(IF_HoldEcon,1,F$7)</f>
        <v>6.6118162762144</v>
      </c>
      <c r="G32" s="75" t="n">
        <f aca="false">INDEX(IF_HoldEcon,1,G$7)</f>
        <v>8.82816556596761</v>
      </c>
      <c r="H32" s="75" t="n">
        <f aca="false">INDEX(IF_HoldEcon,1,H$7)</f>
        <v>14.3185748619737</v>
      </c>
      <c r="I32" s="75" t="n">
        <f aca="false">INDEX(IF_HoldEcon,1,I$7)</f>
        <v>8.42889912085495</v>
      </c>
      <c r="J32" s="75" t="n">
        <f aca="false">INDEX(IF_HoldEcon,1,J$7)</f>
        <v>10.8864110021101</v>
      </c>
      <c r="K32" s="75" t="n">
        <f aca="false">INDEX(IF_HoldEcon,1,K$7)</f>
        <v>18.5346455040469</v>
      </c>
      <c r="L32" s="75" t="n">
        <f aca="false">INDEX(IF_HoldEcon,1,L$7)</f>
        <v>9.51207691858967</v>
      </c>
      <c r="M32" s="75" t="n">
        <f aca="false">INDEX(IF_HoldEcon,1,M$7)</f>
        <v>12.2254710045841</v>
      </c>
      <c r="N32" s="75" t="n">
        <f aca="false">INDEX(IF_HoldEcon,1,N$7)</f>
        <v>19.7506269894487</v>
      </c>
      <c r="O32" s="75" t="n">
        <f aca="false">INDEX(IF_HoldEcon,1,O$7)</f>
        <v>10.1025446864987</v>
      </c>
      <c r="P32" s="75" t="n">
        <f aca="false">INDEX(IF_HoldEcon,1,P$7)</f>
        <v>15.3544827030524</v>
      </c>
      <c r="Q32" s="75" t="n">
        <f aca="false">INDEX(IF_HoldEcon,1,Q$7)</f>
        <v>28.0302450108258</v>
      </c>
    </row>
    <row r="33" customFormat="false" ht="15" hidden="false" customHeight="false" outlineLevel="0" collapsed="false">
      <c r="A33" s="5" t="s">
        <v>2052</v>
      </c>
      <c r="B33" s="62" t="s">
        <v>118</v>
      </c>
      <c r="C33" s="88" t="n">
        <f aca="false">IF(ISNUMBER(C29),C29/C32,C29)</f>
        <v>4.77583155897769</v>
      </c>
      <c r="D33" s="88" t="n">
        <f aca="false">IF(ISNUMBER(D29),D29/D32,D29)</f>
        <v>3.34254734519868</v>
      </c>
      <c r="E33" s="88" t="n">
        <f aca="false">IF(ISNUMBER(E29),E29/E32,E29)</f>
        <v>1.94632002042357</v>
      </c>
      <c r="F33" s="88" t="n">
        <f aca="false">IF(ISNUMBER(F29),F29/F32,F29)</f>
        <v>21.2702297993984</v>
      </c>
      <c r="G33" s="88" t="n">
        <f aca="false">IF(ISNUMBER(G29),G29/G32,G29)</f>
        <v>15.9302462709385</v>
      </c>
      <c r="H33" s="88" t="n">
        <f aca="false">IF(ISNUMBER(H29),H29/H32,H29)</f>
        <v>9.82184700238368</v>
      </c>
      <c r="I33" s="88" t="n">
        <f aca="false">IF(ISNUMBER(I29),I29/I32,I29)</f>
        <v>24.291061667807</v>
      </c>
      <c r="J33" s="88" t="n">
        <f aca="false">IF(ISNUMBER(J29),J29/J32,J29)</f>
        <v>18.8075673696985</v>
      </c>
      <c r="K33" s="88" t="n">
        <f aca="false">IF(ISNUMBER(K29),K29/K32,K29)</f>
        <v>11.046712940461</v>
      </c>
      <c r="L33" s="88" t="n">
        <f aca="false">IF(ISNUMBER(L29),L29/L32,L29)</f>
        <v>32.3364189303246</v>
      </c>
      <c r="M33" s="88" t="n">
        <f aca="false">IF(ISNUMBER(M29),M29/M32,M29)</f>
        <v>25.1594808921188</v>
      </c>
      <c r="N33" s="88" t="n">
        <f aca="false">IF(ISNUMBER(N29),N29/N32,N29)</f>
        <v>15.5735058082615</v>
      </c>
      <c r="O33" s="88" t="n">
        <f aca="false">IF(ISNUMBER(O29),O29/O32,O29)</f>
        <v>41.4607019032987</v>
      </c>
      <c r="P33" s="88" t="n">
        <f aca="false">IF(ISNUMBER(P29),P29/P32,P29)</f>
        <v>27.2792383704603</v>
      </c>
      <c r="Q33" s="88" t="n">
        <f aca="false">IF(ISNUMBER(Q29),Q29/Q32,Q29)</f>
        <v>14.9430942736998</v>
      </c>
      <c r="R33" s="74" t="s">
        <v>2067</v>
      </c>
    </row>
    <row r="34" customFormat="false" ht="15" hidden="false" customHeight="false" outlineLevel="0" collapsed="false">
      <c r="A34" s="5" t="s">
        <v>2053</v>
      </c>
      <c r="B34" s="62" t="s">
        <v>118</v>
      </c>
      <c r="C34" s="86" t="n">
        <f aca="false">IF(ISNUMBER(C30),C30/C32,C30)</f>
        <v>4.77583155897769</v>
      </c>
      <c r="D34" s="86" t="n">
        <f aca="false">IF(ISNUMBER(D30),D30/D32,D30)</f>
        <v>3.34254734519868</v>
      </c>
      <c r="E34" s="86" t="n">
        <f aca="false">IF(ISNUMBER(E30),E30/E32,E30)</f>
        <v>1.94632002042357</v>
      </c>
      <c r="F34" s="86" t="n">
        <f aca="false">IF(ISNUMBER(F30),F30/F32,F30)</f>
        <v>21.2702297993984</v>
      </c>
      <c r="G34" s="86" t="n">
        <f aca="false">IF(ISNUMBER(G30),G30/G32,G30)</f>
        <v>15.9302462709385</v>
      </c>
      <c r="H34" s="86" t="n">
        <f aca="false">IF(ISNUMBER(H30),H30/H32,H30)</f>
        <v>9.82184700238368</v>
      </c>
      <c r="I34" s="86" t="n">
        <f aca="false">IF(ISNUMBER(I30),I30/I32,I30)</f>
        <v>24.291061667807</v>
      </c>
      <c r="J34" s="86" t="n">
        <f aca="false">IF(ISNUMBER(J30),J30/J32,J30)</f>
        <v>18.8075673696985</v>
      </c>
      <c r="K34" s="86" t="n">
        <f aca="false">IF(ISNUMBER(K30),K30/K32,K30)</f>
        <v>11.046712940461</v>
      </c>
      <c r="L34" s="86" t="n">
        <f aca="false">IF(ISNUMBER(L30),L30/L32,L30)</f>
        <v>32.3364189303245</v>
      </c>
      <c r="M34" s="86" t="n">
        <f aca="false">IF(ISNUMBER(M30),M30/M32,M30)</f>
        <v>25.1594808921188</v>
      </c>
      <c r="N34" s="86" t="n">
        <f aca="false">IF(ISNUMBER(N30),N30/N32,N30)</f>
        <v>15.5735058082615</v>
      </c>
      <c r="O34" s="86" t="n">
        <f aca="false">IF(ISNUMBER(O30),O30/O32,O30)</f>
        <v>41.4607019032987</v>
      </c>
      <c r="P34" s="86" t="n">
        <f aca="false">IF(ISNUMBER(P30),P30/P32,P30)</f>
        <v>27.2792383704602</v>
      </c>
      <c r="Q34" s="86" t="n">
        <f aca="false">IF(ISNUMBER(Q30),Q30/Q32,Q30)</f>
        <v>14.9430942736998</v>
      </c>
    </row>
    <row r="35" customFormat="false" ht="15" hidden="false" customHeight="false" outlineLevel="0" collapsed="false">
      <c r="A35" s="5" t="s">
        <v>2054</v>
      </c>
      <c r="B35" s="62" t="s">
        <v>976</v>
      </c>
      <c r="C35" s="160" t="n">
        <f aca="false">Amortize!C23</f>
        <v>0.336534225353718</v>
      </c>
      <c r="D35" s="160" t="n">
        <f aca="false">Amortize!D23</f>
        <v>0.480833503007437</v>
      </c>
      <c r="E35" s="160" t="n">
        <f aca="false">Amortize!E23</f>
        <v>0.825756954860989</v>
      </c>
      <c r="F35" s="160" t="n">
        <f aca="false">Amortize!F23</f>
        <v>0.0755856950640258</v>
      </c>
      <c r="G35" s="160" t="n">
        <f aca="false">Amortize!G23</f>
        <v>0.100917651687873</v>
      </c>
      <c r="H35" s="160" t="n">
        <f aca="false">Amortize!H23</f>
        <v>0.163670761396985</v>
      </c>
      <c r="I35" s="160" t="n">
        <f aca="false">Amortize!I23</f>
        <v>0.0661936935368566</v>
      </c>
      <c r="J35" s="160" t="n">
        <f aca="false">Amortize!J23</f>
        <v>0.0854885055421626</v>
      </c>
      <c r="K35" s="160" t="n">
        <f aca="false">Amortize!K23</f>
        <v>0.145537552715842</v>
      </c>
      <c r="L35" s="160" t="n">
        <f aca="false">Amortize!L23</f>
        <v>0.0497484931122575</v>
      </c>
      <c r="M35" s="160" t="n">
        <f aca="false">Amortize!M23</f>
        <v>0.0639352550202769</v>
      </c>
      <c r="N35" s="160" t="n">
        <f aca="false">Amortize!N23</f>
        <v>0.103279925530552</v>
      </c>
      <c r="O35" s="160" t="n">
        <f aca="false">Amortize!O23</f>
        <v>0.0388307820968141</v>
      </c>
      <c r="P35" s="160" t="n">
        <f aca="false">Amortize!P23</f>
        <v>0.0590094757759281</v>
      </c>
      <c r="Q35" s="160" t="n">
        <f aca="false">Amortize!Q23</f>
        <v>0.10771155945468</v>
      </c>
    </row>
    <row r="36" customFormat="false" ht="15" hidden="false" customHeight="false" outlineLevel="0" collapsed="false">
      <c r="A36" s="5" t="s">
        <v>2068</v>
      </c>
      <c r="B36" s="62" t="s">
        <v>976</v>
      </c>
      <c r="C36" s="161" t="n">
        <f aca="false">IF(AND(ISNUMBER(C35),ISNUMBER(Amortize!C22)),C35+Amortize!C22,"SLO 不可達")</f>
        <v>0.450574665095153</v>
      </c>
      <c r="D36" s="161" t="n">
        <f aca="false">IF(AND(ISNUMBER(D35),ISNUMBER(Amortize!D22)),D35+Amortize!D22,"SLO 不可達")</f>
        <v>0.643774480313015</v>
      </c>
      <c r="E36" s="161" t="n">
        <f aca="false">IF(AND(ISNUMBER(E35),ISNUMBER(Amortize!E22)),E35+Amortize!E22,"SLO 不可達")</f>
        <v>1.10558654372701</v>
      </c>
      <c r="F36" s="161" t="n">
        <f aca="false">IF(AND(ISNUMBER(F35),ISNUMBER(Amortize!F22)),F35+Amortize!F22,"SLO 不可達")</f>
        <v>0.0866453049956676</v>
      </c>
      <c r="G36" s="161" t="n">
        <f aca="false">IF(AND(ISNUMBER(G35),ISNUMBER(Amortize!G22)),G35+Amortize!G22,"SLO 不可達")</f>
        <v>0.115684557405262</v>
      </c>
      <c r="H36" s="161" t="n">
        <f aca="false">IF(AND(ISNUMBER(H35),ISNUMBER(Amortize!H22)),H35+Amortize!H22,"SLO 不可達")</f>
        <v>0.187621495376107</v>
      </c>
      <c r="I36" s="161" t="n">
        <f aca="false">IF(AND(ISNUMBER(I35),ISNUMBER(Amortize!I22)),I35+Amortize!I22,"SLO 不可達")</f>
        <v>0.0755575928591388</v>
      </c>
      <c r="J36" s="161" t="n">
        <f aca="false">IF(AND(ISNUMBER(J35),ISNUMBER(Amortize!J22)),J35+Amortize!J22,"SLO 不可達")</f>
        <v>0.0975825234136689</v>
      </c>
      <c r="K36" s="161" t="n">
        <f aca="false">IF(AND(ISNUMBER(K35),ISNUMBER(Amortize!K22)),K35+Amortize!K22,"SLO 不可達")</f>
        <v>0.166128207792573</v>
      </c>
      <c r="L36" s="161" t="n">
        <f aca="false">IF(AND(ISNUMBER(L35),ISNUMBER(Amortize!L22)),L35+Amortize!L22,"SLO 不可達")</f>
        <v>0.0537829036443724</v>
      </c>
      <c r="M36" s="161" t="n">
        <f aca="false">IF(AND(ISNUMBER(M35),ISNUMBER(Amortize!M22)),M35+Amortize!M22,"SLO 不可達")</f>
        <v>0.0691205126041982</v>
      </c>
      <c r="N36" s="161" t="n">
        <f aca="false">IF(AND(ISNUMBER(N35),ISNUMBER(Amortize!N22)),N35+Amortize!N22,"SLO 不可達")</f>
        <v>0.11165686972729</v>
      </c>
      <c r="O36" s="161" t="n">
        <f aca="false">IF(AND(ISNUMBER(O35),ISNUMBER(Amortize!O22)),O35+Amortize!O22,"SLO 不可達")</f>
        <v>0.0409015415330202</v>
      </c>
      <c r="P36" s="161" t="n">
        <f aca="false">IF(AND(ISNUMBER(P35),ISNUMBER(Amortize!P22)),P35+Amortize!P22,"SLO 不可達")</f>
        <v>0.0621567461847294</v>
      </c>
      <c r="Q36" s="161" t="n">
        <f aca="false">IF(AND(ISNUMBER(Q35),ISNUMBER(Amortize!Q22)),Q35+Amortize!Q22,"SLO 不可達")</f>
        <v>0.11345703212088</v>
      </c>
    </row>
    <row r="37" customFormat="false" ht="15" hidden="false" customHeight="false" outlineLevel="0" collapsed="false">
      <c r="A37" s="5" t="s">
        <v>2056</v>
      </c>
      <c r="B37" s="62" t="s">
        <v>976</v>
      </c>
      <c r="C37" s="160" t="n">
        <f aca="false">IF(AND(ISNUMBER(C35),ISNUMBER(Amortize!C24)),C35+Amortize!C24,"SLO 不可達")</f>
        <v>0.820815183789556</v>
      </c>
      <c r="D37" s="160" t="n">
        <f aca="false">IF(AND(ISNUMBER(D35),ISNUMBER(Amortize!D24)),D35+Amortize!D24,"SLO 不可達")</f>
        <v>1.17276464148155</v>
      </c>
      <c r="E37" s="160" t="n">
        <f aca="false">IF(AND(ISNUMBER(E35),ISNUMBER(Amortize!E24)),E35+Amortize!E24,"SLO 不可達")</f>
        <v>2.01404135331948</v>
      </c>
      <c r="F37" s="160" t="n">
        <f aca="false">IF(AND(ISNUMBER(F35),ISNUMBER(Amortize!F24)),F35+Amortize!F24,"SLO 不可達")</f>
        <v>0.184355353814697</v>
      </c>
      <c r="G37" s="160" t="n">
        <f aca="false">IF(AND(ISNUMBER(G35),ISNUMBER(Amortize!G24)),G35+Amortize!G24,"SLO 不可達")</f>
        <v>0.246140613872861</v>
      </c>
      <c r="H37" s="160" t="n">
        <f aca="false">IF(AND(ISNUMBER(H35),ISNUMBER(Amortize!H24)),H35+Amortize!H24,"SLO 不可達")</f>
        <v>0.399196979017036</v>
      </c>
      <c r="I37" s="160" t="n">
        <f aca="false">IF(AND(ISNUMBER(I35),ISNUMBER(Amortize!I24)),I35+Amortize!I24,"SLO 不可達")</f>
        <v>0.161448033016724</v>
      </c>
      <c r="J37" s="160" t="n">
        <f aca="false">IF(AND(ISNUMBER(J35),ISNUMBER(Amortize!J24)),J35+Amortize!J24,"SLO 不可達")</f>
        <v>0.208508550102836</v>
      </c>
      <c r="K37" s="160" t="n">
        <f aca="false">IF(AND(ISNUMBER(K35),ISNUMBER(Amortize!K24)),K35+Amortize!K24,"SLO 不可達")</f>
        <v>0.354969640770346</v>
      </c>
      <c r="L37" s="160" t="n">
        <f aca="false">IF(AND(ISNUMBER(L35),ISNUMBER(Amortize!L24)),L35+Amortize!L24,"SLO 不可達")</f>
        <v>0.121337788078677</v>
      </c>
      <c r="M37" s="160" t="n">
        <f aca="false">IF(AND(ISNUMBER(M35),ISNUMBER(Amortize!M24)),M35+Amortize!M24,"SLO 不可達")</f>
        <v>0.155939646390919</v>
      </c>
      <c r="N37" s="160" t="n">
        <f aca="false">IF(AND(ISNUMBER(N35),ISNUMBER(Amortize!N24)),N35+Amortize!N24,"SLO 不可達")</f>
        <v>0.251902257391591</v>
      </c>
      <c r="O37" s="160" t="n">
        <f aca="false">IF(AND(ISNUMBER(O35),ISNUMBER(Amortize!O24)),O35+Amortize!O24,"SLO 不可達")</f>
        <v>0.0947092246263758</v>
      </c>
      <c r="P37" s="160" t="n">
        <f aca="false">IF(AND(ISNUMBER(P35),ISNUMBER(Amortize!P24)),P35+Amortize!P24,"SLO 不可達")</f>
        <v>0.143925550672995</v>
      </c>
      <c r="Q37" s="160" t="n">
        <f aca="false">IF(AND(ISNUMBER(Q35),ISNUMBER(Amortize!Q24)),Q35+Amortize!Q24,"SLO 不可達")</f>
        <v>0.262711120621172</v>
      </c>
    </row>
    <row r="38" customFormat="false" ht="26.85" hidden="false" customHeight="false" outlineLevel="0" collapsed="false">
      <c r="A38" s="5" t="s">
        <v>2069</v>
      </c>
      <c r="B38" s="62" t="s">
        <v>976</v>
      </c>
      <c r="C38" s="161" t="n">
        <f aca="false">IF(AND(ISNUMBER(C35),ISNUMBER(Amortize!C45)),C35+Amortize!C45,"SLO 不可達")</f>
        <v>0.612147517744397</v>
      </c>
      <c r="D38" s="161" t="n">
        <f aca="false">IF(AND(ISNUMBER(D35),ISNUMBER(Amortize!D45)),D35+Amortize!D45,"SLO 不可達")</f>
        <v>0.874618366438229</v>
      </c>
      <c r="E38" s="161" t="n">
        <f aca="false">IF(AND(ISNUMBER(E35),ISNUMBER(Amortize!E45)),E35+Amortize!E45,"SLO 不可達")</f>
        <v>1.50201132788924</v>
      </c>
      <c r="F38" s="161" t="n">
        <f aca="false">IF(AND(ISNUMBER(F35),ISNUMBER(Amortize!F45)),F35+Amortize!F45,"SLO 不可達")</f>
        <v>0.135583057398244</v>
      </c>
      <c r="G38" s="161" t="n">
        <f aca="false">IF(AND(ISNUMBER(G35),ISNUMBER(Amortize!G45)),G35+Amortize!G45,"SLO 不可達")</f>
        <v>0.18101802752924</v>
      </c>
      <c r="H38" s="161" t="n">
        <f aca="false">IF(AND(ISNUMBER(H35),ISNUMBER(Amortize!H45)),H35+Amortize!H45,"SLO 不可達")</f>
        <v>0.293570946658137</v>
      </c>
      <c r="I38" s="161" t="n">
        <f aca="false">IF(AND(ISNUMBER(I35),ISNUMBER(Amortize!I45)),I35+Amortize!I45,"SLO 不可達")</f>
        <v>0.120947669135898</v>
      </c>
      <c r="J38" s="161" t="n">
        <f aca="false">IF(AND(ISNUMBER(J35),ISNUMBER(Amortize!J45)),J35+Amortize!J45,"SLO 不可達")</f>
        <v>0.156198775124104</v>
      </c>
      <c r="K38" s="161" t="n">
        <f aca="false">IF(AND(ISNUMBER(K35),ISNUMBER(Amortize!K45)),K35+Amortize!K45,"SLO 不可達")</f>
        <v>0.265906779836878</v>
      </c>
      <c r="L38" s="161" t="n">
        <f aca="false">IF(AND(ISNUMBER(L35),ISNUMBER(Amortize!L45)),L35+Amortize!L45,"SLO 不可達")</f>
        <v>0.0882322144931937</v>
      </c>
      <c r="M38" s="161" t="n">
        <f aca="false">IF(AND(ISNUMBER(M35),ISNUMBER(Amortize!M45)),M35+Amortize!M45,"SLO 不可達")</f>
        <v>0.113389480552912</v>
      </c>
      <c r="N38" s="161" t="n">
        <f aca="false">IF(AND(ISNUMBER(N35),ISNUMBER(Amortize!N45)),N35+Amortize!N45,"SLO 不可達")</f>
        <v>0.183159055208242</v>
      </c>
      <c r="O38" s="161" t="n">
        <f aca="false">IF(AND(ISNUMBER(O35),ISNUMBER(Amortize!O45)),O35+Amortize!O45,"SLO 不可達")</f>
        <v>0.0679801329179448</v>
      </c>
      <c r="P38" s="161" t="n">
        <f aca="false">IF(AND(ISNUMBER(P35),ISNUMBER(Amortize!P45)),P35+Amortize!P45,"SLO 不可達")</f>
        <v>0.103299531016465</v>
      </c>
      <c r="Q38" s="161" t="n">
        <f aca="false">IF(AND(ISNUMBER(Q35),ISNUMBER(Amortize!Q45)),Q35+Amortize!Q45,"SLO 不可達")</f>
        <v>0.18854430994176</v>
      </c>
    </row>
    <row r="39" customFormat="false" ht="29.85" hidden="false" customHeight="false" outlineLevel="0" collapsed="false">
      <c r="A39" s="5" t="s">
        <v>2058</v>
      </c>
      <c r="B39" s="62" t="s">
        <v>113</v>
      </c>
      <c r="C39" s="85" t="n">
        <f aca="false">IF(ISNUMBER(C35),1-C35/INDEX(B4_EffRef,1,2),"SLO 不可達")</f>
        <v>0.790596790086874</v>
      </c>
      <c r="D39" s="85" t="n">
        <f aca="false">IF(ISNUMBER(D35),1-D35/INDEX(B4_EffRef,1,2),"SLO 不可達")</f>
        <v>0.700808799290174</v>
      </c>
      <c r="E39" s="85" t="n">
        <f aca="false">IF(ISNUMBER(E35),1-E35/INDEX(B4_EffRef,1,2),"SLO 不可達")</f>
        <v>0.486185523109175</v>
      </c>
      <c r="F39" s="85" t="n">
        <f aca="false">IF(ISNUMBER(F35),1-F35/INDEX(B4_EffRef,1,2),"SLO 不可達")</f>
        <v>0.952967971821334</v>
      </c>
      <c r="G39" s="85" t="n">
        <f aca="false">IF(ISNUMBER(G35),1-G35/INDEX(B4_EffRef,1,2),"SLO 不可達")</f>
        <v>0.937205554121207</v>
      </c>
      <c r="H39" s="85" t="n">
        <f aca="false">IF(ISNUMBER(H35),1-H35/INDEX(B4_EffRef,1,2),"SLO 不可達")</f>
        <v>0.898158403444907</v>
      </c>
      <c r="I39" s="85" t="n">
        <f aca="false">IF(ISNUMBER(I35),1-I35/INDEX(B4_EffRef,1,2),"SLO 不可達")</f>
        <v>0.958811999320263</v>
      </c>
      <c r="J39" s="85" t="n">
        <f aca="false">IF(ISNUMBER(J35),1-J35/INDEX(B4_EffRef,1,2),"SLO 不可達")</f>
        <v>0.946806101363422</v>
      </c>
      <c r="K39" s="85" t="n">
        <f aca="false">IF(ISNUMBER(K35),1-K35/INDEX(B4_EffRef,1,2),"SLO 不可達")</f>
        <v>0.90944151172272</v>
      </c>
      <c r="L39" s="85" t="n">
        <f aca="false">IF(ISNUMBER(L35),1-L35/INDEX(B4_EffRef,1,2),"SLO 不可達")</f>
        <v>0.969044770602163</v>
      </c>
      <c r="M39" s="85" t="n">
        <f aca="false">IF(ISNUMBER(M35),1-M35/INDEX(B4_EffRef,1,2),"SLO 不可達")</f>
        <v>0.960217277711387</v>
      </c>
      <c r="N39" s="85" t="n">
        <f aca="false">IF(ISNUMBER(N35),1-N35/INDEX(B4_EffRef,1,2),"SLO 不可達")</f>
        <v>0.935735665806487</v>
      </c>
      <c r="O39" s="85" t="n">
        <f aca="false">IF(ISNUMBER(O35),1-O35/INDEX(B4_EffRef,1,2),"SLO 不可達")</f>
        <v>0.975838147201927</v>
      </c>
      <c r="P39" s="85" t="n">
        <f aca="false">IF(ISNUMBER(P35),1-P35/INDEX(B4_EffRef,1,2),"SLO 不可達")</f>
        <v>0.963282267561992</v>
      </c>
      <c r="Q39" s="85" t="n">
        <f aca="false">IF(ISNUMBER(Q35),1-Q35/INDEX(B4_EffRef,1,2),"SLO 不可達")</f>
        <v>0.932978150228697</v>
      </c>
      <c r="R39" s="74" t="s">
        <v>2070</v>
      </c>
    </row>
    <row r="40" customFormat="false" ht="15" hidden="false" customHeight="false" outlineLevel="0" collapsed="false">
      <c r="A40" s="5" t="s">
        <v>2060</v>
      </c>
      <c r="B40" s="62" t="s">
        <v>113</v>
      </c>
      <c r="C40" s="85" t="n">
        <f aca="false">IF(ISNUMBER(C36),1-C36/INDEX(B4_EffRef,1,2),"SLO 不可達")</f>
        <v>0.71963689257077</v>
      </c>
      <c r="D40" s="85" t="n">
        <f aca="false">IF(ISNUMBER(D36),1-D36/INDEX(B4_EffRef,1,2),"SLO 不可達")</f>
        <v>0.599421299583992</v>
      </c>
      <c r="E40" s="85" t="n">
        <f aca="false">IF(ISNUMBER(E36),1-E36/INDEX(B4_EffRef,1,2),"SLO 不可達")</f>
        <v>0.312065895081366</v>
      </c>
      <c r="F40" s="85" t="n">
        <f aca="false">IF(ISNUMBER(F36),1-F36/INDEX(B4_EffRef,1,2),"SLO 不可達")</f>
        <v>0.946086300818514</v>
      </c>
      <c r="G40" s="85" t="n">
        <f aca="false">IF(ISNUMBER(G36),1-G36/INDEX(B4_EffRef,1,2),"SLO 不可達")</f>
        <v>0.92801707572958</v>
      </c>
      <c r="H40" s="85" t="n">
        <f aca="false">IF(ISNUMBER(H36),1-H36/INDEX(B4_EffRef,1,2),"SLO 不可達")</f>
        <v>0.883255430144845</v>
      </c>
      <c r="I40" s="85" t="n">
        <f aca="false">IF(ISNUMBER(I36),1-I36/INDEX(B4_EffRef,1,2),"SLO 不可達")</f>
        <v>0.952985457983113</v>
      </c>
      <c r="J40" s="85" t="n">
        <f aca="false">IF(ISNUMBER(J36),1-J36/INDEX(B4_EffRef,1,2),"SLO 不可達")</f>
        <v>0.939280786039614</v>
      </c>
      <c r="K40" s="85" t="n">
        <f aca="false">IF(ISNUMBER(K36),1-K36/INDEX(B4_EffRef,1,2),"SLO 不可達")</f>
        <v>0.896629295483051</v>
      </c>
      <c r="L40" s="85" t="n">
        <f aca="false">IF(ISNUMBER(L36),1-L36/INDEX(B4_EffRef,1,2),"SLO 不可達")</f>
        <v>0.966534421128363</v>
      </c>
      <c r="M40" s="85" t="n">
        <f aca="false">IF(ISNUMBER(M36),1-M36/INDEX(B4_EffRef,1,2),"SLO 不可達")</f>
        <v>0.956990831482454</v>
      </c>
      <c r="N40" s="85" t="n">
        <f aca="false">IF(ISNUMBER(N36),1-N36/INDEX(B4_EffRef,1,2),"SLO 不可達")</f>
        <v>0.930523242011504</v>
      </c>
      <c r="O40" s="85" t="n">
        <f aca="false">IF(ISNUMBER(O36),1-O36/INDEX(B4_EffRef,1,2),"SLO 不可達")</f>
        <v>0.974549649212031</v>
      </c>
      <c r="P40" s="85" t="n">
        <f aca="false">IF(ISNUMBER(P36),1-P36/INDEX(B4_EffRef,1,2),"SLO 不可達")</f>
        <v>0.961323927291028</v>
      </c>
      <c r="Q40" s="85" t="n">
        <f aca="false">IF(ISNUMBER(Q36),1-Q36/INDEX(B4_EffRef,1,2),"SLO 不可達")</f>
        <v>0.929403118840714</v>
      </c>
    </row>
    <row r="41" customFormat="false" ht="15" hidden="false" customHeight="false" outlineLevel="0" collapsed="false">
      <c r="A41" s="5" t="s">
        <v>2061</v>
      </c>
      <c r="B41" s="62" t="s">
        <v>113</v>
      </c>
      <c r="C41" s="85" t="n">
        <f aca="false">IF(ISNUMBER(C37),1-C37/INDEX(B4_EffRef,1,2),"SLO 不可達")</f>
        <v>0.489260463626521</v>
      </c>
      <c r="D41" s="85" t="n">
        <f aca="false">IF(ISNUMBER(D37),1-D37/INDEX(B4_EffRef,1,2),"SLO 不可達")</f>
        <v>0.270265364122374</v>
      </c>
      <c r="E41" s="85" t="n">
        <f aca="false">IF(ISNUMBER(E37),1-E37/INDEX(B4_EffRef,1,2),"SLO 不可達")</f>
        <v>-0.253206041197135</v>
      </c>
      <c r="F41" s="85" t="n">
        <f aca="false">IF(ISNUMBER(F37),1-F37/INDEX(B4_EffRef,1,2),"SLO 不可達")</f>
        <v>0.885287736149594</v>
      </c>
      <c r="G41" s="85" t="n">
        <f aca="false">IF(ISNUMBER(G37),1-G37/INDEX(B4_EffRef,1,2),"SLO 不可達")</f>
        <v>0.846842814929774</v>
      </c>
      <c r="H41" s="85" t="n">
        <f aca="false">IF(ISNUMBER(H37),1-H37/INDEX(B4_EffRef,1,2),"SLO 不可達")</f>
        <v>0.751605862060749</v>
      </c>
      <c r="I41" s="85" t="n">
        <f aca="false">IF(ISNUMBER(I37),1-I37/INDEX(B4_EffRef,1,2),"SLO 不可達")</f>
        <v>0.89954146175674</v>
      </c>
      <c r="J41" s="85" t="n">
        <f aca="false">IF(ISNUMBER(J37),1-J37/INDEX(B4_EffRef,1,2),"SLO 不可達")</f>
        <v>0.870258783813225</v>
      </c>
      <c r="K41" s="85" t="n">
        <f aca="false">IF(ISNUMBER(K37),1-K37/INDEX(B4_EffRef,1,2),"SLO 不可達")</f>
        <v>0.779125638348098</v>
      </c>
      <c r="L41" s="85" t="n">
        <f aca="false">IF(ISNUMBER(L37),1-L37/INDEX(B4_EffRef,1,2),"SLO 不可達")</f>
        <v>0.92449944049308</v>
      </c>
      <c r="M41" s="85" t="n">
        <f aca="false">IF(ISNUMBER(M37),1-M37/INDEX(B4_EffRef,1,2),"SLO 不可達")</f>
        <v>0.902968970027774</v>
      </c>
      <c r="N41" s="85" t="n">
        <f aca="false">IF(ISNUMBER(N37),1-N37/INDEX(B4_EffRef,1,2),"SLO 不可達")</f>
        <v>0.843257721479237</v>
      </c>
      <c r="O41" s="85" t="n">
        <f aca="false">IF(ISNUMBER(O37),1-O37/INDEX(B4_EffRef,1,2),"SLO 不可達")</f>
        <v>0.941068651712017</v>
      </c>
      <c r="P41" s="85" t="n">
        <f aca="false">IF(ISNUMBER(P37),1-P37/INDEX(B4_EffRef,1,2),"SLO 不可達")</f>
        <v>0.910444555029248</v>
      </c>
      <c r="Q41" s="85" t="n">
        <f aca="false">IF(ISNUMBER(Q37),1-Q37/INDEX(B4_EffRef,1,2),"SLO 不可達")</f>
        <v>0.83653207372853</v>
      </c>
    </row>
    <row r="42" customFormat="false" ht="15" hidden="false" customHeight="false" outlineLevel="0" collapsed="false">
      <c r="A42" s="5" t="s">
        <v>2062</v>
      </c>
      <c r="B42" s="62" t="s">
        <v>113</v>
      </c>
      <c r="C42" s="117" t="n">
        <f aca="false">IF(ISNUMBER(C38),1-C38/INDEX(B4_EffRef,1,2),"SLO 不可達")</f>
        <v>0.619100687244222</v>
      </c>
      <c r="D42" s="117" t="n">
        <f aca="false">IF(ISNUMBER(D38),1-D38/INDEX(B4_EffRef,1,2),"SLO 不可達")</f>
        <v>0.455782266458514</v>
      </c>
      <c r="E42" s="117" t="n">
        <f aca="false">IF(ISNUMBER(E38),1-E38/INDEX(B4_EffRef,1,2),"SLO 不可達")</f>
        <v>0.0653967124583024</v>
      </c>
      <c r="F42" s="117" t="n">
        <f aca="false">IF(ISNUMBER(F38),1-F38/INDEX(B4_EffRef,1,2),"SLO 不可達")</f>
        <v>0.915635542271558</v>
      </c>
      <c r="G42" s="117" t="n">
        <f aca="false">IF(ISNUMBER(G38),1-G38/INDEX(B4_EffRef,1,2),"SLO 不可達")</f>
        <v>0.887364335746463</v>
      </c>
      <c r="H42" s="117" t="n">
        <f aca="false">IF(ISNUMBER(H38),1-H38/INDEX(B4_EffRef,1,2),"SLO 不可達")</f>
        <v>0.817330024894688</v>
      </c>
      <c r="I42" s="117" t="n">
        <f aca="false">IF(ISNUMBER(I38),1-I38/INDEX(B4_EffRef,1,2),"SLO 不可達")</f>
        <v>0.924742185963559</v>
      </c>
      <c r="J42" s="117" t="n">
        <f aca="false">IF(ISNUMBER(J38),1-J38/INDEX(B4_EffRef,1,2),"SLO 不可達")</f>
        <v>0.902807731186605</v>
      </c>
      <c r="K42" s="117" t="n">
        <f aca="false">IF(ISNUMBER(K38),1-K38/INDEX(B4_EffRef,1,2),"SLO 不可達")</f>
        <v>0.834543624271854</v>
      </c>
      <c r="L42" s="117" t="n">
        <f aca="false">IF(ISNUMBER(L38),1-L38/INDEX(B4_EffRef,1,2),"SLO 不可達")</f>
        <v>0.945098870959711</v>
      </c>
      <c r="M42" s="117" t="n">
        <f aca="false">IF(ISNUMBER(M38),1-M38/INDEX(B4_EffRef,1,2),"SLO 不可達")</f>
        <v>0.929445151757729</v>
      </c>
      <c r="N42" s="117" t="n">
        <f aca="false">IF(ISNUMBER(N38),1-N38/INDEX(B4_EffRef,1,2),"SLO 不可達")</f>
        <v>0.886032114430712</v>
      </c>
      <c r="O42" s="117" t="n">
        <f aca="false">IF(ISNUMBER(O38),1-O38/INDEX(B4_EffRef,1,2),"SLO 不可達")</f>
        <v>0.957700415081478</v>
      </c>
      <c r="P42" s="117" t="n">
        <f aca="false">IF(ISNUMBER(P38),1-P38/INDEX(B4_EffRef,1,2),"SLO 不可達")</f>
        <v>0.935723466596503</v>
      </c>
      <c r="Q42" s="117" t="n">
        <f aca="false">IF(ISNUMBER(Q38),1-Q38/INDEX(B4_EffRef,1,2),"SLO 不可達")</f>
        <v>0.882681223072744</v>
      </c>
    </row>
    <row r="43" customFormat="false" ht="15" hidden="false" customHeight="false" outlineLevel="0" collapsed="false">
      <c r="A43" s="5" t="s">
        <v>2063</v>
      </c>
      <c r="B43" s="62" t="s">
        <v>113</v>
      </c>
      <c r="C43" s="85" t="n">
        <f aca="false">IF(ISNUMBER(C37),1-C37/INDEX(B4_FrontRef,1,2),"SLO 不可達")</f>
        <v>0.489260463626521</v>
      </c>
      <c r="D43" s="85" t="n">
        <f aca="false">IF(ISNUMBER(D37),1-D37/INDEX(B4_FrontRef,1,2),"SLO 不可達")</f>
        <v>0.270265364122374</v>
      </c>
      <c r="E43" s="85" t="n">
        <f aca="false">IF(ISNUMBER(E37),1-E37/INDEX(B4_FrontRef,1,2),"SLO 不可達")</f>
        <v>-0.253206041197135</v>
      </c>
      <c r="F43" s="85" t="n">
        <f aca="false">IF(ISNUMBER(F37),1-F37/INDEX(B4_FrontRef,1,2),"SLO 不可達")</f>
        <v>0.885287736149594</v>
      </c>
      <c r="G43" s="85" t="n">
        <f aca="false">IF(ISNUMBER(G37),1-G37/INDEX(B4_FrontRef,1,2),"SLO 不可達")</f>
        <v>0.846842814929774</v>
      </c>
      <c r="H43" s="85" t="n">
        <f aca="false">IF(ISNUMBER(H37),1-H37/INDEX(B4_FrontRef,1,2),"SLO 不可達")</f>
        <v>0.751605862060749</v>
      </c>
      <c r="I43" s="85" t="n">
        <f aca="false">IF(ISNUMBER(I37),1-I37/INDEX(B4_FrontRef,1,2),"SLO 不可達")</f>
        <v>0.89954146175674</v>
      </c>
      <c r="J43" s="85" t="n">
        <f aca="false">IF(ISNUMBER(J37),1-J37/INDEX(B4_FrontRef,1,2),"SLO 不可達")</f>
        <v>0.870258783813225</v>
      </c>
      <c r="K43" s="85" t="n">
        <f aca="false">IF(ISNUMBER(K37),1-K37/INDEX(B4_FrontRef,1,2),"SLO 不可達")</f>
        <v>0.779125638348097</v>
      </c>
      <c r="L43" s="85" t="n">
        <f aca="false">IF(ISNUMBER(L37),1-L37/INDEX(B4_FrontRef,1,2),"SLO 不可達")</f>
        <v>0.92449944049308</v>
      </c>
      <c r="M43" s="85" t="n">
        <f aca="false">IF(ISNUMBER(M37),1-M37/INDEX(B4_FrontRef,1,2),"SLO 不可達")</f>
        <v>0.902968970027774</v>
      </c>
      <c r="N43" s="85" t="n">
        <f aca="false">IF(ISNUMBER(N37),1-N37/INDEX(B4_FrontRef,1,2),"SLO 不可達")</f>
        <v>0.843257721479237</v>
      </c>
      <c r="O43" s="85" t="n">
        <f aca="false">IF(ISNUMBER(O37),1-O37/INDEX(B4_FrontRef,1,2),"SLO 不可達")</f>
        <v>0.941068651712017</v>
      </c>
      <c r="P43" s="85" t="n">
        <f aca="false">IF(ISNUMBER(P37),1-P37/INDEX(B4_FrontRef,1,2),"SLO 不可達")</f>
        <v>0.910444555029248</v>
      </c>
      <c r="Q43" s="85" t="n">
        <f aca="false">IF(ISNUMBER(Q37),1-Q37/INDEX(B4_FrontRef,1,2),"SLO 不可達")</f>
        <v>0.83653207372853</v>
      </c>
    </row>
    <row r="45" customFormat="false" ht="15" hidden="false" customHeight="false" outlineLevel="0" collapsed="false">
      <c r="A45" s="76" t="s">
        <v>2071</v>
      </c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</row>
    <row r="46" customFormat="false" ht="15" hidden="false" customHeight="false" outlineLevel="0" collapsed="false">
      <c r="A46" s="5" t="s">
        <v>2046</v>
      </c>
      <c r="B46" s="62" t="s">
        <v>931</v>
      </c>
      <c r="C46" s="68" t="n">
        <f aca="false">IF(ISNUMBER(INDEX(IF_TokGW_Astra,1,C$7)),INDEX(IF_TokGW_Astra,1,C$7)*IF_Util,INDEX(IF_TokGW_Astra,1,C$7))</f>
        <v>4085415423.5951</v>
      </c>
      <c r="D46" s="68" t="n">
        <f aca="false">IF(ISNUMBER(INDEX(IF_TokGW_Astra,1,D$7)),INDEX(IF_TokGW_Astra,1,D$7)*IF_Util,INDEX(IF_TokGW_Astra,1,D$7))</f>
        <v>4085415423.5951</v>
      </c>
      <c r="E46" s="68" t="n">
        <f aca="false">IF(ISNUMBER(INDEX(IF_TokGW_Astra,1,E$7)),INDEX(IF_TokGW_Astra,1,E$7)*IF_Util,INDEX(IF_TokGW_Astra,1,E$7))</f>
        <v>4085415423.5951</v>
      </c>
      <c r="F46" s="68" t="n">
        <f aca="false">IF(ISNUMBER(INDEX(IF_TokGW_Astra,1,F$7)),INDEX(IF_TokGW_Astra,1,F$7)*IF_Util,INDEX(IF_TokGW_Astra,1,F$7))</f>
        <v>17860657696.5117</v>
      </c>
      <c r="G46" s="68" t="n">
        <f aca="false">IF(ISNUMBER(INDEX(IF_TokGW_Astra,1,G$7)),INDEX(IF_TokGW_Astra,1,G$7)*IF_Util,INDEX(IF_TokGW_Astra,1,G$7))</f>
        <v>17860657696.5117</v>
      </c>
      <c r="H46" s="68" t="n">
        <f aca="false">IF(ISNUMBER(INDEX(IF_TokGW_Astra,1,H$7)),INDEX(IF_TokGW_Astra,1,H$7)*IF_Util,INDEX(IF_TokGW_Astra,1,H$7))</f>
        <v>17860657696.5117</v>
      </c>
      <c r="I46" s="68" t="n">
        <f aca="false">IF(ISNUMBER(INDEX(IF_TokGW_Astra,1,I$7)),INDEX(IF_TokGW_Astra,1,I$7)*IF_Util,INDEX(IF_TokGW_Astra,1,I$7))</f>
        <v>23554696886.7049</v>
      </c>
      <c r="J46" s="68" t="n">
        <f aca="false">IF(ISNUMBER(INDEX(IF_TokGW_Astra,1,J$7)),INDEX(IF_TokGW_Astra,1,J$7)*IF_Util,INDEX(IF_TokGW_Astra,1,J$7))</f>
        <v>23554696886.7049</v>
      </c>
      <c r="K46" s="68" t="n">
        <f aca="false">IF(ISNUMBER(INDEX(IF_TokGW_Astra,1,K$7)),INDEX(IF_TokGW_Astra,1,K$7)*IF_Util,INDEX(IF_TokGW_Astra,1,K$7))</f>
        <v>23554696886.7049</v>
      </c>
      <c r="L46" s="68" t="n">
        <f aca="false">IF(ISNUMBER(INDEX(IF_TokGW_Astra,1,L$7)),INDEX(IF_TokGW_Astra,1,L$7)*IF_Util,INDEX(IF_TokGW_Astra,1,L$7))</f>
        <v>41775116162.2067</v>
      </c>
      <c r="M46" s="68" t="n">
        <f aca="false">IF(ISNUMBER(INDEX(IF_TokGW_Astra,1,M$7)),INDEX(IF_TokGW_Astra,1,M$7)*IF_Util,INDEX(IF_TokGW_Astra,1,M$7))</f>
        <v>41775116162.2067</v>
      </c>
      <c r="N46" s="68" t="n">
        <f aca="false">IF(ISNUMBER(INDEX(IF_TokGW_Astra,1,N$7)),INDEX(IF_TokGW_Astra,1,N$7)*IF_Util,INDEX(IF_TokGW_Astra,1,N$7))</f>
        <v>41775116162.2067</v>
      </c>
      <c r="O46" s="68" t="n">
        <f aca="false">IF(ISNUMBER(INDEX(IF_TokGW_Astra,1,O$7)),INDEX(IF_TokGW_Astra,1,O$7)*IF_Util,INDEX(IF_TokGW_Astra,1,O$7))</f>
        <v>59112940438.5449</v>
      </c>
      <c r="P46" s="68" t="n">
        <f aca="false">IF(ISNUMBER(INDEX(IF_TokGW_Astra,1,P$7)),INDEX(IF_TokGW_Astra,1,P$7)*IF_Util,INDEX(IF_TokGW_Astra,1,P$7))</f>
        <v>59112940438.5449</v>
      </c>
      <c r="Q46" s="68" t="n">
        <f aca="false">IF(ISNUMBER(INDEX(IF_TokGW_Astra,1,Q$7)),INDEX(IF_TokGW_Astra,1,Q$7)*IF_Util,INDEX(IF_TokGW_Astra,1,Q$7))</f>
        <v>59112940438.5449</v>
      </c>
    </row>
    <row r="47" customFormat="false" ht="15" hidden="false" customHeight="false" outlineLevel="0" collapsed="false">
      <c r="A47" s="5" t="s">
        <v>2072</v>
      </c>
      <c r="B47" s="62" t="s">
        <v>2048</v>
      </c>
      <c r="C47" s="114" t="n">
        <f aca="false">IF(ISNUMBER(C46),C46*INDEX(B4_EffRef,1,3)/1000000000,C46)</f>
        <v>32.8285826038219</v>
      </c>
      <c r="D47" s="114" t="n">
        <f aca="false">IF(ISNUMBER(D46),D46*INDEX(B4_EffRef,1,3)/1000000000,D46)</f>
        <v>32.8285826038219</v>
      </c>
      <c r="E47" s="114" t="n">
        <f aca="false">IF(ISNUMBER(E46),E46*INDEX(B4_EffRef,1,3)/1000000000,E46)</f>
        <v>32.8285826038219</v>
      </c>
      <c r="F47" s="114" t="n">
        <f aca="false">IF(ISNUMBER(F46),F46*INDEX(B4_EffRef,1,3)/1000000000,F46)</f>
        <v>143.52030717908</v>
      </c>
      <c r="G47" s="114" t="n">
        <f aca="false">IF(ISNUMBER(G46),G46*INDEX(B4_EffRef,1,3)/1000000000,G46)</f>
        <v>143.52030717908</v>
      </c>
      <c r="H47" s="114" t="n">
        <f aca="false">IF(ISNUMBER(H46),H46*INDEX(B4_EffRef,1,3)/1000000000,H46)</f>
        <v>143.52030717908</v>
      </c>
      <c r="I47" s="114" t="n">
        <f aca="false">IF(ISNUMBER(I46),I46*INDEX(B4_EffRef,1,3)/1000000000,I46)</f>
        <v>189.275075427389</v>
      </c>
      <c r="J47" s="114" t="n">
        <f aca="false">IF(ISNUMBER(J46),J46*INDEX(B4_EffRef,1,3)/1000000000,J46)</f>
        <v>189.275075427389</v>
      </c>
      <c r="K47" s="114" t="n">
        <f aca="false">IF(ISNUMBER(K46),K46*INDEX(B4_EffRef,1,3)/1000000000,K46)</f>
        <v>189.275075427389</v>
      </c>
      <c r="L47" s="114" t="n">
        <f aca="false">IF(ISNUMBER(L46),L46*INDEX(B4_EffRef,1,3)/1000000000,L46)</f>
        <v>335.686266761199</v>
      </c>
      <c r="M47" s="114" t="n">
        <f aca="false">IF(ISNUMBER(M46),M46*INDEX(B4_EffRef,1,3)/1000000000,M46)</f>
        <v>335.686266761199</v>
      </c>
      <c r="N47" s="114" t="n">
        <f aca="false">IF(ISNUMBER(N46),N46*INDEX(B4_EffRef,1,3)/1000000000,N46)</f>
        <v>335.686266761199</v>
      </c>
      <c r="O47" s="114" t="n">
        <f aca="false">IF(ISNUMBER(O46),O46*INDEX(B4_EffRef,1,3)/1000000000,O46)</f>
        <v>475.005316946174</v>
      </c>
      <c r="P47" s="114" t="n">
        <f aca="false">IF(ISNUMBER(P46),P46*INDEX(B4_EffRef,1,3)/1000000000,P46)</f>
        <v>475.005316946174</v>
      </c>
      <c r="Q47" s="114" t="n">
        <f aca="false">IF(ISNUMBER(Q46),Q46*INDEX(B4_EffRef,1,3)/1000000000,Q46)</f>
        <v>475.005316946174</v>
      </c>
    </row>
    <row r="48" customFormat="false" ht="15" hidden="false" customHeight="false" outlineLevel="0" collapsed="false">
      <c r="A48" s="5" t="s">
        <v>2073</v>
      </c>
      <c r="B48" s="62" t="s">
        <v>2048</v>
      </c>
      <c r="C48" s="75" t="n">
        <f aca="false">IF(ISNUMBER(C46),C46*INDEX(B4_FrontRef,1,3)/1000000000,C46)</f>
        <v>31.6301940795674</v>
      </c>
      <c r="D48" s="75" t="n">
        <f aca="false">IF(ISNUMBER(D46),D46*INDEX(B4_FrontRef,1,3)/1000000000,D46)</f>
        <v>31.6301940795674</v>
      </c>
      <c r="E48" s="75" t="n">
        <f aca="false">IF(ISNUMBER(E46),E46*INDEX(B4_FrontRef,1,3)/1000000000,E46)</f>
        <v>31.6301940795674</v>
      </c>
      <c r="F48" s="75" t="n">
        <f aca="false">IF(ISNUMBER(F46),F46*INDEX(B4_FrontRef,1,3)/1000000000,F46)</f>
        <v>138.281180921437</v>
      </c>
      <c r="G48" s="75" t="n">
        <f aca="false">IF(ISNUMBER(G46),G46*INDEX(B4_FrontRef,1,3)/1000000000,G46)</f>
        <v>138.281180921437</v>
      </c>
      <c r="H48" s="75" t="n">
        <f aca="false">IF(ISNUMBER(H46),H46*INDEX(B4_FrontRef,1,3)/1000000000,H46)</f>
        <v>138.281180921437</v>
      </c>
      <c r="I48" s="75" t="n">
        <f aca="false">IF(ISNUMBER(I46),I46*INDEX(B4_FrontRef,1,3)/1000000000,I46)</f>
        <v>182.365697673955</v>
      </c>
      <c r="J48" s="75" t="n">
        <f aca="false">IF(ISNUMBER(J46),J46*INDEX(B4_FrontRef,1,3)/1000000000,J46)</f>
        <v>182.365697673955</v>
      </c>
      <c r="K48" s="75" t="n">
        <f aca="false">IF(ISNUMBER(K46),K46*INDEX(B4_FrontRef,1,3)/1000000000,K46)</f>
        <v>182.365697673955</v>
      </c>
      <c r="L48" s="75" t="n">
        <f aca="false">IF(ISNUMBER(L46),L46*INDEX(B4_FrontRef,1,3)/1000000000,L46)</f>
        <v>323.432232686951</v>
      </c>
      <c r="M48" s="75" t="n">
        <f aca="false">IF(ISNUMBER(M46),M46*INDEX(B4_FrontRef,1,3)/1000000000,M46)</f>
        <v>323.432232686951</v>
      </c>
      <c r="N48" s="75" t="n">
        <f aca="false">IF(ISNUMBER(N46),N46*INDEX(B4_FrontRef,1,3)/1000000000,N46)</f>
        <v>323.432232686951</v>
      </c>
      <c r="O48" s="75" t="n">
        <f aca="false">IF(ISNUMBER(O46),O46*INDEX(B4_FrontRef,1,3)/1000000000,O46)</f>
        <v>457.665521084201</v>
      </c>
      <c r="P48" s="75" t="n">
        <f aca="false">IF(ISNUMBER(P46),P46*INDEX(B4_FrontRef,1,3)/1000000000,P46)</f>
        <v>457.665521084201</v>
      </c>
      <c r="Q48" s="75" t="n">
        <f aca="false">IF(ISNUMBER(Q46),Q46*INDEX(B4_FrontRef,1,3)/1000000000,Q46)</f>
        <v>457.665521084201</v>
      </c>
    </row>
    <row r="49" customFormat="false" ht="15" hidden="false" customHeight="false" outlineLevel="0" collapsed="false">
      <c r="A49" s="5" t="s">
        <v>2050</v>
      </c>
      <c r="B49" s="62" t="s">
        <v>2048</v>
      </c>
      <c r="C49" s="75" t="n">
        <f aca="false">IF(ISNUMBER(INDEX(IF_TokGW_Astra,1,C$7)),INDEX(IF_TokGW_Astra,1,C$7)*INDEX(B4_EffRef,1,3)/1000000000,INDEX(IF_TokGW_Astra,1,C$7))</f>
        <v>54.7143043397032</v>
      </c>
      <c r="D49" s="75" t="n">
        <f aca="false">IF(ISNUMBER(INDEX(IF_TokGW_Astra,1,D$7)),INDEX(IF_TokGW_Astra,1,D$7)*INDEX(B4_EffRef,1,3)/1000000000,INDEX(IF_TokGW_Astra,1,D$7))</f>
        <v>54.7143043397032</v>
      </c>
      <c r="E49" s="75" t="n">
        <f aca="false">IF(ISNUMBER(INDEX(IF_TokGW_Astra,1,E$7)),INDEX(IF_TokGW_Astra,1,E$7)*INDEX(B4_EffRef,1,3)/1000000000,INDEX(IF_TokGW_Astra,1,E$7))</f>
        <v>54.7143043397032</v>
      </c>
      <c r="F49" s="75" t="n">
        <f aca="false">IF(ISNUMBER(INDEX(IF_TokGW_Astra,1,F$7)),INDEX(IF_TokGW_Astra,1,F$7)*INDEX(B4_EffRef,1,3)/1000000000,INDEX(IF_TokGW_Astra,1,F$7))</f>
        <v>239.200511965134</v>
      </c>
      <c r="G49" s="75" t="n">
        <f aca="false">IF(ISNUMBER(INDEX(IF_TokGW_Astra,1,G$7)),INDEX(IF_TokGW_Astra,1,G$7)*INDEX(B4_EffRef,1,3)/1000000000,INDEX(IF_TokGW_Astra,1,G$7))</f>
        <v>239.200511965134</v>
      </c>
      <c r="H49" s="75" t="n">
        <f aca="false">IF(ISNUMBER(INDEX(IF_TokGW_Astra,1,H$7)),INDEX(IF_TokGW_Astra,1,H$7)*INDEX(B4_EffRef,1,3)/1000000000,INDEX(IF_TokGW_Astra,1,H$7))</f>
        <v>239.200511965134</v>
      </c>
      <c r="I49" s="75" t="n">
        <f aca="false">IF(ISNUMBER(INDEX(IF_TokGW_Astra,1,I$7)),INDEX(IF_TokGW_Astra,1,I$7)*INDEX(B4_EffRef,1,3)/1000000000,INDEX(IF_TokGW_Astra,1,I$7))</f>
        <v>315.458459045648</v>
      </c>
      <c r="J49" s="75" t="n">
        <f aca="false">IF(ISNUMBER(INDEX(IF_TokGW_Astra,1,J$7)),INDEX(IF_TokGW_Astra,1,J$7)*INDEX(B4_EffRef,1,3)/1000000000,INDEX(IF_TokGW_Astra,1,J$7))</f>
        <v>315.458459045648</v>
      </c>
      <c r="K49" s="75" t="n">
        <f aca="false">IF(ISNUMBER(INDEX(IF_TokGW_Astra,1,K$7)),INDEX(IF_TokGW_Astra,1,K$7)*INDEX(B4_EffRef,1,3)/1000000000,INDEX(IF_TokGW_Astra,1,K$7))</f>
        <v>315.458459045648</v>
      </c>
      <c r="L49" s="75" t="n">
        <f aca="false">IF(ISNUMBER(INDEX(IF_TokGW_Astra,1,L$7)),INDEX(IF_TokGW_Astra,1,L$7)*INDEX(B4_EffRef,1,3)/1000000000,INDEX(IF_TokGW_Astra,1,L$7))</f>
        <v>559.477111268664</v>
      </c>
      <c r="M49" s="75" t="n">
        <f aca="false">IF(ISNUMBER(INDEX(IF_TokGW_Astra,1,M$7)),INDEX(IF_TokGW_Astra,1,M$7)*INDEX(B4_EffRef,1,3)/1000000000,INDEX(IF_TokGW_Astra,1,M$7))</f>
        <v>559.477111268664</v>
      </c>
      <c r="N49" s="75" t="n">
        <f aca="false">IF(ISNUMBER(INDEX(IF_TokGW_Astra,1,N$7)),INDEX(IF_TokGW_Astra,1,N$7)*INDEX(B4_EffRef,1,3)/1000000000,INDEX(IF_TokGW_Astra,1,N$7))</f>
        <v>559.477111268664</v>
      </c>
      <c r="O49" s="75" t="n">
        <f aca="false">IF(ISNUMBER(INDEX(IF_TokGW_Astra,1,O$7)),INDEX(IF_TokGW_Astra,1,O$7)*INDEX(B4_EffRef,1,3)/1000000000,INDEX(IF_TokGW_Astra,1,O$7))</f>
        <v>791.675528243624</v>
      </c>
      <c r="P49" s="75" t="n">
        <f aca="false">IF(ISNUMBER(INDEX(IF_TokGW_Astra,1,P$7)),INDEX(IF_TokGW_Astra,1,P$7)*INDEX(B4_EffRef,1,3)/1000000000,INDEX(IF_TokGW_Astra,1,P$7))</f>
        <v>791.675528243624</v>
      </c>
      <c r="Q49" s="75" t="n">
        <f aca="false">IF(ISNUMBER(INDEX(IF_TokGW_Astra,1,Q$7)),INDEX(IF_TokGW_Astra,1,Q$7)*INDEX(B4_EffRef,1,3)/1000000000,INDEX(IF_TokGW_Astra,1,Q$7))</f>
        <v>791.675528243624</v>
      </c>
    </row>
    <row r="50" customFormat="false" ht="15" hidden="false" customHeight="false" outlineLevel="0" collapsed="false">
      <c r="A50" s="5" t="s">
        <v>2051</v>
      </c>
      <c r="B50" s="62" t="s">
        <v>2048</v>
      </c>
      <c r="C50" s="75" t="n">
        <f aca="false">INDEX(IF_HoldEcon,1,C$7)</f>
        <v>6.79107465326444</v>
      </c>
      <c r="D50" s="75" t="n">
        <f aca="false">INDEX(IF_HoldEcon,1,D$7)</f>
        <v>9.70308728611469</v>
      </c>
      <c r="E50" s="75" t="n">
        <f aca="false">INDEX(IF_HoldEcon,1,E$7)</f>
        <v>16.6637697337026</v>
      </c>
      <c r="F50" s="75" t="n">
        <f aca="false">INDEX(IF_HoldEcon,1,F$7)</f>
        <v>6.6118162762144</v>
      </c>
      <c r="G50" s="75" t="n">
        <f aca="false">INDEX(IF_HoldEcon,1,G$7)</f>
        <v>8.82816556596761</v>
      </c>
      <c r="H50" s="75" t="n">
        <f aca="false">INDEX(IF_HoldEcon,1,H$7)</f>
        <v>14.3185748619737</v>
      </c>
      <c r="I50" s="75" t="n">
        <f aca="false">INDEX(IF_HoldEcon,1,I$7)</f>
        <v>8.42889912085495</v>
      </c>
      <c r="J50" s="75" t="n">
        <f aca="false">INDEX(IF_HoldEcon,1,J$7)</f>
        <v>10.8864110021101</v>
      </c>
      <c r="K50" s="75" t="n">
        <f aca="false">INDEX(IF_HoldEcon,1,K$7)</f>
        <v>18.5346455040469</v>
      </c>
      <c r="L50" s="75" t="n">
        <f aca="false">INDEX(IF_HoldEcon,1,L$7)</f>
        <v>9.51207691858967</v>
      </c>
      <c r="M50" s="75" t="n">
        <f aca="false">INDEX(IF_HoldEcon,1,M$7)</f>
        <v>12.2254710045841</v>
      </c>
      <c r="N50" s="75" t="n">
        <f aca="false">INDEX(IF_HoldEcon,1,N$7)</f>
        <v>19.7506269894487</v>
      </c>
      <c r="O50" s="75" t="n">
        <f aca="false">INDEX(IF_HoldEcon,1,O$7)</f>
        <v>10.1025446864987</v>
      </c>
      <c r="P50" s="75" t="n">
        <f aca="false">INDEX(IF_HoldEcon,1,P$7)</f>
        <v>15.3544827030524</v>
      </c>
      <c r="Q50" s="75" t="n">
        <f aca="false">INDEX(IF_HoldEcon,1,Q$7)</f>
        <v>28.0302450108258</v>
      </c>
    </row>
    <row r="51" customFormat="false" ht="15" hidden="false" customHeight="false" outlineLevel="0" collapsed="false">
      <c r="A51" s="5" t="s">
        <v>2052</v>
      </c>
      <c r="B51" s="62" t="s">
        <v>118</v>
      </c>
      <c r="C51" s="88" t="n">
        <f aca="false">IF(ISNUMBER(C47),C47/C50,C47)</f>
        <v>4.83407770934183</v>
      </c>
      <c r="D51" s="88" t="n">
        <f aca="false">IF(ISNUMBER(D47),D47/D50,D47)</f>
        <v>3.38331312867816</v>
      </c>
      <c r="E51" s="88" t="n">
        <f aca="false">IF(ISNUMBER(E47),E47/E50,E47)</f>
        <v>1.97005738367986</v>
      </c>
      <c r="F51" s="88" t="n">
        <f aca="false">IF(ISNUMBER(F47),F47/F50,F47)</f>
        <v>21.7066387182272</v>
      </c>
      <c r="G51" s="88" t="n">
        <f aca="false">IF(ISNUMBER(G47),G47/G50,G47)</f>
        <v>16.2570928361774</v>
      </c>
      <c r="H51" s="88" t="n">
        <f aca="false">IF(ISNUMBER(H47),H47/H50,H47)</f>
        <v>10.023365353226</v>
      </c>
      <c r="I51" s="88" t="n">
        <f aca="false">IF(ISNUMBER(I47),I47/I50,I47)</f>
        <v>22.4554918398632</v>
      </c>
      <c r="J51" s="88" t="n">
        <f aca="false">IF(ISNUMBER(J47),J47/J50,J47)</f>
        <v>17.3863613444966</v>
      </c>
      <c r="K51" s="88" t="n">
        <f aca="false">IF(ISNUMBER(K47),K47/K50,K47)</f>
        <v>10.2119609132024</v>
      </c>
      <c r="L51" s="88" t="n">
        <f aca="false">IF(ISNUMBER(L47),L47/L50,L47)</f>
        <v>35.2905332488596</v>
      </c>
      <c r="M51" s="88" t="n">
        <f aca="false">IF(ISNUMBER(M47),M47/M50,M47)</f>
        <v>27.457941426987</v>
      </c>
      <c r="N51" s="88" t="n">
        <f aca="false">IF(ISNUMBER(N47),N47/N50,N47)</f>
        <v>16.9962334330212</v>
      </c>
      <c r="O51" s="88" t="n">
        <f aca="false">IF(ISNUMBER(O47),O47/O50,O47)</f>
        <v>47.0183831585507</v>
      </c>
      <c r="P51" s="88" t="n">
        <f aca="false">IF(ISNUMBER(P47),P47/P50,P47)</f>
        <v>30.9359374804432</v>
      </c>
      <c r="Q51" s="88" t="n">
        <f aca="false">IF(ISNUMBER(Q47),Q47/Q50,Q47)</f>
        <v>16.9461707082017</v>
      </c>
    </row>
    <row r="52" customFormat="false" ht="15" hidden="false" customHeight="false" outlineLevel="0" collapsed="false">
      <c r="A52" s="5" t="s">
        <v>2053</v>
      </c>
      <c r="B52" s="62" t="s">
        <v>118</v>
      </c>
      <c r="C52" s="86" t="n">
        <f aca="false">IF(ISNUMBER(C48),C48/C50,C48)</f>
        <v>4.65761248322648</v>
      </c>
      <c r="D52" s="86" t="n">
        <f aca="false">IF(ISNUMBER(D48),D48/D50,D48)</f>
        <v>3.25980722906933</v>
      </c>
      <c r="E52" s="86" t="n">
        <f aca="false">IF(ISNUMBER(E48),E48/E50,E48)</f>
        <v>1.89814157210748</v>
      </c>
      <c r="F52" s="86" t="n">
        <f aca="false">IF(ISNUMBER(F48),F48/F50,F48)</f>
        <v>20.9142503579379</v>
      </c>
      <c r="G52" s="86" t="n">
        <f aca="false">IF(ISNUMBER(G48),G48/G50,G48)</f>
        <v>15.6636370136179</v>
      </c>
      <c r="H52" s="86" t="n">
        <f aca="false">IF(ISNUMBER(H48),H48/H50,H48)</f>
        <v>9.65746816665913</v>
      </c>
      <c r="I52" s="86" t="n">
        <f aca="false">IF(ISNUMBER(I48),I48/I50,I48)</f>
        <v>21.6357670271249</v>
      </c>
      <c r="J52" s="86" t="n">
        <f aca="false">IF(ISNUMBER(J48),J48/J50,J48)</f>
        <v>16.7516822246201</v>
      </c>
      <c r="K52" s="86" t="n">
        <f aca="false">IF(ISNUMBER(K48),K48/K50,K48)</f>
        <v>9.83917915420274</v>
      </c>
      <c r="L52" s="86" t="n">
        <f aca="false">IF(ISNUMBER(L48),L48/L50,L48)</f>
        <v>34.0022726324742</v>
      </c>
      <c r="M52" s="86" t="n">
        <f aca="false">IF(ISNUMBER(M48),M48/M50,M48)</f>
        <v>26.455605069586</v>
      </c>
      <c r="N52" s="86" t="n">
        <f aca="false">IF(ISNUMBER(N48),N48/N50,N48)</f>
        <v>16.3757957081432</v>
      </c>
      <c r="O52" s="86" t="n">
        <f aca="false">IF(ISNUMBER(O48),O48/O50,O48)</f>
        <v>45.3020041273205</v>
      </c>
      <c r="P52" s="86" t="n">
        <f aca="false">IF(ISNUMBER(P48),P48/P50,P48)</f>
        <v>29.8066388777279</v>
      </c>
      <c r="Q52" s="86" t="n">
        <f aca="false">IF(ISNUMBER(Q48),Q48/Q50,Q48)</f>
        <v>16.3275604942961</v>
      </c>
    </row>
    <row r="53" customFormat="false" ht="15" hidden="false" customHeight="false" outlineLevel="0" collapsed="false">
      <c r="A53" s="5" t="s">
        <v>2054</v>
      </c>
      <c r="B53" s="62" t="s">
        <v>976</v>
      </c>
      <c r="C53" s="160" t="n">
        <f aca="false">Amortize!C33</f>
        <v>1.66263672159069</v>
      </c>
      <c r="D53" s="160" t="n">
        <f aca="false">Amortize!D33</f>
        <v>2.37547958012256</v>
      </c>
      <c r="E53" s="160" t="n">
        <f aca="false">Amortize!E33</f>
        <v>4.07941201410193</v>
      </c>
      <c r="F53" s="160" t="n">
        <f aca="false">Amortize!F33</f>
        <v>0.370608190541235</v>
      </c>
      <c r="G53" s="160" t="n">
        <f aca="false">Amortize!G33</f>
        <v>0.494765062808293</v>
      </c>
      <c r="H53" s="160" t="n">
        <f aca="false">Amortize!H33</f>
        <v>0.802330322855367</v>
      </c>
      <c r="I53" s="160" t="n">
        <f aca="false">Amortize!I33</f>
        <v>0.358324482905226</v>
      </c>
      <c r="J53" s="160" t="n">
        <f aca="false">Amortize!J33</f>
        <v>0.462731719727564</v>
      </c>
      <c r="K53" s="160" t="n">
        <f aca="false">Amortize!K33</f>
        <v>0.78766647874434</v>
      </c>
      <c r="L53" s="160" t="n">
        <f aca="false">Amortize!L33</f>
        <v>0.228405666106599</v>
      </c>
      <c r="M53" s="160" t="n">
        <f aca="false">Amortize!M33</f>
        <v>0.293496482669542</v>
      </c>
      <c r="N53" s="160" t="n">
        <f aca="false">Amortize!N33</f>
        <v>0.474015247100636</v>
      </c>
      <c r="O53" s="160" t="n">
        <f aca="false">Amortize!O33</f>
        <v>0.171897638404717</v>
      </c>
      <c r="P53" s="160" t="n">
        <f aca="false">Amortize!P33</f>
        <v>0.261144787863002</v>
      </c>
      <c r="Q53" s="160" t="n">
        <f aca="false">Amortize!Q33</f>
        <v>0.476546350031833</v>
      </c>
    </row>
    <row r="54" customFormat="false" ht="15" hidden="false" customHeight="false" outlineLevel="0" collapsed="false">
      <c r="A54" s="5" t="s">
        <v>2074</v>
      </c>
      <c r="B54" s="62" t="s">
        <v>976</v>
      </c>
      <c r="C54" s="161" t="n">
        <f aca="false">IF(AND(ISNUMBER(C53),ISNUMBER(Amortize!C32)),C53+Amortize!C32,"SLO 不可達")</f>
        <v>4.44041141753621</v>
      </c>
      <c r="D54" s="161" t="n">
        <f aca="false">IF(AND(ISNUMBER(D53),ISNUMBER(Amortize!D32)),D53+Amortize!D32,"SLO 不可達")</f>
        <v>6.34436399268955</v>
      </c>
      <c r="E54" s="161" t="n">
        <f aca="false">IF(AND(ISNUMBER(E53),ISNUMBER(Amortize!E32)),E53+Amortize!E32,"SLO 不可達")</f>
        <v>10.8954463339561</v>
      </c>
      <c r="F54" s="161" t="n">
        <f aca="false">IF(AND(ISNUMBER(F53),ISNUMBER(Amortize!F32)),F53+Amortize!F32,"SLO 不可達")</f>
        <v>0.648729771362694</v>
      </c>
      <c r="G54" s="161" t="n">
        <f aca="false">IF(AND(ISNUMBER(G53),ISNUMBER(Amortize!G32)),G53+Amortize!G32,"SLO 不可達")</f>
        <v>0.866115877832189</v>
      </c>
      <c r="H54" s="161" t="n">
        <f aca="false">IF(AND(ISNUMBER(H53),ISNUMBER(Amortize!H32)),H53+Amortize!H32,"SLO 不可達")</f>
        <v>1.40463149236134</v>
      </c>
      <c r="I54" s="161" t="n">
        <f aca="false">IF(AND(ISNUMBER(I53),ISNUMBER(Amortize!I32)),I53+Amortize!I32,"SLO 不可達")</f>
        <v>0.598522481651746</v>
      </c>
      <c r="J54" s="161" t="n">
        <f aca="false">IF(AND(ISNUMBER(J53),ISNUMBER(Amortize!J32)),J53+Amortize!J32,"SLO 不可達")</f>
        <v>0.772961335570172</v>
      </c>
      <c r="K54" s="161" t="n">
        <f aca="false">IF(AND(ISNUMBER(K53),ISNUMBER(Amortize!K32)),K53+Amortize!K32,"SLO 不可達")</f>
        <v>1.31584752513189</v>
      </c>
      <c r="L54" s="161" t="n">
        <f aca="false">IF(AND(ISNUMBER(L53),ISNUMBER(Amortize!L32)),L53+Amortize!L32,"SLO 不可達")</f>
        <v>0.328979014060463</v>
      </c>
      <c r="M54" s="161" t="n">
        <f aca="false">IF(AND(ISNUMBER(M53),ISNUMBER(Amortize!M32)),M53+Amortize!M32,"SLO 不可達")</f>
        <v>0.422759162078806</v>
      </c>
      <c r="N54" s="161" t="n">
        <f aca="false">IF(AND(ISNUMBER(N53),ISNUMBER(Amortize!N32)),N53+Amortize!N32,"SLO 不可達")</f>
        <v>0.682843108514873</v>
      </c>
      <c r="O54" s="161" t="n">
        <f aca="false">IF(AND(ISNUMBER(O53),ISNUMBER(Amortize!O32)),O53+Amortize!O32,"SLO 不可達")</f>
        <v>0.224274240897612</v>
      </c>
      <c r="P54" s="161" t="n">
        <f aca="false">IF(AND(ISNUMBER(P53),ISNUMBER(Amortize!P32)),P53+Amortize!P32,"SLO 不可達")</f>
        <v>0.340750041982449</v>
      </c>
      <c r="Q54" s="161" t="n">
        <f aca="false">IF(AND(ISNUMBER(Q53),ISNUMBER(Amortize!Q32)),Q53+Amortize!Q32,"SLO 不可達")</f>
        <v>0.621869043102671</v>
      </c>
    </row>
    <row r="55" customFormat="false" ht="15" hidden="false" customHeight="false" outlineLevel="0" collapsed="false">
      <c r="A55" s="5" t="s">
        <v>2056</v>
      </c>
      <c r="B55" s="62" t="s">
        <v>976</v>
      </c>
      <c r="C55" s="160" t="n">
        <f aca="false">IF(AND(ISNUMBER(C53),ISNUMBER(Amortize!C34)),C53+Amortize!C34,"SLO 不可達")</f>
        <v>4.05521151607486</v>
      </c>
      <c r="D55" s="160" t="n">
        <f aca="false">IF(AND(ISNUMBER(D53),ISNUMBER(Amortize!D34)),D53+Amortize!D34,"SLO 不可達")</f>
        <v>5.79385263444528</v>
      </c>
      <c r="E55" s="160" t="n">
        <f aca="false">IF(AND(ISNUMBER(E53),ISNUMBER(Amortize!E34)),E53+Amortize!E34,"SLO 不可達")</f>
        <v>9.94978540024862</v>
      </c>
      <c r="F55" s="160" t="n">
        <f aca="false">IF(AND(ISNUMBER(F53),ISNUMBER(Amortize!F34)),F53+Amortize!F34,"SLO 不可達")</f>
        <v>0.903922415954232</v>
      </c>
      <c r="G55" s="160" t="n">
        <f aca="false">IF(AND(ISNUMBER(G53),ISNUMBER(Amortize!G34)),G53+Amortize!G34,"SLO 不可達")</f>
        <v>1.20674405562998</v>
      </c>
      <c r="H55" s="160" t="n">
        <f aca="false">IF(AND(ISNUMBER(H53),ISNUMBER(Amortize!H34)),H53+Amortize!H34,"SLO 不可達")</f>
        <v>1.9569032264765</v>
      </c>
      <c r="I55" s="160" t="n">
        <f aca="false">IF(AND(ISNUMBER(I53),ISNUMBER(Amortize!I34)),I53+Amortize!I34,"SLO 不可達")</f>
        <v>0.873962153427382</v>
      </c>
      <c r="J55" s="160" t="n">
        <f aca="false">IF(AND(ISNUMBER(J53),ISNUMBER(Amortize!J34)),J53+Amortize!J34,"SLO 不可達")</f>
        <v>1.12861395055503</v>
      </c>
      <c r="K55" s="160" t="n">
        <f aca="false">IF(AND(ISNUMBER(K53),ISNUMBER(Amortize!K34)),K53+Amortize!K34,"SLO 不可達")</f>
        <v>1.92113775303497</v>
      </c>
      <c r="L55" s="160" t="n">
        <f aca="false">IF(AND(ISNUMBER(L53),ISNUMBER(Amortize!L34)),L53+Amortize!L34,"SLO 不可達")</f>
        <v>0.557086990503899</v>
      </c>
      <c r="M55" s="160" t="n">
        <f aca="false">IF(AND(ISNUMBER(M53),ISNUMBER(Amortize!M34)),M53+Amortize!M34,"SLO 不可達")</f>
        <v>0.715845079681809</v>
      </c>
      <c r="N55" s="160" t="n">
        <f aca="false">IF(AND(ISNUMBER(N53),ISNUMBER(Amortize!N34)),N53+Amortize!N34,"SLO 不可達")</f>
        <v>1.15613474902594</v>
      </c>
      <c r="O55" s="160" t="n">
        <f aca="false">IF(AND(ISNUMBER(O53),ISNUMBER(Amortize!O34)),O53+Amortize!O34,"SLO 不可達")</f>
        <v>0.419262532694432</v>
      </c>
      <c r="P55" s="160" t="n">
        <f aca="false">IF(AND(ISNUMBER(P53),ISNUMBER(Amortize!P34)),P53+Amortize!P34,"SLO 不可達")</f>
        <v>0.636938506982931</v>
      </c>
      <c r="Q55" s="160" t="n">
        <f aca="false">IF(AND(ISNUMBER(Q53),ISNUMBER(Amortize!Q34)),Q53+Amortize!Q34,"SLO 不可達")</f>
        <v>1.16230817080935</v>
      </c>
    </row>
    <row r="56" customFormat="false" ht="26.85" hidden="false" customHeight="false" outlineLevel="0" collapsed="false">
      <c r="A56" s="5" t="s">
        <v>2075</v>
      </c>
      <c r="B56" s="62" t="s">
        <v>976</v>
      </c>
      <c r="C56" s="161" t="n">
        <f aca="false">IF(AND(ISNUMBER(C53),ISNUMBER(Amortize!C47)),C53+Amortize!C47,"SLO 不可達")</f>
        <v>8.37597131767689</v>
      </c>
      <c r="D56" s="161" t="n">
        <f aca="false">IF(AND(ISNUMBER(D53),ISNUMBER(Amortize!D47)),D53+Amortize!D47,"SLO 不可達")</f>
        <v>11.9672141592289</v>
      </c>
      <c r="E56" s="161" t="n">
        <f aca="false">IF(AND(ISNUMBER(E53),ISNUMBER(Amortize!E47)),E53+Amortize!E47,"SLO 不可達")</f>
        <v>20.5514835851995</v>
      </c>
      <c r="F56" s="161" t="n">
        <f aca="false">IF(AND(ISNUMBER(F53),ISNUMBER(Amortize!F47)),F53+Amortize!F47,"SLO 不可達")</f>
        <v>1.87939207719259</v>
      </c>
      <c r="G56" s="161" t="n">
        <f aca="false">IF(AND(ISNUMBER(G53),ISNUMBER(Amortize!G47)),G53+Amortize!G47,"SLO 不可達")</f>
        <v>2.50908955445759</v>
      </c>
      <c r="H56" s="161" t="n">
        <f aca="false">IF(AND(ISNUMBER(H53),ISNUMBER(Amortize!H47)),H53+Amortize!H47,"SLO 不可達")</f>
        <v>4.0689957022978</v>
      </c>
      <c r="I56" s="161" t="n">
        <f aca="false">IF(AND(ISNUMBER(I53),ISNUMBER(Amortize!I47)),I53+Amortize!I47,"SLO 不可達")</f>
        <v>1.76284570954953</v>
      </c>
      <c r="J56" s="161" t="n">
        <f aca="false">IF(AND(ISNUMBER(J53),ISNUMBER(Amortize!J47)),J53+Amortize!J47,"SLO 不可達")</f>
        <v>2.27655571119161</v>
      </c>
      <c r="K56" s="161" t="n">
        <f aca="false">IF(AND(ISNUMBER(K53),ISNUMBER(Amortize!K47)),K53+Amortize!K47,"SLO 不可達")</f>
        <v>3.87531687630239</v>
      </c>
      <c r="L56" s="161" t="n">
        <f aca="false">IF(AND(ISNUMBER(L53),ISNUMBER(Amortize!L47)),L53+Amortize!L47,"SLO 不可達")</f>
        <v>1.18776185214537</v>
      </c>
      <c r="M56" s="161" t="n">
        <f aca="false">IF(AND(ISNUMBER(M53),ISNUMBER(Amortize!M47)),M53+Amortize!M47,"SLO 不可達")</f>
        <v>1.52633508268063</v>
      </c>
      <c r="N56" s="161" t="n">
        <f aca="false">IF(AND(ISNUMBER(N53),ISNUMBER(Amortize!N47)),N53+Amortize!N47,"SLO 不可達")</f>
        <v>2.46531272150879</v>
      </c>
      <c r="O56" s="161" t="n">
        <f aca="false">IF(AND(ISNUMBER(O53),ISNUMBER(Amortize!O47)),O53+Amortize!O47,"SLO 不可達")</f>
        <v>0.909184613506693</v>
      </c>
      <c r="P56" s="161" t="n">
        <f aca="false">IF(AND(ISNUMBER(P53),ISNUMBER(Amortize!P47)),P53+Amortize!P47,"SLO 不可達")</f>
        <v>1.38139206389233</v>
      </c>
      <c r="Q56" s="161" t="n">
        <f aca="false">IF(AND(ISNUMBER(Q53),ISNUMBER(Amortize!Q47)),Q53+Amortize!Q47,"SLO 不可達")</f>
        <v>2.52108361816848</v>
      </c>
    </row>
    <row r="57" customFormat="false" ht="29.85" hidden="false" customHeight="false" outlineLevel="0" collapsed="false">
      <c r="A57" s="5" t="s">
        <v>2058</v>
      </c>
      <c r="B57" s="62" t="s">
        <v>113</v>
      </c>
      <c r="C57" s="85" t="n">
        <f aca="false">IF(ISNUMBER(C53),1-C53/INDEX(B4_EffRef,1,3),"SLO 不可達")</f>
        <v>0.793090009757795</v>
      </c>
      <c r="D57" s="85" t="n">
        <f aca="false">IF(ISNUMBER(D53),1-D53/INDEX(B4_EffRef,1,3),"SLO 不可達")</f>
        <v>0.704378923933862</v>
      </c>
      <c r="E57" s="85" t="n">
        <f aca="false">IF(ISNUMBER(E53),1-E53/INDEX(B4_EffRef,1,3),"SLO 不可達")</f>
        <v>0.492329810191961</v>
      </c>
      <c r="F57" s="85" t="n">
        <f aca="false">IF(ISNUMBER(F53),1-F53/INDEX(B4_EffRef,1,3),"SLO 不可達")</f>
        <v>0.953878958588618</v>
      </c>
      <c r="G57" s="85" t="n">
        <f aca="false">IF(ISNUMBER(G53),1-G53/INDEX(B4_EffRef,1,3),"SLO 不可達")</f>
        <v>0.938428020391667</v>
      </c>
      <c r="H57" s="85" t="n">
        <f aca="false">IF(ISNUMBER(H53),1-H53/INDEX(B4_EffRef,1,3),"SLO 不可達")</f>
        <v>0.90015247641457</v>
      </c>
      <c r="I57" s="85" t="n">
        <f aca="false">IF(ISNUMBER(I53),1-I53/INDEX(B4_EffRef,1,3),"SLO 不可達")</f>
        <v>0.955407627957038</v>
      </c>
      <c r="J57" s="85" t="n">
        <f aca="false">IF(ISNUMBER(J53),1-J53/INDEX(B4_EffRef,1,3),"SLO 不可達")</f>
        <v>0.942414470719745</v>
      </c>
      <c r="K57" s="85" t="n">
        <f aca="false">IF(ISNUMBER(K53),1-K53/INDEX(B4_EffRef,1,3),"SLO 不可達")</f>
        <v>0.901977346395201</v>
      </c>
      <c r="L57" s="85" t="n">
        <f aca="false">IF(ISNUMBER(L53),1-L53/INDEX(B4_EffRef,1,3),"SLO 不可達")</f>
        <v>0.971575622304212</v>
      </c>
      <c r="M57" s="85" t="n">
        <f aca="false">IF(ISNUMBER(M53),1-M53/INDEX(B4_EffRef,1,3),"SLO 不可達")</f>
        <v>0.963475271791678</v>
      </c>
      <c r="N57" s="85" t="n">
        <f aca="false">IF(ISNUMBER(N53),1-N53/INDEX(B4_EffRef,1,3),"SLO 不可達")</f>
        <v>0.941010270687144</v>
      </c>
      <c r="O57" s="85" t="n">
        <f aca="false">IF(ISNUMBER(O53),1-O53/INDEX(B4_EffRef,1,3),"SLO 不可達")</f>
        <v>0.978607871326847</v>
      </c>
      <c r="P57" s="85" t="n">
        <f aca="false">IF(ISNUMBER(P53),1-P53/INDEX(B4_EffRef,1,3),"SLO 不可達")</f>
        <v>0.967501340005987</v>
      </c>
      <c r="Q57" s="85" t="n">
        <f aca="false">IF(ISNUMBER(Q53),1-Q53/INDEX(B4_EffRef,1,3),"SLO 不可達")</f>
        <v>0.940695282767056</v>
      </c>
      <c r="R57" s="74" t="s">
        <v>2076</v>
      </c>
    </row>
    <row r="58" customFormat="false" ht="15" hidden="false" customHeight="false" outlineLevel="0" collapsed="false">
      <c r="A58" s="5" t="s">
        <v>2060</v>
      </c>
      <c r="B58" s="62" t="s">
        <v>113</v>
      </c>
      <c r="C58" s="85" t="n">
        <f aca="false">IF(ISNUMBER(C54),1-C54/INDEX(B4_EffRef,1,3),"SLO 不可達")</f>
        <v>0.44740455257431</v>
      </c>
      <c r="D58" s="85" t="n">
        <f aca="false">IF(ISNUMBER(D54),1-D54/INDEX(B4_EffRef,1,3),"SLO 不可達")</f>
        <v>0.210463551794718</v>
      </c>
      <c r="E58" s="85" t="n">
        <f aca="false">IF(ISNUMBER(E54),1-E54/INDEX(B4_EffRef,1,3),"SLO 不可達")</f>
        <v>-0.355904549303161</v>
      </c>
      <c r="F58" s="85" t="n">
        <f aca="false">IF(ISNUMBER(F54),1-F54/INDEX(B4_EffRef,1,3),"SLO 不可達")</f>
        <v>0.919267589293913</v>
      </c>
      <c r="G58" s="85" t="n">
        <f aca="false">IF(ISNUMBER(G54),1-G54/INDEX(B4_EffRef,1,3),"SLO 不可達")</f>
        <v>0.892214561663583</v>
      </c>
      <c r="H58" s="85" t="n">
        <f aca="false">IF(ISNUMBER(H54),1-H54/INDEX(B4_EffRef,1,3),"SLO 不可達")</f>
        <v>0.825197961404148</v>
      </c>
      <c r="I58" s="85" t="n">
        <f aca="false">IF(ISNUMBER(I54),1-I54/INDEX(B4_EffRef,1,3),"SLO 不可達")</f>
        <v>0.925515730989136</v>
      </c>
      <c r="J58" s="85" t="n">
        <f aca="false">IF(ISNUMBER(J54),1-J54/INDEX(B4_EffRef,1,3),"SLO 不可達")</f>
        <v>0.903807355916323</v>
      </c>
      <c r="K58" s="85" t="n">
        <f aca="false">IF(ISNUMBER(K54),1-K54/INDEX(B4_EffRef,1,3),"SLO 不可達")</f>
        <v>0.836246851131264</v>
      </c>
      <c r="L58" s="85" t="n">
        <f aca="false">IF(ISNUMBER(L54),1-L54/INDEX(B4_EffRef,1,3),"SLO 不可達")</f>
        <v>0.959059580661723</v>
      </c>
      <c r="M58" s="85" t="n">
        <f aca="false">IF(ISNUMBER(M54),1-M54/INDEX(B4_EffRef,1,3),"SLO 不可達")</f>
        <v>0.947388931710326</v>
      </c>
      <c r="N58" s="85" t="n">
        <f aca="false">IF(ISNUMBER(N54),1-N54/INDEX(B4_EffRef,1,3),"SLO 不可達")</f>
        <v>0.915022290146103</v>
      </c>
      <c r="O58" s="85" t="n">
        <f aca="false">IF(ISNUMBER(O54),1-O54/INDEX(B4_EffRef,1,3),"SLO 不可達")</f>
        <v>0.972089765375021</v>
      </c>
      <c r="P58" s="85" t="n">
        <f aca="false">IF(ISNUMBER(P54),1-P54/INDEX(B4_EffRef,1,3),"SLO 不可達")</f>
        <v>0.957594712695768</v>
      </c>
      <c r="Q58" s="85" t="n">
        <f aca="false">IF(ISNUMBER(Q54),1-Q54/INDEX(B4_EffRef,1,3),"SLO 不可達")</f>
        <v>0.922610323728927</v>
      </c>
    </row>
    <row r="59" customFormat="false" ht="15" hidden="false" customHeight="false" outlineLevel="0" collapsed="false">
      <c r="A59" s="5" t="s">
        <v>2061</v>
      </c>
      <c r="B59" s="62" t="s">
        <v>113</v>
      </c>
      <c r="C59" s="85" t="n">
        <f aca="false">IF(ISNUMBER(C55),1-C55/INDEX(B4_EffRef,1,3),"SLO 不可達")</f>
        <v>0.495341487214135</v>
      </c>
      <c r="D59" s="85" t="n">
        <f aca="false">IF(ISNUMBER(D55),1-D55/INDEX(B4_EffRef,1,3),"SLO 不可達")</f>
        <v>0.278972985204542</v>
      </c>
      <c r="E59" s="85" t="n">
        <f aca="false">IF(ISNUMBER(E55),1-E55/INDEX(B4_EffRef,1,3),"SLO 不可達")</f>
        <v>-0.23821997514156</v>
      </c>
      <c r="F59" s="85" t="n">
        <f aca="false">IF(ISNUMBER(F55),1-F55/INDEX(B4_EffRef,1,3),"SLO 不可達")</f>
        <v>0.887509655094191</v>
      </c>
      <c r="G59" s="85" t="n">
        <f aca="false">IF(ISNUMBER(G55),1-G55/INDEX(B4_EffRef,1,3),"SLO 不可達")</f>
        <v>0.849824439979676</v>
      </c>
      <c r="H59" s="85" t="n">
        <f aca="false">IF(ISNUMBER(H55),1-H55/INDEX(B4_EffRef,1,3),"SLO 不可達")</f>
        <v>0.756469454669683</v>
      </c>
      <c r="I59" s="85" t="n">
        <f aca="false">IF(ISNUMBER(I55),1-I55/INDEX(B4_EffRef,1,3),"SLO 不可達")</f>
        <v>0.891238116968385</v>
      </c>
      <c r="J59" s="85" t="n">
        <f aca="false">IF(ISNUMBER(J55),1-J55/INDEX(B4_EffRef,1,3),"SLO 不可達")</f>
        <v>0.859547489560352</v>
      </c>
      <c r="K59" s="85" t="n">
        <f aca="false">IF(ISNUMBER(K55),1-K55/INDEX(B4_EffRef,1,3),"SLO 不可達")</f>
        <v>0.760920357061466</v>
      </c>
      <c r="L59" s="85" t="n">
        <f aca="false">IF(ISNUMBER(L55),1-L55/INDEX(B4_EffRef,1,3),"SLO 不可達")</f>
        <v>0.930672249522468</v>
      </c>
      <c r="M59" s="85" t="n">
        <f aca="false">IF(ISNUMBER(M55),1-M55/INDEX(B4_EffRef,1,3),"SLO 不可達")</f>
        <v>0.910915297052872</v>
      </c>
      <c r="N59" s="85" t="n">
        <f aca="false">IF(ISNUMBER(N55),1-N55/INDEX(B4_EffRef,1,3),"SLO 不可達")</f>
        <v>0.856122611432059</v>
      </c>
      <c r="O59" s="85" t="n">
        <f aca="false">IF(ISNUMBER(O55),1-O55/INDEX(B4_EffRef,1,3),"SLO 不可達")</f>
        <v>0.947824076406943</v>
      </c>
      <c r="P59" s="85" t="n">
        <f aca="false">IF(ISNUMBER(P55),1-P55/INDEX(B4_EffRef,1,3),"SLO 不可達")</f>
        <v>0.920734975624359</v>
      </c>
      <c r="Q59" s="85" t="n">
        <f aca="false">IF(ISNUMBER(Q55),1-Q55/INDEX(B4_EffRef,1,3),"SLO 不可達")</f>
        <v>0.855354348212332</v>
      </c>
    </row>
    <row r="60" customFormat="false" ht="15" hidden="false" customHeight="false" outlineLevel="0" collapsed="false">
      <c r="A60" s="5" t="s">
        <v>2062</v>
      </c>
      <c r="B60" s="62" t="s">
        <v>113</v>
      </c>
      <c r="C60" s="117" t="n">
        <f aca="false">IF(ISNUMBER(C56),1-C56/INDEX(B4_EffRef,1,3),"SLO 不可達")</f>
        <v>-0.0423636872108961</v>
      </c>
      <c r="D60" s="117" t="n">
        <f aca="false">IF(ISNUMBER(D56),1-D56/INDEX(B4_EffRef,1,3),"SLO 不可達")</f>
        <v>-0.489282735523503</v>
      </c>
      <c r="E60" s="117" t="n">
        <f aca="false">IF(ISNUMBER(E56),1-E56/INDEX(B4_EffRef,1,3),"SLO 不可達")</f>
        <v>-1.55756847714042</v>
      </c>
      <c r="F60" s="117" t="n">
        <f aca="false">IF(ISNUMBER(F56),1-F56/INDEX(B4_EffRef,1,3),"SLO 不可達")</f>
        <v>0.766115477119285</v>
      </c>
      <c r="G60" s="117" t="n">
        <f aca="false">IF(ISNUMBER(G56),1-G56/INDEX(B4_EffRef,1,3),"SLO 不可達")</f>
        <v>0.687751576464072</v>
      </c>
      <c r="H60" s="117" t="n">
        <f aca="false">IF(ISNUMBER(H56),1-H56/INDEX(B4_EffRef,1,3),"SLO 不可達")</f>
        <v>0.493626087933072</v>
      </c>
      <c r="I60" s="117" t="n">
        <f aca="false">IF(ISNUMBER(I56),1-I56/INDEX(B4_EffRef,1,3),"SLO 不可達")</f>
        <v>0.780619311588139</v>
      </c>
      <c r="J60" s="117" t="n">
        <f aca="false">IF(ISNUMBER(J56),1-J56/INDEX(B4_EffRef,1,3),"SLO 不可達")</f>
        <v>0.716689693020955</v>
      </c>
      <c r="K60" s="117" t="n">
        <f aca="false">IF(ISNUMBER(K56),1-K56/INDEX(B4_EffRef,1,3),"SLO 不可達")</f>
        <v>0.517728817938032</v>
      </c>
      <c r="L60" s="117" t="n">
        <f aca="false">IF(ISNUMBER(L56),1-L56/INDEX(B4_EffRef,1,3),"SLO 不可達")</f>
        <v>0.8521867164089</v>
      </c>
      <c r="M60" s="117" t="n">
        <f aca="false">IF(ISNUMBER(M56),1-M56/INDEX(B4_EffRef,1,3),"SLO 不可達")</f>
        <v>0.810052326546935</v>
      </c>
      <c r="N60" s="117" t="n">
        <f aca="false">IF(ISNUMBER(N56),1-N56/INDEX(B4_EffRef,1,3),"SLO 不可達")</f>
        <v>0.69319946773259</v>
      </c>
      <c r="O60" s="117" t="n">
        <f aca="false">IF(ISNUMBER(O56),1-O56/INDEX(B4_EffRef,1,3),"SLO 不可達")</f>
        <v>0.88685479090763</v>
      </c>
      <c r="P60" s="117" t="n">
        <f aca="false">IF(ISNUMBER(P56),1-P56/INDEX(B4_EffRef,1,3),"SLO 不可達")</f>
        <v>0.828090036296585</v>
      </c>
      <c r="Q60" s="117" t="n">
        <f aca="false">IF(ISNUMBER(Q56),1-Q56/INDEX(B4_EffRef,1,3),"SLO 不可達")</f>
        <v>0.686258952385007</v>
      </c>
    </row>
    <row r="61" customFormat="false" ht="15" hidden="false" customHeight="false" outlineLevel="0" collapsed="false">
      <c r="A61" s="5" t="s">
        <v>2063</v>
      </c>
      <c r="B61" s="62" t="s">
        <v>113</v>
      </c>
      <c r="C61" s="85" t="n">
        <f aca="false">IF(ISNUMBER(C55),1-C55/INDEX(B4_FrontRef,1,3),"SLO 不可達")</f>
        <v>0.476221245053476</v>
      </c>
      <c r="D61" s="85" t="n">
        <f aca="false">IF(ISNUMBER(D55),1-D55/INDEX(B4_FrontRef,1,3),"SLO 不可達")</f>
        <v>0.251655084529169</v>
      </c>
      <c r="E61" s="85" t="n">
        <f aca="false">IF(ISNUMBER(E55),1-E55/INDEX(B4_FrontRef,1,3),"SLO 不可達")</f>
        <v>-0.285133016679644</v>
      </c>
      <c r="F61" s="85" t="n">
        <f aca="false">IF(ISNUMBER(F55),1-F55/INDEX(B4_FrontRef,1,3),"SLO 不可達")</f>
        <v>0.883247678765957</v>
      </c>
      <c r="G61" s="85" t="n">
        <f aca="false">IF(ISNUMBER(G55),1-G55/INDEX(B4_FrontRef,1,3),"SLO 不可達")</f>
        <v>0.844134665604624</v>
      </c>
      <c r="H61" s="85" t="n">
        <f aca="false">IF(ISNUMBER(H55),1-H55/INDEX(B4_FrontRef,1,3),"SLO 不可達")</f>
        <v>0.747242694628465</v>
      </c>
      <c r="I61" s="85" t="n">
        <f aca="false">IF(ISNUMBER(I55),1-I55/INDEX(B4_FrontRef,1,3),"SLO 不可達")</f>
        <v>0.887117402685901</v>
      </c>
      <c r="J61" s="85" t="n">
        <f aca="false">IF(ISNUMBER(J55),1-J55/INDEX(B4_FrontRef,1,3),"SLO 不可達")</f>
        <v>0.854226097086749</v>
      </c>
      <c r="K61" s="85" t="n">
        <f aca="false">IF(ISNUMBER(K55),1-K55/INDEX(B4_FrontRef,1,3),"SLO 不可達")</f>
        <v>0.751862230520741</v>
      </c>
      <c r="L61" s="85" t="n">
        <f aca="false">IF(ISNUMBER(L55),1-L55/INDEX(B4_FrontRef,1,3),"SLO 不可達")</f>
        <v>0.928045595371196</v>
      </c>
      <c r="M61" s="85" t="n">
        <f aca="false">IF(ISNUMBER(M55),1-M55/INDEX(B4_FrontRef,1,3),"SLO 不可達")</f>
        <v>0.907540101648446</v>
      </c>
      <c r="N61" s="85" t="n">
        <f aca="false">IF(ISNUMBER(N55),1-N55/INDEX(B4_FrontRef,1,3),"SLO 不可達")</f>
        <v>0.850671458937522</v>
      </c>
      <c r="O61" s="85" t="n">
        <f aca="false">IF(ISNUMBER(O55),1-O55/INDEX(B4_FrontRef,1,3),"SLO 不可達")</f>
        <v>0.945847261850604</v>
      </c>
      <c r="P61" s="85" t="n">
        <f aca="false">IF(ISNUMBER(P55),1-P55/INDEX(B4_FrontRef,1,3),"SLO 不可達")</f>
        <v>0.917731823150884</v>
      </c>
      <c r="Q61" s="85" t="n">
        <f aca="false">IF(ISNUMBER(Q55),1-Q55/INDEX(B4_FrontRef,1,3),"SLO 不可達")</f>
        <v>0.849874088156083</v>
      </c>
    </row>
    <row r="63" customFormat="false" ht="15" hidden="false" customHeight="false" outlineLevel="0" collapsed="false">
      <c r="A63" s="76" t="s">
        <v>2077</v>
      </c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</row>
    <row r="64" customFormat="false" ht="26.85" hidden="false" customHeight="false" outlineLevel="0" collapsed="false">
      <c r="A64" s="6" t="s">
        <v>2078</v>
      </c>
      <c r="B64" s="62" t="s">
        <v>2048</v>
      </c>
      <c r="C64" s="95" t="n">
        <f aca="false">IF(AND(Fleet_1GW!C18=1,ISNUMBER(Fleet_1GW!C21)),Fleet_1GW!C21*INDEX(B4_EffRef,1,1)/1000000000,"SLO 不可達")</f>
        <v>0.109558036619274</v>
      </c>
      <c r="D64" s="95" t="n">
        <f aca="false">IF(AND(Fleet_1GW!D18=1,ISNUMBER(Fleet_1GW!D21)),Fleet_1GW!D21*INDEX(B4_EffRef,1,1)/1000000000,"SLO 不可達")</f>
        <v>0.109558036619274</v>
      </c>
      <c r="E64" s="95" t="n">
        <f aca="false">IF(AND(Fleet_1GW!E18=1,ISNUMBER(Fleet_1GW!E21)),Fleet_1GW!E21*INDEX(B4_EffRef,1,1)/1000000000,"SLO 不可達")</f>
        <v>0.109558036619274</v>
      </c>
      <c r="F64" s="95" t="n">
        <f aca="false">IF(AND(Fleet_1GW!F18=1,ISNUMBER(Fleet_1GW!F21)),Fleet_1GW!F21*INDEX(B4_EffRef,1,1)/1000000000,"SLO 不可達")</f>
        <v>0.478153408787978</v>
      </c>
      <c r="G64" s="95" t="n">
        <f aca="false">IF(AND(Fleet_1GW!G18=1,ISNUMBER(Fleet_1GW!G21)),Fleet_1GW!G21*INDEX(B4_EffRef,1,1)/1000000000,"SLO 不可達")</f>
        <v>0.478153408787978</v>
      </c>
      <c r="H64" s="95" t="n">
        <f aca="false">IF(AND(Fleet_1GW!H18=1,ISNUMBER(Fleet_1GW!H21)),Fleet_1GW!H21*INDEX(B4_EffRef,1,1)/1000000000,"SLO 不可達")</f>
        <v>0.478153408787978</v>
      </c>
      <c r="I64" s="95" t="n">
        <f aca="false">IF(AND(Fleet_1GW!I18=1,ISNUMBER(Fleet_1GW!I21)),Fleet_1GW!I21*INDEX(B4_EffRef,1,1)/1000000000,"SLO 不可達")</f>
        <v>0.657565003455634</v>
      </c>
      <c r="J64" s="95" t="n">
        <f aca="false">IF(AND(Fleet_1GW!J18=1,ISNUMBER(Fleet_1GW!J21)),Fleet_1GW!J21*INDEX(B4_EffRef,1,1)/1000000000,"SLO 不可達")</f>
        <v>0.657565003455634</v>
      </c>
      <c r="K64" s="95" t="n">
        <f aca="false">IF(AND(Fleet_1GW!K18=1,ISNUMBER(Fleet_1GW!K21)),Fleet_1GW!K21*INDEX(B4_EffRef,1,1)/1000000000,"SLO 不可達")</f>
        <v>0.657565003455634</v>
      </c>
      <c r="L64" s="95" t="n">
        <f aca="false">IF(AND(Fleet_1GW!L18=1,ISNUMBER(Fleet_1GW!L21)),Fleet_1GW!L21*INDEX(B4_EffRef,1,1)/1000000000,"SLO 不可達")</f>
        <v>1.08135801601782</v>
      </c>
      <c r="M64" s="95" t="n">
        <f aca="false">IF(AND(Fleet_1GW!M18=1,ISNUMBER(Fleet_1GW!M21)),Fleet_1GW!M21*INDEX(B4_EffRef,1,1)/1000000000,"SLO 不可達")</f>
        <v>1.08135801601782</v>
      </c>
      <c r="N64" s="95" t="n">
        <f aca="false">IF(AND(Fleet_1GW!N18=1,ISNUMBER(Fleet_1GW!N21)),Fleet_1GW!N21*INDEX(B4_EffRef,1,1)/1000000000,"SLO 不可達")</f>
        <v>1.08135801601782</v>
      </c>
      <c r="O64" s="95" t="n">
        <f aca="false">IF(AND(Fleet_1GW!O18=1,ISNUMBER(Fleet_1GW!O21)),Fleet_1GW!O21*INDEX(B4_EffRef,1,1)/1000000000,"SLO 不可達")</f>
        <v>1.50172339469163</v>
      </c>
      <c r="P64" s="95" t="n">
        <f aca="false">IF(AND(Fleet_1GW!P18=1,ISNUMBER(Fleet_1GW!P21)),Fleet_1GW!P21*INDEX(B4_EffRef,1,1)/1000000000,"SLO 不可達")</f>
        <v>1.50172339469163</v>
      </c>
      <c r="Q64" s="95" t="n">
        <f aca="false">IF(AND(Fleet_1GW!Q18=1,ISNUMBER(Fleet_1GW!Q21)),Fleet_1GW!Q21*INDEX(B4_EffRef,1,1)/1000000000,"SLO 不可達")</f>
        <v>1.50172339469163</v>
      </c>
    </row>
    <row r="65" customFormat="false" ht="15" hidden="false" customHeight="false" outlineLevel="0" collapsed="false">
      <c r="A65" s="6" t="s">
        <v>2079</v>
      </c>
      <c r="B65" s="62" t="s">
        <v>2048</v>
      </c>
      <c r="C65" s="95" t="n">
        <f aca="false">IF(AND(Fleet_1GW!C18=1,ISNUMBER(Fleet_1GW!C24)),Fleet_1GW!C24*INDEX(B4_EffRef,1,2)/1000000000,"SLO 不可達")</f>
        <v>2.46505582393367</v>
      </c>
      <c r="D65" s="95" t="n">
        <f aca="false">IF(AND(Fleet_1GW!D18=1,ISNUMBER(Fleet_1GW!D24)),Fleet_1GW!D24*INDEX(B4_EffRef,1,2)/1000000000,"SLO 不可達")</f>
        <v>2.46505582393367</v>
      </c>
      <c r="E65" s="95" t="n">
        <f aca="false">IF(AND(Fleet_1GW!E18=1,ISNUMBER(Fleet_1GW!E24)),Fleet_1GW!E24*INDEX(B4_EffRef,1,2)/1000000000,"SLO 不可達")</f>
        <v>2.46505582393367</v>
      </c>
      <c r="F65" s="95" t="n">
        <f aca="false">IF(AND(Fleet_1GW!F18=1,ISNUMBER(Fleet_1GW!F24)),Fleet_1GW!F24*INDEX(B4_EffRef,1,2)/1000000000,"SLO 不可達")</f>
        <v>10.7584516977295</v>
      </c>
      <c r="G65" s="95" t="n">
        <f aca="false">IF(AND(Fleet_1GW!G18=1,ISNUMBER(Fleet_1GW!G24)),Fleet_1GW!G24*INDEX(B4_EffRef,1,2)/1000000000,"SLO 不可達")</f>
        <v>10.7584516977295</v>
      </c>
      <c r="H65" s="95" t="n">
        <f aca="false">IF(AND(Fleet_1GW!H18=1,ISNUMBER(Fleet_1GW!H24)),Fleet_1GW!H24*INDEX(B4_EffRef,1,2)/1000000000,"SLO 不可達")</f>
        <v>10.7584516977295</v>
      </c>
      <c r="I65" s="95" t="n">
        <f aca="false">IF(AND(Fleet_1GW!I18=1,ISNUMBER(Fleet_1GW!I24)),Fleet_1GW!I24*INDEX(B4_EffRef,1,2)/1000000000,"SLO 不可達")</f>
        <v>14.7952125777518</v>
      </c>
      <c r="J65" s="95" t="n">
        <f aca="false">IF(AND(Fleet_1GW!J18=1,ISNUMBER(Fleet_1GW!J24)),Fleet_1GW!J24*INDEX(B4_EffRef,1,2)/1000000000,"SLO 不可達")</f>
        <v>14.7952125777518</v>
      </c>
      <c r="K65" s="95" t="n">
        <f aca="false">IF(AND(Fleet_1GW!K18=1,ISNUMBER(Fleet_1GW!K24)),Fleet_1GW!K24*INDEX(B4_EffRef,1,2)/1000000000,"SLO 不可達")</f>
        <v>14.7952125777518</v>
      </c>
      <c r="L65" s="95" t="n">
        <f aca="false">IF(AND(Fleet_1GW!L18=1,ISNUMBER(Fleet_1GW!L24)),Fleet_1GW!L24*INDEX(B4_EffRef,1,2)/1000000000,"SLO 不可達")</f>
        <v>24.330555360401</v>
      </c>
      <c r="M65" s="95" t="n">
        <f aca="false">IF(AND(Fleet_1GW!M18=1,ISNUMBER(Fleet_1GW!M24)),Fleet_1GW!M24*INDEX(B4_EffRef,1,2)/1000000000,"SLO 不可達")</f>
        <v>24.330555360401</v>
      </c>
      <c r="N65" s="95" t="n">
        <f aca="false">IF(AND(Fleet_1GW!N18=1,ISNUMBER(Fleet_1GW!N24)),Fleet_1GW!N24*INDEX(B4_EffRef,1,2)/1000000000,"SLO 不可達")</f>
        <v>24.330555360401</v>
      </c>
      <c r="O65" s="95" t="n">
        <f aca="false">IF(AND(Fleet_1GW!O18=1,ISNUMBER(Fleet_1GW!O24)),Fleet_1GW!O24*INDEX(B4_EffRef,1,2)/1000000000,"SLO 不可達")</f>
        <v>33.7887763805617</v>
      </c>
      <c r="P65" s="95" t="n">
        <f aca="false">IF(AND(Fleet_1GW!P18=1,ISNUMBER(Fleet_1GW!P24)),Fleet_1GW!P24*INDEX(B4_EffRef,1,2)/1000000000,"SLO 不可達")</f>
        <v>33.7887763805617</v>
      </c>
      <c r="Q65" s="95" t="n">
        <f aca="false">IF(AND(Fleet_1GW!Q18=1,ISNUMBER(Fleet_1GW!Q24)),Fleet_1GW!Q24*INDEX(B4_EffRef,1,2)/1000000000,"SLO 不可達")</f>
        <v>33.7887763805617</v>
      </c>
    </row>
    <row r="66" customFormat="false" ht="26.85" hidden="false" customHeight="false" outlineLevel="0" collapsed="false">
      <c r="A66" s="6" t="s">
        <v>2080</v>
      </c>
      <c r="B66" s="62" t="s">
        <v>2048</v>
      </c>
      <c r="C66" s="95" t="n">
        <f aca="false">IF(AND(Fleet_1GW!C18=1,ISNUMBER(Fleet_1GW!C27)),Fleet_1GW!C27*INDEX(B4_EffRef,1,3)/1000000000,"SLO 不可達")</f>
        <v>4.10842637322278</v>
      </c>
      <c r="D66" s="95" t="n">
        <f aca="false">IF(AND(Fleet_1GW!D18=1,ISNUMBER(Fleet_1GW!D27)),Fleet_1GW!D27*INDEX(B4_EffRef,1,3)/1000000000,"SLO 不可達")</f>
        <v>4.10842637322278</v>
      </c>
      <c r="E66" s="95" t="n">
        <f aca="false">IF(AND(Fleet_1GW!E18=1,ISNUMBER(Fleet_1GW!E27)),Fleet_1GW!E27*INDEX(B4_EffRef,1,3)/1000000000,"SLO 不可達")</f>
        <v>4.10842637322278</v>
      </c>
      <c r="F66" s="95" t="n">
        <f aca="false">IF(AND(Fleet_1GW!F18=1,ISNUMBER(Fleet_1GW!F27)),Fleet_1GW!F27*INDEX(B4_EffRef,1,3)/1000000000,"SLO 不可達")</f>
        <v>17.9307528295491</v>
      </c>
      <c r="G66" s="95" t="n">
        <f aca="false">IF(AND(Fleet_1GW!G18=1,ISNUMBER(Fleet_1GW!G27)),Fleet_1GW!G27*INDEX(B4_EffRef,1,3)/1000000000,"SLO 不可達")</f>
        <v>17.9307528295491</v>
      </c>
      <c r="H66" s="95" t="n">
        <f aca="false">IF(AND(Fleet_1GW!H18=1,ISNUMBER(Fleet_1GW!H27)),Fleet_1GW!H27*INDEX(B4_EffRef,1,3)/1000000000,"SLO 不可達")</f>
        <v>17.9307528295491</v>
      </c>
      <c r="I66" s="95" t="n">
        <f aca="false">IF(AND(Fleet_1GW!I18=1,ISNUMBER(Fleet_1GW!I27)),Fleet_1GW!I27*INDEX(B4_EffRef,1,3)/1000000000,"SLO 不可達")</f>
        <v>24.6586876295863</v>
      </c>
      <c r="J66" s="95" t="n">
        <f aca="false">IF(AND(Fleet_1GW!J18=1,ISNUMBER(Fleet_1GW!J27)),Fleet_1GW!J27*INDEX(B4_EffRef,1,3)/1000000000,"SLO 不可達")</f>
        <v>24.6586876295863</v>
      </c>
      <c r="K66" s="95" t="n">
        <f aca="false">IF(AND(Fleet_1GW!K18=1,ISNUMBER(Fleet_1GW!K27)),Fleet_1GW!K27*INDEX(B4_EffRef,1,3)/1000000000,"SLO 不可達")</f>
        <v>24.6586876295863</v>
      </c>
      <c r="L66" s="95" t="n">
        <f aca="false">IF(AND(Fleet_1GW!L18=1,ISNUMBER(Fleet_1GW!L27)),Fleet_1GW!L27*INDEX(B4_EffRef,1,3)/1000000000,"SLO 不可達")</f>
        <v>40.5509256006683</v>
      </c>
      <c r="M66" s="95" t="n">
        <f aca="false">IF(AND(Fleet_1GW!M18=1,ISNUMBER(Fleet_1GW!M27)),Fleet_1GW!M27*INDEX(B4_EffRef,1,3)/1000000000,"SLO 不可達")</f>
        <v>40.5509256006683</v>
      </c>
      <c r="N66" s="95" t="n">
        <f aca="false">IF(AND(Fleet_1GW!N18=1,ISNUMBER(Fleet_1GW!N27)),Fleet_1GW!N27*INDEX(B4_EffRef,1,3)/1000000000,"SLO 不可達")</f>
        <v>40.5509256006683</v>
      </c>
      <c r="O66" s="95" t="n">
        <f aca="false">IF(AND(Fleet_1GW!O18=1,ISNUMBER(Fleet_1GW!O27)),Fleet_1GW!O27*INDEX(B4_EffRef,1,3)/1000000000,"SLO 不可達")</f>
        <v>56.3146273009361</v>
      </c>
      <c r="P66" s="95" t="n">
        <f aca="false">IF(AND(Fleet_1GW!P18=1,ISNUMBER(Fleet_1GW!P27)),Fleet_1GW!P27*INDEX(B4_EffRef,1,3)/1000000000,"SLO 不可達")</f>
        <v>56.3146273009361</v>
      </c>
      <c r="Q66" s="95" t="n">
        <f aca="false">IF(AND(Fleet_1GW!Q18=1,ISNUMBER(Fleet_1GW!Q27)),Fleet_1GW!Q27*INDEX(B4_EffRef,1,3)/1000000000,"SLO 不可達")</f>
        <v>56.3146273009361</v>
      </c>
    </row>
    <row r="67" customFormat="false" ht="29.85" hidden="false" customHeight="false" outlineLevel="0" collapsed="false">
      <c r="A67" s="5" t="s">
        <v>2081</v>
      </c>
      <c r="B67" s="62" t="s">
        <v>2048</v>
      </c>
      <c r="C67" s="164" t="n">
        <f aca="false">IF(Fleet_1GW!C18=1,(IF(ISNUMBER(Fleet_1GW!C21),Fleet_1GW!C21*INDEX(B4_EffRef,1,1),0)+IF(ISNUMBER(Fleet_1GW!C24),Fleet_1GW!C24*INDEX(B4_EffRef,1,2),0)+IF(ISNUMBER(Fleet_1GW!C27),Fleet_1GW!C27*INDEX(B4_EffRef,1,3),0))/1000000000,"SLO 不可達")</f>
        <v>6.68304023377571</v>
      </c>
      <c r="D67" s="164" t="n">
        <f aca="false">IF(Fleet_1GW!D18=1,(IF(ISNUMBER(Fleet_1GW!D21),Fleet_1GW!D21*INDEX(B4_EffRef,1,1),0)+IF(ISNUMBER(Fleet_1GW!D24),Fleet_1GW!D24*INDEX(B4_EffRef,1,2),0)+IF(ISNUMBER(Fleet_1GW!D27),Fleet_1GW!D27*INDEX(B4_EffRef,1,3),0))/1000000000,"SLO 不可達")</f>
        <v>6.68304023377571</v>
      </c>
      <c r="E67" s="164" t="n">
        <f aca="false">IF(Fleet_1GW!E18=1,(IF(ISNUMBER(Fleet_1GW!E21),Fleet_1GW!E21*INDEX(B4_EffRef,1,1),0)+IF(ISNUMBER(Fleet_1GW!E24),Fleet_1GW!E24*INDEX(B4_EffRef,1,2),0)+IF(ISNUMBER(Fleet_1GW!E27),Fleet_1GW!E27*INDEX(B4_EffRef,1,3),0))/1000000000,"SLO 不可達")</f>
        <v>6.68304023377571</v>
      </c>
      <c r="F67" s="164" t="n">
        <f aca="false">IF(Fleet_1GW!F18=1,(IF(ISNUMBER(Fleet_1GW!F21),Fleet_1GW!F21*INDEX(B4_EffRef,1,1),0)+IF(ISNUMBER(Fleet_1GW!F24),Fleet_1GW!F24*INDEX(B4_EffRef,1,2),0)+IF(ISNUMBER(Fleet_1GW!F27),Fleet_1GW!F27*INDEX(B4_EffRef,1,3),0))/1000000000,"SLO 不可達")</f>
        <v>29.1673579360666</v>
      </c>
      <c r="G67" s="164" t="n">
        <f aca="false">IF(Fleet_1GW!G18=1,(IF(ISNUMBER(Fleet_1GW!G21),Fleet_1GW!G21*INDEX(B4_EffRef,1,1),0)+IF(ISNUMBER(Fleet_1GW!G24),Fleet_1GW!G24*INDEX(B4_EffRef,1,2),0)+IF(ISNUMBER(Fleet_1GW!G27),Fleet_1GW!G27*INDEX(B4_EffRef,1,3),0))/1000000000,"SLO 不可達")</f>
        <v>29.1673579360666</v>
      </c>
      <c r="H67" s="164" t="n">
        <f aca="false">IF(Fleet_1GW!H18=1,(IF(ISNUMBER(Fleet_1GW!H21),Fleet_1GW!H21*INDEX(B4_EffRef,1,1),0)+IF(ISNUMBER(Fleet_1GW!H24),Fleet_1GW!H24*INDEX(B4_EffRef,1,2),0)+IF(ISNUMBER(Fleet_1GW!H27),Fleet_1GW!H27*INDEX(B4_EffRef,1,3),0))/1000000000,"SLO 不可達")</f>
        <v>29.1673579360666</v>
      </c>
      <c r="I67" s="164" t="n">
        <f aca="false">IF(Fleet_1GW!I18=1,(IF(ISNUMBER(Fleet_1GW!I21),Fleet_1GW!I21*INDEX(B4_EffRef,1,1),0)+IF(ISNUMBER(Fleet_1GW!I24),Fleet_1GW!I24*INDEX(B4_EffRef,1,2),0)+IF(ISNUMBER(Fleet_1GW!I27),Fleet_1GW!I27*INDEX(B4_EffRef,1,3),0))/1000000000,"SLO 不可達")</f>
        <v>40.1114652107936</v>
      </c>
      <c r="J67" s="164" t="n">
        <f aca="false">IF(Fleet_1GW!J18=1,(IF(ISNUMBER(Fleet_1GW!J21),Fleet_1GW!J21*INDEX(B4_EffRef,1,1),0)+IF(ISNUMBER(Fleet_1GW!J24),Fleet_1GW!J24*INDEX(B4_EffRef,1,2),0)+IF(ISNUMBER(Fleet_1GW!J27),Fleet_1GW!J27*INDEX(B4_EffRef,1,3),0))/1000000000,"SLO 不可達")</f>
        <v>40.1114652107936</v>
      </c>
      <c r="K67" s="164" t="n">
        <f aca="false">IF(Fleet_1GW!K18=1,(IF(ISNUMBER(Fleet_1GW!K21),Fleet_1GW!K21*INDEX(B4_EffRef,1,1),0)+IF(ISNUMBER(Fleet_1GW!K24),Fleet_1GW!K24*INDEX(B4_EffRef,1,2),0)+IF(ISNUMBER(Fleet_1GW!K27),Fleet_1GW!K27*INDEX(B4_EffRef,1,3),0))/1000000000,"SLO 不可達")</f>
        <v>40.1114652107936</v>
      </c>
      <c r="L67" s="164" t="n">
        <f aca="false">IF(Fleet_1GW!L18=1,(IF(ISNUMBER(Fleet_1GW!L21),Fleet_1GW!L21*INDEX(B4_EffRef,1,1),0)+IF(ISNUMBER(Fleet_1GW!L24),Fleet_1GW!L24*INDEX(B4_EffRef,1,2),0)+IF(ISNUMBER(Fleet_1GW!L27),Fleet_1GW!L27*INDEX(B4_EffRef,1,3),0))/1000000000,"SLO 不可達")</f>
        <v>65.9628389770872</v>
      </c>
      <c r="M67" s="164" t="n">
        <f aca="false">IF(Fleet_1GW!M18=1,(IF(ISNUMBER(Fleet_1GW!M21),Fleet_1GW!M21*INDEX(B4_EffRef,1,1),0)+IF(ISNUMBER(Fleet_1GW!M24),Fleet_1GW!M24*INDEX(B4_EffRef,1,2),0)+IF(ISNUMBER(Fleet_1GW!M27),Fleet_1GW!M27*INDEX(B4_EffRef,1,3),0))/1000000000,"SLO 不可達")</f>
        <v>65.9628389770872</v>
      </c>
      <c r="N67" s="164" t="n">
        <f aca="false">IF(Fleet_1GW!N18=1,(IF(ISNUMBER(Fleet_1GW!N21),Fleet_1GW!N21*INDEX(B4_EffRef,1,1),0)+IF(ISNUMBER(Fleet_1GW!N24),Fleet_1GW!N24*INDEX(B4_EffRef,1,2),0)+IF(ISNUMBER(Fleet_1GW!N27),Fleet_1GW!N27*INDEX(B4_EffRef,1,3),0))/1000000000,"SLO 不可達")</f>
        <v>65.9628389770872</v>
      </c>
      <c r="O67" s="164" t="n">
        <f aca="false">IF(Fleet_1GW!O18=1,(IF(ISNUMBER(Fleet_1GW!O21),Fleet_1GW!O21*INDEX(B4_EffRef,1,1),0)+IF(ISNUMBER(Fleet_1GW!O24),Fleet_1GW!O24*INDEX(B4_EffRef,1,2),0)+IF(ISNUMBER(Fleet_1GW!O27),Fleet_1GW!O27*INDEX(B4_EffRef,1,3),0))/1000000000,"SLO 不可達")</f>
        <v>91.6051270761894</v>
      </c>
      <c r="P67" s="164" t="n">
        <f aca="false">IF(Fleet_1GW!P18=1,(IF(ISNUMBER(Fleet_1GW!P21),Fleet_1GW!P21*INDEX(B4_EffRef,1,1),0)+IF(ISNUMBER(Fleet_1GW!P24),Fleet_1GW!P24*INDEX(B4_EffRef,1,2),0)+IF(ISNUMBER(Fleet_1GW!P27),Fleet_1GW!P27*INDEX(B4_EffRef,1,3),0))/1000000000,"SLO 不可達")</f>
        <v>91.6051270761894</v>
      </c>
      <c r="Q67" s="164" t="n">
        <f aca="false">IF(Fleet_1GW!Q18=1,(IF(ISNUMBER(Fleet_1GW!Q21),Fleet_1GW!Q21*INDEX(B4_EffRef,1,1),0)+IF(ISNUMBER(Fleet_1GW!Q24),Fleet_1GW!Q24*INDEX(B4_EffRef,1,2),0)+IF(ISNUMBER(Fleet_1GW!Q27),Fleet_1GW!Q27*INDEX(B4_EffRef,1,3),0))/1000000000,"SLO 不可達")</f>
        <v>91.6051270761894</v>
      </c>
    </row>
    <row r="68" customFormat="false" ht="26.85" hidden="false" customHeight="false" outlineLevel="0" collapsed="false">
      <c r="A68" s="6" t="s">
        <v>2082</v>
      </c>
      <c r="B68" s="62" t="s">
        <v>2048</v>
      </c>
      <c r="C68" s="95" t="n">
        <f aca="false">IF(AND(Fleet_1GW!C18=1,ISNUMBER(Fleet_1GW!C21)),Fleet_1GW!C21*INDEX(B4_FrontRef,1,1)/1000000000,"SLO 不可達")</f>
        <v>0.109558036619274</v>
      </c>
      <c r="D68" s="95" t="n">
        <f aca="false">IF(AND(Fleet_1GW!D18=1,ISNUMBER(Fleet_1GW!D21)),Fleet_1GW!D21*INDEX(B4_FrontRef,1,1)/1000000000,"SLO 不可達")</f>
        <v>0.109558036619274</v>
      </c>
      <c r="E68" s="95" t="n">
        <f aca="false">IF(AND(Fleet_1GW!E18=1,ISNUMBER(Fleet_1GW!E21)),Fleet_1GW!E21*INDEX(B4_FrontRef,1,1)/1000000000,"SLO 不可達")</f>
        <v>0.109558036619274</v>
      </c>
      <c r="F68" s="95" t="n">
        <f aca="false">IF(AND(Fleet_1GW!F18=1,ISNUMBER(Fleet_1GW!F21)),Fleet_1GW!F21*INDEX(B4_FrontRef,1,1)/1000000000,"SLO 不可達")</f>
        <v>0.478153408787977</v>
      </c>
      <c r="G68" s="95" t="n">
        <f aca="false">IF(AND(Fleet_1GW!G18=1,ISNUMBER(Fleet_1GW!G21)),Fleet_1GW!G21*INDEX(B4_FrontRef,1,1)/1000000000,"SLO 不可達")</f>
        <v>0.478153408787977</v>
      </c>
      <c r="H68" s="95" t="n">
        <f aca="false">IF(AND(Fleet_1GW!H18=1,ISNUMBER(Fleet_1GW!H21)),Fleet_1GW!H21*INDEX(B4_FrontRef,1,1)/1000000000,"SLO 不可達")</f>
        <v>0.478153408787977</v>
      </c>
      <c r="I68" s="95" t="n">
        <f aca="false">IF(AND(Fleet_1GW!I18=1,ISNUMBER(Fleet_1GW!I21)),Fleet_1GW!I21*INDEX(B4_FrontRef,1,1)/1000000000,"SLO 不可達")</f>
        <v>0.657565003455634</v>
      </c>
      <c r="J68" s="95" t="n">
        <f aca="false">IF(AND(Fleet_1GW!J18=1,ISNUMBER(Fleet_1GW!J21)),Fleet_1GW!J21*INDEX(B4_FrontRef,1,1)/1000000000,"SLO 不可達")</f>
        <v>0.657565003455634</v>
      </c>
      <c r="K68" s="95" t="n">
        <f aca="false">IF(AND(Fleet_1GW!K18=1,ISNUMBER(Fleet_1GW!K21)),Fleet_1GW!K21*INDEX(B4_FrontRef,1,1)/1000000000,"SLO 不可達")</f>
        <v>0.657565003455634</v>
      </c>
      <c r="L68" s="95" t="n">
        <f aca="false">IF(AND(Fleet_1GW!L18=1,ISNUMBER(Fleet_1GW!L21)),Fleet_1GW!L21*INDEX(B4_FrontRef,1,1)/1000000000,"SLO 不可達")</f>
        <v>1.08135801601782</v>
      </c>
      <c r="M68" s="95" t="n">
        <f aca="false">IF(AND(Fleet_1GW!M18=1,ISNUMBER(Fleet_1GW!M21)),Fleet_1GW!M21*INDEX(B4_FrontRef,1,1)/1000000000,"SLO 不可達")</f>
        <v>1.08135801601782</v>
      </c>
      <c r="N68" s="95" t="n">
        <f aca="false">IF(AND(Fleet_1GW!N18=1,ISNUMBER(Fleet_1GW!N21)),Fleet_1GW!N21*INDEX(B4_FrontRef,1,1)/1000000000,"SLO 不可達")</f>
        <v>1.08135801601782</v>
      </c>
      <c r="O68" s="95" t="n">
        <f aca="false">IF(AND(Fleet_1GW!O18=1,ISNUMBER(Fleet_1GW!O21)),Fleet_1GW!O21*INDEX(B4_FrontRef,1,1)/1000000000,"SLO 不可達")</f>
        <v>1.50172339469163</v>
      </c>
      <c r="P68" s="95" t="n">
        <f aca="false">IF(AND(Fleet_1GW!P18=1,ISNUMBER(Fleet_1GW!P21)),Fleet_1GW!P21*INDEX(B4_FrontRef,1,1)/1000000000,"SLO 不可達")</f>
        <v>1.50172339469163</v>
      </c>
      <c r="Q68" s="95" t="n">
        <f aca="false">IF(AND(Fleet_1GW!Q18=1,ISNUMBER(Fleet_1GW!Q21)),Fleet_1GW!Q21*INDEX(B4_FrontRef,1,1)/1000000000,"SLO 不可達")</f>
        <v>1.50172339469163</v>
      </c>
    </row>
    <row r="69" customFormat="false" ht="15" hidden="false" customHeight="false" outlineLevel="0" collapsed="false">
      <c r="A69" s="6" t="s">
        <v>2083</v>
      </c>
      <c r="B69" s="62" t="s">
        <v>2048</v>
      </c>
      <c r="C69" s="95" t="n">
        <f aca="false">IF(AND(Fleet_1GW!C18=1,ISNUMBER(Fleet_1GW!C24)),Fleet_1GW!C24*INDEX(B4_FrontRef,1,2)/1000000000,"SLO 不可達")</f>
        <v>2.46505582393367</v>
      </c>
      <c r="D69" s="95" t="n">
        <f aca="false">IF(AND(Fleet_1GW!D18=1,ISNUMBER(Fleet_1GW!D24)),Fleet_1GW!D24*INDEX(B4_FrontRef,1,2)/1000000000,"SLO 不可達")</f>
        <v>2.46505582393367</v>
      </c>
      <c r="E69" s="95" t="n">
        <f aca="false">IF(AND(Fleet_1GW!E18=1,ISNUMBER(Fleet_1GW!E24)),Fleet_1GW!E24*INDEX(B4_FrontRef,1,2)/1000000000,"SLO 不可達")</f>
        <v>2.46505582393367</v>
      </c>
      <c r="F69" s="95" t="n">
        <f aca="false">IF(AND(Fleet_1GW!F18=1,ISNUMBER(Fleet_1GW!F24)),Fleet_1GW!F24*INDEX(B4_FrontRef,1,2)/1000000000,"SLO 不可達")</f>
        <v>10.7584516977295</v>
      </c>
      <c r="G69" s="95" t="n">
        <f aca="false">IF(AND(Fleet_1GW!G18=1,ISNUMBER(Fleet_1GW!G24)),Fleet_1GW!G24*INDEX(B4_FrontRef,1,2)/1000000000,"SLO 不可達")</f>
        <v>10.7584516977295</v>
      </c>
      <c r="H69" s="95" t="n">
        <f aca="false">IF(AND(Fleet_1GW!H18=1,ISNUMBER(Fleet_1GW!H24)),Fleet_1GW!H24*INDEX(B4_FrontRef,1,2)/1000000000,"SLO 不可達")</f>
        <v>10.7584516977295</v>
      </c>
      <c r="I69" s="95" t="n">
        <f aca="false">IF(AND(Fleet_1GW!I18=1,ISNUMBER(Fleet_1GW!I24)),Fleet_1GW!I24*INDEX(B4_FrontRef,1,2)/1000000000,"SLO 不可達")</f>
        <v>14.7952125777518</v>
      </c>
      <c r="J69" s="95" t="n">
        <f aca="false">IF(AND(Fleet_1GW!J18=1,ISNUMBER(Fleet_1GW!J24)),Fleet_1GW!J24*INDEX(B4_FrontRef,1,2)/1000000000,"SLO 不可達")</f>
        <v>14.7952125777518</v>
      </c>
      <c r="K69" s="95" t="n">
        <f aca="false">IF(AND(Fleet_1GW!K18=1,ISNUMBER(Fleet_1GW!K24)),Fleet_1GW!K24*INDEX(B4_FrontRef,1,2)/1000000000,"SLO 不可達")</f>
        <v>14.7952125777518</v>
      </c>
      <c r="L69" s="95" t="n">
        <f aca="false">IF(AND(Fleet_1GW!L18=1,ISNUMBER(Fleet_1GW!L24)),Fleet_1GW!L24*INDEX(B4_FrontRef,1,2)/1000000000,"SLO 不可達")</f>
        <v>24.330555360401</v>
      </c>
      <c r="M69" s="95" t="n">
        <f aca="false">IF(AND(Fleet_1GW!M18=1,ISNUMBER(Fleet_1GW!M24)),Fleet_1GW!M24*INDEX(B4_FrontRef,1,2)/1000000000,"SLO 不可達")</f>
        <v>24.330555360401</v>
      </c>
      <c r="N69" s="95" t="n">
        <f aca="false">IF(AND(Fleet_1GW!N18=1,ISNUMBER(Fleet_1GW!N24)),Fleet_1GW!N24*INDEX(B4_FrontRef,1,2)/1000000000,"SLO 不可達")</f>
        <v>24.330555360401</v>
      </c>
      <c r="O69" s="95" t="n">
        <f aca="false">IF(AND(Fleet_1GW!O18=1,ISNUMBER(Fleet_1GW!O24)),Fleet_1GW!O24*INDEX(B4_FrontRef,1,2)/1000000000,"SLO 不可達")</f>
        <v>33.7887763805617</v>
      </c>
      <c r="P69" s="95" t="n">
        <f aca="false">IF(AND(Fleet_1GW!P18=1,ISNUMBER(Fleet_1GW!P24)),Fleet_1GW!P24*INDEX(B4_FrontRef,1,2)/1000000000,"SLO 不可達")</f>
        <v>33.7887763805617</v>
      </c>
      <c r="Q69" s="95" t="n">
        <f aca="false">IF(AND(Fleet_1GW!Q18=1,ISNUMBER(Fleet_1GW!Q24)),Fleet_1GW!Q24*INDEX(B4_FrontRef,1,2)/1000000000,"SLO 不可達")</f>
        <v>33.7887763805617</v>
      </c>
    </row>
    <row r="70" customFormat="false" ht="26.85" hidden="false" customHeight="false" outlineLevel="0" collapsed="false">
      <c r="A70" s="6" t="s">
        <v>2084</v>
      </c>
      <c r="B70" s="62" t="s">
        <v>2048</v>
      </c>
      <c r="C70" s="95" t="n">
        <f aca="false">IF(AND(Fleet_1GW!C18=1,ISNUMBER(Fleet_1GW!C27)),Fleet_1GW!C27*INDEX(B4_FrontRef,1,3)/1000000000,"SLO 不可達")</f>
        <v>3.95845063172239</v>
      </c>
      <c r="D70" s="95" t="n">
        <f aca="false">IF(AND(Fleet_1GW!D18=1,ISNUMBER(Fleet_1GW!D27)),Fleet_1GW!D27*INDEX(B4_FrontRef,1,3)/1000000000,"SLO 不可達")</f>
        <v>3.95845063172239</v>
      </c>
      <c r="E70" s="95" t="n">
        <f aca="false">IF(AND(Fleet_1GW!E18=1,ISNUMBER(Fleet_1GW!E27)),Fleet_1GW!E27*INDEX(B4_FrontRef,1,3)/1000000000,"SLO 不可達")</f>
        <v>3.95845063172239</v>
      </c>
      <c r="F70" s="95" t="n">
        <f aca="false">IF(AND(Fleet_1GW!F18=1,ISNUMBER(Fleet_1GW!F27)),Fleet_1GW!F27*INDEX(B4_FrontRef,1,3)/1000000000,"SLO 不可達")</f>
        <v>17.2762010116563</v>
      </c>
      <c r="G70" s="95" t="n">
        <f aca="false">IF(AND(Fleet_1GW!G18=1,ISNUMBER(Fleet_1GW!G27)),Fleet_1GW!G27*INDEX(B4_FrontRef,1,3)/1000000000,"SLO 不可達")</f>
        <v>17.2762010116563</v>
      </c>
      <c r="H70" s="95" t="n">
        <f aca="false">IF(AND(Fleet_1GW!H18=1,ISNUMBER(Fleet_1GW!H27)),Fleet_1GW!H27*INDEX(B4_FrontRef,1,3)/1000000000,"SLO 不可達")</f>
        <v>17.2762010116563</v>
      </c>
      <c r="I70" s="95" t="n">
        <f aca="false">IF(AND(Fleet_1GW!I18=1,ISNUMBER(Fleet_1GW!I27)),Fleet_1GW!I27*INDEX(B4_FrontRef,1,3)/1000000000,"SLO 不可達")</f>
        <v>23.7585364218691</v>
      </c>
      <c r="J70" s="95" t="n">
        <f aca="false">IF(AND(Fleet_1GW!J18=1,ISNUMBER(Fleet_1GW!J27)),Fleet_1GW!J27*INDEX(B4_FrontRef,1,3)/1000000000,"SLO 不可達")</f>
        <v>23.7585364218691</v>
      </c>
      <c r="K70" s="95" t="n">
        <f aca="false">IF(AND(Fleet_1GW!K18=1,ISNUMBER(Fleet_1GW!K27)),Fleet_1GW!K27*INDEX(B4_FrontRef,1,3)/1000000000,"SLO 不可達")</f>
        <v>23.7585364218691</v>
      </c>
      <c r="L70" s="95" t="n">
        <f aca="false">IF(AND(Fleet_1GW!L18=1,ISNUMBER(Fleet_1GW!L27)),Fleet_1GW!L27*INDEX(B4_FrontRef,1,3)/1000000000,"SLO 不可達")</f>
        <v>39.0706373873696</v>
      </c>
      <c r="M70" s="95" t="n">
        <f aca="false">IF(AND(Fleet_1GW!M18=1,ISNUMBER(Fleet_1GW!M27)),Fleet_1GW!M27*INDEX(B4_FrontRef,1,3)/1000000000,"SLO 不可達")</f>
        <v>39.0706373873696</v>
      </c>
      <c r="N70" s="95" t="n">
        <f aca="false">IF(AND(Fleet_1GW!N18=1,ISNUMBER(Fleet_1GW!N27)),Fleet_1GW!N27*INDEX(B4_FrontRef,1,3)/1000000000,"SLO 不可達")</f>
        <v>39.0706373873696</v>
      </c>
      <c r="O70" s="95" t="n">
        <f aca="false">IF(AND(Fleet_1GW!O18=1,ISNUMBER(Fleet_1GW!O27)),Fleet_1GW!O27*INDEX(B4_FrontRef,1,3)/1000000000,"SLO 不可達")</f>
        <v>54.2588942246851</v>
      </c>
      <c r="P70" s="95" t="n">
        <f aca="false">IF(AND(Fleet_1GW!P18=1,ISNUMBER(Fleet_1GW!P27)),Fleet_1GW!P27*INDEX(B4_FrontRef,1,3)/1000000000,"SLO 不可達")</f>
        <v>54.2588942246851</v>
      </c>
      <c r="Q70" s="95" t="n">
        <f aca="false">IF(AND(Fleet_1GW!Q18=1,ISNUMBER(Fleet_1GW!Q27)),Fleet_1GW!Q27*INDEX(B4_FrontRef,1,3)/1000000000,"SLO 不可達")</f>
        <v>54.2588942246851</v>
      </c>
    </row>
    <row r="71" customFormat="false" ht="26.85" hidden="false" customHeight="false" outlineLevel="0" collapsed="false">
      <c r="A71" s="5" t="s">
        <v>2085</v>
      </c>
      <c r="B71" s="62" t="s">
        <v>2048</v>
      </c>
      <c r="C71" s="98" t="n">
        <f aca="false">IF(Fleet_1GW!C18=1,(IF(ISNUMBER(Fleet_1GW!C21),Fleet_1GW!C21*INDEX(B4_FrontRef,1,1),0)+IF(ISNUMBER(Fleet_1GW!C24),Fleet_1GW!C24*INDEX(B4_FrontRef,1,2),0)+IF(ISNUMBER(Fleet_1GW!C27),Fleet_1GW!C27*INDEX(B4_FrontRef,1,3),0))/1000000000,"SLO 不可達")</f>
        <v>6.53306449227533</v>
      </c>
      <c r="D71" s="98" t="n">
        <f aca="false">IF(Fleet_1GW!D18=1,(IF(ISNUMBER(Fleet_1GW!D21),Fleet_1GW!D21*INDEX(B4_FrontRef,1,1),0)+IF(ISNUMBER(Fleet_1GW!D24),Fleet_1GW!D24*INDEX(B4_FrontRef,1,2),0)+IF(ISNUMBER(Fleet_1GW!D27),Fleet_1GW!D27*INDEX(B4_FrontRef,1,3),0))/1000000000,"SLO 不可達")</f>
        <v>6.53306449227533</v>
      </c>
      <c r="E71" s="98" t="n">
        <f aca="false">IF(Fleet_1GW!E18=1,(IF(ISNUMBER(Fleet_1GW!E21),Fleet_1GW!E21*INDEX(B4_FrontRef,1,1),0)+IF(ISNUMBER(Fleet_1GW!E24),Fleet_1GW!E24*INDEX(B4_FrontRef,1,2),0)+IF(ISNUMBER(Fleet_1GW!E27),Fleet_1GW!E27*INDEX(B4_FrontRef,1,3),0))/1000000000,"SLO 不可達")</f>
        <v>6.53306449227533</v>
      </c>
      <c r="F71" s="98" t="n">
        <f aca="false">IF(Fleet_1GW!F18=1,(IF(ISNUMBER(Fleet_1GW!F21),Fleet_1GW!F21*INDEX(B4_FrontRef,1,1),0)+IF(ISNUMBER(Fleet_1GW!F24),Fleet_1GW!F24*INDEX(B4_FrontRef,1,2),0)+IF(ISNUMBER(Fleet_1GW!F27),Fleet_1GW!F27*INDEX(B4_FrontRef,1,3),0))/1000000000,"SLO 不可達")</f>
        <v>28.5128061181738</v>
      </c>
      <c r="G71" s="98" t="n">
        <f aca="false">IF(Fleet_1GW!G18=1,(IF(ISNUMBER(Fleet_1GW!G21),Fleet_1GW!G21*INDEX(B4_FrontRef,1,1),0)+IF(ISNUMBER(Fleet_1GW!G24),Fleet_1GW!G24*INDEX(B4_FrontRef,1,2),0)+IF(ISNUMBER(Fleet_1GW!G27),Fleet_1GW!G27*INDEX(B4_FrontRef,1,3),0))/1000000000,"SLO 不可達")</f>
        <v>28.5128061181738</v>
      </c>
      <c r="H71" s="98" t="n">
        <f aca="false">IF(Fleet_1GW!H18=1,(IF(ISNUMBER(Fleet_1GW!H21),Fleet_1GW!H21*INDEX(B4_FrontRef,1,1),0)+IF(ISNUMBER(Fleet_1GW!H24),Fleet_1GW!H24*INDEX(B4_FrontRef,1,2),0)+IF(ISNUMBER(Fleet_1GW!H27),Fleet_1GW!H27*INDEX(B4_FrontRef,1,3),0))/1000000000,"SLO 不可達")</f>
        <v>28.5128061181738</v>
      </c>
      <c r="I71" s="98" t="n">
        <f aca="false">IF(Fleet_1GW!I18=1,(IF(ISNUMBER(Fleet_1GW!I21),Fleet_1GW!I21*INDEX(B4_FrontRef,1,1),0)+IF(ISNUMBER(Fleet_1GW!I24),Fleet_1GW!I24*INDEX(B4_FrontRef,1,2),0)+IF(ISNUMBER(Fleet_1GW!I27),Fleet_1GW!I27*INDEX(B4_FrontRef,1,3),0))/1000000000,"SLO 不可達")</f>
        <v>39.2113140030764</v>
      </c>
      <c r="J71" s="98" t="n">
        <f aca="false">IF(Fleet_1GW!J18=1,(IF(ISNUMBER(Fleet_1GW!J21),Fleet_1GW!J21*INDEX(B4_FrontRef,1,1),0)+IF(ISNUMBER(Fleet_1GW!J24),Fleet_1GW!J24*INDEX(B4_FrontRef,1,2),0)+IF(ISNUMBER(Fleet_1GW!J27),Fleet_1GW!J27*INDEX(B4_FrontRef,1,3),0))/1000000000,"SLO 不可達")</f>
        <v>39.2113140030764</v>
      </c>
      <c r="K71" s="98" t="n">
        <f aca="false">IF(Fleet_1GW!K18=1,(IF(ISNUMBER(Fleet_1GW!K21),Fleet_1GW!K21*INDEX(B4_FrontRef,1,1),0)+IF(ISNUMBER(Fleet_1GW!K24),Fleet_1GW!K24*INDEX(B4_FrontRef,1,2),0)+IF(ISNUMBER(Fleet_1GW!K27),Fleet_1GW!K27*INDEX(B4_FrontRef,1,3),0))/1000000000,"SLO 不可達")</f>
        <v>39.2113140030764</v>
      </c>
      <c r="L71" s="98" t="n">
        <f aca="false">IF(Fleet_1GW!L18=1,(IF(ISNUMBER(Fleet_1GW!L21),Fleet_1GW!L21*INDEX(B4_FrontRef,1,1),0)+IF(ISNUMBER(Fleet_1GW!L24),Fleet_1GW!L24*INDEX(B4_FrontRef,1,2),0)+IF(ISNUMBER(Fleet_1GW!L27),Fleet_1GW!L27*INDEX(B4_FrontRef,1,3),0))/1000000000,"SLO 不可達")</f>
        <v>64.4825507637884</v>
      </c>
      <c r="M71" s="98" t="n">
        <f aca="false">IF(Fleet_1GW!M18=1,(IF(ISNUMBER(Fleet_1GW!M21),Fleet_1GW!M21*INDEX(B4_FrontRef,1,1),0)+IF(ISNUMBER(Fleet_1GW!M24),Fleet_1GW!M24*INDEX(B4_FrontRef,1,2),0)+IF(ISNUMBER(Fleet_1GW!M27),Fleet_1GW!M27*INDEX(B4_FrontRef,1,3),0))/1000000000,"SLO 不可達")</f>
        <v>64.4825507637884</v>
      </c>
      <c r="N71" s="98" t="n">
        <f aca="false">IF(Fleet_1GW!N18=1,(IF(ISNUMBER(Fleet_1GW!N21),Fleet_1GW!N21*INDEX(B4_FrontRef,1,1),0)+IF(ISNUMBER(Fleet_1GW!N24),Fleet_1GW!N24*INDEX(B4_FrontRef,1,2),0)+IF(ISNUMBER(Fleet_1GW!N27),Fleet_1GW!N27*INDEX(B4_FrontRef,1,3),0))/1000000000,"SLO 不可達")</f>
        <v>64.4825507637884</v>
      </c>
      <c r="O71" s="98" t="n">
        <f aca="false">IF(Fleet_1GW!O18=1,(IF(ISNUMBER(Fleet_1GW!O21),Fleet_1GW!O21*INDEX(B4_FrontRef,1,1),0)+IF(ISNUMBER(Fleet_1GW!O24),Fleet_1GW!O24*INDEX(B4_FrontRef,1,2),0)+IF(ISNUMBER(Fleet_1GW!O27),Fleet_1GW!O27*INDEX(B4_FrontRef,1,3),0))/1000000000,"SLO 不可達")</f>
        <v>89.5493939999384</v>
      </c>
      <c r="P71" s="98" t="n">
        <f aca="false">IF(Fleet_1GW!P18=1,(IF(ISNUMBER(Fleet_1GW!P21),Fleet_1GW!P21*INDEX(B4_FrontRef,1,1),0)+IF(ISNUMBER(Fleet_1GW!P24),Fleet_1GW!P24*INDEX(B4_FrontRef,1,2),0)+IF(ISNUMBER(Fleet_1GW!P27),Fleet_1GW!P27*INDEX(B4_FrontRef,1,3),0))/1000000000,"SLO 不可達")</f>
        <v>89.5493939999384</v>
      </c>
      <c r="Q71" s="98" t="n">
        <f aca="false">IF(Fleet_1GW!Q18=1,(IF(ISNUMBER(Fleet_1GW!Q21),Fleet_1GW!Q21*INDEX(B4_FrontRef,1,1),0)+IF(ISNUMBER(Fleet_1GW!Q24),Fleet_1GW!Q24*INDEX(B4_FrontRef,1,2),0)+IF(ISNUMBER(Fleet_1GW!Q27),Fleet_1GW!Q27*INDEX(B4_FrontRef,1,3),0))/1000000000,"SLO 不可達")</f>
        <v>89.5493939999384</v>
      </c>
    </row>
    <row r="72" customFormat="false" ht="15" hidden="false" customHeight="false" outlineLevel="0" collapsed="false">
      <c r="A72" s="5" t="s">
        <v>2086</v>
      </c>
      <c r="B72" s="62" t="s">
        <v>2048</v>
      </c>
      <c r="C72" s="75" t="n">
        <f aca="false">INDEX(IF_HoldEcon,1,C$7)</f>
        <v>6.79107465326444</v>
      </c>
      <c r="D72" s="75" t="n">
        <f aca="false">INDEX(IF_HoldEcon,1,D$7)</f>
        <v>9.70308728611469</v>
      </c>
      <c r="E72" s="75" t="n">
        <f aca="false">INDEX(IF_HoldEcon,1,E$7)</f>
        <v>16.6637697337026</v>
      </c>
      <c r="F72" s="75" t="n">
        <f aca="false">INDEX(IF_HoldEcon,1,F$7)</f>
        <v>6.6118162762144</v>
      </c>
      <c r="G72" s="75" t="n">
        <f aca="false">INDEX(IF_HoldEcon,1,G$7)</f>
        <v>8.82816556596761</v>
      </c>
      <c r="H72" s="75" t="n">
        <f aca="false">INDEX(IF_HoldEcon,1,H$7)</f>
        <v>14.3185748619737</v>
      </c>
      <c r="I72" s="75" t="n">
        <f aca="false">INDEX(IF_HoldEcon,1,I$7)</f>
        <v>8.42889912085495</v>
      </c>
      <c r="J72" s="75" t="n">
        <f aca="false">INDEX(IF_HoldEcon,1,J$7)</f>
        <v>10.8864110021101</v>
      </c>
      <c r="K72" s="75" t="n">
        <f aca="false">INDEX(IF_HoldEcon,1,K$7)</f>
        <v>18.5346455040469</v>
      </c>
      <c r="L72" s="75" t="n">
        <f aca="false">INDEX(IF_HoldEcon,1,L$7)</f>
        <v>9.51207691858967</v>
      </c>
      <c r="M72" s="75" t="n">
        <f aca="false">INDEX(IF_HoldEcon,1,M$7)</f>
        <v>12.2254710045841</v>
      </c>
      <c r="N72" s="75" t="n">
        <f aca="false">INDEX(IF_HoldEcon,1,N$7)</f>
        <v>19.7506269894487</v>
      </c>
      <c r="O72" s="75" t="n">
        <f aca="false">INDEX(IF_HoldEcon,1,O$7)</f>
        <v>10.1025446864987</v>
      </c>
      <c r="P72" s="75" t="n">
        <f aca="false">INDEX(IF_HoldEcon,1,P$7)</f>
        <v>15.3544827030524</v>
      </c>
      <c r="Q72" s="75" t="n">
        <f aca="false">INDEX(IF_HoldEcon,1,Q$7)</f>
        <v>28.0302450108258</v>
      </c>
    </row>
    <row r="73" customFormat="false" ht="15" hidden="false" customHeight="false" outlineLevel="0" collapsed="false">
      <c r="A73" s="5" t="s">
        <v>2087</v>
      </c>
      <c r="B73" s="62" t="s">
        <v>118</v>
      </c>
      <c r="C73" s="104" t="n">
        <f aca="false">IF(ISNUMBER(C67),C67/C72,"SLO 不可達")</f>
        <v>0.984091704920842</v>
      </c>
      <c r="D73" s="104" t="n">
        <f aca="false">IF(ISNUMBER(D67),D67/D72,"SLO 不可達")</f>
        <v>0.688754005474039</v>
      </c>
      <c r="E73" s="104" t="n">
        <f aca="false">IF(ISNUMBER(E67),E67/E72,"SLO 不可達")</f>
        <v>0.401052123293518</v>
      </c>
      <c r="F73" s="104" t="n">
        <f aca="false">IF(ISNUMBER(F67),F67/F72,"SLO 不可達")</f>
        <v>4.41139873184232</v>
      </c>
      <c r="G73" s="104" t="n">
        <f aca="false">IF(ISNUMBER(G67),G67/G72,"SLO 不可達")</f>
        <v>3.30389792965666</v>
      </c>
      <c r="H73" s="104" t="n">
        <f aca="false">IF(ISNUMBER(H67),H67/H72,"SLO 不可達")</f>
        <v>2.0370293983326</v>
      </c>
      <c r="I73" s="104" t="n">
        <f aca="false">IF(ISNUMBER(I67),I67/I72,"SLO 不可達")</f>
        <v>4.75880238162408</v>
      </c>
      <c r="J73" s="104" t="n">
        <f aca="false">IF(ISNUMBER(J67),J67/J72,"SLO 不可達")</f>
        <v>3.68454444747852</v>
      </c>
      <c r="K73" s="104" t="n">
        <f aca="false">IF(ISNUMBER(K67),K67/K72,"SLO 不可達")</f>
        <v>2.16413446925843</v>
      </c>
      <c r="L73" s="104" t="n">
        <f aca="false">IF(ISNUMBER(L67),L67/L72,"SLO 不可達")</f>
        <v>6.93464104018907</v>
      </c>
      <c r="M73" s="104" t="n">
        <f aca="false">IF(ISNUMBER(M67),M67/M72,"SLO 不可達")</f>
        <v>5.39552537095327</v>
      </c>
      <c r="N73" s="104" t="n">
        <f aca="false">IF(ISNUMBER(N67),N67/N72,"SLO 不可達")</f>
        <v>3.3397845553119</v>
      </c>
      <c r="O73" s="104" t="n">
        <f aca="false">IF(ISNUMBER(O67),O67/O72,"SLO 不可達")</f>
        <v>9.06753000544638</v>
      </c>
      <c r="P73" s="104" t="n">
        <f aca="false">IF(ISNUMBER(P67),P67/P72,"SLO 不可達")</f>
        <v>5.96601844866964</v>
      </c>
      <c r="Q73" s="104" t="n">
        <f aca="false">IF(ISNUMBER(Q67),Q67/Q72,"SLO 不可達")</f>
        <v>3.26808156834911</v>
      </c>
      <c r="R73" s="74" t="s">
        <v>2088</v>
      </c>
    </row>
    <row r="74" customFormat="false" ht="15" hidden="false" customHeight="false" outlineLevel="0" collapsed="false">
      <c r="A74" s="5" t="s">
        <v>2089</v>
      </c>
      <c r="B74" s="62" t="s">
        <v>976</v>
      </c>
      <c r="C74" s="94" t="n">
        <f aca="false">IF(Fleet_1GW!C18=1,(IF(ISNUMBER(Fleet_1GW!C21),Fleet_1GW!C21*INDEX(B4_EffRef,1,1),0)+IF(ISNUMBER(Fleet_1GW!C24),Fleet_1GW!C24*INDEX(B4_EffRef,1,2),0)+IF(ISNUMBER(Fleet_1GW!C27),Fleet_1GW!C27*INDEX(B4_EffRef,1,3),0))/(Fleet_1GW!C19+Fleet_1GW!C20),"SLO 不可達")</f>
        <v>0.487711462554572</v>
      </c>
      <c r="D74" s="94" t="n">
        <f aca="false">IF(Fleet_1GW!D18=1,(IF(ISNUMBER(Fleet_1GW!D21),Fleet_1GW!D21*INDEX(B4_EffRef,1,1),0)+IF(ISNUMBER(Fleet_1GW!D24),Fleet_1GW!D24*INDEX(B4_EffRef,1,2),0)+IF(ISNUMBER(Fleet_1GW!D27),Fleet_1GW!D27*INDEX(B4_EffRef,1,3),0))/(Fleet_1GW!D19+Fleet_1GW!D20),"SLO 不可達")</f>
        <v>0.487711462554572</v>
      </c>
      <c r="E74" s="94" t="n">
        <f aca="false">IF(Fleet_1GW!E18=1,(IF(ISNUMBER(Fleet_1GW!E21),Fleet_1GW!E21*INDEX(B4_EffRef,1,1),0)+IF(ISNUMBER(Fleet_1GW!E24),Fleet_1GW!E24*INDEX(B4_EffRef,1,2),0)+IF(ISNUMBER(Fleet_1GW!E27),Fleet_1GW!E27*INDEX(B4_EffRef,1,3),0))/(Fleet_1GW!E19+Fleet_1GW!E20),"SLO 不可達")</f>
        <v>0.487711462554572</v>
      </c>
      <c r="F74" s="94" t="n">
        <f aca="false">IF(Fleet_1GW!F18=1,(IF(ISNUMBER(Fleet_1GW!F21),Fleet_1GW!F21*INDEX(B4_EffRef,1,1),0)+IF(ISNUMBER(Fleet_1GW!F24),Fleet_1GW!F24*INDEX(B4_EffRef,1,2),0)+IF(ISNUMBER(Fleet_1GW!F27),Fleet_1GW!F27*INDEX(B4_EffRef,1,3),0))/(Fleet_1GW!F19+Fleet_1GW!F20),"SLO 不可達")</f>
        <v>0.484625221055708</v>
      </c>
      <c r="G74" s="94" t="n">
        <f aca="false">IF(Fleet_1GW!G18=1,(IF(ISNUMBER(Fleet_1GW!G21),Fleet_1GW!G21*INDEX(B4_EffRef,1,1),0)+IF(ISNUMBER(Fleet_1GW!G24),Fleet_1GW!G24*INDEX(B4_EffRef,1,2),0)+IF(ISNUMBER(Fleet_1GW!G27),Fleet_1GW!G27*INDEX(B4_EffRef,1,3),0))/(Fleet_1GW!G19+Fleet_1GW!G20),"SLO 不可達")</f>
        <v>0.484625221055708</v>
      </c>
      <c r="H74" s="94" t="n">
        <f aca="false">IF(Fleet_1GW!H18=1,(IF(ISNUMBER(Fleet_1GW!H21),Fleet_1GW!H21*INDEX(B4_EffRef,1,1),0)+IF(ISNUMBER(Fleet_1GW!H24),Fleet_1GW!H24*INDEX(B4_EffRef,1,2),0)+IF(ISNUMBER(Fleet_1GW!H27),Fleet_1GW!H27*INDEX(B4_EffRef,1,3),0))/(Fleet_1GW!H19+Fleet_1GW!H20),"SLO 不可達")</f>
        <v>0.484625221055708</v>
      </c>
      <c r="I74" s="94" t="n">
        <f aca="false">IF(Fleet_1GW!I18=1,(IF(ISNUMBER(Fleet_1GW!I21),Fleet_1GW!I21*INDEX(B4_EffRef,1,1),0)+IF(ISNUMBER(Fleet_1GW!I24),Fleet_1GW!I24*INDEX(B4_EffRef,1,2),0)+IF(ISNUMBER(Fleet_1GW!I27),Fleet_1GW!I27*INDEX(B4_EffRef,1,3),0))/(Fleet_1GW!I19+Fleet_1GW!I20),"SLO 不可達")</f>
        <v>0.464131783912416</v>
      </c>
      <c r="J74" s="94" t="n">
        <f aca="false">IF(Fleet_1GW!J18=1,(IF(ISNUMBER(Fleet_1GW!J21),Fleet_1GW!J21*INDEX(B4_EffRef,1,1),0)+IF(ISNUMBER(Fleet_1GW!J24),Fleet_1GW!J24*INDEX(B4_EffRef,1,2),0)+IF(ISNUMBER(Fleet_1GW!J27),Fleet_1GW!J27*INDEX(B4_EffRef,1,3),0))/(Fleet_1GW!J19+Fleet_1GW!J20),"SLO 不可達")</f>
        <v>0.464131783912416</v>
      </c>
      <c r="K74" s="94" t="n">
        <f aca="false">IF(Fleet_1GW!K18=1,(IF(ISNUMBER(Fleet_1GW!K21),Fleet_1GW!K21*INDEX(B4_EffRef,1,1),0)+IF(ISNUMBER(Fleet_1GW!K24),Fleet_1GW!K24*INDEX(B4_EffRef,1,2),0)+IF(ISNUMBER(Fleet_1GW!K27),Fleet_1GW!K27*INDEX(B4_EffRef,1,3),0))/(Fleet_1GW!K19+Fleet_1GW!K20),"SLO 不可達")</f>
        <v>0.464131783912416</v>
      </c>
      <c r="L74" s="94" t="n">
        <f aca="false">IF(Fleet_1GW!L18=1,(IF(ISNUMBER(Fleet_1GW!L21),Fleet_1GW!L21*INDEX(B4_EffRef,1,1),0)+IF(ISNUMBER(Fleet_1GW!L24),Fleet_1GW!L24*INDEX(B4_EffRef,1,2),0)+IF(ISNUMBER(Fleet_1GW!L27),Fleet_1GW!L27*INDEX(B4_EffRef,1,3),0))/(Fleet_1GW!L19+Fleet_1GW!L20),"SLO 不可達")</f>
        <v>0.507978455490502</v>
      </c>
      <c r="M74" s="94" t="n">
        <f aca="false">IF(Fleet_1GW!M18=1,(IF(ISNUMBER(Fleet_1GW!M21),Fleet_1GW!M21*INDEX(B4_EffRef,1,1),0)+IF(ISNUMBER(Fleet_1GW!M24),Fleet_1GW!M24*INDEX(B4_EffRef,1,2),0)+IF(ISNUMBER(Fleet_1GW!M27),Fleet_1GW!M27*INDEX(B4_EffRef,1,3),0))/(Fleet_1GW!M19+Fleet_1GW!M20),"SLO 不可達")</f>
        <v>0.507978455490502</v>
      </c>
      <c r="N74" s="94" t="n">
        <f aca="false">IF(Fleet_1GW!N18=1,(IF(ISNUMBER(Fleet_1GW!N21),Fleet_1GW!N21*INDEX(B4_EffRef,1,1),0)+IF(ISNUMBER(Fleet_1GW!N24),Fleet_1GW!N24*INDEX(B4_EffRef,1,2),0)+IF(ISNUMBER(Fleet_1GW!N27),Fleet_1GW!N27*INDEX(B4_EffRef,1,3),0))/(Fleet_1GW!N19+Fleet_1GW!N20),"SLO 不可達")</f>
        <v>0.507978455490502</v>
      </c>
      <c r="O74" s="94" t="n">
        <f aca="false">IF(Fleet_1GW!O18=1,(IF(ISNUMBER(Fleet_1GW!O21),Fleet_1GW!O21*INDEX(B4_EffRef,1,1),0)+IF(ISNUMBER(Fleet_1GW!O24),Fleet_1GW!O24*INDEX(B4_EffRef,1,2),0)+IF(ISNUMBER(Fleet_1GW!O27),Fleet_1GW!O27*INDEX(B4_EffRef,1,3),0))/(Fleet_1GW!O19+Fleet_1GW!O20),"SLO 不可達")</f>
        <v>0.518582367937989</v>
      </c>
      <c r="P74" s="94" t="n">
        <f aca="false">IF(Fleet_1GW!P18=1,(IF(ISNUMBER(Fleet_1GW!P21),Fleet_1GW!P21*INDEX(B4_EffRef,1,1),0)+IF(ISNUMBER(Fleet_1GW!P24),Fleet_1GW!P24*INDEX(B4_EffRef,1,2),0)+IF(ISNUMBER(Fleet_1GW!P27),Fleet_1GW!P27*INDEX(B4_EffRef,1,3),0))/(Fleet_1GW!P19+Fleet_1GW!P20),"SLO 不可達")</f>
        <v>0.518582367937989</v>
      </c>
      <c r="Q74" s="94" t="n">
        <f aca="false">IF(Fleet_1GW!Q18=1,(IF(ISNUMBER(Fleet_1GW!Q21),Fleet_1GW!Q21*INDEX(B4_EffRef,1,1),0)+IF(ISNUMBER(Fleet_1GW!Q24),Fleet_1GW!Q24*INDEX(B4_EffRef,1,2),0)+IF(ISNUMBER(Fleet_1GW!Q27),Fleet_1GW!Q27*INDEX(B4_EffRef,1,3),0))/(Fleet_1GW!Q19+Fleet_1GW!Q20),"SLO 不可達")</f>
        <v>0.518582367937989</v>
      </c>
    </row>
    <row r="76" customFormat="false" ht="15" hidden="false" customHeight="false" outlineLevel="0" collapsed="false">
      <c r="A76" s="76" t="s">
        <v>2090</v>
      </c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</row>
    <row r="77" customFormat="false" ht="15" hidden="false" customHeight="false" outlineLevel="0" collapsed="false">
      <c r="A77" s="60" t="s">
        <v>2091</v>
      </c>
      <c r="C77" s="82" t="str">
        <f aca="false">Workload!C4</f>
        <v>一般聊天</v>
      </c>
      <c r="D77" s="82" t="str">
        <f aca="false">Workload!D4</f>
        <v>推理聊天</v>
      </c>
      <c r="E77" s="82" t="str">
        <f aca="false">Workload!E4</f>
        <v>單代理（工具迴圈）</v>
      </c>
      <c r="F77" s="82" t="str">
        <f aca="false">Workload!F4</f>
        <v>多代理研究</v>
      </c>
      <c r="G77" s="82" t="str">
        <f aca="false">Workload!G4</f>
        <v>Coding agent（長程）</v>
      </c>
      <c r="R77" s="74" t="s">
        <v>2092</v>
      </c>
    </row>
    <row r="78" customFormat="false" ht="15" hidden="false" customHeight="false" outlineLevel="0" collapsed="false">
      <c r="A78" s="62" t="s">
        <v>2093</v>
      </c>
      <c r="B78" s="62" t="s">
        <v>452</v>
      </c>
      <c r="C78" s="165" t="n">
        <f aca="false">(Workload!C32*INDEX(B4_EffIn,1,1)+Workload!C33*INDEX(B4_EffCache,1,1)+Workload!C34*INDEX(B4_EffOut,1,1))/1000000</f>
        <v>0.000328</v>
      </c>
      <c r="D78" s="165" t="n">
        <f aca="false">(Workload!D32*INDEX(B4_EffIn,1,1)+Workload!D33*INDEX(B4_EffCache,1,1)+Workload!D34*INDEX(B4_EffOut,1,1))/1000000</f>
        <v>0.001608</v>
      </c>
      <c r="E78" s="165" t="n">
        <f aca="false">(Workload!E32*INDEX(B4_EffIn,1,1)+Workload!E33*INDEX(B4_EffCache,1,1)+Workload!E34*INDEX(B4_EffOut,1,1))/1000000</f>
        <v>0.00165408</v>
      </c>
      <c r="F78" s="165" t="n">
        <f aca="false">(Workload!F32*INDEX(B4_EffIn,1,1)+Workload!F33*INDEX(B4_EffCache,1,1)+Workload!F34*INDEX(B4_EffOut,1,1))/1000000</f>
        <v>0.00661632</v>
      </c>
      <c r="G78" s="165" t="n">
        <f aca="false">(Workload!G32*INDEX(B4_EffIn,1,1)+Workload!G33*INDEX(B4_EffCache,1,1)+Workload!G34*INDEX(B4_EffOut,1,1))/1000000</f>
        <v>0.0381408</v>
      </c>
    </row>
    <row r="79" customFormat="false" ht="15" hidden="false" customHeight="false" outlineLevel="0" collapsed="false">
      <c r="A79" s="62" t="s">
        <v>2094</v>
      </c>
      <c r="B79" s="62" t="s">
        <v>452</v>
      </c>
      <c r="C79" s="165" t="n">
        <f aca="false">(Workload!C32*INDEX(B4_EffIn,1,2)+Workload!C33*INDEX(B4_EffCache,1,2)+Workload!C34*INDEX(B4_EffOut,1,2))/1000000</f>
        <v>0.00656</v>
      </c>
      <c r="D79" s="165" t="n">
        <f aca="false">(Workload!D32*INDEX(B4_EffIn,1,2)+Workload!D33*INDEX(B4_EffCache,1,2)+Workload!D34*INDEX(B4_EffOut,1,2))/1000000</f>
        <v>0.03216</v>
      </c>
      <c r="E79" s="165" t="n">
        <f aca="false">(Workload!E32*INDEX(B4_EffIn,1,2)+Workload!E33*INDEX(B4_EffCache,1,2)+Workload!E34*INDEX(B4_EffOut,1,2))/1000000</f>
        <v>0.0330816</v>
      </c>
      <c r="F79" s="165" t="n">
        <f aca="false">(Workload!F32*INDEX(B4_EffIn,1,2)+Workload!F33*INDEX(B4_EffCache,1,2)+Workload!F34*INDEX(B4_EffOut,1,2))/1000000</f>
        <v>0.1323264</v>
      </c>
      <c r="G79" s="165" t="n">
        <f aca="false">(Workload!G32*INDEX(B4_EffIn,1,2)+Workload!G33*INDEX(B4_EffCache,1,2)+Workload!G34*INDEX(B4_EffOut,1,2))/1000000</f>
        <v>0.762816</v>
      </c>
    </row>
    <row r="80" customFormat="false" ht="15" hidden="false" customHeight="false" outlineLevel="0" collapsed="false">
      <c r="A80" s="62" t="s">
        <v>2095</v>
      </c>
      <c r="B80" s="62" t="s">
        <v>452</v>
      </c>
      <c r="C80" s="165" t="n">
        <f aca="false">(Workload!C32*INDEX(B4_EffIn,1,3)+Workload!C33*INDEX(B4_EffCache,1,3)+Workload!C34*INDEX(B4_EffOut,1,3))/1000000</f>
        <v>0.0328</v>
      </c>
      <c r="D80" s="165" t="n">
        <f aca="false">(Workload!D32*INDEX(B4_EffIn,1,3)+Workload!D33*INDEX(B4_EffCache,1,3)+Workload!D34*INDEX(B4_EffOut,1,3))/1000000</f>
        <v>0.1608</v>
      </c>
      <c r="E80" s="165" t="n">
        <f aca="false">(Workload!E32*INDEX(B4_EffIn,1,3)+Workload!E33*INDEX(B4_EffCache,1,3)+Workload!E34*INDEX(B4_EffOut,1,3))/1000000</f>
        <v>0.165408</v>
      </c>
      <c r="F80" s="165" t="n">
        <f aca="false">(Workload!F32*INDEX(B4_EffIn,1,3)+Workload!F33*INDEX(B4_EffCache,1,3)+Workload!F34*INDEX(B4_EffOut,1,3))/1000000</f>
        <v>0.661632</v>
      </c>
      <c r="G80" s="165" t="n">
        <f aca="false">(Workload!G32*INDEX(B4_EffIn,1,3)+Workload!G33*INDEX(B4_EffCache,1,3)+Workload!G34*INDEX(B4_EffOut,1,3))/1000000</f>
        <v>3.81408</v>
      </c>
    </row>
    <row r="81" customFormat="false" ht="15" hidden="false" customHeight="false" outlineLevel="0" collapsed="false">
      <c r="A81" s="62" t="s">
        <v>2096</v>
      </c>
      <c r="B81" s="62" t="s">
        <v>118</v>
      </c>
      <c r="C81" s="111" t="n">
        <f aca="false">IF(ISNUMBER(Workload!C43),IF(Workload!C43&gt;0,C78/Workload!C43,0),"SLO 不可達")</f>
        <v>3.83494376151462</v>
      </c>
      <c r="D81" s="111" t="n">
        <f aca="false">IF(ISNUMBER(Workload!D43),IF(Workload!D43&gt;0,D78/Workload!D43,0),"SLO 不可達")</f>
        <v>2.89703067338012</v>
      </c>
      <c r="E81" s="111" t="n">
        <f aca="false">IF(ISNUMBER(Workload!E43),IF(Workload!E43&gt;0,E78/Workload!E43,0),"SLO 不可達")</f>
        <v>4.04940501958857</v>
      </c>
      <c r="F81" s="111" t="n">
        <f aca="false">IF(ISNUMBER(Workload!F43),IF(Workload!F43&gt;0,F78/Workload!F43,0),"SLO 不可達")</f>
        <v>4.04940501958857</v>
      </c>
      <c r="G81" s="111" t="n">
        <f aca="false">IF(ISNUMBER(Workload!G43),IF(Workload!G43&gt;0,G78/Workload!G43,0),"SLO 不可達")</f>
        <v>6.25550416230506</v>
      </c>
    </row>
    <row r="82" customFormat="false" ht="15" hidden="false" customHeight="false" outlineLevel="0" collapsed="false">
      <c r="A82" s="62" t="s">
        <v>2097</v>
      </c>
      <c r="B82" s="62" t="s">
        <v>118</v>
      </c>
      <c r="C82" s="111" t="n">
        <f aca="false">IF(ISNUMBER(Workload!C44),IF(Workload!C44&gt;0,C79/Workload!C44,0),"SLO 不可達")</f>
        <v>23.5014586660119</v>
      </c>
      <c r="D82" s="111" t="n">
        <f aca="false">IF(ISNUMBER(Workload!D44),IF(Workload!D44&gt;0,D79/Workload!D44,0),"SLO 不可達")</f>
        <v>17.9051477293678</v>
      </c>
      <c r="E82" s="111" t="n">
        <f aca="false">IF(ISNUMBER(Workload!E44),IF(Workload!E44&gt;0,E79/Workload!E44,0),"SLO 不可達")</f>
        <v>24.8558268198727</v>
      </c>
      <c r="F82" s="111" t="n">
        <f aca="false">IF(ISNUMBER(Workload!F44),IF(Workload!F44&gt;0,F79/Workload!F44,0),"SLO 不可達")</f>
        <v>24.8558268198727</v>
      </c>
      <c r="G82" s="111" t="n">
        <f aca="false">IF(ISNUMBER(Workload!G44),IF(Workload!G44&gt;0,G79/Workload!G44,0),"SLO 不可達")</f>
        <v>38.2446135809509</v>
      </c>
    </row>
    <row r="83" customFormat="false" ht="15" hidden="false" customHeight="false" outlineLevel="0" collapsed="false">
      <c r="A83" s="62" t="s">
        <v>2098</v>
      </c>
      <c r="B83" s="62" t="s">
        <v>118</v>
      </c>
      <c r="C83" s="111" t="n">
        <f aca="false">IF(ISNUMBER(Workload!C45),IF(Workload!C45&gt;0,C80/Workload!C45,0),"SLO 不可達")</f>
        <v>25.4199739879321</v>
      </c>
      <c r="D83" s="111" t="n">
        <f aca="false">IF(ISNUMBER(Workload!D45),IF(Workload!D45&gt;0,D80/Workload!D45,0),"SLO 不可達")</f>
        <v>18.5933896954029</v>
      </c>
      <c r="E83" s="111" t="n">
        <f aca="false">IF(ISNUMBER(Workload!E45),IF(Workload!E45&gt;0,E80/Workload!E45,0),"SLO 不可達")</f>
        <v>26.7763028820185</v>
      </c>
      <c r="F83" s="111" t="n">
        <f aca="false">IF(ISNUMBER(Workload!F45),IF(Workload!F45&gt;0,F80/Workload!F45,0),"SLO 不可達")</f>
        <v>26.7763028820185</v>
      </c>
      <c r="G83" s="111" t="n">
        <f aca="false">IF(ISNUMBER(Workload!G45),IF(Workload!G45&gt;0,G80/Workload!G45,0),"SLO 不可達")</f>
        <v>42.7526231642586</v>
      </c>
    </row>
    <row r="84" customFormat="false" ht="15" hidden="false" customHeight="false" outlineLevel="0" collapsed="false">
      <c r="A84" s="62" t="s">
        <v>2099</v>
      </c>
      <c r="B84" s="62" t="s">
        <v>118</v>
      </c>
      <c r="C84" s="111" t="n">
        <f aca="false">IF(ISNUMBER(Workload!C46),IF(Workload!C46&gt;0,C78/Workload!C46,0),"SLO 不可達")</f>
        <v>2.98393938653378</v>
      </c>
      <c r="D84" s="111" t="n">
        <f aca="false">IF(ISNUMBER(Workload!D46),IF(Workload!D46&gt;0,D78/Workload!D46,0),"SLO 不可達")</f>
        <v>2.2433523400546</v>
      </c>
      <c r="E84" s="111" t="n">
        <f aca="false">IF(ISNUMBER(Workload!E46),IF(Workload!E46&gt;0,E78/Workload!E46,0),"SLO 不可達")</f>
        <v>3.15389393334731</v>
      </c>
      <c r="F84" s="111" t="n">
        <f aca="false">IF(ISNUMBER(Workload!F46),IF(Workload!F46&gt;0,F78/Workload!F46,0),"SLO 不可達")</f>
        <v>3.15389393334731</v>
      </c>
      <c r="G84" s="111" t="n">
        <f aca="false">IF(ISNUMBER(Workload!G46),IF(Workload!G46&gt;0,G78/Workload!G46,0),"SLO 不可達")</f>
        <v>4.92524149248841</v>
      </c>
    </row>
    <row r="85" customFormat="false" ht="15" hidden="false" customHeight="false" outlineLevel="0" collapsed="false">
      <c r="A85" s="62" t="s">
        <v>2100</v>
      </c>
      <c r="B85" s="62" t="s">
        <v>118</v>
      </c>
      <c r="C85" s="111" t="n">
        <f aca="false">IF(ISNUMBER(Workload!C47),IF(Workload!C47&gt;0,C79/Workload!C47,0),"SLO 不可達")</f>
        <v>17.5347444875067</v>
      </c>
      <c r="D85" s="111" t="n">
        <f aca="false">IF(ISNUMBER(Workload!D47),IF(Workload!D47&gt;0,D79/Workload!D47,0),"SLO 不可達")</f>
        <v>13.2156775923346</v>
      </c>
      <c r="E85" s="111" t="n">
        <f aca="false">IF(ISNUMBER(Workload!E47),IF(Workload!E47&gt;0,E79/Workload!E47,0),"SLO 不可達")</f>
        <v>18.54522402604</v>
      </c>
      <c r="F85" s="111" t="n">
        <f aca="false">IF(ISNUMBER(Workload!F47),IF(Workload!F47&gt;0,F79/Workload!F47,0),"SLO 不可達")</f>
        <v>18.54522402604</v>
      </c>
      <c r="G85" s="111" t="n">
        <f aca="false">IF(ISNUMBER(Workload!G47),IF(Workload!G47&gt;0,G79/Workload!G47,0),"SLO 不可達")</f>
        <v>28.9471952468616</v>
      </c>
    </row>
    <row r="86" customFormat="false" ht="15" hidden="false" customHeight="false" outlineLevel="0" collapsed="false">
      <c r="A86" s="62" t="s">
        <v>2101</v>
      </c>
      <c r="B86" s="62" t="s">
        <v>118</v>
      </c>
      <c r="C86" s="111" t="n">
        <f aca="false">IF(ISNUMBER(Workload!C48),IF(Workload!C48&gt;0,C80/Workload!C48,0),"SLO 不可達")</f>
        <v>16.0330366405079</v>
      </c>
      <c r="D86" s="111" t="n">
        <f aca="false">IF(ISNUMBER(Workload!D48),IF(Workload!D48&gt;0,D80/Workload!D48,0),"SLO 不可達")</f>
        <v>11.4659565725606</v>
      </c>
      <c r="E86" s="111" t="n">
        <f aca="false">IF(ISNUMBER(Workload!E48),IF(Workload!E48&gt;0,E80/Workload!E48,0),"SLO 不可達")</f>
        <v>16.9002397799919</v>
      </c>
      <c r="F86" s="111" t="n">
        <f aca="false">IF(ISNUMBER(Workload!F48),IF(Workload!F48&gt;0,F80/Workload!F48,0),"SLO 不可達")</f>
        <v>16.9002397799919</v>
      </c>
      <c r="G86" s="111" t="n">
        <f aca="false">IF(ISNUMBER(Workload!G48),IF(Workload!G48&gt;0,G80/Workload!G48,0),"SLO 不可達")</f>
        <v>27.9760836686167</v>
      </c>
    </row>
    <row r="87" customFormat="false" ht="15" hidden="false" customHeight="false" outlineLevel="0" collapsed="false">
      <c r="A87" s="74" t="s">
        <v>2102</v>
      </c>
    </row>
    <row r="89" customFormat="false" ht="15" hidden="false" customHeight="false" outlineLevel="0" collapsed="false">
      <c r="A89" s="76" t="s">
        <v>2103</v>
      </c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</row>
    <row r="90" customFormat="false" ht="15" hidden="false" customHeight="false" outlineLevel="0" collapsed="false">
      <c r="A90" s="61" t="s">
        <v>2104</v>
      </c>
      <c r="B90" s="62" t="s">
        <v>2048</v>
      </c>
      <c r="C90" s="75" t="n">
        <f aca="false">INDEX(IFW_RevGW_Luna_Life,1,1)</f>
        <v>4.16601653965016</v>
      </c>
      <c r="D90" s="75" t="n">
        <f aca="false">INDEX(IFW_RevGW_Luna_Life,1,2)</f>
        <v>4.16601653965016</v>
      </c>
      <c r="E90" s="75" t="n">
        <f aca="false">INDEX(IFW_RevGW_Luna_Life,1,3)</f>
        <v>4.16601653965016</v>
      </c>
      <c r="F90" s="75" t="n">
        <f aca="false">INDEX(IFW_RevGW_Luna_Life,1,4)</f>
        <v>19.2981660478862</v>
      </c>
      <c r="G90" s="75" t="n">
        <f aca="false">INDEX(IFW_RevGW_Luna_Life,1,5)</f>
        <v>19.2981660478862</v>
      </c>
      <c r="H90" s="75" t="n">
        <f aca="false">INDEX(IFW_RevGW_Luna_Life,1,6)</f>
        <v>19.2981660478862</v>
      </c>
      <c r="I90" s="75" t="n">
        <f aca="false">INDEX(IFW_RevGW_Luna_Life,1,7)</f>
        <v>28.0957372251188</v>
      </c>
      <c r="J90" s="75" t="n">
        <f aca="false">INDEX(IFW_RevGW_Luna_Life,1,8)</f>
        <v>28.0957372251188</v>
      </c>
      <c r="K90" s="75" t="n">
        <f aca="false">INDEX(IFW_RevGW_Luna_Life,1,9)</f>
        <v>28.0957372251188</v>
      </c>
      <c r="L90" s="75" t="n">
        <f aca="false">INDEX(IFW_RevGW_Luna_Life,1,10)</f>
        <v>40.6269205958863</v>
      </c>
      <c r="M90" s="75" t="n">
        <f aca="false">INDEX(IFW_RevGW_Luna_Life,1,11)</f>
        <v>40.6269205958863</v>
      </c>
      <c r="N90" s="75" t="n">
        <f aca="false">INDEX(IFW_RevGW_Luna_Life,1,12)</f>
        <v>40.6269205958863</v>
      </c>
      <c r="O90" s="75" t="n">
        <f aca="false">INDEX(IFW_RevGW_Luna_Life,1,13)</f>
        <v>54.7307309163427</v>
      </c>
      <c r="P90" s="75" t="n">
        <f aca="false">INDEX(IFW_RevGW_Luna_Life,1,14)</f>
        <v>54.7307309163427</v>
      </c>
      <c r="Q90" s="75" t="n">
        <f aca="false">INDEX(IFW_RevGW_Luna_Life,1,15)</f>
        <v>54.7307309163427</v>
      </c>
    </row>
    <row r="91" customFormat="false" ht="15" hidden="false" customHeight="false" outlineLevel="0" collapsed="false">
      <c r="A91" s="61" t="s">
        <v>2105</v>
      </c>
      <c r="B91" s="62" t="s">
        <v>2048</v>
      </c>
      <c r="C91" s="75" t="n">
        <f aca="false">INDEX(IFW_RevGW_Sol_Life,1,1)</f>
        <v>25.8351210172715</v>
      </c>
      <c r="D91" s="75" t="n">
        <f aca="false">INDEX(IFW_RevGW_Sol_Life,1,2)</f>
        <v>25.8351210172715</v>
      </c>
      <c r="E91" s="75" t="n">
        <f aca="false">INDEX(IFW_RevGW_Sol_Life,1,3)</f>
        <v>25.8351210172715</v>
      </c>
      <c r="F91" s="75" t="n">
        <f aca="false">INDEX(IFW_RevGW_Sol_Life,1,4)</f>
        <v>115.189801090007</v>
      </c>
      <c r="G91" s="75" t="n">
        <f aca="false">INDEX(IFW_RevGW_Sol_Life,1,5)</f>
        <v>115.189801090007</v>
      </c>
      <c r="H91" s="75" t="n">
        <f aca="false">INDEX(IFW_RevGW_Sol_Life,1,6)</f>
        <v>115.189801090007</v>
      </c>
      <c r="I91" s="75" t="n">
        <f aca="false">INDEX(IFW_RevGW_Sol_Life,1,7)</f>
        <v>167.702069430222</v>
      </c>
      <c r="J91" s="75" t="n">
        <f aca="false">INDEX(IFW_RevGW_Sol_Life,1,8)</f>
        <v>167.702069430222</v>
      </c>
      <c r="K91" s="75" t="n">
        <f aca="false">INDEX(IFW_RevGW_Sol_Life,1,9)</f>
        <v>167.702069430222</v>
      </c>
      <c r="L91" s="75" t="n">
        <f aca="false">INDEX(IFW_RevGW_Sol_Life,1,10)</f>
        <v>252.853670235275</v>
      </c>
      <c r="M91" s="75" t="n">
        <f aca="false">INDEX(IFW_RevGW_Sol_Life,1,11)</f>
        <v>252.853670235275</v>
      </c>
      <c r="N91" s="75" t="n">
        <f aca="false">INDEX(IFW_RevGW_Sol_Life,1,12)</f>
        <v>252.853670235275</v>
      </c>
      <c r="O91" s="75" t="n">
        <f aca="false">INDEX(IFW_RevGW_Sol_Life,1,13)</f>
        <v>344.651879941955</v>
      </c>
      <c r="P91" s="75" t="n">
        <f aca="false">INDEX(IFW_RevGW_Sol_Life,1,14)</f>
        <v>344.651879941955</v>
      </c>
      <c r="Q91" s="75" t="n">
        <f aca="false">INDEX(IFW_RevGW_Sol_Life,1,15)</f>
        <v>344.651879941955</v>
      </c>
    </row>
    <row r="92" customFormat="false" ht="15" hidden="false" customHeight="false" outlineLevel="0" collapsed="false">
      <c r="A92" s="61" t="s">
        <v>2106</v>
      </c>
      <c r="B92" s="62" t="s">
        <v>2048</v>
      </c>
      <c r="C92" s="75" t="n">
        <f aca="false">INDEX(IFW_RevGW_Astra_Life,1,1)</f>
        <v>23.7314208542587</v>
      </c>
      <c r="D92" s="75" t="n">
        <f aca="false">INDEX(IFW_RevGW_Astra_Life,1,2)</f>
        <v>23.7314208542587</v>
      </c>
      <c r="E92" s="75" t="n">
        <f aca="false">INDEX(IFW_RevGW_Astra_Life,1,3)</f>
        <v>23.7314208542587</v>
      </c>
      <c r="F92" s="75" t="n">
        <f aca="false">INDEX(IFW_RevGW_Astra_Life,1,4)</f>
        <v>112.606466107701</v>
      </c>
      <c r="G92" s="75" t="n">
        <f aca="false">INDEX(IFW_RevGW_Astra_Life,1,5)</f>
        <v>112.606466107701</v>
      </c>
      <c r="H92" s="75" t="n">
        <f aca="false">INDEX(IFW_RevGW_Astra_Life,1,6)</f>
        <v>112.606466107701</v>
      </c>
      <c r="I92" s="75" t="n">
        <f aca="false">INDEX(IFW_RevGW_Astra_Life,1,7)</f>
        <v>146.896191352993</v>
      </c>
      <c r="J92" s="75" t="n">
        <f aca="false">INDEX(IFW_RevGW_Astra_Life,1,8)</f>
        <v>146.896191352993</v>
      </c>
      <c r="K92" s="75" t="n">
        <f aca="false">INDEX(IFW_RevGW_Astra_Life,1,9)</f>
        <v>146.896191352993</v>
      </c>
      <c r="L92" s="75" t="n">
        <f aca="false">INDEX(IFW_RevGW_Astra_Life,1,10)</f>
        <v>266.938542515567</v>
      </c>
      <c r="M92" s="75" t="n">
        <f aca="false">INDEX(IFW_RevGW_Astra_Life,1,11)</f>
        <v>266.938542515567</v>
      </c>
      <c r="N92" s="75" t="n">
        <f aca="false">INDEX(IFW_RevGW_Astra_Life,1,12)</f>
        <v>266.938542515567</v>
      </c>
      <c r="O92" s="75" t="n">
        <f aca="false">INDEX(IFW_RevGW_Astra_Life,1,13)</f>
        <v>379.622499261887</v>
      </c>
      <c r="P92" s="75" t="n">
        <f aca="false">INDEX(IFW_RevGW_Astra_Life,1,14)</f>
        <v>379.622499261887</v>
      </c>
      <c r="Q92" s="75" t="n">
        <f aca="false">INDEX(IFW_RevGW_Astra_Life,1,15)</f>
        <v>379.622499261887</v>
      </c>
    </row>
    <row r="93" customFormat="false" ht="15" hidden="false" customHeight="false" outlineLevel="0" collapsed="false">
      <c r="A93" s="61" t="s">
        <v>2107</v>
      </c>
      <c r="B93" s="62" t="s">
        <v>2048</v>
      </c>
      <c r="C93" s="75" t="n">
        <f aca="false">INDEX(IFW_RevGWFleet_Life,1,1)</f>
        <v>5.01848956376868</v>
      </c>
      <c r="D93" s="75" t="n">
        <f aca="false">INDEX(IFW_RevGWFleet_Life,1,2)</f>
        <v>5.01848956376868</v>
      </c>
      <c r="E93" s="75" t="n">
        <f aca="false">INDEX(IFW_RevGWFleet_Life,1,3)</f>
        <v>5.01848956376868</v>
      </c>
      <c r="F93" s="75" t="n">
        <f aca="false">INDEX(IFW_RevGWFleet_Life,1,4)</f>
        <v>23.2784953027427</v>
      </c>
      <c r="G93" s="75" t="n">
        <f aca="false">INDEX(IFW_RevGWFleet_Life,1,5)</f>
        <v>23.2784953027427</v>
      </c>
      <c r="H93" s="75" t="n">
        <f aca="false">INDEX(IFW_RevGWFleet_Life,1,6)</f>
        <v>23.2784953027427</v>
      </c>
      <c r="I93" s="75" t="n">
        <f aca="false">INDEX(IFW_RevGWFleet_Life,1,7)</f>
        <v>31.7743161074204</v>
      </c>
      <c r="J93" s="75" t="n">
        <f aca="false">INDEX(IFW_RevGWFleet_Life,1,8)</f>
        <v>31.7743161074204</v>
      </c>
      <c r="K93" s="75" t="n">
        <f aca="false">INDEX(IFW_RevGWFleet_Life,1,9)</f>
        <v>31.7743161074204</v>
      </c>
      <c r="L93" s="75" t="n">
        <f aca="false">INDEX(IFW_RevGWFleet_Life,1,10)</f>
        <v>53.1540686485926</v>
      </c>
      <c r="M93" s="75" t="n">
        <f aca="false">INDEX(IFW_RevGWFleet_Life,1,11)</f>
        <v>53.1540686485926</v>
      </c>
      <c r="N93" s="75" t="n">
        <f aca="false">INDEX(IFW_RevGWFleet_Life,1,12)</f>
        <v>53.1540686485926</v>
      </c>
      <c r="O93" s="75" t="n">
        <f aca="false">INDEX(IFW_RevGWFleet_Life,1,13)</f>
        <v>74.0683951910804</v>
      </c>
      <c r="P93" s="75" t="n">
        <f aca="false">INDEX(IFW_RevGWFleet_Life,1,14)</f>
        <v>74.0683951910804</v>
      </c>
      <c r="Q93" s="75" t="n">
        <f aca="false">INDEX(IFW_RevGWFleet_Life,1,15)</f>
        <v>74.0683951910804</v>
      </c>
    </row>
    <row r="95" customFormat="false" ht="15" hidden="false" customHeight="false" outlineLevel="0" collapsed="false">
      <c r="A95" s="60" t="s">
        <v>2108</v>
      </c>
    </row>
    <row r="96" customFormat="false" ht="15" hidden="false" customHeight="false" outlineLevel="0" collapsed="false">
      <c r="A96" s="59" t="s">
        <v>2109</v>
      </c>
      <c r="C96" s="105" t="n">
        <f aca="false">IF(AND(ISNUMBER(INDEX(IF_RevGW_Luna_Life,1,1)),ISNUMBER(INDEX(IFW_RevGW_Luna_Life,1,1))),IF(ABS(INDEX(IF_RevGW_Luna_Life,1,1)-INDEX(IFW_RevGW_Luna_Life,1,1))&lt;=0.000000001,0,1),IF(AND(NOT(ISNUMBER(INDEX(IF_RevGW_Luna_Life,1,1))),NOT(ISNUMBER(INDEX(IFW_RevGW_Luna_Life,1,1)))),IF(INDEX(IF_RevGW_Luna_Life,1,1)=INDEX(IFW_RevGW_Luna_Life,1,1),0,1),1))</f>
        <v>0</v>
      </c>
      <c r="D96" s="105" t="n">
        <f aca="false">IF(AND(ISNUMBER(INDEX(IF_RevGW_Luna_Life,1,2)),ISNUMBER(INDEX(IFW_RevGW_Luna_Life,1,2))),IF(ABS(INDEX(IF_RevGW_Luna_Life,1,2)-INDEX(IFW_RevGW_Luna_Life,1,2))&lt;=0.000000001,0,1),IF(AND(NOT(ISNUMBER(INDEX(IF_RevGW_Luna_Life,1,2))),NOT(ISNUMBER(INDEX(IFW_RevGW_Luna_Life,1,2)))),IF(INDEX(IF_RevGW_Luna_Life,1,2)=INDEX(IFW_RevGW_Luna_Life,1,2),0,1),1))</f>
        <v>0</v>
      </c>
      <c r="E96" s="105" t="n">
        <f aca="false">IF(AND(ISNUMBER(INDEX(IF_RevGW_Luna_Life,1,3)),ISNUMBER(INDEX(IFW_RevGW_Luna_Life,1,3))),IF(ABS(INDEX(IF_RevGW_Luna_Life,1,3)-INDEX(IFW_RevGW_Luna_Life,1,3))&lt;=0.000000001,0,1),IF(AND(NOT(ISNUMBER(INDEX(IF_RevGW_Luna_Life,1,3))),NOT(ISNUMBER(INDEX(IFW_RevGW_Luna_Life,1,3)))),IF(INDEX(IF_RevGW_Luna_Life,1,3)=INDEX(IFW_RevGW_Luna_Life,1,3),0,1),1))</f>
        <v>0</v>
      </c>
      <c r="F96" s="105" t="n">
        <f aca="false">IF(AND(ISNUMBER(INDEX(IF_RevGW_Luna_Life,1,4)),ISNUMBER(INDEX(IFW_RevGW_Luna_Life,1,4))),IF(ABS(INDEX(IF_RevGW_Luna_Life,1,4)-INDEX(IFW_RevGW_Luna_Life,1,4))&lt;=0.000000001,0,1),IF(AND(NOT(ISNUMBER(INDEX(IF_RevGW_Luna_Life,1,4))),NOT(ISNUMBER(INDEX(IFW_RevGW_Luna_Life,1,4)))),IF(INDEX(IF_RevGW_Luna_Life,1,4)=INDEX(IFW_RevGW_Luna_Life,1,4),0,1),1))</f>
        <v>0</v>
      </c>
      <c r="G96" s="105" t="n">
        <f aca="false">IF(AND(ISNUMBER(INDEX(IF_RevGW_Luna_Life,1,5)),ISNUMBER(INDEX(IFW_RevGW_Luna_Life,1,5))),IF(ABS(INDEX(IF_RevGW_Luna_Life,1,5)-INDEX(IFW_RevGW_Luna_Life,1,5))&lt;=0.000000001,0,1),IF(AND(NOT(ISNUMBER(INDEX(IF_RevGW_Luna_Life,1,5))),NOT(ISNUMBER(INDEX(IFW_RevGW_Luna_Life,1,5)))),IF(INDEX(IF_RevGW_Luna_Life,1,5)=INDEX(IFW_RevGW_Luna_Life,1,5),0,1),1))</f>
        <v>0</v>
      </c>
      <c r="H96" s="105" t="n">
        <f aca="false">IF(AND(ISNUMBER(INDEX(IF_RevGW_Luna_Life,1,6)),ISNUMBER(INDEX(IFW_RevGW_Luna_Life,1,6))),IF(ABS(INDEX(IF_RevGW_Luna_Life,1,6)-INDEX(IFW_RevGW_Luna_Life,1,6))&lt;=0.000000001,0,1),IF(AND(NOT(ISNUMBER(INDEX(IF_RevGW_Luna_Life,1,6))),NOT(ISNUMBER(INDEX(IFW_RevGW_Luna_Life,1,6)))),IF(INDEX(IF_RevGW_Luna_Life,1,6)=INDEX(IFW_RevGW_Luna_Life,1,6),0,1),1))</f>
        <v>0</v>
      </c>
      <c r="I96" s="105" t="n">
        <f aca="false">IF(AND(ISNUMBER(INDEX(IF_RevGW_Luna_Life,1,7)),ISNUMBER(INDEX(IFW_RevGW_Luna_Life,1,7))),IF(ABS(INDEX(IF_RevGW_Luna_Life,1,7)-INDEX(IFW_RevGW_Luna_Life,1,7))&lt;=0.000000001,0,1),IF(AND(NOT(ISNUMBER(INDEX(IF_RevGW_Luna_Life,1,7))),NOT(ISNUMBER(INDEX(IFW_RevGW_Luna_Life,1,7)))),IF(INDEX(IF_RevGW_Luna_Life,1,7)=INDEX(IFW_RevGW_Luna_Life,1,7),0,1),1))</f>
        <v>0</v>
      </c>
      <c r="J96" s="105" t="n">
        <f aca="false">IF(AND(ISNUMBER(INDEX(IF_RevGW_Luna_Life,1,8)),ISNUMBER(INDEX(IFW_RevGW_Luna_Life,1,8))),IF(ABS(INDEX(IF_RevGW_Luna_Life,1,8)-INDEX(IFW_RevGW_Luna_Life,1,8))&lt;=0.000000001,0,1),IF(AND(NOT(ISNUMBER(INDEX(IF_RevGW_Luna_Life,1,8))),NOT(ISNUMBER(INDEX(IFW_RevGW_Luna_Life,1,8)))),IF(INDEX(IF_RevGW_Luna_Life,1,8)=INDEX(IFW_RevGW_Luna_Life,1,8),0,1),1))</f>
        <v>0</v>
      </c>
      <c r="K96" s="105" t="n">
        <f aca="false">IF(AND(ISNUMBER(INDEX(IF_RevGW_Luna_Life,1,9)),ISNUMBER(INDEX(IFW_RevGW_Luna_Life,1,9))),IF(ABS(INDEX(IF_RevGW_Luna_Life,1,9)-INDEX(IFW_RevGW_Luna_Life,1,9))&lt;=0.000000001,0,1),IF(AND(NOT(ISNUMBER(INDEX(IF_RevGW_Luna_Life,1,9))),NOT(ISNUMBER(INDEX(IFW_RevGW_Luna_Life,1,9)))),IF(INDEX(IF_RevGW_Luna_Life,1,9)=INDEX(IFW_RevGW_Luna_Life,1,9),0,1),1))</f>
        <v>0</v>
      </c>
      <c r="L96" s="105" t="n">
        <f aca="false">IF(AND(ISNUMBER(INDEX(IF_RevGW_Luna_Life,1,10)),ISNUMBER(INDEX(IFW_RevGW_Luna_Life,1,10))),IF(ABS(INDEX(IF_RevGW_Luna_Life,1,10)-INDEX(IFW_RevGW_Luna_Life,1,10))&lt;=0.000000001,0,1),IF(AND(NOT(ISNUMBER(INDEX(IF_RevGW_Luna_Life,1,10))),NOT(ISNUMBER(INDEX(IFW_RevGW_Luna_Life,1,10)))),IF(INDEX(IF_RevGW_Luna_Life,1,10)=INDEX(IFW_RevGW_Luna_Life,1,10),0,1),1))</f>
        <v>0</v>
      </c>
      <c r="M96" s="105" t="n">
        <f aca="false">IF(AND(ISNUMBER(INDEX(IF_RevGW_Luna_Life,1,11)),ISNUMBER(INDEX(IFW_RevGW_Luna_Life,1,11))),IF(ABS(INDEX(IF_RevGW_Luna_Life,1,11)-INDEX(IFW_RevGW_Luna_Life,1,11))&lt;=0.000000001,0,1),IF(AND(NOT(ISNUMBER(INDEX(IF_RevGW_Luna_Life,1,11))),NOT(ISNUMBER(INDEX(IFW_RevGW_Luna_Life,1,11)))),IF(INDEX(IF_RevGW_Luna_Life,1,11)=INDEX(IFW_RevGW_Luna_Life,1,11),0,1),1))</f>
        <v>0</v>
      </c>
      <c r="N96" s="105" t="n">
        <f aca="false">IF(AND(ISNUMBER(INDEX(IF_RevGW_Luna_Life,1,12)),ISNUMBER(INDEX(IFW_RevGW_Luna_Life,1,12))),IF(ABS(INDEX(IF_RevGW_Luna_Life,1,12)-INDEX(IFW_RevGW_Luna_Life,1,12))&lt;=0.000000001,0,1),IF(AND(NOT(ISNUMBER(INDEX(IF_RevGW_Luna_Life,1,12))),NOT(ISNUMBER(INDEX(IFW_RevGW_Luna_Life,1,12)))),IF(INDEX(IF_RevGW_Luna_Life,1,12)=INDEX(IFW_RevGW_Luna_Life,1,12),0,1),1))</f>
        <v>0</v>
      </c>
      <c r="O96" s="105" t="n">
        <f aca="false">IF(AND(ISNUMBER(INDEX(IF_RevGW_Luna_Life,1,13)),ISNUMBER(INDEX(IFW_RevGW_Luna_Life,1,13))),IF(ABS(INDEX(IF_RevGW_Luna_Life,1,13)-INDEX(IFW_RevGW_Luna_Life,1,13))&lt;=0.000000001,0,1),IF(AND(NOT(ISNUMBER(INDEX(IF_RevGW_Luna_Life,1,13))),NOT(ISNUMBER(INDEX(IFW_RevGW_Luna_Life,1,13)))),IF(INDEX(IF_RevGW_Luna_Life,1,13)=INDEX(IFW_RevGW_Luna_Life,1,13),0,1),1))</f>
        <v>0</v>
      </c>
      <c r="P96" s="105" t="n">
        <f aca="false">IF(AND(ISNUMBER(INDEX(IF_RevGW_Luna_Life,1,14)),ISNUMBER(INDEX(IFW_RevGW_Luna_Life,1,14))),IF(ABS(INDEX(IF_RevGW_Luna_Life,1,14)-INDEX(IFW_RevGW_Luna_Life,1,14))&lt;=0.000000001,0,1),IF(AND(NOT(ISNUMBER(INDEX(IF_RevGW_Luna_Life,1,14))),NOT(ISNUMBER(INDEX(IFW_RevGW_Luna_Life,1,14)))),IF(INDEX(IF_RevGW_Luna_Life,1,14)=INDEX(IFW_RevGW_Luna_Life,1,14),0,1),1))</f>
        <v>0</v>
      </c>
      <c r="Q96" s="105" t="n">
        <f aca="false">IF(AND(ISNUMBER(INDEX(IF_RevGW_Luna_Life,1,15)),ISNUMBER(INDEX(IFW_RevGW_Luna_Life,1,15))),IF(ABS(INDEX(IF_RevGW_Luna_Life,1,15)-INDEX(IFW_RevGW_Luna_Life,1,15))&lt;=0.000000001,0,1),IF(AND(NOT(ISNUMBER(INDEX(IF_RevGW_Luna_Life,1,15))),NOT(ISNUMBER(INDEX(IFW_RevGW_Luna_Life,1,15)))),IF(INDEX(IF_RevGW_Luna_Life,1,15)=INDEX(IFW_RevGW_Luna_Life,1,15),0,1),1))</f>
        <v>0</v>
      </c>
    </row>
    <row r="97" customFormat="false" ht="15" hidden="false" customHeight="false" outlineLevel="0" collapsed="false">
      <c r="A97" s="59" t="s">
        <v>2110</v>
      </c>
      <c r="C97" s="105" t="n">
        <f aca="false">IF(AND(ISNUMBER(INDEX(IF_RevGW_Sol_Life,1,1)),ISNUMBER(INDEX(IFW_RevGW_Sol_Life,1,1))),IF(ABS(INDEX(IF_RevGW_Sol_Life,1,1)-INDEX(IFW_RevGW_Sol_Life,1,1))&lt;=0.000000001,0,1),IF(AND(NOT(ISNUMBER(INDEX(IF_RevGW_Sol_Life,1,1))),NOT(ISNUMBER(INDEX(IFW_RevGW_Sol_Life,1,1)))),IF(INDEX(IF_RevGW_Sol_Life,1,1)=INDEX(IFW_RevGW_Sol_Life,1,1),0,1),1))</f>
        <v>0</v>
      </c>
      <c r="D97" s="105" t="n">
        <f aca="false">IF(AND(ISNUMBER(INDEX(IF_RevGW_Sol_Life,1,2)),ISNUMBER(INDEX(IFW_RevGW_Sol_Life,1,2))),IF(ABS(INDEX(IF_RevGW_Sol_Life,1,2)-INDEX(IFW_RevGW_Sol_Life,1,2))&lt;=0.000000001,0,1),IF(AND(NOT(ISNUMBER(INDEX(IF_RevGW_Sol_Life,1,2))),NOT(ISNUMBER(INDEX(IFW_RevGW_Sol_Life,1,2)))),IF(INDEX(IF_RevGW_Sol_Life,1,2)=INDEX(IFW_RevGW_Sol_Life,1,2),0,1),1))</f>
        <v>0</v>
      </c>
      <c r="E97" s="105" t="n">
        <f aca="false">IF(AND(ISNUMBER(INDEX(IF_RevGW_Sol_Life,1,3)),ISNUMBER(INDEX(IFW_RevGW_Sol_Life,1,3))),IF(ABS(INDEX(IF_RevGW_Sol_Life,1,3)-INDEX(IFW_RevGW_Sol_Life,1,3))&lt;=0.000000001,0,1),IF(AND(NOT(ISNUMBER(INDEX(IF_RevGW_Sol_Life,1,3))),NOT(ISNUMBER(INDEX(IFW_RevGW_Sol_Life,1,3)))),IF(INDEX(IF_RevGW_Sol_Life,1,3)=INDEX(IFW_RevGW_Sol_Life,1,3),0,1),1))</f>
        <v>0</v>
      </c>
      <c r="F97" s="105" t="n">
        <f aca="false">IF(AND(ISNUMBER(INDEX(IF_RevGW_Sol_Life,1,4)),ISNUMBER(INDEX(IFW_RevGW_Sol_Life,1,4))),IF(ABS(INDEX(IF_RevGW_Sol_Life,1,4)-INDEX(IFW_RevGW_Sol_Life,1,4))&lt;=0.000000001,0,1),IF(AND(NOT(ISNUMBER(INDEX(IF_RevGW_Sol_Life,1,4))),NOT(ISNUMBER(INDEX(IFW_RevGW_Sol_Life,1,4)))),IF(INDEX(IF_RevGW_Sol_Life,1,4)=INDEX(IFW_RevGW_Sol_Life,1,4),0,1),1))</f>
        <v>0</v>
      </c>
      <c r="G97" s="105" t="n">
        <f aca="false">IF(AND(ISNUMBER(INDEX(IF_RevGW_Sol_Life,1,5)),ISNUMBER(INDEX(IFW_RevGW_Sol_Life,1,5))),IF(ABS(INDEX(IF_RevGW_Sol_Life,1,5)-INDEX(IFW_RevGW_Sol_Life,1,5))&lt;=0.000000001,0,1),IF(AND(NOT(ISNUMBER(INDEX(IF_RevGW_Sol_Life,1,5))),NOT(ISNUMBER(INDEX(IFW_RevGW_Sol_Life,1,5)))),IF(INDEX(IF_RevGW_Sol_Life,1,5)=INDEX(IFW_RevGW_Sol_Life,1,5),0,1),1))</f>
        <v>0</v>
      </c>
      <c r="H97" s="105" t="n">
        <f aca="false">IF(AND(ISNUMBER(INDEX(IF_RevGW_Sol_Life,1,6)),ISNUMBER(INDEX(IFW_RevGW_Sol_Life,1,6))),IF(ABS(INDEX(IF_RevGW_Sol_Life,1,6)-INDEX(IFW_RevGW_Sol_Life,1,6))&lt;=0.000000001,0,1),IF(AND(NOT(ISNUMBER(INDEX(IF_RevGW_Sol_Life,1,6))),NOT(ISNUMBER(INDEX(IFW_RevGW_Sol_Life,1,6)))),IF(INDEX(IF_RevGW_Sol_Life,1,6)=INDEX(IFW_RevGW_Sol_Life,1,6),0,1),1))</f>
        <v>0</v>
      </c>
      <c r="I97" s="105" t="n">
        <f aca="false">IF(AND(ISNUMBER(INDEX(IF_RevGW_Sol_Life,1,7)),ISNUMBER(INDEX(IFW_RevGW_Sol_Life,1,7))),IF(ABS(INDEX(IF_RevGW_Sol_Life,1,7)-INDEX(IFW_RevGW_Sol_Life,1,7))&lt;=0.000000001,0,1),IF(AND(NOT(ISNUMBER(INDEX(IF_RevGW_Sol_Life,1,7))),NOT(ISNUMBER(INDEX(IFW_RevGW_Sol_Life,1,7)))),IF(INDEX(IF_RevGW_Sol_Life,1,7)=INDEX(IFW_RevGW_Sol_Life,1,7),0,1),1))</f>
        <v>0</v>
      </c>
      <c r="J97" s="105" t="n">
        <f aca="false">IF(AND(ISNUMBER(INDEX(IF_RevGW_Sol_Life,1,8)),ISNUMBER(INDEX(IFW_RevGW_Sol_Life,1,8))),IF(ABS(INDEX(IF_RevGW_Sol_Life,1,8)-INDEX(IFW_RevGW_Sol_Life,1,8))&lt;=0.000000001,0,1),IF(AND(NOT(ISNUMBER(INDEX(IF_RevGW_Sol_Life,1,8))),NOT(ISNUMBER(INDEX(IFW_RevGW_Sol_Life,1,8)))),IF(INDEX(IF_RevGW_Sol_Life,1,8)=INDEX(IFW_RevGW_Sol_Life,1,8),0,1),1))</f>
        <v>0</v>
      </c>
      <c r="K97" s="105" t="n">
        <f aca="false">IF(AND(ISNUMBER(INDEX(IF_RevGW_Sol_Life,1,9)),ISNUMBER(INDEX(IFW_RevGW_Sol_Life,1,9))),IF(ABS(INDEX(IF_RevGW_Sol_Life,1,9)-INDEX(IFW_RevGW_Sol_Life,1,9))&lt;=0.000000001,0,1),IF(AND(NOT(ISNUMBER(INDEX(IF_RevGW_Sol_Life,1,9))),NOT(ISNUMBER(INDEX(IFW_RevGW_Sol_Life,1,9)))),IF(INDEX(IF_RevGW_Sol_Life,1,9)=INDEX(IFW_RevGW_Sol_Life,1,9),0,1),1))</f>
        <v>0</v>
      </c>
      <c r="L97" s="105" t="n">
        <f aca="false">IF(AND(ISNUMBER(INDEX(IF_RevGW_Sol_Life,1,10)),ISNUMBER(INDEX(IFW_RevGW_Sol_Life,1,10))),IF(ABS(INDEX(IF_RevGW_Sol_Life,1,10)-INDEX(IFW_RevGW_Sol_Life,1,10))&lt;=0.000000001,0,1),IF(AND(NOT(ISNUMBER(INDEX(IF_RevGW_Sol_Life,1,10))),NOT(ISNUMBER(INDEX(IFW_RevGW_Sol_Life,1,10)))),IF(INDEX(IF_RevGW_Sol_Life,1,10)=INDEX(IFW_RevGW_Sol_Life,1,10),0,1),1))</f>
        <v>0</v>
      </c>
      <c r="M97" s="105" t="n">
        <f aca="false">IF(AND(ISNUMBER(INDEX(IF_RevGW_Sol_Life,1,11)),ISNUMBER(INDEX(IFW_RevGW_Sol_Life,1,11))),IF(ABS(INDEX(IF_RevGW_Sol_Life,1,11)-INDEX(IFW_RevGW_Sol_Life,1,11))&lt;=0.000000001,0,1),IF(AND(NOT(ISNUMBER(INDEX(IF_RevGW_Sol_Life,1,11))),NOT(ISNUMBER(INDEX(IFW_RevGW_Sol_Life,1,11)))),IF(INDEX(IF_RevGW_Sol_Life,1,11)=INDEX(IFW_RevGW_Sol_Life,1,11),0,1),1))</f>
        <v>0</v>
      </c>
      <c r="N97" s="105" t="n">
        <f aca="false">IF(AND(ISNUMBER(INDEX(IF_RevGW_Sol_Life,1,12)),ISNUMBER(INDEX(IFW_RevGW_Sol_Life,1,12))),IF(ABS(INDEX(IF_RevGW_Sol_Life,1,12)-INDEX(IFW_RevGW_Sol_Life,1,12))&lt;=0.000000001,0,1),IF(AND(NOT(ISNUMBER(INDEX(IF_RevGW_Sol_Life,1,12))),NOT(ISNUMBER(INDEX(IFW_RevGW_Sol_Life,1,12)))),IF(INDEX(IF_RevGW_Sol_Life,1,12)=INDEX(IFW_RevGW_Sol_Life,1,12),0,1),1))</f>
        <v>0</v>
      </c>
      <c r="O97" s="105" t="n">
        <f aca="false">IF(AND(ISNUMBER(INDEX(IF_RevGW_Sol_Life,1,13)),ISNUMBER(INDEX(IFW_RevGW_Sol_Life,1,13))),IF(ABS(INDEX(IF_RevGW_Sol_Life,1,13)-INDEX(IFW_RevGW_Sol_Life,1,13))&lt;=0.000000001,0,1),IF(AND(NOT(ISNUMBER(INDEX(IF_RevGW_Sol_Life,1,13))),NOT(ISNUMBER(INDEX(IFW_RevGW_Sol_Life,1,13)))),IF(INDEX(IF_RevGW_Sol_Life,1,13)=INDEX(IFW_RevGW_Sol_Life,1,13),0,1),1))</f>
        <v>0</v>
      </c>
      <c r="P97" s="105" t="n">
        <f aca="false">IF(AND(ISNUMBER(INDEX(IF_RevGW_Sol_Life,1,14)),ISNUMBER(INDEX(IFW_RevGW_Sol_Life,1,14))),IF(ABS(INDEX(IF_RevGW_Sol_Life,1,14)-INDEX(IFW_RevGW_Sol_Life,1,14))&lt;=0.000000001,0,1),IF(AND(NOT(ISNUMBER(INDEX(IF_RevGW_Sol_Life,1,14))),NOT(ISNUMBER(INDEX(IFW_RevGW_Sol_Life,1,14)))),IF(INDEX(IF_RevGW_Sol_Life,1,14)=INDEX(IFW_RevGW_Sol_Life,1,14),0,1),1))</f>
        <v>0</v>
      </c>
      <c r="Q97" s="105" t="n">
        <f aca="false">IF(AND(ISNUMBER(INDEX(IF_RevGW_Sol_Life,1,15)),ISNUMBER(INDEX(IFW_RevGW_Sol_Life,1,15))),IF(ABS(INDEX(IF_RevGW_Sol_Life,1,15)-INDEX(IFW_RevGW_Sol_Life,1,15))&lt;=0.000000001,0,1),IF(AND(NOT(ISNUMBER(INDEX(IF_RevGW_Sol_Life,1,15))),NOT(ISNUMBER(INDEX(IFW_RevGW_Sol_Life,1,15)))),IF(INDEX(IF_RevGW_Sol_Life,1,15)=INDEX(IFW_RevGW_Sol_Life,1,15),0,1),1))</f>
        <v>0</v>
      </c>
    </row>
    <row r="98" customFormat="false" ht="15" hidden="false" customHeight="false" outlineLevel="0" collapsed="false">
      <c r="A98" s="59" t="s">
        <v>2111</v>
      </c>
      <c r="C98" s="105" t="n">
        <f aca="false">IF(AND(ISNUMBER(INDEX(IF_RevGW_Astra_Life,1,1)),ISNUMBER(INDEX(IFW_RevGW_Astra_Life,1,1))),IF(ABS(INDEX(IF_RevGW_Astra_Life,1,1)-INDEX(IFW_RevGW_Astra_Life,1,1))&lt;=0.000000001,0,1),IF(AND(NOT(ISNUMBER(INDEX(IF_RevGW_Astra_Life,1,1))),NOT(ISNUMBER(INDEX(IFW_RevGW_Astra_Life,1,1)))),IF(INDEX(IF_RevGW_Astra_Life,1,1)=INDEX(IFW_RevGW_Astra_Life,1,1),0,1),1))</f>
        <v>0</v>
      </c>
      <c r="D98" s="105" t="n">
        <f aca="false">IF(AND(ISNUMBER(INDEX(IF_RevGW_Astra_Life,1,2)),ISNUMBER(INDEX(IFW_RevGW_Astra_Life,1,2))),IF(ABS(INDEX(IF_RevGW_Astra_Life,1,2)-INDEX(IFW_RevGW_Astra_Life,1,2))&lt;=0.000000001,0,1),IF(AND(NOT(ISNUMBER(INDEX(IF_RevGW_Astra_Life,1,2))),NOT(ISNUMBER(INDEX(IFW_RevGW_Astra_Life,1,2)))),IF(INDEX(IF_RevGW_Astra_Life,1,2)=INDEX(IFW_RevGW_Astra_Life,1,2),0,1),1))</f>
        <v>0</v>
      </c>
      <c r="E98" s="105" t="n">
        <f aca="false">IF(AND(ISNUMBER(INDEX(IF_RevGW_Astra_Life,1,3)),ISNUMBER(INDEX(IFW_RevGW_Astra_Life,1,3))),IF(ABS(INDEX(IF_RevGW_Astra_Life,1,3)-INDEX(IFW_RevGW_Astra_Life,1,3))&lt;=0.000000001,0,1),IF(AND(NOT(ISNUMBER(INDEX(IF_RevGW_Astra_Life,1,3))),NOT(ISNUMBER(INDEX(IFW_RevGW_Astra_Life,1,3)))),IF(INDEX(IF_RevGW_Astra_Life,1,3)=INDEX(IFW_RevGW_Astra_Life,1,3),0,1),1))</f>
        <v>0</v>
      </c>
      <c r="F98" s="105" t="n">
        <f aca="false">IF(AND(ISNUMBER(INDEX(IF_RevGW_Astra_Life,1,4)),ISNUMBER(INDEX(IFW_RevGW_Astra_Life,1,4))),IF(ABS(INDEX(IF_RevGW_Astra_Life,1,4)-INDEX(IFW_RevGW_Astra_Life,1,4))&lt;=0.000000001,0,1),IF(AND(NOT(ISNUMBER(INDEX(IF_RevGW_Astra_Life,1,4))),NOT(ISNUMBER(INDEX(IFW_RevGW_Astra_Life,1,4)))),IF(INDEX(IF_RevGW_Astra_Life,1,4)=INDEX(IFW_RevGW_Astra_Life,1,4),0,1),1))</f>
        <v>0</v>
      </c>
      <c r="G98" s="105" t="n">
        <f aca="false">IF(AND(ISNUMBER(INDEX(IF_RevGW_Astra_Life,1,5)),ISNUMBER(INDEX(IFW_RevGW_Astra_Life,1,5))),IF(ABS(INDEX(IF_RevGW_Astra_Life,1,5)-INDEX(IFW_RevGW_Astra_Life,1,5))&lt;=0.000000001,0,1),IF(AND(NOT(ISNUMBER(INDEX(IF_RevGW_Astra_Life,1,5))),NOT(ISNUMBER(INDEX(IFW_RevGW_Astra_Life,1,5)))),IF(INDEX(IF_RevGW_Astra_Life,1,5)=INDEX(IFW_RevGW_Astra_Life,1,5),0,1),1))</f>
        <v>0</v>
      </c>
      <c r="H98" s="105" t="n">
        <f aca="false">IF(AND(ISNUMBER(INDEX(IF_RevGW_Astra_Life,1,6)),ISNUMBER(INDEX(IFW_RevGW_Astra_Life,1,6))),IF(ABS(INDEX(IF_RevGW_Astra_Life,1,6)-INDEX(IFW_RevGW_Astra_Life,1,6))&lt;=0.000000001,0,1),IF(AND(NOT(ISNUMBER(INDEX(IF_RevGW_Astra_Life,1,6))),NOT(ISNUMBER(INDEX(IFW_RevGW_Astra_Life,1,6)))),IF(INDEX(IF_RevGW_Astra_Life,1,6)=INDEX(IFW_RevGW_Astra_Life,1,6),0,1),1))</f>
        <v>0</v>
      </c>
      <c r="I98" s="105" t="n">
        <f aca="false">IF(AND(ISNUMBER(INDEX(IF_RevGW_Astra_Life,1,7)),ISNUMBER(INDEX(IFW_RevGW_Astra_Life,1,7))),IF(ABS(INDEX(IF_RevGW_Astra_Life,1,7)-INDEX(IFW_RevGW_Astra_Life,1,7))&lt;=0.000000001,0,1),IF(AND(NOT(ISNUMBER(INDEX(IF_RevGW_Astra_Life,1,7))),NOT(ISNUMBER(INDEX(IFW_RevGW_Astra_Life,1,7)))),IF(INDEX(IF_RevGW_Astra_Life,1,7)=INDEX(IFW_RevGW_Astra_Life,1,7),0,1),1))</f>
        <v>0</v>
      </c>
      <c r="J98" s="105" t="n">
        <f aca="false">IF(AND(ISNUMBER(INDEX(IF_RevGW_Astra_Life,1,8)),ISNUMBER(INDEX(IFW_RevGW_Astra_Life,1,8))),IF(ABS(INDEX(IF_RevGW_Astra_Life,1,8)-INDEX(IFW_RevGW_Astra_Life,1,8))&lt;=0.000000001,0,1),IF(AND(NOT(ISNUMBER(INDEX(IF_RevGW_Astra_Life,1,8))),NOT(ISNUMBER(INDEX(IFW_RevGW_Astra_Life,1,8)))),IF(INDEX(IF_RevGW_Astra_Life,1,8)=INDEX(IFW_RevGW_Astra_Life,1,8),0,1),1))</f>
        <v>0</v>
      </c>
      <c r="K98" s="105" t="n">
        <f aca="false">IF(AND(ISNUMBER(INDEX(IF_RevGW_Astra_Life,1,9)),ISNUMBER(INDEX(IFW_RevGW_Astra_Life,1,9))),IF(ABS(INDEX(IF_RevGW_Astra_Life,1,9)-INDEX(IFW_RevGW_Astra_Life,1,9))&lt;=0.000000001,0,1),IF(AND(NOT(ISNUMBER(INDEX(IF_RevGW_Astra_Life,1,9))),NOT(ISNUMBER(INDEX(IFW_RevGW_Astra_Life,1,9)))),IF(INDEX(IF_RevGW_Astra_Life,1,9)=INDEX(IFW_RevGW_Astra_Life,1,9),0,1),1))</f>
        <v>0</v>
      </c>
      <c r="L98" s="105" t="n">
        <f aca="false">IF(AND(ISNUMBER(INDEX(IF_RevGW_Astra_Life,1,10)),ISNUMBER(INDEX(IFW_RevGW_Astra_Life,1,10))),IF(ABS(INDEX(IF_RevGW_Astra_Life,1,10)-INDEX(IFW_RevGW_Astra_Life,1,10))&lt;=0.000000001,0,1),IF(AND(NOT(ISNUMBER(INDEX(IF_RevGW_Astra_Life,1,10))),NOT(ISNUMBER(INDEX(IFW_RevGW_Astra_Life,1,10)))),IF(INDEX(IF_RevGW_Astra_Life,1,10)=INDEX(IFW_RevGW_Astra_Life,1,10),0,1),1))</f>
        <v>0</v>
      </c>
      <c r="M98" s="105" t="n">
        <f aca="false">IF(AND(ISNUMBER(INDEX(IF_RevGW_Astra_Life,1,11)),ISNUMBER(INDEX(IFW_RevGW_Astra_Life,1,11))),IF(ABS(INDEX(IF_RevGW_Astra_Life,1,11)-INDEX(IFW_RevGW_Astra_Life,1,11))&lt;=0.000000001,0,1),IF(AND(NOT(ISNUMBER(INDEX(IF_RevGW_Astra_Life,1,11))),NOT(ISNUMBER(INDEX(IFW_RevGW_Astra_Life,1,11)))),IF(INDEX(IF_RevGW_Astra_Life,1,11)=INDEX(IFW_RevGW_Astra_Life,1,11),0,1),1))</f>
        <v>0</v>
      </c>
      <c r="N98" s="105" t="n">
        <f aca="false">IF(AND(ISNUMBER(INDEX(IF_RevGW_Astra_Life,1,12)),ISNUMBER(INDEX(IFW_RevGW_Astra_Life,1,12))),IF(ABS(INDEX(IF_RevGW_Astra_Life,1,12)-INDEX(IFW_RevGW_Astra_Life,1,12))&lt;=0.000000001,0,1),IF(AND(NOT(ISNUMBER(INDEX(IF_RevGW_Astra_Life,1,12))),NOT(ISNUMBER(INDEX(IFW_RevGW_Astra_Life,1,12)))),IF(INDEX(IF_RevGW_Astra_Life,1,12)=INDEX(IFW_RevGW_Astra_Life,1,12),0,1),1))</f>
        <v>0</v>
      </c>
      <c r="O98" s="105" t="n">
        <f aca="false">IF(AND(ISNUMBER(INDEX(IF_RevGW_Astra_Life,1,13)),ISNUMBER(INDEX(IFW_RevGW_Astra_Life,1,13))),IF(ABS(INDEX(IF_RevGW_Astra_Life,1,13)-INDEX(IFW_RevGW_Astra_Life,1,13))&lt;=0.000000001,0,1),IF(AND(NOT(ISNUMBER(INDEX(IF_RevGW_Astra_Life,1,13))),NOT(ISNUMBER(INDEX(IFW_RevGW_Astra_Life,1,13)))),IF(INDEX(IF_RevGW_Astra_Life,1,13)=INDEX(IFW_RevGW_Astra_Life,1,13),0,1),1))</f>
        <v>0</v>
      </c>
      <c r="P98" s="105" t="n">
        <f aca="false">IF(AND(ISNUMBER(INDEX(IF_RevGW_Astra_Life,1,14)),ISNUMBER(INDEX(IFW_RevGW_Astra_Life,1,14))),IF(ABS(INDEX(IF_RevGW_Astra_Life,1,14)-INDEX(IFW_RevGW_Astra_Life,1,14))&lt;=0.000000001,0,1),IF(AND(NOT(ISNUMBER(INDEX(IF_RevGW_Astra_Life,1,14))),NOT(ISNUMBER(INDEX(IFW_RevGW_Astra_Life,1,14)))),IF(INDEX(IF_RevGW_Astra_Life,1,14)=INDEX(IFW_RevGW_Astra_Life,1,14),0,1),1))</f>
        <v>0</v>
      </c>
      <c r="Q98" s="105" t="n">
        <f aca="false">IF(AND(ISNUMBER(INDEX(IF_RevGW_Astra_Life,1,15)),ISNUMBER(INDEX(IFW_RevGW_Astra_Life,1,15))),IF(ABS(INDEX(IF_RevGW_Astra_Life,1,15)-INDEX(IFW_RevGW_Astra_Life,1,15))&lt;=0.000000001,0,1),IF(AND(NOT(ISNUMBER(INDEX(IF_RevGW_Astra_Life,1,15))),NOT(ISNUMBER(INDEX(IFW_RevGW_Astra_Life,1,15)))),IF(INDEX(IF_RevGW_Astra_Life,1,15)=INDEX(IFW_RevGW_Astra_Life,1,15),0,1),1))</f>
        <v>0</v>
      </c>
    </row>
    <row r="99" customFormat="false" ht="15" hidden="false" customHeight="false" outlineLevel="0" collapsed="false">
      <c r="A99" s="59" t="s">
        <v>2112</v>
      </c>
      <c r="C99" s="105" t="n">
        <f aca="false">IF(AND(ISNUMBER(INDEX(IF_RevGWFleet_Life,1,1)),ISNUMBER(INDEX(IFW_RevGWFleet_Life,1,1))),IF(ABS(INDEX(IF_RevGWFleet_Life,1,1)-INDEX(IFW_RevGWFleet_Life,1,1))&lt;=0.000000001,0,1),IF(AND(NOT(ISNUMBER(INDEX(IF_RevGWFleet_Life,1,1))),NOT(ISNUMBER(INDEX(IFW_RevGWFleet_Life,1,1)))),IF(INDEX(IF_RevGWFleet_Life,1,1)=INDEX(IFW_RevGWFleet_Life,1,1),0,1),1))</f>
        <v>0</v>
      </c>
      <c r="D99" s="105" t="n">
        <f aca="false">IF(AND(ISNUMBER(INDEX(IF_RevGWFleet_Life,1,2)),ISNUMBER(INDEX(IFW_RevGWFleet_Life,1,2))),IF(ABS(INDEX(IF_RevGWFleet_Life,1,2)-INDEX(IFW_RevGWFleet_Life,1,2))&lt;=0.000000001,0,1),IF(AND(NOT(ISNUMBER(INDEX(IF_RevGWFleet_Life,1,2))),NOT(ISNUMBER(INDEX(IFW_RevGWFleet_Life,1,2)))),IF(INDEX(IF_RevGWFleet_Life,1,2)=INDEX(IFW_RevGWFleet_Life,1,2),0,1),1))</f>
        <v>0</v>
      </c>
      <c r="E99" s="105" t="n">
        <f aca="false">IF(AND(ISNUMBER(INDEX(IF_RevGWFleet_Life,1,3)),ISNUMBER(INDEX(IFW_RevGWFleet_Life,1,3))),IF(ABS(INDEX(IF_RevGWFleet_Life,1,3)-INDEX(IFW_RevGWFleet_Life,1,3))&lt;=0.000000001,0,1),IF(AND(NOT(ISNUMBER(INDEX(IF_RevGWFleet_Life,1,3))),NOT(ISNUMBER(INDEX(IFW_RevGWFleet_Life,1,3)))),IF(INDEX(IF_RevGWFleet_Life,1,3)=INDEX(IFW_RevGWFleet_Life,1,3),0,1),1))</f>
        <v>0</v>
      </c>
      <c r="F99" s="105" t="n">
        <f aca="false">IF(AND(ISNUMBER(INDEX(IF_RevGWFleet_Life,1,4)),ISNUMBER(INDEX(IFW_RevGWFleet_Life,1,4))),IF(ABS(INDEX(IF_RevGWFleet_Life,1,4)-INDEX(IFW_RevGWFleet_Life,1,4))&lt;=0.000000001,0,1),IF(AND(NOT(ISNUMBER(INDEX(IF_RevGWFleet_Life,1,4))),NOT(ISNUMBER(INDEX(IFW_RevGWFleet_Life,1,4)))),IF(INDEX(IF_RevGWFleet_Life,1,4)=INDEX(IFW_RevGWFleet_Life,1,4),0,1),1))</f>
        <v>0</v>
      </c>
      <c r="G99" s="105" t="n">
        <f aca="false">IF(AND(ISNUMBER(INDEX(IF_RevGWFleet_Life,1,5)),ISNUMBER(INDEX(IFW_RevGWFleet_Life,1,5))),IF(ABS(INDEX(IF_RevGWFleet_Life,1,5)-INDEX(IFW_RevGWFleet_Life,1,5))&lt;=0.000000001,0,1),IF(AND(NOT(ISNUMBER(INDEX(IF_RevGWFleet_Life,1,5))),NOT(ISNUMBER(INDEX(IFW_RevGWFleet_Life,1,5)))),IF(INDEX(IF_RevGWFleet_Life,1,5)=INDEX(IFW_RevGWFleet_Life,1,5),0,1),1))</f>
        <v>0</v>
      </c>
      <c r="H99" s="105" t="n">
        <f aca="false">IF(AND(ISNUMBER(INDEX(IF_RevGWFleet_Life,1,6)),ISNUMBER(INDEX(IFW_RevGWFleet_Life,1,6))),IF(ABS(INDEX(IF_RevGWFleet_Life,1,6)-INDEX(IFW_RevGWFleet_Life,1,6))&lt;=0.000000001,0,1),IF(AND(NOT(ISNUMBER(INDEX(IF_RevGWFleet_Life,1,6))),NOT(ISNUMBER(INDEX(IFW_RevGWFleet_Life,1,6)))),IF(INDEX(IF_RevGWFleet_Life,1,6)=INDEX(IFW_RevGWFleet_Life,1,6),0,1),1))</f>
        <v>0</v>
      </c>
      <c r="I99" s="105" t="n">
        <f aca="false">IF(AND(ISNUMBER(INDEX(IF_RevGWFleet_Life,1,7)),ISNUMBER(INDEX(IFW_RevGWFleet_Life,1,7))),IF(ABS(INDEX(IF_RevGWFleet_Life,1,7)-INDEX(IFW_RevGWFleet_Life,1,7))&lt;=0.000000001,0,1),IF(AND(NOT(ISNUMBER(INDEX(IF_RevGWFleet_Life,1,7))),NOT(ISNUMBER(INDEX(IFW_RevGWFleet_Life,1,7)))),IF(INDEX(IF_RevGWFleet_Life,1,7)=INDEX(IFW_RevGWFleet_Life,1,7),0,1),1))</f>
        <v>0</v>
      </c>
      <c r="J99" s="105" t="n">
        <f aca="false">IF(AND(ISNUMBER(INDEX(IF_RevGWFleet_Life,1,8)),ISNUMBER(INDEX(IFW_RevGWFleet_Life,1,8))),IF(ABS(INDEX(IF_RevGWFleet_Life,1,8)-INDEX(IFW_RevGWFleet_Life,1,8))&lt;=0.000000001,0,1),IF(AND(NOT(ISNUMBER(INDEX(IF_RevGWFleet_Life,1,8))),NOT(ISNUMBER(INDEX(IFW_RevGWFleet_Life,1,8)))),IF(INDEX(IF_RevGWFleet_Life,1,8)=INDEX(IFW_RevGWFleet_Life,1,8),0,1),1))</f>
        <v>0</v>
      </c>
      <c r="K99" s="105" t="n">
        <f aca="false">IF(AND(ISNUMBER(INDEX(IF_RevGWFleet_Life,1,9)),ISNUMBER(INDEX(IFW_RevGWFleet_Life,1,9))),IF(ABS(INDEX(IF_RevGWFleet_Life,1,9)-INDEX(IFW_RevGWFleet_Life,1,9))&lt;=0.000000001,0,1),IF(AND(NOT(ISNUMBER(INDEX(IF_RevGWFleet_Life,1,9))),NOT(ISNUMBER(INDEX(IFW_RevGWFleet_Life,1,9)))),IF(INDEX(IF_RevGWFleet_Life,1,9)=INDEX(IFW_RevGWFleet_Life,1,9),0,1),1))</f>
        <v>0</v>
      </c>
      <c r="L99" s="105" t="n">
        <f aca="false">IF(AND(ISNUMBER(INDEX(IF_RevGWFleet_Life,1,10)),ISNUMBER(INDEX(IFW_RevGWFleet_Life,1,10))),IF(ABS(INDEX(IF_RevGWFleet_Life,1,10)-INDEX(IFW_RevGWFleet_Life,1,10))&lt;=0.000000001,0,1),IF(AND(NOT(ISNUMBER(INDEX(IF_RevGWFleet_Life,1,10))),NOT(ISNUMBER(INDEX(IFW_RevGWFleet_Life,1,10)))),IF(INDEX(IF_RevGWFleet_Life,1,10)=INDEX(IFW_RevGWFleet_Life,1,10),0,1),1))</f>
        <v>0</v>
      </c>
      <c r="M99" s="105" t="n">
        <f aca="false">IF(AND(ISNUMBER(INDEX(IF_RevGWFleet_Life,1,11)),ISNUMBER(INDEX(IFW_RevGWFleet_Life,1,11))),IF(ABS(INDEX(IF_RevGWFleet_Life,1,11)-INDEX(IFW_RevGWFleet_Life,1,11))&lt;=0.000000001,0,1),IF(AND(NOT(ISNUMBER(INDEX(IF_RevGWFleet_Life,1,11))),NOT(ISNUMBER(INDEX(IFW_RevGWFleet_Life,1,11)))),IF(INDEX(IF_RevGWFleet_Life,1,11)=INDEX(IFW_RevGWFleet_Life,1,11),0,1),1))</f>
        <v>0</v>
      </c>
      <c r="N99" s="105" t="n">
        <f aca="false">IF(AND(ISNUMBER(INDEX(IF_RevGWFleet_Life,1,12)),ISNUMBER(INDEX(IFW_RevGWFleet_Life,1,12))),IF(ABS(INDEX(IF_RevGWFleet_Life,1,12)-INDEX(IFW_RevGWFleet_Life,1,12))&lt;=0.000000001,0,1),IF(AND(NOT(ISNUMBER(INDEX(IF_RevGWFleet_Life,1,12))),NOT(ISNUMBER(INDEX(IFW_RevGWFleet_Life,1,12)))),IF(INDEX(IF_RevGWFleet_Life,1,12)=INDEX(IFW_RevGWFleet_Life,1,12),0,1),1))</f>
        <v>0</v>
      </c>
      <c r="O99" s="105" t="n">
        <f aca="false">IF(AND(ISNUMBER(INDEX(IF_RevGWFleet_Life,1,13)),ISNUMBER(INDEX(IFW_RevGWFleet_Life,1,13))),IF(ABS(INDEX(IF_RevGWFleet_Life,1,13)-INDEX(IFW_RevGWFleet_Life,1,13))&lt;=0.000000001,0,1),IF(AND(NOT(ISNUMBER(INDEX(IF_RevGWFleet_Life,1,13))),NOT(ISNUMBER(INDEX(IFW_RevGWFleet_Life,1,13)))),IF(INDEX(IF_RevGWFleet_Life,1,13)=INDEX(IFW_RevGWFleet_Life,1,13),0,1),1))</f>
        <v>0</v>
      </c>
      <c r="P99" s="105" t="n">
        <f aca="false">IF(AND(ISNUMBER(INDEX(IF_RevGWFleet_Life,1,14)),ISNUMBER(INDEX(IFW_RevGWFleet_Life,1,14))),IF(ABS(INDEX(IF_RevGWFleet_Life,1,14)-INDEX(IFW_RevGWFleet_Life,1,14))&lt;=0.000000001,0,1),IF(AND(NOT(ISNUMBER(INDEX(IF_RevGWFleet_Life,1,14))),NOT(ISNUMBER(INDEX(IFW_RevGWFleet_Life,1,14)))),IF(INDEX(IF_RevGWFleet_Life,1,14)=INDEX(IFW_RevGWFleet_Life,1,14),0,1),1))</f>
        <v>0</v>
      </c>
      <c r="Q99" s="105" t="n">
        <f aca="false">IF(AND(ISNUMBER(INDEX(IF_RevGWFleet_Life,1,15)),ISNUMBER(INDEX(IFW_RevGWFleet_Life,1,15))),IF(ABS(INDEX(IF_RevGWFleet_Life,1,15)-INDEX(IFW_RevGWFleet_Life,1,15))&lt;=0.000000001,0,1),IF(AND(NOT(ISNUMBER(INDEX(IF_RevGWFleet_Life,1,15))),NOT(ISNUMBER(INDEX(IFW_RevGWFleet_Life,1,15)))),IF(INDEX(IF_RevGWFleet_Life,1,15)=INDEX(IFW_RevGWFleet_Life,1,15),0,1),1))</f>
        <v>0</v>
      </c>
    </row>
    <row r="101" customFormat="false" ht="15" hidden="false" customHeight="false" outlineLevel="0" collapsed="false">
      <c r="A101" s="76" t="s">
        <v>2113</v>
      </c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</row>
    <row r="102" customFormat="false" ht="15" hidden="false" customHeight="false" outlineLevel="0" collapsed="false">
      <c r="A102" s="59" t="s">
        <v>2114</v>
      </c>
      <c r="C102" s="105" t="n">
        <f aca="false">IF(AND(ISNUMBER(INDEX(IFW_RevGW_Luna_Prod,1,1)),ISNUMBER(INDEX(IFW_TokGW_Luna_Prod,1,1))),IF(INDEX(IFW_TokGW_Luna_Prod,1,1)&gt;0,IF(ABS(INDEX(IFW_RevGW_Luna_Prod,1,1)*1000000000/INDEX(IFW_TokGW_Luna_Prod,1,1)-INDEX(B4_EffRef,1,1))&lt;=0.000000001*INDEX(B4_EffRef,1,1),0,1),1),IF(AND(NOT(ISNUMBER(INDEX(IFW_RevGW_Luna_Prod,1,1))),NOT(ISNUMBER(INDEX(IFW_TokGW_Luna_Prod,1,1)))),IF(INDEX(IFW_RevGW_Luna_Prod,1,1)=INDEX(IFW_TokGW_Luna_Prod,1,1),0,1),1))</f>
        <v>0</v>
      </c>
      <c r="D102" s="105" t="n">
        <f aca="false">IF(AND(ISNUMBER(INDEX(IFW_RevGW_Luna_Prod,1,2)),ISNUMBER(INDEX(IFW_TokGW_Luna_Prod,1,2))),IF(INDEX(IFW_TokGW_Luna_Prod,1,2)&gt;0,IF(ABS(INDEX(IFW_RevGW_Luna_Prod,1,2)*1000000000/INDEX(IFW_TokGW_Luna_Prod,1,2)-INDEX(B4_EffRef,1,1))&lt;=0.000000001*INDEX(B4_EffRef,1,1),0,1),1),IF(AND(NOT(ISNUMBER(INDEX(IFW_RevGW_Luna_Prod,1,2))),NOT(ISNUMBER(INDEX(IFW_TokGW_Luna_Prod,1,2)))),IF(INDEX(IFW_RevGW_Luna_Prod,1,2)=INDEX(IFW_TokGW_Luna_Prod,1,2),0,1),1))</f>
        <v>0</v>
      </c>
      <c r="E102" s="105" t="n">
        <f aca="false">IF(AND(ISNUMBER(INDEX(IFW_RevGW_Luna_Prod,1,3)),ISNUMBER(INDEX(IFW_TokGW_Luna_Prod,1,3))),IF(INDEX(IFW_TokGW_Luna_Prod,1,3)&gt;0,IF(ABS(INDEX(IFW_RevGW_Luna_Prod,1,3)*1000000000/INDEX(IFW_TokGW_Luna_Prod,1,3)-INDEX(B4_EffRef,1,1))&lt;=0.000000001*INDEX(B4_EffRef,1,1),0,1),1),IF(AND(NOT(ISNUMBER(INDEX(IFW_RevGW_Luna_Prod,1,3))),NOT(ISNUMBER(INDEX(IFW_TokGW_Luna_Prod,1,3)))),IF(INDEX(IFW_RevGW_Luna_Prod,1,3)=INDEX(IFW_TokGW_Luna_Prod,1,3),0,1),1))</f>
        <v>0</v>
      </c>
      <c r="F102" s="105" t="n">
        <f aca="false">IF(AND(ISNUMBER(INDEX(IFW_RevGW_Luna_Prod,1,4)),ISNUMBER(INDEX(IFW_TokGW_Luna_Prod,1,4))),IF(INDEX(IFW_TokGW_Luna_Prod,1,4)&gt;0,IF(ABS(INDEX(IFW_RevGW_Luna_Prod,1,4)*1000000000/INDEX(IFW_TokGW_Luna_Prod,1,4)-INDEX(B4_EffRef,1,1))&lt;=0.000000001*INDEX(B4_EffRef,1,1),0,1),1),IF(AND(NOT(ISNUMBER(INDEX(IFW_RevGW_Luna_Prod,1,4))),NOT(ISNUMBER(INDEX(IFW_TokGW_Luna_Prod,1,4)))),IF(INDEX(IFW_RevGW_Luna_Prod,1,4)=INDEX(IFW_TokGW_Luna_Prod,1,4),0,1),1))</f>
        <v>0</v>
      </c>
      <c r="G102" s="105" t="n">
        <f aca="false">IF(AND(ISNUMBER(INDEX(IFW_RevGW_Luna_Prod,1,5)),ISNUMBER(INDEX(IFW_TokGW_Luna_Prod,1,5))),IF(INDEX(IFW_TokGW_Luna_Prod,1,5)&gt;0,IF(ABS(INDEX(IFW_RevGW_Luna_Prod,1,5)*1000000000/INDEX(IFW_TokGW_Luna_Prod,1,5)-INDEX(B4_EffRef,1,1))&lt;=0.000000001*INDEX(B4_EffRef,1,1),0,1),1),IF(AND(NOT(ISNUMBER(INDEX(IFW_RevGW_Luna_Prod,1,5))),NOT(ISNUMBER(INDEX(IFW_TokGW_Luna_Prod,1,5)))),IF(INDEX(IFW_RevGW_Luna_Prod,1,5)=INDEX(IFW_TokGW_Luna_Prod,1,5),0,1),1))</f>
        <v>0</v>
      </c>
      <c r="H102" s="105" t="n">
        <f aca="false">IF(AND(ISNUMBER(INDEX(IFW_RevGW_Luna_Prod,1,6)),ISNUMBER(INDEX(IFW_TokGW_Luna_Prod,1,6))),IF(INDEX(IFW_TokGW_Luna_Prod,1,6)&gt;0,IF(ABS(INDEX(IFW_RevGW_Luna_Prod,1,6)*1000000000/INDEX(IFW_TokGW_Luna_Prod,1,6)-INDEX(B4_EffRef,1,1))&lt;=0.000000001*INDEX(B4_EffRef,1,1),0,1),1),IF(AND(NOT(ISNUMBER(INDEX(IFW_RevGW_Luna_Prod,1,6))),NOT(ISNUMBER(INDEX(IFW_TokGW_Luna_Prod,1,6)))),IF(INDEX(IFW_RevGW_Luna_Prod,1,6)=INDEX(IFW_TokGW_Luna_Prod,1,6),0,1),1))</f>
        <v>0</v>
      </c>
      <c r="I102" s="105" t="n">
        <f aca="false">IF(AND(ISNUMBER(INDEX(IFW_RevGW_Luna_Prod,1,7)),ISNUMBER(INDEX(IFW_TokGW_Luna_Prod,1,7))),IF(INDEX(IFW_TokGW_Luna_Prod,1,7)&gt;0,IF(ABS(INDEX(IFW_RevGW_Luna_Prod,1,7)*1000000000/INDEX(IFW_TokGW_Luna_Prod,1,7)-INDEX(B4_EffRef,1,1))&lt;=0.000000001*INDEX(B4_EffRef,1,1),0,1),1),IF(AND(NOT(ISNUMBER(INDEX(IFW_RevGW_Luna_Prod,1,7))),NOT(ISNUMBER(INDEX(IFW_TokGW_Luna_Prod,1,7)))),IF(INDEX(IFW_RevGW_Luna_Prod,1,7)=INDEX(IFW_TokGW_Luna_Prod,1,7),0,1),1))</f>
        <v>0</v>
      </c>
      <c r="J102" s="105" t="n">
        <f aca="false">IF(AND(ISNUMBER(INDEX(IFW_RevGW_Luna_Prod,1,8)),ISNUMBER(INDEX(IFW_TokGW_Luna_Prod,1,8))),IF(INDEX(IFW_TokGW_Luna_Prod,1,8)&gt;0,IF(ABS(INDEX(IFW_RevGW_Luna_Prod,1,8)*1000000000/INDEX(IFW_TokGW_Luna_Prod,1,8)-INDEX(B4_EffRef,1,1))&lt;=0.000000001*INDEX(B4_EffRef,1,1),0,1),1),IF(AND(NOT(ISNUMBER(INDEX(IFW_RevGW_Luna_Prod,1,8))),NOT(ISNUMBER(INDEX(IFW_TokGW_Luna_Prod,1,8)))),IF(INDEX(IFW_RevGW_Luna_Prod,1,8)=INDEX(IFW_TokGW_Luna_Prod,1,8),0,1),1))</f>
        <v>0</v>
      </c>
      <c r="K102" s="105" t="n">
        <f aca="false">IF(AND(ISNUMBER(INDEX(IFW_RevGW_Luna_Prod,1,9)),ISNUMBER(INDEX(IFW_TokGW_Luna_Prod,1,9))),IF(INDEX(IFW_TokGW_Luna_Prod,1,9)&gt;0,IF(ABS(INDEX(IFW_RevGW_Luna_Prod,1,9)*1000000000/INDEX(IFW_TokGW_Luna_Prod,1,9)-INDEX(B4_EffRef,1,1))&lt;=0.000000001*INDEX(B4_EffRef,1,1),0,1),1),IF(AND(NOT(ISNUMBER(INDEX(IFW_RevGW_Luna_Prod,1,9))),NOT(ISNUMBER(INDEX(IFW_TokGW_Luna_Prod,1,9)))),IF(INDEX(IFW_RevGW_Luna_Prod,1,9)=INDEX(IFW_TokGW_Luna_Prod,1,9),0,1),1))</f>
        <v>0</v>
      </c>
      <c r="L102" s="105" t="n">
        <f aca="false">IF(AND(ISNUMBER(INDEX(IFW_RevGW_Luna_Prod,1,10)),ISNUMBER(INDEX(IFW_TokGW_Luna_Prod,1,10))),IF(INDEX(IFW_TokGW_Luna_Prod,1,10)&gt;0,IF(ABS(INDEX(IFW_RevGW_Luna_Prod,1,10)*1000000000/INDEX(IFW_TokGW_Luna_Prod,1,10)-INDEX(B4_EffRef,1,1))&lt;=0.000000001*INDEX(B4_EffRef,1,1),0,1),1),IF(AND(NOT(ISNUMBER(INDEX(IFW_RevGW_Luna_Prod,1,10))),NOT(ISNUMBER(INDEX(IFW_TokGW_Luna_Prod,1,10)))),IF(INDEX(IFW_RevGW_Luna_Prod,1,10)=INDEX(IFW_TokGW_Luna_Prod,1,10),0,1),1))</f>
        <v>0</v>
      </c>
      <c r="M102" s="105" t="n">
        <f aca="false">IF(AND(ISNUMBER(INDEX(IFW_RevGW_Luna_Prod,1,11)),ISNUMBER(INDEX(IFW_TokGW_Luna_Prod,1,11))),IF(INDEX(IFW_TokGW_Luna_Prod,1,11)&gt;0,IF(ABS(INDEX(IFW_RevGW_Luna_Prod,1,11)*1000000000/INDEX(IFW_TokGW_Luna_Prod,1,11)-INDEX(B4_EffRef,1,1))&lt;=0.000000001*INDEX(B4_EffRef,1,1),0,1),1),IF(AND(NOT(ISNUMBER(INDEX(IFW_RevGW_Luna_Prod,1,11))),NOT(ISNUMBER(INDEX(IFW_TokGW_Luna_Prod,1,11)))),IF(INDEX(IFW_RevGW_Luna_Prod,1,11)=INDEX(IFW_TokGW_Luna_Prod,1,11),0,1),1))</f>
        <v>0</v>
      </c>
      <c r="N102" s="105" t="n">
        <f aca="false">IF(AND(ISNUMBER(INDEX(IFW_RevGW_Luna_Prod,1,12)),ISNUMBER(INDEX(IFW_TokGW_Luna_Prod,1,12))),IF(INDEX(IFW_TokGW_Luna_Prod,1,12)&gt;0,IF(ABS(INDEX(IFW_RevGW_Luna_Prod,1,12)*1000000000/INDEX(IFW_TokGW_Luna_Prod,1,12)-INDEX(B4_EffRef,1,1))&lt;=0.000000001*INDEX(B4_EffRef,1,1),0,1),1),IF(AND(NOT(ISNUMBER(INDEX(IFW_RevGW_Luna_Prod,1,12))),NOT(ISNUMBER(INDEX(IFW_TokGW_Luna_Prod,1,12)))),IF(INDEX(IFW_RevGW_Luna_Prod,1,12)=INDEX(IFW_TokGW_Luna_Prod,1,12),0,1),1))</f>
        <v>0</v>
      </c>
      <c r="O102" s="105" t="n">
        <f aca="false">IF(AND(ISNUMBER(INDEX(IFW_RevGW_Luna_Prod,1,13)),ISNUMBER(INDEX(IFW_TokGW_Luna_Prod,1,13))),IF(INDEX(IFW_TokGW_Luna_Prod,1,13)&gt;0,IF(ABS(INDEX(IFW_RevGW_Luna_Prod,1,13)*1000000000/INDEX(IFW_TokGW_Luna_Prod,1,13)-INDEX(B4_EffRef,1,1))&lt;=0.000000001*INDEX(B4_EffRef,1,1),0,1),1),IF(AND(NOT(ISNUMBER(INDEX(IFW_RevGW_Luna_Prod,1,13))),NOT(ISNUMBER(INDEX(IFW_TokGW_Luna_Prod,1,13)))),IF(INDEX(IFW_RevGW_Luna_Prod,1,13)=INDEX(IFW_TokGW_Luna_Prod,1,13),0,1),1))</f>
        <v>0</v>
      </c>
      <c r="P102" s="105" t="n">
        <f aca="false">IF(AND(ISNUMBER(INDEX(IFW_RevGW_Luna_Prod,1,14)),ISNUMBER(INDEX(IFW_TokGW_Luna_Prod,1,14))),IF(INDEX(IFW_TokGW_Luna_Prod,1,14)&gt;0,IF(ABS(INDEX(IFW_RevGW_Luna_Prod,1,14)*1000000000/INDEX(IFW_TokGW_Luna_Prod,1,14)-INDEX(B4_EffRef,1,1))&lt;=0.000000001*INDEX(B4_EffRef,1,1),0,1),1),IF(AND(NOT(ISNUMBER(INDEX(IFW_RevGW_Luna_Prod,1,14))),NOT(ISNUMBER(INDEX(IFW_TokGW_Luna_Prod,1,14)))),IF(INDEX(IFW_RevGW_Luna_Prod,1,14)=INDEX(IFW_TokGW_Luna_Prod,1,14),0,1),1))</f>
        <v>0</v>
      </c>
      <c r="Q102" s="105" t="n">
        <f aca="false">IF(AND(ISNUMBER(INDEX(IFW_RevGW_Luna_Prod,1,15)),ISNUMBER(INDEX(IFW_TokGW_Luna_Prod,1,15))),IF(INDEX(IFW_TokGW_Luna_Prod,1,15)&gt;0,IF(ABS(INDEX(IFW_RevGW_Luna_Prod,1,15)*1000000000/INDEX(IFW_TokGW_Luna_Prod,1,15)-INDEX(B4_EffRef,1,1))&lt;=0.000000001*INDEX(B4_EffRef,1,1),0,1),1),IF(AND(NOT(ISNUMBER(INDEX(IFW_RevGW_Luna_Prod,1,15))),NOT(ISNUMBER(INDEX(IFW_TokGW_Luna_Prod,1,15)))),IF(INDEX(IFW_RevGW_Luna_Prod,1,15)=INDEX(IFW_TokGW_Luna_Prod,1,15),0,1),1))</f>
        <v>0</v>
      </c>
    </row>
    <row r="103" customFormat="false" ht="15" hidden="false" customHeight="false" outlineLevel="0" collapsed="false">
      <c r="A103" s="59" t="s">
        <v>2115</v>
      </c>
      <c r="C103" s="105" t="n">
        <f aca="false">IF(AND(ISNUMBER(INDEX(IFW_RevGW_Sol_Prod,1,1)),ISNUMBER(INDEX(IFW_TokGW_Sol_Prod,1,1))),IF(INDEX(IFW_TokGW_Sol_Prod,1,1)&gt;0,IF(ABS(INDEX(IFW_RevGW_Sol_Prod,1,1)*1000000000/INDEX(IFW_TokGW_Sol_Prod,1,1)-INDEX(B4_EffRef,1,2))&lt;=0.000000001*INDEX(B4_EffRef,1,2),0,1),1),IF(AND(NOT(ISNUMBER(INDEX(IFW_RevGW_Sol_Prod,1,1))),NOT(ISNUMBER(INDEX(IFW_TokGW_Sol_Prod,1,1)))),IF(INDEX(IFW_RevGW_Sol_Prod,1,1)=INDEX(IFW_TokGW_Sol_Prod,1,1),0,1),1))</f>
        <v>0</v>
      </c>
      <c r="D103" s="105" t="n">
        <f aca="false">IF(AND(ISNUMBER(INDEX(IFW_RevGW_Sol_Prod,1,2)),ISNUMBER(INDEX(IFW_TokGW_Sol_Prod,1,2))),IF(INDEX(IFW_TokGW_Sol_Prod,1,2)&gt;0,IF(ABS(INDEX(IFW_RevGW_Sol_Prod,1,2)*1000000000/INDEX(IFW_TokGW_Sol_Prod,1,2)-INDEX(B4_EffRef,1,2))&lt;=0.000000001*INDEX(B4_EffRef,1,2),0,1),1),IF(AND(NOT(ISNUMBER(INDEX(IFW_RevGW_Sol_Prod,1,2))),NOT(ISNUMBER(INDEX(IFW_TokGW_Sol_Prod,1,2)))),IF(INDEX(IFW_RevGW_Sol_Prod,1,2)=INDEX(IFW_TokGW_Sol_Prod,1,2),0,1),1))</f>
        <v>0</v>
      </c>
      <c r="E103" s="105" t="n">
        <f aca="false">IF(AND(ISNUMBER(INDEX(IFW_RevGW_Sol_Prod,1,3)),ISNUMBER(INDEX(IFW_TokGW_Sol_Prod,1,3))),IF(INDEX(IFW_TokGW_Sol_Prod,1,3)&gt;0,IF(ABS(INDEX(IFW_RevGW_Sol_Prod,1,3)*1000000000/INDEX(IFW_TokGW_Sol_Prod,1,3)-INDEX(B4_EffRef,1,2))&lt;=0.000000001*INDEX(B4_EffRef,1,2),0,1),1),IF(AND(NOT(ISNUMBER(INDEX(IFW_RevGW_Sol_Prod,1,3))),NOT(ISNUMBER(INDEX(IFW_TokGW_Sol_Prod,1,3)))),IF(INDEX(IFW_RevGW_Sol_Prod,1,3)=INDEX(IFW_TokGW_Sol_Prod,1,3),0,1),1))</f>
        <v>0</v>
      </c>
      <c r="F103" s="105" t="n">
        <f aca="false">IF(AND(ISNUMBER(INDEX(IFW_RevGW_Sol_Prod,1,4)),ISNUMBER(INDEX(IFW_TokGW_Sol_Prod,1,4))),IF(INDEX(IFW_TokGW_Sol_Prod,1,4)&gt;0,IF(ABS(INDEX(IFW_RevGW_Sol_Prod,1,4)*1000000000/INDEX(IFW_TokGW_Sol_Prod,1,4)-INDEX(B4_EffRef,1,2))&lt;=0.000000001*INDEX(B4_EffRef,1,2),0,1),1),IF(AND(NOT(ISNUMBER(INDEX(IFW_RevGW_Sol_Prod,1,4))),NOT(ISNUMBER(INDEX(IFW_TokGW_Sol_Prod,1,4)))),IF(INDEX(IFW_RevGW_Sol_Prod,1,4)=INDEX(IFW_TokGW_Sol_Prod,1,4),0,1),1))</f>
        <v>0</v>
      </c>
      <c r="G103" s="105" t="n">
        <f aca="false">IF(AND(ISNUMBER(INDEX(IFW_RevGW_Sol_Prod,1,5)),ISNUMBER(INDEX(IFW_TokGW_Sol_Prod,1,5))),IF(INDEX(IFW_TokGW_Sol_Prod,1,5)&gt;0,IF(ABS(INDEX(IFW_RevGW_Sol_Prod,1,5)*1000000000/INDEX(IFW_TokGW_Sol_Prod,1,5)-INDEX(B4_EffRef,1,2))&lt;=0.000000001*INDEX(B4_EffRef,1,2),0,1),1),IF(AND(NOT(ISNUMBER(INDEX(IFW_RevGW_Sol_Prod,1,5))),NOT(ISNUMBER(INDEX(IFW_TokGW_Sol_Prod,1,5)))),IF(INDEX(IFW_RevGW_Sol_Prod,1,5)=INDEX(IFW_TokGW_Sol_Prod,1,5),0,1),1))</f>
        <v>0</v>
      </c>
      <c r="H103" s="105" t="n">
        <f aca="false">IF(AND(ISNUMBER(INDEX(IFW_RevGW_Sol_Prod,1,6)),ISNUMBER(INDEX(IFW_TokGW_Sol_Prod,1,6))),IF(INDEX(IFW_TokGW_Sol_Prod,1,6)&gt;0,IF(ABS(INDEX(IFW_RevGW_Sol_Prod,1,6)*1000000000/INDEX(IFW_TokGW_Sol_Prod,1,6)-INDEX(B4_EffRef,1,2))&lt;=0.000000001*INDEX(B4_EffRef,1,2),0,1),1),IF(AND(NOT(ISNUMBER(INDEX(IFW_RevGW_Sol_Prod,1,6))),NOT(ISNUMBER(INDEX(IFW_TokGW_Sol_Prod,1,6)))),IF(INDEX(IFW_RevGW_Sol_Prod,1,6)=INDEX(IFW_TokGW_Sol_Prod,1,6),0,1),1))</f>
        <v>0</v>
      </c>
      <c r="I103" s="105" t="n">
        <f aca="false">IF(AND(ISNUMBER(INDEX(IFW_RevGW_Sol_Prod,1,7)),ISNUMBER(INDEX(IFW_TokGW_Sol_Prod,1,7))),IF(INDEX(IFW_TokGW_Sol_Prod,1,7)&gt;0,IF(ABS(INDEX(IFW_RevGW_Sol_Prod,1,7)*1000000000/INDEX(IFW_TokGW_Sol_Prod,1,7)-INDEX(B4_EffRef,1,2))&lt;=0.000000001*INDEX(B4_EffRef,1,2),0,1),1),IF(AND(NOT(ISNUMBER(INDEX(IFW_RevGW_Sol_Prod,1,7))),NOT(ISNUMBER(INDEX(IFW_TokGW_Sol_Prod,1,7)))),IF(INDEX(IFW_RevGW_Sol_Prod,1,7)=INDEX(IFW_TokGW_Sol_Prod,1,7),0,1),1))</f>
        <v>0</v>
      </c>
      <c r="J103" s="105" t="n">
        <f aca="false">IF(AND(ISNUMBER(INDEX(IFW_RevGW_Sol_Prod,1,8)),ISNUMBER(INDEX(IFW_TokGW_Sol_Prod,1,8))),IF(INDEX(IFW_TokGW_Sol_Prod,1,8)&gt;0,IF(ABS(INDEX(IFW_RevGW_Sol_Prod,1,8)*1000000000/INDEX(IFW_TokGW_Sol_Prod,1,8)-INDEX(B4_EffRef,1,2))&lt;=0.000000001*INDEX(B4_EffRef,1,2),0,1),1),IF(AND(NOT(ISNUMBER(INDEX(IFW_RevGW_Sol_Prod,1,8))),NOT(ISNUMBER(INDEX(IFW_TokGW_Sol_Prod,1,8)))),IF(INDEX(IFW_RevGW_Sol_Prod,1,8)=INDEX(IFW_TokGW_Sol_Prod,1,8),0,1),1))</f>
        <v>0</v>
      </c>
      <c r="K103" s="105" t="n">
        <f aca="false">IF(AND(ISNUMBER(INDEX(IFW_RevGW_Sol_Prod,1,9)),ISNUMBER(INDEX(IFW_TokGW_Sol_Prod,1,9))),IF(INDEX(IFW_TokGW_Sol_Prod,1,9)&gt;0,IF(ABS(INDEX(IFW_RevGW_Sol_Prod,1,9)*1000000000/INDEX(IFW_TokGW_Sol_Prod,1,9)-INDEX(B4_EffRef,1,2))&lt;=0.000000001*INDEX(B4_EffRef,1,2),0,1),1),IF(AND(NOT(ISNUMBER(INDEX(IFW_RevGW_Sol_Prod,1,9))),NOT(ISNUMBER(INDEX(IFW_TokGW_Sol_Prod,1,9)))),IF(INDEX(IFW_RevGW_Sol_Prod,1,9)=INDEX(IFW_TokGW_Sol_Prod,1,9),0,1),1))</f>
        <v>0</v>
      </c>
      <c r="L103" s="105" t="n">
        <f aca="false">IF(AND(ISNUMBER(INDEX(IFW_RevGW_Sol_Prod,1,10)),ISNUMBER(INDEX(IFW_TokGW_Sol_Prod,1,10))),IF(INDEX(IFW_TokGW_Sol_Prod,1,10)&gt;0,IF(ABS(INDEX(IFW_RevGW_Sol_Prod,1,10)*1000000000/INDEX(IFW_TokGW_Sol_Prod,1,10)-INDEX(B4_EffRef,1,2))&lt;=0.000000001*INDEX(B4_EffRef,1,2),0,1),1),IF(AND(NOT(ISNUMBER(INDEX(IFW_RevGW_Sol_Prod,1,10))),NOT(ISNUMBER(INDEX(IFW_TokGW_Sol_Prod,1,10)))),IF(INDEX(IFW_RevGW_Sol_Prod,1,10)=INDEX(IFW_TokGW_Sol_Prod,1,10),0,1),1))</f>
        <v>0</v>
      </c>
      <c r="M103" s="105" t="n">
        <f aca="false">IF(AND(ISNUMBER(INDEX(IFW_RevGW_Sol_Prod,1,11)),ISNUMBER(INDEX(IFW_TokGW_Sol_Prod,1,11))),IF(INDEX(IFW_TokGW_Sol_Prod,1,11)&gt;0,IF(ABS(INDEX(IFW_RevGW_Sol_Prod,1,11)*1000000000/INDEX(IFW_TokGW_Sol_Prod,1,11)-INDEX(B4_EffRef,1,2))&lt;=0.000000001*INDEX(B4_EffRef,1,2),0,1),1),IF(AND(NOT(ISNUMBER(INDEX(IFW_RevGW_Sol_Prod,1,11))),NOT(ISNUMBER(INDEX(IFW_TokGW_Sol_Prod,1,11)))),IF(INDEX(IFW_RevGW_Sol_Prod,1,11)=INDEX(IFW_TokGW_Sol_Prod,1,11),0,1),1))</f>
        <v>0</v>
      </c>
      <c r="N103" s="105" t="n">
        <f aca="false">IF(AND(ISNUMBER(INDEX(IFW_RevGW_Sol_Prod,1,12)),ISNUMBER(INDEX(IFW_TokGW_Sol_Prod,1,12))),IF(INDEX(IFW_TokGW_Sol_Prod,1,12)&gt;0,IF(ABS(INDEX(IFW_RevGW_Sol_Prod,1,12)*1000000000/INDEX(IFW_TokGW_Sol_Prod,1,12)-INDEX(B4_EffRef,1,2))&lt;=0.000000001*INDEX(B4_EffRef,1,2),0,1),1),IF(AND(NOT(ISNUMBER(INDEX(IFW_RevGW_Sol_Prod,1,12))),NOT(ISNUMBER(INDEX(IFW_TokGW_Sol_Prod,1,12)))),IF(INDEX(IFW_RevGW_Sol_Prod,1,12)=INDEX(IFW_TokGW_Sol_Prod,1,12),0,1),1))</f>
        <v>0</v>
      </c>
      <c r="O103" s="105" t="n">
        <f aca="false">IF(AND(ISNUMBER(INDEX(IFW_RevGW_Sol_Prod,1,13)),ISNUMBER(INDEX(IFW_TokGW_Sol_Prod,1,13))),IF(INDEX(IFW_TokGW_Sol_Prod,1,13)&gt;0,IF(ABS(INDEX(IFW_RevGW_Sol_Prod,1,13)*1000000000/INDEX(IFW_TokGW_Sol_Prod,1,13)-INDEX(B4_EffRef,1,2))&lt;=0.000000001*INDEX(B4_EffRef,1,2),0,1),1),IF(AND(NOT(ISNUMBER(INDEX(IFW_RevGW_Sol_Prod,1,13))),NOT(ISNUMBER(INDEX(IFW_TokGW_Sol_Prod,1,13)))),IF(INDEX(IFW_RevGW_Sol_Prod,1,13)=INDEX(IFW_TokGW_Sol_Prod,1,13),0,1),1))</f>
        <v>0</v>
      </c>
      <c r="P103" s="105" t="n">
        <f aca="false">IF(AND(ISNUMBER(INDEX(IFW_RevGW_Sol_Prod,1,14)),ISNUMBER(INDEX(IFW_TokGW_Sol_Prod,1,14))),IF(INDEX(IFW_TokGW_Sol_Prod,1,14)&gt;0,IF(ABS(INDEX(IFW_RevGW_Sol_Prod,1,14)*1000000000/INDEX(IFW_TokGW_Sol_Prod,1,14)-INDEX(B4_EffRef,1,2))&lt;=0.000000001*INDEX(B4_EffRef,1,2),0,1),1),IF(AND(NOT(ISNUMBER(INDEX(IFW_RevGW_Sol_Prod,1,14))),NOT(ISNUMBER(INDEX(IFW_TokGW_Sol_Prod,1,14)))),IF(INDEX(IFW_RevGW_Sol_Prod,1,14)=INDEX(IFW_TokGW_Sol_Prod,1,14),0,1),1))</f>
        <v>0</v>
      </c>
      <c r="Q103" s="105" t="n">
        <f aca="false">IF(AND(ISNUMBER(INDEX(IFW_RevGW_Sol_Prod,1,15)),ISNUMBER(INDEX(IFW_TokGW_Sol_Prod,1,15))),IF(INDEX(IFW_TokGW_Sol_Prod,1,15)&gt;0,IF(ABS(INDEX(IFW_RevGW_Sol_Prod,1,15)*1000000000/INDEX(IFW_TokGW_Sol_Prod,1,15)-INDEX(B4_EffRef,1,2))&lt;=0.000000001*INDEX(B4_EffRef,1,2),0,1),1),IF(AND(NOT(ISNUMBER(INDEX(IFW_RevGW_Sol_Prod,1,15))),NOT(ISNUMBER(INDEX(IFW_TokGW_Sol_Prod,1,15)))),IF(INDEX(IFW_RevGW_Sol_Prod,1,15)=INDEX(IFW_TokGW_Sol_Prod,1,15),0,1),1))</f>
        <v>0</v>
      </c>
    </row>
    <row r="104" customFormat="false" ht="15" hidden="false" customHeight="false" outlineLevel="0" collapsed="false">
      <c r="A104" s="59" t="s">
        <v>2116</v>
      </c>
      <c r="C104" s="105" t="n">
        <f aca="false">IF(AND(ISNUMBER(INDEX(IFW_RevGW_Astra_Prod,1,1)),ISNUMBER(INDEX(IFW_TokGW_Astra_Prod,1,1))),IF(INDEX(IFW_TokGW_Astra_Prod,1,1)&gt;0,IF(ABS(INDEX(IFW_RevGW_Astra_Prod,1,1)*1000000000/INDEX(IFW_TokGW_Astra_Prod,1,1)-INDEX(B4_EffRef,1,3))&lt;=0.000000001*INDEX(B4_EffRef,1,3),0,1),1),IF(AND(NOT(ISNUMBER(INDEX(IFW_RevGW_Astra_Prod,1,1))),NOT(ISNUMBER(INDEX(IFW_TokGW_Astra_Prod,1,1)))),IF(INDEX(IFW_RevGW_Astra_Prod,1,1)=INDEX(IFW_TokGW_Astra_Prod,1,1),0,1),1))</f>
        <v>0</v>
      </c>
      <c r="D104" s="105" t="n">
        <f aca="false">IF(AND(ISNUMBER(INDEX(IFW_RevGW_Astra_Prod,1,2)),ISNUMBER(INDEX(IFW_TokGW_Astra_Prod,1,2))),IF(INDEX(IFW_TokGW_Astra_Prod,1,2)&gt;0,IF(ABS(INDEX(IFW_RevGW_Astra_Prod,1,2)*1000000000/INDEX(IFW_TokGW_Astra_Prod,1,2)-INDEX(B4_EffRef,1,3))&lt;=0.000000001*INDEX(B4_EffRef,1,3),0,1),1),IF(AND(NOT(ISNUMBER(INDEX(IFW_RevGW_Astra_Prod,1,2))),NOT(ISNUMBER(INDEX(IFW_TokGW_Astra_Prod,1,2)))),IF(INDEX(IFW_RevGW_Astra_Prod,1,2)=INDEX(IFW_TokGW_Astra_Prod,1,2),0,1),1))</f>
        <v>0</v>
      </c>
      <c r="E104" s="105" t="n">
        <f aca="false">IF(AND(ISNUMBER(INDEX(IFW_RevGW_Astra_Prod,1,3)),ISNUMBER(INDEX(IFW_TokGW_Astra_Prod,1,3))),IF(INDEX(IFW_TokGW_Astra_Prod,1,3)&gt;0,IF(ABS(INDEX(IFW_RevGW_Astra_Prod,1,3)*1000000000/INDEX(IFW_TokGW_Astra_Prod,1,3)-INDEX(B4_EffRef,1,3))&lt;=0.000000001*INDEX(B4_EffRef,1,3),0,1),1),IF(AND(NOT(ISNUMBER(INDEX(IFW_RevGW_Astra_Prod,1,3))),NOT(ISNUMBER(INDEX(IFW_TokGW_Astra_Prod,1,3)))),IF(INDEX(IFW_RevGW_Astra_Prod,1,3)=INDEX(IFW_TokGW_Astra_Prod,1,3),0,1),1))</f>
        <v>0</v>
      </c>
      <c r="F104" s="105" t="n">
        <f aca="false">IF(AND(ISNUMBER(INDEX(IFW_RevGW_Astra_Prod,1,4)),ISNUMBER(INDEX(IFW_TokGW_Astra_Prod,1,4))),IF(INDEX(IFW_TokGW_Astra_Prod,1,4)&gt;0,IF(ABS(INDEX(IFW_RevGW_Astra_Prod,1,4)*1000000000/INDEX(IFW_TokGW_Astra_Prod,1,4)-INDEX(B4_EffRef,1,3))&lt;=0.000000001*INDEX(B4_EffRef,1,3),0,1),1),IF(AND(NOT(ISNUMBER(INDEX(IFW_RevGW_Astra_Prod,1,4))),NOT(ISNUMBER(INDEX(IFW_TokGW_Astra_Prod,1,4)))),IF(INDEX(IFW_RevGW_Astra_Prod,1,4)=INDEX(IFW_TokGW_Astra_Prod,1,4),0,1),1))</f>
        <v>0</v>
      </c>
      <c r="G104" s="105" t="n">
        <f aca="false">IF(AND(ISNUMBER(INDEX(IFW_RevGW_Astra_Prod,1,5)),ISNUMBER(INDEX(IFW_TokGW_Astra_Prod,1,5))),IF(INDEX(IFW_TokGW_Astra_Prod,1,5)&gt;0,IF(ABS(INDEX(IFW_RevGW_Astra_Prod,1,5)*1000000000/INDEX(IFW_TokGW_Astra_Prod,1,5)-INDEX(B4_EffRef,1,3))&lt;=0.000000001*INDEX(B4_EffRef,1,3),0,1),1),IF(AND(NOT(ISNUMBER(INDEX(IFW_RevGW_Astra_Prod,1,5))),NOT(ISNUMBER(INDEX(IFW_TokGW_Astra_Prod,1,5)))),IF(INDEX(IFW_RevGW_Astra_Prod,1,5)=INDEX(IFW_TokGW_Astra_Prod,1,5),0,1),1))</f>
        <v>0</v>
      </c>
      <c r="H104" s="105" t="n">
        <f aca="false">IF(AND(ISNUMBER(INDEX(IFW_RevGW_Astra_Prod,1,6)),ISNUMBER(INDEX(IFW_TokGW_Astra_Prod,1,6))),IF(INDEX(IFW_TokGW_Astra_Prod,1,6)&gt;0,IF(ABS(INDEX(IFW_RevGW_Astra_Prod,1,6)*1000000000/INDEX(IFW_TokGW_Astra_Prod,1,6)-INDEX(B4_EffRef,1,3))&lt;=0.000000001*INDEX(B4_EffRef,1,3),0,1),1),IF(AND(NOT(ISNUMBER(INDEX(IFW_RevGW_Astra_Prod,1,6))),NOT(ISNUMBER(INDEX(IFW_TokGW_Astra_Prod,1,6)))),IF(INDEX(IFW_RevGW_Astra_Prod,1,6)=INDEX(IFW_TokGW_Astra_Prod,1,6),0,1),1))</f>
        <v>0</v>
      </c>
      <c r="I104" s="105" t="n">
        <f aca="false">IF(AND(ISNUMBER(INDEX(IFW_RevGW_Astra_Prod,1,7)),ISNUMBER(INDEX(IFW_TokGW_Astra_Prod,1,7))),IF(INDEX(IFW_TokGW_Astra_Prod,1,7)&gt;0,IF(ABS(INDEX(IFW_RevGW_Astra_Prod,1,7)*1000000000/INDEX(IFW_TokGW_Astra_Prod,1,7)-INDEX(B4_EffRef,1,3))&lt;=0.000000001*INDEX(B4_EffRef,1,3),0,1),1),IF(AND(NOT(ISNUMBER(INDEX(IFW_RevGW_Astra_Prod,1,7))),NOT(ISNUMBER(INDEX(IFW_TokGW_Astra_Prod,1,7)))),IF(INDEX(IFW_RevGW_Astra_Prod,1,7)=INDEX(IFW_TokGW_Astra_Prod,1,7),0,1),1))</f>
        <v>0</v>
      </c>
      <c r="J104" s="105" t="n">
        <f aca="false">IF(AND(ISNUMBER(INDEX(IFW_RevGW_Astra_Prod,1,8)),ISNUMBER(INDEX(IFW_TokGW_Astra_Prod,1,8))),IF(INDEX(IFW_TokGW_Astra_Prod,1,8)&gt;0,IF(ABS(INDEX(IFW_RevGW_Astra_Prod,1,8)*1000000000/INDEX(IFW_TokGW_Astra_Prod,1,8)-INDEX(B4_EffRef,1,3))&lt;=0.000000001*INDEX(B4_EffRef,1,3),0,1),1),IF(AND(NOT(ISNUMBER(INDEX(IFW_RevGW_Astra_Prod,1,8))),NOT(ISNUMBER(INDEX(IFW_TokGW_Astra_Prod,1,8)))),IF(INDEX(IFW_RevGW_Astra_Prod,1,8)=INDEX(IFW_TokGW_Astra_Prod,1,8),0,1),1))</f>
        <v>0</v>
      </c>
      <c r="K104" s="105" t="n">
        <f aca="false">IF(AND(ISNUMBER(INDEX(IFW_RevGW_Astra_Prod,1,9)),ISNUMBER(INDEX(IFW_TokGW_Astra_Prod,1,9))),IF(INDEX(IFW_TokGW_Astra_Prod,1,9)&gt;0,IF(ABS(INDEX(IFW_RevGW_Astra_Prod,1,9)*1000000000/INDEX(IFW_TokGW_Astra_Prod,1,9)-INDEX(B4_EffRef,1,3))&lt;=0.000000001*INDEX(B4_EffRef,1,3),0,1),1),IF(AND(NOT(ISNUMBER(INDEX(IFW_RevGW_Astra_Prod,1,9))),NOT(ISNUMBER(INDEX(IFW_TokGW_Astra_Prod,1,9)))),IF(INDEX(IFW_RevGW_Astra_Prod,1,9)=INDEX(IFW_TokGW_Astra_Prod,1,9),0,1),1))</f>
        <v>0</v>
      </c>
      <c r="L104" s="105" t="n">
        <f aca="false">IF(AND(ISNUMBER(INDEX(IFW_RevGW_Astra_Prod,1,10)),ISNUMBER(INDEX(IFW_TokGW_Astra_Prod,1,10))),IF(INDEX(IFW_TokGW_Astra_Prod,1,10)&gt;0,IF(ABS(INDEX(IFW_RevGW_Astra_Prod,1,10)*1000000000/INDEX(IFW_TokGW_Astra_Prod,1,10)-INDEX(B4_EffRef,1,3))&lt;=0.000000001*INDEX(B4_EffRef,1,3),0,1),1),IF(AND(NOT(ISNUMBER(INDEX(IFW_RevGW_Astra_Prod,1,10))),NOT(ISNUMBER(INDEX(IFW_TokGW_Astra_Prod,1,10)))),IF(INDEX(IFW_RevGW_Astra_Prod,1,10)=INDEX(IFW_TokGW_Astra_Prod,1,10),0,1),1))</f>
        <v>0</v>
      </c>
      <c r="M104" s="105" t="n">
        <f aca="false">IF(AND(ISNUMBER(INDEX(IFW_RevGW_Astra_Prod,1,11)),ISNUMBER(INDEX(IFW_TokGW_Astra_Prod,1,11))),IF(INDEX(IFW_TokGW_Astra_Prod,1,11)&gt;0,IF(ABS(INDEX(IFW_RevGW_Astra_Prod,1,11)*1000000000/INDEX(IFW_TokGW_Astra_Prod,1,11)-INDEX(B4_EffRef,1,3))&lt;=0.000000001*INDEX(B4_EffRef,1,3),0,1),1),IF(AND(NOT(ISNUMBER(INDEX(IFW_RevGW_Astra_Prod,1,11))),NOT(ISNUMBER(INDEX(IFW_TokGW_Astra_Prod,1,11)))),IF(INDEX(IFW_RevGW_Astra_Prod,1,11)=INDEX(IFW_TokGW_Astra_Prod,1,11),0,1),1))</f>
        <v>0</v>
      </c>
      <c r="N104" s="105" t="n">
        <f aca="false">IF(AND(ISNUMBER(INDEX(IFW_RevGW_Astra_Prod,1,12)),ISNUMBER(INDEX(IFW_TokGW_Astra_Prod,1,12))),IF(INDEX(IFW_TokGW_Astra_Prod,1,12)&gt;0,IF(ABS(INDEX(IFW_RevGW_Astra_Prod,1,12)*1000000000/INDEX(IFW_TokGW_Astra_Prod,1,12)-INDEX(B4_EffRef,1,3))&lt;=0.000000001*INDEX(B4_EffRef,1,3),0,1),1),IF(AND(NOT(ISNUMBER(INDEX(IFW_RevGW_Astra_Prod,1,12))),NOT(ISNUMBER(INDEX(IFW_TokGW_Astra_Prod,1,12)))),IF(INDEX(IFW_RevGW_Astra_Prod,1,12)=INDEX(IFW_TokGW_Astra_Prod,1,12),0,1),1))</f>
        <v>0</v>
      </c>
      <c r="O104" s="105" t="n">
        <f aca="false">IF(AND(ISNUMBER(INDEX(IFW_RevGW_Astra_Prod,1,13)),ISNUMBER(INDEX(IFW_TokGW_Astra_Prod,1,13))),IF(INDEX(IFW_TokGW_Astra_Prod,1,13)&gt;0,IF(ABS(INDEX(IFW_RevGW_Astra_Prod,1,13)*1000000000/INDEX(IFW_TokGW_Astra_Prod,1,13)-INDEX(B4_EffRef,1,3))&lt;=0.000000001*INDEX(B4_EffRef,1,3),0,1),1),IF(AND(NOT(ISNUMBER(INDEX(IFW_RevGW_Astra_Prod,1,13))),NOT(ISNUMBER(INDEX(IFW_TokGW_Astra_Prod,1,13)))),IF(INDEX(IFW_RevGW_Astra_Prod,1,13)=INDEX(IFW_TokGW_Astra_Prod,1,13),0,1),1))</f>
        <v>0</v>
      </c>
      <c r="P104" s="105" t="n">
        <f aca="false">IF(AND(ISNUMBER(INDEX(IFW_RevGW_Astra_Prod,1,14)),ISNUMBER(INDEX(IFW_TokGW_Astra_Prod,1,14))),IF(INDEX(IFW_TokGW_Astra_Prod,1,14)&gt;0,IF(ABS(INDEX(IFW_RevGW_Astra_Prod,1,14)*1000000000/INDEX(IFW_TokGW_Astra_Prod,1,14)-INDEX(B4_EffRef,1,3))&lt;=0.000000001*INDEX(B4_EffRef,1,3),0,1),1),IF(AND(NOT(ISNUMBER(INDEX(IFW_RevGW_Astra_Prod,1,14))),NOT(ISNUMBER(INDEX(IFW_TokGW_Astra_Prod,1,14)))),IF(INDEX(IFW_RevGW_Astra_Prod,1,14)=INDEX(IFW_TokGW_Astra_Prod,1,14),0,1),1))</f>
        <v>0</v>
      </c>
      <c r="Q104" s="105" t="n">
        <f aca="false">IF(AND(ISNUMBER(INDEX(IFW_RevGW_Astra_Prod,1,15)),ISNUMBER(INDEX(IFW_TokGW_Astra_Prod,1,15))),IF(INDEX(IFW_TokGW_Astra_Prod,1,15)&gt;0,IF(ABS(INDEX(IFW_RevGW_Astra_Prod,1,15)*1000000000/INDEX(IFW_TokGW_Astra_Prod,1,15)-INDEX(B4_EffRef,1,3))&lt;=0.000000001*INDEX(B4_EffRef,1,3),0,1),1),IF(AND(NOT(ISNUMBER(INDEX(IFW_RevGW_Astra_Prod,1,15))),NOT(ISNUMBER(INDEX(IFW_TokGW_Astra_Prod,1,15)))),IF(INDEX(IFW_RevGW_Astra_Prod,1,15)=INDEX(IFW_TokGW_Astra_Prod,1,15),0,1),1))</f>
        <v>0</v>
      </c>
    </row>
    <row r="105" customFormat="false" ht="15" hidden="false" customHeight="false" outlineLevel="0" collapsed="false">
      <c r="A105" s="59" t="s">
        <v>2117</v>
      </c>
      <c r="C105" s="105" t="n">
        <f aca="false">IF(AND(ISNUMBER(INDEX(IFW_RevGWFront_Luna_Prod,1,1)),ISNUMBER(INDEX(IFW_TokGW_Luna_Prod,1,1))),IF(INDEX(IFW_TokGW_Luna_Prod,1,1)&gt;0,IF(ABS(INDEX(IFW_RevGWFront_Luna_Prod,1,1)*1000000000/INDEX(IFW_TokGW_Luna_Prod,1,1)-INDEX(B4_FrontRef,1,1))&lt;=0.000000001*INDEX(B4_FrontRef,1,1),0,1),1),IF(AND(NOT(ISNUMBER(INDEX(IFW_RevGWFront_Luna_Prod,1,1))),NOT(ISNUMBER(INDEX(IFW_TokGW_Luna_Prod,1,1)))),IF(INDEX(IFW_RevGWFront_Luna_Prod,1,1)=INDEX(IFW_TokGW_Luna_Prod,1,1),0,1),1))</f>
        <v>0</v>
      </c>
      <c r="D105" s="105" t="n">
        <f aca="false">IF(AND(ISNUMBER(INDEX(IFW_RevGWFront_Luna_Prod,1,2)),ISNUMBER(INDEX(IFW_TokGW_Luna_Prod,1,2))),IF(INDEX(IFW_TokGW_Luna_Prod,1,2)&gt;0,IF(ABS(INDEX(IFW_RevGWFront_Luna_Prod,1,2)*1000000000/INDEX(IFW_TokGW_Luna_Prod,1,2)-INDEX(B4_FrontRef,1,1))&lt;=0.000000001*INDEX(B4_FrontRef,1,1),0,1),1),IF(AND(NOT(ISNUMBER(INDEX(IFW_RevGWFront_Luna_Prod,1,2))),NOT(ISNUMBER(INDEX(IFW_TokGW_Luna_Prod,1,2)))),IF(INDEX(IFW_RevGWFront_Luna_Prod,1,2)=INDEX(IFW_TokGW_Luna_Prod,1,2),0,1),1))</f>
        <v>0</v>
      </c>
      <c r="E105" s="105" t="n">
        <f aca="false">IF(AND(ISNUMBER(INDEX(IFW_RevGWFront_Luna_Prod,1,3)),ISNUMBER(INDEX(IFW_TokGW_Luna_Prod,1,3))),IF(INDEX(IFW_TokGW_Luna_Prod,1,3)&gt;0,IF(ABS(INDEX(IFW_RevGWFront_Luna_Prod,1,3)*1000000000/INDEX(IFW_TokGW_Luna_Prod,1,3)-INDEX(B4_FrontRef,1,1))&lt;=0.000000001*INDEX(B4_FrontRef,1,1),0,1),1),IF(AND(NOT(ISNUMBER(INDEX(IFW_RevGWFront_Luna_Prod,1,3))),NOT(ISNUMBER(INDEX(IFW_TokGW_Luna_Prod,1,3)))),IF(INDEX(IFW_RevGWFront_Luna_Prod,1,3)=INDEX(IFW_TokGW_Luna_Prod,1,3),0,1),1))</f>
        <v>0</v>
      </c>
      <c r="F105" s="105" t="n">
        <f aca="false">IF(AND(ISNUMBER(INDEX(IFW_RevGWFront_Luna_Prod,1,4)),ISNUMBER(INDEX(IFW_TokGW_Luna_Prod,1,4))),IF(INDEX(IFW_TokGW_Luna_Prod,1,4)&gt;0,IF(ABS(INDEX(IFW_RevGWFront_Luna_Prod,1,4)*1000000000/INDEX(IFW_TokGW_Luna_Prod,1,4)-INDEX(B4_FrontRef,1,1))&lt;=0.000000001*INDEX(B4_FrontRef,1,1),0,1),1),IF(AND(NOT(ISNUMBER(INDEX(IFW_RevGWFront_Luna_Prod,1,4))),NOT(ISNUMBER(INDEX(IFW_TokGW_Luna_Prod,1,4)))),IF(INDEX(IFW_RevGWFront_Luna_Prod,1,4)=INDEX(IFW_TokGW_Luna_Prod,1,4),0,1),1))</f>
        <v>0</v>
      </c>
      <c r="G105" s="105" t="n">
        <f aca="false">IF(AND(ISNUMBER(INDEX(IFW_RevGWFront_Luna_Prod,1,5)),ISNUMBER(INDEX(IFW_TokGW_Luna_Prod,1,5))),IF(INDEX(IFW_TokGW_Luna_Prod,1,5)&gt;0,IF(ABS(INDEX(IFW_RevGWFront_Luna_Prod,1,5)*1000000000/INDEX(IFW_TokGW_Luna_Prod,1,5)-INDEX(B4_FrontRef,1,1))&lt;=0.000000001*INDEX(B4_FrontRef,1,1),0,1),1),IF(AND(NOT(ISNUMBER(INDEX(IFW_RevGWFront_Luna_Prod,1,5))),NOT(ISNUMBER(INDEX(IFW_TokGW_Luna_Prod,1,5)))),IF(INDEX(IFW_RevGWFront_Luna_Prod,1,5)=INDEX(IFW_TokGW_Luna_Prod,1,5),0,1),1))</f>
        <v>0</v>
      </c>
      <c r="H105" s="105" t="n">
        <f aca="false">IF(AND(ISNUMBER(INDEX(IFW_RevGWFront_Luna_Prod,1,6)),ISNUMBER(INDEX(IFW_TokGW_Luna_Prod,1,6))),IF(INDEX(IFW_TokGW_Luna_Prod,1,6)&gt;0,IF(ABS(INDEX(IFW_RevGWFront_Luna_Prod,1,6)*1000000000/INDEX(IFW_TokGW_Luna_Prod,1,6)-INDEX(B4_FrontRef,1,1))&lt;=0.000000001*INDEX(B4_FrontRef,1,1),0,1),1),IF(AND(NOT(ISNUMBER(INDEX(IFW_RevGWFront_Luna_Prod,1,6))),NOT(ISNUMBER(INDEX(IFW_TokGW_Luna_Prod,1,6)))),IF(INDEX(IFW_RevGWFront_Luna_Prod,1,6)=INDEX(IFW_TokGW_Luna_Prod,1,6),0,1),1))</f>
        <v>0</v>
      </c>
      <c r="I105" s="105" t="n">
        <f aca="false">IF(AND(ISNUMBER(INDEX(IFW_RevGWFront_Luna_Prod,1,7)),ISNUMBER(INDEX(IFW_TokGW_Luna_Prod,1,7))),IF(INDEX(IFW_TokGW_Luna_Prod,1,7)&gt;0,IF(ABS(INDEX(IFW_RevGWFront_Luna_Prod,1,7)*1000000000/INDEX(IFW_TokGW_Luna_Prod,1,7)-INDEX(B4_FrontRef,1,1))&lt;=0.000000001*INDEX(B4_FrontRef,1,1),0,1),1),IF(AND(NOT(ISNUMBER(INDEX(IFW_RevGWFront_Luna_Prod,1,7))),NOT(ISNUMBER(INDEX(IFW_TokGW_Luna_Prod,1,7)))),IF(INDEX(IFW_RevGWFront_Luna_Prod,1,7)=INDEX(IFW_TokGW_Luna_Prod,1,7),0,1),1))</f>
        <v>0</v>
      </c>
      <c r="J105" s="105" t="n">
        <f aca="false">IF(AND(ISNUMBER(INDEX(IFW_RevGWFront_Luna_Prod,1,8)),ISNUMBER(INDEX(IFW_TokGW_Luna_Prod,1,8))),IF(INDEX(IFW_TokGW_Luna_Prod,1,8)&gt;0,IF(ABS(INDEX(IFW_RevGWFront_Luna_Prod,1,8)*1000000000/INDEX(IFW_TokGW_Luna_Prod,1,8)-INDEX(B4_FrontRef,1,1))&lt;=0.000000001*INDEX(B4_FrontRef,1,1),0,1),1),IF(AND(NOT(ISNUMBER(INDEX(IFW_RevGWFront_Luna_Prod,1,8))),NOT(ISNUMBER(INDEX(IFW_TokGW_Luna_Prod,1,8)))),IF(INDEX(IFW_RevGWFront_Luna_Prod,1,8)=INDEX(IFW_TokGW_Luna_Prod,1,8),0,1),1))</f>
        <v>0</v>
      </c>
      <c r="K105" s="105" t="n">
        <f aca="false">IF(AND(ISNUMBER(INDEX(IFW_RevGWFront_Luna_Prod,1,9)),ISNUMBER(INDEX(IFW_TokGW_Luna_Prod,1,9))),IF(INDEX(IFW_TokGW_Luna_Prod,1,9)&gt;0,IF(ABS(INDEX(IFW_RevGWFront_Luna_Prod,1,9)*1000000000/INDEX(IFW_TokGW_Luna_Prod,1,9)-INDEX(B4_FrontRef,1,1))&lt;=0.000000001*INDEX(B4_FrontRef,1,1),0,1),1),IF(AND(NOT(ISNUMBER(INDEX(IFW_RevGWFront_Luna_Prod,1,9))),NOT(ISNUMBER(INDEX(IFW_TokGW_Luna_Prod,1,9)))),IF(INDEX(IFW_RevGWFront_Luna_Prod,1,9)=INDEX(IFW_TokGW_Luna_Prod,1,9),0,1),1))</f>
        <v>0</v>
      </c>
      <c r="L105" s="105" t="n">
        <f aca="false">IF(AND(ISNUMBER(INDEX(IFW_RevGWFront_Luna_Prod,1,10)),ISNUMBER(INDEX(IFW_TokGW_Luna_Prod,1,10))),IF(INDEX(IFW_TokGW_Luna_Prod,1,10)&gt;0,IF(ABS(INDEX(IFW_RevGWFront_Luna_Prod,1,10)*1000000000/INDEX(IFW_TokGW_Luna_Prod,1,10)-INDEX(B4_FrontRef,1,1))&lt;=0.000000001*INDEX(B4_FrontRef,1,1),0,1),1),IF(AND(NOT(ISNUMBER(INDEX(IFW_RevGWFront_Luna_Prod,1,10))),NOT(ISNUMBER(INDEX(IFW_TokGW_Luna_Prod,1,10)))),IF(INDEX(IFW_RevGWFront_Luna_Prod,1,10)=INDEX(IFW_TokGW_Luna_Prod,1,10),0,1),1))</f>
        <v>0</v>
      </c>
      <c r="M105" s="105" t="n">
        <f aca="false">IF(AND(ISNUMBER(INDEX(IFW_RevGWFront_Luna_Prod,1,11)),ISNUMBER(INDEX(IFW_TokGW_Luna_Prod,1,11))),IF(INDEX(IFW_TokGW_Luna_Prod,1,11)&gt;0,IF(ABS(INDEX(IFW_RevGWFront_Luna_Prod,1,11)*1000000000/INDEX(IFW_TokGW_Luna_Prod,1,11)-INDEX(B4_FrontRef,1,1))&lt;=0.000000001*INDEX(B4_FrontRef,1,1),0,1),1),IF(AND(NOT(ISNUMBER(INDEX(IFW_RevGWFront_Luna_Prod,1,11))),NOT(ISNUMBER(INDEX(IFW_TokGW_Luna_Prod,1,11)))),IF(INDEX(IFW_RevGWFront_Luna_Prod,1,11)=INDEX(IFW_TokGW_Luna_Prod,1,11),0,1),1))</f>
        <v>0</v>
      </c>
      <c r="N105" s="105" t="n">
        <f aca="false">IF(AND(ISNUMBER(INDEX(IFW_RevGWFront_Luna_Prod,1,12)),ISNUMBER(INDEX(IFW_TokGW_Luna_Prod,1,12))),IF(INDEX(IFW_TokGW_Luna_Prod,1,12)&gt;0,IF(ABS(INDEX(IFW_RevGWFront_Luna_Prod,1,12)*1000000000/INDEX(IFW_TokGW_Luna_Prod,1,12)-INDEX(B4_FrontRef,1,1))&lt;=0.000000001*INDEX(B4_FrontRef,1,1),0,1),1),IF(AND(NOT(ISNUMBER(INDEX(IFW_RevGWFront_Luna_Prod,1,12))),NOT(ISNUMBER(INDEX(IFW_TokGW_Luna_Prod,1,12)))),IF(INDEX(IFW_RevGWFront_Luna_Prod,1,12)=INDEX(IFW_TokGW_Luna_Prod,1,12),0,1),1))</f>
        <v>0</v>
      </c>
      <c r="O105" s="105" t="n">
        <f aca="false">IF(AND(ISNUMBER(INDEX(IFW_RevGWFront_Luna_Prod,1,13)),ISNUMBER(INDEX(IFW_TokGW_Luna_Prod,1,13))),IF(INDEX(IFW_TokGW_Luna_Prod,1,13)&gt;0,IF(ABS(INDEX(IFW_RevGWFront_Luna_Prod,1,13)*1000000000/INDEX(IFW_TokGW_Luna_Prod,1,13)-INDEX(B4_FrontRef,1,1))&lt;=0.000000001*INDEX(B4_FrontRef,1,1),0,1),1),IF(AND(NOT(ISNUMBER(INDEX(IFW_RevGWFront_Luna_Prod,1,13))),NOT(ISNUMBER(INDEX(IFW_TokGW_Luna_Prod,1,13)))),IF(INDEX(IFW_RevGWFront_Luna_Prod,1,13)=INDEX(IFW_TokGW_Luna_Prod,1,13),0,1),1))</f>
        <v>0</v>
      </c>
      <c r="P105" s="105" t="n">
        <f aca="false">IF(AND(ISNUMBER(INDEX(IFW_RevGWFront_Luna_Prod,1,14)),ISNUMBER(INDEX(IFW_TokGW_Luna_Prod,1,14))),IF(INDEX(IFW_TokGW_Luna_Prod,1,14)&gt;0,IF(ABS(INDEX(IFW_RevGWFront_Luna_Prod,1,14)*1000000000/INDEX(IFW_TokGW_Luna_Prod,1,14)-INDEX(B4_FrontRef,1,1))&lt;=0.000000001*INDEX(B4_FrontRef,1,1),0,1),1),IF(AND(NOT(ISNUMBER(INDEX(IFW_RevGWFront_Luna_Prod,1,14))),NOT(ISNUMBER(INDEX(IFW_TokGW_Luna_Prod,1,14)))),IF(INDEX(IFW_RevGWFront_Luna_Prod,1,14)=INDEX(IFW_TokGW_Luna_Prod,1,14),0,1),1))</f>
        <v>0</v>
      </c>
      <c r="Q105" s="105" t="n">
        <f aca="false">IF(AND(ISNUMBER(INDEX(IFW_RevGWFront_Luna_Prod,1,15)),ISNUMBER(INDEX(IFW_TokGW_Luna_Prod,1,15))),IF(INDEX(IFW_TokGW_Luna_Prod,1,15)&gt;0,IF(ABS(INDEX(IFW_RevGWFront_Luna_Prod,1,15)*1000000000/INDEX(IFW_TokGW_Luna_Prod,1,15)-INDEX(B4_FrontRef,1,1))&lt;=0.000000001*INDEX(B4_FrontRef,1,1),0,1),1),IF(AND(NOT(ISNUMBER(INDEX(IFW_RevGWFront_Luna_Prod,1,15))),NOT(ISNUMBER(INDEX(IFW_TokGW_Luna_Prod,1,15)))),IF(INDEX(IFW_RevGWFront_Luna_Prod,1,15)=INDEX(IFW_TokGW_Luna_Prod,1,15),0,1),1))</f>
        <v>0</v>
      </c>
    </row>
    <row r="106" customFormat="false" ht="15" hidden="false" customHeight="false" outlineLevel="0" collapsed="false">
      <c r="A106" s="59" t="s">
        <v>2118</v>
      </c>
      <c r="C106" s="105" t="n">
        <f aca="false">IF(AND(ISNUMBER(INDEX(IFW_RevGWFront_Sol_Prod,1,1)),ISNUMBER(INDEX(IFW_TokGW_Sol_Prod,1,1))),IF(INDEX(IFW_TokGW_Sol_Prod,1,1)&gt;0,IF(ABS(INDEX(IFW_RevGWFront_Sol_Prod,1,1)*1000000000/INDEX(IFW_TokGW_Sol_Prod,1,1)-INDEX(B4_FrontRef,1,2))&lt;=0.000000001*INDEX(B4_FrontRef,1,2),0,1),1),IF(AND(NOT(ISNUMBER(INDEX(IFW_RevGWFront_Sol_Prod,1,1))),NOT(ISNUMBER(INDEX(IFW_TokGW_Sol_Prod,1,1)))),IF(INDEX(IFW_RevGWFront_Sol_Prod,1,1)=INDEX(IFW_TokGW_Sol_Prod,1,1),0,1),1))</f>
        <v>0</v>
      </c>
      <c r="D106" s="105" t="n">
        <f aca="false">IF(AND(ISNUMBER(INDEX(IFW_RevGWFront_Sol_Prod,1,2)),ISNUMBER(INDEX(IFW_TokGW_Sol_Prod,1,2))),IF(INDEX(IFW_TokGW_Sol_Prod,1,2)&gt;0,IF(ABS(INDEX(IFW_RevGWFront_Sol_Prod,1,2)*1000000000/INDEX(IFW_TokGW_Sol_Prod,1,2)-INDEX(B4_FrontRef,1,2))&lt;=0.000000001*INDEX(B4_FrontRef,1,2),0,1),1),IF(AND(NOT(ISNUMBER(INDEX(IFW_RevGWFront_Sol_Prod,1,2))),NOT(ISNUMBER(INDEX(IFW_TokGW_Sol_Prod,1,2)))),IF(INDEX(IFW_RevGWFront_Sol_Prod,1,2)=INDEX(IFW_TokGW_Sol_Prod,1,2),0,1),1))</f>
        <v>0</v>
      </c>
      <c r="E106" s="105" t="n">
        <f aca="false">IF(AND(ISNUMBER(INDEX(IFW_RevGWFront_Sol_Prod,1,3)),ISNUMBER(INDEX(IFW_TokGW_Sol_Prod,1,3))),IF(INDEX(IFW_TokGW_Sol_Prod,1,3)&gt;0,IF(ABS(INDEX(IFW_RevGWFront_Sol_Prod,1,3)*1000000000/INDEX(IFW_TokGW_Sol_Prod,1,3)-INDEX(B4_FrontRef,1,2))&lt;=0.000000001*INDEX(B4_FrontRef,1,2),0,1),1),IF(AND(NOT(ISNUMBER(INDEX(IFW_RevGWFront_Sol_Prod,1,3))),NOT(ISNUMBER(INDEX(IFW_TokGW_Sol_Prod,1,3)))),IF(INDEX(IFW_RevGWFront_Sol_Prod,1,3)=INDEX(IFW_TokGW_Sol_Prod,1,3),0,1),1))</f>
        <v>0</v>
      </c>
      <c r="F106" s="105" t="n">
        <f aca="false">IF(AND(ISNUMBER(INDEX(IFW_RevGWFront_Sol_Prod,1,4)),ISNUMBER(INDEX(IFW_TokGW_Sol_Prod,1,4))),IF(INDEX(IFW_TokGW_Sol_Prod,1,4)&gt;0,IF(ABS(INDEX(IFW_RevGWFront_Sol_Prod,1,4)*1000000000/INDEX(IFW_TokGW_Sol_Prod,1,4)-INDEX(B4_FrontRef,1,2))&lt;=0.000000001*INDEX(B4_FrontRef,1,2),0,1),1),IF(AND(NOT(ISNUMBER(INDEX(IFW_RevGWFront_Sol_Prod,1,4))),NOT(ISNUMBER(INDEX(IFW_TokGW_Sol_Prod,1,4)))),IF(INDEX(IFW_RevGWFront_Sol_Prod,1,4)=INDEX(IFW_TokGW_Sol_Prod,1,4),0,1),1))</f>
        <v>0</v>
      </c>
      <c r="G106" s="105" t="n">
        <f aca="false">IF(AND(ISNUMBER(INDEX(IFW_RevGWFront_Sol_Prod,1,5)),ISNUMBER(INDEX(IFW_TokGW_Sol_Prod,1,5))),IF(INDEX(IFW_TokGW_Sol_Prod,1,5)&gt;0,IF(ABS(INDEX(IFW_RevGWFront_Sol_Prod,1,5)*1000000000/INDEX(IFW_TokGW_Sol_Prod,1,5)-INDEX(B4_FrontRef,1,2))&lt;=0.000000001*INDEX(B4_FrontRef,1,2),0,1),1),IF(AND(NOT(ISNUMBER(INDEX(IFW_RevGWFront_Sol_Prod,1,5))),NOT(ISNUMBER(INDEX(IFW_TokGW_Sol_Prod,1,5)))),IF(INDEX(IFW_RevGWFront_Sol_Prod,1,5)=INDEX(IFW_TokGW_Sol_Prod,1,5),0,1),1))</f>
        <v>0</v>
      </c>
      <c r="H106" s="105" t="n">
        <f aca="false">IF(AND(ISNUMBER(INDEX(IFW_RevGWFront_Sol_Prod,1,6)),ISNUMBER(INDEX(IFW_TokGW_Sol_Prod,1,6))),IF(INDEX(IFW_TokGW_Sol_Prod,1,6)&gt;0,IF(ABS(INDEX(IFW_RevGWFront_Sol_Prod,1,6)*1000000000/INDEX(IFW_TokGW_Sol_Prod,1,6)-INDEX(B4_FrontRef,1,2))&lt;=0.000000001*INDEX(B4_FrontRef,1,2),0,1),1),IF(AND(NOT(ISNUMBER(INDEX(IFW_RevGWFront_Sol_Prod,1,6))),NOT(ISNUMBER(INDEX(IFW_TokGW_Sol_Prod,1,6)))),IF(INDEX(IFW_RevGWFront_Sol_Prod,1,6)=INDEX(IFW_TokGW_Sol_Prod,1,6),0,1),1))</f>
        <v>0</v>
      </c>
      <c r="I106" s="105" t="n">
        <f aca="false">IF(AND(ISNUMBER(INDEX(IFW_RevGWFront_Sol_Prod,1,7)),ISNUMBER(INDEX(IFW_TokGW_Sol_Prod,1,7))),IF(INDEX(IFW_TokGW_Sol_Prod,1,7)&gt;0,IF(ABS(INDEX(IFW_RevGWFront_Sol_Prod,1,7)*1000000000/INDEX(IFW_TokGW_Sol_Prod,1,7)-INDEX(B4_FrontRef,1,2))&lt;=0.000000001*INDEX(B4_FrontRef,1,2),0,1),1),IF(AND(NOT(ISNUMBER(INDEX(IFW_RevGWFront_Sol_Prod,1,7))),NOT(ISNUMBER(INDEX(IFW_TokGW_Sol_Prod,1,7)))),IF(INDEX(IFW_RevGWFront_Sol_Prod,1,7)=INDEX(IFW_TokGW_Sol_Prod,1,7),0,1),1))</f>
        <v>0</v>
      </c>
      <c r="J106" s="105" t="n">
        <f aca="false">IF(AND(ISNUMBER(INDEX(IFW_RevGWFront_Sol_Prod,1,8)),ISNUMBER(INDEX(IFW_TokGW_Sol_Prod,1,8))),IF(INDEX(IFW_TokGW_Sol_Prod,1,8)&gt;0,IF(ABS(INDEX(IFW_RevGWFront_Sol_Prod,1,8)*1000000000/INDEX(IFW_TokGW_Sol_Prod,1,8)-INDEX(B4_FrontRef,1,2))&lt;=0.000000001*INDEX(B4_FrontRef,1,2),0,1),1),IF(AND(NOT(ISNUMBER(INDEX(IFW_RevGWFront_Sol_Prod,1,8))),NOT(ISNUMBER(INDEX(IFW_TokGW_Sol_Prod,1,8)))),IF(INDEX(IFW_RevGWFront_Sol_Prod,1,8)=INDEX(IFW_TokGW_Sol_Prod,1,8),0,1),1))</f>
        <v>0</v>
      </c>
      <c r="K106" s="105" t="n">
        <f aca="false">IF(AND(ISNUMBER(INDEX(IFW_RevGWFront_Sol_Prod,1,9)),ISNUMBER(INDEX(IFW_TokGW_Sol_Prod,1,9))),IF(INDEX(IFW_TokGW_Sol_Prod,1,9)&gt;0,IF(ABS(INDEX(IFW_RevGWFront_Sol_Prod,1,9)*1000000000/INDEX(IFW_TokGW_Sol_Prod,1,9)-INDEX(B4_FrontRef,1,2))&lt;=0.000000001*INDEX(B4_FrontRef,1,2),0,1),1),IF(AND(NOT(ISNUMBER(INDEX(IFW_RevGWFront_Sol_Prod,1,9))),NOT(ISNUMBER(INDEX(IFW_TokGW_Sol_Prod,1,9)))),IF(INDEX(IFW_RevGWFront_Sol_Prod,1,9)=INDEX(IFW_TokGW_Sol_Prod,1,9),0,1),1))</f>
        <v>0</v>
      </c>
      <c r="L106" s="105" t="n">
        <f aca="false">IF(AND(ISNUMBER(INDEX(IFW_RevGWFront_Sol_Prod,1,10)),ISNUMBER(INDEX(IFW_TokGW_Sol_Prod,1,10))),IF(INDEX(IFW_TokGW_Sol_Prod,1,10)&gt;0,IF(ABS(INDEX(IFW_RevGWFront_Sol_Prod,1,10)*1000000000/INDEX(IFW_TokGW_Sol_Prod,1,10)-INDEX(B4_FrontRef,1,2))&lt;=0.000000001*INDEX(B4_FrontRef,1,2),0,1),1),IF(AND(NOT(ISNUMBER(INDEX(IFW_RevGWFront_Sol_Prod,1,10))),NOT(ISNUMBER(INDEX(IFW_TokGW_Sol_Prod,1,10)))),IF(INDEX(IFW_RevGWFront_Sol_Prod,1,10)=INDEX(IFW_TokGW_Sol_Prod,1,10),0,1),1))</f>
        <v>0</v>
      </c>
      <c r="M106" s="105" t="n">
        <f aca="false">IF(AND(ISNUMBER(INDEX(IFW_RevGWFront_Sol_Prod,1,11)),ISNUMBER(INDEX(IFW_TokGW_Sol_Prod,1,11))),IF(INDEX(IFW_TokGW_Sol_Prod,1,11)&gt;0,IF(ABS(INDEX(IFW_RevGWFront_Sol_Prod,1,11)*1000000000/INDEX(IFW_TokGW_Sol_Prod,1,11)-INDEX(B4_FrontRef,1,2))&lt;=0.000000001*INDEX(B4_FrontRef,1,2),0,1),1),IF(AND(NOT(ISNUMBER(INDEX(IFW_RevGWFront_Sol_Prod,1,11))),NOT(ISNUMBER(INDEX(IFW_TokGW_Sol_Prod,1,11)))),IF(INDEX(IFW_RevGWFront_Sol_Prod,1,11)=INDEX(IFW_TokGW_Sol_Prod,1,11),0,1),1))</f>
        <v>0</v>
      </c>
      <c r="N106" s="105" t="n">
        <f aca="false">IF(AND(ISNUMBER(INDEX(IFW_RevGWFront_Sol_Prod,1,12)),ISNUMBER(INDEX(IFW_TokGW_Sol_Prod,1,12))),IF(INDEX(IFW_TokGW_Sol_Prod,1,12)&gt;0,IF(ABS(INDEX(IFW_RevGWFront_Sol_Prod,1,12)*1000000000/INDEX(IFW_TokGW_Sol_Prod,1,12)-INDEX(B4_FrontRef,1,2))&lt;=0.000000001*INDEX(B4_FrontRef,1,2),0,1),1),IF(AND(NOT(ISNUMBER(INDEX(IFW_RevGWFront_Sol_Prod,1,12))),NOT(ISNUMBER(INDEX(IFW_TokGW_Sol_Prod,1,12)))),IF(INDEX(IFW_RevGWFront_Sol_Prod,1,12)=INDEX(IFW_TokGW_Sol_Prod,1,12),0,1),1))</f>
        <v>0</v>
      </c>
      <c r="O106" s="105" t="n">
        <f aca="false">IF(AND(ISNUMBER(INDEX(IFW_RevGWFront_Sol_Prod,1,13)),ISNUMBER(INDEX(IFW_TokGW_Sol_Prod,1,13))),IF(INDEX(IFW_TokGW_Sol_Prod,1,13)&gt;0,IF(ABS(INDEX(IFW_RevGWFront_Sol_Prod,1,13)*1000000000/INDEX(IFW_TokGW_Sol_Prod,1,13)-INDEX(B4_FrontRef,1,2))&lt;=0.000000001*INDEX(B4_FrontRef,1,2),0,1),1),IF(AND(NOT(ISNUMBER(INDEX(IFW_RevGWFront_Sol_Prod,1,13))),NOT(ISNUMBER(INDEX(IFW_TokGW_Sol_Prod,1,13)))),IF(INDEX(IFW_RevGWFront_Sol_Prod,1,13)=INDEX(IFW_TokGW_Sol_Prod,1,13),0,1),1))</f>
        <v>0</v>
      </c>
      <c r="P106" s="105" t="n">
        <f aca="false">IF(AND(ISNUMBER(INDEX(IFW_RevGWFront_Sol_Prod,1,14)),ISNUMBER(INDEX(IFW_TokGW_Sol_Prod,1,14))),IF(INDEX(IFW_TokGW_Sol_Prod,1,14)&gt;0,IF(ABS(INDEX(IFW_RevGWFront_Sol_Prod,1,14)*1000000000/INDEX(IFW_TokGW_Sol_Prod,1,14)-INDEX(B4_FrontRef,1,2))&lt;=0.000000001*INDEX(B4_FrontRef,1,2),0,1),1),IF(AND(NOT(ISNUMBER(INDEX(IFW_RevGWFront_Sol_Prod,1,14))),NOT(ISNUMBER(INDEX(IFW_TokGW_Sol_Prod,1,14)))),IF(INDEX(IFW_RevGWFront_Sol_Prod,1,14)=INDEX(IFW_TokGW_Sol_Prod,1,14),0,1),1))</f>
        <v>0</v>
      </c>
      <c r="Q106" s="105" t="n">
        <f aca="false">IF(AND(ISNUMBER(INDEX(IFW_RevGWFront_Sol_Prod,1,15)),ISNUMBER(INDEX(IFW_TokGW_Sol_Prod,1,15))),IF(INDEX(IFW_TokGW_Sol_Prod,1,15)&gt;0,IF(ABS(INDEX(IFW_RevGWFront_Sol_Prod,1,15)*1000000000/INDEX(IFW_TokGW_Sol_Prod,1,15)-INDEX(B4_FrontRef,1,2))&lt;=0.000000001*INDEX(B4_FrontRef,1,2),0,1),1),IF(AND(NOT(ISNUMBER(INDEX(IFW_RevGWFront_Sol_Prod,1,15))),NOT(ISNUMBER(INDEX(IFW_TokGW_Sol_Prod,1,15)))),IF(INDEX(IFW_RevGWFront_Sol_Prod,1,15)=INDEX(IFW_TokGW_Sol_Prod,1,15),0,1),1))</f>
        <v>0</v>
      </c>
    </row>
    <row r="107" customFormat="false" ht="15" hidden="false" customHeight="false" outlineLevel="0" collapsed="false">
      <c r="A107" s="59" t="s">
        <v>2119</v>
      </c>
      <c r="C107" s="105" t="n">
        <f aca="false">IF(AND(ISNUMBER(INDEX(IFW_RevGWFront_Astra_Prod,1,1)),ISNUMBER(INDEX(IFW_TokGW_Astra_Prod,1,1))),IF(INDEX(IFW_TokGW_Astra_Prod,1,1)&gt;0,IF(ABS(INDEX(IFW_RevGWFront_Astra_Prod,1,1)*1000000000/INDEX(IFW_TokGW_Astra_Prod,1,1)-INDEX(B4_FrontRef,1,3))&lt;=0.000000001*INDEX(B4_FrontRef,1,3),0,1),1),IF(AND(NOT(ISNUMBER(INDEX(IFW_RevGWFront_Astra_Prod,1,1))),NOT(ISNUMBER(INDEX(IFW_TokGW_Astra_Prod,1,1)))),IF(INDEX(IFW_RevGWFront_Astra_Prod,1,1)=INDEX(IFW_TokGW_Astra_Prod,1,1),0,1),1))</f>
        <v>0</v>
      </c>
      <c r="D107" s="105" t="n">
        <f aca="false">IF(AND(ISNUMBER(INDEX(IFW_RevGWFront_Astra_Prod,1,2)),ISNUMBER(INDEX(IFW_TokGW_Astra_Prod,1,2))),IF(INDEX(IFW_TokGW_Astra_Prod,1,2)&gt;0,IF(ABS(INDEX(IFW_RevGWFront_Astra_Prod,1,2)*1000000000/INDEX(IFW_TokGW_Astra_Prod,1,2)-INDEX(B4_FrontRef,1,3))&lt;=0.000000001*INDEX(B4_FrontRef,1,3),0,1),1),IF(AND(NOT(ISNUMBER(INDEX(IFW_RevGWFront_Astra_Prod,1,2))),NOT(ISNUMBER(INDEX(IFW_TokGW_Astra_Prod,1,2)))),IF(INDEX(IFW_RevGWFront_Astra_Prod,1,2)=INDEX(IFW_TokGW_Astra_Prod,1,2),0,1),1))</f>
        <v>0</v>
      </c>
      <c r="E107" s="105" t="n">
        <f aca="false">IF(AND(ISNUMBER(INDEX(IFW_RevGWFront_Astra_Prod,1,3)),ISNUMBER(INDEX(IFW_TokGW_Astra_Prod,1,3))),IF(INDEX(IFW_TokGW_Astra_Prod,1,3)&gt;0,IF(ABS(INDEX(IFW_RevGWFront_Astra_Prod,1,3)*1000000000/INDEX(IFW_TokGW_Astra_Prod,1,3)-INDEX(B4_FrontRef,1,3))&lt;=0.000000001*INDEX(B4_FrontRef,1,3),0,1),1),IF(AND(NOT(ISNUMBER(INDEX(IFW_RevGWFront_Astra_Prod,1,3))),NOT(ISNUMBER(INDEX(IFW_TokGW_Astra_Prod,1,3)))),IF(INDEX(IFW_RevGWFront_Astra_Prod,1,3)=INDEX(IFW_TokGW_Astra_Prod,1,3),0,1),1))</f>
        <v>0</v>
      </c>
      <c r="F107" s="105" t="n">
        <f aca="false">IF(AND(ISNUMBER(INDEX(IFW_RevGWFront_Astra_Prod,1,4)),ISNUMBER(INDEX(IFW_TokGW_Astra_Prod,1,4))),IF(INDEX(IFW_TokGW_Astra_Prod,1,4)&gt;0,IF(ABS(INDEX(IFW_RevGWFront_Astra_Prod,1,4)*1000000000/INDEX(IFW_TokGW_Astra_Prod,1,4)-INDEX(B4_FrontRef,1,3))&lt;=0.000000001*INDEX(B4_FrontRef,1,3),0,1),1),IF(AND(NOT(ISNUMBER(INDEX(IFW_RevGWFront_Astra_Prod,1,4))),NOT(ISNUMBER(INDEX(IFW_TokGW_Astra_Prod,1,4)))),IF(INDEX(IFW_RevGWFront_Astra_Prod,1,4)=INDEX(IFW_TokGW_Astra_Prod,1,4),0,1),1))</f>
        <v>0</v>
      </c>
      <c r="G107" s="105" t="n">
        <f aca="false">IF(AND(ISNUMBER(INDEX(IFW_RevGWFront_Astra_Prod,1,5)),ISNUMBER(INDEX(IFW_TokGW_Astra_Prod,1,5))),IF(INDEX(IFW_TokGW_Astra_Prod,1,5)&gt;0,IF(ABS(INDEX(IFW_RevGWFront_Astra_Prod,1,5)*1000000000/INDEX(IFW_TokGW_Astra_Prod,1,5)-INDEX(B4_FrontRef,1,3))&lt;=0.000000001*INDEX(B4_FrontRef,1,3),0,1),1),IF(AND(NOT(ISNUMBER(INDEX(IFW_RevGWFront_Astra_Prod,1,5))),NOT(ISNUMBER(INDEX(IFW_TokGW_Astra_Prod,1,5)))),IF(INDEX(IFW_RevGWFront_Astra_Prod,1,5)=INDEX(IFW_TokGW_Astra_Prod,1,5),0,1),1))</f>
        <v>0</v>
      </c>
      <c r="H107" s="105" t="n">
        <f aca="false">IF(AND(ISNUMBER(INDEX(IFW_RevGWFront_Astra_Prod,1,6)),ISNUMBER(INDEX(IFW_TokGW_Astra_Prod,1,6))),IF(INDEX(IFW_TokGW_Astra_Prod,1,6)&gt;0,IF(ABS(INDEX(IFW_RevGWFront_Astra_Prod,1,6)*1000000000/INDEX(IFW_TokGW_Astra_Prod,1,6)-INDEX(B4_FrontRef,1,3))&lt;=0.000000001*INDEX(B4_FrontRef,1,3),0,1),1),IF(AND(NOT(ISNUMBER(INDEX(IFW_RevGWFront_Astra_Prod,1,6))),NOT(ISNUMBER(INDEX(IFW_TokGW_Astra_Prod,1,6)))),IF(INDEX(IFW_RevGWFront_Astra_Prod,1,6)=INDEX(IFW_TokGW_Astra_Prod,1,6),0,1),1))</f>
        <v>0</v>
      </c>
      <c r="I107" s="105" t="n">
        <f aca="false">IF(AND(ISNUMBER(INDEX(IFW_RevGWFront_Astra_Prod,1,7)),ISNUMBER(INDEX(IFW_TokGW_Astra_Prod,1,7))),IF(INDEX(IFW_TokGW_Astra_Prod,1,7)&gt;0,IF(ABS(INDEX(IFW_RevGWFront_Astra_Prod,1,7)*1000000000/INDEX(IFW_TokGW_Astra_Prod,1,7)-INDEX(B4_FrontRef,1,3))&lt;=0.000000001*INDEX(B4_FrontRef,1,3),0,1),1),IF(AND(NOT(ISNUMBER(INDEX(IFW_RevGWFront_Astra_Prod,1,7))),NOT(ISNUMBER(INDEX(IFW_TokGW_Astra_Prod,1,7)))),IF(INDEX(IFW_RevGWFront_Astra_Prod,1,7)=INDEX(IFW_TokGW_Astra_Prod,1,7),0,1),1))</f>
        <v>0</v>
      </c>
      <c r="J107" s="105" t="n">
        <f aca="false">IF(AND(ISNUMBER(INDEX(IFW_RevGWFront_Astra_Prod,1,8)),ISNUMBER(INDEX(IFW_TokGW_Astra_Prod,1,8))),IF(INDEX(IFW_TokGW_Astra_Prod,1,8)&gt;0,IF(ABS(INDEX(IFW_RevGWFront_Astra_Prod,1,8)*1000000000/INDEX(IFW_TokGW_Astra_Prod,1,8)-INDEX(B4_FrontRef,1,3))&lt;=0.000000001*INDEX(B4_FrontRef,1,3),0,1),1),IF(AND(NOT(ISNUMBER(INDEX(IFW_RevGWFront_Astra_Prod,1,8))),NOT(ISNUMBER(INDEX(IFW_TokGW_Astra_Prod,1,8)))),IF(INDEX(IFW_RevGWFront_Astra_Prod,1,8)=INDEX(IFW_TokGW_Astra_Prod,1,8),0,1),1))</f>
        <v>0</v>
      </c>
      <c r="K107" s="105" t="n">
        <f aca="false">IF(AND(ISNUMBER(INDEX(IFW_RevGWFront_Astra_Prod,1,9)),ISNUMBER(INDEX(IFW_TokGW_Astra_Prod,1,9))),IF(INDEX(IFW_TokGW_Astra_Prod,1,9)&gt;0,IF(ABS(INDEX(IFW_RevGWFront_Astra_Prod,1,9)*1000000000/INDEX(IFW_TokGW_Astra_Prod,1,9)-INDEX(B4_FrontRef,1,3))&lt;=0.000000001*INDEX(B4_FrontRef,1,3),0,1),1),IF(AND(NOT(ISNUMBER(INDEX(IFW_RevGWFront_Astra_Prod,1,9))),NOT(ISNUMBER(INDEX(IFW_TokGW_Astra_Prod,1,9)))),IF(INDEX(IFW_RevGWFront_Astra_Prod,1,9)=INDEX(IFW_TokGW_Astra_Prod,1,9),0,1),1))</f>
        <v>0</v>
      </c>
      <c r="L107" s="105" t="n">
        <f aca="false">IF(AND(ISNUMBER(INDEX(IFW_RevGWFront_Astra_Prod,1,10)),ISNUMBER(INDEX(IFW_TokGW_Astra_Prod,1,10))),IF(INDEX(IFW_TokGW_Astra_Prod,1,10)&gt;0,IF(ABS(INDEX(IFW_RevGWFront_Astra_Prod,1,10)*1000000000/INDEX(IFW_TokGW_Astra_Prod,1,10)-INDEX(B4_FrontRef,1,3))&lt;=0.000000001*INDEX(B4_FrontRef,1,3),0,1),1),IF(AND(NOT(ISNUMBER(INDEX(IFW_RevGWFront_Astra_Prod,1,10))),NOT(ISNUMBER(INDEX(IFW_TokGW_Astra_Prod,1,10)))),IF(INDEX(IFW_RevGWFront_Astra_Prod,1,10)=INDEX(IFW_TokGW_Astra_Prod,1,10),0,1),1))</f>
        <v>0</v>
      </c>
      <c r="M107" s="105" t="n">
        <f aca="false">IF(AND(ISNUMBER(INDEX(IFW_RevGWFront_Astra_Prod,1,11)),ISNUMBER(INDEX(IFW_TokGW_Astra_Prod,1,11))),IF(INDEX(IFW_TokGW_Astra_Prod,1,11)&gt;0,IF(ABS(INDEX(IFW_RevGWFront_Astra_Prod,1,11)*1000000000/INDEX(IFW_TokGW_Astra_Prod,1,11)-INDEX(B4_FrontRef,1,3))&lt;=0.000000001*INDEX(B4_FrontRef,1,3),0,1),1),IF(AND(NOT(ISNUMBER(INDEX(IFW_RevGWFront_Astra_Prod,1,11))),NOT(ISNUMBER(INDEX(IFW_TokGW_Astra_Prod,1,11)))),IF(INDEX(IFW_RevGWFront_Astra_Prod,1,11)=INDEX(IFW_TokGW_Astra_Prod,1,11),0,1),1))</f>
        <v>0</v>
      </c>
      <c r="N107" s="105" t="n">
        <f aca="false">IF(AND(ISNUMBER(INDEX(IFW_RevGWFront_Astra_Prod,1,12)),ISNUMBER(INDEX(IFW_TokGW_Astra_Prod,1,12))),IF(INDEX(IFW_TokGW_Astra_Prod,1,12)&gt;0,IF(ABS(INDEX(IFW_RevGWFront_Astra_Prod,1,12)*1000000000/INDEX(IFW_TokGW_Astra_Prod,1,12)-INDEX(B4_FrontRef,1,3))&lt;=0.000000001*INDEX(B4_FrontRef,1,3),0,1),1),IF(AND(NOT(ISNUMBER(INDEX(IFW_RevGWFront_Astra_Prod,1,12))),NOT(ISNUMBER(INDEX(IFW_TokGW_Astra_Prod,1,12)))),IF(INDEX(IFW_RevGWFront_Astra_Prod,1,12)=INDEX(IFW_TokGW_Astra_Prod,1,12),0,1),1))</f>
        <v>0</v>
      </c>
      <c r="O107" s="105" t="n">
        <f aca="false">IF(AND(ISNUMBER(INDEX(IFW_RevGWFront_Astra_Prod,1,13)),ISNUMBER(INDEX(IFW_TokGW_Astra_Prod,1,13))),IF(INDEX(IFW_TokGW_Astra_Prod,1,13)&gt;0,IF(ABS(INDEX(IFW_RevGWFront_Astra_Prod,1,13)*1000000000/INDEX(IFW_TokGW_Astra_Prod,1,13)-INDEX(B4_FrontRef,1,3))&lt;=0.000000001*INDEX(B4_FrontRef,1,3),0,1),1),IF(AND(NOT(ISNUMBER(INDEX(IFW_RevGWFront_Astra_Prod,1,13))),NOT(ISNUMBER(INDEX(IFW_TokGW_Astra_Prod,1,13)))),IF(INDEX(IFW_RevGWFront_Astra_Prod,1,13)=INDEX(IFW_TokGW_Astra_Prod,1,13),0,1),1))</f>
        <v>0</v>
      </c>
      <c r="P107" s="105" t="n">
        <f aca="false">IF(AND(ISNUMBER(INDEX(IFW_RevGWFront_Astra_Prod,1,14)),ISNUMBER(INDEX(IFW_TokGW_Astra_Prod,1,14))),IF(INDEX(IFW_TokGW_Astra_Prod,1,14)&gt;0,IF(ABS(INDEX(IFW_RevGWFront_Astra_Prod,1,14)*1000000000/INDEX(IFW_TokGW_Astra_Prod,1,14)-INDEX(B4_FrontRef,1,3))&lt;=0.000000001*INDEX(B4_FrontRef,1,3),0,1),1),IF(AND(NOT(ISNUMBER(INDEX(IFW_RevGWFront_Astra_Prod,1,14))),NOT(ISNUMBER(INDEX(IFW_TokGW_Astra_Prod,1,14)))),IF(INDEX(IFW_RevGWFront_Astra_Prod,1,14)=INDEX(IFW_TokGW_Astra_Prod,1,14),0,1),1))</f>
        <v>0</v>
      </c>
      <c r="Q107" s="105" t="n">
        <f aca="false">IF(AND(ISNUMBER(INDEX(IFW_RevGWFront_Astra_Prod,1,15)),ISNUMBER(INDEX(IFW_TokGW_Astra_Prod,1,15))),IF(INDEX(IFW_TokGW_Astra_Prod,1,15)&gt;0,IF(ABS(INDEX(IFW_RevGWFront_Astra_Prod,1,15)*1000000000/INDEX(IFW_TokGW_Astra_Prod,1,15)-INDEX(B4_FrontRef,1,3))&lt;=0.000000001*INDEX(B4_FrontRef,1,3),0,1),1),IF(AND(NOT(ISNUMBER(INDEX(IFW_RevGWFront_Astra_Prod,1,15))),NOT(ISNUMBER(INDEX(IFW_TokGW_Astra_Prod,1,15)))),IF(INDEX(IFW_RevGWFront_Astra_Prod,1,15)=INDEX(IFW_TokGW_Astra_Prod,1,15),0,1)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50"/>
  </cols>
  <sheetData>
    <row r="1" customFormat="false" ht="20.1" hidden="false" customHeight="false" outlineLevel="0" collapsed="false">
      <c r="A1" s="58" t="s">
        <v>2120</v>
      </c>
    </row>
    <row r="2" customFormat="false" ht="15" hidden="false" customHeight="false" outlineLevel="0" collapsed="false">
      <c r="A2" s="74" t="s">
        <v>2121</v>
      </c>
    </row>
    <row r="4" customFormat="false" ht="29.85" hidden="false" customHeight="false" outlineLevel="0" collapsed="false">
      <c r="A4" s="83" t="s">
        <v>2122</v>
      </c>
      <c r="B4" s="83" t="s">
        <v>353</v>
      </c>
      <c r="C4" s="84" t="s">
        <v>2123</v>
      </c>
      <c r="D4" s="83" t="s">
        <v>2124</v>
      </c>
      <c r="E4" s="83" t="s">
        <v>2125</v>
      </c>
      <c r="F4" s="83" t="s">
        <v>2124</v>
      </c>
      <c r="G4" s="83" t="s">
        <v>354</v>
      </c>
    </row>
    <row r="5" customFormat="false" ht="15" hidden="false" customHeight="false" outlineLevel="0" collapsed="false">
      <c r="A5" s="61" t="s">
        <v>97</v>
      </c>
      <c r="B5" s="105" t="s">
        <v>751</v>
      </c>
      <c r="C5" s="166" t="n">
        <f aca="false">Theory_Rev!M33*D5</f>
        <v>25.1594808921188</v>
      </c>
      <c r="D5" s="77" t="n">
        <f aca="false">1</f>
        <v>1</v>
      </c>
      <c r="E5" s="167" t="n">
        <f aca="false">Theory_Rev!M73*F5</f>
        <v>5.39552537095327</v>
      </c>
      <c r="F5" s="77" t="n">
        <f aca="false">1</f>
        <v>1</v>
      </c>
      <c r="G5" s="87" t="s">
        <v>2126</v>
      </c>
    </row>
    <row r="6" customFormat="false" ht="15" hidden="false" customHeight="false" outlineLevel="0" collapsed="false">
      <c r="A6" s="61" t="s">
        <v>2127</v>
      </c>
      <c r="B6" s="80" t="n">
        <v>0.4</v>
      </c>
      <c r="C6" s="166" t="n">
        <f aca="false">Theory_Rev!M33*D6</f>
        <v>16.7729872614125</v>
      </c>
      <c r="D6" s="77" t="n">
        <f aca="false">B6/IF_Util</f>
        <v>0.666666666666667</v>
      </c>
      <c r="E6" s="167" t="n">
        <f aca="false">Theory_Rev!M73*F6</f>
        <v>3.59701691396885</v>
      </c>
      <c r="F6" s="77" t="n">
        <f aca="false">B6/IF_Util</f>
        <v>0.666666666666667</v>
      </c>
      <c r="G6" s="93" t="s">
        <v>2128</v>
      </c>
    </row>
    <row r="7" customFormat="false" ht="15" hidden="false" customHeight="false" outlineLevel="0" collapsed="false">
      <c r="A7" s="61" t="s">
        <v>2129</v>
      </c>
      <c r="B7" s="80" t="n">
        <v>0.8</v>
      </c>
      <c r="C7" s="166" t="n">
        <f aca="false">Theory_Rev!M33*D7</f>
        <v>33.5459745228251</v>
      </c>
      <c r="D7" s="77" t="n">
        <f aca="false">B7/IF_Util</f>
        <v>1.33333333333333</v>
      </c>
      <c r="E7" s="167" t="n">
        <f aca="false">Theory_Rev!M73*F7</f>
        <v>7.1940338279377</v>
      </c>
      <c r="F7" s="77" t="n">
        <f aca="false">B7/IF_Util</f>
        <v>1.33333333333333</v>
      </c>
      <c r="G7" s="93"/>
    </row>
    <row r="8" customFormat="false" ht="15" hidden="false" customHeight="false" outlineLevel="0" collapsed="false">
      <c r="A8" s="61" t="s">
        <v>2130</v>
      </c>
      <c r="B8" s="80" t="n">
        <v>0.1</v>
      </c>
      <c r="C8" s="166" t="n">
        <f aca="false">Theory_Rev!M33*D8</f>
        <v>28.3044160036336</v>
      </c>
      <c r="D8" s="77" t="n">
        <f aca="false">(1-B8)/(1-B4_Disc)</f>
        <v>1.125</v>
      </c>
      <c r="E8" s="167" t="n">
        <f aca="false">Theory_Rev!M73*F8</f>
        <v>6.06996604232243</v>
      </c>
      <c r="F8" s="77" t="n">
        <f aca="false">(1-B8)/(1-B4_Disc)</f>
        <v>1.125</v>
      </c>
      <c r="G8" s="93"/>
    </row>
    <row r="9" customFormat="false" ht="15" hidden="false" customHeight="false" outlineLevel="0" collapsed="false">
      <c r="A9" s="61" t="s">
        <v>2131</v>
      </c>
      <c r="B9" s="80" t="n">
        <v>0.3</v>
      </c>
      <c r="C9" s="166" t="n">
        <f aca="false">Theory_Rev!M33*D9</f>
        <v>22.0145457806039</v>
      </c>
      <c r="D9" s="77" t="n">
        <f aca="false">(1-B9)/(1-B4_Disc)</f>
        <v>0.875</v>
      </c>
      <c r="E9" s="167" t="n">
        <f aca="false">Theory_Rev!M73*F9</f>
        <v>4.72108469958411</v>
      </c>
      <c r="F9" s="77" t="n">
        <f aca="false">(1-B9)/(1-B4_Disc)</f>
        <v>0.875</v>
      </c>
      <c r="G9" s="93"/>
    </row>
    <row r="10" customFormat="false" ht="15" hidden="false" customHeight="false" outlineLevel="0" collapsed="false">
      <c r="A10" s="61" t="s">
        <v>2132</v>
      </c>
      <c r="B10" s="80" t="n">
        <v>0.3</v>
      </c>
      <c r="C10" s="166" t="n">
        <f aca="false">Theory_Rev!M33*D10</f>
        <v>30.1691120432044</v>
      </c>
      <c r="D10" s="77" t="n">
        <f aca="false">((INDEX(B4_ISL,1,2)*((1-B10)*INDEX(B4_PriceIn,1,2)+B10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1.19911504424779</v>
      </c>
      <c r="E10" s="62" t="s">
        <v>751</v>
      </c>
      <c r="F10" s="62" t="s">
        <v>751</v>
      </c>
      <c r="G10" s="93" t="s">
        <v>2133</v>
      </c>
    </row>
    <row r="11" customFormat="false" ht="15" hidden="false" customHeight="false" outlineLevel="0" collapsed="false">
      <c r="A11" s="61" t="s">
        <v>2134</v>
      </c>
      <c r="B11" s="80" t="n">
        <v>0.75</v>
      </c>
      <c r="C11" s="166" t="n">
        <f aca="false">Theory_Rev!M33*D11</f>
        <v>21.1517759712503</v>
      </c>
      <c r="D11" s="77" t="n">
        <f aca="false">((INDEX(B4_ISL,1,2)*((1-B11)*INDEX(B4_PriceIn,1,2)+B11*INDEX(B4_PriceCache,1,2))+INDEX(B4_OSL,1,2)*INDEX(B4_PriceOut,1,2))/(INDEX(B4_ISL,1,2)+INDEX(B4_OSL,1,2)))/((INDEX(B4_ISL,1,2)*((1-B4_CacheHit)*INDEX(B4_PriceIn,1,2)+B4_CacheHit*INDEX(B4_PriceCache,1,2))+INDEX(B4_OSL,1,2)*INDEX(B4_PriceOut,1,2))/(INDEX(B4_ISL,1,2)+INDEX(B4_OSL,1,2)))</f>
        <v>0.84070796460177</v>
      </c>
      <c r="E11" s="62" t="s">
        <v>751</v>
      </c>
      <c r="F11" s="62" t="s">
        <v>751</v>
      </c>
      <c r="G11" s="93"/>
    </row>
    <row r="12" customFormat="false" ht="15" hidden="false" customHeight="false" outlineLevel="0" collapsed="false">
      <c r="A12" s="61" t="s">
        <v>2135</v>
      </c>
      <c r="B12" s="80" t="n">
        <v>0.3</v>
      </c>
      <c r="C12" s="166" t="n">
        <f aca="false">Theory_Rev!M33*D12</f>
        <v>25.1594808921188</v>
      </c>
      <c r="D12" s="77" t="n">
        <f aca="false">1</f>
        <v>1</v>
      </c>
      <c r="E12" s="167" t="n">
        <f aca="false">Theory_Rev!M73*F12</f>
        <v>3.94794539338044</v>
      </c>
      <c r="F12" s="77" t="n">
        <f aca="false">B12/B4_Serve</f>
        <v>0.731707317073171</v>
      </c>
      <c r="G12" s="93" t="s">
        <v>2136</v>
      </c>
    </row>
    <row r="13" customFormat="false" ht="15" hidden="false" customHeight="false" outlineLevel="0" collapsed="false">
      <c r="A13" s="61" t="s">
        <v>2137</v>
      </c>
      <c r="B13" s="80" t="n">
        <v>0.6</v>
      </c>
      <c r="C13" s="166" t="n">
        <f aca="false">Theory_Rev!M33*D13</f>
        <v>25.1594808921188</v>
      </c>
      <c r="D13" s="77" t="n">
        <f aca="false">1</f>
        <v>1</v>
      </c>
      <c r="E13" s="167" t="n">
        <f aca="false">Theory_Rev!M73*F13</f>
        <v>7.89589078676089</v>
      </c>
      <c r="F13" s="77" t="n">
        <f aca="false">B13/B4_Serve</f>
        <v>1.46341463414634</v>
      </c>
      <c r="G13" s="93"/>
    </row>
    <row r="14" customFormat="false" ht="15" hidden="false" customHeight="false" outlineLevel="0" collapsed="false">
      <c r="A14" s="61" t="s">
        <v>2138</v>
      </c>
      <c r="B14" s="80" t="n">
        <v>0.35</v>
      </c>
      <c r="C14" s="166" t="n">
        <f aca="false">Theory_Rev!M33*D14</f>
        <v>25.1594808921188</v>
      </c>
      <c r="D14" s="77" t="n">
        <f aca="false">1</f>
        <v>1</v>
      </c>
      <c r="E14" s="167" t="n">
        <f aca="false">Theory_Rev!M73*F14</f>
        <v>6.49461387244376</v>
      </c>
      <c r="F14" s="77" t="n">
        <f aca="false">(1-B14)/(1-B4_Free)</f>
        <v>1.2037037037037</v>
      </c>
      <c r="G14" s="93"/>
    </row>
    <row r="15" customFormat="false" ht="15" hidden="false" customHeight="false" outlineLevel="0" collapsed="false">
      <c r="A15" s="61" t="s">
        <v>2139</v>
      </c>
      <c r="B15" s="80" t="n">
        <v>0.6</v>
      </c>
      <c r="C15" s="166" t="n">
        <f aca="false">Theory_Rev!M33*D15</f>
        <v>25.1594808921188</v>
      </c>
      <c r="D15" s="77" t="n">
        <f aca="false">1</f>
        <v>1</v>
      </c>
      <c r="E15" s="167" t="n">
        <f aca="false">Theory_Rev!M73*F15</f>
        <v>3.99668545996539</v>
      </c>
      <c r="F15" s="77" t="n">
        <f aca="false">(1-B15)/(1-B4_Free)</f>
        <v>0.740740740740741</v>
      </c>
      <c r="G15" s="93"/>
    </row>
    <row r="16" customFormat="false" ht="15" hidden="false" customHeight="false" outlineLevel="0" collapsed="false">
      <c r="A16" s="61" t="s">
        <v>2140</v>
      </c>
      <c r="B16" s="105" t="s">
        <v>751</v>
      </c>
      <c r="C16" s="166" t="n">
        <f aca="false">Theory_Rev!M33*D16</f>
        <v>25.1594808921188</v>
      </c>
      <c r="D16" s="77" t="n">
        <f aca="false">INDEX(B4_FrontRef,1,2)/INDEX(B4_EffRef,1,2)</f>
        <v>1</v>
      </c>
      <c r="E16" s="62" t="s">
        <v>751</v>
      </c>
      <c r="F16" s="62" t="s">
        <v>751</v>
      </c>
      <c r="G16" s="87" t="s">
        <v>2141</v>
      </c>
    </row>
    <row r="17" customFormat="false" ht="15" hidden="false" customHeight="false" outlineLevel="0" collapsed="false">
      <c r="A17" s="62" t="s">
        <v>2142</v>
      </c>
      <c r="B17" s="168" t="n">
        <v>7</v>
      </c>
      <c r="C17" s="166" t="n">
        <f aca="false">Theory_Rev!M33*D17</f>
        <v>66.5657295560278</v>
      </c>
      <c r="D17" s="97" t="n">
        <f aca="false">EXP(CST_Eps*LN(B17))/Price_Frontier!D38</f>
        <v>2.64575131106459</v>
      </c>
      <c r="E17" s="167" t="n">
        <f aca="false">Theory_Rev!M73*F17</f>
        <v>14.2752183240819</v>
      </c>
      <c r="F17" s="97" t="n">
        <f aca="false">EXP(CST_Eps*LN(B17))/Price_Frontier!D38</f>
        <v>2.64575131106459</v>
      </c>
      <c r="G17" s="87" t="s">
        <v>2143</v>
      </c>
    </row>
    <row r="18" customFormat="false" ht="26.85" hidden="false" customHeight="false" outlineLevel="0" collapsed="false">
      <c r="A18" s="62" t="s">
        <v>2144</v>
      </c>
      <c r="B18" s="81" t="n">
        <v>0.5</v>
      </c>
      <c r="G18" s="93" t="s">
        <v>2145</v>
      </c>
    </row>
    <row r="19" customFormat="false" ht="15" hidden="false" customHeight="false" outlineLevel="0" collapsed="false">
      <c r="A19" s="60" t="s">
        <v>2146</v>
      </c>
    </row>
    <row r="20" customFormat="false" ht="15" hidden="false" customHeight="false" outlineLevel="0" collapsed="false">
      <c r="A20" s="61" t="s">
        <v>2147</v>
      </c>
      <c r="B20" s="168" t="n">
        <v>6</v>
      </c>
      <c r="C20" s="169" t="n">
        <f aca="false">IF(ISNUMBER(Amortize!M22),Amortize!M22*INDEX(B4_Life,1,2)/B20,Amortize!M22)</f>
        <v>0.0103705151678427</v>
      </c>
      <c r="D20" s="97" t="n">
        <f aca="false">IF(ISNUMBER(C20),C20/Amortize!M22,C20)</f>
        <v>2</v>
      </c>
      <c r="G20" s="59" t="s">
        <v>2148</v>
      </c>
    </row>
    <row r="21" customFormat="false" ht="15" hidden="false" customHeight="false" outlineLevel="0" collapsed="false">
      <c r="A21" s="61" t="s">
        <v>2149</v>
      </c>
      <c r="B21" s="168" t="n">
        <v>24</v>
      </c>
      <c r="C21" s="169" t="n">
        <f aca="false">IF(ISNUMBER(Amortize!M22),Amortize!M22*INDEX(B4_Life,1,2)/B21,Amortize!M22)</f>
        <v>0.00259262879196067</v>
      </c>
      <c r="D21" s="97" t="n">
        <f aca="false">IF(ISNUMBER(C21),C21/Amortize!M22,C21)</f>
        <v>0.5</v>
      </c>
      <c r="G21" s="59" t="s">
        <v>2148</v>
      </c>
    </row>
    <row r="23" customFormat="false" ht="15" hidden="false" customHeight="false" outlineLevel="0" collapsed="false">
      <c r="A23" s="74" t="s">
        <v>2150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9"/>
    <col collapsed="false" customWidth="true" hidden="false" outlineLevel="0" max="4" min="3" style="0" width="13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6"/>
    <col collapsed="false" customWidth="true" hidden="false" outlineLevel="0" max="9" min="9" style="0" width="70"/>
    <col collapsed="false" customWidth="true" hidden="false" outlineLevel="0" max="10" min="10" style="0" width="46"/>
  </cols>
  <sheetData>
    <row r="1" customFormat="false" ht="20.1" hidden="false" customHeight="false" outlineLevel="0" collapsed="false">
      <c r="A1" s="58" t="s">
        <v>2151</v>
      </c>
    </row>
    <row r="2" customFormat="false" ht="15" hidden="false" customHeight="false" outlineLevel="0" collapsed="false">
      <c r="A2" s="74" t="s">
        <v>2152</v>
      </c>
    </row>
    <row r="3" customFormat="false" ht="15" hidden="false" customHeight="false" outlineLevel="0" collapsed="false">
      <c r="J3" s="60" t="s">
        <v>2</v>
      </c>
    </row>
    <row r="4" customFormat="false" ht="15" hidden="false" customHeight="false" outlineLevel="0" collapsed="false">
      <c r="A4" s="76" t="s">
        <v>2153</v>
      </c>
      <c r="B4" s="70"/>
      <c r="C4" s="70"/>
      <c r="D4" s="70"/>
      <c r="E4" s="70"/>
      <c r="F4" s="70"/>
      <c r="G4" s="70"/>
      <c r="H4" s="70"/>
      <c r="I4" s="70"/>
    </row>
    <row r="5" customFormat="false" ht="15" hidden="false" customHeight="false" outlineLevel="0" collapsed="false">
      <c r="A5" s="61" t="s">
        <v>2154</v>
      </c>
      <c r="B5" s="61" t="s">
        <v>108</v>
      </c>
      <c r="C5" s="67" t="n">
        <v>2</v>
      </c>
      <c r="H5" s="59" t="s">
        <v>104</v>
      </c>
      <c r="I5" s="74" t="s">
        <v>2155</v>
      </c>
    </row>
    <row r="6" customFormat="false" ht="15" hidden="false" customHeight="false" outlineLevel="0" collapsed="false">
      <c r="A6" s="61" t="s">
        <v>2156</v>
      </c>
      <c r="C6" s="61" t="str">
        <f aca="false">CHOOSE(C5-1,"供應商原生增強（保留推理狀態＋上下文壓縮）","多代理編排（主代理＋並行子代理）")</f>
        <v>供應商原生增強（保留推理狀態＋上下文壓縮）</v>
      </c>
    </row>
    <row r="7" customFormat="false" ht="15" hidden="false" customHeight="false" outlineLevel="0" collapsed="false">
      <c r="A7" s="61" t="s">
        <v>2157</v>
      </c>
      <c r="B7" s="62" t="s">
        <v>118</v>
      </c>
      <c r="C7" s="167" t="n">
        <f aca="false">Tech_Registry!O16*Tech_Registry!N16</f>
        <v>0</v>
      </c>
      <c r="I7" s="59" t="s">
        <v>2158</v>
      </c>
    </row>
    <row r="8" customFormat="false" ht="15" hidden="false" customHeight="false" outlineLevel="0" collapsed="false">
      <c r="A8" s="61" t="s">
        <v>2159</v>
      </c>
      <c r="B8" s="62" t="s">
        <v>113</v>
      </c>
      <c r="C8" s="66" t="n">
        <v>0.5</v>
      </c>
      <c r="H8" s="59" t="s">
        <v>104</v>
      </c>
      <c r="I8" s="59" t="s">
        <v>2160</v>
      </c>
    </row>
    <row r="9" customFormat="false" ht="15" hidden="false" customHeight="false" outlineLevel="0" collapsed="false">
      <c r="A9" s="76" t="s">
        <v>2161</v>
      </c>
      <c r="B9" s="70"/>
      <c r="C9" s="70"/>
      <c r="D9" s="70"/>
      <c r="E9" s="70"/>
      <c r="F9" s="70"/>
      <c r="G9" s="70"/>
      <c r="H9" s="70"/>
      <c r="I9" s="70"/>
    </row>
    <row r="10" customFormat="false" ht="15" hidden="false" customHeight="false" outlineLevel="0" collapsed="false">
      <c r="A10" s="60" t="s">
        <v>2162</v>
      </c>
    </row>
    <row r="11" customFormat="false" ht="30" hidden="false" customHeight="true" outlineLevel="0" collapsed="false">
      <c r="A11" s="60" t="s">
        <v>94</v>
      </c>
      <c r="B11" s="60" t="s">
        <v>95</v>
      </c>
      <c r="C11" s="170" t="str">
        <f aca="false">Workload!C4</f>
        <v>一般聊天</v>
      </c>
      <c r="D11" s="170" t="str">
        <f aca="false">Workload!D4</f>
        <v>推理聊天</v>
      </c>
      <c r="E11" s="170" t="str">
        <f aca="false">Workload!E4</f>
        <v>單代理（工具迴圈）</v>
      </c>
      <c r="F11" s="170" t="str">
        <f aca="false">Workload!F4</f>
        <v>多代理研究</v>
      </c>
      <c r="G11" s="170" t="str">
        <f aca="false">Workload!G4</f>
        <v>Coding agent（長程）</v>
      </c>
      <c r="H11" s="60" t="s">
        <v>99</v>
      </c>
      <c r="I11" s="60" t="s">
        <v>354</v>
      </c>
      <c r="J11" s="74" t="s">
        <v>2163</v>
      </c>
    </row>
    <row r="12" customFormat="false" ht="39.55" hidden="false" customHeight="false" outlineLevel="0" collapsed="false">
      <c r="A12" s="61" t="s">
        <v>2164</v>
      </c>
      <c r="B12" s="62" t="s">
        <v>118</v>
      </c>
      <c r="C12" s="79" t="n">
        <v>1</v>
      </c>
      <c r="D12" s="79" t="n">
        <v>1</v>
      </c>
      <c r="E12" s="79" t="n">
        <v>0.7</v>
      </c>
      <c r="F12" s="79" t="n">
        <v>0.7</v>
      </c>
      <c r="G12" s="79" t="n">
        <v>0.7</v>
      </c>
      <c r="H12" s="59" t="s">
        <v>114</v>
      </c>
      <c r="I12" s="93" t="s">
        <v>2165</v>
      </c>
    </row>
    <row r="13" customFormat="false" ht="15" hidden="false" customHeight="false" outlineLevel="0" collapsed="false">
      <c r="A13" s="61" t="s">
        <v>2166</v>
      </c>
      <c r="B13" s="62" t="s">
        <v>113</v>
      </c>
      <c r="C13" s="66" t="n">
        <v>0</v>
      </c>
      <c r="D13" s="66" t="n">
        <v>0</v>
      </c>
      <c r="E13" s="66" t="n">
        <v>1</v>
      </c>
      <c r="F13" s="66" t="n">
        <v>1</v>
      </c>
      <c r="G13" s="66" t="n">
        <v>1</v>
      </c>
      <c r="H13" s="59" t="s">
        <v>2167</v>
      </c>
      <c r="I13" s="87" t="s">
        <v>2168</v>
      </c>
    </row>
    <row r="14" customFormat="false" ht="15" hidden="false" customHeight="false" outlineLevel="0" collapsed="false">
      <c r="A14" s="61" t="s">
        <v>2169</v>
      </c>
      <c r="B14" s="62" t="s">
        <v>118</v>
      </c>
      <c r="C14" s="79" t="n">
        <v>1</v>
      </c>
      <c r="D14" s="79" t="n">
        <v>1</v>
      </c>
      <c r="E14" s="79" t="n">
        <v>0.8</v>
      </c>
      <c r="F14" s="79" t="n">
        <v>0.8</v>
      </c>
      <c r="G14" s="79" t="n">
        <v>0.8</v>
      </c>
      <c r="H14" s="59" t="s">
        <v>114</v>
      </c>
      <c r="I14" s="93" t="s">
        <v>2170</v>
      </c>
    </row>
    <row r="15" customFormat="false" ht="15" hidden="false" customHeight="false" outlineLevel="0" collapsed="false">
      <c r="A15" s="61" t="s">
        <v>2171</v>
      </c>
      <c r="B15" s="62" t="s">
        <v>118</v>
      </c>
      <c r="C15" s="79" t="n">
        <v>1</v>
      </c>
      <c r="D15" s="79" t="n">
        <v>1</v>
      </c>
      <c r="E15" s="79" t="n">
        <v>0.7</v>
      </c>
      <c r="F15" s="79" t="n">
        <v>0.7</v>
      </c>
      <c r="G15" s="79" t="n">
        <v>0.7</v>
      </c>
      <c r="H15" s="59" t="s">
        <v>114</v>
      </c>
      <c r="I15" s="93" t="s">
        <v>2172</v>
      </c>
    </row>
    <row r="16" customFormat="false" ht="15" hidden="false" customHeight="false" outlineLevel="0" collapsed="false">
      <c r="A16" s="61" t="s">
        <v>2173</v>
      </c>
      <c r="B16" s="61" t="s">
        <v>2174</v>
      </c>
      <c r="C16" s="66" t="n">
        <v>0</v>
      </c>
      <c r="D16" s="66" t="n">
        <v>0</v>
      </c>
      <c r="E16" s="66" t="n">
        <v>0</v>
      </c>
      <c r="F16" s="66" t="n">
        <v>0</v>
      </c>
      <c r="G16" s="66" t="n">
        <v>0</v>
      </c>
      <c r="H16" s="59" t="s">
        <v>114</v>
      </c>
      <c r="I16" s="93" t="s">
        <v>2175</v>
      </c>
    </row>
    <row r="17" customFormat="false" ht="15" hidden="false" customHeight="false" outlineLevel="0" collapsed="false">
      <c r="A17" s="61" t="s">
        <v>2176</v>
      </c>
      <c r="B17" s="61" t="s">
        <v>345</v>
      </c>
      <c r="C17" s="67" t="n">
        <v>0</v>
      </c>
      <c r="D17" s="67" t="n">
        <v>0</v>
      </c>
      <c r="E17" s="67" t="n">
        <v>0</v>
      </c>
      <c r="F17" s="67" t="n">
        <v>0</v>
      </c>
      <c r="G17" s="67" t="n">
        <v>0</v>
      </c>
      <c r="H17" s="59" t="s">
        <v>114</v>
      </c>
      <c r="I17" s="93" t="s">
        <v>2177</v>
      </c>
    </row>
    <row r="18" customFormat="false" ht="15" hidden="false" customHeight="false" outlineLevel="0" collapsed="false">
      <c r="A18" s="61" t="s">
        <v>2178</v>
      </c>
      <c r="B18" s="62" t="s">
        <v>1321</v>
      </c>
      <c r="C18" s="148" t="n">
        <v>0.0833333333333333</v>
      </c>
      <c r="D18" s="148" t="n">
        <v>0.0833333333333333</v>
      </c>
      <c r="E18" s="148" t="n">
        <v>0.67</v>
      </c>
      <c r="F18" s="148" t="n">
        <v>0.67</v>
      </c>
      <c r="G18" s="148" t="n">
        <v>0.67</v>
      </c>
      <c r="H18" s="59" t="s">
        <v>119</v>
      </c>
      <c r="I18" s="87" t="s">
        <v>2179</v>
      </c>
    </row>
    <row r="19" customFormat="false" ht="26.85" hidden="false" customHeight="false" outlineLevel="0" collapsed="false">
      <c r="A19" s="61" t="s">
        <v>2180</v>
      </c>
      <c r="B19" s="62" t="s">
        <v>118</v>
      </c>
      <c r="C19" s="79" t="n">
        <v>1</v>
      </c>
      <c r="D19" s="79" t="n">
        <v>1</v>
      </c>
      <c r="E19" s="79" t="n">
        <v>1.2</v>
      </c>
      <c r="F19" s="79" t="n">
        <v>2</v>
      </c>
      <c r="G19" s="79" t="n">
        <v>2</v>
      </c>
      <c r="H19" s="59" t="s">
        <v>114</v>
      </c>
      <c r="I19" s="87" t="s">
        <v>2181</v>
      </c>
    </row>
    <row r="20" customFormat="false" ht="15" hidden="false" customHeight="false" outlineLevel="0" collapsed="false">
      <c r="A20" s="61" t="s">
        <v>2182</v>
      </c>
      <c r="B20" s="61" t="s">
        <v>1980</v>
      </c>
      <c r="C20" s="67" t="n">
        <v>1</v>
      </c>
      <c r="D20" s="67" t="n">
        <v>1</v>
      </c>
      <c r="E20" s="67" t="n">
        <v>1</v>
      </c>
      <c r="F20" s="67" t="n">
        <v>1</v>
      </c>
      <c r="G20" s="67" t="n">
        <v>1</v>
      </c>
      <c r="H20" s="59" t="s">
        <v>150</v>
      </c>
      <c r="I20" s="93" t="s">
        <v>2183</v>
      </c>
    </row>
    <row r="22" customFormat="false" ht="15" hidden="false" customHeight="false" outlineLevel="0" collapsed="false">
      <c r="A22" s="60" t="s">
        <v>2184</v>
      </c>
    </row>
    <row r="23" customFormat="false" ht="30" hidden="false" customHeight="true" outlineLevel="0" collapsed="false">
      <c r="A23" s="60" t="s">
        <v>94</v>
      </c>
      <c r="B23" s="60" t="s">
        <v>95</v>
      </c>
      <c r="C23" s="170" t="str">
        <f aca="false">Workload!C4</f>
        <v>一般聊天</v>
      </c>
      <c r="D23" s="170" t="str">
        <f aca="false">Workload!D4</f>
        <v>推理聊天</v>
      </c>
      <c r="E23" s="170" t="str">
        <f aca="false">Workload!E4</f>
        <v>單代理（工具迴圈）</v>
      </c>
      <c r="F23" s="170" t="str">
        <f aca="false">Workload!F4</f>
        <v>多代理研究</v>
      </c>
      <c r="G23" s="170" t="str">
        <f aca="false">Workload!G4</f>
        <v>Coding agent（長程）</v>
      </c>
      <c r="H23" s="60" t="s">
        <v>99</v>
      </c>
      <c r="I23" s="60" t="s">
        <v>354</v>
      </c>
      <c r="J23" s="74" t="s">
        <v>2185</v>
      </c>
    </row>
    <row r="24" customFormat="false" ht="15" hidden="false" customHeight="false" outlineLevel="0" collapsed="false">
      <c r="A24" s="61" t="s">
        <v>2164</v>
      </c>
      <c r="B24" s="62" t="s">
        <v>118</v>
      </c>
      <c r="C24" s="79" t="n">
        <v>1</v>
      </c>
      <c r="D24" s="79" t="n">
        <v>1</v>
      </c>
      <c r="E24" s="79" t="n">
        <v>1</v>
      </c>
      <c r="F24" s="79" t="n">
        <v>1</v>
      </c>
      <c r="G24" s="79" t="n">
        <v>1</v>
      </c>
      <c r="H24" s="59" t="s">
        <v>114</v>
      </c>
      <c r="I24" s="93"/>
    </row>
    <row r="25" customFormat="false" ht="15" hidden="false" customHeight="false" outlineLevel="0" collapsed="false">
      <c r="A25" s="61" t="s">
        <v>2166</v>
      </c>
      <c r="B25" s="62" t="s">
        <v>113</v>
      </c>
      <c r="C25" s="66" t="n">
        <v>0</v>
      </c>
      <c r="D25" s="66" t="n">
        <v>0</v>
      </c>
      <c r="E25" s="66" t="n">
        <v>0</v>
      </c>
      <c r="F25" s="66" t="n">
        <v>0</v>
      </c>
      <c r="G25" s="66" t="n">
        <v>0</v>
      </c>
      <c r="H25" s="59" t="s">
        <v>114</v>
      </c>
      <c r="I25" s="93"/>
    </row>
    <row r="26" customFormat="false" ht="15" hidden="false" customHeight="false" outlineLevel="0" collapsed="false">
      <c r="A26" s="61" t="s">
        <v>2169</v>
      </c>
      <c r="B26" s="62" t="s">
        <v>118</v>
      </c>
      <c r="C26" s="79" t="n">
        <v>1</v>
      </c>
      <c r="D26" s="79" t="n">
        <v>1</v>
      </c>
      <c r="E26" s="79" t="n">
        <v>1</v>
      </c>
      <c r="F26" s="79" t="n">
        <v>1</v>
      </c>
      <c r="G26" s="79" t="n">
        <v>1</v>
      </c>
      <c r="H26" s="59" t="s">
        <v>114</v>
      </c>
      <c r="I26" s="93"/>
    </row>
    <row r="27" customFormat="false" ht="15" hidden="false" customHeight="false" outlineLevel="0" collapsed="false">
      <c r="A27" s="61" t="s">
        <v>2171</v>
      </c>
      <c r="B27" s="62" t="s">
        <v>118</v>
      </c>
      <c r="C27" s="79" t="n">
        <v>1</v>
      </c>
      <c r="D27" s="79" t="n">
        <v>1</v>
      </c>
      <c r="E27" s="79" t="n">
        <v>1</v>
      </c>
      <c r="F27" s="79" t="n">
        <v>1</v>
      </c>
      <c r="G27" s="79" t="n">
        <v>1</v>
      </c>
      <c r="H27" s="59" t="s">
        <v>114</v>
      </c>
      <c r="I27" s="93"/>
    </row>
    <row r="28" customFormat="false" ht="15" hidden="false" customHeight="false" outlineLevel="0" collapsed="false">
      <c r="A28" s="61" t="s">
        <v>2173</v>
      </c>
      <c r="B28" s="61" t="s">
        <v>2174</v>
      </c>
      <c r="C28" s="66" t="n">
        <v>0</v>
      </c>
      <c r="D28" s="66" t="n">
        <v>0</v>
      </c>
      <c r="E28" s="66" t="n">
        <v>0</v>
      </c>
      <c r="F28" s="66" t="n">
        <v>0</v>
      </c>
      <c r="G28" s="66" t="n">
        <v>0</v>
      </c>
      <c r="H28" s="59" t="s">
        <v>114</v>
      </c>
      <c r="I28" s="93"/>
    </row>
    <row r="29" customFormat="false" ht="26.85" hidden="false" customHeight="false" outlineLevel="0" collapsed="false">
      <c r="A29" s="61" t="s">
        <v>2176</v>
      </c>
      <c r="B29" s="61" t="s">
        <v>345</v>
      </c>
      <c r="C29" s="67" t="n">
        <v>0</v>
      </c>
      <c r="D29" s="67" t="n">
        <v>0</v>
      </c>
      <c r="E29" s="67" t="n">
        <v>3</v>
      </c>
      <c r="F29" s="67" t="n">
        <v>0</v>
      </c>
      <c r="G29" s="67" t="n">
        <v>3</v>
      </c>
      <c r="H29" s="59" t="s">
        <v>119</v>
      </c>
      <c r="I29" s="87" t="s">
        <v>2186</v>
      </c>
    </row>
    <row r="30" customFormat="false" ht="15" hidden="false" customHeight="false" outlineLevel="0" collapsed="false">
      <c r="A30" s="61" t="s">
        <v>2178</v>
      </c>
      <c r="B30" s="62" t="s">
        <v>1321</v>
      </c>
      <c r="C30" s="148" t="n">
        <v>0.0833333333333333</v>
      </c>
      <c r="D30" s="148" t="n">
        <v>0.0833333333333333</v>
      </c>
      <c r="E30" s="148" t="n">
        <v>0.0833333333333333</v>
      </c>
      <c r="F30" s="148" t="n">
        <v>0.0833333333333333</v>
      </c>
      <c r="G30" s="148" t="n">
        <v>0.0833333333333333</v>
      </c>
      <c r="H30" s="59" t="s">
        <v>114</v>
      </c>
      <c r="I30" s="93"/>
    </row>
    <row r="31" customFormat="false" ht="15" hidden="false" customHeight="false" outlineLevel="0" collapsed="false">
      <c r="A31" s="61" t="s">
        <v>2180</v>
      </c>
      <c r="B31" s="62" t="s">
        <v>118</v>
      </c>
      <c r="C31" s="79" t="n">
        <v>1</v>
      </c>
      <c r="D31" s="79" t="n">
        <v>1</v>
      </c>
      <c r="E31" s="79" t="n">
        <v>1.2</v>
      </c>
      <c r="F31" s="79" t="n">
        <v>1.5</v>
      </c>
      <c r="G31" s="79" t="n">
        <v>1.5</v>
      </c>
      <c r="H31" s="59" t="s">
        <v>114</v>
      </c>
      <c r="I31" s="87" t="s">
        <v>2187</v>
      </c>
    </row>
    <row r="32" customFormat="false" ht="15" hidden="false" customHeight="false" outlineLevel="0" collapsed="false">
      <c r="A32" s="61" t="s">
        <v>2182</v>
      </c>
      <c r="B32" s="61" t="s">
        <v>1980</v>
      </c>
      <c r="C32" s="67" t="n">
        <v>0</v>
      </c>
      <c r="D32" s="67" t="n">
        <v>0</v>
      </c>
      <c r="E32" s="67" t="n">
        <v>0</v>
      </c>
      <c r="F32" s="67" t="n">
        <v>0</v>
      </c>
      <c r="G32" s="67" t="n">
        <v>0</v>
      </c>
      <c r="H32" s="59" t="s">
        <v>114</v>
      </c>
      <c r="I32" s="93" t="s">
        <v>2188</v>
      </c>
    </row>
    <row r="34" customFormat="false" ht="15" hidden="false" customHeight="false" outlineLevel="0" collapsed="false">
      <c r="A34" s="60" t="s">
        <v>2189</v>
      </c>
    </row>
    <row r="35" customFormat="false" ht="30" hidden="false" customHeight="true" outlineLevel="0" collapsed="false">
      <c r="A35" s="60" t="s">
        <v>94</v>
      </c>
      <c r="B35" s="60" t="s">
        <v>95</v>
      </c>
      <c r="C35" s="170" t="str">
        <f aca="false">Workload!C4</f>
        <v>一般聊天</v>
      </c>
      <c r="D35" s="170" t="str">
        <f aca="false">Workload!D4</f>
        <v>推理聊天</v>
      </c>
      <c r="E35" s="170" t="str">
        <f aca="false">Workload!E4</f>
        <v>單代理（工具迴圈）</v>
      </c>
      <c r="F35" s="170" t="str">
        <f aca="false">Workload!F4</f>
        <v>多代理研究</v>
      </c>
      <c r="G35" s="170" t="str">
        <f aca="false">Workload!G4</f>
        <v>Coding agent（長程）</v>
      </c>
      <c r="J35" s="74" t="s">
        <v>2190</v>
      </c>
    </row>
    <row r="36" customFormat="false" ht="15" hidden="false" customHeight="false" outlineLevel="0" collapsed="false">
      <c r="A36" s="61" t="s">
        <v>2164</v>
      </c>
      <c r="B36" s="62" t="s">
        <v>118</v>
      </c>
      <c r="C36" s="77" t="n">
        <f aca="false">CHOOSE(B5_Profile-1,C12,C24)</f>
        <v>1</v>
      </c>
      <c r="D36" s="77" t="n">
        <f aca="false">CHOOSE(B5_Profile-1,D12,D24)</f>
        <v>1</v>
      </c>
      <c r="E36" s="77" t="n">
        <f aca="false">CHOOSE(B5_Profile-1,E12,E24)</f>
        <v>0.7</v>
      </c>
      <c r="F36" s="77" t="n">
        <f aca="false">CHOOSE(B5_Profile-1,F12,F24)</f>
        <v>0.7</v>
      </c>
      <c r="G36" s="77" t="n">
        <f aca="false">CHOOSE(B5_Profile-1,G12,G24)</f>
        <v>0.7</v>
      </c>
    </row>
    <row r="37" customFormat="false" ht="15" hidden="false" customHeight="false" outlineLevel="0" collapsed="false">
      <c r="A37" s="61" t="s">
        <v>2166</v>
      </c>
      <c r="B37" s="62" t="s">
        <v>113</v>
      </c>
      <c r="C37" s="85" t="n">
        <f aca="false">CHOOSE(B5_Profile-1,C13,C25)</f>
        <v>0</v>
      </c>
      <c r="D37" s="85" t="n">
        <f aca="false">CHOOSE(B5_Profile-1,D13,D25)</f>
        <v>0</v>
      </c>
      <c r="E37" s="85" t="n">
        <f aca="false">CHOOSE(B5_Profile-1,E13,E25)</f>
        <v>1</v>
      </c>
      <c r="F37" s="85" t="n">
        <f aca="false">CHOOSE(B5_Profile-1,F13,F25)</f>
        <v>1</v>
      </c>
      <c r="G37" s="85" t="n">
        <f aca="false">CHOOSE(B5_Profile-1,G13,G25)</f>
        <v>1</v>
      </c>
    </row>
    <row r="38" customFormat="false" ht="15" hidden="false" customHeight="false" outlineLevel="0" collapsed="false">
      <c r="A38" s="61" t="s">
        <v>2169</v>
      </c>
      <c r="B38" s="62" t="s">
        <v>118</v>
      </c>
      <c r="C38" s="77" t="n">
        <f aca="false">CHOOSE(B5_Profile-1,C14,C26)</f>
        <v>1</v>
      </c>
      <c r="D38" s="77" t="n">
        <f aca="false">CHOOSE(B5_Profile-1,D14,D26)</f>
        <v>1</v>
      </c>
      <c r="E38" s="77" t="n">
        <f aca="false">CHOOSE(B5_Profile-1,E14,E26)</f>
        <v>0.8</v>
      </c>
      <c r="F38" s="77" t="n">
        <f aca="false">CHOOSE(B5_Profile-1,F14,F26)</f>
        <v>0.8</v>
      </c>
      <c r="G38" s="77" t="n">
        <f aca="false">CHOOSE(B5_Profile-1,G14,G26)</f>
        <v>0.8</v>
      </c>
    </row>
    <row r="39" customFormat="false" ht="15" hidden="false" customHeight="false" outlineLevel="0" collapsed="false">
      <c r="A39" s="61" t="s">
        <v>2171</v>
      </c>
      <c r="B39" s="62" t="s">
        <v>118</v>
      </c>
      <c r="C39" s="77" t="n">
        <f aca="false">CHOOSE(B5_Profile-1,C15,C27)</f>
        <v>1</v>
      </c>
      <c r="D39" s="77" t="n">
        <f aca="false">CHOOSE(B5_Profile-1,D15,D27)</f>
        <v>1</v>
      </c>
      <c r="E39" s="77" t="n">
        <f aca="false">CHOOSE(B5_Profile-1,E15,E27)</f>
        <v>0.7</v>
      </c>
      <c r="F39" s="77" t="n">
        <f aca="false">CHOOSE(B5_Profile-1,F15,F27)</f>
        <v>0.7</v>
      </c>
      <c r="G39" s="77" t="n">
        <f aca="false">CHOOSE(B5_Profile-1,G15,G27)</f>
        <v>0.7</v>
      </c>
    </row>
    <row r="40" customFormat="false" ht="15" hidden="false" customHeight="false" outlineLevel="0" collapsed="false">
      <c r="A40" s="61" t="s">
        <v>2173</v>
      </c>
      <c r="B40" s="61" t="s">
        <v>2174</v>
      </c>
      <c r="C40" s="85" t="n">
        <f aca="false">CHOOSE(B5_Profile-1,C16,C28)</f>
        <v>0</v>
      </c>
      <c r="D40" s="85" t="n">
        <f aca="false">CHOOSE(B5_Profile-1,D16,D28)</f>
        <v>0</v>
      </c>
      <c r="E40" s="85" t="n">
        <f aca="false">CHOOSE(B5_Profile-1,E16,E28)</f>
        <v>0</v>
      </c>
      <c r="F40" s="85" t="n">
        <f aca="false">CHOOSE(B5_Profile-1,F16,F28)</f>
        <v>0</v>
      </c>
      <c r="G40" s="85" t="n">
        <f aca="false">CHOOSE(B5_Profile-1,G16,G28)</f>
        <v>0</v>
      </c>
    </row>
    <row r="41" customFormat="false" ht="15" hidden="false" customHeight="false" outlineLevel="0" collapsed="false">
      <c r="A41" s="61" t="s">
        <v>2176</v>
      </c>
      <c r="B41" s="61" t="s">
        <v>345</v>
      </c>
      <c r="C41" s="105" t="n">
        <f aca="false">CHOOSE(B5_Profile-1,C17,C29)</f>
        <v>0</v>
      </c>
      <c r="D41" s="105" t="n">
        <f aca="false">CHOOSE(B5_Profile-1,D17,D29)</f>
        <v>0</v>
      </c>
      <c r="E41" s="105" t="n">
        <f aca="false">CHOOSE(B5_Profile-1,E17,E29)</f>
        <v>0</v>
      </c>
      <c r="F41" s="105" t="n">
        <f aca="false">CHOOSE(B5_Profile-1,F17,F29)</f>
        <v>0</v>
      </c>
      <c r="G41" s="105" t="n">
        <f aca="false">CHOOSE(B5_Profile-1,G17,G29)</f>
        <v>0</v>
      </c>
    </row>
    <row r="42" customFormat="false" ht="15" hidden="false" customHeight="false" outlineLevel="0" collapsed="false">
      <c r="A42" s="61" t="s">
        <v>2178</v>
      </c>
      <c r="B42" s="62" t="s">
        <v>1321</v>
      </c>
      <c r="C42" s="107" t="n">
        <f aca="false">CHOOSE(B5_Profile-1,C18,C30)</f>
        <v>0.0833333333333333</v>
      </c>
      <c r="D42" s="107" t="n">
        <f aca="false">CHOOSE(B5_Profile-1,D18,D30)</f>
        <v>0.0833333333333333</v>
      </c>
      <c r="E42" s="107" t="n">
        <f aca="false">CHOOSE(B5_Profile-1,E18,E30)</f>
        <v>0.67</v>
      </c>
      <c r="F42" s="107" t="n">
        <f aca="false">CHOOSE(B5_Profile-1,F18,F30)</f>
        <v>0.67</v>
      </c>
      <c r="G42" s="107" t="n">
        <f aca="false">CHOOSE(B5_Profile-1,G18,G30)</f>
        <v>0.67</v>
      </c>
    </row>
    <row r="43" customFormat="false" ht="15" hidden="false" customHeight="false" outlineLevel="0" collapsed="false">
      <c r="A43" s="61" t="s">
        <v>2180</v>
      </c>
      <c r="B43" s="62" t="s">
        <v>118</v>
      </c>
      <c r="C43" s="77" t="n">
        <f aca="false">CHOOSE(B5_Profile-1,C19,C31)</f>
        <v>1</v>
      </c>
      <c r="D43" s="77" t="n">
        <f aca="false">CHOOSE(B5_Profile-1,D19,D31)</f>
        <v>1</v>
      </c>
      <c r="E43" s="77" t="n">
        <f aca="false">CHOOSE(B5_Profile-1,E19,E31)</f>
        <v>1.2</v>
      </c>
      <c r="F43" s="77" t="n">
        <f aca="false">CHOOSE(B5_Profile-1,F19,F31)</f>
        <v>2</v>
      </c>
      <c r="G43" s="77" t="n">
        <f aca="false">CHOOSE(B5_Profile-1,G19,G31)</f>
        <v>2</v>
      </c>
    </row>
    <row r="44" customFormat="false" ht="15" hidden="false" customHeight="false" outlineLevel="0" collapsed="false">
      <c r="A44" s="61" t="s">
        <v>2182</v>
      </c>
      <c r="B44" s="61" t="s">
        <v>1980</v>
      </c>
      <c r="C44" s="105" t="n">
        <f aca="false">CHOOSE(B5_Profile-1,C20,C32)</f>
        <v>1</v>
      </c>
      <c r="D44" s="105" t="n">
        <f aca="false">CHOOSE(B5_Profile-1,D20,D32)</f>
        <v>1</v>
      </c>
      <c r="E44" s="105" t="n">
        <f aca="false">CHOOSE(B5_Profile-1,E20,E32)</f>
        <v>1</v>
      </c>
      <c r="F44" s="105" t="n">
        <f aca="false">CHOOSE(B5_Profile-1,F20,F32)</f>
        <v>1</v>
      </c>
      <c r="G44" s="105" t="n">
        <f aca="false">CHOOSE(B5_Profile-1,G20,G32)</f>
        <v>1</v>
      </c>
    </row>
    <row r="46" customFormat="false" ht="15" hidden="false" customHeight="false" outlineLevel="0" collapsed="false">
      <c r="A46" s="76" t="s">
        <v>2191</v>
      </c>
      <c r="B46" s="70"/>
      <c r="C46" s="70"/>
      <c r="D46" s="70"/>
      <c r="E46" s="70"/>
      <c r="F46" s="70"/>
      <c r="G46" s="70"/>
      <c r="H46" s="70"/>
      <c r="I46" s="70"/>
    </row>
    <row r="47" customFormat="false" ht="15" hidden="false" customHeight="false" outlineLevel="0" collapsed="false">
      <c r="A47" s="60" t="s">
        <v>386</v>
      </c>
      <c r="B47" s="60" t="s">
        <v>95</v>
      </c>
      <c r="C47" s="10" t="s">
        <v>278</v>
      </c>
      <c r="D47" s="10" t="s">
        <v>279</v>
      </c>
      <c r="E47" s="10" t="s">
        <v>280</v>
      </c>
      <c r="H47" s="60" t="s">
        <v>99</v>
      </c>
      <c r="I47" s="60" t="s">
        <v>354</v>
      </c>
    </row>
    <row r="48" customFormat="false" ht="26.85" hidden="false" customHeight="false" outlineLevel="0" collapsed="false">
      <c r="A48" s="62" t="s">
        <v>2192</v>
      </c>
      <c r="B48" s="62" t="s">
        <v>1321</v>
      </c>
      <c r="C48" s="78" t="n">
        <v>1.5</v>
      </c>
      <c r="D48" s="78" t="n">
        <v>8</v>
      </c>
      <c r="E48" s="78" t="n">
        <v>16</v>
      </c>
      <c r="H48" s="59" t="s">
        <v>119</v>
      </c>
      <c r="I48" s="87" t="s">
        <v>2193</v>
      </c>
    </row>
    <row r="49" customFormat="false" ht="15" hidden="false" customHeight="false" outlineLevel="0" collapsed="false">
      <c r="A49" s="62" t="s">
        <v>2194</v>
      </c>
      <c r="B49" s="62" t="s">
        <v>1321</v>
      </c>
      <c r="C49" s="78" t="n">
        <v>0.5</v>
      </c>
      <c r="D49" s="78" t="n">
        <v>4</v>
      </c>
      <c r="E49" s="78" t="n">
        <v>11</v>
      </c>
      <c r="H49" s="59" t="s">
        <v>119</v>
      </c>
      <c r="I49" s="93"/>
    </row>
    <row r="50" customFormat="false" ht="15" hidden="false" customHeight="false" outlineLevel="0" collapsed="false">
      <c r="A50" s="62" t="s">
        <v>2195</v>
      </c>
      <c r="B50" s="62" t="s">
        <v>1321</v>
      </c>
      <c r="C50" s="78" t="n">
        <v>4</v>
      </c>
      <c r="D50" s="78" t="n">
        <v>12</v>
      </c>
      <c r="E50" s="78" t="n">
        <v>40</v>
      </c>
      <c r="H50" s="59" t="s">
        <v>119</v>
      </c>
      <c r="I50" s="87" t="s">
        <v>2196</v>
      </c>
    </row>
    <row r="51" customFormat="false" ht="26.85" hidden="false" customHeight="false" outlineLevel="0" collapsed="false">
      <c r="A51" s="61" t="s">
        <v>2197</v>
      </c>
      <c r="B51" s="62" t="s">
        <v>118</v>
      </c>
      <c r="C51" s="79" t="n">
        <v>0.75</v>
      </c>
      <c r="D51" s="79" t="n">
        <v>0.65</v>
      </c>
      <c r="E51" s="79" t="n">
        <v>1</v>
      </c>
      <c r="H51" s="59" t="s">
        <v>162</v>
      </c>
      <c r="I51" s="93" t="s">
        <v>2198</v>
      </c>
    </row>
    <row r="52" customFormat="false" ht="30" hidden="false" customHeight="true" outlineLevel="0" collapsed="false">
      <c r="A52" s="60" t="s">
        <v>2199</v>
      </c>
      <c r="B52" s="60" t="s">
        <v>95</v>
      </c>
      <c r="C52" s="170" t="str">
        <f aca="false">Workload!C4</f>
        <v>一般聊天</v>
      </c>
      <c r="D52" s="170" t="str">
        <f aca="false">Workload!D4</f>
        <v>推理聊天</v>
      </c>
      <c r="E52" s="170" t="str">
        <f aca="false">Workload!E4</f>
        <v>單代理（工具迴圈）</v>
      </c>
      <c r="F52" s="170" t="str">
        <f aca="false">Workload!F4</f>
        <v>多代理研究</v>
      </c>
      <c r="G52" s="170" t="str">
        <f aca="false">Workload!G4</f>
        <v>Coding agent（長程）</v>
      </c>
    </row>
    <row r="53" customFormat="false" ht="15" hidden="false" customHeight="false" outlineLevel="0" collapsed="false">
      <c r="A53" s="61" t="s">
        <v>2200</v>
      </c>
      <c r="B53" s="62" t="s">
        <v>1321</v>
      </c>
      <c r="C53" s="79" t="n">
        <v>0.02</v>
      </c>
      <c r="D53" s="79" t="n">
        <v>0.1</v>
      </c>
      <c r="E53" s="79" t="n">
        <v>0.5</v>
      </c>
      <c r="F53" s="79" t="n">
        <v>2</v>
      </c>
      <c r="G53" s="79" t="n">
        <v>8</v>
      </c>
      <c r="H53" s="59" t="s">
        <v>114</v>
      </c>
      <c r="I53" s="74" t="s">
        <v>2201</v>
      </c>
    </row>
    <row r="54" customFormat="false" ht="15" hidden="false" customHeight="false" outlineLevel="0" collapsed="false">
      <c r="A54" s="61" t="s">
        <v>2202</v>
      </c>
      <c r="B54" s="61"/>
      <c r="C54" s="109" t="s">
        <v>2203</v>
      </c>
      <c r="D54" s="109" t="s">
        <v>2203</v>
      </c>
      <c r="E54" s="109" t="s">
        <v>2203</v>
      </c>
      <c r="F54" s="109" t="s">
        <v>2204</v>
      </c>
      <c r="G54" s="109" t="s">
        <v>2204</v>
      </c>
      <c r="I54" s="59" t="s">
        <v>2205</v>
      </c>
    </row>
    <row r="55" customFormat="false" ht="15" hidden="false" customHeight="false" outlineLevel="0" collapsed="false">
      <c r="A55" s="61" t="s">
        <v>2206</v>
      </c>
      <c r="B55" s="62" t="s">
        <v>113</v>
      </c>
      <c r="C55" s="66"/>
      <c r="D55" s="66"/>
      <c r="E55" s="66"/>
      <c r="F55" s="66"/>
      <c r="G55" s="66"/>
      <c r="I55" s="74" t="s">
        <v>2207</v>
      </c>
    </row>
    <row r="56" customFormat="false" ht="15" hidden="false" customHeight="false" outlineLevel="0" collapsed="false">
      <c r="A56" s="61" t="s">
        <v>2208</v>
      </c>
      <c r="B56" s="62" t="s">
        <v>113</v>
      </c>
      <c r="C56" s="66"/>
      <c r="D56" s="66"/>
      <c r="E56" s="66"/>
      <c r="F56" s="66"/>
      <c r="G56" s="66"/>
      <c r="I56" s="74" t="s">
        <v>2207</v>
      </c>
    </row>
    <row r="57" customFormat="false" ht="15" hidden="false" customHeight="false" outlineLevel="0" collapsed="false">
      <c r="A57" s="61" t="s">
        <v>2209</v>
      </c>
      <c r="B57" s="62" t="s">
        <v>113</v>
      </c>
      <c r="C57" s="66"/>
      <c r="D57" s="66"/>
      <c r="E57" s="66"/>
      <c r="F57" s="66"/>
      <c r="G57" s="66"/>
      <c r="I57" s="74" t="s">
        <v>2207</v>
      </c>
    </row>
    <row r="59" customFormat="false" ht="15" hidden="false" customHeight="false" outlineLevel="0" collapsed="false">
      <c r="A59" s="76" t="s">
        <v>2210</v>
      </c>
      <c r="B59" s="70"/>
      <c r="C59" s="70"/>
      <c r="D59" s="70"/>
      <c r="E59" s="70"/>
      <c r="F59" s="70"/>
      <c r="G59" s="70"/>
      <c r="H59" s="70"/>
      <c r="I59" s="70"/>
    </row>
    <row r="60" customFormat="false" ht="15" hidden="false" customHeight="false" outlineLevel="0" collapsed="false">
      <c r="A60" s="60" t="s">
        <v>94</v>
      </c>
      <c r="C60" s="60" t="s">
        <v>1308</v>
      </c>
      <c r="D60" s="60" t="s">
        <v>1309</v>
      </c>
      <c r="I60" s="60" t="s">
        <v>354</v>
      </c>
    </row>
    <row r="61" customFormat="false" ht="15" hidden="false" customHeight="false" outlineLevel="0" collapsed="false">
      <c r="A61" s="61" t="s">
        <v>2164</v>
      </c>
      <c r="C61" s="79" t="n">
        <v>0.7</v>
      </c>
      <c r="D61" s="79" t="n">
        <v>1.7</v>
      </c>
      <c r="H61" s="59" t="s">
        <v>114</v>
      </c>
      <c r="I61" s="74"/>
    </row>
    <row r="62" customFormat="false" ht="15" hidden="false" customHeight="false" outlineLevel="0" collapsed="false">
      <c r="A62" s="61" t="s">
        <v>2169</v>
      </c>
      <c r="C62" s="79" t="n">
        <v>0.6</v>
      </c>
      <c r="D62" s="79" t="n">
        <v>1</v>
      </c>
      <c r="H62" s="59" t="s">
        <v>114</v>
      </c>
      <c r="I62" s="74"/>
    </row>
    <row r="63" customFormat="false" ht="15" hidden="false" customHeight="false" outlineLevel="0" collapsed="false">
      <c r="A63" s="61" t="s">
        <v>2166</v>
      </c>
      <c r="C63" s="66" t="n">
        <v>0.5</v>
      </c>
      <c r="D63" s="66" t="n">
        <v>1</v>
      </c>
      <c r="H63" s="59" t="s">
        <v>114</v>
      </c>
      <c r="I63" s="74"/>
    </row>
    <row r="64" customFormat="false" ht="15" hidden="false" customHeight="false" outlineLevel="0" collapsed="false">
      <c r="A64" s="61" t="s">
        <v>2211</v>
      </c>
      <c r="C64" s="79" t="n">
        <v>0.5</v>
      </c>
      <c r="D64" s="79" t="n">
        <v>1</v>
      </c>
      <c r="H64" s="59" t="s">
        <v>114</v>
      </c>
      <c r="I64" s="74"/>
    </row>
    <row r="65" customFormat="false" ht="15" hidden="false" customHeight="false" outlineLevel="0" collapsed="false">
      <c r="A65" s="61" t="s">
        <v>2212</v>
      </c>
      <c r="C65" s="79" t="n">
        <v>1</v>
      </c>
      <c r="D65" s="79" t="n">
        <v>4</v>
      </c>
      <c r="H65" s="59" t="s">
        <v>114</v>
      </c>
      <c r="I65" s="59" t="s">
        <v>2213</v>
      </c>
    </row>
    <row r="66" customFormat="false" ht="15" hidden="false" customHeight="false" outlineLevel="0" collapsed="false">
      <c r="A66" s="61" t="s">
        <v>2178</v>
      </c>
      <c r="C66" s="148" t="n">
        <v>0.0833333333333333</v>
      </c>
      <c r="D66" s="148" t="n">
        <v>2</v>
      </c>
      <c r="H66" s="59" t="s">
        <v>114</v>
      </c>
      <c r="I66" s="59" t="s">
        <v>1321</v>
      </c>
    </row>
    <row r="68" customFormat="false" ht="15" hidden="false" customHeight="false" outlineLevel="0" collapsed="false">
      <c r="A68" s="76" t="s">
        <v>2214</v>
      </c>
      <c r="B68" s="70"/>
      <c r="C68" s="70"/>
      <c r="D68" s="70"/>
      <c r="E68" s="70"/>
      <c r="F68" s="70"/>
      <c r="G68" s="70"/>
      <c r="H68" s="70"/>
      <c r="I68" s="70"/>
    </row>
    <row r="69" customFormat="false" ht="15" hidden="false" customHeight="false" outlineLevel="0" collapsed="false">
      <c r="A69" s="60" t="s">
        <v>2215</v>
      </c>
      <c r="B69" s="60" t="s">
        <v>95</v>
      </c>
      <c r="C69" s="60" t="s">
        <v>2216</v>
      </c>
      <c r="D69" s="60" t="s">
        <v>2217</v>
      </c>
      <c r="E69" s="10" t="s">
        <v>2218</v>
      </c>
      <c r="H69" s="60" t="s">
        <v>99</v>
      </c>
      <c r="I69" s="60" t="s">
        <v>100</v>
      </c>
    </row>
    <row r="70" customFormat="false" ht="39.55" hidden="false" customHeight="false" outlineLevel="0" collapsed="false">
      <c r="A70" s="6" t="s">
        <v>2219</v>
      </c>
      <c r="C70" s="112" t="n">
        <f aca="false">SRC_HAR_003</f>
        <v>0.627</v>
      </c>
      <c r="D70" s="63" t="n">
        <f aca="false">SRC_HAR_004</f>
        <v>26098</v>
      </c>
      <c r="H70" s="87" t="s">
        <v>2220</v>
      </c>
      <c r="I70" s="87" t="s">
        <v>2221</v>
      </c>
    </row>
    <row r="71" customFormat="false" ht="29.85" hidden="false" customHeight="false" outlineLevel="0" collapsed="false">
      <c r="A71" s="6" t="s">
        <v>2222</v>
      </c>
      <c r="C71" s="112" t="n">
        <f aca="false">SRC_HAR_005</f>
        <v>0.986</v>
      </c>
      <c r="D71" s="63" t="n">
        <f aca="false">SRC_HAR_006</f>
        <v>17332</v>
      </c>
      <c r="H71" s="87" t="s">
        <v>2223</v>
      </c>
      <c r="I71" s="87" t="s">
        <v>2221</v>
      </c>
    </row>
    <row r="72" customFormat="false" ht="29.85" hidden="false" customHeight="false" outlineLevel="0" collapsed="false">
      <c r="A72" s="6" t="s">
        <v>2224</v>
      </c>
      <c r="C72" s="112" t="n">
        <f aca="false">SRC_HAR_007</f>
        <v>0.999</v>
      </c>
      <c r="D72" s="63" t="n">
        <f aca="false">SRC_HAR_008</f>
        <v>18817</v>
      </c>
      <c r="E72" s="97" t="n">
        <f aca="false">SRC_HAR_010</f>
        <v>0.51</v>
      </c>
      <c r="H72" s="87" t="s">
        <v>2223</v>
      </c>
      <c r="I72" s="87" t="s">
        <v>2225</v>
      </c>
      <c r="J72" s="74" t="s">
        <v>2226</v>
      </c>
    </row>
    <row r="73" customFormat="false" ht="26.85" hidden="false" customHeight="false" outlineLevel="0" collapsed="false">
      <c r="A73" s="6" t="s">
        <v>2227</v>
      </c>
      <c r="C73" s="112" t="n">
        <f aca="false">SRC_HAR_012</f>
        <v>0.302</v>
      </c>
      <c r="H73" s="87" t="s">
        <v>2223</v>
      </c>
      <c r="I73" s="87" t="s">
        <v>2221</v>
      </c>
    </row>
    <row r="74" customFormat="false" ht="24.6" hidden="false" customHeight="false" outlineLevel="0" collapsed="false">
      <c r="A74" s="6" t="s">
        <v>2228</v>
      </c>
      <c r="C74" s="112" t="n">
        <f aca="false">SRC_HAR_015</f>
        <v>1</v>
      </c>
      <c r="H74" s="87" t="s">
        <v>2229</v>
      </c>
      <c r="I74" s="87" t="s">
        <v>2230</v>
      </c>
    </row>
    <row r="75" customFormat="false" ht="26.85" hidden="false" customHeight="false" outlineLevel="0" collapsed="false">
      <c r="A75" s="6" t="s">
        <v>2231</v>
      </c>
      <c r="E75" s="97" t="n">
        <f aca="false">SRC_HAR_002/SRC_HAR_001</f>
        <v>3.75</v>
      </c>
      <c r="H75" s="87" t="s">
        <v>2232</v>
      </c>
      <c r="I75" s="87" t="s">
        <v>2233</v>
      </c>
    </row>
    <row r="76" customFormat="false" ht="15" hidden="false" customHeight="false" outlineLevel="0" collapsed="false">
      <c r="A76" s="10" t="s">
        <v>2234</v>
      </c>
      <c r="B76" s="60"/>
      <c r="C76" s="10" t="s">
        <v>2235</v>
      </c>
      <c r="D76" s="10" t="s">
        <v>2236</v>
      </c>
      <c r="E76" s="60" t="s">
        <v>2237</v>
      </c>
      <c r="F76" s="60" t="s">
        <v>2238</v>
      </c>
      <c r="H76" s="60" t="s">
        <v>99</v>
      </c>
      <c r="I76" s="60" t="s">
        <v>487</v>
      </c>
    </row>
    <row r="77" customFormat="false" ht="15" hidden="false" customHeight="false" outlineLevel="0" collapsed="false">
      <c r="A77" s="62" t="s">
        <v>2239</v>
      </c>
      <c r="C77" s="97" t="n">
        <f aca="false">SRC_CAP_012</f>
        <v>3.5667</v>
      </c>
      <c r="D77" s="97" t="n">
        <f aca="false">SRC_CAP_013</f>
        <v>0.5333</v>
      </c>
      <c r="E77" s="86" t="n">
        <f aca="false">C77/D77</f>
        <v>6.68798049878117</v>
      </c>
      <c r="F77" s="77" t="n">
        <f aca="false">LN(4)/LN(E77)</f>
        <v>0.729508833472708</v>
      </c>
      <c r="H77" s="59" t="s">
        <v>2240</v>
      </c>
      <c r="I77" s="59" t="s">
        <v>2241</v>
      </c>
    </row>
    <row r="78" customFormat="false" ht="15" hidden="false" customHeight="false" outlineLevel="0" collapsed="false">
      <c r="A78" s="62" t="s">
        <v>2242</v>
      </c>
      <c r="C78" s="97" t="n">
        <f aca="false">SRC_CAP_014</f>
        <v>6.5667</v>
      </c>
      <c r="D78" s="97" t="n">
        <f aca="false">SRC_CAP_015</f>
        <v>0.9167</v>
      </c>
      <c r="E78" s="86" t="n">
        <f aca="false">C78/D78</f>
        <v>7.16341223955493</v>
      </c>
      <c r="F78" s="77" t="n">
        <f aca="false">LN(4)/LN(E78)</f>
        <v>0.704064962010379</v>
      </c>
      <c r="H78" s="59" t="s">
        <v>2240</v>
      </c>
      <c r="I78" s="59" t="s">
        <v>2241</v>
      </c>
    </row>
    <row r="79" customFormat="false" ht="15" hidden="false" customHeight="false" outlineLevel="0" collapsed="false">
      <c r="A79" s="62" t="s">
        <v>2243</v>
      </c>
      <c r="C79" s="97" t="n">
        <f aca="false">SRC_CAP_016</f>
        <v>5.7</v>
      </c>
      <c r="D79" s="97" t="n">
        <f aca="false">SRC_CAP_017</f>
        <v>0.9</v>
      </c>
      <c r="E79" s="86" t="n">
        <f aca="false">C79/D79</f>
        <v>6.33333333333333</v>
      </c>
      <c r="F79" s="77" t="n">
        <f aca="false">LN(4)/LN(E79)</f>
        <v>0.751042537338987</v>
      </c>
      <c r="H79" s="59" t="s">
        <v>2240</v>
      </c>
      <c r="I79" s="59" t="s">
        <v>2241</v>
      </c>
    </row>
    <row r="80" customFormat="false" ht="15" hidden="false" customHeight="false" outlineLevel="0" collapsed="false">
      <c r="A80" s="62" t="s">
        <v>2244</v>
      </c>
      <c r="C80" s="97" t="n">
        <f aca="false">SRC_CAP_018</f>
        <v>5.8333</v>
      </c>
      <c r="D80" s="97" t="n">
        <f aca="false">SRC_CAP_019</f>
        <v>1.5</v>
      </c>
      <c r="E80" s="86" t="n">
        <f aca="false">C80/D80</f>
        <v>3.88886666666667</v>
      </c>
      <c r="F80" s="77" t="n">
        <f aca="false">LN(4)/LN(E80)</f>
        <v>1.02074679522957</v>
      </c>
      <c r="H80" s="59" t="s">
        <v>2240</v>
      </c>
      <c r="I80" s="59" t="s">
        <v>2241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4" min="3" style="0" width="14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60"/>
    <col collapsed="false" customWidth="true" hidden="false" outlineLevel="0" max="9" min="9" style="0" width="46"/>
  </cols>
  <sheetData>
    <row r="1" customFormat="false" ht="20.1" hidden="false" customHeight="false" outlineLevel="0" collapsed="false">
      <c r="A1" s="58" t="s">
        <v>2245</v>
      </c>
    </row>
    <row r="2" customFormat="false" ht="15" hidden="false" customHeight="false" outlineLevel="0" collapsed="false">
      <c r="A2" s="74" t="s">
        <v>2246</v>
      </c>
    </row>
    <row r="3" customFormat="false" ht="15" hidden="false" customHeight="false" outlineLevel="0" collapsed="false">
      <c r="I3" s="60" t="s">
        <v>2</v>
      </c>
    </row>
    <row r="4" customFormat="false" ht="30" hidden="false" customHeight="true" outlineLevel="0" collapsed="false">
      <c r="A4" s="60" t="s">
        <v>386</v>
      </c>
      <c r="B4" s="60" t="s">
        <v>95</v>
      </c>
      <c r="C4" s="170" t="str">
        <f aca="false">Workload!C4</f>
        <v>一般聊天</v>
      </c>
      <c r="D4" s="170" t="str">
        <f aca="false">Workload!D4</f>
        <v>推理聊天</v>
      </c>
      <c r="E4" s="170" t="str">
        <f aca="false">Workload!E4</f>
        <v>單代理（工具迴圈）</v>
      </c>
      <c r="F4" s="170" t="str">
        <f aca="false">Workload!F4</f>
        <v>多代理研究</v>
      </c>
      <c r="G4" s="170" t="str">
        <f aca="false">Workload!G4</f>
        <v>Coding agent（長程）</v>
      </c>
      <c r="I4" s="74" t="s">
        <v>2247</v>
      </c>
    </row>
    <row r="5" customFormat="false" ht="15" hidden="false" customHeight="false" outlineLevel="0" collapsed="false">
      <c r="A5" s="76" t="s">
        <v>2248</v>
      </c>
      <c r="B5" s="70"/>
      <c r="C5" s="70"/>
      <c r="D5" s="70"/>
      <c r="E5" s="70"/>
      <c r="F5" s="70"/>
      <c r="G5" s="70"/>
      <c r="H5" s="70"/>
    </row>
    <row r="6" customFormat="false" ht="15" hidden="false" customHeight="false" outlineLevel="0" collapsed="false">
      <c r="A6" s="60" t="s">
        <v>2249</v>
      </c>
    </row>
    <row r="7" customFormat="false" ht="15" hidden="false" customHeight="false" outlineLevel="0" collapsed="false">
      <c r="A7" s="5" t="s">
        <v>407</v>
      </c>
      <c r="B7" s="61" t="s">
        <v>408</v>
      </c>
      <c r="C7" s="98" t="n">
        <f aca="false">Workload!C5</f>
        <v>1</v>
      </c>
      <c r="D7" s="98" t="n">
        <f aca="false">Workload!D5</f>
        <v>1</v>
      </c>
      <c r="E7" s="98" t="n">
        <f aca="false">Workload!E5</f>
        <v>4</v>
      </c>
      <c r="F7" s="98" t="n">
        <f aca="false">Workload!F5</f>
        <v>4</v>
      </c>
      <c r="G7" s="98" t="n">
        <f aca="false">Workload!G5</f>
        <v>30</v>
      </c>
    </row>
    <row r="8" customFormat="false" ht="15" hidden="false" customHeight="false" outlineLevel="0" collapsed="false">
      <c r="A8" s="5" t="s">
        <v>2250</v>
      </c>
      <c r="B8" s="62" t="s">
        <v>308</v>
      </c>
      <c r="C8" s="63" t="n">
        <f aca="false">Workload!C8</f>
        <v>0</v>
      </c>
      <c r="D8" s="63" t="n">
        <f aca="false">Workload!D8</f>
        <v>3000</v>
      </c>
      <c r="E8" s="63" t="n">
        <f aca="false">Workload!E8</f>
        <v>400</v>
      </c>
      <c r="F8" s="63" t="n">
        <f aca="false">Workload!F8</f>
        <v>400</v>
      </c>
      <c r="G8" s="63" t="n">
        <f aca="false">Workload!G8</f>
        <v>600</v>
      </c>
    </row>
    <row r="9" customFormat="false" ht="15" hidden="false" customHeight="false" outlineLevel="0" collapsed="false">
      <c r="A9" s="5" t="s">
        <v>2166</v>
      </c>
      <c r="B9" s="62" t="s">
        <v>113</v>
      </c>
      <c r="C9" s="65" t="n">
        <f aca="false">Workload!C10</f>
        <v>0</v>
      </c>
      <c r="D9" s="65" t="n">
        <f aca="false">Workload!D10</f>
        <v>0</v>
      </c>
      <c r="E9" s="65" t="n">
        <f aca="false">Workload!E10</f>
        <v>0</v>
      </c>
      <c r="F9" s="65" t="n">
        <f aca="false">Workload!F10</f>
        <v>0</v>
      </c>
      <c r="G9" s="65" t="n">
        <f aca="false">Workload!G10</f>
        <v>0</v>
      </c>
    </row>
    <row r="10" customFormat="false" ht="15" hidden="false" customHeight="false" outlineLevel="0" collapsed="false">
      <c r="A10" s="5" t="s">
        <v>2251</v>
      </c>
      <c r="B10" s="62" t="s">
        <v>113</v>
      </c>
      <c r="C10" s="65" t="n">
        <f aca="false">Workload!C11</f>
        <v>0.5</v>
      </c>
      <c r="D10" s="65" t="n">
        <f aca="false">Workload!D11</f>
        <v>0.5</v>
      </c>
      <c r="E10" s="65" t="n">
        <f aca="false">Workload!E11</f>
        <v>0.9</v>
      </c>
      <c r="F10" s="65" t="n">
        <f aca="false">Workload!F11</f>
        <v>0.9</v>
      </c>
      <c r="G10" s="65" t="n">
        <f aca="false">Workload!G11</f>
        <v>0.9</v>
      </c>
    </row>
    <row r="11" customFormat="false" ht="15" hidden="false" customHeight="false" outlineLevel="0" collapsed="false">
      <c r="A11" s="5" t="s">
        <v>2252</v>
      </c>
      <c r="B11" s="61" t="s">
        <v>345</v>
      </c>
      <c r="C11" s="111" t="n">
        <f aca="false">Workload!C12</f>
        <v>0</v>
      </c>
      <c r="D11" s="111" t="n">
        <f aca="false">Workload!D12</f>
        <v>0</v>
      </c>
      <c r="E11" s="111" t="n">
        <f aca="false">Workload!E12</f>
        <v>0</v>
      </c>
      <c r="F11" s="111" t="n">
        <f aca="false">Workload!F12</f>
        <v>3</v>
      </c>
      <c r="G11" s="111" t="n">
        <f aca="false">Workload!G12</f>
        <v>0</v>
      </c>
    </row>
    <row r="12" customFormat="false" ht="15" hidden="false" customHeight="false" outlineLevel="0" collapsed="false">
      <c r="A12" s="5" t="s">
        <v>2211</v>
      </c>
      <c r="B12" s="62" t="s">
        <v>118</v>
      </c>
      <c r="C12" s="97" t="n">
        <f aca="false">Workload!C14</f>
        <v>1</v>
      </c>
      <c r="D12" s="97" t="n">
        <f aca="false">Workload!D14</f>
        <v>1</v>
      </c>
      <c r="E12" s="97" t="n">
        <f aca="false">Workload!E14</f>
        <v>1</v>
      </c>
      <c r="F12" s="97" t="n">
        <f aca="false">Workload!F14</f>
        <v>1</v>
      </c>
      <c r="G12" s="97" t="n">
        <f aca="false">Workload!G14</f>
        <v>1</v>
      </c>
    </row>
    <row r="13" customFormat="false" ht="15" hidden="false" customHeight="false" outlineLevel="0" collapsed="false">
      <c r="A13" s="5" t="s">
        <v>434</v>
      </c>
      <c r="B13" s="62" t="s">
        <v>308</v>
      </c>
      <c r="C13" s="63" t="n">
        <f aca="false">Workload!C7+Workload!C9+C9*C8</f>
        <v>1000</v>
      </c>
      <c r="D13" s="63" t="n">
        <f aca="false">Workload!D7+Workload!D9+D9*D8</f>
        <v>1200</v>
      </c>
      <c r="E13" s="63" t="n">
        <f aca="false">Workload!E7+Workload!E9+E9*E8</f>
        <v>1400</v>
      </c>
      <c r="F13" s="63" t="n">
        <f aca="false">Workload!F7+Workload!F9+F9*F8</f>
        <v>1400</v>
      </c>
      <c r="G13" s="63" t="n">
        <f aca="false">Workload!G7+Workload!G9+G9*G8</f>
        <v>2400</v>
      </c>
    </row>
    <row r="14" customFormat="false" ht="15" hidden="false" customHeight="false" outlineLevel="0" collapsed="false">
      <c r="A14" s="5" t="s">
        <v>435</v>
      </c>
      <c r="B14" s="62" t="s">
        <v>308</v>
      </c>
      <c r="C14" s="63" t="n">
        <f aca="false">C7*(Workload!C6+Workload!C7)+C12*C13*C7*(C7-1)/2</f>
        <v>2500</v>
      </c>
      <c r="D14" s="63" t="n">
        <f aca="false">D7*(Workload!D6+Workload!D7)+D12*D13*D7*(D7-1)/2</f>
        <v>2500</v>
      </c>
      <c r="E14" s="63" t="n">
        <f aca="false">E7*(Workload!E6+Workload!E7)+E12*E13*E7*(E7-1)/2</f>
        <v>25200</v>
      </c>
      <c r="F14" s="63" t="n">
        <f aca="false">F7*(Workload!F6+Workload!F7)+F12*F13*F7*(F7-1)/2</f>
        <v>25200</v>
      </c>
      <c r="G14" s="63" t="n">
        <f aca="false">G7*(Workload!G6+Workload!G7)+G12*G13*G7*(G7-1)/2</f>
        <v>1464000</v>
      </c>
    </row>
    <row r="15" customFormat="false" ht="15" hidden="false" customHeight="false" outlineLevel="0" collapsed="false">
      <c r="A15" s="5" t="s">
        <v>2253</v>
      </c>
      <c r="B15" s="62" t="s">
        <v>308</v>
      </c>
      <c r="C15" s="63" t="n">
        <f aca="false">C10*(C7*Workload!C6+C12*C13*C7*(C7-1)/2)</f>
        <v>1000</v>
      </c>
      <c r="D15" s="63" t="n">
        <f aca="false">D10*(D7*Workload!D6+D12*D13*D7*(D7-1)/2)</f>
        <v>1000</v>
      </c>
      <c r="E15" s="63" t="n">
        <f aca="false">E10*(E7*Workload!E6+E12*E13*E7*(E7-1)/2)</f>
        <v>18360</v>
      </c>
      <c r="F15" s="63" t="n">
        <f aca="false">F10*(F7*Workload!F6+F12*F13*F7*(F7-1)/2)</f>
        <v>18360</v>
      </c>
      <c r="G15" s="63" t="n">
        <f aca="false">G10*(G7*Workload!G6+G12*G13*G7*(G7-1)/2)</f>
        <v>1263600</v>
      </c>
    </row>
    <row r="16" customFormat="false" ht="15" hidden="false" customHeight="false" outlineLevel="0" collapsed="false">
      <c r="A16" s="5" t="s">
        <v>2254</v>
      </c>
      <c r="B16" s="62" t="s">
        <v>308</v>
      </c>
      <c r="C16" s="63" t="n">
        <f aca="false">C7*(C8+Workload!C9)</f>
        <v>500</v>
      </c>
      <c r="D16" s="63" t="n">
        <f aca="false">D7*(D8+Workload!D9)</f>
        <v>3700</v>
      </c>
      <c r="E16" s="63" t="n">
        <f aca="false">E7*(E8+Workload!E9)</f>
        <v>2400</v>
      </c>
      <c r="F16" s="63" t="n">
        <f aca="false">F7*(F8+Workload!F9)</f>
        <v>2400</v>
      </c>
      <c r="G16" s="63" t="n">
        <f aca="false">G7*(G8+Workload!G9)</f>
        <v>30000</v>
      </c>
    </row>
    <row r="17" customFormat="false" ht="15" hidden="false" customHeight="false" outlineLevel="0" collapsed="false">
      <c r="A17" s="5" t="s">
        <v>2255</v>
      </c>
      <c r="B17" s="62" t="s">
        <v>118</v>
      </c>
      <c r="C17" s="97" t="n">
        <f aca="false">(1+C11)*Workload!C13</f>
        <v>1</v>
      </c>
      <c r="D17" s="97" t="n">
        <f aca="false">(1+D11)*Workload!D13</f>
        <v>1</v>
      </c>
      <c r="E17" s="97" t="n">
        <f aca="false">(1+E11)*Workload!E13</f>
        <v>1</v>
      </c>
      <c r="F17" s="97" t="n">
        <f aca="false">(1+F11)*Workload!F13</f>
        <v>4</v>
      </c>
      <c r="G17" s="97" t="n">
        <f aca="false">(1+G11)*Workload!G13</f>
        <v>1</v>
      </c>
    </row>
    <row r="18" customFormat="false" ht="15" hidden="false" customHeight="false" outlineLevel="0" collapsed="false">
      <c r="A18" s="5" t="s">
        <v>440</v>
      </c>
      <c r="B18" s="62" t="s">
        <v>308</v>
      </c>
      <c r="C18" s="68" t="n">
        <f aca="false">(C14-C15)*C17</f>
        <v>1500</v>
      </c>
      <c r="D18" s="68" t="n">
        <f aca="false">(D14-D15)*D17</f>
        <v>1500</v>
      </c>
      <c r="E18" s="68" t="n">
        <f aca="false">(E14-E15)*E17</f>
        <v>6840</v>
      </c>
      <c r="F18" s="68" t="n">
        <f aca="false">(F14-F15)*F17</f>
        <v>27360</v>
      </c>
      <c r="G18" s="68" t="n">
        <f aca="false">(G14-G15)*G17</f>
        <v>200400</v>
      </c>
    </row>
    <row r="19" customFormat="false" ht="15" hidden="false" customHeight="false" outlineLevel="0" collapsed="false">
      <c r="A19" s="5" t="s">
        <v>441</v>
      </c>
      <c r="B19" s="62" t="s">
        <v>308</v>
      </c>
      <c r="C19" s="68" t="n">
        <f aca="false">C15*C17</f>
        <v>1000</v>
      </c>
      <c r="D19" s="68" t="n">
        <f aca="false">D15*D17</f>
        <v>1000</v>
      </c>
      <c r="E19" s="68" t="n">
        <f aca="false">E15*E17</f>
        <v>18360</v>
      </c>
      <c r="F19" s="68" t="n">
        <f aca="false">F15*F17</f>
        <v>73440</v>
      </c>
      <c r="G19" s="68" t="n">
        <f aca="false">G15*G17</f>
        <v>1263600</v>
      </c>
    </row>
    <row r="20" customFormat="false" ht="15" hidden="false" customHeight="false" outlineLevel="0" collapsed="false">
      <c r="A20" s="5" t="s">
        <v>442</v>
      </c>
      <c r="B20" s="62" t="s">
        <v>308</v>
      </c>
      <c r="C20" s="68" t="n">
        <f aca="false">C16*C17</f>
        <v>500</v>
      </c>
      <c r="D20" s="68" t="n">
        <f aca="false">D16*D17</f>
        <v>3700</v>
      </c>
      <c r="E20" s="68" t="n">
        <f aca="false">E16*E17</f>
        <v>2400</v>
      </c>
      <c r="F20" s="68" t="n">
        <f aca="false">F16*F17</f>
        <v>9600</v>
      </c>
      <c r="G20" s="68" t="n">
        <f aca="false">G16*G17</f>
        <v>30000</v>
      </c>
    </row>
    <row r="21" customFormat="false" ht="15" hidden="false" customHeight="false" outlineLevel="0" collapsed="false">
      <c r="A21" s="5" t="s">
        <v>443</v>
      </c>
      <c r="B21" s="62" t="s">
        <v>308</v>
      </c>
      <c r="C21" s="71" t="n">
        <f aca="false">C18+C19+C20</f>
        <v>3000</v>
      </c>
      <c r="D21" s="71" t="n">
        <f aca="false">D18+D19+D20</f>
        <v>6200</v>
      </c>
      <c r="E21" s="71" t="n">
        <f aca="false">E18+E19+E20</f>
        <v>27600</v>
      </c>
      <c r="F21" s="71" t="n">
        <f aca="false">F18+F19+F20</f>
        <v>110400</v>
      </c>
      <c r="G21" s="71" t="n">
        <f aca="false">G18+G19+G20</f>
        <v>1494000</v>
      </c>
    </row>
    <row r="23" customFormat="false" ht="15" hidden="false" customHeight="false" outlineLevel="0" collapsed="false">
      <c r="A23" s="60" t="s">
        <v>2256</v>
      </c>
    </row>
    <row r="24" customFormat="false" ht="15" hidden="false" customHeight="false" outlineLevel="0" collapsed="false">
      <c r="A24" s="5" t="s">
        <v>407</v>
      </c>
      <c r="B24" s="61" t="s">
        <v>408</v>
      </c>
      <c r="C24" s="98" t="n">
        <f aca="false">Workload!C5*INDEX(B5_SelT,1,1)</f>
        <v>1</v>
      </c>
      <c r="D24" s="98" t="n">
        <f aca="false">Workload!D5*INDEX(B5_SelT,1,2)</f>
        <v>1</v>
      </c>
      <c r="E24" s="98" t="n">
        <f aca="false">Workload!E5*INDEX(B5_SelT,1,3)</f>
        <v>2.8</v>
      </c>
      <c r="F24" s="98" t="n">
        <f aca="false">Workload!F5*INDEX(B5_SelT,1,4)</f>
        <v>2.8</v>
      </c>
      <c r="G24" s="98" t="n">
        <f aca="false">Workload!G5*INDEX(B5_SelT,1,5)</f>
        <v>21</v>
      </c>
    </row>
    <row r="25" customFormat="false" ht="15" hidden="false" customHeight="false" outlineLevel="0" collapsed="false">
      <c r="A25" s="5" t="s">
        <v>2250</v>
      </c>
      <c r="B25" s="62" t="s">
        <v>308</v>
      </c>
      <c r="C25" s="63" t="n">
        <f aca="false">Workload!C8*INDEX(B5_SelH,1,1)</f>
        <v>0</v>
      </c>
      <c r="D25" s="63" t="n">
        <f aca="false">Workload!D8*INDEX(B5_SelH,1,2)</f>
        <v>3000</v>
      </c>
      <c r="E25" s="63" t="n">
        <f aca="false">Workload!E8*INDEX(B5_SelH,1,3)</f>
        <v>320</v>
      </c>
      <c r="F25" s="63" t="n">
        <f aca="false">Workload!F8*INDEX(B5_SelH,1,4)</f>
        <v>320</v>
      </c>
      <c r="G25" s="63" t="n">
        <f aca="false">Workload!G8*INDEX(B5_SelH,1,5)</f>
        <v>480</v>
      </c>
    </row>
    <row r="26" customFormat="false" ht="15" hidden="false" customHeight="false" outlineLevel="0" collapsed="false">
      <c r="A26" s="5" t="s">
        <v>2166</v>
      </c>
      <c r="B26" s="62" t="s">
        <v>113</v>
      </c>
      <c r="C26" s="85" t="n">
        <f aca="false">INDEX(B5_Selrho,1,1)</f>
        <v>0</v>
      </c>
      <c r="D26" s="85" t="n">
        <f aca="false">INDEX(B5_Selrho,1,2)</f>
        <v>0</v>
      </c>
      <c r="E26" s="85" t="n">
        <f aca="false">INDEX(B5_Selrho,1,3)</f>
        <v>1</v>
      </c>
      <c r="F26" s="85" t="n">
        <f aca="false">INDEX(B5_Selrho,1,4)</f>
        <v>1</v>
      </c>
      <c r="G26" s="85" t="n">
        <f aca="false">INDEX(B5_Selrho,1,5)</f>
        <v>1</v>
      </c>
    </row>
    <row r="27" customFormat="false" ht="15" hidden="false" customHeight="false" outlineLevel="0" collapsed="false">
      <c r="A27" s="5" t="s">
        <v>2251</v>
      </c>
      <c r="B27" s="62" t="s">
        <v>113</v>
      </c>
      <c r="C27" s="65" t="n">
        <f aca="false">MIN(1,MAX(0,Workload!C11+INDEX(B5_SelDChi,1,1)))</f>
        <v>0.5</v>
      </c>
      <c r="D27" s="65" t="n">
        <f aca="false">MIN(1,MAX(0,Workload!D11+INDEX(B5_SelDChi,1,2)))</f>
        <v>0.5</v>
      </c>
      <c r="E27" s="65" t="n">
        <f aca="false">MIN(1,MAX(0,Workload!E11+INDEX(B5_SelDChi,1,3)))</f>
        <v>0.9</v>
      </c>
      <c r="F27" s="65" t="n">
        <f aca="false">MIN(1,MAX(0,Workload!F11+INDEX(B5_SelDChi,1,4)))</f>
        <v>0.9</v>
      </c>
      <c r="G27" s="65" t="n">
        <f aca="false">MIN(1,MAX(0,Workload!G11+INDEX(B5_SelDChi,1,5)))</f>
        <v>0.9</v>
      </c>
    </row>
    <row r="28" customFormat="false" ht="15" hidden="false" customHeight="false" outlineLevel="0" collapsed="false">
      <c r="A28" s="5" t="s">
        <v>2252</v>
      </c>
      <c r="B28" s="61" t="s">
        <v>345</v>
      </c>
      <c r="C28" s="111" t="n">
        <f aca="false">Workload!C12+INDEX(B5_SelDM,1,1)</f>
        <v>0</v>
      </c>
      <c r="D28" s="111" t="n">
        <f aca="false">Workload!D12+INDEX(B5_SelDM,1,2)</f>
        <v>0</v>
      </c>
      <c r="E28" s="111" t="n">
        <f aca="false">Workload!E12+INDEX(B5_SelDM,1,3)</f>
        <v>0</v>
      </c>
      <c r="F28" s="111" t="n">
        <f aca="false">Workload!F12+INDEX(B5_SelDM,1,4)</f>
        <v>3</v>
      </c>
      <c r="G28" s="111" t="n">
        <f aca="false">Workload!G12+INDEX(B5_SelDM,1,5)</f>
        <v>0</v>
      </c>
    </row>
    <row r="29" customFormat="false" ht="15" hidden="false" customHeight="false" outlineLevel="0" collapsed="false">
      <c r="A29" s="5" t="s">
        <v>2211</v>
      </c>
      <c r="B29" s="62" t="s">
        <v>118</v>
      </c>
      <c r="C29" s="77" t="n">
        <f aca="false">INDEX(B5_SelC,1,1)</f>
        <v>1</v>
      </c>
      <c r="D29" s="77" t="n">
        <f aca="false">INDEX(B5_SelC,1,2)</f>
        <v>1</v>
      </c>
      <c r="E29" s="77" t="n">
        <f aca="false">INDEX(B5_SelC,1,3)</f>
        <v>0.7</v>
      </c>
      <c r="F29" s="77" t="n">
        <f aca="false">INDEX(B5_SelC,1,4)</f>
        <v>0.7</v>
      </c>
      <c r="G29" s="77" t="n">
        <f aca="false">INDEX(B5_SelC,1,5)</f>
        <v>0.7</v>
      </c>
    </row>
    <row r="30" customFormat="false" ht="15" hidden="false" customHeight="false" outlineLevel="0" collapsed="false">
      <c r="A30" s="5" t="s">
        <v>434</v>
      </c>
      <c r="B30" s="62" t="s">
        <v>308</v>
      </c>
      <c r="C30" s="63" t="n">
        <f aca="false">Workload!C7+Workload!C9+C26*C25</f>
        <v>1000</v>
      </c>
      <c r="D30" s="63" t="n">
        <f aca="false">Workload!D7+Workload!D9+D26*D25</f>
        <v>1200</v>
      </c>
      <c r="E30" s="63" t="n">
        <f aca="false">Workload!E7+Workload!E9+E26*E25</f>
        <v>1720</v>
      </c>
      <c r="F30" s="63" t="n">
        <f aca="false">Workload!F7+Workload!F9+F26*F25</f>
        <v>1720</v>
      </c>
      <c r="G30" s="63" t="n">
        <f aca="false">Workload!G7+Workload!G9+G26*G25</f>
        <v>2880</v>
      </c>
    </row>
    <row r="31" customFormat="false" ht="15" hidden="false" customHeight="false" outlineLevel="0" collapsed="false">
      <c r="A31" s="5" t="s">
        <v>435</v>
      </c>
      <c r="B31" s="62" t="s">
        <v>308</v>
      </c>
      <c r="C31" s="63" t="n">
        <f aca="false">C24*(Workload!C6+Workload!C7)+C29*C30*C24*(C24-1)/2</f>
        <v>2500</v>
      </c>
      <c r="D31" s="63" t="n">
        <f aca="false">D24*(Workload!D6+Workload!D7)+D29*D30*D24*(D24-1)/2</f>
        <v>2500</v>
      </c>
      <c r="E31" s="63" t="n">
        <f aca="false">E24*(Workload!E6+Workload!E7)+E29*E30*E24*(E24-1)/2</f>
        <v>14794.08</v>
      </c>
      <c r="F31" s="63" t="n">
        <f aca="false">F24*(Workload!F6+Workload!F7)+F29*F30*F24*(F24-1)/2</f>
        <v>14794.08</v>
      </c>
      <c r="G31" s="63" t="n">
        <f aca="false">G24*(Workload!G6+Workload!G7)+G29*G30*G24*(G24-1)/2</f>
        <v>717360</v>
      </c>
    </row>
    <row r="32" customFormat="false" ht="15" hidden="false" customHeight="false" outlineLevel="0" collapsed="false">
      <c r="A32" s="5" t="s">
        <v>2253</v>
      </c>
      <c r="B32" s="62" t="s">
        <v>308</v>
      </c>
      <c r="C32" s="63" t="n">
        <f aca="false">C27*(C24*Workload!C6+C29*C30*C24*(C24-1)/2)</f>
        <v>1000</v>
      </c>
      <c r="D32" s="63" t="n">
        <f aca="false">D27*(D24*Workload!D6+D29*D30*D24*(D24-1)/2)</f>
        <v>1000</v>
      </c>
      <c r="E32" s="63" t="n">
        <f aca="false">E27*(E24*Workload!E6+E29*E30*E24*(E24-1)/2)</f>
        <v>10290.672</v>
      </c>
      <c r="F32" s="63" t="n">
        <f aca="false">F27*(F24*Workload!F6+F29*F30*F24*(F24-1)/2)</f>
        <v>10290.672</v>
      </c>
      <c r="G32" s="63" t="n">
        <f aca="false">G27*(G24*Workload!G6+G29*G30*G24*(G24-1)/2)</f>
        <v>607824</v>
      </c>
    </row>
    <row r="33" customFormat="false" ht="15" hidden="false" customHeight="false" outlineLevel="0" collapsed="false">
      <c r="A33" s="5" t="s">
        <v>2254</v>
      </c>
      <c r="B33" s="62" t="s">
        <v>308</v>
      </c>
      <c r="C33" s="63" t="n">
        <f aca="false">C24*(C25+Workload!C9)</f>
        <v>500</v>
      </c>
      <c r="D33" s="63" t="n">
        <f aca="false">D24*(D25+Workload!D9)</f>
        <v>3700</v>
      </c>
      <c r="E33" s="63" t="n">
        <f aca="false">E24*(E25+Workload!E9)</f>
        <v>1456</v>
      </c>
      <c r="F33" s="63" t="n">
        <f aca="false">F24*(F25+Workload!F9)</f>
        <v>1456</v>
      </c>
      <c r="G33" s="63" t="n">
        <f aca="false">G24*(G25+Workload!G9)</f>
        <v>18480</v>
      </c>
    </row>
    <row r="34" customFormat="false" ht="15" hidden="false" customHeight="false" outlineLevel="0" collapsed="false">
      <c r="A34" s="5" t="s">
        <v>2255</v>
      </c>
      <c r="B34" s="62" t="s">
        <v>118</v>
      </c>
      <c r="C34" s="97" t="n">
        <f aca="false">(1+C28)*Workload!C13</f>
        <v>1</v>
      </c>
      <c r="D34" s="97" t="n">
        <f aca="false">(1+D28)*Workload!D13</f>
        <v>1</v>
      </c>
      <c r="E34" s="97" t="n">
        <f aca="false">(1+E28)*Workload!E13</f>
        <v>1</v>
      </c>
      <c r="F34" s="97" t="n">
        <f aca="false">(1+F28)*Workload!F13</f>
        <v>4</v>
      </c>
      <c r="G34" s="97" t="n">
        <f aca="false">(1+G28)*Workload!G13</f>
        <v>1</v>
      </c>
    </row>
    <row r="35" customFormat="false" ht="15" hidden="false" customHeight="false" outlineLevel="0" collapsed="false">
      <c r="A35" s="5" t="s">
        <v>440</v>
      </c>
      <c r="B35" s="62" t="s">
        <v>308</v>
      </c>
      <c r="C35" s="68" t="n">
        <f aca="false">(C31-C32)*C34</f>
        <v>1500</v>
      </c>
      <c r="D35" s="68" t="n">
        <f aca="false">(D31-D32)*D34</f>
        <v>1500</v>
      </c>
      <c r="E35" s="68" t="n">
        <f aca="false">(E31-E32)*E34</f>
        <v>4503.408</v>
      </c>
      <c r="F35" s="68" t="n">
        <f aca="false">(F31-F32)*F34</f>
        <v>18013.632</v>
      </c>
      <c r="G35" s="68" t="n">
        <f aca="false">(G31-G32)*G34</f>
        <v>109536</v>
      </c>
    </row>
    <row r="36" customFormat="false" ht="15" hidden="false" customHeight="false" outlineLevel="0" collapsed="false">
      <c r="A36" s="5" t="s">
        <v>441</v>
      </c>
      <c r="B36" s="62" t="s">
        <v>308</v>
      </c>
      <c r="C36" s="68" t="n">
        <f aca="false">C32*C34</f>
        <v>1000</v>
      </c>
      <c r="D36" s="68" t="n">
        <f aca="false">D32*D34</f>
        <v>1000</v>
      </c>
      <c r="E36" s="68" t="n">
        <f aca="false">E32*E34</f>
        <v>10290.672</v>
      </c>
      <c r="F36" s="68" t="n">
        <f aca="false">F32*F34</f>
        <v>41162.688</v>
      </c>
      <c r="G36" s="68" t="n">
        <f aca="false">G32*G34</f>
        <v>607824</v>
      </c>
    </row>
    <row r="37" customFormat="false" ht="15" hidden="false" customHeight="false" outlineLevel="0" collapsed="false">
      <c r="A37" s="5" t="s">
        <v>442</v>
      </c>
      <c r="B37" s="62" t="s">
        <v>308</v>
      </c>
      <c r="C37" s="68" t="n">
        <f aca="false">C33*C34</f>
        <v>500</v>
      </c>
      <c r="D37" s="68" t="n">
        <f aca="false">D33*D34</f>
        <v>3700</v>
      </c>
      <c r="E37" s="68" t="n">
        <f aca="false">E33*E34</f>
        <v>1456</v>
      </c>
      <c r="F37" s="68" t="n">
        <f aca="false">F33*F34</f>
        <v>5824</v>
      </c>
      <c r="G37" s="68" t="n">
        <f aca="false">G33*G34</f>
        <v>18480</v>
      </c>
    </row>
    <row r="38" customFormat="false" ht="15" hidden="false" customHeight="false" outlineLevel="0" collapsed="false">
      <c r="A38" s="5" t="s">
        <v>443</v>
      </c>
      <c r="B38" s="62" t="s">
        <v>308</v>
      </c>
      <c r="C38" s="71" t="n">
        <f aca="false">C35+C36+C37</f>
        <v>3000</v>
      </c>
      <c r="D38" s="71" t="n">
        <f aca="false">D35+D36+D37</f>
        <v>6200</v>
      </c>
      <c r="E38" s="71" t="n">
        <f aca="false">E35+E36+E37</f>
        <v>16250.08</v>
      </c>
      <c r="F38" s="71" t="n">
        <f aca="false">F35+F36+F37</f>
        <v>65000.32</v>
      </c>
      <c r="G38" s="71" t="n">
        <f aca="false">G35+G36+G37</f>
        <v>735840</v>
      </c>
    </row>
    <row r="40" customFormat="false" ht="15" hidden="false" customHeight="false" outlineLevel="0" collapsed="false">
      <c r="A40" s="60" t="s">
        <v>2257</v>
      </c>
    </row>
    <row r="41" customFormat="false" ht="15" hidden="false" customHeight="false" outlineLevel="0" collapsed="false">
      <c r="A41" s="5" t="s">
        <v>440</v>
      </c>
      <c r="B41" s="62" t="s">
        <v>308</v>
      </c>
      <c r="C41" s="63" t="n">
        <f aca="false">Workload!C32</f>
        <v>1500</v>
      </c>
      <c r="D41" s="63" t="n">
        <f aca="false">Workload!D32</f>
        <v>1500</v>
      </c>
      <c r="E41" s="63" t="n">
        <f aca="false">Workload!E32</f>
        <v>6840</v>
      </c>
      <c r="F41" s="63" t="n">
        <f aca="false">Workload!F32</f>
        <v>27360</v>
      </c>
      <c r="G41" s="63" t="n">
        <f aca="false">Workload!G32</f>
        <v>200400</v>
      </c>
    </row>
    <row r="42" customFormat="false" ht="15" hidden="false" customHeight="false" outlineLevel="0" collapsed="false">
      <c r="A42" s="5" t="s">
        <v>441</v>
      </c>
      <c r="B42" s="62" t="s">
        <v>308</v>
      </c>
      <c r="C42" s="63" t="n">
        <f aca="false">Workload!C33</f>
        <v>1000</v>
      </c>
      <c r="D42" s="63" t="n">
        <f aca="false">Workload!D33</f>
        <v>1000</v>
      </c>
      <c r="E42" s="63" t="n">
        <f aca="false">Workload!E33</f>
        <v>18360</v>
      </c>
      <c r="F42" s="63" t="n">
        <f aca="false">Workload!F33</f>
        <v>73440</v>
      </c>
      <c r="G42" s="63" t="n">
        <f aca="false">Workload!G33</f>
        <v>1263600</v>
      </c>
    </row>
    <row r="43" customFormat="false" ht="15" hidden="false" customHeight="false" outlineLevel="0" collapsed="false">
      <c r="A43" s="5" t="s">
        <v>442</v>
      </c>
      <c r="B43" s="62" t="s">
        <v>308</v>
      </c>
      <c r="C43" s="63" t="n">
        <f aca="false">Workload!C34</f>
        <v>500</v>
      </c>
      <c r="D43" s="63" t="n">
        <f aca="false">Workload!D34</f>
        <v>3700</v>
      </c>
      <c r="E43" s="63" t="n">
        <f aca="false">Workload!E34</f>
        <v>2400</v>
      </c>
      <c r="F43" s="63" t="n">
        <f aca="false">Workload!F34</f>
        <v>9600</v>
      </c>
      <c r="G43" s="63" t="n">
        <f aca="false">Workload!G34</f>
        <v>30000</v>
      </c>
    </row>
    <row r="44" customFormat="false" ht="15" hidden="false" customHeight="false" outlineLevel="0" collapsed="false">
      <c r="A44" s="5" t="s">
        <v>443</v>
      </c>
      <c r="B44" s="62" t="s">
        <v>308</v>
      </c>
      <c r="C44" s="171" t="n">
        <f aca="false">Workload!C35</f>
        <v>3000</v>
      </c>
      <c r="D44" s="171" t="n">
        <f aca="false">Workload!D35</f>
        <v>6200</v>
      </c>
      <c r="E44" s="171" t="n">
        <f aca="false">Workload!E35</f>
        <v>27600</v>
      </c>
      <c r="F44" s="171" t="n">
        <f aca="false">Workload!F35</f>
        <v>110400</v>
      </c>
      <c r="G44" s="171" t="n">
        <f aca="false">Workload!G35</f>
        <v>1494000</v>
      </c>
    </row>
    <row r="45" customFormat="false" ht="15" hidden="false" customHeight="false" outlineLevel="0" collapsed="false">
      <c r="A45" s="5" t="s">
        <v>2258</v>
      </c>
      <c r="B45" s="62" t="s">
        <v>118</v>
      </c>
      <c r="C45" s="104" t="n">
        <f aca="false">C38/C21</f>
        <v>1</v>
      </c>
      <c r="D45" s="104" t="n">
        <f aca="false">D38/D21</f>
        <v>1</v>
      </c>
      <c r="E45" s="104" t="n">
        <f aca="false">E38/E21</f>
        <v>0.588771014492754</v>
      </c>
      <c r="F45" s="104" t="n">
        <f aca="false">F38/F21</f>
        <v>0.588771014492754</v>
      </c>
      <c r="G45" s="104" t="n">
        <f aca="false">G38/G21</f>
        <v>0.492530120481928</v>
      </c>
      <c r="H45" s="87" t="s">
        <v>2259</v>
      </c>
    </row>
    <row r="47" customFormat="false" ht="15" hidden="false" customHeight="false" outlineLevel="0" collapsed="false">
      <c r="A47" s="76" t="s">
        <v>2260</v>
      </c>
      <c r="B47" s="70"/>
      <c r="C47" s="70"/>
      <c r="D47" s="70"/>
      <c r="E47" s="70"/>
      <c r="F47" s="70"/>
      <c r="G47" s="70"/>
      <c r="H47" s="70"/>
    </row>
    <row r="48" customFormat="false" ht="15" hidden="false" customHeight="false" outlineLevel="0" collapsed="false">
      <c r="A48" s="5" t="s">
        <v>2261</v>
      </c>
      <c r="B48" s="62" t="s">
        <v>1321</v>
      </c>
      <c r="C48" s="107" t="n">
        <f aca="false">B4_Retain</f>
        <v>0.0833333333333333</v>
      </c>
      <c r="D48" s="107" t="n">
        <f aca="false">B4_Retain</f>
        <v>0.0833333333333333</v>
      </c>
      <c r="E48" s="107" t="n">
        <f aca="false">B4_Retain</f>
        <v>0.0833333333333333</v>
      </c>
      <c r="F48" s="107" t="n">
        <f aca="false">B4_Retain</f>
        <v>0.0833333333333333</v>
      </c>
      <c r="G48" s="107" t="n">
        <f aca="false">B4_Retain</f>
        <v>0.0833333333333333</v>
      </c>
    </row>
    <row r="49" customFormat="false" ht="15" hidden="false" customHeight="false" outlineLevel="0" collapsed="false">
      <c r="A49" s="5" t="s">
        <v>2262</v>
      </c>
      <c r="B49" s="62" t="s">
        <v>1321</v>
      </c>
      <c r="C49" s="107" t="n">
        <f aca="false">B4_Retain+B5_W*(INDEX(B5_SelRet,1,1)-B4_Retain)</f>
        <v>0.0833333333333333</v>
      </c>
      <c r="D49" s="107" t="n">
        <f aca="false">B4_Retain+B5_W*(INDEX(B5_SelRet,1,2)-B4_Retain)</f>
        <v>0.0833333333333333</v>
      </c>
      <c r="E49" s="107" t="n">
        <f aca="false">B4_Retain+B5_W*(INDEX(B5_SelRet,1,3)-B4_Retain)</f>
        <v>0.0833333333333333</v>
      </c>
      <c r="F49" s="107" t="n">
        <f aca="false">B4_Retain+B5_W*(INDEX(B5_SelRet,1,4)-B4_Retain)</f>
        <v>0.0833333333333333</v>
      </c>
      <c r="G49" s="107" t="n">
        <f aca="false">B4_Retain+B5_W*(INDEX(B5_SelRet,1,5)-B4_Retain)</f>
        <v>0.0833333333333333</v>
      </c>
    </row>
    <row r="50" customFormat="false" ht="15" hidden="false" customHeight="false" outlineLevel="0" collapsed="false">
      <c r="A50" s="5" t="s">
        <v>2263</v>
      </c>
      <c r="B50" s="62" t="s">
        <v>1321</v>
      </c>
      <c r="C50" s="107" t="n">
        <f aca="false">INDEX(B5_SelRet,1,1)</f>
        <v>0.0833333333333333</v>
      </c>
      <c r="D50" s="107" t="n">
        <f aca="false">INDEX(B5_SelRet,1,2)</f>
        <v>0.0833333333333333</v>
      </c>
      <c r="E50" s="107" t="n">
        <f aca="false">INDEX(B5_SelRet,1,3)</f>
        <v>0.67</v>
      </c>
      <c r="F50" s="107" t="n">
        <f aca="false">INDEX(B5_SelRet,1,4)</f>
        <v>0.67</v>
      </c>
      <c r="G50" s="107" t="n">
        <f aca="false">INDEX(B5_SelRet,1,5)</f>
        <v>0.67</v>
      </c>
    </row>
    <row r="51" customFormat="false" ht="15" hidden="false" customHeight="false" outlineLevel="0" collapsed="false">
      <c r="A51" s="5" t="s">
        <v>2264</v>
      </c>
      <c r="B51" s="62" t="s">
        <v>118</v>
      </c>
      <c r="C51" s="77" t="n">
        <f aca="false">1</f>
        <v>1</v>
      </c>
      <c r="D51" s="77" t="n">
        <f aca="false">1</f>
        <v>1</v>
      </c>
      <c r="E51" s="77" t="n">
        <f aca="false">1</f>
        <v>1</v>
      </c>
      <c r="F51" s="77" t="n">
        <f aca="false">1</f>
        <v>1</v>
      </c>
      <c r="G51" s="77" t="n">
        <f aca="false">1</f>
        <v>1</v>
      </c>
    </row>
    <row r="52" customFormat="false" ht="15" hidden="false" customHeight="false" outlineLevel="0" collapsed="false">
      <c r="A52" s="5" t="s">
        <v>2265</v>
      </c>
      <c r="B52" s="62" t="s">
        <v>118</v>
      </c>
      <c r="C52" s="77" t="n">
        <f aca="false">1+B5_W*(INDEX(B5_SelHz,1,1)-1)</f>
        <v>1</v>
      </c>
      <c r="D52" s="77" t="n">
        <f aca="false">1+B5_W*(INDEX(B5_SelHz,1,2)-1)</f>
        <v>1</v>
      </c>
      <c r="E52" s="77" t="n">
        <f aca="false">1+B5_W*(INDEX(B5_SelHz,1,3)-1)</f>
        <v>1</v>
      </c>
      <c r="F52" s="77" t="n">
        <f aca="false">1+B5_W*(INDEX(B5_SelHz,1,4)-1)</f>
        <v>1</v>
      </c>
      <c r="G52" s="77" t="n">
        <f aca="false">1+B5_W*(INDEX(B5_SelHz,1,5)-1)</f>
        <v>1</v>
      </c>
    </row>
    <row r="53" customFormat="false" ht="15" hidden="false" customHeight="false" outlineLevel="0" collapsed="false">
      <c r="A53" s="5" t="s">
        <v>2266</v>
      </c>
      <c r="B53" s="62" t="s">
        <v>118</v>
      </c>
      <c r="C53" s="77" t="n">
        <f aca="false">INDEX(B5_SelHz,1,1)</f>
        <v>1</v>
      </c>
      <c r="D53" s="77" t="n">
        <f aca="false">INDEX(B5_SelHz,1,2)</f>
        <v>1</v>
      </c>
      <c r="E53" s="77" t="n">
        <f aca="false">INDEX(B5_SelHz,1,3)</f>
        <v>1.2</v>
      </c>
      <c r="F53" s="77" t="n">
        <f aca="false">INDEX(B5_SelHz,1,4)</f>
        <v>2</v>
      </c>
      <c r="G53" s="77" t="n">
        <f aca="false">INDEX(B5_SelHz,1,5)</f>
        <v>2</v>
      </c>
    </row>
    <row r="55" customFormat="false" ht="15" hidden="false" customHeight="false" outlineLevel="0" collapsed="false">
      <c r="A55" s="76" t="s">
        <v>2267</v>
      </c>
      <c r="B55" s="70"/>
      <c r="C55" s="70"/>
      <c r="D55" s="70"/>
      <c r="E55" s="70"/>
      <c r="F55" s="70"/>
      <c r="G55" s="70"/>
      <c r="H55" s="70"/>
    </row>
    <row r="56" customFormat="false" ht="15" hidden="false" customHeight="false" outlineLevel="0" collapsed="false">
      <c r="A56" s="6" t="s">
        <v>2268</v>
      </c>
      <c r="B56" s="62" t="s">
        <v>113</v>
      </c>
      <c r="C56" s="103" t="n">
        <f aca="false">IF(ISNUMBER(INDEX(B5_SuccOvr_Luna,1,1)),INDEX(B5_SuccOvr_Luna,1,1),1/(1+(INDEX(B5_TaskLen,1,1)/(INDEX(B5_H50,1,1)*C51))^B5_Beta))</f>
        <v>0.962243725044712</v>
      </c>
      <c r="D56" s="103" t="n">
        <f aca="false">IF(ISNUMBER(INDEX(B5_SuccOvr_Luna,1,2)),INDEX(B5_SuccOvr_Luna,1,2),1/(1+(INDEX(B5_TaskLen,1,2)/(INDEX(B5_H50,1,1)*D51))^B5_Beta))</f>
        <v>0.884017511243649</v>
      </c>
      <c r="E56" s="103" t="n">
        <f aca="false">IF(ISNUMBER(INDEX(B5_SuccOvr_Luna,1,3)),INDEX(B5_SuccOvr_Luna,1,3),1/(1+(INDEX(B5_TaskLen,1,3)/(INDEX(B5_H50,1,1)*E51))^B5_Beta))</f>
        <v>0.695076124968439</v>
      </c>
      <c r="F56" s="103" t="n">
        <f aca="false">IF(ISNUMBER(INDEX(B5_SuccOvr_Luna,1,4)),INDEX(B5_SuccOvr_Luna,1,4),1/(1+(INDEX(B5_TaskLen,1,4)/(INDEX(B5_H50,1,1)*F51))^B5_Beta))</f>
        <v>0.446267899285204</v>
      </c>
      <c r="G56" s="103" t="n">
        <f aca="false">IF(ISNUMBER(INDEX(B5_SuccOvr_Luna,1,5)),INDEX(B5_SuccOvr_Luna,1,5),1/(1+(INDEX(B5_TaskLen,1,5)/(INDEX(B5_H50,1,1)*G51))^B5_Beta))</f>
        <v>0.221752565013566</v>
      </c>
    </row>
    <row r="57" customFormat="false" ht="15" hidden="false" customHeight="false" outlineLevel="0" collapsed="false">
      <c r="A57" s="6" t="s">
        <v>2269</v>
      </c>
      <c r="B57" s="62" t="s">
        <v>113</v>
      </c>
      <c r="C57" s="101" t="n">
        <f aca="false">IF(ISNUMBER(INDEX(B5_SuccOvr_Luna,1,1)),INDEX(B5_SuccOvr_Luna,1,1),1/(1+(INDEX(B5_TaskLen,1,1)/(INDEX(B5_H50,1,1)*C52))^B5_Beta))</f>
        <v>0.962243725044712</v>
      </c>
      <c r="D57" s="101" t="n">
        <f aca="false">IF(ISNUMBER(INDEX(B5_SuccOvr_Luna,1,2)),INDEX(B5_SuccOvr_Luna,1,2),1/(1+(INDEX(B5_TaskLen,1,2)/(INDEX(B5_H50,1,1)*D52))^B5_Beta))</f>
        <v>0.884017511243649</v>
      </c>
      <c r="E57" s="101" t="n">
        <f aca="false">IF(ISNUMBER(INDEX(B5_SuccOvr_Luna,1,3)),INDEX(B5_SuccOvr_Luna,1,3),1/(1+(INDEX(B5_TaskLen,1,3)/(INDEX(B5_H50,1,1)*E52))^B5_Beta))</f>
        <v>0.695076124968439</v>
      </c>
      <c r="F57" s="101" t="n">
        <f aca="false">IF(ISNUMBER(INDEX(B5_SuccOvr_Luna,1,4)),INDEX(B5_SuccOvr_Luna,1,4),1/(1+(INDEX(B5_TaskLen,1,4)/(INDEX(B5_H50,1,1)*F52))^B5_Beta))</f>
        <v>0.446267899285204</v>
      </c>
      <c r="G57" s="101" t="n">
        <f aca="false">IF(ISNUMBER(INDEX(B5_SuccOvr_Luna,1,5)),INDEX(B5_SuccOvr_Luna,1,5),1/(1+(INDEX(B5_TaskLen,1,5)/(INDEX(B5_H50,1,1)*G52))^B5_Beta))</f>
        <v>0.221752565013566</v>
      </c>
    </row>
    <row r="58" customFormat="false" ht="15" hidden="false" customHeight="false" outlineLevel="0" collapsed="false">
      <c r="A58" s="6" t="s">
        <v>2270</v>
      </c>
      <c r="B58" s="62" t="s">
        <v>113</v>
      </c>
      <c r="C58" s="103" t="n">
        <f aca="false">IF(ISNUMBER(INDEX(B5_SuccOvr_Luna,1,1)),INDEX(B5_SuccOvr_Luna,1,1),1/(1+(INDEX(B5_TaskLen,1,1)/(INDEX(B5_H50,1,1)*C53))^B5_Beta))</f>
        <v>0.962243725044712</v>
      </c>
      <c r="D58" s="103" t="n">
        <f aca="false">IF(ISNUMBER(INDEX(B5_SuccOvr_Luna,1,2)),INDEX(B5_SuccOvr_Luna,1,2),1/(1+(INDEX(B5_TaskLen,1,2)/(INDEX(B5_H50,1,1)*D53))^B5_Beta))</f>
        <v>0.884017511243649</v>
      </c>
      <c r="E58" s="103" t="n">
        <f aca="false">IF(ISNUMBER(INDEX(B5_SuccOvr_Luna,1,3)),INDEX(B5_SuccOvr_Luna,1,3),1/(1+(INDEX(B5_TaskLen,1,3)/(INDEX(B5_H50,1,1)*E53))^B5_Beta))</f>
        <v>0.723262011773013</v>
      </c>
      <c r="F58" s="103" t="n">
        <f aca="false">IF(ISNUMBER(INDEX(B5_SuccOvr_Luna,1,4)),INDEX(B5_SuccOvr_Luna,1,4),1/(1+(INDEX(B5_TaskLen,1,4)/(INDEX(B5_H50,1,1)*F53))^B5_Beta))</f>
        <v>0.575444203093429</v>
      </c>
      <c r="G58" s="103" t="n">
        <f aca="false">IF(ISNUMBER(INDEX(B5_SuccOvr_Luna,1,5)),INDEX(B5_SuccOvr_Luna,1,5),1/(1+(INDEX(B5_TaskLen,1,5)/(INDEX(B5_H50,1,1)*G53))^B5_Beta))</f>
        <v>0.323962245896112</v>
      </c>
    </row>
    <row r="59" customFormat="false" ht="15" hidden="false" customHeight="false" outlineLevel="0" collapsed="false">
      <c r="A59" s="6" t="s">
        <v>2271</v>
      </c>
      <c r="B59" s="62" t="s">
        <v>113</v>
      </c>
      <c r="C59" s="103" t="n">
        <f aca="false">IF(ISNUMBER(INDEX(B5_SuccOvr_Sol,1,1)),INDEX(B5_SuccOvr_Sol,1,1),1/(1+(INDEX(B5_TaskLen,1,1)/(INDEX(B5_H50,1,2)*C51))^B5_Beta))</f>
        <v>0.988943278022254</v>
      </c>
      <c r="D59" s="103" t="n">
        <f aca="false">IF(ISNUMBER(INDEX(B5_SuccOvr_Sol,1,2)),INDEX(B5_SuccOvr_Sol,1,2),1/(1+(INDEX(B5_TaskLen,1,2)/(INDEX(B5_H50,1,2)*D51))^B5_Beta))</f>
        <v>0.963963460360214</v>
      </c>
      <c r="E59" s="103" t="n">
        <f aca="false">IF(ISNUMBER(INDEX(B5_SuccOvr_Sol,1,3)),INDEX(B5_SuccOvr_Sol,1,3),1/(1+(INDEX(B5_TaskLen,1,3)/(INDEX(B5_H50,1,2)*E51))^B5_Beta))</f>
        <v>0.888888888888889</v>
      </c>
      <c r="F59" s="103" t="n">
        <f aca="false">IF(ISNUMBER(INDEX(B5_SuccOvr_Sol,1,4)),INDEX(B5_SuccOvr_Sol,1,4),1/(1+(INDEX(B5_TaskLen,1,4)/(INDEX(B5_H50,1,2)*F51))^B5_Beta))</f>
        <v>0.738796125036259</v>
      </c>
      <c r="G59" s="103" t="n">
        <f aca="false">IF(ISNUMBER(INDEX(B5_SuccOvr_Sol,1,5)),INDEX(B5_SuccOvr_Sol,1,5),1/(1+(INDEX(B5_TaskLen,1,5)/(INDEX(B5_H50,1,2)*G51))^B5_Beta))</f>
        <v>0.5</v>
      </c>
    </row>
    <row r="60" customFormat="false" ht="15" hidden="false" customHeight="false" outlineLevel="0" collapsed="false">
      <c r="A60" s="6" t="s">
        <v>2272</v>
      </c>
      <c r="B60" s="62" t="s">
        <v>113</v>
      </c>
      <c r="C60" s="101" t="n">
        <f aca="false">IF(ISNUMBER(INDEX(B5_SuccOvr_Sol,1,1)),INDEX(B5_SuccOvr_Sol,1,1),1/(1+(INDEX(B5_TaskLen,1,1)/(INDEX(B5_H50,1,2)*C52))^B5_Beta))</f>
        <v>0.988943278022254</v>
      </c>
      <c r="D60" s="101" t="n">
        <f aca="false">IF(ISNUMBER(INDEX(B5_SuccOvr_Sol,1,2)),INDEX(B5_SuccOvr_Sol,1,2),1/(1+(INDEX(B5_TaskLen,1,2)/(INDEX(B5_H50,1,2)*D52))^B5_Beta))</f>
        <v>0.963963460360214</v>
      </c>
      <c r="E60" s="101" t="n">
        <f aca="false">IF(ISNUMBER(INDEX(B5_SuccOvr_Sol,1,3)),INDEX(B5_SuccOvr_Sol,1,3),1/(1+(INDEX(B5_TaskLen,1,3)/(INDEX(B5_H50,1,2)*E52))^B5_Beta))</f>
        <v>0.888888888888889</v>
      </c>
      <c r="F60" s="101" t="n">
        <f aca="false">IF(ISNUMBER(INDEX(B5_SuccOvr_Sol,1,4)),INDEX(B5_SuccOvr_Sol,1,4),1/(1+(INDEX(B5_TaskLen,1,4)/(INDEX(B5_H50,1,2)*F52))^B5_Beta))</f>
        <v>0.738796125036259</v>
      </c>
      <c r="G60" s="101" t="n">
        <f aca="false">IF(ISNUMBER(INDEX(B5_SuccOvr_Sol,1,5)),INDEX(B5_SuccOvr_Sol,1,5),1/(1+(INDEX(B5_TaskLen,1,5)/(INDEX(B5_H50,1,2)*G52))^B5_Beta))</f>
        <v>0.5</v>
      </c>
    </row>
    <row r="61" customFormat="false" ht="15" hidden="false" customHeight="false" outlineLevel="0" collapsed="false">
      <c r="A61" s="6" t="s">
        <v>2273</v>
      </c>
      <c r="B61" s="62" t="s">
        <v>113</v>
      </c>
      <c r="C61" s="103" t="n">
        <f aca="false">IF(ISNUMBER(INDEX(B5_SuccOvr_Sol,1,1)),INDEX(B5_SuccOvr_Sol,1,1),1/(1+(INDEX(B5_TaskLen,1,1)/(INDEX(B5_H50,1,2)*C53))^B5_Beta))</f>
        <v>0.988943278022254</v>
      </c>
      <c r="D61" s="103" t="n">
        <f aca="false">IF(ISNUMBER(INDEX(B5_SuccOvr_Sol,1,2)),INDEX(B5_SuccOvr_Sol,1,2),1/(1+(INDEX(B5_TaskLen,1,2)/(INDEX(B5_H50,1,2)*D53))^B5_Beta))</f>
        <v>0.963963460360214</v>
      </c>
      <c r="E61" s="103" t="n">
        <f aca="false">IF(ISNUMBER(INDEX(B5_SuccOvr_Sol,1,3)),INDEX(B5_SuccOvr_Sol,1,3),1/(1+(INDEX(B5_TaskLen,1,3)/(INDEX(B5_H50,1,2)*E53))^B5_Beta))</f>
        <v>0.901693340131513</v>
      </c>
      <c r="F61" s="103" t="n">
        <f aca="false">IF(ISNUMBER(INDEX(B5_SuccOvr_Sol,1,4)),INDEX(B5_SuccOvr_Sol,1,4),1/(1+(INDEX(B5_TaskLen,1,4)/(INDEX(B5_H50,1,2)*F53))^B5_Beta))</f>
        <v>0.826293243415818</v>
      </c>
      <c r="G61" s="103" t="n">
        <f aca="false">IF(ISNUMBER(INDEX(B5_SuccOvr_Sol,1,5)),INDEX(B5_SuccOvr_Sol,1,5),1/(1+(INDEX(B5_TaskLen,1,5)/(INDEX(B5_H50,1,2)*G53))^B5_Beta))</f>
        <v>0.627115119175411</v>
      </c>
    </row>
    <row r="62" customFormat="false" ht="15" hidden="false" customHeight="false" outlineLevel="0" collapsed="false">
      <c r="A62" s="6" t="s">
        <v>2274</v>
      </c>
      <c r="B62" s="62" t="s">
        <v>113</v>
      </c>
      <c r="C62" s="103" t="n">
        <f aca="false">IF(ISNUMBER(INDEX(B5_SuccOvr_Astra,1,1)),INDEX(B5_SuccOvr_Astra,1,1),1/(1+(INDEX(B5_TaskLen,1,1)/(INDEX(B5_H50,1,3)*C51))^B5_Beta))</f>
        <v>0.993396032445753</v>
      </c>
      <c r="D62" s="103" t="n">
        <f aca="false">IF(ISNUMBER(INDEX(B5_SuccOvr_Astra,1,2)),INDEX(B5_SuccOvr_Astra,1,2),1/(1+(INDEX(B5_TaskLen,1,2)/(INDEX(B5_H50,1,3)*D51))^B5_Beta))</f>
        <v>0.978254868861662</v>
      </c>
      <c r="E62" s="103" t="n">
        <f aca="false">IF(ISNUMBER(INDEX(B5_SuccOvr_Astra,1,3)),INDEX(B5_SuccOvr_Astra,1,3),1/(1+(INDEX(B5_TaskLen,1,3)/(INDEX(B5_H50,1,3)*E51))^B5_Beta))</f>
        <v>0.930816639357101</v>
      </c>
      <c r="F62" s="103" t="n">
        <f aca="false">IF(ISNUMBER(INDEX(B5_SuccOvr_Astra,1,4)),INDEX(B5_SuccOvr_Astra,1,4),1/(1+(INDEX(B5_TaskLen,1,4)/(INDEX(B5_H50,1,3)*F51))^B5_Beta))</f>
        <v>0.826293243415818</v>
      </c>
      <c r="G62" s="103" t="n">
        <f aca="false">IF(ISNUMBER(INDEX(B5_SuccOvr_Astra,1,5)),INDEX(B5_SuccOvr_Astra,1,5),1/(1+(INDEX(B5_TaskLen,1,5)/(INDEX(B5_H50,1,3)*G51))^B5_Beta))</f>
        <v>0.627115119175411</v>
      </c>
    </row>
    <row r="63" customFormat="false" ht="15" hidden="false" customHeight="false" outlineLevel="0" collapsed="false">
      <c r="A63" s="6" t="s">
        <v>2275</v>
      </c>
      <c r="B63" s="62" t="s">
        <v>113</v>
      </c>
      <c r="C63" s="101" t="n">
        <f aca="false">IF(ISNUMBER(INDEX(B5_SuccOvr_Astra,1,1)),INDEX(B5_SuccOvr_Astra,1,1),1/(1+(INDEX(B5_TaskLen,1,1)/(INDEX(B5_H50,1,3)*C52))^B5_Beta))</f>
        <v>0.993396032445753</v>
      </c>
      <c r="D63" s="101" t="n">
        <f aca="false">IF(ISNUMBER(INDEX(B5_SuccOvr_Astra,1,2)),INDEX(B5_SuccOvr_Astra,1,2),1/(1+(INDEX(B5_TaskLen,1,2)/(INDEX(B5_H50,1,3)*D52))^B5_Beta))</f>
        <v>0.978254868861662</v>
      </c>
      <c r="E63" s="101" t="n">
        <f aca="false">IF(ISNUMBER(INDEX(B5_SuccOvr_Astra,1,3)),INDEX(B5_SuccOvr_Astra,1,3),1/(1+(INDEX(B5_TaskLen,1,3)/(INDEX(B5_H50,1,3)*E52))^B5_Beta))</f>
        <v>0.930816639357101</v>
      </c>
      <c r="F63" s="101" t="n">
        <f aca="false">IF(ISNUMBER(INDEX(B5_SuccOvr_Astra,1,4)),INDEX(B5_SuccOvr_Astra,1,4),1/(1+(INDEX(B5_TaskLen,1,4)/(INDEX(B5_H50,1,3)*F52))^B5_Beta))</f>
        <v>0.826293243415818</v>
      </c>
      <c r="G63" s="101" t="n">
        <f aca="false">IF(ISNUMBER(INDEX(B5_SuccOvr_Astra,1,5)),INDEX(B5_SuccOvr_Astra,1,5),1/(1+(INDEX(B5_TaskLen,1,5)/(INDEX(B5_H50,1,3)*G52))^B5_Beta))</f>
        <v>0.627115119175411</v>
      </c>
    </row>
    <row r="64" customFormat="false" ht="15" hidden="false" customHeight="false" outlineLevel="0" collapsed="false">
      <c r="A64" s="6" t="s">
        <v>2276</v>
      </c>
      <c r="B64" s="62" t="s">
        <v>113</v>
      </c>
      <c r="C64" s="103" t="n">
        <f aca="false">IF(ISNUMBER(INDEX(B5_SuccOvr_Astra,1,1)),INDEX(B5_SuccOvr_Astra,1,1),1/(1+(INDEX(B5_TaskLen,1,1)/(INDEX(B5_H50,1,3)*C53))^B5_Beta))</f>
        <v>0.993396032445753</v>
      </c>
      <c r="D64" s="103" t="n">
        <f aca="false">IF(ISNUMBER(INDEX(B5_SuccOvr_Astra,1,2)),INDEX(B5_SuccOvr_Astra,1,2),1/(1+(INDEX(B5_TaskLen,1,2)/(INDEX(B5_H50,1,3)*D53))^B5_Beta))</f>
        <v>0.978254868861662</v>
      </c>
      <c r="E64" s="103" t="n">
        <f aca="false">IF(ISNUMBER(INDEX(B5_SuccOvr_Astra,1,3)),INDEX(B5_SuccOvr_Astra,1,3),1/(1+(INDEX(B5_TaskLen,1,3)/(INDEX(B5_H50,1,3)*E53))^B5_Beta))</f>
        <v>0.939120259663704</v>
      </c>
      <c r="F64" s="103" t="n">
        <f aca="false">IF(ISNUMBER(INDEX(B5_SuccOvr_Astra,1,4)),INDEX(B5_SuccOvr_Astra,1,4),1/(1+(INDEX(B5_TaskLen,1,4)/(INDEX(B5_H50,1,3)*F53))^B5_Beta))</f>
        <v>0.888888888888889</v>
      </c>
      <c r="G64" s="103" t="n">
        <f aca="false">IF(ISNUMBER(INDEX(B5_SuccOvr_Astra,1,5)),INDEX(B5_SuccOvr_Astra,1,5),1/(1+(INDEX(B5_TaskLen,1,5)/(INDEX(B5_H50,1,3)*G53))^B5_Beta))</f>
        <v>0.738796125036259</v>
      </c>
    </row>
    <row r="66" customFormat="false" ht="15" hidden="false" customHeight="false" outlineLevel="0" collapsed="false">
      <c r="A66" s="76" t="s">
        <v>2277</v>
      </c>
      <c r="B66" s="70"/>
      <c r="C66" s="70"/>
      <c r="D66" s="70"/>
      <c r="E66" s="70"/>
      <c r="F66" s="70"/>
      <c r="G66" s="70"/>
      <c r="H66" s="70"/>
    </row>
    <row r="67" customFormat="false" ht="15" hidden="false" customHeight="false" outlineLevel="0" collapsed="false">
      <c r="A67" s="5" t="s">
        <v>2278</v>
      </c>
      <c r="B67" s="62" t="s">
        <v>452</v>
      </c>
      <c r="C67" s="90" t="n">
        <f aca="false">IF(ISNUMBER(Unit_Cost!M21),(C18*Unit_Cost!M19+C19*(Unit_Cost!M20+Cache_Store!M17*C48/B4_Retain)+C20*Unit_Cost!M21)/1000000,"SLO 不可達")</f>
        <v>8.55425798680921E-005</v>
      </c>
      <c r="D67" s="90" t="n">
        <f aca="false">IF(ISNUMBER(Unit_Cost!M21),(D18*Unit_Cost!M19+D19*(Unit_Cost!M20+Cache_Store!M17*D48/B4_Retain)+D20*Unit_Cost!M21)/1000000,"SLO 不可達")</f>
        <v>0.000555064372931353</v>
      </c>
      <c r="E67" s="90" t="n">
        <f aca="false">IF(ISNUMBER(Unit_Cost!M21),(E18*Unit_Cost!M19+E19*(Unit_Cost!M20+Cache_Store!M17*E48/B4_Retain)+E20*Unit_Cost!M21)/1000000,"SLO 不可達")</f>
        <v>0.000408718907241998</v>
      </c>
      <c r="F67" s="90" t="n">
        <f aca="false">IF(ISNUMBER(Unit_Cost!M21),(F18*Unit_Cost!M19+F19*(Unit_Cost!M20+Cache_Store!M17*F48/B4_Retain)+F20*Unit_Cost!M21)/1000000,"SLO 不可達")</f>
        <v>0.00163487562896799</v>
      </c>
      <c r="G67" s="90" t="n">
        <f aca="false">IF(ISNUMBER(Unit_Cost!M21),(G18*Unit_Cost!M19+G19*(Unit_Cost!M20+Cache_Store!M17*G48/B4_Retain)+G20*Unit_Cost!M21)/1000000,"SLO 不可達")</f>
        <v>0.00611395715580883</v>
      </c>
    </row>
    <row r="68" customFormat="false" ht="15" hidden="false" customHeight="false" outlineLevel="0" collapsed="false">
      <c r="A68" s="5" t="s">
        <v>2279</v>
      </c>
      <c r="B68" s="62" t="s">
        <v>452</v>
      </c>
      <c r="C68" s="90" t="n">
        <f aca="false">IF(ISNUMBER(Unit_Cost!M21),(C41*Unit_Cost!M19+C42*(Unit_Cost!M20+Cache_Store!M17*C49/B4_Retain)+C43*Unit_Cost!M21)/1000000,"SLO 不可達")</f>
        <v>8.55425798680921E-005</v>
      </c>
      <c r="D68" s="90" t="n">
        <f aca="false">IF(ISNUMBER(Unit_Cost!M21),(D41*Unit_Cost!M19+D42*(Unit_Cost!M20+Cache_Store!M17*D49/B4_Retain)+D43*Unit_Cost!M21)/1000000,"SLO 不可達")</f>
        <v>0.000555064372931353</v>
      </c>
      <c r="E68" s="90" t="n">
        <f aca="false">IF(ISNUMBER(Unit_Cost!M21),(E41*Unit_Cost!M19+E42*(Unit_Cost!M20+Cache_Store!M17*E49/B4_Retain)+E43*Unit_Cost!M21)/1000000,"SLO 不可達")</f>
        <v>0.000408718907241998</v>
      </c>
      <c r="F68" s="90" t="n">
        <f aca="false">IF(ISNUMBER(Unit_Cost!M21),(F41*Unit_Cost!M19+F42*(Unit_Cost!M20+Cache_Store!M17*F49/B4_Retain)+F43*Unit_Cost!M21)/1000000,"SLO 不可達")</f>
        <v>0.00163487562896799</v>
      </c>
      <c r="G68" s="90" t="n">
        <f aca="false">IF(ISNUMBER(Unit_Cost!M21),(G41*Unit_Cost!M19+G42*(Unit_Cost!M20+Cache_Store!M17*G49/B4_Retain)+G43*Unit_Cost!M21)/1000000,"SLO 不可達")</f>
        <v>0.00611395715580883</v>
      </c>
    </row>
    <row r="69" customFormat="false" ht="15" hidden="false" customHeight="false" outlineLevel="0" collapsed="false">
      <c r="A69" s="5" t="s">
        <v>2280</v>
      </c>
      <c r="B69" s="62" t="s">
        <v>452</v>
      </c>
      <c r="C69" s="90" t="n">
        <f aca="false">IF(ISNUMBER(Unit_Cost!M21),(C35*Unit_Cost!M19+C36*(Unit_Cost!M20+Cache_Store!M17*C50/B4_Retain)+C37*Unit_Cost!M21)/1000000,"SLO 不可達")</f>
        <v>8.55425798680921E-005</v>
      </c>
      <c r="D69" s="90" t="n">
        <f aca="false">IF(ISNUMBER(Unit_Cost!M21),(D35*Unit_Cost!M19+D36*(Unit_Cost!M20+Cache_Store!M17*D50/B4_Retain)+D37*Unit_Cost!M21)/1000000,"SLO 不可達")</f>
        <v>0.000555064372931353</v>
      </c>
      <c r="E69" s="90" t="n">
        <f aca="false">IF(ISNUMBER(Unit_Cost!M21),(E35*Unit_Cost!M19+E36*(Unit_Cost!M20+Cache_Store!M17*E50/B4_Retain)+E37*Unit_Cost!M21)/1000000,"SLO 不可達")</f>
        <v>0.00025171065611765</v>
      </c>
      <c r="F69" s="90" t="n">
        <f aca="false">IF(ISNUMBER(Unit_Cost!M21),(F35*Unit_Cost!M19+F36*(Unit_Cost!M20+Cache_Store!M17*F50/B4_Retain)+F37*Unit_Cost!M21)/1000000,"SLO 不可達")</f>
        <v>0.0010068426244706</v>
      </c>
      <c r="G69" s="90" t="n">
        <f aca="false">IF(ISNUMBER(Unit_Cost!M21),(G35*Unit_Cost!M19+G36*(Unit_Cost!M20+Cache_Store!M17*G50/B4_Retain)+G37*Unit_Cost!M21)/1000000,"SLO 不可達")</f>
        <v>0.00369800726107797</v>
      </c>
    </row>
    <row r="70" customFormat="false" ht="15" hidden="false" customHeight="false" outlineLevel="0" collapsed="false">
      <c r="A70" s="5" t="s">
        <v>2281</v>
      </c>
      <c r="B70" s="62" t="s">
        <v>452</v>
      </c>
      <c r="C70" s="90" t="n">
        <f aca="false">IF(ISNUMBER(Unit_Cost!M34),(C18*Unit_Cost!M32+C19*(Unit_Cost!M33+Cache_Store!M23*C48/B4_Retain)+C20*Unit_Cost!M34)/1000000,"SLO 不可達")</f>
        <v>0.000279150469620371</v>
      </c>
      <c r="D70" s="90" t="n">
        <f aca="false">IF(ISNUMBER(Unit_Cost!M34),(D18*Unit_Cost!M32+D19*(Unit_Cost!M33+Cache_Store!M23*D48/B4_Retain)+D20*Unit_Cost!M34)/1000000,"SLO 不可達")</f>
        <v>0.00179615036783932</v>
      </c>
      <c r="E70" s="90" t="n">
        <f aca="false">IF(ISNUMBER(Unit_Cost!M34),(E18*Unit_Cost!M32+E19*(Unit_Cost!M33+Cache_Store!M23*E48/B4_Retain)+E20*Unit_Cost!M34)/1000000,"SLO 不可達")</f>
        <v>0.00133128568937352</v>
      </c>
      <c r="F70" s="90" t="n">
        <f aca="false">IF(ISNUMBER(Unit_Cost!M34),(F18*Unit_Cost!M32+F19*(Unit_Cost!M33+Cache_Store!M23*F48/B4_Retain)+F20*Unit_Cost!M34)/1000000,"SLO 不可達")</f>
        <v>0.00532514275749409</v>
      </c>
      <c r="G70" s="90" t="n">
        <f aca="false">IF(ISNUMBER(Unit_Cost!M34),(G18*Unit_Cost!M32+G19*(Unit_Cost!M33+Cache_Store!M23*G48/B4_Retain)+G20*Unit_Cost!M34)/1000000,"SLO 不可達")</f>
        <v>0.0199695414802569</v>
      </c>
    </row>
    <row r="71" customFormat="false" ht="15" hidden="false" customHeight="false" outlineLevel="0" collapsed="false">
      <c r="A71" s="5" t="s">
        <v>2282</v>
      </c>
      <c r="B71" s="62" t="s">
        <v>452</v>
      </c>
      <c r="C71" s="90" t="n">
        <f aca="false">IF(ISNUMBER(Unit_Cost!M34),(C41*Unit_Cost!M32+C42*(Unit_Cost!M33+Cache_Store!M23*C49/B4_Retain)+C43*Unit_Cost!M34)/1000000,"SLO 不可達")</f>
        <v>0.000279150469620371</v>
      </c>
      <c r="D71" s="90" t="n">
        <f aca="false">IF(ISNUMBER(Unit_Cost!M34),(D41*Unit_Cost!M32+D42*(Unit_Cost!M33+Cache_Store!M23*D49/B4_Retain)+D43*Unit_Cost!M34)/1000000,"SLO 不可達")</f>
        <v>0.00179615036783932</v>
      </c>
      <c r="E71" s="90" t="n">
        <f aca="false">IF(ISNUMBER(Unit_Cost!M34),(E41*Unit_Cost!M32+E42*(Unit_Cost!M33+Cache_Store!M23*E49/B4_Retain)+E43*Unit_Cost!M34)/1000000,"SLO 不可達")</f>
        <v>0.00133128568937352</v>
      </c>
      <c r="F71" s="90" t="n">
        <f aca="false">IF(ISNUMBER(Unit_Cost!M34),(F41*Unit_Cost!M32+F42*(Unit_Cost!M33+Cache_Store!M23*F49/B4_Retain)+F43*Unit_Cost!M34)/1000000,"SLO 不可達")</f>
        <v>0.00532514275749409</v>
      </c>
      <c r="G71" s="90" t="n">
        <f aca="false">IF(ISNUMBER(Unit_Cost!M34),(G41*Unit_Cost!M32+G42*(Unit_Cost!M33+Cache_Store!M23*G49/B4_Retain)+G43*Unit_Cost!M34)/1000000,"SLO 不可達")</f>
        <v>0.0199695414802569</v>
      </c>
    </row>
    <row r="72" customFormat="false" ht="15" hidden="false" customHeight="false" outlineLevel="0" collapsed="false">
      <c r="A72" s="5" t="s">
        <v>2283</v>
      </c>
      <c r="B72" s="62" t="s">
        <v>452</v>
      </c>
      <c r="C72" s="90" t="n">
        <f aca="false">IF(ISNUMBER(Unit_Cost!M34),(C35*Unit_Cost!M32+C36*(Unit_Cost!M33+Cache_Store!M23*C50/B4_Retain)+C37*Unit_Cost!M34)/1000000,"SLO 不可達")</f>
        <v>0.000279150469620371</v>
      </c>
      <c r="D72" s="90" t="n">
        <f aca="false">IF(ISNUMBER(Unit_Cost!M34),(D35*Unit_Cost!M32+D36*(Unit_Cost!M33+Cache_Store!M23*D50/B4_Retain)+D37*Unit_Cost!M34)/1000000,"SLO 不可達")</f>
        <v>0.00179615036783932</v>
      </c>
      <c r="E72" s="90" t="n">
        <f aca="false">IF(ISNUMBER(Unit_Cost!M34),(E35*Unit_Cost!M32+E36*(Unit_Cost!M33+Cache_Store!M23*E50/B4_Retain)+E37*Unit_Cost!M34)/1000000,"SLO 不可達")</f>
        <v>0.000818832106057835</v>
      </c>
      <c r="F72" s="90" t="n">
        <f aca="false">IF(ISNUMBER(Unit_Cost!M34),(F35*Unit_Cost!M32+F36*(Unit_Cost!M33+Cache_Store!M23*F50/B4_Retain)+F37*Unit_Cost!M34)/1000000,"SLO 不可達")</f>
        <v>0.00327532842423134</v>
      </c>
      <c r="G72" s="90" t="n">
        <f aca="false">IF(ISNUMBER(Unit_Cost!M34),(G35*Unit_Cost!M32+G36*(Unit_Cost!M33+Cache_Store!M23*G50/B4_Retain)+G37*Unit_Cost!M34)/1000000,"SLO 不可達")</f>
        <v>0.0119741376990666</v>
      </c>
    </row>
    <row r="73" customFormat="false" ht="15" hidden="false" customHeight="false" outlineLevel="0" collapsed="false">
      <c r="A73" s="5" t="s">
        <v>2284</v>
      </c>
      <c r="B73" s="62" t="s">
        <v>452</v>
      </c>
      <c r="C73" s="90" t="n">
        <f aca="false">IF(ISNUMBER(Unit_Cost!M47),(C18*Unit_Cost!M45+C19*(Unit_Cost!M46+Cache_Store!M29*C48/B4_Retain)+C20*Unit_Cost!M47)/1000000,"SLO 不可達")</f>
        <v>0.00129059787362528</v>
      </c>
      <c r="D73" s="90" t="n">
        <f aca="false">IF(ISNUMBER(Unit_Cost!M47),(D18*Unit_Cost!M45+D19*(Unit_Cost!M46+Cache_Store!M29*D48/B4_Retain)+D20*Unit_Cost!M47)/1000000,"SLO 不可達")</f>
        <v>0.00864850878262003</v>
      </c>
      <c r="E73" s="90" t="n">
        <f aca="false">IF(ISNUMBER(Unit_Cost!M47),(E18*Unit_Cost!M45+E19*(Unit_Cost!M46+Cache_Store!M29*E48/B4_Retain)+E20*Unit_Cost!M47)/1000000,"SLO 不可達")</f>
        <v>0.00618243262338703</v>
      </c>
      <c r="F73" s="90" t="n">
        <f aca="false">IF(ISNUMBER(Unit_Cost!M47),(F18*Unit_Cost!M45+F19*(Unit_Cost!M46+Cache_Store!M29*F48/B4_Retain)+F20*Unit_Cost!M47)/1000000,"SLO 不可達")</f>
        <v>0.0247297304935481</v>
      </c>
      <c r="G73" s="90" t="n">
        <f aca="false">IF(ISNUMBER(Unit_Cost!M47),(G18*Unit_Cost!M45+G19*(Unit_Cost!M46+Cache_Store!M29*G48/B4_Retain)+G20*Unit_Cost!M47)/1000000,"SLO 不可達")</f>
        <v>0.0895589632485757</v>
      </c>
    </row>
    <row r="74" customFormat="false" ht="15" hidden="false" customHeight="false" outlineLevel="0" collapsed="false">
      <c r="A74" s="5" t="s">
        <v>2285</v>
      </c>
      <c r="B74" s="62" t="s">
        <v>452</v>
      </c>
      <c r="C74" s="90" t="n">
        <f aca="false">IF(ISNUMBER(Unit_Cost!M47),(C41*Unit_Cost!M45+C42*(Unit_Cost!M46+Cache_Store!M29*C49/B4_Retain)+C43*Unit_Cost!M47)/1000000,"SLO 不可達")</f>
        <v>0.00129059787362528</v>
      </c>
      <c r="D74" s="90" t="n">
        <f aca="false">IF(ISNUMBER(Unit_Cost!M47),(D41*Unit_Cost!M45+D42*(Unit_Cost!M46+Cache_Store!M29*D49/B4_Retain)+D43*Unit_Cost!M47)/1000000,"SLO 不可達")</f>
        <v>0.00864850878262003</v>
      </c>
      <c r="E74" s="90" t="n">
        <f aca="false">IF(ISNUMBER(Unit_Cost!M47),(E41*Unit_Cost!M45+E42*(Unit_Cost!M46+Cache_Store!M29*E49/B4_Retain)+E43*Unit_Cost!M47)/1000000,"SLO 不可達")</f>
        <v>0.00618243262338703</v>
      </c>
      <c r="F74" s="90" t="n">
        <f aca="false">IF(ISNUMBER(Unit_Cost!M47),(F41*Unit_Cost!M45+F42*(Unit_Cost!M46+Cache_Store!M29*F49/B4_Retain)+F43*Unit_Cost!M47)/1000000,"SLO 不可達")</f>
        <v>0.0247297304935481</v>
      </c>
      <c r="G74" s="90" t="n">
        <f aca="false">IF(ISNUMBER(Unit_Cost!M47),(G41*Unit_Cost!M45+G42*(Unit_Cost!M46+Cache_Store!M29*G49/B4_Retain)+G43*Unit_Cost!M47)/1000000,"SLO 不可達")</f>
        <v>0.0895589632485757</v>
      </c>
    </row>
    <row r="75" customFormat="false" ht="15" hidden="false" customHeight="false" outlineLevel="0" collapsed="false">
      <c r="A75" s="5" t="s">
        <v>2286</v>
      </c>
      <c r="B75" s="62" t="s">
        <v>452</v>
      </c>
      <c r="C75" s="90" t="n">
        <f aca="false">IF(ISNUMBER(Unit_Cost!M47),(C35*Unit_Cost!M45+C36*(Unit_Cost!M46+Cache_Store!M29*C50/B4_Retain)+C37*Unit_Cost!M47)/1000000,"SLO 不可達")</f>
        <v>0.00129059787362528</v>
      </c>
      <c r="D75" s="90" t="n">
        <f aca="false">IF(ISNUMBER(Unit_Cost!M47),(D35*Unit_Cost!M45+D36*(Unit_Cost!M46+Cache_Store!M29*D50/B4_Retain)+D37*Unit_Cost!M47)/1000000,"SLO 不可達")</f>
        <v>0.00864850878262003</v>
      </c>
      <c r="E75" s="90" t="n">
        <f aca="false">IF(ISNUMBER(Unit_Cost!M47),(E35*Unit_Cost!M45+E36*(Unit_Cost!M46+Cache_Store!M29*E50/B4_Retain)+E37*Unit_Cost!M47)/1000000,"SLO 不可達")</f>
        <v>0.00380208503570979</v>
      </c>
      <c r="F75" s="90" t="n">
        <f aca="false">IF(ISNUMBER(Unit_Cost!M47),(F35*Unit_Cost!M45+F36*(Unit_Cost!M46+Cache_Store!M29*F50/B4_Retain)+F37*Unit_Cost!M47)/1000000,"SLO 不可達")</f>
        <v>0.0152083401428392</v>
      </c>
      <c r="G75" s="90" t="n">
        <f aca="false">IF(ISNUMBER(Unit_Cost!M47),(G35*Unit_Cost!M45+G36*(Unit_Cost!M46+Cache_Store!M29*G50/B4_Retain)+G37*Unit_Cost!M47)/1000000,"SLO 不可達")</f>
        <v>0.0547838751770541</v>
      </c>
    </row>
    <row r="76" customFormat="false" ht="15" hidden="false" customHeight="false" outlineLevel="0" collapsed="false">
      <c r="A76" s="5" t="s">
        <v>2287</v>
      </c>
      <c r="B76" s="62" t="s">
        <v>452</v>
      </c>
      <c r="C76" s="90" t="n">
        <f aca="false">IF(ISNUMBER(Unit_Cost!J21),(C18*Unit_Cost!J19+C19*(Unit_Cost!J20+Cache_Store!J17*C48/B4_Retain)+C20*Unit_Cost!J21)/1000000,"SLO 不可達")</f>
        <v>0.000109935098198099</v>
      </c>
      <c r="D76" s="90" t="n">
        <f aca="false">IF(ISNUMBER(Unit_Cost!J21),(D18*Unit_Cost!J19+D19*(Unit_Cost!J20+Cache_Store!J17*D48/B4_Retain)+D20*Unit_Cost!J21)/1000000,"SLO 不可達")</f>
        <v>0.000716797711690633</v>
      </c>
      <c r="E76" s="90" t="n">
        <f aca="false">IF(ISNUMBER(Unit_Cost!J21),(E18*Unit_Cost!J19+E19*(Unit_Cost!J20+Cache_Store!J17*E48/B4_Retain)+E20*Unit_Cost!J21)/1000000,"SLO 不可達")</f>
        <v>0.00052470052884374</v>
      </c>
      <c r="F76" s="90" t="n">
        <f aca="false">IF(ISNUMBER(Unit_Cost!J21),(F18*Unit_Cost!J19+F19*(Unit_Cost!J20+Cache_Store!J17*F48/B4_Retain)+F20*Unit_Cost!J21)/1000000,"SLO 不可達")</f>
        <v>0.00209880211537496</v>
      </c>
      <c r="G76" s="90" t="n">
        <f aca="false">IF(ISNUMBER(Unit_Cost!J21),(G18*Unit_Cost!J19+G19*(Unit_Cost!J20+Cache_Store!J17*G48/B4_Retain)+G20*Unit_Cost!J21)/1000000,"SLO 不可達")</f>
        <v>0.00776074387218268</v>
      </c>
    </row>
    <row r="77" customFormat="false" ht="15" hidden="false" customHeight="false" outlineLevel="0" collapsed="false">
      <c r="A77" s="5" t="s">
        <v>2288</v>
      </c>
      <c r="B77" s="62" t="s">
        <v>452</v>
      </c>
      <c r="C77" s="90" t="n">
        <f aca="false">IF(ISNUMBER(Unit_Cost!J21),(C41*Unit_Cost!J19+C42*(Unit_Cost!J20+Cache_Store!J17*C49/B4_Retain)+C43*Unit_Cost!J21)/1000000,"SLO 不可達")</f>
        <v>0.000109935098198099</v>
      </c>
      <c r="D77" s="90" t="n">
        <f aca="false">IF(ISNUMBER(Unit_Cost!J21),(D41*Unit_Cost!J19+D42*(Unit_Cost!J20+Cache_Store!J17*D49/B4_Retain)+D43*Unit_Cost!J21)/1000000,"SLO 不可達")</f>
        <v>0.000716797711690633</v>
      </c>
      <c r="E77" s="90" t="n">
        <f aca="false">IF(ISNUMBER(Unit_Cost!J21),(E41*Unit_Cost!J19+E42*(Unit_Cost!J20+Cache_Store!J17*E49/B4_Retain)+E43*Unit_Cost!J21)/1000000,"SLO 不可達")</f>
        <v>0.00052470052884374</v>
      </c>
      <c r="F77" s="90" t="n">
        <f aca="false">IF(ISNUMBER(Unit_Cost!J21),(F41*Unit_Cost!J19+F42*(Unit_Cost!J20+Cache_Store!J17*F49/B4_Retain)+F43*Unit_Cost!J21)/1000000,"SLO 不可達")</f>
        <v>0.00209880211537496</v>
      </c>
      <c r="G77" s="90" t="n">
        <f aca="false">IF(ISNUMBER(Unit_Cost!J21),(G41*Unit_Cost!J19+G42*(Unit_Cost!J20+Cache_Store!J17*G49/B4_Retain)+G43*Unit_Cost!J21)/1000000,"SLO 不可達")</f>
        <v>0.00776074387218268</v>
      </c>
    </row>
    <row r="78" customFormat="false" ht="15" hidden="false" customHeight="false" outlineLevel="0" collapsed="false">
      <c r="A78" s="5" t="s">
        <v>2289</v>
      </c>
      <c r="B78" s="62" t="s">
        <v>452</v>
      </c>
      <c r="C78" s="90" t="n">
        <f aca="false">IF(ISNUMBER(Unit_Cost!J21),(C35*Unit_Cost!J19+C36*(Unit_Cost!J20+Cache_Store!J17*C50/B4_Retain)+C37*Unit_Cost!J21)/1000000,"SLO 不可達")</f>
        <v>0.000109935098198099</v>
      </c>
      <c r="D78" s="90" t="n">
        <f aca="false">IF(ISNUMBER(Unit_Cost!J21),(D35*Unit_Cost!J19+D36*(Unit_Cost!J20+Cache_Store!J17*D50/B4_Retain)+D37*Unit_Cost!J21)/1000000,"SLO 不可達")</f>
        <v>0.000716797711690633</v>
      </c>
      <c r="E78" s="90" t="n">
        <f aca="false">IF(ISNUMBER(Unit_Cost!J21),(E35*Unit_Cost!J19+E36*(Unit_Cost!J20+Cache_Store!J17*E50/B4_Retain)+E37*Unit_Cost!J21)/1000000,"SLO 不可達")</f>
        <v>0.000322795950305773</v>
      </c>
      <c r="F78" s="90" t="n">
        <f aca="false">IF(ISNUMBER(Unit_Cost!J21),(F35*Unit_Cost!J19+F36*(Unit_Cost!J20+Cache_Store!J17*F50/B4_Retain)+F37*Unit_Cost!J21)/1000000,"SLO 不可達")</f>
        <v>0.00129118380122309</v>
      </c>
      <c r="G78" s="90" t="n">
        <f aca="false">IF(ISNUMBER(Unit_Cost!J21),(G35*Unit_Cost!J19+G36*(Unit_Cost!J20+Cache_Store!J17*G50/B4_Retain)+G37*Unit_Cost!J21)/1000000,"SLO 不可達")</f>
        <v>0.00468988602096294</v>
      </c>
    </row>
    <row r="79" customFormat="false" ht="15" hidden="false" customHeight="false" outlineLevel="0" collapsed="false">
      <c r="A79" s="5" t="s">
        <v>2290</v>
      </c>
      <c r="B79" s="62" t="s">
        <v>452</v>
      </c>
      <c r="C79" s="90" t="n">
        <f aca="false">IF(ISNUMBER(Unit_Cost!J34),(C18*Unit_Cost!J32+C19*(Unit_Cost!J33+Cache_Store!J23*C48/B4_Retain)+C20*Unit_Cost!J34)/1000000,"SLO 不可達")</f>
        <v>0.00037413323584002</v>
      </c>
      <c r="D79" s="90" t="n">
        <f aca="false">IF(ISNUMBER(Unit_Cost!J34),(D18*Unit_Cost!J32+D19*(Unit_Cost!J33+Cache_Store!J23*D48/B4_Retain)+D20*Unit_Cost!J34)/1000000,"SLO 不可達")</f>
        <v>0.00243349226818212</v>
      </c>
      <c r="E79" s="90" t="n">
        <f aca="false">IF(ISNUMBER(Unit_Cost!J34),(E18*Unit_Cost!J32+E19*(Unit_Cost!J33+Cache_Store!J23*E48/B4_Retain)+E20*Unit_Cost!J34)/1000000,"SLO 不可達")</f>
        <v>0.00178418019626706</v>
      </c>
      <c r="F79" s="90" t="n">
        <f aca="false">IF(ISNUMBER(Unit_Cost!J34),(F18*Unit_Cost!J32+F19*(Unit_Cost!J33+Cache_Store!J23*F48/B4_Retain)+F20*Unit_Cost!J34)/1000000,"SLO 不可達")</f>
        <v>0.00713672078506823</v>
      </c>
      <c r="G79" s="90" t="n">
        <f aca="false">IF(ISNUMBER(Unit_Cost!J34),(G18*Unit_Cost!J32+G19*(Unit_Cost!J33+Cache_Store!J23*G48/B4_Retain)+G20*Unit_Cost!J34)/1000000,"SLO 不可達")</f>
        <v>0.0263758138384536</v>
      </c>
    </row>
    <row r="80" customFormat="false" ht="15" hidden="false" customHeight="false" outlineLevel="0" collapsed="false">
      <c r="A80" s="5" t="s">
        <v>2291</v>
      </c>
      <c r="B80" s="62" t="s">
        <v>452</v>
      </c>
      <c r="C80" s="90" t="n">
        <f aca="false">IF(ISNUMBER(Unit_Cost!J34),(C41*Unit_Cost!J32+C42*(Unit_Cost!J33+Cache_Store!J23*C49/B4_Retain)+C43*Unit_Cost!J34)/1000000,"SLO 不可達")</f>
        <v>0.00037413323584002</v>
      </c>
      <c r="D80" s="90" t="n">
        <f aca="false">IF(ISNUMBER(Unit_Cost!J34),(D41*Unit_Cost!J32+D42*(Unit_Cost!J33+Cache_Store!J23*D49/B4_Retain)+D43*Unit_Cost!J34)/1000000,"SLO 不可達")</f>
        <v>0.00243349226818212</v>
      </c>
      <c r="E80" s="90" t="n">
        <f aca="false">IF(ISNUMBER(Unit_Cost!J34),(E41*Unit_Cost!J32+E42*(Unit_Cost!J33+Cache_Store!J23*E49/B4_Retain)+E43*Unit_Cost!J34)/1000000,"SLO 不可達")</f>
        <v>0.00178418019626706</v>
      </c>
      <c r="F80" s="90" t="n">
        <f aca="false">IF(ISNUMBER(Unit_Cost!J34),(F41*Unit_Cost!J32+F42*(Unit_Cost!J33+Cache_Store!J23*F49/B4_Retain)+F43*Unit_Cost!J34)/1000000,"SLO 不可達")</f>
        <v>0.00713672078506823</v>
      </c>
      <c r="G80" s="90" t="n">
        <f aca="false">IF(ISNUMBER(Unit_Cost!J34),(G41*Unit_Cost!J32+G42*(Unit_Cost!J33+Cache_Store!J23*G49/B4_Retain)+G43*Unit_Cost!J34)/1000000,"SLO 不可達")</f>
        <v>0.0263758138384536</v>
      </c>
    </row>
    <row r="81" customFormat="false" ht="15" hidden="false" customHeight="false" outlineLevel="0" collapsed="false">
      <c r="A81" s="5" t="s">
        <v>2292</v>
      </c>
      <c r="B81" s="62" t="s">
        <v>452</v>
      </c>
      <c r="C81" s="90" t="n">
        <f aca="false">IF(ISNUMBER(Unit_Cost!J34),(C35*Unit_Cost!J32+C36*(Unit_Cost!J33+Cache_Store!J23*C50/B4_Retain)+C37*Unit_Cost!J34)/1000000,"SLO 不可達")</f>
        <v>0.00037413323584002</v>
      </c>
      <c r="D81" s="90" t="n">
        <f aca="false">IF(ISNUMBER(Unit_Cost!J34),(D35*Unit_Cost!J32+D36*(Unit_Cost!J33+Cache_Store!J23*D50/B4_Retain)+D37*Unit_Cost!J34)/1000000,"SLO 不可達")</f>
        <v>0.00243349226818212</v>
      </c>
      <c r="E81" s="90" t="n">
        <f aca="false">IF(ISNUMBER(Unit_Cost!J34),(E35*Unit_Cost!J32+E36*(Unit_Cost!J33+Cache_Store!J23*E50/B4_Retain)+E37*Unit_Cost!J34)/1000000,"SLO 不可達")</f>
        <v>0.0010960476302489</v>
      </c>
      <c r="F81" s="90" t="n">
        <f aca="false">IF(ISNUMBER(Unit_Cost!J34),(F35*Unit_Cost!J32+F36*(Unit_Cost!J33+Cache_Store!J23*F50/B4_Retain)+F37*Unit_Cost!J34)/1000000,"SLO 不可達")</f>
        <v>0.00438419052099561</v>
      </c>
      <c r="G81" s="90" t="n">
        <f aca="false">IF(ISNUMBER(Unit_Cost!J34),(G35*Unit_Cost!J32+G36*(Unit_Cost!J33+Cache_Store!J23*G50/B4_Retain)+G37*Unit_Cost!J34)/1000000,"SLO 不可達")</f>
        <v>0.0158320551845873</v>
      </c>
    </row>
    <row r="82" customFormat="false" ht="15" hidden="false" customHeight="false" outlineLevel="0" collapsed="false">
      <c r="A82" s="5" t="s">
        <v>2293</v>
      </c>
      <c r="B82" s="62" t="s">
        <v>452</v>
      </c>
      <c r="C82" s="90" t="n">
        <f aca="false">IF(ISNUMBER(Unit_Cost!J47),(C18*Unit_Cost!J45+C19*(Unit_Cost!J46+Cache_Store!J29*C48/B4_Retain)+C20*Unit_Cost!J47)/1000000,"SLO 不可達")</f>
        <v>0.00204604987491247</v>
      </c>
      <c r="D82" s="90" t="n">
        <f aca="false">IF(ISNUMBER(Unit_Cost!J47),(D18*Unit_Cost!J45+D19*(Unit_Cost!J46+Cache_Store!J29*D48/B4_Retain)+D20*Unit_Cost!J47)/1000000,"SLO 不可達")</f>
        <v>0.0140243982558583</v>
      </c>
      <c r="E82" s="90" t="n">
        <f aca="false">IF(ISNUMBER(Unit_Cost!J47),(E18*Unit_Cost!J45+E19*(Unit_Cost!J46+Cache_Store!J29*E48/B4_Retain)+E20*Unit_Cost!J47)/1000000,"SLO 不可達")</f>
        <v>0.00979234689422104</v>
      </c>
      <c r="F82" s="90" t="n">
        <f aca="false">IF(ISNUMBER(Unit_Cost!J47),(F18*Unit_Cost!J45+F19*(Unit_Cost!J46+Cache_Store!J29*F48/B4_Retain)+F20*Unit_Cost!J47)/1000000,"SLO 不可達")</f>
        <v>0.0391693875768842</v>
      </c>
      <c r="G82" s="90" t="n">
        <f aca="false">IF(ISNUMBER(Unit_Cost!J47),(G18*Unit_Cost!J45+G19*(Unit_Cost!J46+Cache_Store!J29*G48/B4_Retain)+G20*Unit_Cost!J47)/1000000,"SLO 不可達")</f>
        <v>0.136679784615998</v>
      </c>
    </row>
    <row r="83" customFormat="false" ht="15" hidden="false" customHeight="false" outlineLevel="0" collapsed="false">
      <c r="A83" s="5" t="s">
        <v>2294</v>
      </c>
      <c r="B83" s="62" t="s">
        <v>452</v>
      </c>
      <c r="C83" s="90" t="n">
        <f aca="false">IF(ISNUMBER(Unit_Cost!J47),(C41*Unit_Cost!J45+C42*(Unit_Cost!J46+Cache_Store!J29*C49/B4_Retain)+C43*Unit_Cost!J47)/1000000,"SLO 不可達")</f>
        <v>0.00204604987491247</v>
      </c>
      <c r="D83" s="90" t="n">
        <f aca="false">IF(ISNUMBER(Unit_Cost!J47),(D41*Unit_Cost!J45+D42*(Unit_Cost!J46+Cache_Store!J29*D49/B4_Retain)+D43*Unit_Cost!J47)/1000000,"SLO 不可達")</f>
        <v>0.0140243982558583</v>
      </c>
      <c r="E83" s="90" t="n">
        <f aca="false">IF(ISNUMBER(Unit_Cost!J47),(E41*Unit_Cost!J45+E42*(Unit_Cost!J46+Cache_Store!J29*E49/B4_Retain)+E43*Unit_Cost!J47)/1000000,"SLO 不可達")</f>
        <v>0.00979234689422104</v>
      </c>
      <c r="F83" s="90" t="n">
        <f aca="false">IF(ISNUMBER(Unit_Cost!J47),(F41*Unit_Cost!J45+F42*(Unit_Cost!J46+Cache_Store!J29*F49/B4_Retain)+F43*Unit_Cost!J47)/1000000,"SLO 不可達")</f>
        <v>0.0391693875768842</v>
      </c>
      <c r="G83" s="90" t="n">
        <f aca="false">IF(ISNUMBER(Unit_Cost!J47),(G41*Unit_Cost!J45+G42*(Unit_Cost!J46+Cache_Store!J29*G49/B4_Retain)+G43*Unit_Cost!J47)/1000000,"SLO 不可達")</f>
        <v>0.136679784615998</v>
      </c>
    </row>
    <row r="84" customFormat="false" ht="15" hidden="false" customHeight="false" outlineLevel="0" collapsed="false">
      <c r="A84" s="5" t="s">
        <v>2295</v>
      </c>
      <c r="B84" s="62" t="s">
        <v>452</v>
      </c>
      <c r="C84" s="90" t="n">
        <f aca="false">IF(ISNUMBER(Unit_Cost!J47),(C35*Unit_Cost!J45+C36*(Unit_Cost!J46+Cache_Store!J29*C50/B4_Retain)+C37*Unit_Cost!J47)/1000000,"SLO 不可達")</f>
        <v>0.00204604987491247</v>
      </c>
      <c r="D84" s="90" t="n">
        <f aca="false">IF(ISNUMBER(Unit_Cost!J47),(D35*Unit_Cost!J45+D36*(Unit_Cost!J46+Cache_Store!J29*D50/B4_Retain)+D37*Unit_Cost!J47)/1000000,"SLO 不可達")</f>
        <v>0.0140243982558583</v>
      </c>
      <c r="E84" s="90" t="n">
        <f aca="false">IF(ISNUMBER(Unit_Cost!J47),(E35*Unit_Cost!J45+E36*(Unit_Cost!J46+Cache_Store!J29*E50/B4_Retain)+E37*Unit_Cost!J47)/1000000,"SLO 不可達")</f>
        <v>0.00600064836424543</v>
      </c>
      <c r="F84" s="90" t="n">
        <f aca="false">IF(ISNUMBER(Unit_Cost!J47),(F35*Unit_Cost!J45+F36*(Unit_Cost!J46+Cache_Store!J29*F50/B4_Retain)+F37*Unit_Cost!J47)/1000000,"SLO 不可達")</f>
        <v>0.0240025934569817</v>
      </c>
      <c r="G84" s="90" t="n">
        <f aca="false">IF(ISNUMBER(Unit_Cost!J47),(G35*Unit_Cost!J45+G36*(Unit_Cost!J46+Cache_Store!J29*G50/B4_Retain)+G37*Unit_Cost!J47)/1000000,"SLO 不可達")</f>
        <v>0.0835955433723595</v>
      </c>
    </row>
    <row r="86" customFormat="false" ht="15" hidden="false" customHeight="false" outlineLevel="0" collapsed="false">
      <c r="A86" s="76" t="s">
        <v>2296</v>
      </c>
      <c r="B86" s="70"/>
      <c r="C86" s="70"/>
      <c r="D86" s="70"/>
      <c r="E86" s="70"/>
      <c r="F86" s="70"/>
      <c r="G86" s="70"/>
      <c r="H86" s="70"/>
    </row>
    <row r="87" customFormat="false" ht="15" hidden="false" customHeight="false" outlineLevel="0" collapsed="false">
      <c r="A87" s="5" t="s">
        <v>2297</v>
      </c>
      <c r="B87" s="62" t="s">
        <v>452</v>
      </c>
      <c r="C87" s="172" t="n">
        <f aca="false">IF(AND(ISNUMBER(C67),C56&gt;0),C67/C56,"SLO 不可達")</f>
        <v>8.8899077896421E-005</v>
      </c>
      <c r="D87" s="172" t="n">
        <f aca="false">IF(AND(ISNUMBER(D67),D56&gt;0),D67/D56,"SLO 不可達")</f>
        <v>0.000627888436452441</v>
      </c>
      <c r="E87" s="172" t="n">
        <f aca="false">IF(AND(ISNUMBER(E67),E56&gt;0),E67/E56,"SLO 不可達")</f>
        <v>0.000588020351383176</v>
      </c>
      <c r="F87" s="172" t="n">
        <f aca="false">IF(AND(ISNUMBER(F67),F56&gt;0),F67/F56,"SLO 不可達")</f>
        <v>0.00366343990142828</v>
      </c>
      <c r="G87" s="172" t="n">
        <f aca="false">IF(AND(ISNUMBER(G67),G56&gt;0),G67/G56,"SLO 不可達")</f>
        <v>0.027571077499982</v>
      </c>
    </row>
    <row r="88" customFormat="false" ht="29.85" hidden="false" customHeight="false" outlineLevel="0" collapsed="false">
      <c r="A88" s="5" t="s">
        <v>2298</v>
      </c>
      <c r="B88" s="62" t="s">
        <v>452</v>
      </c>
      <c r="C88" s="173" t="n">
        <f aca="false">IF(AND(ISNUMBER(C68),C57&gt;0),C68/C57,"SLO 不可達")</f>
        <v>8.8899077896421E-005</v>
      </c>
      <c r="D88" s="173" t="n">
        <f aca="false">IF(AND(ISNUMBER(D68),D57&gt;0),D68/D57,"SLO 不可達")</f>
        <v>0.000627888436452441</v>
      </c>
      <c r="E88" s="173" t="n">
        <f aca="false">IF(AND(ISNUMBER(E68),E57&gt;0),E68/E57,"SLO 不可達")</f>
        <v>0.000588020351383176</v>
      </c>
      <c r="F88" s="173" t="n">
        <f aca="false">IF(AND(ISNUMBER(F68),F57&gt;0),F68/F57,"SLO 不可達")</f>
        <v>0.00366343990142828</v>
      </c>
      <c r="G88" s="173" t="n">
        <f aca="false">IF(AND(ISNUMBER(G68),G57&gt;0),G68/G57,"SLO 不可達")</f>
        <v>0.027571077499982</v>
      </c>
    </row>
    <row r="89" customFormat="false" ht="15" hidden="false" customHeight="false" outlineLevel="0" collapsed="false">
      <c r="A89" s="5" t="s">
        <v>2299</v>
      </c>
      <c r="B89" s="62" t="s">
        <v>452</v>
      </c>
      <c r="C89" s="172" t="n">
        <f aca="false">IF(AND(ISNUMBER(C69),C58&gt;0),C69/C58,"SLO 不可達")</f>
        <v>8.8899077896421E-005</v>
      </c>
      <c r="D89" s="172" t="n">
        <f aca="false">IF(AND(ISNUMBER(D69),D58&gt;0),D69/D58,"SLO 不可達")</f>
        <v>0.000627888436452441</v>
      </c>
      <c r="E89" s="172" t="n">
        <f aca="false">IF(AND(ISNUMBER(E69),E58&gt;0),E69/E58,"SLO 不可達")</f>
        <v>0.000348021397530065</v>
      </c>
      <c r="F89" s="172" t="n">
        <f aca="false">IF(AND(ISNUMBER(F69),F58&gt;0),F69/F58,"SLO 不可達")</f>
        <v>0.00174967897679409</v>
      </c>
      <c r="G89" s="172" t="n">
        <f aca="false">IF(AND(ISNUMBER(G69),G58&gt;0),G69/G58,"SLO 不可達")</f>
        <v>0.0114149327828275</v>
      </c>
    </row>
    <row r="90" customFormat="false" ht="15" hidden="false" customHeight="false" outlineLevel="0" collapsed="false">
      <c r="A90" s="5" t="s">
        <v>2300</v>
      </c>
      <c r="B90" s="62" t="s">
        <v>452</v>
      </c>
      <c r="C90" s="172" t="n">
        <f aca="false">IF(AND(ISNUMBER(C70),C59&gt;0),C70/C59,"SLO 不可達")</f>
        <v>0.000282271466750481</v>
      </c>
      <c r="D90" s="172" t="n">
        <f aca="false">IF(AND(ISNUMBER(D70),D59&gt;0),D70/D59,"SLO 不可達")</f>
        <v>0.00186329714942528</v>
      </c>
      <c r="E90" s="172" t="n">
        <f aca="false">IF(AND(ISNUMBER(E70),E59&gt;0),E70/E59,"SLO 不可達")</f>
        <v>0.00149769640054521</v>
      </c>
      <c r="F90" s="172" t="n">
        <f aca="false">IF(AND(ISNUMBER(F70),F59&gt;0),F70/F59,"SLO 不可達")</f>
        <v>0.00720786503479934</v>
      </c>
      <c r="G90" s="172" t="n">
        <f aca="false">IF(AND(ISNUMBER(G70),G59&gt;0),G70/G59,"SLO 不可達")</f>
        <v>0.0399390829605138</v>
      </c>
    </row>
    <row r="91" customFormat="false" ht="15" hidden="false" customHeight="false" outlineLevel="0" collapsed="false">
      <c r="A91" s="5" t="s">
        <v>2301</v>
      </c>
      <c r="B91" s="62" t="s">
        <v>452</v>
      </c>
      <c r="C91" s="173" t="n">
        <f aca="false">IF(AND(ISNUMBER(C71),C60&gt;0),C71/C60,"SLO 不可達")</f>
        <v>0.000282271466750481</v>
      </c>
      <c r="D91" s="173" t="n">
        <f aca="false">IF(AND(ISNUMBER(D71),D60&gt;0),D71/D60,"SLO 不可達")</f>
        <v>0.00186329714942528</v>
      </c>
      <c r="E91" s="173" t="n">
        <f aca="false">IF(AND(ISNUMBER(E71),E60&gt;0),E71/E60,"SLO 不可達")</f>
        <v>0.00149769640054521</v>
      </c>
      <c r="F91" s="173" t="n">
        <f aca="false">IF(AND(ISNUMBER(F71),F60&gt;0),F71/F60,"SLO 不可達")</f>
        <v>0.00720786503479934</v>
      </c>
      <c r="G91" s="173" t="n">
        <f aca="false">IF(AND(ISNUMBER(G71),G60&gt;0),G71/G60,"SLO 不可達")</f>
        <v>0.0399390829605138</v>
      </c>
    </row>
    <row r="92" customFormat="false" ht="15" hidden="false" customHeight="false" outlineLevel="0" collapsed="false">
      <c r="A92" s="5" t="s">
        <v>2302</v>
      </c>
      <c r="B92" s="62" t="s">
        <v>452</v>
      </c>
      <c r="C92" s="172" t="n">
        <f aca="false">IF(AND(ISNUMBER(C72),C61&gt;0),C72/C61,"SLO 不可達")</f>
        <v>0.000282271466750481</v>
      </c>
      <c r="D92" s="172" t="n">
        <f aca="false">IF(AND(ISNUMBER(D72),D61&gt;0),D72/D61,"SLO 不可達")</f>
        <v>0.00186329714942528</v>
      </c>
      <c r="E92" s="172" t="n">
        <f aca="false">IF(AND(ISNUMBER(E72),E61&gt;0),E72/E61,"SLO 不可達")</f>
        <v>0.000908104861835186</v>
      </c>
      <c r="F92" s="172" t="n">
        <f aca="false">IF(AND(ISNUMBER(F72),F61&gt;0),F72/F61,"SLO 不可達")</f>
        <v>0.00396388140691002</v>
      </c>
      <c r="G92" s="172" t="n">
        <f aca="false">IF(AND(ISNUMBER(G72),G61&gt;0),G72/G61,"SLO 不可達")</f>
        <v>0.0190940025729427</v>
      </c>
    </row>
    <row r="93" customFormat="false" ht="15" hidden="false" customHeight="false" outlineLevel="0" collapsed="false">
      <c r="A93" s="5" t="s">
        <v>2303</v>
      </c>
      <c r="B93" s="62" t="s">
        <v>452</v>
      </c>
      <c r="C93" s="172" t="n">
        <f aca="false">IF(AND(ISNUMBER(C73),C62&gt;0),C73/C62,"SLO 不可達")</f>
        <v>0.00129917760034516</v>
      </c>
      <c r="D93" s="172" t="n">
        <f aca="false">IF(AND(ISNUMBER(D73),D62&gt;0),D73/D62,"SLO 不可達")</f>
        <v>0.00884075209631596</v>
      </c>
      <c r="E93" s="172" t="n">
        <f aca="false">IF(AND(ISNUMBER(E73),E62&gt;0),E73/E62,"SLO 不可達")</f>
        <v>0.00664194467737183</v>
      </c>
      <c r="F93" s="172" t="n">
        <f aca="false">IF(AND(ISNUMBER(F73),F62&gt;0),F73/F62,"SLO 不可達")</f>
        <v>0.0299285159241019</v>
      </c>
      <c r="G93" s="172" t="n">
        <f aca="false">IF(AND(ISNUMBER(G73),G62&gt;0),G73/G62,"SLO 不可達")</f>
        <v>0.142811041402312</v>
      </c>
    </row>
    <row r="94" customFormat="false" ht="29.85" hidden="false" customHeight="false" outlineLevel="0" collapsed="false">
      <c r="A94" s="5" t="s">
        <v>2304</v>
      </c>
      <c r="B94" s="62" t="s">
        <v>452</v>
      </c>
      <c r="C94" s="173" t="n">
        <f aca="false">IF(AND(ISNUMBER(C74),C63&gt;0),C74/C63,"SLO 不可達")</f>
        <v>0.00129917760034516</v>
      </c>
      <c r="D94" s="173" t="n">
        <f aca="false">IF(AND(ISNUMBER(D74),D63&gt;0),D74/D63,"SLO 不可達")</f>
        <v>0.00884075209631596</v>
      </c>
      <c r="E94" s="173" t="n">
        <f aca="false">IF(AND(ISNUMBER(E74),E63&gt;0),E74/E63,"SLO 不可達")</f>
        <v>0.00664194467737183</v>
      </c>
      <c r="F94" s="173" t="n">
        <f aca="false">IF(AND(ISNUMBER(F74),F63&gt;0),F74/F63,"SLO 不可達")</f>
        <v>0.0299285159241019</v>
      </c>
      <c r="G94" s="173" t="n">
        <f aca="false">IF(AND(ISNUMBER(G74),G63&gt;0),G74/G63,"SLO 不可達")</f>
        <v>0.142811041402312</v>
      </c>
    </row>
    <row r="95" customFormat="false" ht="15" hidden="false" customHeight="false" outlineLevel="0" collapsed="false">
      <c r="A95" s="5" t="s">
        <v>2305</v>
      </c>
      <c r="B95" s="62" t="s">
        <v>452</v>
      </c>
      <c r="C95" s="172" t="n">
        <f aca="false">IF(AND(ISNUMBER(C75),C64&gt;0),C75/C64,"SLO 不可達")</f>
        <v>0.00129917760034516</v>
      </c>
      <c r="D95" s="172" t="n">
        <f aca="false">IF(AND(ISNUMBER(D75),D64&gt;0),D75/D64,"SLO 不可達")</f>
        <v>0.00884075209631596</v>
      </c>
      <c r="E95" s="172" t="n">
        <f aca="false">IF(AND(ISNUMBER(E75),E64&gt;0),E75/E64,"SLO 不可達")</f>
        <v>0.00404856033781159</v>
      </c>
      <c r="F95" s="172" t="n">
        <f aca="false">IF(AND(ISNUMBER(F75),F64&gt;0),F75/F64,"SLO 不可達")</f>
        <v>0.0171093826606941</v>
      </c>
      <c r="G95" s="172" t="n">
        <f aca="false">IF(AND(ISNUMBER(G75),G64&gt;0),G75/G64,"SLO 不可達")</f>
        <v>0.0741528999957403</v>
      </c>
    </row>
    <row r="96" customFormat="false" ht="15" hidden="false" customHeight="false" outlineLevel="0" collapsed="false">
      <c r="A96" s="5" t="s">
        <v>2306</v>
      </c>
      <c r="B96" s="62" t="s">
        <v>452</v>
      </c>
      <c r="C96" s="172" t="n">
        <f aca="false">IF(AND(ISNUMBER(C76),C56&gt;0),C76/C56,"SLO 不可達")</f>
        <v>0.000114248703667037</v>
      </c>
      <c r="D96" s="172" t="n">
        <f aca="false">IF(AND(ISNUMBER(D76),D56&gt;0),D76/D56,"SLO 不可達")</f>
        <v>0.000810841077890223</v>
      </c>
      <c r="E96" s="172" t="n">
        <f aca="false">IF(AND(ISNUMBER(E76),E56&gt;0),E76/E56,"SLO 不可達")</f>
        <v>0.000754882105708299</v>
      </c>
      <c r="F96" s="172" t="n">
        <f aca="false">IF(AND(ISNUMBER(F76),F56&gt;0),F76/F56,"SLO 不可達")</f>
        <v>0.00470300937785723</v>
      </c>
      <c r="G96" s="172" t="n">
        <f aca="false">IF(AND(ISNUMBER(G76),G56&gt;0),G76/G56,"SLO 不可達")</f>
        <v>0.0349973127558091</v>
      </c>
    </row>
    <row r="97" customFormat="false" ht="29.85" hidden="false" customHeight="false" outlineLevel="0" collapsed="false">
      <c r="A97" s="5" t="s">
        <v>2307</v>
      </c>
      <c r="B97" s="62" t="s">
        <v>452</v>
      </c>
      <c r="C97" s="172" t="n">
        <f aca="false">IF(AND(ISNUMBER(C77),C57&gt;0),C77/C57,"SLO 不可達")</f>
        <v>0.000114248703667037</v>
      </c>
      <c r="D97" s="172" t="n">
        <f aca="false">IF(AND(ISNUMBER(D77),D57&gt;0),D77/D57,"SLO 不可達")</f>
        <v>0.000810841077890223</v>
      </c>
      <c r="E97" s="172" t="n">
        <f aca="false">IF(AND(ISNUMBER(E77),E57&gt;0),E77/E57,"SLO 不可達")</f>
        <v>0.000754882105708299</v>
      </c>
      <c r="F97" s="172" t="n">
        <f aca="false">IF(AND(ISNUMBER(F77),F57&gt;0),F77/F57,"SLO 不可達")</f>
        <v>0.00470300937785723</v>
      </c>
      <c r="G97" s="172" t="n">
        <f aca="false">IF(AND(ISNUMBER(G77),G57&gt;0),G77/G57,"SLO 不可達")</f>
        <v>0.0349973127558091</v>
      </c>
    </row>
    <row r="98" customFormat="false" ht="15" hidden="false" customHeight="false" outlineLevel="0" collapsed="false">
      <c r="A98" s="5" t="s">
        <v>2308</v>
      </c>
      <c r="B98" s="62" t="s">
        <v>452</v>
      </c>
      <c r="C98" s="172" t="n">
        <f aca="false">IF(AND(ISNUMBER(C78),C58&gt;0),C78/C58,"SLO 不可達")</f>
        <v>0.000114248703667037</v>
      </c>
      <c r="D98" s="172" t="n">
        <f aca="false">IF(AND(ISNUMBER(D78),D58&gt;0),D78/D58,"SLO 不可達")</f>
        <v>0.000810841077890223</v>
      </c>
      <c r="E98" s="172" t="n">
        <f aca="false">IF(AND(ISNUMBER(E78),E58&gt;0),E78/E58,"SLO 不可達")</f>
        <v>0.000446305688742682</v>
      </c>
      <c r="F98" s="172" t="n">
        <f aca="false">IF(AND(ISNUMBER(F78),F58&gt;0),F78/F58,"SLO 不可達")</f>
        <v>0.00224380364643878</v>
      </c>
      <c r="G98" s="172" t="n">
        <f aca="false">IF(AND(ISNUMBER(G78),G58&gt;0),G78/G58,"SLO 不可達")</f>
        <v>0.0144766437459101</v>
      </c>
    </row>
    <row r="99" customFormat="false" ht="15" hidden="false" customHeight="false" outlineLevel="0" collapsed="false">
      <c r="A99" s="5" t="s">
        <v>2309</v>
      </c>
      <c r="B99" s="62" t="s">
        <v>452</v>
      </c>
      <c r="C99" s="172" t="n">
        <f aca="false">IF(AND(ISNUMBER(C79),C59&gt;0),C79/C59,"SLO 不可達")</f>
        <v>0.000378316172579921</v>
      </c>
      <c r="D99" s="172" t="n">
        <f aca="false">IF(AND(ISNUMBER(D79),D59&gt;0),D79/D59,"SLO 不可達")</f>
        <v>0.00252446526061555</v>
      </c>
      <c r="E99" s="172" t="n">
        <f aca="false">IF(AND(ISNUMBER(E79),E59&gt;0),E79/E59,"SLO 不可達")</f>
        <v>0.00200720272080044</v>
      </c>
      <c r="F99" s="172" t="n">
        <f aca="false">IF(AND(ISNUMBER(F79),F59&gt;0),F79/F59,"SLO 不可達")</f>
        <v>0.00965993261634659</v>
      </c>
      <c r="G99" s="172" t="n">
        <f aca="false">IF(AND(ISNUMBER(G79),G59&gt;0),G79/G59,"SLO 不可達")</f>
        <v>0.0527516276769073</v>
      </c>
    </row>
    <row r="100" customFormat="false" ht="15" hidden="false" customHeight="false" outlineLevel="0" collapsed="false">
      <c r="A100" s="5" t="s">
        <v>2310</v>
      </c>
      <c r="B100" s="62" t="s">
        <v>452</v>
      </c>
      <c r="C100" s="172" t="n">
        <f aca="false">IF(AND(ISNUMBER(C80),C60&gt;0),C80/C60,"SLO 不可達")</f>
        <v>0.000378316172579921</v>
      </c>
      <c r="D100" s="172" t="n">
        <f aca="false">IF(AND(ISNUMBER(D80),D60&gt;0),D80/D60,"SLO 不可達")</f>
        <v>0.00252446526061555</v>
      </c>
      <c r="E100" s="172" t="n">
        <f aca="false">IF(AND(ISNUMBER(E80),E60&gt;0),E80/E60,"SLO 不可達")</f>
        <v>0.00200720272080044</v>
      </c>
      <c r="F100" s="172" t="n">
        <f aca="false">IF(AND(ISNUMBER(F80),F60&gt;0),F80/F60,"SLO 不可達")</f>
        <v>0.00965993261634659</v>
      </c>
      <c r="G100" s="172" t="n">
        <f aca="false">IF(AND(ISNUMBER(G80),G60&gt;0),G80/G60,"SLO 不可達")</f>
        <v>0.0527516276769073</v>
      </c>
    </row>
    <row r="101" customFormat="false" ht="15" hidden="false" customHeight="false" outlineLevel="0" collapsed="false">
      <c r="A101" s="5" t="s">
        <v>2311</v>
      </c>
      <c r="B101" s="62" t="s">
        <v>452</v>
      </c>
      <c r="C101" s="172" t="n">
        <f aca="false">IF(AND(ISNUMBER(C81),C61&gt;0),C81/C61,"SLO 不可達")</f>
        <v>0.000378316172579921</v>
      </c>
      <c r="D101" s="172" t="n">
        <f aca="false">IF(AND(ISNUMBER(D81),D61&gt;0),D81/D61,"SLO 不可達")</f>
        <v>0.00252446526061555</v>
      </c>
      <c r="E101" s="172" t="n">
        <f aca="false">IF(AND(ISNUMBER(E81),E61&gt;0),E81/E61,"SLO 不可達")</f>
        <v>0.00121554366819327</v>
      </c>
      <c r="F101" s="172" t="n">
        <f aca="false">IF(AND(ISNUMBER(F81),F61&gt;0),F81/F61,"SLO 不可達")</f>
        <v>0.00530585304421924</v>
      </c>
      <c r="G101" s="172" t="n">
        <f aca="false">IF(AND(ISNUMBER(G81),G61&gt;0),G81/G61,"SLO 不可達")</f>
        <v>0.0252458515199008</v>
      </c>
    </row>
    <row r="102" customFormat="false" ht="15" hidden="false" customHeight="false" outlineLevel="0" collapsed="false">
      <c r="A102" s="5" t="s">
        <v>2312</v>
      </c>
      <c r="B102" s="62" t="s">
        <v>452</v>
      </c>
      <c r="C102" s="172" t="n">
        <f aca="false">IF(AND(ISNUMBER(C82),C62&gt;0),C82/C62,"SLO 不可達")</f>
        <v>0.00205965174823083</v>
      </c>
      <c r="D102" s="172" t="n">
        <f aca="false">IF(AND(ISNUMBER(D82),D62&gt;0),D82/D62,"SLO 不可達")</f>
        <v>0.0143361394890655</v>
      </c>
      <c r="E102" s="172" t="n">
        <f aca="false">IF(AND(ISNUMBER(E82),E62&gt;0),E82/E62,"SLO 不可達")</f>
        <v>0.0105201674316699</v>
      </c>
      <c r="F102" s="172" t="n">
        <f aca="false">IF(AND(ISNUMBER(F82),F62&gt;0),F82/F62,"SLO 不可達")</f>
        <v>0.0474037369771555</v>
      </c>
      <c r="G102" s="172" t="n">
        <f aca="false">IF(AND(ISNUMBER(G82),G62&gt;0),G82/G62,"SLO 不可達")</f>
        <v>0.21795007078719</v>
      </c>
    </row>
    <row r="103" customFormat="false" ht="29.85" hidden="false" customHeight="false" outlineLevel="0" collapsed="false">
      <c r="A103" s="5" t="s">
        <v>2313</v>
      </c>
      <c r="B103" s="62" t="s">
        <v>452</v>
      </c>
      <c r="C103" s="172" t="n">
        <f aca="false">IF(AND(ISNUMBER(C83),C63&gt;0),C83/C63,"SLO 不可達")</f>
        <v>0.00205965174823083</v>
      </c>
      <c r="D103" s="172" t="n">
        <f aca="false">IF(AND(ISNUMBER(D83),D63&gt;0),D83/D63,"SLO 不可達")</f>
        <v>0.0143361394890655</v>
      </c>
      <c r="E103" s="172" t="n">
        <f aca="false">IF(AND(ISNUMBER(E83),E63&gt;0),E83/E63,"SLO 不可達")</f>
        <v>0.0105201674316699</v>
      </c>
      <c r="F103" s="172" t="n">
        <f aca="false">IF(AND(ISNUMBER(F83),F63&gt;0),F83/F63,"SLO 不可達")</f>
        <v>0.0474037369771555</v>
      </c>
      <c r="G103" s="172" t="n">
        <f aca="false">IF(AND(ISNUMBER(G83),G63&gt;0),G83/G63,"SLO 不可達")</f>
        <v>0.21795007078719</v>
      </c>
    </row>
    <row r="104" customFormat="false" ht="15" hidden="false" customHeight="false" outlineLevel="0" collapsed="false">
      <c r="A104" s="5" t="s">
        <v>2314</v>
      </c>
      <c r="B104" s="62" t="s">
        <v>452</v>
      </c>
      <c r="C104" s="172" t="n">
        <f aca="false">IF(AND(ISNUMBER(C84),C64&gt;0),C84/C64,"SLO 不可達")</f>
        <v>0.00205965174823083</v>
      </c>
      <c r="D104" s="172" t="n">
        <f aca="false">IF(AND(ISNUMBER(D84),D64&gt;0),D84/D64,"SLO 不可達")</f>
        <v>0.0143361394890655</v>
      </c>
      <c r="E104" s="172" t="n">
        <f aca="false">IF(AND(ISNUMBER(E84),E64&gt;0),E84/E64,"SLO 不可達")</f>
        <v>0.0063896485061394</v>
      </c>
      <c r="F104" s="172" t="n">
        <f aca="false">IF(AND(ISNUMBER(F84),F64&gt;0),F84/F64,"SLO 不可達")</f>
        <v>0.0270029176391044</v>
      </c>
      <c r="G104" s="172" t="n">
        <f aca="false">IF(AND(ISNUMBER(G84),G64&gt;0),G84/G64,"SLO 不可達")</f>
        <v>0.113151031170144</v>
      </c>
    </row>
    <row r="105" customFormat="false" ht="15" hidden="false" customHeight="false" outlineLevel="0" collapsed="false">
      <c r="A105" s="5" t="s">
        <v>2315</v>
      </c>
      <c r="B105" s="62" t="s">
        <v>308</v>
      </c>
      <c r="C105" s="68" t="n">
        <f aca="false">IF(C56&gt;0,C21/C56,0)</f>
        <v>3117.71323825531</v>
      </c>
      <c r="D105" s="68" t="n">
        <f aca="false">IF(D56&gt;0,D21/D56,0)</f>
        <v>7013.43573078971</v>
      </c>
      <c r="E105" s="68" t="n">
        <f aca="false">IF(E56&gt;0,E21/E56,0)</f>
        <v>39707.8809191629</v>
      </c>
      <c r="F105" s="68" t="n">
        <f aca="false">IF(F56&gt;0,F21/F56,0)</f>
        <v>247385.035259829</v>
      </c>
      <c r="G105" s="68" t="n">
        <f aca="false">IF(G56&gt;0,G21/G56,0)</f>
        <v>6737238.86760273</v>
      </c>
    </row>
    <row r="106" customFormat="false" ht="15" hidden="false" customHeight="false" outlineLevel="0" collapsed="false">
      <c r="A106" s="5" t="s">
        <v>2316</v>
      </c>
      <c r="B106" s="62" t="s">
        <v>308</v>
      </c>
      <c r="C106" s="68" t="n">
        <f aca="false">IF(C57&gt;0,C44/C57,0)</f>
        <v>3117.71323825531</v>
      </c>
      <c r="D106" s="68" t="n">
        <f aca="false">IF(D57&gt;0,D44/D57,0)</f>
        <v>7013.43573078971</v>
      </c>
      <c r="E106" s="68" t="n">
        <f aca="false">IF(E57&gt;0,E44/E57,0)</f>
        <v>39707.8809191629</v>
      </c>
      <c r="F106" s="68" t="n">
        <f aca="false">IF(F57&gt;0,F44/F57,0)</f>
        <v>247385.035259829</v>
      </c>
      <c r="G106" s="68" t="n">
        <f aca="false">IF(G57&gt;0,G44/G57,0)</f>
        <v>6737238.86760273</v>
      </c>
    </row>
    <row r="107" customFormat="false" ht="15" hidden="false" customHeight="false" outlineLevel="0" collapsed="false">
      <c r="A107" s="5" t="s">
        <v>2317</v>
      </c>
      <c r="B107" s="62" t="s">
        <v>308</v>
      </c>
      <c r="C107" s="68" t="n">
        <f aca="false">IF(C58&gt;0,C38/C58,0)</f>
        <v>3117.71323825531</v>
      </c>
      <c r="D107" s="68" t="n">
        <f aca="false">IF(D58&gt;0,D38/D58,0)</f>
        <v>7013.43573078971</v>
      </c>
      <c r="E107" s="68" t="n">
        <f aca="false">IF(E58&gt;0,E38/E58,0)</f>
        <v>22467.7637363593</v>
      </c>
      <c r="F107" s="68" t="n">
        <f aca="false">IF(F58&gt;0,F38/F58,0)</f>
        <v>112956.77261249</v>
      </c>
      <c r="G107" s="68" t="n">
        <f aca="false">IF(G58&gt;0,G38/G58,0)</f>
        <v>2271375.7832015</v>
      </c>
    </row>
    <row r="108" customFormat="false" ht="15" hidden="false" customHeight="false" outlineLevel="0" collapsed="false">
      <c r="A108" s="5" t="s">
        <v>2318</v>
      </c>
      <c r="B108" s="62" t="s">
        <v>308</v>
      </c>
      <c r="C108" s="68" t="n">
        <f aca="false">IF(C59&gt;0,C21/C59,0)</f>
        <v>3033.5410196625</v>
      </c>
      <c r="D108" s="68" t="n">
        <f aca="false">IF(D59&gt;0,D21/D59,0)</f>
        <v>6431.77906108929</v>
      </c>
      <c r="E108" s="68" t="n">
        <f aca="false">IF(E59&gt;0,E21/E59,0)</f>
        <v>31050</v>
      </c>
      <c r="F108" s="68" t="n">
        <f aca="false">IF(F59&gt;0,F21/F59,0)</f>
        <v>149432.294321497</v>
      </c>
      <c r="G108" s="68" t="n">
        <f aca="false">IF(G59&gt;0,G21/G59,0)</f>
        <v>2988000</v>
      </c>
    </row>
    <row r="109" customFormat="false" ht="15" hidden="false" customHeight="false" outlineLevel="0" collapsed="false">
      <c r="A109" s="5" t="s">
        <v>2319</v>
      </c>
      <c r="B109" s="62" t="s">
        <v>308</v>
      </c>
      <c r="C109" s="68" t="n">
        <f aca="false">IF(C60&gt;0,C44/C60,0)</f>
        <v>3033.5410196625</v>
      </c>
      <c r="D109" s="68" t="n">
        <f aca="false">IF(D60&gt;0,D44/D60,0)</f>
        <v>6431.77906108929</v>
      </c>
      <c r="E109" s="68" t="n">
        <f aca="false">IF(E60&gt;0,E44/E60,0)</f>
        <v>31050</v>
      </c>
      <c r="F109" s="68" t="n">
        <f aca="false">IF(F60&gt;0,F44/F60,0)</f>
        <v>149432.294321497</v>
      </c>
      <c r="G109" s="68" t="n">
        <f aca="false">IF(G60&gt;0,G44/G60,0)</f>
        <v>2988000</v>
      </c>
    </row>
    <row r="110" customFormat="false" ht="15" hidden="false" customHeight="false" outlineLevel="0" collapsed="false">
      <c r="A110" s="5" t="s">
        <v>2320</v>
      </c>
      <c r="B110" s="62" t="s">
        <v>308</v>
      </c>
      <c r="C110" s="68" t="n">
        <f aca="false">IF(C61&gt;0,C38/C61,0)</f>
        <v>3033.5410196625</v>
      </c>
      <c r="D110" s="68" t="n">
        <f aca="false">IF(D61&gt;0,D38/D61,0)</f>
        <v>6431.77906108929</v>
      </c>
      <c r="E110" s="68" t="n">
        <f aca="false">IF(E61&gt;0,E38/E61,0)</f>
        <v>18021.736744368</v>
      </c>
      <c r="F110" s="68" t="n">
        <f aca="false">IF(F61&gt;0,F38/F61,0)</f>
        <v>78664.9540195861</v>
      </c>
      <c r="G110" s="68" t="n">
        <f aca="false">IF(G61&gt;0,G38/G61,0)</f>
        <v>1173373.0817518</v>
      </c>
    </row>
    <row r="111" customFormat="false" ht="15" hidden="false" customHeight="false" outlineLevel="0" collapsed="false">
      <c r="A111" s="5" t="s">
        <v>2321</v>
      </c>
      <c r="B111" s="62" t="s">
        <v>308</v>
      </c>
      <c r="C111" s="68" t="n">
        <f aca="false">IF(C62&gt;0,C21/C62,0)</f>
        <v>3019.94360961354</v>
      </c>
      <c r="D111" s="68" t="n">
        <f aca="false">IF(D62&gt;0,D21/D62,0)</f>
        <v>6337.81665427802</v>
      </c>
      <c r="E111" s="68" t="n">
        <f aca="false">IF(E62&gt;0,E21/E62,0)</f>
        <v>29651.3822733797</v>
      </c>
      <c r="F111" s="68" t="n">
        <f aca="false">IF(F62&gt;0,F21/F62,0)</f>
        <v>133608.741061003</v>
      </c>
      <c r="G111" s="68" t="n">
        <f aca="false">IF(G62&gt;0,G21/G62,0)</f>
        <v>2382337.71490703</v>
      </c>
    </row>
    <row r="112" customFormat="false" ht="15" hidden="false" customHeight="false" outlineLevel="0" collapsed="false">
      <c r="A112" s="5" t="s">
        <v>2322</v>
      </c>
      <c r="B112" s="62" t="s">
        <v>308</v>
      </c>
      <c r="C112" s="68" t="n">
        <f aca="false">IF(C63&gt;0,C44/C63,0)</f>
        <v>3019.94360961354</v>
      </c>
      <c r="D112" s="68" t="n">
        <f aca="false">IF(D63&gt;0,D44/D63,0)</f>
        <v>6337.81665427802</v>
      </c>
      <c r="E112" s="68" t="n">
        <f aca="false">IF(E63&gt;0,E44/E63,0)</f>
        <v>29651.3822733797</v>
      </c>
      <c r="F112" s="68" t="n">
        <f aca="false">IF(F63&gt;0,F44/F63,0)</f>
        <v>133608.741061003</v>
      </c>
      <c r="G112" s="68" t="n">
        <f aca="false">IF(G63&gt;0,G44/G63,0)</f>
        <v>2382337.71490703</v>
      </c>
    </row>
    <row r="113" customFormat="false" ht="15" hidden="false" customHeight="false" outlineLevel="0" collapsed="false">
      <c r="A113" s="5" t="s">
        <v>2323</v>
      </c>
      <c r="B113" s="62" t="s">
        <v>308</v>
      </c>
      <c r="C113" s="68" t="n">
        <f aca="false">IF(C64&gt;0,C38/C64,0)</f>
        <v>3019.94360961354</v>
      </c>
      <c r="D113" s="68" t="n">
        <f aca="false">IF(D64&gt;0,D38/D64,0)</f>
        <v>6337.81665427802</v>
      </c>
      <c r="E113" s="68" t="n">
        <f aca="false">IF(E64&gt;0,E38/E64,0)</f>
        <v>17303.5134028725</v>
      </c>
      <c r="F113" s="68" t="n">
        <f aca="false">IF(F64&gt;0,F38/F64,0)</f>
        <v>73125.36</v>
      </c>
      <c r="G113" s="68" t="n">
        <f aca="false">IF(G64&gt;0,G38/G64,0)</f>
        <v>995998.726934155</v>
      </c>
    </row>
    <row r="115" customFormat="false" ht="15" hidden="false" customHeight="false" outlineLevel="0" collapsed="false">
      <c r="A115" s="76" t="s">
        <v>2324</v>
      </c>
      <c r="B115" s="70"/>
      <c r="C115" s="70"/>
      <c r="D115" s="70"/>
      <c r="E115" s="70"/>
      <c r="F115" s="70"/>
      <c r="G115" s="70"/>
      <c r="H115" s="70"/>
    </row>
    <row r="116" customFormat="false" ht="15" hidden="false" customHeight="false" outlineLevel="0" collapsed="false">
      <c r="A116" s="5" t="s">
        <v>2325</v>
      </c>
      <c r="B116" s="62" t="s">
        <v>452</v>
      </c>
      <c r="C116" s="172" t="n">
        <f aca="false">(C18*INDEX(B4_EffIn,1,1)+C19*INDEX(B4_EffCache,1,1)+C20*INDEX(B4_EffOut,1,1))/1000000</f>
        <v>0.000328</v>
      </c>
      <c r="D116" s="172" t="n">
        <f aca="false">(D18*INDEX(B4_EffIn,1,1)+D19*INDEX(B4_EffCache,1,1)+D20*INDEX(B4_EffOut,1,1))/1000000</f>
        <v>0.001608</v>
      </c>
      <c r="E116" s="172" t="n">
        <f aca="false">(E18*INDEX(B4_EffIn,1,1)+E19*INDEX(B4_EffCache,1,1)+E20*INDEX(B4_EffOut,1,1))/1000000</f>
        <v>0.00165408</v>
      </c>
      <c r="F116" s="172" t="n">
        <f aca="false">(F18*INDEX(B4_EffIn,1,1)+F19*INDEX(B4_EffCache,1,1)+F20*INDEX(B4_EffOut,1,1))/1000000</f>
        <v>0.00661632</v>
      </c>
      <c r="G116" s="172" t="n">
        <f aca="false">(G18*INDEX(B4_EffIn,1,1)+G19*INDEX(B4_EffCache,1,1)+G20*INDEX(B4_EffOut,1,1))/1000000</f>
        <v>0.0381408</v>
      </c>
    </row>
    <row r="117" customFormat="false" ht="15" hidden="false" customHeight="false" outlineLevel="0" collapsed="false">
      <c r="A117" s="5" t="s">
        <v>2326</v>
      </c>
      <c r="B117" s="62" t="s">
        <v>452</v>
      </c>
      <c r="C117" s="172" t="n">
        <f aca="false">(C41*INDEX(B4_EffIn,1,1)+C42*INDEX(B4_EffCache,1,1)+C43*INDEX(B4_EffOut,1,1))/1000000</f>
        <v>0.000328</v>
      </c>
      <c r="D117" s="172" t="n">
        <f aca="false">(D41*INDEX(B4_EffIn,1,1)+D42*INDEX(B4_EffCache,1,1)+D43*INDEX(B4_EffOut,1,1))/1000000</f>
        <v>0.001608</v>
      </c>
      <c r="E117" s="172" t="n">
        <f aca="false">(E41*INDEX(B4_EffIn,1,1)+E42*INDEX(B4_EffCache,1,1)+E43*INDEX(B4_EffOut,1,1))/1000000</f>
        <v>0.00165408</v>
      </c>
      <c r="F117" s="172" t="n">
        <f aca="false">(F41*INDEX(B4_EffIn,1,1)+F42*INDEX(B4_EffCache,1,1)+F43*INDEX(B4_EffOut,1,1))/1000000</f>
        <v>0.00661632</v>
      </c>
      <c r="G117" s="172" t="n">
        <f aca="false">(G41*INDEX(B4_EffIn,1,1)+G42*INDEX(B4_EffCache,1,1)+G43*INDEX(B4_EffOut,1,1))/1000000</f>
        <v>0.0381408</v>
      </c>
    </row>
    <row r="118" customFormat="false" ht="15" hidden="false" customHeight="false" outlineLevel="0" collapsed="false">
      <c r="A118" s="5" t="s">
        <v>2327</v>
      </c>
      <c r="B118" s="62" t="s">
        <v>452</v>
      </c>
      <c r="C118" s="172" t="n">
        <f aca="false">(C35*INDEX(B4_EffIn,1,1)+C36*INDEX(B4_EffCache,1,1)+C37*INDEX(B4_EffOut,1,1))/1000000</f>
        <v>0.000328</v>
      </c>
      <c r="D118" s="172" t="n">
        <f aca="false">(D35*INDEX(B4_EffIn,1,1)+D36*INDEX(B4_EffCache,1,1)+D37*INDEX(B4_EffOut,1,1))/1000000</f>
        <v>0.001608</v>
      </c>
      <c r="E118" s="172" t="n">
        <f aca="false">(E35*INDEX(B4_EffIn,1,1)+E36*INDEX(B4_EffCache,1,1)+E37*INDEX(B4_EffOut,1,1))/1000000</f>
        <v>0.001024998016</v>
      </c>
      <c r="F118" s="172" t="n">
        <f aca="false">(F35*INDEX(B4_EffIn,1,1)+F36*INDEX(B4_EffCache,1,1)+F37*INDEX(B4_EffOut,1,1))/1000000</f>
        <v>0.004099992064</v>
      </c>
      <c r="G118" s="172" t="n">
        <f aca="false">(G35*INDEX(B4_EffIn,1,1)+G36*INDEX(B4_EffCache,1,1)+G37*INDEX(B4_EffOut,1,1))/1000000</f>
        <v>0.021017472</v>
      </c>
    </row>
    <row r="119" customFormat="false" ht="15" hidden="false" customHeight="false" outlineLevel="0" collapsed="false">
      <c r="A119" s="5" t="s">
        <v>2328</v>
      </c>
      <c r="B119" s="62" t="s">
        <v>452</v>
      </c>
      <c r="C119" s="172" t="n">
        <f aca="false">(C18*INDEX(B4_EffIn,1,2)+C19*INDEX(B4_EffCache,1,2)+C20*INDEX(B4_EffOut,1,2))/1000000</f>
        <v>0.00656</v>
      </c>
      <c r="D119" s="172" t="n">
        <f aca="false">(D18*INDEX(B4_EffIn,1,2)+D19*INDEX(B4_EffCache,1,2)+D20*INDEX(B4_EffOut,1,2))/1000000</f>
        <v>0.03216</v>
      </c>
      <c r="E119" s="172" t="n">
        <f aca="false">(E18*INDEX(B4_EffIn,1,2)+E19*INDEX(B4_EffCache,1,2)+E20*INDEX(B4_EffOut,1,2))/1000000</f>
        <v>0.0330816</v>
      </c>
      <c r="F119" s="172" t="n">
        <f aca="false">(F18*INDEX(B4_EffIn,1,2)+F19*INDEX(B4_EffCache,1,2)+F20*INDEX(B4_EffOut,1,2))/1000000</f>
        <v>0.1323264</v>
      </c>
      <c r="G119" s="172" t="n">
        <f aca="false">(G18*INDEX(B4_EffIn,1,2)+G19*INDEX(B4_EffCache,1,2)+G20*INDEX(B4_EffOut,1,2))/1000000</f>
        <v>0.762816</v>
      </c>
    </row>
    <row r="120" customFormat="false" ht="15" hidden="false" customHeight="false" outlineLevel="0" collapsed="false">
      <c r="A120" s="5" t="s">
        <v>2329</v>
      </c>
      <c r="B120" s="62" t="s">
        <v>452</v>
      </c>
      <c r="C120" s="172" t="n">
        <f aca="false">(C41*INDEX(B4_EffIn,1,2)+C42*INDEX(B4_EffCache,1,2)+C43*INDEX(B4_EffOut,1,2))/1000000</f>
        <v>0.00656</v>
      </c>
      <c r="D120" s="172" t="n">
        <f aca="false">(D41*INDEX(B4_EffIn,1,2)+D42*INDEX(B4_EffCache,1,2)+D43*INDEX(B4_EffOut,1,2))/1000000</f>
        <v>0.03216</v>
      </c>
      <c r="E120" s="172" t="n">
        <f aca="false">(E41*INDEX(B4_EffIn,1,2)+E42*INDEX(B4_EffCache,1,2)+E43*INDEX(B4_EffOut,1,2))/1000000</f>
        <v>0.0330816</v>
      </c>
      <c r="F120" s="172" t="n">
        <f aca="false">(F41*INDEX(B4_EffIn,1,2)+F42*INDEX(B4_EffCache,1,2)+F43*INDEX(B4_EffOut,1,2))/1000000</f>
        <v>0.1323264</v>
      </c>
      <c r="G120" s="172" t="n">
        <f aca="false">(G41*INDEX(B4_EffIn,1,2)+G42*INDEX(B4_EffCache,1,2)+G43*INDEX(B4_EffOut,1,2))/1000000</f>
        <v>0.762816</v>
      </c>
    </row>
    <row r="121" customFormat="false" ht="15" hidden="false" customHeight="false" outlineLevel="0" collapsed="false">
      <c r="A121" s="5" t="s">
        <v>2330</v>
      </c>
      <c r="B121" s="62" t="s">
        <v>452</v>
      </c>
      <c r="C121" s="172" t="n">
        <f aca="false">(C35*INDEX(B4_EffIn,1,2)+C36*INDEX(B4_EffCache,1,2)+C37*INDEX(B4_EffOut,1,2))/1000000</f>
        <v>0.00656</v>
      </c>
      <c r="D121" s="172" t="n">
        <f aca="false">(D35*INDEX(B4_EffIn,1,2)+D36*INDEX(B4_EffCache,1,2)+D37*INDEX(B4_EffOut,1,2))/1000000</f>
        <v>0.03216</v>
      </c>
      <c r="E121" s="172" t="n">
        <f aca="false">(E35*INDEX(B4_EffIn,1,2)+E36*INDEX(B4_EffCache,1,2)+E37*INDEX(B4_EffOut,1,2))/1000000</f>
        <v>0.02049996032</v>
      </c>
      <c r="F121" s="172" t="n">
        <f aca="false">(F35*INDEX(B4_EffIn,1,2)+F36*INDEX(B4_EffCache,1,2)+F37*INDEX(B4_EffOut,1,2))/1000000</f>
        <v>0.08199984128</v>
      </c>
      <c r="G121" s="172" t="n">
        <f aca="false">(G35*INDEX(B4_EffIn,1,2)+G36*INDEX(B4_EffCache,1,2)+G37*INDEX(B4_EffOut,1,2))/1000000</f>
        <v>0.42034944</v>
      </c>
    </row>
    <row r="122" customFormat="false" ht="15" hidden="false" customHeight="false" outlineLevel="0" collapsed="false">
      <c r="A122" s="5" t="s">
        <v>2331</v>
      </c>
      <c r="B122" s="62" t="s">
        <v>452</v>
      </c>
      <c r="C122" s="172" t="n">
        <f aca="false">(C18*INDEX(B4_EffIn,1,3)+C19*INDEX(B4_EffCache,1,3)+C20*INDEX(B4_EffOut,1,3))/1000000</f>
        <v>0.0328</v>
      </c>
      <c r="D122" s="172" t="n">
        <f aca="false">(D18*INDEX(B4_EffIn,1,3)+D19*INDEX(B4_EffCache,1,3)+D20*INDEX(B4_EffOut,1,3))/1000000</f>
        <v>0.1608</v>
      </c>
      <c r="E122" s="172" t="n">
        <f aca="false">(E18*INDEX(B4_EffIn,1,3)+E19*INDEX(B4_EffCache,1,3)+E20*INDEX(B4_EffOut,1,3))/1000000</f>
        <v>0.165408</v>
      </c>
      <c r="F122" s="172" t="n">
        <f aca="false">(F18*INDEX(B4_EffIn,1,3)+F19*INDEX(B4_EffCache,1,3)+F20*INDEX(B4_EffOut,1,3))/1000000</f>
        <v>0.661632</v>
      </c>
      <c r="G122" s="172" t="n">
        <f aca="false">(G18*INDEX(B4_EffIn,1,3)+G19*INDEX(B4_EffCache,1,3)+G20*INDEX(B4_EffOut,1,3))/1000000</f>
        <v>3.81408</v>
      </c>
    </row>
    <row r="123" customFormat="false" ht="15" hidden="false" customHeight="false" outlineLevel="0" collapsed="false">
      <c r="A123" s="5" t="s">
        <v>2332</v>
      </c>
      <c r="B123" s="62" t="s">
        <v>452</v>
      </c>
      <c r="C123" s="172" t="n">
        <f aca="false">(C41*INDEX(B4_EffIn,1,3)+C42*INDEX(B4_EffCache,1,3)+C43*INDEX(B4_EffOut,1,3))/1000000</f>
        <v>0.0328</v>
      </c>
      <c r="D123" s="172" t="n">
        <f aca="false">(D41*INDEX(B4_EffIn,1,3)+D42*INDEX(B4_EffCache,1,3)+D43*INDEX(B4_EffOut,1,3))/1000000</f>
        <v>0.1608</v>
      </c>
      <c r="E123" s="172" t="n">
        <f aca="false">(E41*INDEX(B4_EffIn,1,3)+E42*INDEX(B4_EffCache,1,3)+E43*INDEX(B4_EffOut,1,3))/1000000</f>
        <v>0.165408</v>
      </c>
      <c r="F123" s="172" t="n">
        <f aca="false">(F41*INDEX(B4_EffIn,1,3)+F42*INDEX(B4_EffCache,1,3)+F43*INDEX(B4_EffOut,1,3))/1000000</f>
        <v>0.661632</v>
      </c>
      <c r="G123" s="172" t="n">
        <f aca="false">(G41*INDEX(B4_EffIn,1,3)+G42*INDEX(B4_EffCache,1,3)+G43*INDEX(B4_EffOut,1,3))/1000000</f>
        <v>3.81408</v>
      </c>
    </row>
    <row r="124" customFormat="false" ht="15" hidden="false" customHeight="false" outlineLevel="0" collapsed="false">
      <c r="A124" s="5" t="s">
        <v>2333</v>
      </c>
      <c r="B124" s="62" t="s">
        <v>452</v>
      </c>
      <c r="C124" s="172" t="n">
        <f aca="false">(C35*INDEX(B4_EffIn,1,3)+C36*INDEX(B4_EffCache,1,3)+C37*INDEX(B4_EffOut,1,3))/1000000</f>
        <v>0.0328</v>
      </c>
      <c r="D124" s="172" t="n">
        <f aca="false">(D35*INDEX(B4_EffIn,1,3)+D36*INDEX(B4_EffCache,1,3)+D37*INDEX(B4_EffOut,1,3))/1000000</f>
        <v>0.1608</v>
      </c>
      <c r="E124" s="172" t="n">
        <f aca="false">(E35*INDEX(B4_EffIn,1,3)+E36*INDEX(B4_EffCache,1,3)+E37*INDEX(B4_EffOut,1,3))/1000000</f>
        <v>0.1024998016</v>
      </c>
      <c r="F124" s="172" t="n">
        <f aca="false">(F35*INDEX(B4_EffIn,1,3)+F36*INDEX(B4_EffCache,1,3)+F37*INDEX(B4_EffOut,1,3))/1000000</f>
        <v>0.4099992064</v>
      </c>
      <c r="G124" s="172" t="n">
        <f aca="false">(G35*INDEX(B4_EffIn,1,3)+G36*INDEX(B4_EffCache,1,3)+G37*INDEX(B4_EffOut,1,3))/1000000</f>
        <v>2.1017472</v>
      </c>
    </row>
    <row r="125" customFormat="false" ht="15" hidden="false" customHeight="false" outlineLevel="0" collapsed="false">
      <c r="A125" s="5" t="s">
        <v>2334</v>
      </c>
      <c r="B125" s="62" t="s">
        <v>452</v>
      </c>
      <c r="C125" s="172" t="n">
        <f aca="false">IF(C56&gt;0,C116/C56,0)</f>
        <v>0.000340869980715914</v>
      </c>
      <c r="D125" s="172" t="n">
        <f aca="false">IF(D56&gt;0,D116/D56,0)</f>
        <v>0.00181896849275965</v>
      </c>
      <c r="E125" s="172" t="n">
        <f aca="false">IF(E56&gt;0,E116/E56,0)</f>
        <v>0.00237971056778149</v>
      </c>
      <c r="F125" s="172" t="n">
        <f aca="false">IF(F56&gt;0,F116/F56,0)</f>
        <v>0.0148258927218325</v>
      </c>
      <c r="G125" s="172" t="n">
        <f aca="false">IF(G56&gt;0,G116/G56,0)</f>
        <v>0.171997108568582</v>
      </c>
    </row>
    <row r="126" customFormat="false" ht="15" hidden="false" customHeight="false" outlineLevel="0" collapsed="false">
      <c r="A126" s="5" t="s">
        <v>2335</v>
      </c>
      <c r="B126" s="62" t="s">
        <v>452</v>
      </c>
      <c r="C126" s="172" t="n">
        <f aca="false">IF(C57&gt;0,C117/C57,0)</f>
        <v>0.000340869980715914</v>
      </c>
      <c r="D126" s="172" t="n">
        <f aca="false">IF(D57&gt;0,D117/D57,0)</f>
        <v>0.00181896849275965</v>
      </c>
      <c r="E126" s="172" t="n">
        <f aca="false">IF(E57&gt;0,E117/E57,0)</f>
        <v>0.00237971056778149</v>
      </c>
      <c r="F126" s="172" t="n">
        <f aca="false">IF(F57&gt;0,F117/F57,0)</f>
        <v>0.0148258927218325</v>
      </c>
      <c r="G126" s="172" t="n">
        <f aca="false">IF(G57&gt;0,G117/G57,0)</f>
        <v>0.171997108568582</v>
      </c>
    </row>
    <row r="127" customFormat="false" ht="15" hidden="false" customHeight="false" outlineLevel="0" collapsed="false">
      <c r="A127" s="5" t="s">
        <v>2336</v>
      </c>
      <c r="B127" s="62" t="s">
        <v>452</v>
      </c>
      <c r="C127" s="172" t="n">
        <f aca="false">IF(C58&gt;0,C118/C58,0)</f>
        <v>0.000340869980715914</v>
      </c>
      <c r="D127" s="172" t="n">
        <f aca="false">IF(D58&gt;0,D118/D58,0)</f>
        <v>0.00181896849275965</v>
      </c>
      <c r="E127" s="172" t="n">
        <f aca="false">IF(E58&gt;0,E118/E58,0)</f>
        <v>0.00141718768484371</v>
      </c>
      <c r="F127" s="172" t="n">
        <f aca="false">IF(F58&gt;0,F118/F58,0)</f>
        <v>0.00712491678942907</v>
      </c>
      <c r="G127" s="172" t="n">
        <f aca="false">IF(G58&gt;0,G118/G58,0)</f>
        <v>0.0648763004524294</v>
      </c>
    </row>
    <row r="128" customFormat="false" ht="15" hidden="false" customHeight="false" outlineLevel="0" collapsed="false">
      <c r="A128" s="5" t="s">
        <v>2337</v>
      </c>
      <c r="B128" s="62" t="s">
        <v>452</v>
      </c>
      <c r="C128" s="172" t="n">
        <f aca="false">IF(C59&gt;0,C119/C59,0)</f>
        <v>0.00663334302966199</v>
      </c>
      <c r="D128" s="172" t="n">
        <f aca="false">IF(D59&gt;0,D119/D59,0)</f>
        <v>0.0333622604201019</v>
      </c>
      <c r="E128" s="172" t="n">
        <f aca="false">IF(E59&gt;0,E119/E59,0)</f>
        <v>0.0372168</v>
      </c>
      <c r="F128" s="172" t="n">
        <f aca="false">IF(F59&gt;0,F119/F59,0)</f>
        <v>0.179110847385002</v>
      </c>
      <c r="G128" s="172" t="n">
        <f aca="false">IF(G59&gt;0,G119/G59,0)</f>
        <v>1.525632</v>
      </c>
    </row>
    <row r="129" customFormat="false" ht="15" hidden="false" customHeight="false" outlineLevel="0" collapsed="false">
      <c r="A129" s="5" t="s">
        <v>2338</v>
      </c>
      <c r="B129" s="62" t="s">
        <v>452</v>
      </c>
      <c r="C129" s="172" t="n">
        <f aca="false">IF(C60&gt;0,C120/C60,0)</f>
        <v>0.00663334302966199</v>
      </c>
      <c r="D129" s="172" t="n">
        <f aca="false">IF(D60&gt;0,D120/D60,0)</f>
        <v>0.0333622604201019</v>
      </c>
      <c r="E129" s="172" t="n">
        <f aca="false">IF(E60&gt;0,E120/E60,0)</f>
        <v>0.0372168</v>
      </c>
      <c r="F129" s="172" t="n">
        <f aca="false">IF(F60&gt;0,F120/F60,0)</f>
        <v>0.179110847385002</v>
      </c>
      <c r="G129" s="172" t="n">
        <f aca="false">IF(G60&gt;0,G120/G60,0)</f>
        <v>1.525632</v>
      </c>
    </row>
    <row r="130" customFormat="false" ht="15" hidden="false" customHeight="false" outlineLevel="0" collapsed="false">
      <c r="A130" s="5" t="s">
        <v>2339</v>
      </c>
      <c r="B130" s="62" t="s">
        <v>452</v>
      </c>
      <c r="C130" s="172" t="n">
        <f aca="false">IF(C61&gt;0,C121/C61,0)</f>
        <v>0.00663334302966199</v>
      </c>
      <c r="D130" s="172" t="n">
        <f aca="false">IF(D61&gt;0,D121/D61,0)</f>
        <v>0.0333622604201019</v>
      </c>
      <c r="E130" s="172" t="n">
        <f aca="false">IF(E61&gt;0,E121/E61,0)</f>
        <v>0.022734958114485</v>
      </c>
      <c r="F130" s="172" t="n">
        <f aca="false">IF(F61&gt;0,F121/F61,0)</f>
        <v>0.0992381844259314</v>
      </c>
      <c r="G130" s="172" t="n">
        <f aca="false">IF(G61&gt;0,G121/G61,0)</f>
        <v>0.670290712417705</v>
      </c>
    </row>
    <row r="131" customFormat="false" ht="15" hidden="false" customHeight="false" outlineLevel="0" collapsed="false">
      <c r="A131" s="5" t="s">
        <v>2340</v>
      </c>
      <c r="B131" s="62" t="s">
        <v>452</v>
      </c>
      <c r="C131" s="172" t="n">
        <f aca="false">IF(C62&gt;0,C122/C62,0)</f>
        <v>0.0330180501317747</v>
      </c>
      <c r="D131" s="172" t="n">
        <f aca="false">IF(D62&gt;0,D122/D62,0)</f>
        <v>0.164374341614178</v>
      </c>
      <c r="E131" s="172" t="n">
        <f aca="false">IF(E62&gt;0,E122/E62,0)</f>
        <v>0.177702023154898</v>
      </c>
      <c r="F131" s="172" t="n">
        <f aca="false">IF(F62&gt;0,F122/F62,0)</f>
        <v>0.800722994254286</v>
      </c>
      <c r="G131" s="172" t="n">
        <f aca="false">IF(G62&gt;0,G122/G62,0)</f>
        <v>6.08194553659479</v>
      </c>
    </row>
    <row r="132" customFormat="false" ht="15" hidden="false" customHeight="false" outlineLevel="0" collapsed="false">
      <c r="A132" s="5" t="s">
        <v>2341</v>
      </c>
      <c r="B132" s="62" t="s">
        <v>452</v>
      </c>
      <c r="C132" s="172" t="n">
        <f aca="false">IF(C63&gt;0,C123/C63,0)</f>
        <v>0.0330180501317747</v>
      </c>
      <c r="D132" s="172" t="n">
        <f aca="false">IF(D63&gt;0,D123/D63,0)</f>
        <v>0.164374341614178</v>
      </c>
      <c r="E132" s="172" t="n">
        <f aca="false">IF(E63&gt;0,E123/E63,0)</f>
        <v>0.177702023154898</v>
      </c>
      <c r="F132" s="172" t="n">
        <f aca="false">IF(F63&gt;0,F123/F63,0)</f>
        <v>0.800722994254286</v>
      </c>
      <c r="G132" s="172" t="n">
        <f aca="false">IF(G63&gt;0,G123/G63,0)</f>
        <v>6.08194553659479</v>
      </c>
    </row>
    <row r="133" customFormat="false" ht="15" hidden="false" customHeight="false" outlineLevel="0" collapsed="false">
      <c r="A133" s="5" t="s">
        <v>2342</v>
      </c>
      <c r="B133" s="62" t="s">
        <v>452</v>
      </c>
      <c r="C133" s="172" t="n">
        <f aca="false">IF(C64&gt;0,C124/C64,0)</f>
        <v>0.0330180501317747</v>
      </c>
      <c r="D133" s="172" t="n">
        <f aca="false">IF(D64&gt;0,D124/D64,0)</f>
        <v>0.164374341614178</v>
      </c>
      <c r="E133" s="172" t="n">
        <f aca="false">IF(E64&gt;0,E124/E64,0)</f>
        <v>0.109144489798042</v>
      </c>
      <c r="F133" s="172" t="n">
        <f aca="false">IF(F64&gt;0,F124/F64,0)</f>
        <v>0.4612491072</v>
      </c>
      <c r="G133" s="172" t="n">
        <f aca="false">IF(G64&gt;0,G124/G64,0)</f>
        <v>2.84482704872992</v>
      </c>
    </row>
    <row r="135" customFormat="false" ht="15" hidden="false" customHeight="false" outlineLevel="0" collapsed="false">
      <c r="A135" s="76" t="s">
        <v>2343</v>
      </c>
      <c r="B135" s="70"/>
      <c r="C135" s="70"/>
      <c r="D135" s="70"/>
      <c r="E135" s="70"/>
      <c r="F135" s="70"/>
      <c r="G135" s="70"/>
      <c r="H135" s="70"/>
    </row>
    <row r="136" customFormat="false" ht="15" hidden="false" customHeight="false" outlineLevel="0" collapsed="false">
      <c r="A136" s="6" t="s">
        <v>2344</v>
      </c>
      <c r="B136" s="62" t="s">
        <v>118</v>
      </c>
      <c r="C136" s="104" t="n">
        <f aca="false">IF(AND(ISNUMBER(C89),ISNUMBER(C87)),C89/C87,"SLO 不可達")</f>
        <v>1</v>
      </c>
      <c r="D136" s="104" t="n">
        <f aca="false">IF(AND(ISNUMBER(D89),ISNUMBER(D87)),D89/D87,"SLO 不可達")</f>
        <v>1</v>
      </c>
      <c r="E136" s="104" t="n">
        <f aca="false">IF(AND(ISNUMBER(E89),ISNUMBER(E87)),E89/E87,"SLO 不可達")</f>
        <v>0.591852640323466</v>
      </c>
      <c r="F136" s="104" t="n">
        <f aca="false">IF(AND(ISNUMBER(F89),ISNUMBER(F87)),F89/F87,"SLO 不可達")</f>
        <v>0.477605481152274</v>
      </c>
      <c r="G136" s="104" t="n">
        <f aca="false">IF(AND(ISNUMBER(G89),ISNUMBER(G87)),G89/G87,"SLO 不可達")</f>
        <v>0.414018377875692</v>
      </c>
    </row>
    <row r="137" customFormat="false" ht="15" hidden="false" customHeight="false" outlineLevel="0" collapsed="false">
      <c r="A137" s="6" t="s">
        <v>2345</v>
      </c>
      <c r="B137" s="62" t="s">
        <v>118</v>
      </c>
      <c r="C137" s="104" t="n">
        <f aca="false">IF(AND(ISNUMBER(C92),ISNUMBER(C90)),C92/C90,"SLO 不可達")</f>
        <v>1</v>
      </c>
      <c r="D137" s="104" t="n">
        <f aca="false">IF(AND(ISNUMBER(D92),ISNUMBER(D90)),D92/D90,"SLO 不可達")</f>
        <v>1</v>
      </c>
      <c r="E137" s="104" t="n">
        <f aca="false">IF(AND(ISNUMBER(E92),ISNUMBER(E90)),E92/E90,"SLO 不可達")</f>
        <v>0.606334408966066</v>
      </c>
      <c r="F137" s="104" t="n">
        <f aca="false">IF(AND(ISNUMBER(F92),ISNUMBER(F90)),F92/F90,"SLO 不可達")</f>
        <v>0.549938350367623</v>
      </c>
      <c r="G137" s="104" t="n">
        <f aca="false">IF(AND(ISNUMBER(G92),ISNUMBER(G90)),G92/G90,"SLO 不可達")</f>
        <v>0.478078141949835</v>
      </c>
    </row>
    <row r="138" customFormat="false" ht="15" hidden="false" customHeight="false" outlineLevel="0" collapsed="false">
      <c r="A138" s="6" t="s">
        <v>2346</v>
      </c>
      <c r="B138" s="62" t="s">
        <v>118</v>
      </c>
      <c r="C138" s="104" t="n">
        <f aca="false">IF(AND(ISNUMBER(C95),ISNUMBER(C93)),C95/C93,"SLO 不可達")</f>
        <v>1</v>
      </c>
      <c r="D138" s="104" t="n">
        <f aca="false">IF(AND(ISNUMBER(D95),ISNUMBER(D93)),D95/D93,"SLO 不可達")</f>
        <v>1</v>
      </c>
      <c r="E138" s="104" t="n">
        <f aca="false">IF(AND(ISNUMBER(E95),ISNUMBER(E93)),E95/E93,"SLO 不可達")</f>
        <v>0.609544423277789</v>
      </c>
      <c r="F138" s="104" t="n">
        <f aca="false">IF(AND(ISNUMBER(F95),ISNUMBER(F93)),F95/F93,"SLO 不可達")</f>
        <v>0.571674943858998</v>
      </c>
      <c r="G138" s="104" t="n">
        <f aca="false">IF(AND(ISNUMBER(G95),ISNUMBER(G93)),G95/G93,"SLO 不可達")</f>
        <v>0.519237863316496</v>
      </c>
    </row>
    <row r="139" customFormat="false" ht="15" hidden="false" customHeight="false" outlineLevel="0" collapsed="false">
      <c r="A139" s="6" t="s">
        <v>2347</v>
      </c>
      <c r="B139" s="62" t="s">
        <v>118</v>
      </c>
      <c r="C139" s="77" t="n">
        <f aca="false">IF(AND(ISNUMBER(C98),ISNUMBER(C96)),C98/C96,"SLO 不可達")</f>
        <v>1</v>
      </c>
      <c r="D139" s="77" t="n">
        <f aca="false">IF(AND(ISNUMBER(D98),ISNUMBER(D96)),D98/D96,"SLO 不可達")</f>
        <v>1</v>
      </c>
      <c r="E139" s="77" t="n">
        <f aca="false">IF(AND(ISNUMBER(E98),ISNUMBER(E96)),E98/E96,"SLO 不可達")</f>
        <v>0.591225683279269</v>
      </c>
      <c r="F139" s="77" t="n">
        <f aca="false">IF(AND(ISNUMBER(F98),ISNUMBER(F96)),F98/F96,"SLO 不可達")</f>
        <v>0.477099547579701</v>
      </c>
      <c r="G139" s="77" t="n">
        <f aca="false">IF(AND(ISNUMBER(G98),ISNUMBER(G96)),G98/G96,"SLO 不可達")</f>
        <v>0.413650152139385</v>
      </c>
    </row>
    <row r="140" customFormat="false" ht="15" hidden="false" customHeight="false" outlineLevel="0" collapsed="false">
      <c r="A140" s="6" t="s">
        <v>2348</v>
      </c>
      <c r="B140" s="62" t="s">
        <v>118</v>
      </c>
      <c r="C140" s="77" t="n">
        <f aca="false">IF(AND(ISNUMBER(C101),ISNUMBER(C99)),C101/C99,"SLO 不可達")</f>
        <v>1</v>
      </c>
      <c r="D140" s="77" t="n">
        <f aca="false">IF(AND(ISNUMBER(D101),ISNUMBER(D99)),D101/D99,"SLO 不可達")</f>
        <v>1</v>
      </c>
      <c r="E140" s="77" t="n">
        <f aca="false">IF(AND(ISNUMBER(E101),ISNUMBER(E99)),E101/E99,"SLO 不可達")</f>
        <v>0.605590883071607</v>
      </c>
      <c r="F140" s="77" t="n">
        <f aca="false">IF(AND(ISNUMBER(F101),ISNUMBER(F99)),F101/F99,"SLO 不可達")</f>
        <v>0.549263980914385</v>
      </c>
      <c r="G140" s="77" t="n">
        <f aca="false">IF(AND(ISNUMBER(G101),ISNUMBER(G99)),G101/G99,"SLO 不可達")</f>
        <v>0.47857957435032</v>
      </c>
    </row>
    <row r="141" customFormat="false" ht="15" hidden="false" customHeight="false" outlineLevel="0" collapsed="false">
      <c r="A141" s="6" t="s">
        <v>2349</v>
      </c>
      <c r="B141" s="62" t="s">
        <v>118</v>
      </c>
      <c r="C141" s="77" t="n">
        <f aca="false">IF(AND(ISNUMBER(C104),ISNUMBER(C102)),C104/C102,"SLO 不可達")</f>
        <v>1</v>
      </c>
      <c r="D141" s="77" t="n">
        <f aca="false">IF(AND(ISNUMBER(D104),ISNUMBER(D102)),D104/D102,"SLO 不可達")</f>
        <v>1</v>
      </c>
      <c r="E141" s="77" t="n">
        <f aca="false">IF(AND(ISNUMBER(E104),ISNUMBER(E102)),E104/E102,"SLO 不可達")</f>
        <v>0.607371370051011</v>
      </c>
      <c r="F141" s="77" t="n">
        <f aca="false">IF(AND(ISNUMBER(F104),ISNUMBER(F102)),F104/F102,"SLO 不可達")</f>
        <v>0.56963689702602</v>
      </c>
      <c r="G141" s="77" t="n">
        <f aca="false">IF(AND(ISNUMBER(G104),ISNUMBER(G102)),G104/G102,"SLO 不可達")</f>
        <v>0.519160332279162</v>
      </c>
    </row>
    <row r="142" customFormat="false" ht="15" hidden="false" customHeight="false" outlineLevel="0" collapsed="false">
      <c r="A142" s="5" t="s">
        <v>2350</v>
      </c>
      <c r="B142" s="62" t="s">
        <v>118</v>
      </c>
      <c r="C142" s="77" t="n">
        <f aca="false">C58/C56</f>
        <v>1</v>
      </c>
      <c r="D142" s="77" t="n">
        <f aca="false">D58/D56</f>
        <v>1</v>
      </c>
      <c r="E142" s="77" t="n">
        <f aca="false">E58/E56</f>
        <v>1.04055079118975</v>
      </c>
      <c r="F142" s="77" t="n">
        <f aca="false">F58/F56</f>
        <v>1.28945909848127</v>
      </c>
      <c r="G142" s="77" t="n">
        <f aca="false">G58/G56</f>
        <v>1.46091769390038</v>
      </c>
    </row>
    <row r="143" customFormat="false" ht="15" hidden="false" customHeight="false" outlineLevel="0" collapsed="false">
      <c r="A143" s="5" t="s">
        <v>2351</v>
      </c>
      <c r="B143" s="62" t="s">
        <v>118</v>
      </c>
      <c r="C143" s="77" t="n">
        <f aca="false">C61/C59</f>
        <v>1</v>
      </c>
      <c r="D143" s="77" t="n">
        <f aca="false">D61/D59</f>
        <v>1</v>
      </c>
      <c r="E143" s="77" t="n">
        <f aca="false">E61/E59</f>
        <v>1.01440500764795</v>
      </c>
      <c r="F143" s="77" t="n">
        <f aca="false">F61/F59</f>
        <v>1.11843202124979</v>
      </c>
      <c r="G143" s="77" t="n">
        <f aca="false">G61/G59</f>
        <v>1.25423023835082</v>
      </c>
    </row>
    <row r="144" customFormat="false" ht="15" hidden="false" customHeight="false" outlineLevel="0" collapsed="false">
      <c r="A144" s="5" t="s">
        <v>2352</v>
      </c>
      <c r="B144" s="62" t="s">
        <v>118</v>
      </c>
      <c r="C144" s="77" t="n">
        <f aca="false">C64/C62</f>
        <v>1</v>
      </c>
      <c r="D144" s="77" t="n">
        <f aca="false">D64/D62</f>
        <v>1</v>
      </c>
      <c r="E144" s="77" t="n">
        <f aca="false">E64/E62</f>
        <v>1.00892079057841</v>
      </c>
      <c r="F144" s="77" t="n">
        <f aca="false">F64/F62</f>
        <v>1.07575475894527</v>
      </c>
      <c r="G144" s="77" t="n">
        <f aca="false">G64/G62</f>
        <v>1.17808692925104</v>
      </c>
    </row>
    <row r="146" customFormat="false" ht="15" hidden="false" customHeight="false" outlineLevel="0" collapsed="false">
      <c r="A146" s="76" t="s">
        <v>2353</v>
      </c>
      <c r="B146" s="70"/>
      <c r="C146" s="70"/>
      <c r="D146" s="70"/>
      <c r="E146" s="70"/>
      <c r="F146" s="70"/>
      <c r="G146" s="70"/>
      <c r="H146" s="70"/>
    </row>
    <row r="147" customFormat="false" ht="15" hidden="false" customHeight="false" outlineLevel="0" collapsed="false">
      <c r="A147" s="5" t="s">
        <v>2354</v>
      </c>
      <c r="B147" s="62" t="s">
        <v>452</v>
      </c>
      <c r="C147" s="172" t="n">
        <f aca="false">MIN(C87,C90,C93,C89,C92,C95)</f>
        <v>8.8899077896421E-005</v>
      </c>
      <c r="D147" s="172" t="n">
        <f aca="false">MIN(D87,D90,D93,D89,D92,D95)</f>
        <v>0.000627888436452441</v>
      </c>
      <c r="E147" s="172" t="n">
        <f aca="false">MIN(E87,E90,E93,E89,E92,E95)</f>
        <v>0.000348021397530065</v>
      </c>
      <c r="F147" s="172" t="n">
        <f aca="false">MIN(F87,F90,F93,F89,F92,F95)</f>
        <v>0.00174967897679409</v>
      </c>
      <c r="G147" s="172" t="n">
        <f aca="false">MIN(G87,G90,G93,G89,G92,G95)</f>
        <v>0.0114149327828275</v>
      </c>
      <c r="I147" s="74" t="s">
        <v>2355</v>
      </c>
    </row>
    <row r="148" customFormat="false" ht="15" hidden="false" customHeight="false" outlineLevel="0" collapsed="false">
      <c r="A148" s="5" t="s">
        <v>2356</v>
      </c>
      <c r="B148" s="61"/>
      <c r="C148" s="61" t="str">
        <f aca="false">IF(C87=C147,"Luna｜標準",IF(C90=C147,"Sol｜標準",IF(C93=C147,"Astra｜標準",IF(C89=C147,"Luna｜選定",IF(C92=C147,"Sol｜選定",IF(C95=C147,"Astra｜選定","—"))))))</f>
        <v>Luna｜標準</v>
      </c>
      <c r="D148" s="61" t="str">
        <f aca="false">IF(D87=D147,"Luna｜標準",IF(D90=D147,"Sol｜標準",IF(D93=D147,"Astra｜標準",IF(D89=D147,"Luna｜選定",IF(D92=D147,"Sol｜選定",IF(D95=D147,"Astra｜選定","—"))))))</f>
        <v>Luna｜標準</v>
      </c>
      <c r="E148" s="61" t="str">
        <f aca="false">IF(E87=E147,"Luna｜標準",IF(E90=E147,"Sol｜標準",IF(E93=E147,"Astra｜標準",IF(E89=E147,"Luna｜選定",IF(E92=E147,"Sol｜選定",IF(E95=E147,"Astra｜選定","—"))))))</f>
        <v>Luna｜選定</v>
      </c>
      <c r="F148" s="61" t="str">
        <f aca="false">IF(F87=F147,"Luna｜標準",IF(F90=F147,"Sol｜標準",IF(F93=F147,"Astra｜標準",IF(F89=F147,"Luna｜選定",IF(F92=F147,"Sol｜選定",IF(F95=F147,"Astra｜選定","—"))))))</f>
        <v>Luna｜選定</v>
      </c>
      <c r="G148" s="61" t="str">
        <f aca="false">IF(G87=G147,"Luna｜標準",IF(G90=G147,"Sol｜標準",IF(G93=G147,"Astra｜標準",IF(G89=G147,"Luna｜選定",IF(G92=G147,"Sol｜選定",IF(G95=G147,"Astra｜選定","—"))))))</f>
        <v>Luna｜選定</v>
      </c>
      <c r="I148" s="74" t="s">
        <v>2357</v>
      </c>
    </row>
    <row r="149" customFormat="false" ht="15" hidden="false" customHeight="false" outlineLevel="0" collapsed="false">
      <c r="A149" s="5" t="s">
        <v>2358</v>
      </c>
      <c r="B149" s="62" t="s">
        <v>452</v>
      </c>
      <c r="C149" s="172" t="n">
        <f aca="false">MIN(C96,C99,C102,C98,C101,C104)</f>
        <v>0.000114248703667037</v>
      </c>
      <c r="D149" s="172" t="n">
        <f aca="false">MIN(D96,D99,D102,D98,D101,D104)</f>
        <v>0.000810841077890223</v>
      </c>
      <c r="E149" s="172" t="n">
        <f aca="false">MIN(E96,E99,E102,E98,E101,E104)</f>
        <v>0.000446305688742682</v>
      </c>
      <c r="F149" s="172" t="n">
        <f aca="false">MIN(F96,F99,F102,F98,F101,F104)</f>
        <v>0.00224380364643878</v>
      </c>
      <c r="G149" s="172" t="n">
        <f aca="false">MIN(G96,G99,G102,G98,G101,G104)</f>
        <v>0.0144766437459101</v>
      </c>
      <c r="I149" s="74" t="s">
        <v>2359</v>
      </c>
    </row>
    <row r="150" customFormat="false" ht="15" hidden="false" customHeight="false" outlineLevel="0" collapsed="false">
      <c r="A150" s="5" t="s">
        <v>2360</v>
      </c>
      <c r="B150" s="61"/>
      <c r="C150" s="61" t="str">
        <f aca="false">IF(C96=C149,"Luna｜標準",IF(C99=C149,"Sol｜標準",IF(C102=C149,"Astra｜標準",IF(C98=C149,"Luna｜選定",IF(C101=C149,"Sol｜選定",IF(C104=C149,"Astra｜選定","—"))))))</f>
        <v>Luna｜標準</v>
      </c>
      <c r="D150" s="61" t="str">
        <f aca="false">IF(D96=D149,"Luna｜標準",IF(D99=D149,"Sol｜標準",IF(D102=D149,"Astra｜標準",IF(D98=D149,"Luna｜選定",IF(D101=D149,"Sol｜選定",IF(D104=D149,"Astra｜選定","—"))))))</f>
        <v>Luna｜標準</v>
      </c>
      <c r="E150" s="61" t="str">
        <f aca="false">IF(E96=E149,"Luna｜標準",IF(E99=E149,"Sol｜標準",IF(E102=E149,"Astra｜標準",IF(E98=E149,"Luna｜選定",IF(E101=E149,"Sol｜選定",IF(E104=E149,"Astra｜選定","—"))))))</f>
        <v>Luna｜選定</v>
      </c>
      <c r="F150" s="61" t="str">
        <f aca="false">IF(F96=F149,"Luna｜標準",IF(F99=F149,"Sol｜標準",IF(F102=F149,"Astra｜標準",IF(F98=F149,"Luna｜選定",IF(F101=F149,"Sol｜選定",IF(F104=F149,"Astra｜選定","—"))))))</f>
        <v>Luna｜選定</v>
      </c>
      <c r="G150" s="61" t="str">
        <f aca="false">IF(G96=G149,"Luna｜標準",IF(G99=G149,"Sol｜標準",IF(G102=G149,"Astra｜標準",IF(G98=G149,"Luna｜選定",IF(G101=G149,"Sol｜選定",IF(G104=G149,"Astra｜選定","—"))))))</f>
        <v>Luna｜選定</v>
      </c>
      <c r="I150" s="74" t="s">
        <v>2361</v>
      </c>
    </row>
    <row r="151" customFormat="false" ht="15" hidden="false" customHeight="false" outlineLevel="0" collapsed="false">
      <c r="A151" s="6" t="s">
        <v>2362</v>
      </c>
      <c r="B151" s="62" t="s">
        <v>452</v>
      </c>
      <c r="C151" s="173" t="n">
        <f aca="false">IF(OR(AND(ISNUMBER(C87),C56&gt;=B5_PFloor),AND(ISNUMBER(C90),C59&gt;=B5_PFloor),AND(ISNUMBER(C93),C62&gt;=B5_PFloor),AND(ISNUMBER(C89),C58&gt;=B5_PFloor),AND(ISNUMBER(C92),C61&gt;=B5_PFloor),AND(ISNUMBER(C95),C64&gt;=B5_PFloor)),MIN(IF(AND(ISNUMBER(C87),C56&gt;=B5_PFloor),C87,9E+099),IF(AND(ISNUMBER(C90),C59&gt;=B5_PFloor),C90,9E+099),IF(AND(ISNUMBER(C93),C62&gt;=B5_PFloor),C93,9E+099),IF(AND(ISNUMBER(C89),C58&gt;=B5_PFloor),C89,9E+099),IF(AND(ISNUMBER(C92),C61&gt;=B5_PFloor),C92,9E+099),IF(AND(ISNUMBER(C95),C64&gt;=B5_PFloor),C95,9E+099)),"無合格")</f>
        <v>8.8899077896421E-005</v>
      </c>
      <c r="D151" s="173" t="n">
        <f aca="false">IF(OR(AND(ISNUMBER(D87),D56&gt;=B5_PFloor),AND(ISNUMBER(D90),D59&gt;=B5_PFloor),AND(ISNUMBER(D93),D62&gt;=B5_PFloor),AND(ISNUMBER(D89),D58&gt;=B5_PFloor),AND(ISNUMBER(D92),D61&gt;=B5_PFloor),AND(ISNUMBER(D95),D64&gt;=B5_PFloor)),MIN(IF(AND(ISNUMBER(D87),D56&gt;=B5_PFloor),D87,9E+099),IF(AND(ISNUMBER(D90),D59&gt;=B5_PFloor),D90,9E+099),IF(AND(ISNUMBER(D93),D62&gt;=B5_PFloor),D93,9E+099),IF(AND(ISNUMBER(D89),D58&gt;=B5_PFloor),D89,9E+099),IF(AND(ISNUMBER(D92),D61&gt;=B5_PFloor),D92,9E+099),IF(AND(ISNUMBER(D95),D64&gt;=B5_PFloor),D95,9E+099)),"無合格")</f>
        <v>0.000627888436452441</v>
      </c>
      <c r="E151" s="173" t="n">
        <f aca="false">IF(OR(AND(ISNUMBER(E87),E56&gt;=B5_PFloor),AND(ISNUMBER(E90),E59&gt;=B5_PFloor),AND(ISNUMBER(E93),E62&gt;=B5_PFloor),AND(ISNUMBER(E89),E58&gt;=B5_PFloor),AND(ISNUMBER(E92),E61&gt;=B5_PFloor),AND(ISNUMBER(E95),E64&gt;=B5_PFloor)),MIN(IF(AND(ISNUMBER(E87),E56&gt;=B5_PFloor),E87,9E+099),IF(AND(ISNUMBER(E90),E59&gt;=B5_PFloor),E90,9E+099),IF(AND(ISNUMBER(E93),E62&gt;=B5_PFloor),E93,9E+099),IF(AND(ISNUMBER(E89),E58&gt;=B5_PFloor),E89,9E+099),IF(AND(ISNUMBER(E92),E61&gt;=B5_PFloor),E92,9E+099),IF(AND(ISNUMBER(E95),E64&gt;=B5_PFloor),E95,9E+099)),"無合格")</f>
        <v>0.000348021397530065</v>
      </c>
      <c r="F151" s="173" t="n">
        <f aca="false">IF(OR(AND(ISNUMBER(F87),F56&gt;=B5_PFloor),AND(ISNUMBER(F90),F59&gt;=B5_PFloor),AND(ISNUMBER(F93),F62&gt;=B5_PFloor),AND(ISNUMBER(F89),F58&gt;=B5_PFloor),AND(ISNUMBER(F92),F61&gt;=B5_PFloor),AND(ISNUMBER(F95),F64&gt;=B5_PFloor)),MIN(IF(AND(ISNUMBER(F87),F56&gt;=B5_PFloor),F87,9E+099),IF(AND(ISNUMBER(F90),F59&gt;=B5_PFloor),F90,9E+099),IF(AND(ISNUMBER(F93),F62&gt;=B5_PFloor),F93,9E+099),IF(AND(ISNUMBER(F89),F58&gt;=B5_PFloor),F89,9E+099),IF(AND(ISNUMBER(F92),F61&gt;=B5_PFloor),F92,9E+099),IF(AND(ISNUMBER(F95),F64&gt;=B5_PFloor),F95,9E+099)),"無合格")</f>
        <v>0.00174967897679409</v>
      </c>
      <c r="G151" s="173" t="n">
        <f aca="false">IF(OR(AND(ISNUMBER(G87),G56&gt;=B5_PFloor),AND(ISNUMBER(G90),G59&gt;=B5_PFloor),AND(ISNUMBER(G93),G62&gt;=B5_PFloor),AND(ISNUMBER(G89),G58&gt;=B5_PFloor),AND(ISNUMBER(G92),G61&gt;=B5_PFloor),AND(ISNUMBER(G95),G64&gt;=B5_PFloor)),MIN(IF(AND(ISNUMBER(G87),G56&gt;=B5_PFloor),G87,9E+099),IF(AND(ISNUMBER(G90),G59&gt;=B5_PFloor),G90,9E+099),IF(AND(ISNUMBER(G93),G62&gt;=B5_PFloor),G93,9E+099),IF(AND(ISNUMBER(G89),G58&gt;=B5_PFloor),G89,9E+099),IF(AND(ISNUMBER(G92),G61&gt;=B5_PFloor),G92,9E+099),IF(AND(ISNUMBER(G95),G64&gt;=B5_PFloor),G95,9E+099)),"無合格")</f>
        <v>0.0190940025729427</v>
      </c>
    </row>
    <row r="152" customFormat="false" ht="15" hidden="false" customHeight="false" outlineLevel="0" collapsed="false">
      <c r="A152" s="6" t="s">
        <v>2363</v>
      </c>
      <c r="B152" s="61"/>
      <c r="C152" s="115" t="str">
        <f aca="false">IF(ISNUMBER(C151),IF(AND(ISNUMBER(C151),C87=C151,AND(ISNUMBER(C87),C56&gt;=B5_PFloor)),"Luna｜標準",IF(AND(ISNUMBER(C151),C90=C151,AND(ISNUMBER(C90),C59&gt;=B5_PFloor)),"Sol｜標準",IF(AND(ISNUMBER(C151),C93=C151,AND(ISNUMBER(C93),C62&gt;=B5_PFloor)),"Astra｜標準",IF(AND(ISNUMBER(C151),C89=C151,AND(ISNUMBER(C89),C58&gt;=B5_PFloor)),"Luna｜選定",IF(AND(ISNUMBER(C151),C92=C151,AND(ISNUMBER(C92),C61&gt;=B5_PFloor)),"Sol｜選定",IF(AND(ISNUMBER(C151),C95=C151,AND(ISNUMBER(C95),C64&gt;=B5_PFloor)),"Astra｜選定","—")))))),"無合格")</f>
        <v>Luna｜標準</v>
      </c>
      <c r="D152" s="115" t="str">
        <f aca="false">IF(ISNUMBER(D151),IF(AND(ISNUMBER(D151),D87=D151,AND(ISNUMBER(D87),D56&gt;=B5_PFloor)),"Luna｜標準",IF(AND(ISNUMBER(D151),D90=D151,AND(ISNUMBER(D90),D59&gt;=B5_PFloor)),"Sol｜標準",IF(AND(ISNUMBER(D151),D93=D151,AND(ISNUMBER(D93),D62&gt;=B5_PFloor)),"Astra｜標準",IF(AND(ISNUMBER(D151),D89=D151,AND(ISNUMBER(D89),D58&gt;=B5_PFloor)),"Luna｜選定",IF(AND(ISNUMBER(D151),D92=D151,AND(ISNUMBER(D92),D61&gt;=B5_PFloor)),"Sol｜選定",IF(AND(ISNUMBER(D151),D95=D151,AND(ISNUMBER(D95),D64&gt;=B5_PFloor)),"Astra｜選定","—")))))),"無合格")</f>
        <v>Luna｜標準</v>
      </c>
      <c r="E152" s="115" t="str">
        <f aca="false">IF(ISNUMBER(E151),IF(AND(ISNUMBER(E151),E87=E151,AND(ISNUMBER(E87),E56&gt;=B5_PFloor)),"Luna｜標準",IF(AND(ISNUMBER(E151),E90=E151,AND(ISNUMBER(E90),E59&gt;=B5_PFloor)),"Sol｜標準",IF(AND(ISNUMBER(E151),E93=E151,AND(ISNUMBER(E93),E62&gt;=B5_PFloor)),"Astra｜標準",IF(AND(ISNUMBER(E151),E89=E151,AND(ISNUMBER(E89),E58&gt;=B5_PFloor)),"Luna｜選定",IF(AND(ISNUMBER(E151),E92=E151,AND(ISNUMBER(E92),E61&gt;=B5_PFloor)),"Sol｜選定",IF(AND(ISNUMBER(E151),E95=E151,AND(ISNUMBER(E95),E64&gt;=B5_PFloor)),"Astra｜選定","—")))))),"無合格")</f>
        <v>Luna｜選定</v>
      </c>
      <c r="F152" s="115" t="str">
        <f aca="false">IF(ISNUMBER(F151),IF(AND(ISNUMBER(F151),F87=F151,AND(ISNUMBER(F87),F56&gt;=B5_PFloor)),"Luna｜標準",IF(AND(ISNUMBER(F151),F90=F151,AND(ISNUMBER(F90),F59&gt;=B5_PFloor)),"Sol｜標準",IF(AND(ISNUMBER(F151),F93=F151,AND(ISNUMBER(F93),F62&gt;=B5_PFloor)),"Astra｜標準",IF(AND(ISNUMBER(F151),F89=F151,AND(ISNUMBER(F89),F58&gt;=B5_PFloor)),"Luna｜選定",IF(AND(ISNUMBER(F151),F92=F151,AND(ISNUMBER(F92),F61&gt;=B5_PFloor)),"Sol｜選定",IF(AND(ISNUMBER(F151),F95=F151,AND(ISNUMBER(F95),F64&gt;=B5_PFloor)),"Astra｜選定","—")))))),"無合格")</f>
        <v>Luna｜選定</v>
      </c>
      <c r="G152" s="115" t="str">
        <f aca="false">IF(ISNUMBER(G151),IF(AND(ISNUMBER(G151),G87=G151,AND(ISNUMBER(G87),G56&gt;=B5_PFloor)),"Luna｜標準",IF(AND(ISNUMBER(G151),G90=G151,AND(ISNUMBER(G90),G59&gt;=B5_PFloor)),"Sol｜標準",IF(AND(ISNUMBER(G151),G93=G151,AND(ISNUMBER(G93),G62&gt;=B5_PFloor)),"Astra｜標準",IF(AND(ISNUMBER(G151),G89=G151,AND(ISNUMBER(G89),G58&gt;=B5_PFloor)),"Luna｜選定",IF(AND(ISNUMBER(G151),G92=G151,AND(ISNUMBER(G92),G61&gt;=B5_PFloor)),"Sol｜選定",IF(AND(ISNUMBER(G151),G95=G151,AND(ISNUMBER(G95),G64&gt;=B5_PFloor)),"Astra｜選定","—")))))),"無合格")</f>
        <v>Sol｜選定</v>
      </c>
    </row>
    <row r="153" customFormat="false" ht="15" hidden="false" customHeight="false" outlineLevel="0" collapsed="false">
      <c r="A153" s="6" t="s">
        <v>2364</v>
      </c>
      <c r="B153" s="62" t="s">
        <v>113</v>
      </c>
      <c r="C153" s="103" t="n">
        <f aca="false">IF(ISNUMBER(C151),IF(AND(ISNUMBER(C151),C87=C151,AND(ISNUMBER(C87),C56&gt;=B5_PFloor)),C56,IF(AND(ISNUMBER(C151),C90=C151,AND(ISNUMBER(C90),C59&gt;=B5_PFloor)),C59,IF(AND(ISNUMBER(C151),C93=C151,AND(ISNUMBER(C93),C62&gt;=B5_PFloor)),C62,IF(AND(ISNUMBER(C151),C89=C151,AND(ISNUMBER(C89),C58&gt;=B5_PFloor)),C58,IF(AND(ISNUMBER(C151),C92=C151,AND(ISNUMBER(C92),C61&gt;=B5_PFloor)),C61,IF(AND(ISNUMBER(C151),C95=C151,AND(ISNUMBER(C95),C64&gt;=B5_PFloor)),C64,"—")))))),"無合格")</f>
        <v>0.962243725044712</v>
      </c>
      <c r="D153" s="103" t="n">
        <f aca="false">IF(ISNUMBER(D151),IF(AND(ISNUMBER(D151),D87=D151,AND(ISNUMBER(D87),D56&gt;=B5_PFloor)),D56,IF(AND(ISNUMBER(D151),D90=D151,AND(ISNUMBER(D90),D59&gt;=B5_PFloor)),D59,IF(AND(ISNUMBER(D151),D93=D151,AND(ISNUMBER(D93),D62&gt;=B5_PFloor)),D62,IF(AND(ISNUMBER(D151),D89=D151,AND(ISNUMBER(D89),D58&gt;=B5_PFloor)),D58,IF(AND(ISNUMBER(D151),D92=D151,AND(ISNUMBER(D92),D61&gt;=B5_PFloor)),D61,IF(AND(ISNUMBER(D151),D95=D151,AND(ISNUMBER(D95),D64&gt;=B5_PFloor)),D64,"—")))))),"無合格")</f>
        <v>0.884017511243649</v>
      </c>
      <c r="E153" s="103" t="n">
        <f aca="false">IF(ISNUMBER(E151),IF(AND(ISNUMBER(E151),E87=E151,AND(ISNUMBER(E87),E56&gt;=B5_PFloor)),E56,IF(AND(ISNUMBER(E151),E90=E151,AND(ISNUMBER(E90),E59&gt;=B5_PFloor)),E59,IF(AND(ISNUMBER(E151),E93=E151,AND(ISNUMBER(E93),E62&gt;=B5_PFloor)),E62,IF(AND(ISNUMBER(E151),E89=E151,AND(ISNUMBER(E89),E58&gt;=B5_PFloor)),E58,IF(AND(ISNUMBER(E151),E92=E151,AND(ISNUMBER(E92),E61&gt;=B5_PFloor)),E61,IF(AND(ISNUMBER(E151),E95=E151,AND(ISNUMBER(E95),E64&gt;=B5_PFloor)),E64,"—")))))),"無合格")</f>
        <v>0.723262011773013</v>
      </c>
      <c r="F153" s="103" t="n">
        <f aca="false">IF(ISNUMBER(F151),IF(AND(ISNUMBER(F151),F87=F151,AND(ISNUMBER(F87),F56&gt;=B5_PFloor)),F56,IF(AND(ISNUMBER(F151),F90=F151,AND(ISNUMBER(F90),F59&gt;=B5_PFloor)),F59,IF(AND(ISNUMBER(F151),F93=F151,AND(ISNUMBER(F93),F62&gt;=B5_PFloor)),F62,IF(AND(ISNUMBER(F151),F89=F151,AND(ISNUMBER(F89),F58&gt;=B5_PFloor)),F58,IF(AND(ISNUMBER(F151),F92=F151,AND(ISNUMBER(F92),F61&gt;=B5_PFloor)),F61,IF(AND(ISNUMBER(F151),F95=F151,AND(ISNUMBER(F95),F64&gt;=B5_PFloor)),F64,"—")))))),"無合格")</f>
        <v>0.575444203093429</v>
      </c>
      <c r="G153" s="103" t="n">
        <f aca="false">IF(ISNUMBER(G151),IF(AND(ISNUMBER(G151),G87=G151,AND(ISNUMBER(G87),G56&gt;=B5_PFloor)),G56,IF(AND(ISNUMBER(G151),G90=G151,AND(ISNUMBER(G90),G59&gt;=B5_PFloor)),G59,IF(AND(ISNUMBER(G151),G93=G151,AND(ISNUMBER(G93),G62&gt;=B5_PFloor)),G62,IF(AND(ISNUMBER(G151),G89=G151,AND(ISNUMBER(G89),G58&gt;=B5_PFloor)),G58,IF(AND(ISNUMBER(G151),G92=G151,AND(ISNUMBER(G92),G61&gt;=B5_PFloor)),G61,IF(AND(ISNUMBER(G151),G95=G151,AND(ISNUMBER(G95),G64&gt;=B5_PFloor)),G64,"—")))))),"無合格")</f>
        <v>0.627115119175411</v>
      </c>
    </row>
    <row r="154" customFormat="false" ht="15" hidden="false" customHeight="false" outlineLevel="0" collapsed="false">
      <c r="A154" s="6" t="s">
        <v>2365</v>
      </c>
      <c r="B154" s="62" t="s">
        <v>452</v>
      </c>
      <c r="C154" s="173" t="n">
        <f aca="false">IF(OR(AND(ISNUMBER(C96),C56&gt;=B5_PFloor),AND(ISNUMBER(C99),C59&gt;=B5_PFloor),AND(ISNUMBER(C102),C62&gt;=B5_PFloor),AND(ISNUMBER(C98),C58&gt;=B5_PFloor),AND(ISNUMBER(C101),C61&gt;=B5_PFloor),AND(ISNUMBER(C104),C64&gt;=B5_PFloor)),MIN(IF(AND(ISNUMBER(C96),C56&gt;=B5_PFloor),C96,9E+099),IF(AND(ISNUMBER(C99),C59&gt;=B5_PFloor),C99,9E+099),IF(AND(ISNUMBER(C102),C62&gt;=B5_PFloor),C102,9E+099),IF(AND(ISNUMBER(C98),C58&gt;=B5_PFloor),C98,9E+099),IF(AND(ISNUMBER(C101),C61&gt;=B5_PFloor),C101,9E+099),IF(AND(ISNUMBER(C104),C64&gt;=B5_PFloor),C104,9E+099)),"無合格")</f>
        <v>0.000114248703667037</v>
      </c>
      <c r="D154" s="173" t="n">
        <f aca="false">IF(OR(AND(ISNUMBER(D96),D56&gt;=B5_PFloor),AND(ISNUMBER(D99),D59&gt;=B5_PFloor),AND(ISNUMBER(D102),D62&gt;=B5_PFloor),AND(ISNUMBER(D98),D58&gt;=B5_PFloor),AND(ISNUMBER(D101),D61&gt;=B5_PFloor),AND(ISNUMBER(D104),D64&gt;=B5_PFloor)),MIN(IF(AND(ISNUMBER(D96),D56&gt;=B5_PFloor),D96,9E+099),IF(AND(ISNUMBER(D99),D59&gt;=B5_PFloor),D99,9E+099),IF(AND(ISNUMBER(D102),D62&gt;=B5_PFloor),D102,9E+099),IF(AND(ISNUMBER(D98),D58&gt;=B5_PFloor),D98,9E+099),IF(AND(ISNUMBER(D101),D61&gt;=B5_PFloor),D101,9E+099),IF(AND(ISNUMBER(D104),D64&gt;=B5_PFloor),D104,9E+099)),"無合格")</f>
        <v>0.000810841077890223</v>
      </c>
      <c r="E154" s="173" t="n">
        <f aca="false">IF(OR(AND(ISNUMBER(E96),E56&gt;=B5_PFloor),AND(ISNUMBER(E99),E59&gt;=B5_PFloor),AND(ISNUMBER(E102),E62&gt;=B5_PFloor),AND(ISNUMBER(E98),E58&gt;=B5_PFloor),AND(ISNUMBER(E101),E61&gt;=B5_PFloor),AND(ISNUMBER(E104),E64&gt;=B5_PFloor)),MIN(IF(AND(ISNUMBER(E96),E56&gt;=B5_PFloor),E96,9E+099),IF(AND(ISNUMBER(E99),E59&gt;=B5_PFloor),E99,9E+099),IF(AND(ISNUMBER(E102),E62&gt;=B5_PFloor),E102,9E+099),IF(AND(ISNUMBER(E98),E58&gt;=B5_PFloor),E98,9E+099),IF(AND(ISNUMBER(E101),E61&gt;=B5_PFloor),E101,9E+099),IF(AND(ISNUMBER(E104),E64&gt;=B5_PFloor),E104,9E+099)),"無合格")</f>
        <v>0.000446305688742682</v>
      </c>
      <c r="F154" s="173" t="n">
        <f aca="false">IF(OR(AND(ISNUMBER(F96),F56&gt;=B5_PFloor),AND(ISNUMBER(F99),F59&gt;=B5_PFloor),AND(ISNUMBER(F102),F62&gt;=B5_PFloor),AND(ISNUMBER(F98),F58&gt;=B5_PFloor),AND(ISNUMBER(F101),F61&gt;=B5_PFloor),AND(ISNUMBER(F104),F64&gt;=B5_PFloor)),MIN(IF(AND(ISNUMBER(F96),F56&gt;=B5_PFloor),F96,9E+099),IF(AND(ISNUMBER(F99),F59&gt;=B5_PFloor),F99,9E+099),IF(AND(ISNUMBER(F102),F62&gt;=B5_PFloor),F102,9E+099),IF(AND(ISNUMBER(F98),F58&gt;=B5_PFloor),F98,9E+099),IF(AND(ISNUMBER(F101),F61&gt;=B5_PFloor),F101,9E+099),IF(AND(ISNUMBER(F104),F64&gt;=B5_PFloor),F104,9E+099)),"無合格")</f>
        <v>0.00224380364643878</v>
      </c>
      <c r="G154" s="173" t="n">
        <f aca="false">IF(OR(AND(ISNUMBER(G96),G56&gt;=B5_PFloor),AND(ISNUMBER(G99),G59&gt;=B5_PFloor),AND(ISNUMBER(G102),G62&gt;=B5_PFloor),AND(ISNUMBER(G98),G58&gt;=B5_PFloor),AND(ISNUMBER(G101),G61&gt;=B5_PFloor),AND(ISNUMBER(G104),G64&gt;=B5_PFloor)),MIN(IF(AND(ISNUMBER(G96),G56&gt;=B5_PFloor),G96,9E+099),IF(AND(ISNUMBER(G99),G59&gt;=B5_PFloor),G99,9E+099),IF(AND(ISNUMBER(G102),G62&gt;=B5_PFloor),G102,9E+099),IF(AND(ISNUMBER(G98),G58&gt;=B5_PFloor),G98,9E+099),IF(AND(ISNUMBER(G101),G61&gt;=B5_PFloor),G101,9E+099),IF(AND(ISNUMBER(G104),G64&gt;=B5_PFloor),G104,9E+099)),"無合格")</f>
        <v>0.0252458515199008</v>
      </c>
    </row>
    <row r="155" customFormat="false" ht="15" hidden="false" customHeight="false" outlineLevel="0" collapsed="false">
      <c r="A155" s="6" t="s">
        <v>2366</v>
      </c>
      <c r="B155" s="61"/>
      <c r="C155" s="115" t="str">
        <f aca="false">IF(ISNUMBER(C154),IF(AND(ISNUMBER(C154),C96=C154,AND(ISNUMBER(C96),C56&gt;=B5_PFloor)),"Luna｜標準",IF(AND(ISNUMBER(C154),C99=C154,AND(ISNUMBER(C99),C59&gt;=B5_PFloor)),"Sol｜標準",IF(AND(ISNUMBER(C154),C102=C154,AND(ISNUMBER(C102),C62&gt;=B5_PFloor)),"Astra｜標準",IF(AND(ISNUMBER(C154),C98=C154,AND(ISNUMBER(C98),C58&gt;=B5_PFloor)),"Luna｜選定",IF(AND(ISNUMBER(C154),C101=C154,AND(ISNUMBER(C101),C61&gt;=B5_PFloor)),"Sol｜選定",IF(AND(ISNUMBER(C154),C104=C154,AND(ISNUMBER(C104),C64&gt;=B5_PFloor)),"Astra｜選定","—")))))),"無合格")</f>
        <v>Luna｜標準</v>
      </c>
      <c r="D155" s="115" t="str">
        <f aca="false">IF(ISNUMBER(D154),IF(AND(ISNUMBER(D154),D96=D154,AND(ISNUMBER(D96),D56&gt;=B5_PFloor)),"Luna｜標準",IF(AND(ISNUMBER(D154),D99=D154,AND(ISNUMBER(D99),D59&gt;=B5_PFloor)),"Sol｜標準",IF(AND(ISNUMBER(D154),D102=D154,AND(ISNUMBER(D102),D62&gt;=B5_PFloor)),"Astra｜標準",IF(AND(ISNUMBER(D154),D98=D154,AND(ISNUMBER(D98),D58&gt;=B5_PFloor)),"Luna｜選定",IF(AND(ISNUMBER(D154),D101=D154,AND(ISNUMBER(D101),D61&gt;=B5_PFloor)),"Sol｜選定",IF(AND(ISNUMBER(D154),D104=D154,AND(ISNUMBER(D104),D64&gt;=B5_PFloor)),"Astra｜選定","—")))))),"無合格")</f>
        <v>Luna｜標準</v>
      </c>
      <c r="E155" s="115" t="str">
        <f aca="false">IF(ISNUMBER(E154),IF(AND(ISNUMBER(E154),E96=E154,AND(ISNUMBER(E96),E56&gt;=B5_PFloor)),"Luna｜標準",IF(AND(ISNUMBER(E154),E99=E154,AND(ISNUMBER(E99),E59&gt;=B5_PFloor)),"Sol｜標準",IF(AND(ISNUMBER(E154),E102=E154,AND(ISNUMBER(E102),E62&gt;=B5_PFloor)),"Astra｜標準",IF(AND(ISNUMBER(E154),E98=E154,AND(ISNUMBER(E98),E58&gt;=B5_PFloor)),"Luna｜選定",IF(AND(ISNUMBER(E154),E101=E154,AND(ISNUMBER(E101),E61&gt;=B5_PFloor)),"Sol｜選定",IF(AND(ISNUMBER(E154),E104=E154,AND(ISNUMBER(E104),E64&gt;=B5_PFloor)),"Astra｜選定","—")))))),"無合格")</f>
        <v>Luna｜選定</v>
      </c>
      <c r="F155" s="115" t="str">
        <f aca="false">IF(ISNUMBER(F154),IF(AND(ISNUMBER(F154),F96=F154,AND(ISNUMBER(F96),F56&gt;=B5_PFloor)),"Luna｜標準",IF(AND(ISNUMBER(F154),F99=F154,AND(ISNUMBER(F99),F59&gt;=B5_PFloor)),"Sol｜標準",IF(AND(ISNUMBER(F154),F102=F154,AND(ISNUMBER(F102),F62&gt;=B5_PFloor)),"Astra｜標準",IF(AND(ISNUMBER(F154),F98=F154,AND(ISNUMBER(F98),F58&gt;=B5_PFloor)),"Luna｜選定",IF(AND(ISNUMBER(F154),F101=F154,AND(ISNUMBER(F101),F61&gt;=B5_PFloor)),"Sol｜選定",IF(AND(ISNUMBER(F154),F104=F154,AND(ISNUMBER(F104),F64&gt;=B5_PFloor)),"Astra｜選定","—")))))),"無合格")</f>
        <v>Luna｜選定</v>
      </c>
      <c r="G155" s="115" t="str">
        <f aca="false">IF(ISNUMBER(G154),IF(AND(ISNUMBER(G154),G96=G154,AND(ISNUMBER(G96),G56&gt;=B5_PFloor)),"Luna｜標準",IF(AND(ISNUMBER(G154),G99=G154,AND(ISNUMBER(G99),G59&gt;=B5_PFloor)),"Sol｜標準",IF(AND(ISNUMBER(G154),G102=G154,AND(ISNUMBER(G102),G62&gt;=B5_PFloor)),"Astra｜標準",IF(AND(ISNUMBER(G154),G98=G154,AND(ISNUMBER(G98),G58&gt;=B5_PFloor)),"Luna｜選定",IF(AND(ISNUMBER(G154),G101=G154,AND(ISNUMBER(G101),G61&gt;=B5_PFloor)),"Sol｜選定",IF(AND(ISNUMBER(G154),G104=G154,AND(ISNUMBER(G104),G64&gt;=B5_PFloor)),"Astra｜選定","—")))))),"無合格")</f>
        <v>Sol｜選定</v>
      </c>
    </row>
    <row r="156" customFormat="false" ht="15" hidden="false" customHeight="false" outlineLevel="0" collapsed="false">
      <c r="A156" s="6" t="s">
        <v>2367</v>
      </c>
      <c r="B156" s="62" t="s">
        <v>113</v>
      </c>
      <c r="C156" s="103" t="n">
        <f aca="false">IF(ISNUMBER(C154),IF(AND(ISNUMBER(C154),C96=C154,AND(ISNUMBER(C96),C56&gt;=B5_PFloor)),C56,IF(AND(ISNUMBER(C154),C99=C154,AND(ISNUMBER(C99),C59&gt;=B5_PFloor)),C59,IF(AND(ISNUMBER(C154),C102=C154,AND(ISNUMBER(C102),C62&gt;=B5_PFloor)),C62,IF(AND(ISNUMBER(C154),C98=C154,AND(ISNUMBER(C98),C58&gt;=B5_PFloor)),C58,IF(AND(ISNUMBER(C154),C101=C154,AND(ISNUMBER(C101),C61&gt;=B5_PFloor)),C61,IF(AND(ISNUMBER(C154),C104=C154,AND(ISNUMBER(C104),C64&gt;=B5_PFloor)),C64,"—")))))),"無合格")</f>
        <v>0.962243725044712</v>
      </c>
      <c r="D156" s="103" t="n">
        <f aca="false">IF(ISNUMBER(D154),IF(AND(ISNUMBER(D154),D96=D154,AND(ISNUMBER(D96),D56&gt;=B5_PFloor)),D56,IF(AND(ISNUMBER(D154),D99=D154,AND(ISNUMBER(D99),D59&gt;=B5_PFloor)),D59,IF(AND(ISNUMBER(D154),D102=D154,AND(ISNUMBER(D102),D62&gt;=B5_PFloor)),D62,IF(AND(ISNUMBER(D154),D98=D154,AND(ISNUMBER(D98),D58&gt;=B5_PFloor)),D58,IF(AND(ISNUMBER(D154),D101=D154,AND(ISNUMBER(D101),D61&gt;=B5_PFloor)),D61,IF(AND(ISNUMBER(D154),D104=D154,AND(ISNUMBER(D104),D64&gt;=B5_PFloor)),D64,"—")))))),"無合格")</f>
        <v>0.884017511243649</v>
      </c>
      <c r="E156" s="103" t="n">
        <f aca="false">IF(ISNUMBER(E154),IF(AND(ISNUMBER(E154),E96=E154,AND(ISNUMBER(E96),E56&gt;=B5_PFloor)),E56,IF(AND(ISNUMBER(E154),E99=E154,AND(ISNUMBER(E99),E59&gt;=B5_PFloor)),E59,IF(AND(ISNUMBER(E154),E102=E154,AND(ISNUMBER(E102),E62&gt;=B5_PFloor)),E62,IF(AND(ISNUMBER(E154),E98=E154,AND(ISNUMBER(E98),E58&gt;=B5_PFloor)),E58,IF(AND(ISNUMBER(E154),E101=E154,AND(ISNUMBER(E101),E61&gt;=B5_PFloor)),E61,IF(AND(ISNUMBER(E154),E104=E154,AND(ISNUMBER(E104),E64&gt;=B5_PFloor)),E64,"—")))))),"無合格")</f>
        <v>0.723262011773013</v>
      </c>
      <c r="F156" s="103" t="n">
        <f aca="false">IF(ISNUMBER(F154),IF(AND(ISNUMBER(F154),F96=F154,AND(ISNUMBER(F96),F56&gt;=B5_PFloor)),F56,IF(AND(ISNUMBER(F154),F99=F154,AND(ISNUMBER(F99),F59&gt;=B5_PFloor)),F59,IF(AND(ISNUMBER(F154),F102=F154,AND(ISNUMBER(F102),F62&gt;=B5_PFloor)),F62,IF(AND(ISNUMBER(F154),F98=F154,AND(ISNUMBER(F98),F58&gt;=B5_PFloor)),F58,IF(AND(ISNUMBER(F154),F101=F154,AND(ISNUMBER(F101),F61&gt;=B5_PFloor)),F61,IF(AND(ISNUMBER(F154),F104=F154,AND(ISNUMBER(F104),F64&gt;=B5_PFloor)),F64,"—")))))),"無合格")</f>
        <v>0.575444203093429</v>
      </c>
      <c r="G156" s="103" t="n">
        <f aca="false">IF(ISNUMBER(G154),IF(AND(ISNUMBER(G154),G96=G154,AND(ISNUMBER(G96),G56&gt;=B5_PFloor)),G56,IF(AND(ISNUMBER(G154),G99=G154,AND(ISNUMBER(G99),G59&gt;=B5_PFloor)),G59,IF(AND(ISNUMBER(G154),G102=G154,AND(ISNUMBER(G102),G62&gt;=B5_PFloor)),G62,IF(AND(ISNUMBER(G154),G98=G154,AND(ISNUMBER(G98),G58&gt;=B5_PFloor)),G58,IF(AND(ISNUMBER(G154),G101=G154,AND(ISNUMBER(G101),G61&gt;=B5_PFloor)),G61,IF(AND(ISNUMBER(G154),G104=G154,AND(ISNUMBER(G104),G64&gt;=B5_PFloor)),G64,"—")))))),"無合格")</f>
        <v>0.627115119175411</v>
      </c>
    </row>
    <row r="157" customFormat="false" ht="15" hidden="false" customHeight="false" outlineLevel="0" collapsed="false">
      <c r="A157" s="74" t="s">
        <v>2368</v>
      </c>
    </row>
    <row r="159" customFormat="false" ht="15" hidden="false" customHeight="false" outlineLevel="0" collapsed="false">
      <c r="A159" s="76" t="s">
        <v>2369</v>
      </c>
      <c r="B159" s="70"/>
      <c r="C159" s="70"/>
      <c r="D159" s="70"/>
      <c r="E159" s="70"/>
      <c r="F159" s="70"/>
      <c r="G159" s="70"/>
      <c r="H159" s="70"/>
    </row>
    <row r="160" customFormat="false" ht="15" hidden="false" customHeight="false" outlineLevel="0" collapsed="false">
      <c r="A160" s="5" t="s">
        <v>2370</v>
      </c>
      <c r="B160" s="62" t="s">
        <v>1321</v>
      </c>
      <c r="C160" s="77" t="n">
        <f aca="false">INDEX(B5_H50,1,1)*C52</f>
        <v>1.5</v>
      </c>
      <c r="D160" s="77" t="n">
        <f aca="false">INDEX(B5_H50,1,1)*D52</f>
        <v>1.5</v>
      </c>
      <c r="E160" s="77" t="n">
        <f aca="false">INDEX(B5_H50,1,1)*E52</f>
        <v>1.5</v>
      </c>
      <c r="F160" s="77" t="n">
        <f aca="false">INDEX(B5_H50,1,1)*F52</f>
        <v>1.5</v>
      </c>
      <c r="G160" s="77" t="n">
        <f aca="false">INDEX(B5_H50,1,1)*G52</f>
        <v>1.5</v>
      </c>
    </row>
    <row r="161" customFormat="false" ht="15" hidden="false" customHeight="false" outlineLevel="0" collapsed="false">
      <c r="A161" s="5" t="s">
        <v>2371</v>
      </c>
      <c r="B161" s="62" t="s">
        <v>1321</v>
      </c>
      <c r="C161" s="77" t="n">
        <f aca="false">INDEX(B5_H50,1,2)*C52</f>
        <v>8</v>
      </c>
      <c r="D161" s="77" t="n">
        <f aca="false">INDEX(B5_H50,1,2)*D52</f>
        <v>8</v>
      </c>
      <c r="E161" s="77" t="n">
        <f aca="false">INDEX(B5_H50,1,2)*E52</f>
        <v>8</v>
      </c>
      <c r="F161" s="77" t="n">
        <f aca="false">INDEX(B5_H50,1,2)*F52</f>
        <v>8</v>
      </c>
      <c r="G161" s="77" t="n">
        <f aca="false">INDEX(B5_H50,1,2)*G52</f>
        <v>8</v>
      </c>
    </row>
    <row r="162" customFormat="false" ht="15" hidden="false" customHeight="false" outlineLevel="0" collapsed="false">
      <c r="A162" s="5" t="s">
        <v>2372</v>
      </c>
      <c r="B162" s="62" t="s">
        <v>1321</v>
      </c>
      <c r="C162" s="77" t="n">
        <f aca="false">INDEX(B5_H50,1,3)*C52</f>
        <v>16</v>
      </c>
      <c r="D162" s="77" t="n">
        <f aca="false">INDEX(B5_H50,1,3)*D52</f>
        <v>16</v>
      </c>
      <c r="E162" s="77" t="n">
        <f aca="false">INDEX(B5_H50,1,3)*E52</f>
        <v>16</v>
      </c>
      <c r="F162" s="77" t="n">
        <f aca="false">INDEX(B5_H50,1,3)*F52</f>
        <v>16</v>
      </c>
      <c r="G162" s="77" t="n">
        <f aca="false">INDEX(B5_H50,1,3)*G52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8"/>
    <col collapsed="false" customWidth="true" hidden="false" outlineLevel="0" max="19" min="3" style="0" width="11"/>
  </cols>
  <sheetData>
    <row r="1" customFormat="false" ht="20.1" hidden="false" customHeight="false" outlineLevel="0" collapsed="false">
      <c r="A1" s="58" t="s">
        <v>2373</v>
      </c>
    </row>
    <row r="2" customFormat="false" ht="15" hidden="false" customHeight="false" outlineLevel="0" collapsed="false">
      <c r="A2" s="74" t="s">
        <v>2374</v>
      </c>
    </row>
    <row r="4" customFormat="false" ht="42" hidden="false" customHeight="true" outlineLevel="0" collapsed="false">
      <c r="A4" s="60" t="s">
        <v>959</v>
      </c>
      <c r="C4" s="83" t="s">
        <v>97</v>
      </c>
      <c r="D4" s="83" t="s">
        <v>2375</v>
      </c>
      <c r="E4" s="83" t="s">
        <v>2376</v>
      </c>
      <c r="F4" s="83" t="s">
        <v>2377</v>
      </c>
      <c r="G4" s="83" t="s">
        <v>2378</v>
      </c>
      <c r="H4" s="83" t="s">
        <v>2379</v>
      </c>
      <c r="I4" s="83" t="s">
        <v>2380</v>
      </c>
      <c r="J4" s="83" t="s">
        <v>2381</v>
      </c>
      <c r="K4" s="83" t="s">
        <v>2382</v>
      </c>
      <c r="L4" s="83" t="s">
        <v>2383</v>
      </c>
      <c r="M4" s="83" t="s">
        <v>2384</v>
      </c>
      <c r="N4" s="83" t="s">
        <v>2385</v>
      </c>
      <c r="O4" s="83" t="s">
        <v>2386</v>
      </c>
      <c r="P4" s="84" t="s">
        <v>2387</v>
      </c>
      <c r="Q4" s="84" t="s">
        <v>2388</v>
      </c>
      <c r="R4" s="84" t="s">
        <v>2389</v>
      </c>
      <c r="S4" s="84" t="s">
        <v>2390</v>
      </c>
    </row>
    <row r="5" customFormat="false" ht="15" hidden="false" customHeight="false" outlineLevel="0" collapsed="false">
      <c r="A5" s="61" t="s">
        <v>2164</v>
      </c>
      <c r="C5" s="77" t="n">
        <f aca="false">INDEX(B5_SelT,1,5)</f>
        <v>0.7</v>
      </c>
      <c r="D5" s="167" t="n">
        <f aca="false">Har_In!$C$61</f>
        <v>0.7</v>
      </c>
      <c r="E5" s="167" t="n">
        <f aca="false">Har_In!$D$61</f>
        <v>1.7</v>
      </c>
      <c r="F5" s="77" t="n">
        <f aca="false">INDEX(B5_SelT,1,5)</f>
        <v>0.7</v>
      </c>
      <c r="G5" s="77" t="n">
        <f aca="false">INDEX(B5_SelT,1,5)</f>
        <v>0.7</v>
      </c>
      <c r="H5" s="77" t="n">
        <f aca="false">INDEX(B5_SelT,1,5)</f>
        <v>0.7</v>
      </c>
      <c r="I5" s="77" t="n">
        <f aca="false">INDEX(B5_SelT,1,5)</f>
        <v>0.7</v>
      </c>
      <c r="J5" s="77" t="n">
        <f aca="false">INDEX(B5_SelT,1,5)</f>
        <v>0.7</v>
      </c>
      <c r="K5" s="77" t="n">
        <f aca="false">INDEX(B5_SelT,1,5)</f>
        <v>0.7</v>
      </c>
      <c r="L5" s="77" t="n">
        <f aca="false">INDEX(B5_SelT,1,5)</f>
        <v>0.7</v>
      </c>
      <c r="M5" s="77" t="n">
        <f aca="false">INDEX(B5_SelT,1,5)</f>
        <v>0.7</v>
      </c>
      <c r="N5" s="77" t="n">
        <f aca="false">INDEX(B5_SelT,1,5)</f>
        <v>0.7</v>
      </c>
      <c r="O5" s="77" t="n">
        <f aca="false">INDEX(B5_SelT,1,5)</f>
        <v>0.7</v>
      </c>
      <c r="P5" s="77" t="n">
        <f aca="false">INDEX(B5_SelT,1,5)</f>
        <v>0.7</v>
      </c>
      <c r="Q5" s="77" t="n">
        <f aca="false">INDEX(B5_SelT,1,5)</f>
        <v>0.7</v>
      </c>
      <c r="R5" s="77" t="n">
        <f aca="false">INDEX(B5_SelT,1,5)</f>
        <v>0.7</v>
      </c>
      <c r="S5" s="77" t="n">
        <f aca="false">INDEX(B5_SelT,1,5)</f>
        <v>0.7</v>
      </c>
    </row>
    <row r="6" customFormat="false" ht="15" hidden="false" customHeight="false" outlineLevel="0" collapsed="false">
      <c r="A6" s="61" t="s">
        <v>2169</v>
      </c>
      <c r="C6" s="77" t="n">
        <f aca="false">INDEX(B5_SelH,1,5)</f>
        <v>0.8</v>
      </c>
      <c r="D6" s="77" t="n">
        <f aca="false">INDEX(B5_SelH,1,5)</f>
        <v>0.8</v>
      </c>
      <c r="E6" s="77" t="n">
        <f aca="false">INDEX(B5_SelH,1,5)</f>
        <v>0.8</v>
      </c>
      <c r="F6" s="167" t="n">
        <f aca="false">Har_In!$C$62</f>
        <v>0.6</v>
      </c>
      <c r="G6" s="167" t="n">
        <f aca="false">Har_In!$D$62</f>
        <v>1</v>
      </c>
      <c r="H6" s="77" t="n">
        <f aca="false">INDEX(B5_SelH,1,5)</f>
        <v>0.8</v>
      </c>
      <c r="I6" s="77" t="n">
        <f aca="false">INDEX(B5_SelH,1,5)</f>
        <v>0.8</v>
      </c>
      <c r="J6" s="77" t="n">
        <f aca="false">INDEX(B5_SelH,1,5)</f>
        <v>0.8</v>
      </c>
      <c r="K6" s="77" t="n">
        <f aca="false">INDEX(B5_SelH,1,5)</f>
        <v>0.8</v>
      </c>
      <c r="L6" s="77" t="n">
        <f aca="false">INDEX(B5_SelH,1,5)</f>
        <v>0.8</v>
      </c>
      <c r="M6" s="77" t="n">
        <f aca="false">INDEX(B5_SelH,1,5)</f>
        <v>0.8</v>
      </c>
      <c r="N6" s="77" t="n">
        <f aca="false">INDEX(B5_SelH,1,5)</f>
        <v>0.8</v>
      </c>
      <c r="O6" s="77" t="n">
        <f aca="false">INDEX(B5_SelH,1,5)</f>
        <v>0.8</v>
      </c>
      <c r="P6" s="77" t="n">
        <f aca="false">INDEX(B5_SelH,1,5)</f>
        <v>0.8</v>
      </c>
      <c r="Q6" s="77" t="n">
        <f aca="false">INDEX(B5_SelH,1,5)</f>
        <v>0.8</v>
      </c>
      <c r="R6" s="77" t="n">
        <f aca="false">INDEX(B5_SelH,1,5)</f>
        <v>0.8</v>
      </c>
      <c r="S6" s="77" t="n">
        <f aca="false">INDEX(B5_SelH,1,5)</f>
        <v>0.8</v>
      </c>
    </row>
    <row r="7" customFormat="false" ht="15" hidden="false" customHeight="false" outlineLevel="0" collapsed="false">
      <c r="A7" s="61" t="s">
        <v>2166</v>
      </c>
      <c r="C7" s="85" t="n">
        <f aca="false">INDEX(B5_Selrho,1,5)</f>
        <v>1</v>
      </c>
      <c r="D7" s="85" t="n">
        <f aca="false">INDEX(B5_Selrho,1,5)</f>
        <v>1</v>
      </c>
      <c r="E7" s="85" t="n">
        <f aca="false">INDEX(B5_Selrho,1,5)</f>
        <v>1</v>
      </c>
      <c r="F7" s="85" t="n">
        <f aca="false">INDEX(B5_Selrho,1,5)</f>
        <v>1</v>
      </c>
      <c r="G7" s="85" t="n">
        <f aca="false">INDEX(B5_Selrho,1,5)</f>
        <v>1</v>
      </c>
      <c r="H7" s="174" t="n">
        <f aca="false">Har_In!$C$63</f>
        <v>0.5</v>
      </c>
      <c r="I7" s="174" t="n">
        <f aca="false">Har_In!$D$63</f>
        <v>1</v>
      </c>
      <c r="J7" s="85" t="n">
        <f aca="false">INDEX(B5_Selrho,1,5)</f>
        <v>1</v>
      </c>
      <c r="K7" s="85" t="n">
        <f aca="false">INDEX(B5_Selrho,1,5)</f>
        <v>1</v>
      </c>
      <c r="L7" s="85" t="n">
        <f aca="false">INDEX(B5_Selrho,1,5)</f>
        <v>1</v>
      </c>
      <c r="M7" s="85" t="n">
        <f aca="false">INDEX(B5_Selrho,1,5)</f>
        <v>1</v>
      </c>
      <c r="N7" s="85" t="n">
        <f aca="false">INDEX(B5_Selrho,1,5)</f>
        <v>1</v>
      </c>
      <c r="O7" s="85" t="n">
        <f aca="false">INDEX(B5_Selrho,1,5)</f>
        <v>1</v>
      </c>
      <c r="P7" s="85" t="n">
        <f aca="false">INDEX(B5_Selrho,1,5)</f>
        <v>1</v>
      </c>
      <c r="Q7" s="85" t="n">
        <f aca="false">INDEX(B5_Selrho,1,5)</f>
        <v>1</v>
      </c>
      <c r="R7" s="85" t="n">
        <f aca="false">INDEX(B5_Selrho,1,5)</f>
        <v>1</v>
      </c>
      <c r="S7" s="85" t="n">
        <f aca="false">INDEX(B5_Selrho,1,5)</f>
        <v>1</v>
      </c>
    </row>
    <row r="8" customFormat="false" ht="15" hidden="false" customHeight="false" outlineLevel="0" collapsed="false">
      <c r="A8" s="61" t="s">
        <v>2211</v>
      </c>
      <c r="C8" s="77" t="n">
        <f aca="false">INDEX(B5_SelC,1,5)</f>
        <v>0.7</v>
      </c>
      <c r="D8" s="77" t="n">
        <f aca="false">INDEX(B5_SelC,1,5)</f>
        <v>0.7</v>
      </c>
      <c r="E8" s="77" t="n">
        <f aca="false">INDEX(B5_SelC,1,5)</f>
        <v>0.7</v>
      </c>
      <c r="F8" s="77" t="n">
        <f aca="false">INDEX(B5_SelC,1,5)</f>
        <v>0.7</v>
      </c>
      <c r="G8" s="77" t="n">
        <f aca="false">INDEX(B5_SelC,1,5)</f>
        <v>0.7</v>
      </c>
      <c r="H8" s="77" t="n">
        <f aca="false">INDEX(B5_SelC,1,5)</f>
        <v>0.7</v>
      </c>
      <c r="I8" s="77" t="n">
        <f aca="false">INDEX(B5_SelC,1,5)</f>
        <v>0.7</v>
      </c>
      <c r="J8" s="167" t="n">
        <f aca="false">Har_In!$C$64</f>
        <v>0.5</v>
      </c>
      <c r="K8" s="167" t="n">
        <f aca="false">Har_In!$D$64</f>
        <v>1</v>
      </c>
      <c r="L8" s="77" t="n">
        <f aca="false">INDEX(B5_SelC,1,5)</f>
        <v>0.7</v>
      </c>
      <c r="M8" s="77" t="n">
        <f aca="false">INDEX(B5_SelC,1,5)</f>
        <v>0.7</v>
      </c>
      <c r="N8" s="77" t="n">
        <f aca="false">INDEX(B5_SelC,1,5)</f>
        <v>0.7</v>
      </c>
      <c r="O8" s="77" t="n">
        <f aca="false">INDEX(B5_SelC,1,5)</f>
        <v>0.7</v>
      </c>
      <c r="P8" s="77" t="n">
        <f aca="false">INDEX(B5_SelC,1,5)</f>
        <v>0.7</v>
      </c>
      <c r="Q8" s="77" t="n">
        <f aca="false">INDEX(B5_SelC,1,5)</f>
        <v>0.7</v>
      </c>
      <c r="R8" s="77" t="n">
        <f aca="false">INDEX(B5_SelC,1,5)</f>
        <v>0.7</v>
      </c>
      <c r="S8" s="77" t="n">
        <f aca="false">INDEX(B5_SelC,1,5)</f>
        <v>0.7</v>
      </c>
    </row>
    <row r="9" customFormat="false" ht="15" hidden="false" customHeight="false" outlineLevel="0" collapsed="false">
      <c r="A9" s="61" t="s">
        <v>2391</v>
      </c>
      <c r="C9" s="77" t="n">
        <f aca="false">INDEX(B5_SelHz,1,5)</f>
        <v>2</v>
      </c>
      <c r="D9" s="77" t="n">
        <f aca="false">INDEX(B5_SelHz,1,5)</f>
        <v>2</v>
      </c>
      <c r="E9" s="77" t="n">
        <f aca="false">INDEX(B5_SelHz,1,5)</f>
        <v>2</v>
      </c>
      <c r="F9" s="77" t="n">
        <f aca="false">INDEX(B5_SelHz,1,5)</f>
        <v>2</v>
      </c>
      <c r="G9" s="77" t="n">
        <f aca="false">INDEX(B5_SelHz,1,5)</f>
        <v>2</v>
      </c>
      <c r="H9" s="77" t="n">
        <f aca="false">INDEX(B5_SelHz,1,5)</f>
        <v>2</v>
      </c>
      <c r="I9" s="77" t="n">
        <f aca="false">INDEX(B5_SelHz,1,5)</f>
        <v>2</v>
      </c>
      <c r="J9" s="77" t="n">
        <f aca="false">INDEX(B5_SelHz,1,5)</f>
        <v>2</v>
      </c>
      <c r="K9" s="77" t="n">
        <f aca="false">INDEX(B5_SelHz,1,5)</f>
        <v>2</v>
      </c>
      <c r="L9" s="167" t="n">
        <f aca="false">Har_In!$C$65</f>
        <v>1</v>
      </c>
      <c r="M9" s="167" t="n">
        <f aca="false">Har_In!$D$65</f>
        <v>4</v>
      </c>
      <c r="N9" s="77" t="n">
        <f aca="false">INDEX(B5_SelHz,1,5)</f>
        <v>2</v>
      </c>
      <c r="O9" s="77" t="n">
        <f aca="false">INDEX(B5_SelHz,1,5)</f>
        <v>2</v>
      </c>
      <c r="P9" s="77" t="n">
        <f aca="false">INDEX(B5_SelHz,1,5)</f>
        <v>2</v>
      </c>
      <c r="Q9" s="77" t="n">
        <f aca="false">INDEX(B5_SelHz,1,5)</f>
        <v>2</v>
      </c>
      <c r="R9" s="77" t="n">
        <f aca="false">INDEX(B5_SelHz,1,5)</f>
        <v>2</v>
      </c>
      <c r="S9" s="77" t="n">
        <f aca="false">INDEX(B5_SelHz,1,5)</f>
        <v>2</v>
      </c>
    </row>
    <row r="10" customFormat="false" ht="15" hidden="false" customHeight="false" outlineLevel="0" collapsed="false">
      <c r="A10" s="61" t="s">
        <v>2392</v>
      </c>
      <c r="C10" s="107" t="n">
        <f aca="false">INDEX(B5_SelRet,1,5)</f>
        <v>0.67</v>
      </c>
      <c r="D10" s="107" t="n">
        <f aca="false">INDEX(B5_SelRet,1,5)</f>
        <v>0.67</v>
      </c>
      <c r="E10" s="107" t="n">
        <f aca="false">INDEX(B5_SelRet,1,5)</f>
        <v>0.67</v>
      </c>
      <c r="F10" s="107" t="n">
        <f aca="false">INDEX(B5_SelRet,1,5)</f>
        <v>0.67</v>
      </c>
      <c r="G10" s="107" t="n">
        <f aca="false">INDEX(B5_SelRet,1,5)</f>
        <v>0.67</v>
      </c>
      <c r="H10" s="107" t="n">
        <f aca="false">INDEX(B5_SelRet,1,5)</f>
        <v>0.67</v>
      </c>
      <c r="I10" s="107" t="n">
        <f aca="false">INDEX(B5_SelRet,1,5)</f>
        <v>0.67</v>
      </c>
      <c r="J10" s="107" t="n">
        <f aca="false">INDEX(B5_SelRet,1,5)</f>
        <v>0.67</v>
      </c>
      <c r="K10" s="107" t="n">
        <f aca="false">INDEX(B5_SelRet,1,5)</f>
        <v>0.67</v>
      </c>
      <c r="L10" s="107" t="n">
        <f aca="false">INDEX(B5_SelRet,1,5)</f>
        <v>0.67</v>
      </c>
      <c r="M10" s="107" t="n">
        <f aca="false">INDEX(B5_SelRet,1,5)</f>
        <v>0.67</v>
      </c>
      <c r="N10" s="175" t="n">
        <f aca="false">Har_In!$C$66</f>
        <v>0.0833333333333333</v>
      </c>
      <c r="O10" s="175" t="n">
        <f aca="false">Har_In!$D$66</f>
        <v>2</v>
      </c>
      <c r="P10" s="107" t="n">
        <f aca="false">INDEX(B5_SelRet,1,5)</f>
        <v>0.67</v>
      </c>
      <c r="Q10" s="107" t="n">
        <f aca="false">INDEX(B5_SelRet,1,5)</f>
        <v>0.67</v>
      </c>
      <c r="R10" s="107" t="n">
        <f aca="false">INDEX(B5_SelRet,1,5)</f>
        <v>0.67</v>
      </c>
      <c r="S10" s="107" t="n">
        <f aca="false">INDEX(B5_SelRet,1,5)</f>
        <v>0.67</v>
      </c>
    </row>
    <row r="11" customFormat="false" ht="15" hidden="false" customHeight="false" outlineLevel="0" collapsed="false">
      <c r="A11" s="62" t="s">
        <v>2393</v>
      </c>
      <c r="C11" s="77" t="n">
        <f aca="false">B5_Beta</f>
        <v>0.75</v>
      </c>
      <c r="D11" s="77" t="n">
        <f aca="false">B5_Beta</f>
        <v>0.75</v>
      </c>
      <c r="E11" s="77" t="n">
        <f aca="false">B5_Beta</f>
        <v>0.75</v>
      </c>
      <c r="F11" s="77" t="n">
        <f aca="false">B5_Beta</f>
        <v>0.75</v>
      </c>
      <c r="G11" s="77" t="n">
        <f aca="false">B5_Beta</f>
        <v>0.75</v>
      </c>
      <c r="H11" s="77" t="n">
        <f aca="false">B5_Beta</f>
        <v>0.75</v>
      </c>
      <c r="I11" s="77" t="n">
        <f aca="false">B5_Beta</f>
        <v>0.75</v>
      </c>
      <c r="J11" s="77" t="n">
        <f aca="false">B5_Beta</f>
        <v>0.75</v>
      </c>
      <c r="K11" s="77" t="n">
        <f aca="false">B5_Beta</f>
        <v>0.75</v>
      </c>
      <c r="L11" s="77" t="n">
        <f aca="false">B5_Beta</f>
        <v>0.75</v>
      </c>
      <c r="M11" s="77" t="n">
        <f aca="false">B5_Beta</f>
        <v>0.75</v>
      </c>
      <c r="N11" s="77" t="n">
        <f aca="false">B5_Beta</f>
        <v>0.75</v>
      </c>
      <c r="O11" s="77" t="n">
        <f aca="false">B5_Beta</f>
        <v>0.75</v>
      </c>
      <c r="P11" s="167" t="n">
        <f aca="false">Har_In!$D$51</f>
        <v>0.65</v>
      </c>
      <c r="Q11" s="167" t="n">
        <f aca="false">Har_In!$E$51</f>
        <v>1</v>
      </c>
      <c r="R11" s="77" t="n">
        <f aca="false">B5_Beta</f>
        <v>0.75</v>
      </c>
      <c r="S11" s="77" t="n">
        <f aca="false">B5_Beta</f>
        <v>0.75</v>
      </c>
    </row>
    <row r="12" customFormat="false" ht="15" hidden="false" customHeight="false" outlineLevel="0" collapsed="false">
      <c r="A12" s="62" t="s">
        <v>2394</v>
      </c>
      <c r="C12" s="86" t="n">
        <f aca="false">INDEX(B5_H50,1,1)</f>
        <v>1.5</v>
      </c>
      <c r="D12" s="86" t="n">
        <f aca="false">INDEX(B5_H50,1,1)</f>
        <v>1.5</v>
      </c>
      <c r="E12" s="86" t="n">
        <f aca="false">INDEX(B5_H50,1,1)</f>
        <v>1.5</v>
      </c>
      <c r="F12" s="86" t="n">
        <f aca="false">INDEX(B5_H50,1,1)</f>
        <v>1.5</v>
      </c>
      <c r="G12" s="86" t="n">
        <f aca="false">INDEX(B5_H50,1,1)</f>
        <v>1.5</v>
      </c>
      <c r="H12" s="86" t="n">
        <f aca="false">INDEX(B5_H50,1,1)</f>
        <v>1.5</v>
      </c>
      <c r="I12" s="86" t="n">
        <f aca="false">INDEX(B5_H50,1,1)</f>
        <v>1.5</v>
      </c>
      <c r="J12" s="86" t="n">
        <f aca="false">INDEX(B5_H50,1,1)</f>
        <v>1.5</v>
      </c>
      <c r="K12" s="86" t="n">
        <f aca="false">INDEX(B5_H50,1,1)</f>
        <v>1.5</v>
      </c>
      <c r="L12" s="86" t="n">
        <f aca="false">INDEX(B5_H50,1,1)</f>
        <v>1.5</v>
      </c>
      <c r="M12" s="86" t="n">
        <f aca="false">INDEX(B5_H50,1,1)</f>
        <v>1.5</v>
      </c>
      <c r="N12" s="86" t="n">
        <f aca="false">INDEX(B5_H50,1,1)</f>
        <v>1.5</v>
      </c>
      <c r="O12" s="86" t="n">
        <f aca="false">INDEX(B5_H50,1,1)</f>
        <v>1.5</v>
      </c>
      <c r="P12" s="86" t="n">
        <f aca="false">INDEX(B5_H50,1,1)</f>
        <v>1.5</v>
      </c>
      <c r="Q12" s="86" t="n">
        <f aca="false">INDEX(B5_H50,1,1)</f>
        <v>1.5</v>
      </c>
      <c r="R12" s="88" t="n">
        <f aca="false">INDEX(B5_H50Lo,1,1)</f>
        <v>0.5</v>
      </c>
      <c r="S12" s="88" t="n">
        <f aca="false">INDEX(B5_H50Hi,1,1)</f>
        <v>4</v>
      </c>
    </row>
    <row r="13" customFormat="false" ht="15" hidden="false" customHeight="false" outlineLevel="0" collapsed="false">
      <c r="A13" s="62" t="s">
        <v>2395</v>
      </c>
      <c r="C13" s="86" t="n">
        <f aca="false">INDEX(B5_H50,1,2)</f>
        <v>8</v>
      </c>
      <c r="D13" s="86" t="n">
        <f aca="false">INDEX(B5_H50,1,2)</f>
        <v>8</v>
      </c>
      <c r="E13" s="86" t="n">
        <f aca="false">INDEX(B5_H50,1,2)</f>
        <v>8</v>
      </c>
      <c r="F13" s="86" t="n">
        <f aca="false">INDEX(B5_H50,1,2)</f>
        <v>8</v>
      </c>
      <c r="G13" s="86" t="n">
        <f aca="false">INDEX(B5_H50,1,2)</f>
        <v>8</v>
      </c>
      <c r="H13" s="86" t="n">
        <f aca="false">INDEX(B5_H50,1,2)</f>
        <v>8</v>
      </c>
      <c r="I13" s="86" t="n">
        <f aca="false">INDEX(B5_H50,1,2)</f>
        <v>8</v>
      </c>
      <c r="J13" s="86" t="n">
        <f aca="false">INDEX(B5_H50,1,2)</f>
        <v>8</v>
      </c>
      <c r="K13" s="86" t="n">
        <f aca="false">INDEX(B5_H50,1,2)</f>
        <v>8</v>
      </c>
      <c r="L13" s="86" t="n">
        <f aca="false">INDEX(B5_H50,1,2)</f>
        <v>8</v>
      </c>
      <c r="M13" s="86" t="n">
        <f aca="false">INDEX(B5_H50,1,2)</f>
        <v>8</v>
      </c>
      <c r="N13" s="86" t="n">
        <f aca="false">INDEX(B5_H50,1,2)</f>
        <v>8</v>
      </c>
      <c r="O13" s="86" t="n">
        <f aca="false">INDEX(B5_H50,1,2)</f>
        <v>8</v>
      </c>
      <c r="P13" s="86" t="n">
        <f aca="false">INDEX(B5_H50,1,2)</f>
        <v>8</v>
      </c>
      <c r="Q13" s="86" t="n">
        <f aca="false">INDEX(B5_H50,1,2)</f>
        <v>8</v>
      </c>
      <c r="R13" s="88" t="n">
        <f aca="false">INDEX(B5_H50Lo,1,2)</f>
        <v>4</v>
      </c>
      <c r="S13" s="88" t="n">
        <f aca="false">INDEX(B5_H50Hi,1,2)</f>
        <v>12</v>
      </c>
    </row>
    <row r="14" customFormat="false" ht="15" hidden="false" customHeight="false" outlineLevel="0" collapsed="false">
      <c r="A14" s="62" t="s">
        <v>2396</v>
      </c>
      <c r="C14" s="86" t="n">
        <f aca="false">INDEX(B5_H50,1,3)</f>
        <v>16</v>
      </c>
      <c r="D14" s="86" t="n">
        <f aca="false">INDEX(B5_H50,1,3)</f>
        <v>16</v>
      </c>
      <c r="E14" s="86" t="n">
        <f aca="false">INDEX(B5_H50,1,3)</f>
        <v>16</v>
      </c>
      <c r="F14" s="86" t="n">
        <f aca="false">INDEX(B5_H50,1,3)</f>
        <v>16</v>
      </c>
      <c r="G14" s="86" t="n">
        <f aca="false">INDEX(B5_H50,1,3)</f>
        <v>16</v>
      </c>
      <c r="H14" s="86" t="n">
        <f aca="false">INDEX(B5_H50,1,3)</f>
        <v>16</v>
      </c>
      <c r="I14" s="86" t="n">
        <f aca="false">INDEX(B5_H50,1,3)</f>
        <v>16</v>
      </c>
      <c r="J14" s="86" t="n">
        <f aca="false">INDEX(B5_H50,1,3)</f>
        <v>16</v>
      </c>
      <c r="K14" s="86" t="n">
        <f aca="false">INDEX(B5_H50,1,3)</f>
        <v>16</v>
      </c>
      <c r="L14" s="86" t="n">
        <f aca="false">INDEX(B5_H50,1,3)</f>
        <v>16</v>
      </c>
      <c r="M14" s="86" t="n">
        <f aca="false">INDEX(B5_H50,1,3)</f>
        <v>16</v>
      </c>
      <c r="N14" s="86" t="n">
        <f aca="false">INDEX(B5_H50,1,3)</f>
        <v>16</v>
      </c>
      <c r="O14" s="86" t="n">
        <f aca="false">INDEX(B5_H50,1,3)</f>
        <v>16</v>
      </c>
      <c r="P14" s="86" t="n">
        <f aca="false">INDEX(B5_H50,1,3)</f>
        <v>16</v>
      </c>
      <c r="Q14" s="86" t="n">
        <f aca="false">INDEX(B5_H50,1,3)</f>
        <v>16</v>
      </c>
      <c r="R14" s="88" t="n">
        <f aca="false">INDEX(B5_H50Lo,1,3)</f>
        <v>11</v>
      </c>
      <c r="S14" s="88" t="n">
        <f aca="false">INDEX(B5_H50Hi,1,3)</f>
        <v>40</v>
      </c>
    </row>
    <row r="16" customFormat="false" ht="15" hidden="false" customHeight="false" outlineLevel="0" collapsed="false">
      <c r="A16" s="61" t="s">
        <v>2397</v>
      </c>
      <c r="C16" s="111" t="n">
        <f aca="false">Workload!$G$5*C5</f>
        <v>21</v>
      </c>
      <c r="D16" s="111" t="n">
        <f aca="false">Workload!$G$5*D5</f>
        <v>21</v>
      </c>
      <c r="E16" s="111" t="n">
        <f aca="false">Workload!$G$5*E5</f>
        <v>51</v>
      </c>
      <c r="F16" s="111" t="n">
        <f aca="false">Workload!$G$5*F5</f>
        <v>21</v>
      </c>
      <c r="G16" s="111" t="n">
        <f aca="false">Workload!$G$5*G5</f>
        <v>21</v>
      </c>
      <c r="H16" s="111" t="n">
        <f aca="false">Workload!$G$5*H5</f>
        <v>21</v>
      </c>
      <c r="I16" s="111" t="n">
        <f aca="false">Workload!$G$5*I5</f>
        <v>21</v>
      </c>
      <c r="J16" s="111" t="n">
        <f aca="false">Workload!$G$5*J5</f>
        <v>21</v>
      </c>
      <c r="K16" s="111" t="n">
        <f aca="false">Workload!$G$5*K5</f>
        <v>21</v>
      </c>
      <c r="L16" s="111" t="n">
        <f aca="false">Workload!$G$5*L5</f>
        <v>21</v>
      </c>
      <c r="M16" s="111" t="n">
        <f aca="false">Workload!$G$5*M5</f>
        <v>21</v>
      </c>
      <c r="N16" s="111" t="n">
        <f aca="false">Workload!$G$5*N5</f>
        <v>21</v>
      </c>
      <c r="O16" s="111" t="n">
        <f aca="false">Workload!$G$5*O5</f>
        <v>21</v>
      </c>
      <c r="P16" s="111" t="n">
        <f aca="false">Workload!$G$5*P5</f>
        <v>21</v>
      </c>
      <c r="Q16" s="111" t="n">
        <f aca="false">Workload!$G$5*Q5</f>
        <v>21</v>
      </c>
      <c r="R16" s="111" t="n">
        <f aca="false">Workload!$G$5*R5</f>
        <v>21</v>
      </c>
      <c r="S16" s="111" t="n">
        <f aca="false">Workload!$G$5*S5</f>
        <v>21</v>
      </c>
    </row>
    <row r="17" customFormat="false" ht="15" hidden="false" customHeight="false" outlineLevel="0" collapsed="false">
      <c r="A17" s="61" t="s">
        <v>2398</v>
      </c>
      <c r="C17" s="63" t="n">
        <f aca="false">Workload!$G$8*C6</f>
        <v>480</v>
      </c>
      <c r="D17" s="63" t="n">
        <f aca="false">Workload!$G$8*D6</f>
        <v>480</v>
      </c>
      <c r="E17" s="63" t="n">
        <f aca="false">Workload!$G$8*E6</f>
        <v>480</v>
      </c>
      <c r="F17" s="63" t="n">
        <f aca="false">Workload!$G$8*F6</f>
        <v>360</v>
      </c>
      <c r="G17" s="63" t="n">
        <f aca="false">Workload!$G$8*G6</f>
        <v>600</v>
      </c>
      <c r="H17" s="63" t="n">
        <f aca="false">Workload!$G$8*H6</f>
        <v>480</v>
      </c>
      <c r="I17" s="63" t="n">
        <f aca="false">Workload!$G$8*I6</f>
        <v>480</v>
      </c>
      <c r="J17" s="63" t="n">
        <f aca="false">Workload!$G$8*J6</f>
        <v>480</v>
      </c>
      <c r="K17" s="63" t="n">
        <f aca="false">Workload!$G$8*K6</f>
        <v>480</v>
      </c>
      <c r="L17" s="63" t="n">
        <f aca="false">Workload!$G$8*L6</f>
        <v>480</v>
      </c>
      <c r="M17" s="63" t="n">
        <f aca="false">Workload!$G$8*M6</f>
        <v>480</v>
      </c>
      <c r="N17" s="63" t="n">
        <f aca="false">Workload!$G$8*N6</f>
        <v>480</v>
      </c>
      <c r="O17" s="63" t="n">
        <f aca="false">Workload!$G$8*O6</f>
        <v>480</v>
      </c>
      <c r="P17" s="63" t="n">
        <f aca="false">Workload!$G$8*P6</f>
        <v>480</v>
      </c>
      <c r="Q17" s="63" t="n">
        <f aca="false">Workload!$G$8*Q6</f>
        <v>480</v>
      </c>
      <c r="R17" s="63" t="n">
        <f aca="false">Workload!$G$8*R6</f>
        <v>480</v>
      </c>
      <c r="S17" s="63" t="n">
        <f aca="false">Workload!$G$8*S6</f>
        <v>480</v>
      </c>
    </row>
    <row r="18" customFormat="false" ht="15" hidden="false" customHeight="false" outlineLevel="0" collapsed="false">
      <c r="A18" s="61" t="s">
        <v>2399</v>
      </c>
      <c r="C18" s="63" t="n">
        <f aca="false">Workload!$G$7+Workload!$G$9+C7*C17</f>
        <v>2880</v>
      </c>
      <c r="D18" s="63" t="n">
        <f aca="false">Workload!$G$7+Workload!$G$9+D7*D17</f>
        <v>2880</v>
      </c>
      <c r="E18" s="63" t="n">
        <f aca="false">Workload!$G$7+Workload!$G$9+E7*E17</f>
        <v>2880</v>
      </c>
      <c r="F18" s="63" t="n">
        <f aca="false">Workload!$G$7+Workload!$G$9+F7*F17</f>
        <v>2760</v>
      </c>
      <c r="G18" s="63" t="n">
        <f aca="false">Workload!$G$7+Workload!$G$9+G7*G17</f>
        <v>3000</v>
      </c>
      <c r="H18" s="63" t="n">
        <f aca="false">Workload!$G$7+Workload!$G$9+H7*H17</f>
        <v>2640</v>
      </c>
      <c r="I18" s="63" t="n">
        <f aca="false">Workload!$G$7+Workload!$G$9+I7*I17</f>
        <v>2880</v>
      </c>
      <c r="J18" s="63" t="n">
        <f aca="false">Workload!$G$7+Workload!$G$9+J7*J17</f>
        <v>2880</v>
      </c>
      <c r="K18" s="63" t="n">
        <f aca="false">Workload!$G$7+Workload!$G$9+K7*K17</f>
        <v>2880</v>
      </c>
      <c r="L18" s="63" t="n">
        <f aca="false">Workload!$G$7+Workload!$G$9+L7*L17</f>
        <v>2880</v>
      </c>
      <c r="M18" s="63" t="n">
        <f aca="false">Workload!$G$7+Workload!$G$9+M7*M17</f>
        <v>2880</v>
      </c>
      <c r="N18" s="63" t="n">
        <f aca="false">Workload!$G$7+Workload!$G$9+N7*N17</f>
        <v>2880</v>
      </c>
      <c r="O18" s="63" t="n">
        <f aca="false">Workload!$G$7+Workload!$G$9+O7*O17</f>
        <v>2880</v>
      </c>
      <c r="P18" s="63" t="n">
        <f aca="false">Workload!$G$7+Workload!$G$9+P7*P17</f>
        <v>2880</v>
      </c>
      <c r="Q18" s="63" t="n">
        <f aca="false">Workload!$G$7+Workload!$G$9+Q7*Q17</f>
        <v>2880</v>
      </c>
      <c r="R18" s="63" t="n">
        <f aca="false">Workload!$G$7+Workload!$G$9+R7*R17</f>
        <v>2880</v>
      </c>
      <c r="S18" s="63" t="n">
        <f aca="false">Workload!$G$7+Workload!$G$9+S7*S17</f>
        <v>2880</v>
      </c>
    </row>
    <row r="19" customFormat="false" ht="15" hidden="false" customHeight="false" outlineLevel="0" collapsed="false">
      <c r="A19" s="61" t="s">
        <v>2400</v>
      </c>
      <c r="C19" s="63" t="n">
        <f aca="false">C16*(Workload!$G$6+Workload!$G$7)+C8*C18*C16*(C16-1)/2</f>
        <v>717360</v>
      </c>
      <c r="D19" s="63" t="n">
        <f aca="false">D16*(Workload!$G$6+Workload!$G$7)+D8*D18*D16*(D16-1)/2</f>
        <v>717360</v>
      </c>
      <c r="E19" s="63" t="n">
        <f aca="false">E16*(Workload!$G$6+Workload!$G$7)+E8*E18*E16*(E16-1)/2</f>
        <v>3284400</v>
      </c>
      <c r="F19" s="63" t="n">
        <f aca="false">F16*(Workload!$G$6+Workload!$G$7)+F8*F18*F16*(F16-1)/2</f>
        <v>699720</v>
      </c>
      <c r="G19" s="63" t="n">
        <f aca="false">G16*(Workload!$G$6+Workload!$G$7)+G8*G18*G16*(G16-1)/2</f>
        <v>735000</v>
      </c>
      <c r="H19" s="63" t="n">
        <f aca="false">H16*(Workload!$G$6+Workload!$G$7)+H8*H18*H16*(H16-1)/2</f>
        <v>682080</v>
      </c>
      <c r="I19" s="63" t="n">
        <f aca="false">I16*(Workload!$G$6+Workload!$G$7)+I8*I18*I16*(I16-1)/2</f>
        <v>717360</v>
      </c>
      <c r="J19" s="63" t="n">
        <f aca="false">J16*(Workload!$G$6+Workload!$G$7)+J8*J18*J16*(J16-1)/2</f>
        <v>596400</v>
      </c>
      <c r="K19" s="63" t="n">
        <f aca="false">K16*(Workload!$G$6+Workload!$G$7)+K8*K18*K16*(K16-1)/2</f>
        <v>898800</v>
      </c>
      <c r="L19" s="63" t="n">
        <f aca="false">L16*(Workload!$G$6+Workload!$G$7)+L8*L18*L16*(L16-1)/2</f>
        <v>717360</v>
      </c>
      <c r="M19" s="63" t="n">
        <f aca="false">M16*(Workload!$G$6+Workload!$G$7)+M8*M18*M16*(M16-1)/2</f>
        <v>717360</v>
      </c>
      <c r="N19" s="63" t="n">
        <f aca="false">N16*(Workload!$G$6+Workload!$G$7)+N8*N18*N16*(N16-1)/2</f>
        <v>717360</v>
      </c>
      <c r="O19" s="63" t="n">
        <f aca="false">O16*(Workload!$G$6+Workload!$G$7)+O8*O18*O16*(O16-1)/2</f>
        <v>717360</v>
      </c>
      <c r="P19" s="63" t="n">
        <f aca="false">P16*(Workload!$G$6+Workload!$G$7)+P8*P18*P16*(P16-1)/2</f>
        <v>717360</v>
      </c>
      <c r="Q19" s="63" t="n">
        <f aca="false">Q16*(Workload!$G$6+Workload!$G$7)+Q8*Q18*Q16*(Q16-1)/2</f>
        <v>717360</v>
      </c>
      <c r="R19" s="63" t="n">
        <f aca="false">R16*(Workload!$G$6+Workload!$G$7)+R8*R18*R16*(R16-1)/2</f>
        <v>717360</v>
      </c>
      <c r="S19" s="63" t="n">
        <f aca="false">S16*(Workload!$G$6+Workload!$G$7)+S8*S18*S16*(S16-1)/2</f>
        <v>717360</v>
      </c>
    </row>
    <row r="20" customFormat="false" ht="15" hidden="false" customHeight="false" outlineLevel="0" collapsed="false">
      <c r="A20" s="61" t="s">
        <v>2401</v>
      </c>
      <c r="C20" s="63" t="n">
        <f aca="false">MIN(1,MAX(0,Workload!$G$11+INDEX(B5_SelDChi,1,5)))*(C16*Workload!$G$6+C8*C18*C16*(C16-1)/2)</f>
        <v>607824</v>
      </c>
      <c r="D20" s="63" t="n">
        <f aca="false">MIN(1,MAX(0,Workload!$G$11+INDEX(B5_SelDChi,1,5)))*(D16*Workload!$G$6+D8*D18*D16*(D16-1)/2)</f>
        <v>607824</v>
      </c>
      <c r="E20" s="63" t="n">
        <f aca="false">MIN(1,MAX(0,Workload!$G$11+INDEX(B5_SelDChi,1,5)))*(E16*Workload!$G$6+E8*E18*E16*(E16-1)/2)</f>
        <v>2864160</v>
      </c>
      <c r="F20" s="63" t="n">
        <f aca="false">MIN(1,MAX(0,Workload!$G$11+INDEX(B5_SelDChi,1,5)))*(F16*Workload!$G$6+F8*F18*F16*(F16-1)/2)</f>
        <v>591948</v>
      </c>
      <c r="G20" s="63" t="n">
        <f aca="false">MIN(1,MAX(0,Workload!$G$11+INDEX(B5_SelDChi,1,5)))*(G16*Workload!$G$6+G8*G18*G16*(G16-1)/2)</f>
        <v>623700</v>
      </c>
      <c r="H20" s="63" t="n">
        <f aca="false">MIN(1,MAX(0,Workload!$G$11+INDEX(B5_SelDChi,1,5)))*(H16*Workload!$G$6+H8*H18*H16*(H16-1)/2)</f>
        <v>576072</v>
      </c>
      <c r="I20" s="63" t="n">
        <f aca="false">MIN(1,MAX(0,Workload!$G$11+INDEX(B5_SelDChi,1,5)))*(I16*Workload!$G$6+I8*I18*I16*(I16-1)/2)</f>
        <v>607824</v>
      </c>
      <c r="J20" s="63" t="n">
        <f aca="false">MIN(1,MAX(0,Workload!$G$11+INDEX(B5_SelDChi,1,5)))*(J16*Workload!$G$6+J8*J18*J16*(J16-1)/2)</f>
        <v>498960</v>
      </c>
      <c r="K20" s="63" t="n">
        <f aca="false">MIN(1,MAX(0,Workload!$G$11+INDEX(B5_SelDChi,1,5)))*(K16*Workload!$G$6+K8*K18*K16*(K16-1)/2)</f>
        <v>771120</v>
      </c>
      <c r="L20" s="63" t="n">
        <f aca="false">MIN(1,MAX(0,Workload!$G$11+INDEX(B5_SelDChi,1,5)))*(L16*Workload!$G$6+L8*L18*L16*(L16-1)/2)</f>
        <v>607824</v>
      </c>
      <c r="M20" s="63" t="n">
        <f aca="false">MIN(1,MAX(0,Workload!$G$11+INDEX(B5_SelDChi,1,5)))*(M16*Workload!$G$6+M8*M18*M16*(M16-1)/2)</f>
        <v>607824</v>
      </c>
      <c r="N20" s="63" t="n">
        <f aca="false">MIN(1,MAX(0,Workload!$G$11+INDEX(B5_SelDChi,1,5)))*(N16*Workload!$G$6+N8*N18*N16*(N16-1)/2)</f>
        <v>607824</v>
      </c>
      <c r="O20" s="63" t="n">
        <f aca="false">MIN(1,MAX(0,Workload!$G$11+INDEX(B5_SelDChi,1,5)))*(O16*Workload!$G$6+O8*O18*O16*(O16-1)/2)</f>
        <v>607824</v>
      </c>
      <c r="P20" s="63" t="n">
        <f aca="false">MIN(1,MAX(0,Workload!$G$11+INDEX(B5_SelDChi,1,5)))*(P16*Workload!$G$6+P8*P18*P16*(P16-1)/2)</f>
        <v>607824</v>
      </c>
      <c r="Q20" s="63" t="n">
        <f aca="false">MIN(1,MAX(0,Workload!$G$11+INDEX(B5_SelDChi,1,5)))*(Q16*Workload!$G$6+Q8*Q18*Q16*(Q16-1)/2)</f>
        <v>607824</v>
      </c>
      <c r="R20" s="63" t="n">
        <f aca="false">MIN(1,MAX(0,Workload!$G$11+INDEX(B5_SelDChi,1,5)))*(R16*Workload!$G$6+R8*R18*R16*(R16-1)/2)</f>
        <v>607824</v>
      </c>
      <c r="S20" s="63" t="n">
        <f aca="false">MIN(1,MAX(0,Workload!$G$11+INDEX(B5_SelDChi,1,5)))*(S16*Workload!$G$6+S8*S18*S16*(S16-1)/2)</f>
        <v>607824</v>
      </c>
    </row>
    <row r="21" customFormat="false" ht="15" hidden="false" customHeight="false" outlineLevel="0" collapsed="false">
      <c r="A21" s="61" t="s">
        <v>2402</v>
      </c>
      <c r="C21" s="63" t="n">
        <f aca="false">(C19-C20)*(1+Workload!$G$12+INDEX(B5_SelDM,1,5))*Workload!$G$13</f>
        <v>109536</v>
      </c>
      <c r="D21" s="63" t="n">
        <f aca="false">(D19-D20)*(1+Workload!$G$12+INDEX(B5_SelDM,1,5))*Workload!$G$13</f>
        <v>109536</v>
      </c>
      <c r="E21" s="63" t="n">
        <f aca="false">(E19-E20)*(1+Workload!$G$12+INDEX(B5_SelDM,1,5))*Workload!$G$13</f>
        <v>420240</v>
      </c>
      <c r="F21" s="63" t="n">
        <f aca="false">(F19-F20)*(1+Workload!$G$12+INDEX(B5_SelDM,1,5))*Workload!$G$13</f>
        <v>107772</v>
      </c>
      <c r="G21" s="63" t="n">
        <f aca="false">(G19-G20)*(1+Workload!$G$12+INDEX(B5_SelDM,1,5))*Workload!$G$13</f>
        <v>111300</v>
      </c>
      <c r="H21" s="63" t="n">
        <f aca="false">(H19-H20)*(1+Workload!$G$12+INDEX(B5_SelDM,1,5))*Workload!$G$13</f>
        <v>106008</v>
      </c>
      <c r="I21" s="63" t="n">
        <f aca="false">(I19-I20)*(1+Workload!$G$12+INDEX(B5_SelDM,1,5))*Workload!$G$13</f>
        <v>109536</v>
      </c>
      <c r="J21" s="63" t="n">
        <f aca="false">(J19-J20)*(1+Workload!$G$12+INDEX(B5_SelDM,1,5))*Workload!$G$13</f>
        <v>97440</v>
      </c>
      <c r="K21" s="63" t="n">
        <f aca="false">(K19-K20)*(1+Workload!$G$12+INDEX(B5_SelDM,1,5))*Workload!$G$13</f>
        <v>127680</v>
      </c>
      <c r="L21" s="63" t="n">
        <f aca="false">(L19-L20)*(1+Workload!$G$12+INDEX(B5_SelDM,1,5))*Workload!$G$13</f>
        <v>109536</v>
      </c>
      <c r="M21" s="63" t="n">
        <f aca="false">(M19-M20)*(1+Workload!$G$12+INDEX(B5_SelDM,1,5))*Workload!$G$13</f>
        <v>109536</v>
      </c>
      <c r="N21" s="63" t="n">
        <f aca="false">(N19-N20)*(1+Workload!$G$12+INDEX(B5_SelDM,1,5))*Workload!$G$13</f>
        <v>109536</v>
      </c>
      <c r="O21" s="63" t="n">
        <f aca="false">(O19-O20)*(1+Workload!$G$12+INDEX(B5_SelDM,1,5))*Workload!$G$13</f>
        <v>109536</v>
      </c>
      <c r="P21" s="63" t="n">
        <f aca="false">(P19-P20)*(1+Workload!$G$12+INDEX(B5_SelDM,1,5))*Workload!$G$13</f>
        <v>109536</v>
      </c>
      <c r="Q21" s="63" t="n">
        <f aca="false">(Q19-Q20)*(1+Workload!$G$12+INDEX(B5_SelDM,1,5))*Workload!$G$13</f>
        <v>109536</v>
      </c>
      <c r="R21" s="63" t="n">
        <f aca="false">(R19-R20)*(1+Workload!$G$12+INDEX(B5_SelDM,1,5))*Workload!$G$13</f>
        <v>109536</v>
      </c>
      <c r="S21" s="63" t="n">
        <f aca="false">(S19-S20)*(1+Workload!$G$12+INDEX(B5_SelDM,1,5))*Workload!$G$13</f>
        <v>109536</v>
      </c>
    </row>
    <row r="22" customFormat="false" ht="15" hidden="false" customHeight="false" outlineLevel="0" collapsed="false">
      <c r="A22" s="61" t="s">
        <v>2403</v>
      </c>
      <c r="C22" s="63" t="n">
        <f aca="false">C20*(1+Workload!$G$12+INDEX(B5_SelDM,1,5))*Workload!$G$13</f>
        <v>607824</v>
      </c>
      <c r="D22" s="63" t="n">
        <f aca="false">D20*(1+Workload!$G$12+INDEX(B5_SelDM,1,5))*Workload!$G$13</f>
        <v>607824</v>
      </c>
      <c r="E22" s="63" t="n">
        <f aca="false">E20*(1+Workload!$G$12+INDEX(B5_SelDM,1,5))*Workload!$G$13</f>
        <v>2864160</v>
      </c>
      <c r="F22" s="63" t="n">
        <f aca="false">F20*(1+Workload!$G$12+INDEX(B5_SelDM,1,5))*Workload!$G$13</f>
        <v>591948</v>
      </c>
      <c r="G22" s="63" t="n">
        <f aca="false">G20*(1+Workload!$G$12+INDEX(B5_SelDM,1,5))*Workload!$G$13</f>
        <v>623700</v>
      </c>
      <c r="H22" s="63" t="n">
        <f aca="false">H20*(1+Workload!$G$12+INDEX(B5_SelDM,1,5))*Workload!$G$13</f>
        <v>576072</v>
      </c>
      <c r="I22" s="63" t="n">
        <f aca="false">I20*(1+Workload!$G$12+INDEX(B5_SelDM,1,5))*Workload!$G$13</f>
        <v>607824</v>
      </c>
      <c r="J22" s="63" t="n">
        <f aca="false">J20*(1+Workload!$G$12+INDEX(B5_SelDM,1,5))*Workload!$G$13</f>
        <v>498960</v>
      </c>
      <c r="K22" s="63" t="n">
        <f aca="false">K20*(1+Workload!$G$12+INDEX(B5_SelDM,1,5))*Workload!$G$13</f>
        <v>771120</v>
      </c>
      <c r="L22" s="63" t="n">
        <f aca="false">L20*(1+Workload!$G$12+INDEX(B5_SelDM,1,5))*Workload!$G$13</f>
        <v>607824</v>
      </c>
      <c r="M22" s="63" t="n">
        <f aca="false">M20*(1+Workload!$G$12+INDEX(B5_SelDM,1,5))*Workload!$G$13</f>
        <v>607824</v>
      </c>
      <c r="N22" s="63" t="n">
        <f aca="false">N20*(1+Workload!$G$12+INDEX(B5_SelDM,1,5))*Workload!$G$13</f>
        <v>607824</v>
      </c>
      <c r="O22" s="63" t="n">
        <f aca="false">O20*(1+Workload!$G$12+INDEX(B5_SelDM,1,5))*Workload!$G$13</f>
        <v>607824</v>
      </c>
      <c r="P22" s="63" t="n">
        <f aca="false">P20*(1+Workload!$G$12+INDEX(B5_SelDM,1,5))*Workload!$G$13</f>
        <v>607824</v>
      </c>
      <c r="Q22" s="63" t="n">
        <f aca="false">Q20*(1+Workload!$G$12+INDEX(B5_SelDM,1,5))*Workload!$G$13</f>
        <v>607824</v>
      </c>
      <c r="R22" s="63" t="n">
        <f aca="false">R20*(1+Workload!$G$12+INDEX(B5_SelDM,1,5))*Workload!$G$13</f>
        <v>607824</v>
      </c>
      <c r="S22" s="63" t="n">
        <f aca="false">S20*(1+Workload!$G$12+INDEX(B5_SelDM,1,5))*Workload!$G$13</f>
        <v>607824</v>
      </c>
    </row>
    <row r="23" customFormat="false" ht="15" hidden="false" customHeight="false" outlineLevel="0" collapsed="false">
      <c r="A23" s="61" t="s">
        <v>2404</v>
      </c>
      <c r="C23" s="63" t="n">
        <f aca="false">C16*(C17+Workload!$G$9)*(1+Workload!$G$12+INDEX(B5_SelDM,1,5))*Workload!$G$13</f>
        <v>18480</v>
      </c>
      <c r="D23" s="63" t="n">
        <f aca="false">D16*(D17+Workload!$G$9)*(1+Workload!$G$12+INDEX(B5_SelDM,1,5))*Workload!$G$13</f>
        <v>18480</v>
      </c>
      <c r="E23" s="63" t="n">
        <f aca="false">E16*(E17+Workload!$G$9)*(1+Workload!$G$12+INDEX(B5_SelDM,1,5))*Workload!$G$13</f>
        <v>44880</v>
      </c>
      <c r="F23" s="63" t="n">
        <f aca="false">F16*(F17+Workload!$G$9)*(1+Workload!$G$12+INDEX(B5_SelDM,1,5))*Workload!$G$13</f>
        <v>15960</v>
      </c>
      <c r="G23" s="63" t="n">
        <f aca="false">G16*(G17+Workload!$G$9)*(1+Workload!$G$12+INDEX(B5_SelDM,1,5))*Workload!$G$13</f>
        <v>21000</v>
      </c>
      <c r="H23" s="63" t="n">
        <f aca="false">H16*(H17+Workload!$G$9)*(1+Workload!$G$12+INDEX(B5_SelDM,1,5))*Workload!$G$13</f>
        <v>18480</v>
      </c>
      <c r="I23" s="63" t="n">
        <f aca="false">I16*(I17+Workload!$G$9)*(1+Workload!$G$12+INDEX(B5_SelDM,1,5))*Workload!$G$13</f>
        <v>18480</v>
      </c>
      <c r="J23" s="63" t="n">
        <f aca="false">J16*(J17+Workload!$G$9)*(1+Workload!$G$12+INDEX(B5_SelDM,1,5))*Workload!$G$13</f>
        <v>18480</v>
      </c>
      <c r="K23" s="63" t="n">
        <f aca="false">K16*(K17+Workload!$G$9)*(1+Workload!$G$12+INDEX(B5_SelDM,1,5))*Workload!$G$13</f>
        <v>18480</v>
      </c>
      <c r="L23" s="63" t="n">
        <f aca="false">L16*(L17+Workload!$G$9)*(1+Workload!$G$12+INDEX(B5_SelDM,1,5))*Workload!$G$13</f>
        <v>18480</v>
      </c>
      <c r="M23" s="63" t="n">
        <f aca="false">M16*(M17+Workload!$G$9)*(1+Workload!$G$12+INDEX(B5_SelDM,1,5))*Workload!$G$13</f>
        <v>18480</v>
      </c>
      <c r="N23" s="63" t="n">
        <f aca="false">N16*(N17+Workload!$G$9)*(1+Workload!$G$12+INDEX(B5_SelDM,1,5))*Workload!$G$13</f>
        <v>18480</v>
      </c>
      <c r="O23" s="63" t="n">
        <f aca="false">O16*(O17+Workload!$G$9)*(1+Workload!$G$12+INDEX(B5_SelDM,1,5))*Workload!$G$13</f>
        <v>18480</v>
      </c>
      <c r="P23" s="63" t="n">
        <f aca="false">P16*(P17+Workload!$G$9)*(1+Workload!$G$12+INDEX(B5_SelDM,1,5))*Workload!$G$13</f>
        <v>18480</v>
      </c>
      <c r="Q23" s="63" t="n">
        <f aca="false">Q16*(Q17+Workload!$G$9)*(1+Workload!$G$12+INDEX(B5_SelDM,1,5))*Workload!$G$13</f>
        <v>18480</v>
      </c>
      <c r="R23" s="63" t="n">
        <f aca="false">R16*(R17+Workload!$G$9)*(1+Workload!$G$12+INDEX(B5_SelDM,1,5))*Workload!$G$13</f>
        <v>18480</v>
      </c>
      <c r="S23" s="63" t="n">
        <f aca="false">S16*(S17+Workload!$G$9)*(1+Workload!$G$12+INDEX(B5_SelDM,1,5))*Workload!$G$13</f>
        <v>18480</v>
      </c>
    </row>
    <row r="24" customFormat="false" ht="15" hidden="false" customHeight="false" outlineLevel="0" collapsed="false">
      <c r="A24" s="62" t="s">
        <v>2405</v>
      </c>
      <c r="C24" s="97" t="n">
        <f aca="false">(C21+C22+C23)/Harness!$G$21</f>
        <v>0.492530120481928</v>
      </c>
      <c r="D24" s="97" t="n">
        <f aca="false">(D21+D22+D23)/Harness!$G$21</f>
        <v>0.492530120481928</v>
      </c>
      <c r="E24" s="97" t="n">
        <f aca="false">(E21+E22+E23)/Harness!$G$21</f>
        <v>2.22843373493976</v>
      </c>
      <c r="F24" s="97" t="n">
        <f aca="false">(F21+F22+F23)/Harness!$G$21</f>
        <v>0.479036144578313</v>
      </c>
      <c r="G24" s="97" t="n">
        <f aca="false">(G21+G22+G23)/Harness!$G$21</f>
        <v>0.506024096385542</v>
      </c>
      <c r="H24" s="97" t="n">
        <f aca="false">(H21+H22+H23)/Harness!$G$21</f>
        <v>0.468915662650602</v>
      </c>
      <c r="I24" s="97" t="n">
        <f aca="false">(I21+I22+I23)/Harness!$G$21</f>
        <v>0.492530120481928</v>
      </c>
      <c r="J24" s="97" t="n">
        <f aca="false">(J21+J22+J23)/Harness!$G$21</f>
        <v>0.411566265060241</v>
      </c>
      <c r="K24" s="97" t="n">
        <f aca="false">(K21+K22+K23)/Harness!$G$21</f>
        <v>0.613975903614458</v>
      </c>
      <c r="L24" s="97" t="n">
        <f aca="false">(L21+L22+L23)/Harness!$G$21</f>
        <v>0.492530120481928</v>
      </c>
      <c r="M24" s="97" t="n">
        <f aca="false">(M21+M22+M23)/Harness!$G$21</f>
        <v>0.492530120481928</v>
      </c>
      <c r="N24" s="97" t="n">
        <f aca="false">(N21+N22+N23)/Harness!$G$21</f>
        <v>0.492530120481928</v>
      </c>
      <c r="O24" s="97" t="n">
        <f aca="false">(O21+O22+O23)/Harness!$G$21</f>
        <v>0.492530120481928</v>
      </c>
      <c r="P24" s="97" t="n">
        <f aca="false">(P21+P22+P23)/Harness!$G$21</f>
        <v>0.492530120481928</v>
      </c>
      <c r="Q24" s="97" t="n">
        <f aca="false">(Q21+Q22+Q23)/Harness!$G$21</f>
        <v>0.492530120481928</v>
      </c>
      <c r="R24" s="97" t="n">
        <f aca="false">(R21+R22+R23)/Harness!$G$21</f>
        <v>0.492530120481928</v>
      </c>
      <c r="S24" s="97" t="n">
        <f aca="false">(S21+S22+S23)/Harness!$G$21</f>
        <v>0.492530120481928</v>
      </c>
    </row>
    <row r="26" customFormat="false" ht="15" hidden="false" customHeight="false" outlineLevel="0" collapsed="false">
      <c r="A26" s="62" t="s">
        <v>2406</v>
      </c>
      <c r="C26" s="90" t="n">
        <f aca="false">IF(ISNUMBER(Unit_Cost!$M$21),(C21*Unit_Cost!$M$19+C22*(Unit_Cost!$M$20+Cache_Store!$M$17*C10/B4_Retain)+C23*Unit_Cost!$M$21)/1000000,"SLO 不可達")</f>
        <v>0.00369800726107797</v>
      </c>
      <c r="D26" s="90" t="n">
        <f aca="false">IF(ISNUMBER(Unit_Cost!$M$21),(D21*Unit_Cost!$M$19+D22*(Unit_Cost!$M$20+Cache_Store!$M$17*D10/B4_Retain)+D23*Unit_Cost!$M$21)/1000000,"SLO 不可達")</f>
        <v>0.00369800726107797</v>
      </c>
      <c r="E26" s="90" t="n">
        <f aca="false">IF(ISNUMBER(Unit_Cost!$M$21),(E21*Unit_Cost!$M$19+E22*(Unit_Cost!$M$20+Cache_Store!$M$17*E10/B4_Retain)+E23*Unit_Cost!$M$21)/1000000,"SLO 不可達")</f>
        <v>0.010459699573596</v>
      </c>
      <c r="F26" s="90" t="n">
        <f aca="false">IF(ISNUMBER(Unit_Cost!$M$21),(F21*Unit_Cost!$M$19+F22*(Unit_Cost!$M$20+Cache_Store!$M$17*F10/B4_Retain)+F23*Unit_Cost!$M$21)/1000000,"SLO 不可達")</f>
        <v>0.00331134418633338</v>
      </c>
      <c r="G26" s="90" t="n">
        <f aca="false">IF(ISNUMBER(Unit_Cost!$M$21),(G21*Unit_Cost!$M$19+G22*(Unit_Cost!$M$20+Cache_Store!$M$17*G10/B4_Retain)+G23*Unit_Cost!$M$21)/1000000,"SLO 不可達")</f>
        <v>0.00408467033582255</v>
      </c>
      <c r="H26" s="90" t="n">
        <f aca="false">IF(ISNUMBER(Unit_Cost!$M$21),(H21*Unit_Cost!$M$19+H22*(Unit_Cost!$M$20+Cache_Store!$M$17*H10/B4_Retain)+H23*Unit_Cost!$M$21)/1000000,"SLO 不可達")</f>
        <v>0.00366417793566343</v>
      </c>
      <c r="I26" s="90" t="n">
        <f aca="false">IF(ISNUMBER(Unit_Cost!$M$21),(I21*Unit_Cost!$M$19+I22*(Unit_Cost!$M$20+Cache_Store!$M$17*I10/B4_Retain)+I23*Unit_Cost!$M$21)/1000000,"SLO 不可達")</f>
        <v>0.00369800726107797</v>
      </c>
      <c r="J26" s="90" t="n">
        <f aca="false">IF(ISNUMBER(Unit_Cost!$M$21),(J21*Unit_Cost!$M$19+J22*(Unit_Cost!$M$20+Cache_Store!$M$17*J10/B4_Retain)+J23*Unit_Cost!$M$21)/1000000,"SLO 不可達")</f>
        <v>0.00358202100251386</v>
      </c>
      <c r="K26" s="90" t="n">
        <f aca="false">IF(ISNUMBER(Unit_Cost!$M$21),(K21*Unit_Cost!$M$19+K22*(Unit_Cost!$M$20+Cache_Store!$M$17*K10/B4_Retain)+K23*Unit_Cost!$M$21)/1000000,"SLO 不可達")</f>
        <v>0.00387198664892413</v>
      </c>
      <c r="L26" s="90" t="n">
        <f aca="false">IF(ISNUMBER(Unit_Cost!$M$21),(L21*Unit_Cost!$M$19+L22*(Unit_Cost!$M$20+Cache_Store!$M$17*L10/B4_Retain)+L23*Unit_Cost!$M$21)/1000000,"SLO 不可達")</f>
        <v>0.00369800726107797</v>
      </c>
      <c r="M26" s="90" t="n">
        <f aca="false">IF(ISNUMBER(Unit_Cost!$M$21),(M21*Unit_Cost!$M$19+M22*(Unit_Cost!$M$20+Cache_Store!$M$17*M10/B4_Retain)+M23*Unit_Cost!$M$21)/1000000,"SLO 不可達")</f>
        <v>0.00369800726107797</v>
      </c>
      <c r="N26" s="90" t="n">
        <f aca="false">IF(ISNUMBER(Unit_Cost!$M$21),(N21*Unit_Cost!$M$19+N22*(Unit_Cost!$M$20+Cache_Store!$M$17*N10/B4_Retain)+N23*Unit_Cost!$M$21)/1000000,"SLO 不可達")</f>
        <v>0.00364111974546153</v>
      </c>
      <c r="O26" s="90" t="n">
        <f aca="false">IF(ISNUMBER(Unit_Cost!$M$21),(O21*Unit_Cost!$M$19+O22*(Unit_Cost!$M$20+Cache_Store!$M$17*O10/B4_Retain)+O23*Unit_Cost!$M$21)/1000000,"SLO 不可達")</f>
        <v>0.0038269738447766</v>
      </c>
      <c r="P26" s="90" t="n">
        <f aca="false">IF(ISNUMBER(Unit_Cost!$M$21),(P21*Unit_Cost!$M$19+P22*(Unit_Cost!$M$20+Cache_Store!$M$17*P10/B4_Retain)+P23*Unit_Cost!$M$21)/1000000,"SLO 不可達")</f>
        <v>0.00369800726107797</v>
      </c>
      <c r="Q26" s="90" t="n">
        <f aca="false">IF(ISNUMBER(Unit_Cost!$M$21),(Q21*Unit_Cost!$M$19+Q22*(Unit_Cost!$M$20+Cache_Store!$M$17*Q10/B4_Retain)+Q23*Unit_Cost!$M$21)/1000000,"SLO 不可達")</f>
        <v>0.00369800726107797</v>
      </c>
      <c r="R26" s="90" t="n">
        <f aca="false">IF(ISNUMBER(Unit_Cost!$M$21),(R21*Unit_Cost!$M$19+R22*(Unit_Cost!$M$20+Cache_Store!$M$17*R10/B4_Retain)+R23*Unit_Cost!$M$21)/1000000,"SLO 不可達")</f>
        <v>0.00369800726107797</v>
      </c>
      <c r="S26" s="90" t="n">
        <f aca="false">IF(ISNUMBER(Unit_Cost!$M$21),(S21*Unit_Cost!$M$19+S22*(Unit_Cost!$M$20+Cache_Store!$M$17*S10/B4_Retain)+S23*Unit_Cost!$M$21)/1000000,"SLO 不可達")</f>
        <v>0.00369800726107797</v>
      </c>
    </row>
    <row r="27" customFormat="false" ht="15" hidden="false" customHeight="false" outlineLevel="0" collapsed="false">
      <c r="A27" s="62" t="s">
        <v>2407</v>
      </c>
      <c r="C27" s="103" t="n">
        <f aca="false">IF(ISNUMBER(INDEX(B5_SuccOvr_Luna,1,5)),INDEX(B5_SuccOvr_Luna,1,5),1/(1+(INDEX(B5_TaskLen,1,5)/C12)^C11))</f>
        <v>0.221752565013566</v>
      </c>
      <c r="D27" s="103" t="n">
        <f aca="false">IF(ISNUMBER(INDEX(B5_SuccOvr_Luna,1,5)),INDEX(B5_SuccOvr_Luna,1,5),1/(1+(INDEX(B5_TaskLen,1,5)/D12)^D11))</f>
        <v>0.221752565013566</v>
      </c>
      <c r="E27" s="103" t="n">
        <f aca="false">IF(ISNUMBER(INDEX(B5_SuccOvr_Luna,1,5)),INDEX(B5_SuccOvr_Luna,1,5),1/(1+(INDEX(B5_TaskLen,1,5)/E12)^E11))</f>
        <v>0.221752565013566</v>
      </c>
      <c r="F27" s="103" t="n">
        <f aca="false">IF(ISNUMBER(INDEX(B5_SuccOvr_Luna,1,5)),INDEX(B5_SuccOvr_Luna,1,5),1/(1+(INDEX(B5_TaskLen,1,5)/F12)^F11))</f>
        <v>0.221752565013566</v>
      </c>
      <c r="G27" s="103" t="n">
        <f aca="false">IF(ISNUMBER(INDEX(B5_SuccOvr_Luna,1,5)),INDEX(B5_SuccOvr_Luna,1,5),1/(1+(INDEX(B5_TaskLen,1,5)/G12)^G11))</f>
        <v>0.221752565013566</v>
      </c>
      <c r="H27" s="103" t="n">
        <f aca="false">IF(ISNUMBER(INDEX(B5_SuccOvr_Luna,1,5)),INDEX(B5_SuccOvr_Luna,1,5),1/(1+(INDEX(B5_TaskLen,1,5)/H12)^H11))</f>
        <v>0.221752565013566</v>
      </c>
      <c r="I27" s="103" t="n">
        <f aca="false">IF(ISNUMBER(INDEX(B5_SuccOvr_Luna,1,5)),INDEX(B5_SuccOvr_Luna,1,5),1/(1+(INDEX(B5_TaskLen,1,5)/I12)^I11))</f>
        <v>0.221752565013566</v>
      </c>
      <c r="J27" s="103" t="n">
        <f aca="false">IF(ISNUMBER(INDEX(B5_SuccOvr_Luna,1,5)),INDEX(B5_SuccOvr_Luna,1,5),1/(1+(INDEX(B5_TaskLen,1,5)/J12)^J11))</f>
        <v>0.221752565013566</v>
      </c>
      <c r="K27" s="103" t="n">
        <f aca="false">IF(ISNUMBER(INDEX(B5_SuccOvr_Luna,1,5)),INDEX(B5_SuccOvr_Luna,1,5),1/(1+(INDEX(B5_TaskLen,1,5)/K12)^K11))</f>
        <v>0.221752565013566</v>
      </c>
      <c r="L27" s="103" t="n">
        <f aca="false">IF(ISNUMBER(INDEX(B5_SuccOvr_Luna,1,5)),INDEX(B5_SuccOvr_Luna,1,5),1/(1+(INDEX(B5_TaskLen,1,5)/L12)^L11))</f>
        <v>0.221752565013566</v>
      </c>
      <c r="M27" s="103" t="n">
        <f aca="false">IF(ISNUMBER(INDEX(B5_SuccOvr_Luna,1,5)),INDEX(B5_SuccOvr_Luna,1,5),1/(1+(INDEX(B5_TaskLen,1,5)/M12)^M11))</f>
        <v>0.221752565013566</v>
      </c>
      <c r="N27" s="103" t="n">
        <f aca="false">IF(ISNUMBER(INDEX(B5_SuccOvr_Luna,1,5)),INDEX(B5_SuccOvr_Luna,1,5),1/(1+(INDEX(B5_TaskLen,1,5)/N12)^N11))</f>
        <v>0.221752565013566</v>
      </c>
      <c r="O27" s="103" t="n">
        <f aca="false">IF(ISNUMBER(INDEX(B5_SuccOvr_Luna,1,5)),INDEX(B5_SuccOvr_Luna,1,5),1/(1+(INDEX(B5_TaskLen,1,5)/O12)^O11))</f>
        <v>0.221752565013566</v>
      </c>
      <c r="P27" s="103" t="n">
        <f aca="false">IF(ISNUMBER(INDEX(B5_SuccOvr_Luna,1,5)),INDEX(B5_SuccOvr_Luna,1,5),1/(1+(INDEX(B5_TaskLen,1,5)/P12)^P11))</f>
        <v>0.251979116845894</v>
      </c>
      <c r="Q27" s="103" t="n">
        <f aca="false">IF(ISNUMBER(INDEX(B5_SuccOvr_Luna,1,5)),INDEX(B5_SuccOvr_Luna,1,5),1/(1+(INDEX(B5_TaskLen,1,5)/Q12)^Q11))</f>
        <v>0.157894736842105</v>
      </c>
      <c r="R27" s="103" t="n">
        <f aca="false">IF(ISNUMBER(INDEX(B5_SuccOvr_Luna,1,5)),INDEX(B5_SuccOvr_Luna,1,5),1/(1+(INDEX(B5_TaskLen,1,5)/R12)^R11))</f>
        <v>0.111111111111111</v>
      </c>
      <c r="S27" s="103" t="n">
        <f aca="false">IF(ISNUMBER(INDEX(B5_SuccOvr_Luna,1,5)),INDEX(B5_SuccOvr_Luna,1,5),1/(1+(INDEX(B5_TaskLen,1,5)/S12)^S11))</f>
        <v>0.372884880824589</v>
      </c>
    </row>
    <row r="28" customFormat="false" ht="15" hidden="false" customHeight="false" outlineLevel="0" collapsed="false">
      <c r="A28" s="62" t="s">
        <v>2408</v>
      </c>
      <c r="C28" s="103" t="n">
        <f aca="false">IF(ISNUMBER(INDEX(B5_SuccOvr_Luna,1,5)),INDEX(B5_SuccOvr_Luna,1,5),1/(1+(INDEX(B5_TaskLen,1,5)/(C12*C9))^C11))</f>
        <v>0.323962245896112</v>
      </c>
      <c r="D28" s="103" t="n">
        <f aca="false">IF(ISNUMBER(INDEX(B5_SuccOvr_Luna,1,5)),INDEX(B5_SuccOvr_Luna,1,5),1/(1+(INDEX(B5_TaskLen,1,5)/(D12*D9))^D11))</f>
        <v>0.323962245896112</v>
      </c>
      <c r="E28" s="103" t="n">
        <f aca="false">IF(ISNUMBER(INDEX(B5_SuccOvr_Luna,1,5)),INDEX(B5_SuccOvr_Luna,1,5),1/(1+(INDEX(B5_TaskLen,1,5)/(E12*E9))^E11))</f>
        <v>0.323962245896112</v>
      </c>
      <c r="F28" s="103" t="n">
        <f aca="false">IF(ISNUMBER(INDEX(B5_SuccOvr_Luna,1,5)),INDEX(B5_SuccOvr_Luna,1,5),1/(1+(INDEX(B5_TaskLen,1,5)/(F12*F9))^F11))</f>
        <v>0.323962245896112</v>
      </c>
      <c r="G28" s="103" t="n">
        <f aca="false">IF(ISNUMBER(INDEX(B5_SuccOvr_Luna,1,5)),INDEX(B5_SuccOvr_Luna,1,5),1/(1+(INDEX(B5_TaskLen,1,5)/(G12*G9))^G11))</f>
        <v>0.323962245896112</v>
      </c>
      <c r="H28" s="103" t="n">
        <f aca="false">IF(ISNUMBER(INDEX(B5_SuccOvr_Luna,1,5)),INDEX(B5_SuccOvr_Luna,1,5),1/(1+(INDEX(B5_TaskLen,1,5)/(H12*H9))^H11))</f>
        <v>0.323962245896112</v>
      </c>
      <c r="I28" s="103" t="n">
        <f aca="false">IF(ISNUMBER(INDEX(B5_SuccOvr_Luna,1,5)),INDEX(B5_SuccOvr_Luna,1,5),1/(1+(INDEX(B5_TaskLen,1,5)/(I12*I9))^I11))</f>
        <v>0.323962245896112</v>
      </c>
      <c r="J28" s="103" t="n">
        <f aca="false">IF(ISNUMBER(INDEX(B5_SuccOvr_Luna,1,5)),INDEX(B5_SuccOvr_Luna,1,5),1/(1+(INDEX(B5_TaskLen,1,5)/(J12*J9))^J11))</f>
        <v>0.323962245896112</v>
      </c>
      <c r="K28" s="103" t="n">
        <f aca="false">IF(ISNUMBER(INDEX(B5_SuccOvr_Luna,1,5)),INDEX(B5_SuccOvr_Luna,1,5),1/(1+(INDEX(B5_TaskLen,1,5)/(K12*K9))^K11))</f>
        <v>0.323962245896112</v>
      </c>
      <c r="L28" s="103" t="n">
        <f aca="false">IF(ISNUMBER(INDEX(B5_SuccOvr_Luna,1,5)),INDEX(B5_SuccOvr_Luna,1,5),1/(1+(INDEX(B5_TaskLen,1,5)/(L12*L9))^L11))</f>
        <v>0.221752565013566</v>
      </c>
      <c r="M28" s="103" t="n">
        <f aca="false">IF(ISNUMBER(INDEX(B5_SuccOvr_Luna,1,5)),INDEX(B5_SuccOvr_Luna,1,5),1/(1+(INDEX(B5_TaskLen,1,5)/(M12*M9))^M11))</f>
        <v>0.446267899285204</v>
      </c>
      <c r="N28" s="103" t="n">
        <f aca="false">IF(ISNUMBER(INDEX(B5_SuccOvr_Luna,1,5)),INDEX(B5_SuccOvr_Luna,1,5),1/(1+(INDEX(B5_TaskLen,1,5)/(N12*N9))^N11))</f>
        <v>0.323962245896112</v>
      </c>
      <c r="O28" s="103" t="n">
        <f aca="false">IF(ISNUMBER(INDEX(B5_SuccOvr_Luna,1,5)),INDEX(B5_SuccOvr_Luna,1,5),1/(1+(INDEX(B5_TaskLen,1,5)/(O12*O9))^O11))</f>
        <v>0.323962245896112</v>
      </c>
      <c r="P28" s="103" t="n">
        <f aca="false">IF(ISNUMBER(INDEX(B5_SuccOvr_Luna,1,5)),INDEX(B5_SuccOvr_Luna,1,5),1/(1+(INDEX(B5_TaskLen,1,5)/(P12*P9))^P11))</f>
        <v>0.345803060206164</v>
      </c>
      <c r="Q28" s="103" t="n">
        <f aca="false">IF(ISNUMBER(INDEX(B5_SuccOvr_Luna,1,5)),INDEX(B5_SuccOvr_Luna,1,5),1/(1+(INDEX(B5_TaskLen,1,5)/(Q12*Q9))^Q11))</f>
        <v>0.272727272727273</v>
      </c>
      <c r="R28" s="103" t="n">
        <f aca="false">IF(ISNUMBER(INDEX(B5_SuccOvr_Luna,1,5)),INDEX(B5_SuccOvr_Luna,1,5),1/(1+(INDEX(B5_TaskLen,1,5)/(R12*R9))^R11))</f>
        <v>0.173706756584182</v>
      </c>
      <c r="S28" s="103" t="n">
        <f aca="false">IF(ISNUMBER(INDEX(B5_SuccOvr_Luna,1,5)),INDEX(B5_SuccOvr_Luna,1,5),1/(1+(INDEX(B5_TaskLen,1,5)/(S12*S9))^S11))</f>
        <v>0.5</v>
      </c>
    </row>
    <row r="29" customFormat="false" ht="15" hidden="false" customHeight="false" outlineLevel="0" collapsed="false">
      <c r="A29" s="62" t="s">
        <v>2409</v>
      </c>
      <c r="C29" s="97" t="n">
        <f aca="false">IF(AND(ISNUMBER(C26),ISNUMBER(Harness!$G$67)),(C26/C28)/(Harness!$G$67/C27),"SLO 不可達")</f>
        <v>0.414018377875692</v>
      </c>
      <c r="D29" s="97" t="n">
        <f aca="false">IF(AND(ISNUMBER(D26),ISNUMBER(Harness!$G$67)),(D26/D28)/(Harness!$G$67/D27),"SLO 不可達")</f>
        <v>0.414018377875692</v>
      </c>
      <c r="E29" s="97" t="n">
        <f aca="false">IF(AND(ISNUMBER(E26),ISNUMBER(Harness!$G$67)),(E26/E28)/(Harness!$G$67/E27),"SLO 不可達")</f>
        <v>1.17103822269536</v>
      </c>
      <c r="F29" s="97" t="n">
        <f aca="false">IF(AND(ISNUMBER(F26),ISNUMBER(Harness!$G$67)),(F26/F28)/(Harness!$G$67/F27),"SLO 不可達")</f>
        <v>0.370728679481884</v>
      </c>
      <c r="G29" s="97" t="n">
        <f aca="false">IF(AND(ISNUMBER(G26),ISNUMBER(Harness!$G$67)),(G26/G28)/(Harness!$G$67/G27),"SLO 不可達")</f>
        <v>0.457308076269501</v>
      </c>
      <c r="H29" s="97" t="n">
        <f aca="false">IF(AND(ISNUMBER(H26),ISNUMBER(Harness!$G$67)),(H26/H28)/(Harness!$G$67/H27),"SLO 不可達")</f>
        <v>0.410230942794056</v>
      </c>
      <c r="I29" s="97" t="n">
        <f aca="false">IF(AND(ISNUMBER(I26),ISNUMBER(Harness!$G$67)),(I26/I28)/(Harness!$G$67/I27),"SLO 不可達")</f>
        <v>0.414018377875692</v>
      </c>
      <c r="J29" s="97" t="n">
        <f aca="false">IF(AND(ISNUMBER(J26),ISNUMBER(Harness!$G$67)),(J26/J28)/(Harness!$G$67/J27),"SLO 不可達")</f>
        <v>0.401032886167224</v>
      </c>
      <c r="K29" s="97" t="n">
        <f aca="false">IF(AND(ISNUMBER(K26),ISNUMBER(Harness!$G$67)),(K26/K28)/(Harness!$G$67/K27),"SLO 不可達")</f>
        <v>0.433496615438394</v>
      </c>
      <c r="L29" s="97" t="n">
        <f aca="false">IF(AND(ISNUMBER(L26),ISNUMBER(Harness!$G$67)),(L26/L28)/(Harness!$G$67/L27),"SLO 不可達")</f>
        <v>0.60484677383853</v>
      </c>
      <c r="M29" s="97" t="n">
        <f aca="false">IF(AND(ISNUMBER(M26),ISNUMBER(Harness!$G$67)),(M26/M28)/(Harness!$G$67/M27),"SLO 不可達")</f>
        <v>0.30055113476391</v>
      </c>
      <c r="N29" s="97" t="n">
        <f aca="false">IF(AND(ISNUMBER(N26),ISNUMBER(Harness!$G$67)),(N26/N28)/(Harness!$G$67/N27),"SLO 不可達")</f>
        <v>0.407649413383711</v>
      </c>
      <c r="O29" s="97" t="n">
        <f aca="false">IF(AND(ISNUMBER(O26),ISNUMBER(Harness!$G$67)),(O26/O28)/(Harness!$G$67/O27),"SLO 不可達")</f>
        <v>0.428457109877401</v>
      </c>
      <c r="P29" s="97" t="n">
        <f aca="false">IF(AND(ISNUMBER(P26),ISNUMBER(Harness!$G$67)),(P26/P28)/(Harness!$G$67/P27),"SLO 不可達")</f>
        <v>0.440738597883017</v>
      </c>
      <c r="Q29" s="97" t="n">
        <f aca="false">IF(AND(ISNUMBER(Q26),ISNUMBER(Harness!$G$67)),(Q26/Q28)/(Harness!$G$67/Q27),"SLO 不可達")</f>
        <v>0.350174448011781</v>
      </c>
      <c r="R29" s="97" t="n">
        <f aca="false">IF(AND(ISNUMBER(R26),ISNUMBER(Harness!$G$67)),(R26/R28)/(Harness!$G$67/R27),"SLO 不可達")</f>
        <v>0.386888791286602</v>
      </c>
      <c r="S29" s="97" t="n">
        <f aca="false">IF(AND(ISNUMBER(S26),ISNUMBER(Harness!$G$67)),(S26/S28)/(Harness!$G$67/S27),"SLO 不可達")</f>
        <v>0.451076434359835</v>
      </c>
    </row>
    <row r="30" customFormat="false" ht="15" hidden="false" customHeight="false" outlineLevel="0" collapsed="false">
      <c r="A30" s="62" t="s">
        <v>2410</v>
      </c>
      <c r="C30" s="90" t="n">
        <f aca="false">IF(ISNUMBER(Unit_Cost!$M$34),(C21*Unit_Cost!$M$32+C22*(Unit_Cost!$M$33+Cache_Store!$M$23*C10/B4_Retain)+C23*Unit_Cost!$M$34)/1000000,"SLO 不可達")</f>
        <v>0.0119741376990666</v>
      </c>
      <c r="D30" s="90" t="n">
        <f aca="false">IF(ISNUMBER(Unit_Cost!$M$34),(D21*Unit_Cost!$M$32+D22*(Unit_Cost!$M$33+Cache_Store!$M$23*D10/B4_Retain)+D23*Unit_Cost!$M$34)/1000000,"SLO 不可達")</f>
        <v>0.0119741376990666</v>
      </c>
      <c r="E30" s="90" t="n">
        <f aca="false">IF(ISNUMBER(Unit_Cost!$M$34),(E21*Unit_Cost!$M$32+E22*(Unit_Cost!$M$33+Cache_Store!$M$23*E10/B4_Retain)+E23*Unit_Cost!$M$34)/1000000,"SLO 不可達")</f>
        <v>0.0337319599508847</v>
      </c>
      <c r="F30" s="90" t="n">
        <f aca="false">IF(ISNUMBER(Unit_Cost!$M$34),(F21*Unit_Cost!$M$32+F22*(Unit_Cost!$M$33+Cache_Store!$M$23*F10/B4_Retain)+F23*Unit_Cost!$M$34)/1000000,"SLO 不可達")</f>
        <v>0.0107262921439707</v>
      </c>
      <c r="G30" s="90" t="n">
        <f aca="false">IF(ISNUMBER(Unit_Cost!$M$34),(G21*Unit_Cost!$M$32+G22*(Unit_Cost!$M$33+Cache_Store!$M$23*G10/B4_Retain)+G23*Unit_Cost!$M$34)/1000000,"SLO 不可達")</f>
        <v>0.0132219832541625</v>
      </c>
      <c r="H30" s="90" t="n">
        <f aca="false">IF(ISNUMBER(Unit_Cost!$M$34),(H21*Unit_Cost!$M$32+H22*(Unit_Cost!$M$33+Cache_Store!$M$23*H10/B4_Retain)+H23*Unit_Cost!$M$34)/1000000,"SLO 不可達")</f>
        <v>0.0118677214285697</v>
      </c>
      <c r="I30" s="90" t="n">
        <f aca="false">IF(ISNUMBER(Unit_Cost!$M$34),(I21*Unit_Cost!$M$32+I22*(Unit_Cost!$M$33+Cache_Store!$M$23*I10/B4_Retain)+I23*Unit_Cost!$M$34)/1000000,"SLO 不可達")</f>
        <v>0.0119741376990666</v>
      </c>
      <c r="J30" s="90" t="n">
        <f aca="false">IF(ISNUMBER(Unit_Cost!$M$34),(J21*Unit_Cost!$M$32+J22*(Unit_Cost!$M$33+Cache_Store!$M$23*J10/B4_Retain)+J23*Unit_Cost!$M$34)/1000000,"SLO 不可達")</f>
        <v>0.0116092819145057</v>
      </c>
      <c r="K30" s="90" t="n">
        <f aca="false">IF(ISNUMBER(Unit_Cost!$M$34),(K21*Unit_Cost!$M$32+K22*(Unit_Cost!$M$33+Cache_Store!$M$23*K10/B4_Retain)+K23*Unit_Cost!$M$34)/1000000,"SLO 不可達")</f>
        <v>0.0125214213759079</v>
      </c>
      <c r="L30" s="90" t="n">
        <f aca="false">IF(ISNUMBER(Unit_Cost!$M$34),(L21*Unit_Cost!$M$32+L22*(Unit_Cost!$M$33+Cache_Store!$M$23*L10/B4_Retain)+L23*Unit_Cost!$M$34)/1000000,"SLO 不可達")</f>
        <v>0.0119741376990666</v>
      </c>
      <c r="M30" s="90" t="n">
        <f aca="false">IF(ISNUMBER(Unit_Cost!$M$34),(M21*Unit_Cost!$M$32+M22*(Unit_Cost!$M$33+Cache_Store!$M$23*M10/B4_Retain)+M23*Unit_Cost!$M$34)/1000000,"SLO 不可達")</f>
        <v>0.0119741376990666</v>
      </c>
      <c r="N30" s="90" t="n">
        <f aca="false">IF(ISNUMBER(Unit_Cost!$M$34),(N21*Unit_Cost!$M$32+N22*(Unit_Cost!$M$33+Cache_Store!$M$23*N10/B4_Retain)+N23*Unit_Cost!$M$34)/1000000,"SLO 不可達")</f>
        <v>0.01189343680482</v>
      </c>
      <c r="O30" s="90" t="n">
        <f aca="false">IF(ISNUMBER(Unit_Cost!$M$34),(O21*Unit_Cost!$M$32+O22*(Unit_Cost!$M$33+Cache_Store!$M$23*O10/B4_Retain)+O23*Unit_Cost!$M$34)/1000000,"SLO 不可達")</f>
        <v>0.012157090294546</v>
      </c>
      <c r="P30" s="90" t="n">
        <f aca="false">IF(ISNUMBER(Unit_Cost!$M$34),(P21*Unit_Cost!$M$32+P22*(Unit_Cost!$M$33+Cache_Store!$M$23*P10/B4_Retain)+P23*Unit_Cost!$M$34)/1000000,"SLO 不可達")</f>
        <v>0.0119741376990666</v>
      </c>
      <c r="Q30" s="90" t="n">
        <f aca="false">IF(ISNUMBER(Unit_Cost!$M$34),(Q21*Unit_Cost!$M$32+Q22*(Unit_Cost!$M$33+Cache_Store!$M$23*Q10/B4_Retain)+Q23*Unit_Cost!$M$34)/1000000,"SLO 不可達")</f>
        <v>0.0119741376990666</v>
      </c>
      <c r="R30" s="90" t="n">
        <f aca="false">IF(ISNUMBER(Unit_Cost!$M$34),(R21*Unit_Cost!$M$32+R22*(Unit_Cost!$M$33+Cache_Store!$M$23*R10/B4_Retain)+R23*Unit_Cost!$M$34)/1000000,"SLO 不可達")</f>
        <v>0.0119741376990666</v>
      </c>
      <c r="S30" s="90" t="n">
        <f aca="false">IF(ISNUMBER(Unit_Cost!$M$34),(S21*Unit_Cost!$M$32+S22*(Unit_Cost!$M$33+Cache_Store!$M$23*S10/B4_Retain)+S23*Unit_Cost!$M$34)/1000000,"SLO 不可達")</f>
        <v>0.0119741376990666</v>
      </c>
    </row>
    <row r="31" customFormat="false" ht="15" hidden="false" customHeight="false" outlineLevel="0" collapsed="false">
      <c r="A31" s="62" t="s">
        <v>2411</v>
      </c>
      <c r="C31" s="103" t="n">
        <f aca="false">IF(ISNUMBER(INDEX(B5_SuccOvr_Sol,1,5)),INDEX(B5_SuccOvr_Sol,1,5),1/(1+(INDEX(B5_TaskLen,1,5)/C13)^C11))</f>
        <v>0.5</v>
      </c>
      <c r="D31" s="103" t="n">
        <f aca="false">IF(ISNUMBER(INDEX(B5_SuccOvr_Sol,1,5)),INDEX(B5_SuccOvr_Sol,1,5),1/(1+(INDEX(B5_TaskLen,1,5)/D13)^D11))</f>
        <v>0.5</v>
      </c>
      <c r="E31" s="103" t="n">
        <f aca="false">IF(ISNUMBER(INDEX(B5_SuccOvr_Sol,1,5)),INDEX(B5_SuccOvr_Sol,1,5),1/(1+(INDEX(B5_TaskLen,1,5)/E13)^E11))</f>
        <v>0.5</v>
      </c>
      <c r="F31" s="103" t="n">
        <f aca="false">IF(ISNUMBER(INDEX(B5_SuccOvr_Sol,1,5)),INDEX(B5_SuccOvr_Sol,1,5),1/(1+(INDEX(B5_TaskLen,1,5)/F13)^F11))</f>
        <v>0.5</v>
      </c>
      <c r="G31" s="103" t="n">
        <f aca="false">IF(ISNUMBER(INDEX(B5_SuccOvr_Sol,1,5)),INDEX(B5_SuccOvr_Sol,1,5),1/(1+(INDEX(B5_TaskLen,1,5)/G13)^G11))</f>
        <v>0.5</v>
      </c>
      <c r="H31" s="103" t="n">
        <f aca="false">IF(ISNUMBER(INDEX(B5_SuccOvr_Sol,1,5)),INDEX(B5_SuccOvr_Sol,1,5),1/(1+(INDEX(B5_TaskLen,1,5)/H13)^H11))</f>
        <v>0.5</v>
      </c>
      <c r="I31" s="103" t="n">
        <f aca="false">IF(ISNUMBER(INDEX(B5_SuccOvr_Sol,1,5)),INDEX(B5_SuccOvr_Sol,1,5),1/(1+(INDEX(B5_TaskLen,1,5)/I13)^I11))</f>
        <v>0.5</v>
      </c>
      <c r="J31" s="103" t="n">
        <f aca="false">IF(ISNUMBER(INDEX(B5_SuccOvr_Sol,1,5)),INDEX(B5_SuccOvr_Sol,1,5),1/(1+(INDEX(B5_TaskLen,1,5)/J13)^J11))</f>
        <v>0.5</v>
      </c>
      <c r="K31" s="103" t="n">
        <f aca="false">IF(ISNUMBER(INDEX(B5_SuccOvr_Sol,1,5)),INDEX(B5_SuccOvr_Sol,1,5),1/(1+(INDEX(B5_TaskLen,1,5)/K13)^K11))</f>
        <v>0.5</v>
      </c>
      <c r="L31" s="103" t="n">
        <f aca="false">IF(ISNUMBER(INDEX(B5_SuccOvr_Sol,1,5)),INDEX(B5_SuccOvr_Sol,1,5),1/(1+(INDEX(B5_TaskLen,1,5)/L13)^L11))</f>
        <v>0.5</v>
      </c>
      <c r="M31" s="103" t="n">
        <f aca="false">IF(ISNUMBER(INDEX(B5_SuccOvr_Sol,1,5)),INDEX(B5_SuccOvr_Sol,1,5),1/(1+(INDEX(B5_TaskLen,1,5)/M13)^M11))</f>
        <v>0.5</v>
      </c>
      <c r="N31" s="103" t="n">
        <f aca="false">IF(ISNUMBER(INDEX(B5_SuccOvr_Sol,1,5)),INDEX(B5_SuccOvr_Sol,1,5),1/(1+(INDEX(B5_TaskLen,1,5)/N13)^N11))</f>
        <v>0.5</v>
      </c>
      <c r="O31" s="103" t="n">
        <f aca="false">IF(ISNUMBER(INDEX(B5_SuccOvr_Sol,1,5)),INDEX(B5_SuccOvr_Sol,1,5),1/(1+(INDEX(B5_TaskLen,1,5)/O13)^O11))</f>
        <v>0.5</v>
      </c>
      <c r="P31" s="103" t="n">
        <f aca="false">IF(ISNUMBER(INDEX(B5_SuccOvr_Sol,1,5)),INDEX(B5_SuccOvr_Sol,1,5),1/(1+(INDEX(B5_TaskLen,1,5)/P13)^P11))</f>
        <v>0.5</v>
      </c>
      <c r="Q31" s="103" t="n">
        <f aca="false">IF(ISNUMBER(INDEX(B5_SuccOvr_Sol,1,5)),INDEX(B5_SuccOvr_Sol,1,5),1/(1+(INDEX(B5_TaskLen,1,5)/Q13)^Q11))</f>
        <v>0.5</v>
      </c>
      <c r="R31" s="103" t="n">
        <f aca="false">IF(ISNUMBER(INDEX(B5_SuccOvr_Sol,1,5)),INDEX(B5_SuccOvr_Sol,1,5),1/(1+(INDEX(B5_TaskLen,1,5)/R13)^R11))</f>
        <v>0.372884880824589</v>
      </c>
      <c r="S31" s="103" t="n">
        <f aca="false">IF(ISNUMBER(INDEX(B5_SuccOvr_Sol,1,5)),INDEX(B5_SuccOvr_Sol,1,5),1/(1+(INDEX(B5_TaskLen,1,5)/S13)^S11))</f>
        <v>0.575444203093429</v>
      </c>
    </row>
    <row r="32" customFormat="false" ht="15" hidden="false" customHeight="false" outlineLevel="0" collapsed="false">
      <c r="A32" s="62" t="s">
        <v>2412</v>
      </c>
      <c r="C32" s="103" t="n">
        <f aca="false">IF(ISNUMBER(INDEX(B5_SuccOvr_Sol,1,5)),INDEX(B5_SuccOvr_Sol,1,5),1/(1+(INDEX(B5_TaskLen,1,5)/(C13*C9))^C11))</f>
        <v>0.627115119175411</v>
      </c>
      <c r="D32" s="103" t="n">
        <f aca="false">IF(ISNUMBER(INDEX(B5_SuccOvr_Sol,1,5)),INDEX(B5_SuccOvr_Sol,1,5),1/(1+(INDEX(B5_TaskLen,1,5)/(D13*D9))^D11))</f>
        <v>0.627115119175411</v>
      </c>
      <c r="E32" s="103" t="n">
        <f aca="false">IF(ISNUMBER(INDEX(B5_SuccOvr_Sol,1,5)),INDEX(B5_SuccOvr_Sol,1,5),1/(1+(INDEX(B5_TaskLen,1,5)/(E13*E9))^E11))</f>
        <v>0.627115119175411</v>
      </c>
      <c r="F32" s="103" t="n">
        <f aca="false">IF(ISNUMBER(INDEX(B5_SuccOvr_Sol,1,5)),INDEX(B5_SuccOvr_Sol,1,5),1/(1+(INDEX(B5_TaskLen,1,5)/(F13*F9))^F11))</f>
        <v>0.627115119175411</v>
      </c>
      <c r="G32" s="103" t="n">
        <f aca="false">IF(ISNUMBER(INDEX(B5_SuccOvr_Sol,1,5)),INDEX(B5_SuccOvr_Sol,1,5),1/(1+(INDEX(B5_TaskLen,1,5)/(G13*G9))^G11))</f>
        <v>0.627115119175411</v>
      </c>
      <c r="H32" s="103" t="n">
        <f aca="false">IF(ISNUMBER(INDEX(B5_SuccOvr_Sol,1,5)),INDEX(B5_SuccOvr_Sol,1,5),1/(1+(INDEX(B5_TaskLen,1,5)/(H13*H9))^H11))</f>
        <v>0.627115119175411</v>
      </c>
      <c r="I32" s="103" t="n">
        <f aca="false">IF(ISNUMBER(INDEX(B5_SuccOvr_Sol,1,5)),INDEX(B5_SuccOvr_Sol,1,5),1/(1+(INDEX(B5_TaskLen,1,5)/(I13*I9))^I11))</f>
        <v>0.627115119175411</v>
      </c>
      <c r="J32" s="103" t="n">
        <f aca="false">IF(ISNUMBER(INDEX(B5_SuccOvr_Sol,1,5)),INDEX(B5_SuccOvr_Sol,1,5),1/(1+(INDEX(B5_TaskLen,1,5)/(J13*J9))^J11))</f>
        <v>0.627115119175411</v>
      </c>
      <c r="K32" s="103" t="n">
        <f aca="false">IF(ISNUMBER(INDEX(B5_SuccOvr_Sol,1,5)),INDEX(B5_SuccOvr_Sol,1,5),1/(1+(INDEX(B5_TaskLen,1,5)/(K13*K9))^K11))</f>
        <v>0.627115119175411</v>
      </c>
      <c r="L32" s="103" t="n">
        <f aca="false">IF(ISNUMBER(INDEX(B5_SuccOvr_Sol,1,5)),INDEX(B5_SuccOvr_Sol,1,5),1/(1+(INDEX(B5_TaskLen,1,5)/(L13*L9))^L11))</f>
        <v>0.5</v>
      </c>
      <c r="M32" s="103" t="n">
        <f aca="false">IF(ISNUMBER(INDEX(B5_SuccOvr_Sol,1,5)),INDEX(B5_SuccOvr_Sol,1,5),1/(1+(INDEX(B5_TaskLen,1,5)/(M13*M9))^M11))</f>
        <v>0.738796125036259</v>
      </c>
      <c r="N32" s="103" t="n">
        <f aca="false">IF(ISNUMBER(INDEX(B5_SuccOvr_Sol,1,5)),INDEX(B5_SuccOvr_Sol,1,5),1/(1+(INDEX(B5_TaskLen,1,5)/(N13*N9))^N11))</f>
        <v>0.627115119175411</v>
      </c>
      <c r="O32" s="103" t="n">
        <f aca="false">IF(ISNUMBER(INDEX(B5_SuccOvr_Sol,1,5)),INDEX(B5_SuccOvr_Sol,1,5),1/(1+(INDEX(B5_TaskLen,1,5)/(O13*O9))^O11))</f>
        <v>0.627115119175411</v>
      </c>
      <c r="P32" s="103" t="n">
        <f aca="false">IF(ISNUMBER(INDEX(B5_SuccOvr_Sol,1,5)),INDEX(B5_SuccOvr_Sol,1,5),1/(1+(INDEX(B5_TaskLen,1,5)/(P13*P9))^P11))</f>
        <v>0.610768963418861</v>
      </c>
      <c r="Q32" s="103" t="n">
        <f aca="false">IF(ISNUMBER(INDEX(B5_SuccOvr_Sol,1,5)),INDEX(B5_SuccOvr_Sol,1,5),1/(1+(INDEX(B5_TaskLen,1,5)/(Q13*Q9))^Q11))</f>
        <v>0.666666666666667</v>
      </c>
      <c r="R32" s="103" t="n">
        <f aca="false">IF(ISNUMBER(INDEX(B5_SuccOvr_Sol,1,5)),INDEX(B5_SuccOvr_Sol,1,5),1/(1+(INDEX(B5_TaskLen,1,5)/(R13*R9))^R11))</f>
        <v>0.5</v>
      </c>
      <c r="S32" s="103" t="n">
        <f aca="false">IF(ISNUMBER(INDEX(B5_SuccOvr_Sol,1,5)),INDEX(B5_SuccOvr_Sol,1,5),1/(1+(INDEX(B5_TaskLen,1,5)/(S13*S9))^S11))</f>
        <v>0.695076124968439</v>
      </c>
    </row>
    <row r="33" customFormat="false" ht="15" hidden="false" customHeight="false" outlineLevel="0" collapsed="false">
      <c r="A33" s="62" t="s">
        <v>2413</v>
      </c>
      <c r="C33" s="167" t="n">
        <f aca="false">IF(AND(ISNUMBER(C30),ISNUMBER(Harness!$G$70)),(C30/C32)/(Harness!$G$70/C31),"SLO 不可達")</f>
        <v>0.478078141949835</v>
      </c>
      <c r="D33" s="167" t="n">
        <f aca="false">IF(AND(ISNUMBER(D30),ISNUMBER(Harness!$G$70)),(D30/D32)/(Harness!$G$70/D31),"SLO 不可達")</f>
        <v>0.478078141949835</v>
      </c>
      <c r="E33" s="167" t="n">
        <f aca="false">IF(AND(ISNUMBER(E30),ISNUMBER(Harness!$G$70)),(E30/E32)/(Harness!$G$70/E31),"SLO 不可達")</f>
        <v>1.34677862765035</v>
      </c>
      <c r="F33" s="167" t="n">
        <f aca="false">IF(AND(ISNUMBER(F30),ISNUMBER(Harness!$G$70)),(F30/F32)/(Harness!$G$70/F31),"SLO 不可達")</f>
        <v>0.42825679368965</v>
      </c>
      <c r="G33" s="167" t="n">
        <f aca="false">IF(AND(ISNUMBER(G30),ISNUMBER(Harness!$G$70)),(G30/G32)/(Harness!$G$70/G31),"SLO 不可達")</f>
        <v>0.52789949021002</v>
      </c>
      <c r="H33" s="167" t="n">
        <f aca="false">IF(AND(ISNUMBER(H30),ISNUMBER(Harness!$G$70)),(H30/H32)/(Harness!$G$70/H31),"SLO 不可達")</f>
        <v>0.473829377307988</v>
      </c>
      <c r="I33" s="167" t="n">
        <f aca="false">IF(AND(ISNUMBER(I30),ISNUMBER(Harness!$G$70)),(I30/I32)/(Harness!$G$70/I31),"SLO 不可達")</f>
        <v>0.478078141949835</v>
      </c>
      <c r="J33" s="167" t="n">
        <f aca="false">IF(AND(ISNUMBER(J30),ISNUMBER(Harness!$G$70)),(J30/J32)/(Harness!$G$70/J31),"SLO 不可達")</f>
        <v>0.463510948892073</v>
      </c>
      <c r="K33" s="167" t="n">
        <f aca="false">IF(AND(ISNUMBER(K30),ISNUMBER(Harness!$G$70)),(K30/K32)/(Harness!$G$70/K31),"SLO 不可達")</f>
        <v>0.499928931536477</v>
      </c>
      <c r="L33" s="167" t="n">
        <f aca="false">IF(AND(ISNUMBER(L30),ISNUMBER(Harness!$G$70)),(L30/L32)/(Harness!$G$70/L31),"SLO 不可達")</f>
        <v>0.59962006192806</v>
      </c>
      <c r="M33" s="167" t="n">
        <f aca="false">IF(AND(ISNUMBER(M30),ISNUMBER(Harness!$G$70)),(M30/M32)/(Harness!$G$70/M31),"SLO 不可達")</f>
        <v>0.405808883945237</v>
      </c>
      <c r="N33" s="167" t="n">
        <f aca="false">IF(AND(ISNUMBER(N30),ISNUMBER(Harness!$G$70)),(N30/N32)/(Harness!$G$70/N31),"SLO 不可達")</f>
        <v>0.474856086671642</v>
      </c>
      <c r="O33" s="167" t="n">
        <f aca="false">IF(AND(ISNUMBER(O30),ISNUMBER(Harness!$G$70)),(O30/O32)/(Harness!$G$70/O31),"SLO 不可達")</f>
        <v>0.485382687722558</v>
      </c>
      <c r="P33" s="167" t="n">
        <f aca="false">IF(AND(ISNUMBER(P30),ISNUMBER(Harness!$G$70)),(P30/P32)/(Harness!$G$70/P31),"SLO 不可達")</f>
        <v>0.49087306153509</v>
      </c>
      <c r="Q33" s="167" t="n">
        <f aca="false">IF(AND(ISNUMBER(Q30),ISNUMBER(Harness!$G$70)),(Q30/Q32)/(Harness!$G$70/Q31),"SLO 不可達")</f>
        <v>0.449715046446045</v>
      </c>
      <c r="R33" s="167" t="n">
        <f aca="false">IF(AND(ISNUMBER(R30),ISNUMBER(Harness!$G$70)),(R30/R32)/(Harness!$G$70/R31),"SLO 不可達")</f>
        <v>0.447178510664154</v>
      </c>
      <c r="S33" s="167" t="n">
        <f aca="false">IF(AND(ISNUMBER(S30),ISNUMBER(Harness!$G$70)),(S30/S32)/(Harness!$G$70/S31),"SLO 不可達")</f>
        <v>0.49641740854024</v>
      </c>
    </row>
    <row r="34" customFormat="false" ht="15" hidden="false" customHeight="false" outlineLevel="0" collapsed="false">
      <c r="A34" s="62" t="s">
        <v>2414</v>
      </c>
      <c r="C34" s="90" t="n">
        <f aca="false">IF(ISNUMBER(Unit_Cost!$M$47),(C21*Unit_Cost!$M$45+C22*(Unit_Cost!$M$46+Cache_Store!$M$29*C10/B4_Retain)+C23*Unit_Cost!$M$47)/1000000,"SLO 不可達")</f>
        <v>0.0547838751770541</v>
      </c>
      <c r="D34" s="90" t="n">
        <f aca="false">IF(ISNUMBER(Unit_Cost!$M$47),(D21*Unit_Cost!$M$45+D22*(Unit_Cost!$M$46+Cache_Store!$M$29*D10/B4_Retain)+D23*Unit_Cost!$M$47)/1000000,"SLO 不可達")</f>
        <v>0.0547838751770541</v>
      </c>
      <c r="E34" s="90" t="n">
        <f aca="false">IF(ISNUMBER(Unit_Cost!$M$47),(E21*Unit_Cost!$M$45+E22*(Unit_Cost!$M$46+Cache_Store!$M$29*E10/B4_Retain)+E23*Unit_Cost!$M$47)/1000000,"SLO 不可達")</f>
        <v>0.152204548586889</v>
      </c>
      <c r="F34" s="90" t="n">
        <f aca="false">IF(ISNUMBER(Unit_Cost!$M$47),(F21*Unit_Cost!$M$45+F22*(Unit_Cost!$M$46+Cache_Store!$M$29*F10/B4_Retain)+F23*Unit_Cost!$M$47)/1000000,"SLO 不可達")</f>
        <v>0.0487703929471712</v>
      </c>
      <c r="G34" s="90" t="n">
        <f aca="false">IF(ISNUMBER(Unit_Cost!$M$47),(G21*Unit_Cost!$M$45+G22*(Unit_Cost!$M$46+Cache_Store!$M$29*G10/B4_Retain)+G23*Unit_Cost!$M$47)/1000000,"SLO 不可達")</f>
        <v>0.060797357406937</v>
      </c>
      <c r="H34" s="90" t="n">
        <f aca="false">IF(ISNUMBER(Unit_Cost!$M$47),(H21*Unit_Cost!$M$45+H22*(Unit_Cost!$M$46+Cache_Store!$M$29*H10/B4_Retain)+H23*Unit_Cost!$M$47)/1000000,"SLO 不可達")</f>
        <v>0.0543456203989551</v>
      </c>
      <c r="I34" s="90" t="n">
        <f aca="false">IF(ISNUMBER(Unit_Cost!$M$47),(I21*Unit_Cost!$M$45+I22*(Unit_Cost!$M$46+Cache_Store!$M$29*I10/B4_Retain)+I23*Unit_Cost!$M$47)/1000000,"SLO 不可達")</f>
        <v>0.0547838751770541</v>
      </c>
      <c r="J34" s="90" t="n">
        <f aca="false">IF(ISNUMBER(Unit_Cost!$M$47),(J21*Unit_Cost!$M$45+J22*(Unit_Cost!$M$46+Cache_Store!$M$29*J10/B4_Retain)+J23*Unit_Cost!$M$47)/1000000,"SLO 不可達")</f>
        <v>0.0532812873664288</v>
      </c>
      <c r="K34" s="90" t="n">
        <f aca="false">IF(ISNUMBER(Unit_Cost!$M$47),(K21*Unit_Cost!$M$45+K22*(Unit_Cost!$M$46+Cache_Store!$M$29*K10/B4_Retain)+K23*Unit_Cost!$M$47)/1000000,"SLO 不可達")</f>
        <v>0.057037756892992</v>
      </c>
      <c r="L34" s="90" t="n">
        <f aca="false">IF(ISNUMBER(Unit_Cost!$M$47),(L21*Unit_Cost!$M$45+L22*(Unit_Cost!$M$46+Cache_Store!$M$29*L10/B4_Retain)+L23*Unit_Cost!$M$47)/1000000,"SLO 不可達")</f>
        <v>0.0547838751770541</v>
      </c>
      <c r="M34" s="90" t="n">
        <f aca="false">IF(ISNUMBER(Unit_Cost!$M$47),(M21*Unit_Cost!$M$45+M22*(Unit_Cost!$M$46+Cache_Store!$M$29*M10/B4_Retain)+M23*Unit_Cost!$M$47)/1000000,"SLO 不可達")</f>
        <v>0.0547838751770541</v>
      </c>
      <c r="N34" s="90" t="n">
        <f aca="false">IF(ISNUMBER(Unit_Cost!$M$47),(N21*Unit_Cost!$M$45+N22*(Unit_Cost!$M$46+Cache_Store!$M$29*N10/B4_Retain)+N23*Unit_Cost!$M$47)/1000000,"SLO 不可達")</f>
        <v>0.0536115242291089</v>
      </c>
      <c r="O34" s="90" t="n">
        <f aca="false">IF(ISNUMBER(Unit_Cost!$M$47),(O21*Unit_Cost!$M$45+O22*(Unit_Cost!$M$46+Cache_Store!$M$29*O10/B4_Retain)+O23*Unit_Cost!$M$47)/1000000,"SLO 不可達")</f>
        <v>0.0574416480647254</v>
      </c>
      <c r="P34" s="90" t="n">
        <f aca="false">IF(ISNUMBER(Unit_Cost!$M$47),(P21*Unit_Cost!$M$45+P22*(Unit_Cost!$M$46+Cache_Store!$M$29*P10/B4_Retain)+P23*Unit_Cost!$M$47)/1000000,"SLO 不可達")</f>
        <v>0.0547838751770541</v>
      </c>
      <c r="Q34" s="90" t="n">
        <f aca="false">IF(ISNUMBER(Unit_Cost!$M$47),(Q21*Unit_Cost!$M$45+Q22*(Unit_Cost!$M$46+Cache_Store!$M$29*Q10/B4_Retain)+Q23*Unit_Cost!$M$47)/1000000,"SLO 不可達")</f>
        <v>0.0547838751770541</v>
      </c>
      <c r="R34" s="90" t="n">
        <f aca="false">IF(ISNUMBER(Unit_Cost!$M$47),(R21*Unit_Cost!$M$45+R22*(Unit_Cost!$M$46+Cache_Store!$M$29*R10/B4_Retain)+R23*Unit_Cost!$M$47)/1000000,"SLO 不可達")</f>
        <v>0.0547838751770541</v>
      </c>
      <c r="S34" s="90" t="n">
        <f aca="false">IF(ISNUMBER(Unit_Cost!$M$47),(S21*Unit_Cost!$M$45+S22*(Unit_Cost!$M$46+Cache_Store!$M$29*S10/B4_Retain)+S23*Unit_Cost!$M$47)/1000000,"SLO 不可達")</f>
        <v>0.0547838751770541</v>
      </c>
    </row>
    <row r="35" customFormat="false" ht="15" hidden="false" customHeight="false" outlineLevel="0" collapsed="false">
      <c r="A35" s="62" t="s">
        <v>2415</v>
      </c>
      <c r="C35" s="103" t="n">
        <f aca="false">IF(ISNUMBER(INDEX(B5_SuccOvr_Astra,1,5)),INDEX(B5_SuccOvr_Astra,1,5),1/(1+(INDEX(B5_TaskLen,1,5)/C14)^C11))</f>
        <v>0.627115119175411</v>
      </c>
      <c r="D35" s="103" t="n">
        <f aca="false">IF(ISNUMBER(INDEX(B5_SuccOvr_Astra,1,5)),INDEX(B5_SuccOvr_Astra,1,5),1/(1+(INDEX(B5_TaskLen,1,5)/D14)^D11))</f>
        <v>0.627115119175411</v>
      </c>
      <c r="E35" s="103" t="n">
        <f aca="false">IF(ISNUMBER(INDEX(B5_SuccOvr_Astra,1,5)),INDEX(B5_SuccOvr_Astra,1,5),1/(1+(INDEX(B5_TaskLen,1,5)/E14)^E11))</f>
        <v>0.627115119175411</v>
      </c>
      <c r="F35" s="103" t="n">
        <f aca="false">IF(ISNUMBER(INDEX(B5_SuccOvr_Astra,1,5)),INDEX(B5_SuccOvr_Astra,1,5),1/(1+(INDEX(B5_TaskLen,1,5)/F14)^F11))</f>
        <v>0.627115119175411</v>
      </c>
      <c r="G35" s="103" t="n">
        <f aca="false">IF(ISNUMBER(INDEX(B5_SuccOvr_Astra,1,5)),INDEX(B5_SuccOvr_Astra,1,5),1/(1+(INDEX(B5_TaskLen,1,5)/G14)^G11))</f>
        <v>0.627115119175411</v>
      </c>
      <c r="H35" s="103" t="n">
        <f aca="false">IF(ISNUMBER(INDEX(B5_SuccOvr_Astra,1,5)),INDEX(B5_SuccOvr_Astra,1,5),1/(1+(INDEX(B5_TaskLen,1,5)/H14)^H11))</f>
        <v>0.627115119175411</v>
      </c>
      <c r="I35" s="103" t="n">
        <f aca="false">IF(ISNUMBER(INDEX(B5_SuccOvr_Astra,1,5)),INDEX(B5_SuccOvr_Astra,1,5),1/(1+(INDEX(B5_TaskLen,1,5)/I14)^I11))</f>
        <v>0.627115119175411</v>
      </c>
      <c r="J35" s="103" t="n">
        <f aca="false">IF(ISNUMBER(INDEX(B5_SuccOvr_Astra,1,5)),INDEX(B5_SuccOvr_Astra,1,5),1/(1+(INDEX(B5_TaskLen,1,5)/J14)^J11))</f>
        <v>0.627115119175411</v>
      </c>
      <c r="K35" s="103" t="n">
        <f aca="false">IF(ISNUMBER(INDEX(B5_SuccOvr_Astra,1,5)),INDEX(B5_SuccOvr_Astra,1,5),1/(1+(INDEX(B5_TaskLen,1,5)/K14)^K11))</f>
        <v>0.627115119175411</v>
      </c>
      <c r="L35" s="103" t="n">
        <f aca="false">IF(ISNUMBER(INDEX(B5_SuccOvr_Astra,1,5)),INDEX(B5_SuccOvr_Astra,1,5),1/(1+(INDEX(B5_TaskLen,1,5)/L14)^L11))</f>
        <v>0.627115119175411</v>
      </c>
      <c r="M35" s="103" t="n">
        <f aca="false">IF(ISNUMBER(INDEX(B5_SuccOvr_Astra,1,5)),INDEX(B5_SuccOvr_Astra,1,5),1/(1+(INDEX(B5_TaskLen,1,5)/M14)^M11))</f>
        <v>0.627115119175411</v>
      </c>
      <c r="N35" s="103" t="n">
        <f aca="false">IF(ISNUMBER(INDEX(B5_SuccOvr_Astra,1,5)),INDEX(B5_SuccOvr_Astra,1,5),1/(1+(INDEX(B5_TaskLen,1,5)/N14)^N11))</f>
        <v>0.627115119175411</v>
      </c>
      <c r="O35" s="103" t="n">
        <f aca="false">IF(ISNUMBER(INDEX(B5_SuccOvr_Astra,1,5)),INDEX(B5_SuccOvr_Astra,1,5),1/(1+(INDEX(B5_TaskLen,1,5)/O14)^O11))</f>
        <v>0.627115119175411</v>
      </c>
      <c r="P35" s="103" t="n">
        <f aca="false">IF(ISNUMBER(INDEX(B5_SuccOvr_Astra,1,5)),INDEX(B5_SuccOvr_Astra,1,5),1/(1+(INDEX(B5_TaskLen,1,5)/P14)^P11))</f>
        <v>0.610768963418861</v>
      </c>
      <c r="Q35" s="103" t="n">
        <f aca="false">IF(ISNUMBER(INDEX(B5_SuccOvr_Astra,1,5)),INDEX(B5_SuccOvr_Astra,1,5),1/(1+(INDEX(B5_TaskLen,1,5)/Q14)^Q11))</f>
        <v>0.666666666666667</v>
      </c>
      <c r="R35" s="103" t="n">
        <f aca="false">IF(ISNUMBER(INDEX(B5_SuccOvr_Astra,1,5)),INDEX(B5_SuccOvr_Astra,1,5),1/(1+(INDEX(B5_TaskLen,1,5)/R14)^R11))</f>
        <v>0.559427839262904</v>
      </c>
      <c r="S35" s="103" t="n">
        <f aca="false">IF(ISNUMBER(INDEX(B5_SuccOvr_Astra,1,5)),INDEX(B5_SuccOvr_Astra,1,5),1/(1+(INDEX(B5_TaskLen,1,5)/S14)^S11))</f>
        <v>0.769781603484567</v>
      </c>
    </row>
    <row r="36" customFormat="false" ht="15" hidden="false" customHeight="false" outlineLevel="0" collapsed="false">
      <c r="A36" s="62" t="s">
        <v>2416</v>
      </c>
      <c r="C36" s="103" t="n">
        <f aca="false">IF(ISNUMBER(INDEX(B5_SuccOvr_Astra,1,5)),INDEX(B5_SuccOvr_Astra,1,5),1/(1+(INDEX(B5_TaskLen,1,5)/(C14*C9))^C11))</f>
        <v>0.738796125036259</v>
      </c>
      <c r="D36" s="103" t="n">
        <f aca="false">IF(ISNUMBER(INDEX(B5_SuccOvr_Astra,1,5)),INDEX(B5_SuccOvr_Astra,1,5),1/(1+(INDEX(B5_TaskLen,1,5)/(D14*D9))^D11))</f>
        <v>0.738796125036259</v>
      </c>
      <c r="E36" s="103" t="n">
        <f aca="false">IF(ISNUMBER(INDEX(B5_SuccOvr_Astra,1,5)),INDEX(B5_SuccOvr_Astra,1,5),1/(1+(INDEX(B5_TaskLen,1,5)/(E14*E9))^E11))</f>
        <v>0.738796125036259</v>
      </c>
      <c r="F36" s="103" t="n">
        <f aca="false">IF(ISNUMBER(INDEX(B5_SuccOvr_Astra,1,5)),INDEX(B5_SuccOvr_Astra,1,5),1/(1+(INDEX(B5_TaskLen,1,5)/(F14*F9))^F11))</f>
        <v>0.738796125036259</v>
      </c>
      <c r="G36" s="103" t="n">
        <f aca="false">IF(ISNUMBER(INDEX(B5_SuccOvr_Astra,1,5)),INDEX(B5_SuccOvr_Astra,1,5),1/(1+(INDEX(B5_TaskLen,1,5)/(G14*G9))^G11))</f>
        <v>0.738796125036259</v>
      </c>
      <c r="H36" s="103" t="n">
        <f aca="false">IF(ISNUMBER(INDEX(B5_SuccOvr_Astra,1,5)),INDEX(B5_SuccOvr_Astra,1,5),1/(1+(INDEX(B5_TaskLen,1,5)/(H14*H9))^H11))</f>
        <v>0.738796125036259</v>
      </c>
      <c r="I36" s="103" t="n">
        <f aca="false">IF(ISNUMBER(INDEX(B5_SuccOvr_Astra,1,5)),INDEX(B5_SuccOvr_Astra,1,5),1/(1+(INDEX(B5_TaskLen,1,5)/(I14*I9))^I11))</f>
        <v>0.738796125036259</v>
      </c>
      <c r="J36" s="103" t="n">
        <f aca="false">IF(ISNUMBER(INDEX(B5_SuccOvr_Astra,1,5)),INDEX(B5_SuccOvr_Astra,1,5),1/(1+(INDEX(B5_TaskLen,1,5)/(J14*J9))^J11))</f>
        <v>0.738796125036259</v>
      </c>
      <c r="K36" s="103" t="n">
        <f aca="false">IF(ISNUMBER(INDEX(B5_SuccOvr_Astra,1,5)),INDEX(B5_SuccOvr_Astra,1,5),1/(1+(INDEX(B5_TaskLen,1,5)/(K14*K9))^K11))</f>
        <v>0.738796125036259</v>
      </c>
      <c r="L36" s="103" t="n">
        <f aca="false">IF(ISNUMBER(INDEX(B5_SuccOvr_Astra,1,5)),INDEX(B5_SuccOvr_Astra,1,5),1/(1+(INDEX(B5_TaskLen,1,5)/(L14*L9))^L11))</f>
        <v>0.627115119175411</v>
      </c>
      <c r="M36" s="103" t="n">
        <f aca="false">IF(ISNUMBER(INDEX(B5_SuccOvr_Astra,1,5)),INDEX(B5_SuccOvr_Astra,1,5),1/(1+(INDEX(B5_TaskLen,1,5)/(M14*M9))^M11))</f>
        <v>0.826293243415818</v>
      </c>
      <c r="N36" s="103" t="n">
        <f aca="false">IF(ISNUMBER(INDEX(B5_SuccOvr_Astra,1,5)),INDEX(B5_SuccOvr_Astra,1,5),1/(1+(INDEX(B5_TaskLen,1,5)/(N14*N9))^N11))</f>
        <v>0.738796125036259</v>
      </c>
      <c r="O36" s="103" t="n">
        <f aca="false">IF(ISNUMBER(INDEX(B5_SuccOvr_Astra,1,5)),INDEX(B5_SuccOvr_Astra,1,5),1/(1+(INDEX(B5_TaskLen,1,5)/(O14*O9))^O11))</f>
        <v>0.738796125036259</v>
      </c>
      <c r="P36" s="103" t="n">
        <f aca="false">IF(ISNUMBER(INDEX(B5_SuccOvr_Astra,1,5)),INDEX(B5_SuccOvr_Astra,1,5),1/(1+(INDEX(B5_TaskLen,1,5)/(P14*P9))^P11))</f>
        <v>0.71117372060607</v>
      </c>
      <c r="Q36" s="103" t="n">
        <f aca="false">IF(ISNUMBER(INDEX(B5_SuccOvr_Astra,1,5)),INDEX(B5_SuccOvr_Astra,1,5),1/(1+(INDEX(B5_TaskLen,1,5)/(Q14*Q9))^Q11))</f>
        <v>0.8</v>
      </c>
      <c r="R36" s="103" t="n">
        <f aca="false">IF(ISNUMBER(INDEX(B5_SuccOvr_Astra,1,5)),INDEX(B5_SuccOvr_Astra,1,5),1/(1+(INDEX(B5_TaskLen,1,5)/(R14*R9))^R11))</f>
        <v>0.681071571722459</v>
      </c>
      <c r="S36" s="103" t="n">
        <f aca="false">IF(ISNUMBER(INDEX(B5_SuccOvr_Astra,1,5)),INDEX(B5_SuccOvr_Astra,1,5),1/(1+(INDEX(B5_TaskLen,1,5)/(S14*S9))^S11))</f>
        <v>0.849020442788677</v>
      </c>
    </row>
    <row r="37" customFormat="false" ht="15" hidden="false" customHeight="false" outlineLevel="0" collapsed="false">
      <c r="A37" s="62" t="s">
        <v>2417</v>
      </c>
      <c r="C37" s="167" t="n">
        <f aca="false">IF(AND(ISNUMBER(C34),ISNUMBER(Harness!$G$73)),(C34/C36)/(Harness!$G$73/C35),"SLO 不可達")</f>
        <v>0.519237863316496</v>
      </c>
      <c r="D37" s="167" t="n">
        <f aca="false">IF(AND(ISNUMBER(D34),ISNUMBER(Harness!$G$73)),(D34/D36)/(Harness!$G$73/D35),"SLO 不可達")</f>
        <v>0.519237863316496</v>
      </c>
      <c r="E37" s="167" t="n">
        <f aca="false">IF(AND(ISNUMBER(E34),ISNUMBER(Harness!$G$73)),(E34/E36)/(Harness!$G$73/E35),"SLO 不可達")</f>
        <v>1.44258441630667</v>
      </c>
      <c r="F37" s="167" t="n">
        <f aca="false">IF(AND(ISNUMBER(F34),ISNUMBER(Harness!$G$73)),(F34/F36)/(Harness!$G$73/F35),"SLO 不可達")</f>
        <v>0.46224248549693</v>
      </c>
      <c r="G37" s="167" t="n">
        <f aca="false">IF(AND(ISNUMBER(G34),ISNUMBER(Harness!$G$73)),(G34/G36)/(Harness!$G$73/G35),"SLO 不可達")</f>
        <v>0.576233241136061</v>
      </c>
      <c r="H37" s="167" t="n">
        <f aca="false">IF(AND(ISNUMBER(H34),ISNUMBER(Harness!$G$73)),(H34/H36)/(Harness!$G$73/H35),"SLO 不可達")</f>
        <v>0.515084114173469</v>
      </c>
      <c r="I37" s="167" t="n">
        <f aca="false">IF(AND(ISNUMBER(I34),ISNUMBER(Harness!$G$73)),(I34/I36)/(Harness!$G$73/I35),"SLO 不可達")</f>
        <v>0.519237863316496</v>
      </c>
      <c r="J37" s="167" t="n">
        <f aca="false">IF(AND(ISNUMBER(J34),ISNUMBER(Harness!$G$73)),(J34/J36)/(Harness!$G$73/J35),"SLO 不可達")</f>
        <v>0.50499643768326</v>
      </c>
      <c r="K37" s="167" t="n">
        <f aca="false">IF(AND(ISNUMBER(K34),ISNUMBER(Harness!$G$73)),(K34/K36)/(Harness!$G$73/K35),"SLO 不可達")</f>
        <v>0.540600001766349</v>
      </c>
      <c r="L37" s="167" t="n">
        <f aca="false">IF(AND(ISNUMBER(L34),ISNUMBER(Harness!$G$73)),(L34/L36)/(Harness!$G$73/L35),"SLO 不可達")</f>
        <v>0.6117073399454</v>
      </c>
      <c r="M37" s="167" t="n">
        <f aca="false">IF(AND(ISNUMBER(M34),ISNUMBER(Harness!$G$73)),(M34/M36)/(Harness!$G$73/M35),"SLO 不可達")</f>
        <v>0.46425518355266</v>
      </c>
      <c r="N37" s="167" t="n">
        <f aca="false">IF(AND(ISNUMBER(N34),ISNUMBER(Harness!$G$73)),(N34/N36)/(Harness!$G$73/N35),"SLO 不可達")</f>
        <v>0.508126400330338</v>
      </c>
      <c r="O37" s="167" t="n">
        <f aca="false">IF(AND(ISNUMBER(O34),ISNUMBER(Harness!$G$73)),(O34/O36)/(Harness!$G$73/O35),"SLO 不可達")</f>
        <v>0.544428054972615</v>
      </c>
      <c r="P37" s="167" t="n">
        <f aca="false">IF(AND(ISNUMBER(P34),ISNUMBER(Harness!$G$73)),(P34/P36)/(Harness!$G$73/P35),"SLO 不可達")</f>
        <v>0.525345421391225</v>
      </c>
      <c r="Q37" s="167" t="n">
        <f aca="false">IF(AND(ISNUMBER(Q34),ISNUMBER(Harness!$G$73)),(Q34/Q36)/(Harness!$G$73/Q35),"SLO 不可達")</f>
        <v>0.509756116621167</v>
      </c>
      <c r="R37" s="167" t="n">
        <f aca="false">IF(AND(ISNUMBER(R34),ISNUMBER(Harness!$G$73)),(R34/R36)/(Harness!$G$73/R35),"SLO 不可達")</f>
        <v>0.502452502284687</v>
      </c>
      <c r="S37" s="167" t="n">
        <f aca="false">IF(AND(ISNUMBER(S34),ISNUMBER(Harness!$G$73)),(S34/S36)/(Harness!$G$73/S35),"SLO 不可達")</f>
        <v>0.554616865831643</v>
      </c>
    </row>
    <row r="39" customFormat="false" ht="15" hidden="false" customHeight="false" outlineLevel="0" collapsed="false">
      <c r="A39" s="74" t="s">
        <v>2418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9"/>
    <col collapsed="false" customWidth="true" hidden="false" outlineLevel="0" max="6" min="6" style="0" width="16"/>
    <col collapsed="false" customWidth="true" hidden="false" outlineLevel="0" max="7" min="7" style="0" width="70"/>
    <col collapsed="false" customWidth="true" hidden="false" outlineLevel="0" max="8" min="8" style="0" width="46"/>
  </cols>
  <sheetData>
    <row r="1" customFormat="false" ht="20.1" hidden="false" customHeight="false" outlineLevel="0" collapsed="false">
      <c r="A1" s="58" t="s">
        <v>2419</v>
      </c>
    </row>
    <row r="2" customFormat="false" ht="15" hidden="false" customHeight="false" outlineLevel="0" collapsed="false">
      <c r="A2" s="74" t="s">
        <v>2420</v>
      </c>
    </row>
    <row r="3" customFormat="false" ht="15" hidden="false" customHeight="false" outlineLevel="0" collapsed="false">
      <c r="H3" s="60" t="s">
        <v>2</v>
      </c>
    </row>
    <row r="4" customFormat="false" ht="15" hidden="false" customHeight="false" outlineLevel="0" collapsed="false">
      <c r="A4" s="83" t="s">
        <v>2421</v>
      </c>
      <c r="B4" s="83" t="s">
        <v>95</v>
      </c>
      <c r="C4" s="83" t="s">
        <v>97</v>
      </c>
      <c r="D4" s="83" t="s">
        <v>1308</v>
      </c>
      <c r="E4" s="83" t="s">
        <v>1309</v>
      </c>
      <c r="F4" s="83" t="s">
        <v>99</v>
      </c>
      <c r="G4" s="83" t="s">
        <v>2422</v>
      </c>
    </row>
    <row r="5" customFormat="false" ht="15" hidden="false" customHeight="false" outlineLevel="0" collapsed="false">
      <c r="A5" s="61" t="s">
        <v>2423</v>
      </c>
      <c r="B5" s="61" t="s">
        <v>108</v>
      </c>
      <c r="C5" s="176" t="s">
        <v>1370</v>
      </c>
      <c r="D5" s="62" t="s">
        <v>751</v>
      </c>
      <c r="E5" s="62" t="s">
        <v>751</v>
      </c>
      <c r="F5" s="62" t="s">
        <v>104</v>
      </c>
      <c r="G5" s="87" t="s">
        <v>2424</v>
      </c>
    </row>
    <row r="6" customFormat="false" ht="15" hidden="false" customHeight="false" outlineLevel="0" collapsed="false">
      <c r="A6" s="61" t="s">
        <v>2425</v>
      </c>
      <c r="B6" s="61" t="s">
        <v>2426</v>
      </c>
      <c r="C6" s="177" t="n">
        <v>1</v>
      </c>
      <c r="D6" s="78" t="n">
        <v>1</v>
      </c>
      <c r="E6" s="78" t="n">
        <v>2</v>
      </c>
      <c r="F6" s="62" t="s">
        <v>114</v>
      </c>
      <c r="G6" s="87" t="s">
        <v>2427</v>
      </c>
    </row>
    <row r="7" customFormat="false" ht="15" hidden="false" customHeight="false" outlineLevel="0" collapsed="false">
      <c r="A7" s="61" t="s">
        <v>2428</v>
      </c>
      <c r="B7" s="61" t="s">
        <v>2426</v>
      </c>
      <c r="C7" s="177" t="n">
        <v>2</v>
      </c>
      <c r="D7" s="78" t="n">
        <v>0</v>
      </c>
      <c r="E7" s="78" t="n">
        <v>6</v>
      </c>
      <c r="F7" s="62" t="s">
        <v>114</v>
      </c>
      <c r="G7" s="87" t="s">
        <v>2429</v>
      </c>
    </row>
    <row r="8" customFormat="false" ht="15" hidden="false" customHeight="false" outlineLevel="0" collapsed="false">
      <c r="A8" s="61" t="s">
        <v>2430</v>
      </c>
      <c r="B8" s="62" t="s">
        <v>118</v>
      </c>
      <c r="C8" s="177" t="n">
        <v>1</v>
      </c>
      <c r="D8" s="78" t="n">
        <v>0.5</v>
      </c>
      <c r="E8" s="78" t="n">
        <v>7</v>
      </c>
      <c r="F8" s="62" t="s">
        <v>114</v>
      </c>
      <c r="G8" s="87" t="s">
        <v>2431</v>
      </c>
    </row>
    <row r="9" customFormat="false" ht="39.55" hidden="false" customHeight="false" outlineLevel="0" collapsed="false">
      <c r="A9" s="61" t="s">
        <v>2432</v>
      </c>
      <c r="B9" s="62" t="s">
        <v>113</v>
      </c>
      <c r="C9" s="178" t="n">
        <v>0.6</v>
      </c>
      <c r="D9" s="66" t="n">
        <v>0.5</v>
      </c>
      <c r="E9" s="66" t="n">
        <v>0.7</v>
      </c>
      <c r="F9" s="62" t="s">
        <v>162</v>
      </c>
      <c r="G9" s="87" t="s">
        <v>2433</v>
      </c>
      <c r="H9" s="74" t="s">
        <v>2434</v>
      </c>
    </row>
    <row r="10" customFormat="false" ht="39.55" hidden="false" customHeight="false" outlineLevel="0" collapsed="false">
      <c r="A10" s="61" t="s">
        <v>2435</v>
      </c>
      <c r="B10" s="62" t="s">
        <v>113</v>
      </c>
      <c r="C10" s="178" t="n">
        <v>0.4</v>
      </c>
      <c r="D10" s="66" t="n">
        <v>0.25</v>
      </c>
      <c r="E10" s="66" t="n">
        <v>0.4</v>
      </c>
      <c r="F10" s="62" t="s">
        <v>162</v>
      </c>
      <c r="G10" s="87" t="s">
        <v>2436</v>
      </c>
      <c r="H10" s="74" t="s">
        <v>2437</v>
      </c>
    </row>
    <row r="11" customFormat="false" ht="39.55" hidden="false" customHeight="false" outlineLevel="0" collapsed="false">
      <c r="A11" s="61" t="s">
        <v>2438</v>
      </c>
      <c r="B11" s="62" t="s">
        <v>113</v>
      </c>
      <c r="C11" s="178" t="n">
        <v>0</v>
      </c>
      <c r="D11" s="66" t="n">
        <v>0</v>
      </c>
      <c r="E11" s="66" t="n">
        <v>0.1</v>
      </c>
      <c r="F11" s="62" t="s">
        <v>162</v>
      </c>
      <c r="G11" s="87" t="s">
        <v>2439</v>
      </c>
      <c r="H11" s="74" t="s">
        <v>2440</v>
      </c>
    </row>
    <row r="12" customFormat="false" ht="39.55" hidden="false" customHeight="false" outlineLevel="0" collapsed="false">
      <c r="A12" s="61" t="s">
        <v>2441</v>
      </c>
      <c r="B12" s="62" t="s">
        <v>113</v>
      </c>
      <c r="C12" s="178" t="n">
        <v>0</v>
      </c>
      <c r="D12" s="66" t="n">
        <v>0</v>
      </c>
      <c r="E12" s="66" t="n">
        <v>0</v>
      </c>
      <c r="F12" s="62" t="s">
        <v>162</v>
      </c>
      <c r="G12" s="87" t="s">
        <v>2442</v>
      </c>
      <c r="H12" s="74" t="s">
        <v>2443</v>
      </c>
    </row>
    <row r="13" customFormat="false" ht="15" hidden="false" customHeight="false" outlineLevel="0" collapsed="false">
      <c r="A13" s="61" t="s">
        <v>2444</v>
      </c>
      <c r="B13" s="62" t="s">
        <v>113</v>
      </c>
      <c r="C13" s="178" t="n">
        <v>0</v>
      </c>
      <c r="D13" s="66" t="n">
        <v>0</v>
      </c>
      <c r="E13" s="66" t="n">
        <v>1</v>
      </c>
      <c r="F13" s="62" t="s">
        <v>2445</v>
      </c>
      <c r="G13" s="87" t="s">
        <v>2446</v>
      </c>
    </row>
    <row r="14" customFormat="false" ht="15" hidden="false" customHeight="false" outlineLevel="0" collapsed="false">
      <c r="A14" s="62" t="s">
        <v>2447</v>
      </c>
      <c r="B14" s="62" t="s">
        <v>118</v>
      </c>
      <c r="C14" s="177" t="n">
        <v>0.75</v>
      </c>
      <c r="D14" s="78" t="n">
        <v>0.6</v>
      </c>
      <c r="E14" s="78" t="n">
        <v>0.9</v>
      </c>
      <c r="F14" s="62" t="s">
        <v>114</v>
      </c>
      <c r="G14" s="87" t="s">
        <v>2448</v>
      </c>
    </row>
    <row r="15" customFormat="false" ht="64.9" hidden="false" customHeight="false" outlineLevel="0" collapsed="false">
      <c r="A15" s="61" t="s">
        <v>2449</v>
      </c>
      <c r="B15" s="62" t="s">
        <v>308</v>
      </c>
      <c r="C15" s="179" t="n">
        <v>4000</v>
      </c>
      <c r="D15" s="64" t="n">
        <v>2000</v>
      </c>
      <c r="E15" s="64" t="n">
        <v>11000</v>
      </c>
      <c r="F15" s="62" t="s">
        <v>114</v>
      </c>
      <c r="G15" s="87" t="s">
        <v>2450</v>
      </c>
    </row>
    <row r="16" customFormat="false" ht="26.85" hidden="false" customHeight="false" outlineLevel="0" collapsed="false">
      <c r="A16" s="62" t="s">
        <v>2451</v>
      </c>
      <c r="B16" s="62" t="s">
        <v>113</v>
      </c>
      <c r="C16" s="178" t="n">
        <v>0.6</v>
      </c>
      <c r="D16" s="66" t="n">
        <v>0.4</v>
      </c>
      <c r="E16" s="66" t="n">
        <v>0.8</v>
      </c>
      <c r="F16" s="62" t="s">
        <v>114</v>
      </c>
      <c r="G16" s="93" t="s">
        <v>2452</v>
      </c>
    </row>
    <row r="18" customFormat="false" ht="15" hidden="false" customHeight="false" outlineLevel="0" collapsed="false">
      <c r="A18" s="60" t="s">
        <v>2453</v>
      </c>
      <c r="C18" s="85" t="n">
        <f aca="false">SUM(AL_MixGen)</f>
        <v>1</v>
      </c>
    </row>
    <row r="20" customFormat="false" ht="15" hidden="false" customHeight="false" outlineLevel="0" collapsed="false">
      <c r="A20" s="74" t="s">
        <v>2454</v>
      </c>
    </row>
    <row r="22" customFormat="false" ht="15" hidden="false" customHeight="false" outlineLevel="0" collapsed="false">
      <c r="A22" s="76" t="s">
        <v>2455</v>
      </c>
      <c r="B22" s="70"/>
      <c r="C22" s="70"/>
      <c r="D22" s="70"/>
      <c r="E22" s="70"/>
      <c r="F22" s="70"/>
      <c r="G22" s="70"/>
    </row>
    <row r="23" customFormat="false" ht="39.55" hidden="false" customHeight="false" outlineLevel="0" collapsed="false">
      <c r="A23" s="5" t="s">
        <v>2456</v>
      </c>
      <c r="B23" s="62" t="s">
        <v>118</v>
      </c>
      <c r="C23" s="153" t="n">
        <v>0.85</v>
      </c>
      <c r="D23" s="79" t="n">
        <v>0.73</v>
      </c>
      <c r="E23" s="79" t="n">
        <v>1.17</v>
      </c>
      <c r="F23" s="62" t="s">
        <v>162</v>
      </c>
      <c r="G23" s="93" t="s">
        <v>2457</v>
      </c>
    </row>
    <row r="24" customFormat="false" ht="52.2" hidden="false" customHeight="false" outlineLevel="0" collapsed="false">
      <c r="A24" s="5" t="s">
        <v>2458</v>
      </c>
      <c r="B24" s="62" t="s">
        <v>118</v>
      </c>
      <c r="C24" s="153" t="n">
        <v>0.41</v>
      </c>
      <c r="D24" s="79" t="n">
        <v>0.3</v>
      </c>
      <c r="E24" s="79" t="n">
        <v>0.65</v>
      </c>
      <c r="F24" s="62" t="s">
        <v>114</v>
      </c>
      <c r="G24" s="93" t="s">
        <v>2459</v>
      </c>
    </row>
    <row r="25" customFormat="false" ht="29.85" hidden="false" customHeight="false" outlineLevel="0" collapsed="false">
      <c r="A25" s="5" t="s">
        <v>2460</v>
      </c>
      <c r="B25" s="62" t="s">
        <v>308</v>
      </c>
      <c r="C25" s="64" t="n">
        <v>2000</v>
      </c>
      <c r="D25" s="62" t="s">
        <v>751</v>
      </c>
      <c r="E25" s="62" t="s">
        <v>751</v>
      </c>
      <c r="F25" s="62" t="s">
        <v>2461</v>
      </c>
      <c r="G25" s="87" t="s">
        <v>2462</v>
      </c>
    </row>
    <row r="26" customFormat="false" ht="90.25" hidden="false" customHeight="false" outlineLevel="0" collapsed="false">
      <c r="A26" s="5" t="s">
        <v>2463</v>
      </c>
      <c r="B26" s="62" t="s">
        <v>118</v>
      </c>
      <c r="C26" s="153" t="n">
        <v>1</v>
      </c>
      <c r="D26" s="79" t="n">
        <v>0.65</v>
      </c>
      <c r="E26" s="79" t="n">
        <v>1.2</v>
      </c>
      <c r="F26" s="62" t="s">
        <v>162</v>
      </c>
      <c r="G26" s="87" t="s">
        <v>2464</v>
      </c>
    </row>
    <row r="28" customFormat="false" ht="15" hidden="false" customHeight="false" outlineLevel="0" collapsed="false">
      <c r="A28" s="10" t="s">
        <v>2465</v>
      </c>
    </row>
    <row r="29" customFormat="false" ht="64.9" hidden="false" customHeight="false" outlineLevel="0" collapsed="false">
      <c r="A29" s="5" t="s">
        <v>2466</v>
      </c>
      <c r="B29" s="62" t="s">
        <v>113</v>
      </c>
      <c r="C29" s="178" t="n">
        <v>0.6</v>
      </c>
      <c r="D29" s="66" t="n">
        <v>0.4</v>
      </c>
      <c r="E29" s="66" t="n">
        <v>0.75</v>
      </c>
      <c r="F29" s="62" t="s">
        <v>162</v>
      </c>
      <c r="G29" s="87" t="s">
        <v>2467</v>
      </c>
    </row>
    <row r="30" customFormat="false" ht="64.9" hidden="false" customHeight="false" outlineLevel="0" collapsed="false">
      <c r="A30" s="5" t="s">
        <v>2468</v>
      </c>
      <c r="B30" s="62" t="s">
        <v>113</v>
      </c>
      <c r="C30" s="178" t="n">
        <v>0.38</v>
      </c>
      <c r="D30" s="66" t="n">
        <v>0.25</v>
      </c>
      <c r="E30" s="66" t="n">
        <v>0.55</v>
      </c>
      <c r="F30" s="62" t="s">
        <v>162</v>
      </c>
      <c r="G30" s="87" t="s">
        <v>2467</v>
      </c>
    </row>
    <row r="31" customFormat="false" ht="64.9" hidden="false" customHeight="false" outlineLevel="0" collapsed="false">
      <c r="A31" s="5" t="s">
        <v>2469</v>
      </c>
      <c r="B31" s="62" t="s">
        <v>113</v>
      </c>
      <c r="C31" s="178" t="n">
        <v>0.02</v>
      </c>
      <c r="D31" s="66" t="n">
        <v>0</v>
      </c>
      <c r="E31" s="66" t="n">
        <v>0.05</v>
      </c>
      <c r="F31" s="62" t="s">
        <v>162</v>
      </c>
      <c r="G31" s="87" t="s">
        <v>2467</v>
      </c>
    </row>
    <row r="32" customFormat="false" ht="64.9" hidden="false" customHeight="false" outlineLevel="0" collapsed="false">
      <c r="A32" s="5" t="s">
        <v>2470</v>
      </c>
      <c r="B32" s="62" t="s">
        <v>113</v>
      </c>
      <c r="C32" s="178" t="n">
        <v>0</v>
      </c>
      <c r="D32" s="66" t="n">
        <v>0</v>
      </c>
      <c r="E32" s="66" t="n">
        <v>0</v>
      </c>
      <c r="F32" s="62" t="s">
        <v>162</v>
      </c>
      <c r="G32" s="87" t="s">
        <v>2467</v>
      </c>
    </row>
    <row r="33" customFormat="false" ht="15" hidden="false" customHeight="false" outlineLevel="0" collapsed="false">
      <c r="A33" s="61" t="s">
        <v>2471</v>
      </c>
      <c r="C33" s="85" t="n">
        <f aca="false">AL_RDMixHopper+AL_RDMixGB200+AL_RDMixGB300+AL_RDMixVR200</f>
        <v>1</v>
      </c>
    </row>
  </sheetData>
  <dataValidations count="1">
    <dataValidation allowBlank="false" errorStyle="stop" operator="between" showDropDown="false" showErrorMessage="false" showInputMessage="false" sqref="C5" type="list">
      <formula1>"OpenAI"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1"/>
    <col collapsed="false" customWidth="true" hidden="false" outlineLevel="0" max="7" min="3" style="0" width="15"/>
    <col collapsed="false" customWidth="true" hidden="false" outlineLevel="0" max="24" min="8" style="0" width="13"/>
    <col collapsed="false" customWidth="true" hidden="false" outlineLevel="0" max="25" min="25" style="0" width="46"/>
  </cols>
  <sheetData>
    <row r="1" customFormat="false" ht="20.1" hidden="false" customHeight="false" outlineLevel="0" collapsed="false">
      <c r="A1" s="58" t="s">
        <v>2472</v>
      </c>
    </row>
    <row r="2" customFormat="false" ht="15" hidden="false" customHeight="false" outlineLevel="0" collapsed="false">
      <c r="A2" s="74" t="s">
        <v>2473</v>
      </c>
    </row>
    <row r="3" customFormat="false" ht="15" hidden="false" customHeight="false" outlineLevel="0" collapsed="false">
      <c r="Y3" s="60" t="s">
        <v>2</v>
      </c>
    </row>
    <row r="4" customFormat="false" ht="15" hidden="false" customHeight="false" outlineLevel="0" collapsed="false">
      <c r="A4" s="76" t="s">
        <v>2474</v>
      </c>
      <c r="B4" s="70"/>
      <c r="C4" s="70"/>
      <c r="D4" s="70"/>
      <c r="E4" s="70"/>
      <c r="F4" s="70"/>
      <c r="G4" s="70"/>
    </row>
    <row r="5" customFormat="false" ht="15" hidden="false" customHeight="false" outlineLevel="0" collapsed="false">
      <c r="A5" s="6" t="s">
        <v>2475</v>
      </c>
      <c r="B5" s="62" t="s">
        <v>931</v>
      </c>
      <c r="C5" s="68" t="n">
        <f aca="false">SRC_DEM_010*1000000000*525600*AL_APIratio/1000000</f>
        <v>2365200000</v>
      </c>
      <c r="G5" s="59" t="s">
        <v>2476</v>
      </c>
    </row>
    <row r="6" customFormat="false" ht="15" hidden="false" customHeight="false" outlineLevel="0" collapsed="false">
      <c r="A6" s="6" t="s">
        <v>2477</v>
      </c>
      <c r="B6" s="62" t="s">
        <v>931</v>
      </c>
      <c r="C6" s="68" t="n">
        <f aca="false">SRC_DEM_012*1000000000*AL_TokPerPrompt*365/1000000</f>
        <v>3650000000</v>
      </c>
      <c r="G6" s="59" t="s">
        <v>2478</v>
      </c>
    </row>
    <row r="7" customFormat="false" ht="15" hidden="false" customHeight="false" outlineLevel="0" collapsed="false">
      <c r="A7" s="6" t="s">
        <v>2479</v>
      </c>
      <c r="B7" s="62" t="s">
        <v>931</v>
      </c>
      <c r="C7" s="68" t="n">
        <f aca="false">AL_DChat*AL_FreeShare</f>
        <v>2190000000</v>
      </c>
      <c r="G7" s="59" t="s">
        <v>2480</v>
      </c>
    </row>
    <row r="8" customFormat="false" ht="15" hidden="false" customHeight="false" outlineLevel="0" collapsed="false">
      <c r="A8" s="6" t="s">
        <v>2481</v>
      </c>
      <c r="B8" s="62" t="s">
        <v>931</v>
      </c>
      <c r="C8" s="68" t="n">
        <f aca="false">AL_DChat-AL_DChatFree</f>
        <v>1460000000</v>
      </c>
      <c r="G8" s="59" t="s">
        <v>2482</v>
      </c>
    </row>
    <row r="9" customFormat="false" ht="15" hidden="false" customHeight="false" outlineLevel="0" collapsed="false">
      <c r="A9" s="5" t="s">
        <v>2483</v>
      </c>
      <c r="B9" s="62" t="s">
        <v>931</v>
      </c>
      <c r="C9" s="68" t="n">
        <f aca="false">AL_DAPI+AL_DChatPaid</f>
        <v>3825200000</v>
      </c>
    </row>
    <row r="10" customFormat="false" ht="15" hidden="false" customHeight="false" outlineLevel="0" collapsed="false">
      <c r="A10" s="5" t="s">
        <v>2484</v>
      </c>
      <c r="B10" s="62" t="s">
        <v>931</v>
      </c>
      <c r="C10" s="68" t="n">
        <f aca="false">AL_DChatFree</f>
        <v>2190000000</v>
      </c>
    </row>
    <row r="11" customFormat="false" ht="15" hidden="false" customHeight="false" outlineLevel="0" collapsed="false">
      <c r="A11" s="6" t="s">
        <v>2485</v>
      </c>
      <c r="B11" s="62" t="s">
        <v>931</v>
      </c>
      <c r="C11" s="71" t="n">
        <f aca="false">AL_DPaid+AL_DFree</f>
        <v>6015200000</v>
      </c>
    </row>
    <row r="12" customFormat="false" ht="15" hidden="false" customHeight="false" outlineLevel="0" collapsed="false">
      <c r="A12" s="5" t="s">
        <v>2486</v>
      </c>
      <c r="B12" s="62" t="s">
        <v>1469</v>
      </c>
      <c r="C12" s="72" t="n">
        <f aca="false">AL_D/365/1000000</f>
        <v>16.48</v>
      </c>
      <c r="G12" s="59" t="s">
        <v>2487</v>
      </c>
    </row>
    <row r="14" customFormat="false" ht="15" hidden="false" customHeight="false" outlineLevel="0" collapsed="false">
      <c r="A14" s="76" t="s">
        <v>2488</v>
      </c>
      <c r="B14" s="70"/>
      <c r="C14" s="70"/>
      <c r="D14" s="70"/>
      <c r="E14" s="70"/>
      <c r="F14" s="70"/>
      <c r="G14" s="70"/>
    </row>
    <row r="15" customFormat="false" ht="15" hidden="false" customHeight="false" outlineLevel="0" collapsed="false">
      <c r="A15" s="60" t="s">
        <v>186</v>
      </c>
      <c r="C15" s="82" t="str">
        <f aca="false">INDEX(Spec_Rack!$C$4:$G$4,C16)</f>
        <v>Hopper H100</v>
      </c>
      <c r="D15" s="82" t="str">
        <f aca="false">INDEX(Spec_Rack!$C$4:$G$4,D16)</f>
        <v>GB200 NVL72</v>
      </c>
      <c r="E15" s="82" t="str">
        <f aca="false">INDEX(Spec_Rack!$C$4:$G$4,E16)</f>
        <v>GB300 NVL72</v>
      </c>
      <c r="F15" s="82" t="str">
        <f aca="false">INDEX(Spec_Rack!$C$4:$G$4,F16)</f>
        <v>VR200 NVL72</v>
      </c>
      <c r="Y15" s="74" t="s">
        <v>2489</v>
      </c>
    </row>
    <row r="16" customFormat="false" ht="15" hidden="false" customHeight="false" outlineLevel="0" collapsed="false">
      <c r="A16" s="5" t="s">
        <v>2490</v>
      </c>
      <c r="B16" s="61" t="s">
        <v>1090</v>
      </c>
      <c r="C16" s="105" t="n">
        <v>1</v>
      </c>
      <c r="D16" s="105" t="n">
        <v>2</v>
      </c>
      <c r="E16" s="105" t="n">
        <v>3</v>
      </c>
      <c r="F16" s="105" t="n">
        <v>4</v>
      </c>
    </row>
    <row r="17" customFormat="false" ht="15" hidden="false" customHeight="false" outlineLevel="0" collapsed="false">
      <c r="A17" s="6" t="s">
        <v>2491</v>
      </c>
      <c r="B17" s="61" t="s">
        <v>1090</v>
      </c>
      <c r="C17" s="105" t="n">
        <f aca="false">3*(C16-1)+2</f>
        <v>2</v>
      </c>
      <c r="D17" s="105" t="n">
        <f aca="false">3*(D16-1)+2</f>
        <v>5</v>
      </c>
      <c r="E17" s="105" t="n">
        <f aca="false">3*(E16-1)+2</f>
        <v>8</v>
      </c>
      <c r="F17" s="105" t="n">
        <f aca="false">3*(F16-1)+2</f>
        <v>11</v>
      </c>
    </row>
    <row r="18" customFormat="false" ht="15" hidden="false" customHeight="false" outlineLevel="0" collapsed="false">
      <c r="A18" s="5" t="s">
        <v>2492</v>
      </c>
      <c r="B18" s="62" t="s">
        <v>113</v>
      </c>
      <c r="C18" s="85" t="n">
        <f aca="false">AL_MixHopper</f>
        <v>0.6</v>
      </c>
      <c r="D18" s="85" t="n">
        <f aca="false">AL_MixGB200</f>
        <v>0.4</v>
      </c>
      <c r="E18" s="85" t="n">
        <f aca="false">AL_MixGB300</f>
        <v>0</v>
      </c>
      <c r="F18" s="85" t="n">
        <f aca="false">AL_MixVR200</f>
        <v>0</v>
      </c>
    </row>
    <row r="19" customFormat="false" ht="29.85" hidden="false" customHeight="false" outlineLevel="0" collapsed="false">
      <c r="A19" s="6" t="s">
        <v>2493</v>
      </c>
      <c r="B19" s="61" t="s">
        <v>1980</v>
      </c>
      <c r="C19" s="105" t="n">
        <f aca="false">IF(ISNUMBER(INDEX(IF_TokGW_Luna,1,C$17)),IF(INDEX(IF_TokGW_Luna,1,C$17)&gt;0,1,0),0)</f>
        <v>1</v>
      </c>
      <c r="D19" s="105" t="n">
        <f aca="false">IF(ISNUMBER(INDEX(IF_TokGW_Luna,1,D$17)),IF(INDEX(IF_TokGW_Luna,1,D$17)&gt;0,1,0),0)</f>
        <v>1</v>
      </c>
      <c r="E19" s="105" t="n">
        <f aca="false">IF(ISNUMBER(INDEX(IF_TokGW_Luna,1,E$17)),IF(INDEX(IF_TokGW_Luna,1,E$17)&gt;0,1,0),0)</f>
        <v>1</v>
      </c>
      <c r="F19" s="105" t="n">
        <f aca="false">IF(ISNUMBER(INDEX(IF_TokGW_Luna,1,F$17)),IF(INDEX(IF_TokGW_Luna,1,F$17)&gt;0,1,0),0)</f>
        <v>1</v>
      </c>
      <c r="G19" s="74" t="s">
        <v>2494</v>
      </c>
    </row>
    <row r="20" customFormat="false" ht="29.85" hidden="false" customHeight="false" outlineLevel="0" collapsed="false">
      <c r="A20" s="6" t="s">
        <v>2495</v>
      </c>
      <c r="B20" s="61" t="s">
        <v>1980</v>
      </c>
      <c r="C20" s="105" t="n">
        <f aca="false">IF(ISNUMBER(INDEX(IF_TokGW_Sol,1,C$17)),IF(INDEX(IF_TokGW_Sol,1,C$17)&gt;0,1,0),0)</f>
        <v>1</v>
      </c>
      <c r="D20" s="105" t="n">
        <f aca="false">IF(ISNUMBER(INDEX(IF_TokGW_Sol,1,D$17)),IF(INDEX(IF_TokGW_Sol,1,D$17)&gt;0,1,0),0)</f>
        <v>1</v>
      </c>
      <c r="E20" s="105" t="n">
        <f aca="false">IF(ISNUMBER(INDEX(IF_TokGW_Sol,1,E$17)),IF(INDEX(IF_TokGW_Sol,1,E$17)&gt;0,1,0),0)</f>
        <v>1</v>
      </c>
      <c r="F20" s="105" t="n">
        <f aca="false">IF(ISNUMBER(INDEX(IF_TokGW_Sol,1,F$17)),IF(INDEX(IF_TokGW_Sol,1,F$17)&gt;0,1,0),0)</f>
        <v>1</v>
      </c>
    </row>
    <row r="21" customFormat="false" ht="29.85" hidden="false" customHeight="false" outlineLevel="0" collapsed="false">
      <c r="A21" s="6" t="s">
        <v>2496</v>
      </c>
      <c r="B21" s="61" t="s">
        <v>1980</v>
      </c>
      <c r="C21" s="105" t="n">
        <f aca="false">IF(ISNUMBER(INDEX(IF_TokGW_Astra,1,C$17)),IF(INDEX(IF_TokGW_Astra,1,C$17)&gt;0,1,0),0)</f>
        <v>1</v>
      </c>
      <c r="D21" s="105" t="n">
        <f aca="false">IF(ISNUMBER(INDEX(IF_TokGW_Astra,1,D$17)),IF(INDEX(IF_TokGW_Astra,1,D$17)&gt;0,1,0),0)</f>
        <v>1</v>
      </c>
      <c r="E21" s="105" t="n">
        <f aca="false">IF(ISNUMBER(INDEX(IF_TokGW_Astra,1,E$17)),IF(INDEX(IF_TokGW_Astra,1,E$17)&gt;0,1,0),0)</f>
        <v>1</v>
      </c>
      <c r="F21" s="105" t="n">
        <f aca="false">IF(ISNUMBER(INDEX(IF_TokGW_Astra,1,F$17)),IF(INDEX(IF_TokGW_Astra,1,F$17)&gt;0,1,0),0)</f>
        <v>1</v>
      </c>
    </row>
    <row r="22" customFormat="false" ht="15" hidden="false" customHeight="false" outlineLevel="0" collapsed="false">
      <c r="A22" s="5" t="s">
        <v>2497</v>
      </c>
      <c r="B22" s="62" t="s">
        <v>113</v>
      </c>
      <c r="C22" s="103" t="n">
        <f aca="false">INDEX(B4_MixPaid,1,1)*C19+INDEX(B4_MixPaid,1,2)*C20+INDEX(B4_MixPaid,1,3)*C21</f>
        <v>1</v>
      </c>
      <c r="D22" s="103" t="n">
        <f aca="false">INDEX(B4_MixPaid,1,1)*D19+INDEX(B4_MixPaid,1,2)*D20+INDEX(B4_MixPaid,1,3)*D21</f>
        <v>1</v>
      </c>
      <c r="E22" s="103" t="n">
        <f aca="false">INDEX(B4_MixPaid,1,1)*E19+INDEX(B4_MixPaid,1,2)*E20+INDEX(B4_MixPaid,1,3)*E21</f>
        <v>1</v>
      </c>
      <c r="F22" s="103" t="n">
        <f aca="false">INDEX(B4_MixPaid,1,1)*F19+INDEX(B4_MixPaid,1,2)*F20+INDEX(B4_MixPaid,1,3)*F21</f>
        <v>1</v>
      </c>
      <c r="G22" s="74" t="s">
        <v>2498</v>
      </c>
    </row>
    <row r="23" customFormat="false" ht="15" hidden="false" customHeight="false" outlineLevel="0" collapsed="false">
      <c r="A23" s="5" t="s">
        <v>2499</v>
      </c>
      <c r="B23" s="62" t="s">
        <v>113</v>
      </c>
      <c r="C23" s="103" t="n">
        <f aca="false">INDEX(B4_MixFree,1,1)*C19+INDEX(B4_MixFree,1,2)*C20+INDEX(B4_MixFree,1,3)*C21</f>
        <v>1</v>
      </c>
      <c r="D23" s="103" t="n">
        <f aca="false">INDEX(B4_MixFree,1,1)*D19+INDEX(B4_MixFree,1,2)*D20+INDEX(B4_MixFree,1,3)*D21</f>
        <v>1</v>
      </c>
      <c r="E23" s="103" t="n">
        <f aca="false">INDEX(B4_MixFree,1,1)*E19+INDEX(B4_MixFree,1,2)*E20+INDEX(B4_MixFree,1,3)*E21</f>
        <v>1</v>
      </c>
      <c r="F23" s="103" t="n">
        <f aca="false">INDEX(B4_MixFree,1,1)*F19+INDEX(B4_MixFree,1,2)*F20+INDEX(B4_MixFree,1,3)*F21</f>
        <v>1</v>
      </c>
      <c r="G23" s="74" t="s">
        <v>2500</v>
      </c>
    </row>
    <row r="24" customFormat="false" ht="15" hidden="false" customHeight="false" outlineLevel="0" collapsed="false">
      <c r="A24" s="5" t="s">
        <v>2501</v>
      </c>
      <c r="B24" s="62" t="s">
        <v>113</v>
      </c>
      <c r="C24" s="103" t="n">
        <f aca="false">SUM(B4_MixPaid)-C22</f>
        <v>0</v>
      </c>
      <c r="D24" s="103" t="n">
        <f aca="false">SUM(B4_MixPaid)-D22</f>
        <v>0</v>
      </c>
      <c r="E24" s="103" t="n">
        <f aca="false">SUM(B4_MixPaid)-E22</f>
        <v>0</v>
      </c>
      <c r="F24" s="103" t="n">
        <f aca="false">SUM(B4_MixPaid)-F22</f>
        <v>0</v>
      </c>
      <c r="G24" s="74" t="s">
        <v>2502</v>
      </c>
    </row>
    <row r="25" customFormat="false" ht="15" hidden="false" customHeight="false" outlineLevel="0" collapsed="false">
      <c r="A25" s="5" t="s">
        <v>2503</v>
      </c>
      <c r="B25" s="62" t="s">
        <v>113</v>
      </c>
      <c r="C25" s="103" t="n">
        <f aca="false">SUM(B4_MixFree)-C23</f>
        <v>0</v>
      </c>
      <c r="D25" s="103" t="n">
        <f aca="false">SUM(B4_MixFree)-D23</f>
        <v>0</v>
      </c>
      <c r="E25" s="103" t="n">
        <f aca="false">SUM(B4_MixFree)-E23</f>
        <v>0</v>
      </c>
      <c r="F25" s="103" t="n">
        <f aca="false">SUM(B4_MixFree)-F23</f>
        <v>0</v>
      </c>
    </row>
    <row r="26" customFormat="false" ht="29.85" hidden="false" customHeight="false" outlineLevel="0" collapsed="false">
      <c r="A26" s="5" t="s">
        <v>2504</v>
      </c>
      <c r="B26" s="61" t="s">
        <v>1980</v>
      </c>
      <c r="C26" s="105" t="n">
        <f aca="false">IF(AND(C22&gt;0,C23&gt;0),1,0)</f>
        <v>1</v>
      </c>
      <c r="D26" s="105" t="n">
        <f aca="false">IF(AND(D22&gt;0,D23&gt;0),1,0)</f>
        <v>1</v>
      </c>
      <c r="E26" s="105" t="n">
        <f aca="false">IF(AND(E22&gt;0,E23&gt;0),1,0)</f>
        <v>1</v>
      </c>
      <c r="F26" s="105" t="n">
        <f aca="false">IF(AND(F22&gt;0,F23&gt;0),1,0)</f>
        <v>1</v>
      </c>
    </row>
    <row r="27" customFormat="false" ht="15" hidden="false" customHeight="false" outlineLevel="0" collapsed="false">
      <c r="A27" s="6" t="s">
        <v>2505</v>
      </c>
      <c r="B27" s="62" t="s">
        <v>2506</v>
      </c>
      <c r="C27" s="144" t="n">
        <f aca="false">IF(C26=1,(IF(C19=1,INDEX(B4_MixPaid,1,1)/INDEX(IF_TokGW_Luna,1,C$17),0)+IF(C20=1,INDEX(B4_MixPaid,1,2)/INDEX(IF_TokGW_Sol,1,C$17),0)+IF(C21=1,INDEX(B4_MixPaid,1,3)/INDEX(IF_TokGW_Astra,1,C$17),0))/C22,"SLO 不可達")</f>
        <v>3.8972702795304E-011</v>
      </c>
      <c r="D27" s="144" t="n">
        <f aca="false">IF(D26=1,(IF(D19=1,INDEX(B4_MixPaid,1,1)/INDEX(IF_TokGW_Luna,1,D$17),0)+IF(D20=1,INDEX(B4_MixPaid,1,2)/INDEX(IF_TokGW_Sol,1,D$17),0)+IF(D21=1,INDEX(B4_MixPaid,1,3)/INDEX(IF_TokGW_Astra,1,D$17),0))/D22,"SLO 不可達")</f>
        <v>8.92971318728651E-012</v>
      </c>
      <c r="E27" s="144" t="n">
        <f aca="false">IF(E26=1,(IF(E19=1,INDEX(B4_MixPaid,1,1)/INDEX(IF_TokGW_Luna,1,E$17),0)+IF(E20=1,INDEX(B4_MixPaid,1,2)/INDEX(IF_TokGW_Sol,1,E$17),0)+IF(E21=1,INDEX(B4_MixPaid,1,3)/INDEX(IF_TokGW_Astra,1,E$17),0))/E22,"SLO 不可達")</f>
        <v>6.49330906839857E-012</v>
      </c>
      <c r="F27" s="144" t="n">
        <f aca="false">IF(F26=1,(IF(F19=1,INDEX(B4_MixPaid,1,1)/INDEX(IF_TokGW_Luna,1,F$17),0)+IF(F20=1,INDEX(B4_MixPaid,1,2)/INDEX(IF_TokGW_Sol,1,F$17),0)+IF(F21=1,INDEX(B4_MixPaid,1,3)/INDEX(IF_TokGW_Astra,1,F$17),0))/F22,"SLO 不可達")</f>
        <v>3.94852836595575E-012</v>
      </c>
      <c r="G27" s="74" t="s">
        <v>2507</v>
      </c>
    </row>
    <row r="28" customFormat="false" ht="15" hidden="false" customHeight="false" outlineLevel="0" collapsed="false">
      <c r="A28" s="6" t="s">
        <v>2508</v>
      </c>
      <c r="B28" s="62" t="s">
        <v>2506</v>
      </c>
      <c r="C28" s="144" t="n">
        <f aca="false">IF(C26=1,(IF(C19=1,INDEX(B4_MixFree,1,1)/INDEX(IF_TokGW_Luna,1,C$17),0)+IF(C20=1,INDEX(B4_MixFree,1,2)/INDEX(IF_TokGW_Sol,1,C$17),0)+IF(C21=1,INDEX(B4_MixFree,1,3)/INDEX(IF_TokGW_Astra,1,C$17),0))/C23,"SLO 不可達")</f>
        <v>1.09924728148963E-011</v>
      </c>
      <c r="D28" s="144" t="n">
        <f aca="false">IF(D26=1,(IF(D19=1,INDEX(B4_MixFree,1,1)/INDEX(IF_TokGW_Luna,1,D$17),0)+IF(D20=1,INDEX(B4_MixFree,1,2)/INDEX(IF_TokGW_Sol,1,D$17),0)+IF(D21=1,INDEX(B4_MixFree,1,3)/INDEX(IF_TokGW_Astra,1,D$17),0))/D23,"SLO 不可達")</f>
        <v>2.49750534579666E-012</v>
      </c>
      <c r="E28" s="144" t="n">
        <f aca="false">IF(E26=1,(IF(E19=1,INDEX(B4_MixFree,1,1)/INDEX(IF_TokGW_Luna,1,E$17),0)+IF(E20=1,INDEX(B4_MixFree,1,2)/INDEX(IF_TokGW_Sol,1,E$17),0)+IF(E21=1,INDEX(B4_MixFree,1,3)/INDEX(IF_TokGW_Astra,1,E$17),0))/E23,"SLO 不可達")</f>
        <v>1.71546567660722E-012</v>
      </c>
      <c r="F28" s="144" t="n">
        <f aca="false">IF(F26=1,(IF(F19=1,INDEX(B4_MixFree,1,1)/INDEX(IF_TokGW_Luna,1,F$17),0)+IF(F20=1,INDEX(B4_MixFree,1,2)/INDEX(IF_TokGW_Sol,1,F$17),0)+IF(F21=1,INDEX(B4_MixFree,1,3)/INDEX(IF_TokGW_Astra,1,F$17),0))/F23,"SLO 不可達")</f>
        <v>1.17616853752015E-012</v>
      </c>
    </row>
    <row r="29" customFormat="false" ht="15" hidden="false" customHeight="false" outlineLevel="0" collapsed="false">
      <c r="A29" s="5" t="s">
        <v>2509</v>
      </c>
      <c r="B29" s="62" t="s">
        <v>1528</v>
      </c>
      <c r="C29" s="68" t="n">
        <f aca="false">IF(C26=1,IF_Util/C27,"SLO 不可達")</f>
        <v>15395391054.8974</v>
      </c>
      <c r="D29" s="68" t="n">
        <f aca="false">IF(D26=1,IF_Util/D27,"SLO 不可達")</f>
        <v>67191407765.9557</v>
      </c>
      <c r="E29" s="68" t="n">
        <f aca="false">IF(E26=1,IF_Util/E27,"SLO 不可達")</f>
        <v>92402809365.7302</v>
      </c>
      <c r="F29" s="68" t="n">
        <f aca="false">IF(F26=1,IF_Util/F27,"SLO 不可達")</f>
        <v>151955347509.519</v>
      </c>
      <c r="G29" s="74" t="s">
        <v>2510</v>
      </c>
    </row>
    <row r="30" customFormat="false" ht="15" hidden="false" customHeight="false" outlineLevel="0" collapsed="false">
      <c r="A30" s="5" t="s">
        <v>2511</v>
      </c>
      <c r="B30" s="62" t="s">
        <v>1528</v>
      </c>
      <c r="C30" s="68" t="n">
        <f aca="false">IF(C26=1,IF_Util/C28,"SLO 不可達")</f>
        <v>54582804988.7847</v>
      </c>
      <c r="D30" s="68" t="n">
        <f aca="false">IF(D26=1,IF_Util/D28,"SLO 不可達")</f>
        <v>240239726016.927</v>
      </c>
      <c r="E30" s="68" t="n">
        <f aca="false">IF(E26=1,IF_Util/E28,"SLO 不可達")</f>
        <v>349759256732.35</v>
      </c>
      <c r="F30" s="68" t="n">
        <f aca="false">IF(F26=1,IF_Util/F28,"SLO 不可達")</f>
        <v>510130972611.328</v>
      </c>
      <c r="G30" s="74" t="s">
        <v>2512</v>
      </c>
    </row>
    <row r="31" customFormat="false" ht="15" hidden="false" customHeight="false" outlineLevel="0" collapsed="false">
      <c r="A31" s="5" t="s">
        <v>2513</v>
      </c>
      <c r="B31" s="62" t="s">
        <v>113</v>
      </c>
      <c r="C31" s="103" t="n">
        <f aca="false">(IF(AND(C$18&gt;0,C$26=1),C$18,0)+IF(AND(D$18&gt;0,D$26=1),D$18,0)+IF(AND(E$18&gt;0,E$26=1),E$18,0)+IF(AND(F$18&gt;0,F$26=1),F$18,0))</f>
        <v>1</v>
      </c>
      <c r="G31" s="74" t="s">
        <v>2514</v>
      </c>
    </row>
    <row r="32" customFormat="false" ht="15" hidden="false" customHeight="false" outlineLevel="0" collapsed="false">
      <c r="A32" s="5" t="s">
        <v>2515</v>
      </c>
      <c r="B32" s="62" t="s">
        <v>113</v>
      </c>
      <c r="C32" s="103" t="n">
        <f aca="false">SUM(C18:F18)-C31</f>
        <v>0</v>
      </c>
    </row>
    <row r="33" customFormat="false" ht="29.85" hidden="false" customHeight="false" outlineLevel="0" collapsed="false">
      <c r="A33" s="5" t="s">
        <v>2516</v>
      </c>
      <c r="B33" s="62" t="s">
        <v>1528</v>
      </c>
      <c r="C33" s="68" t="n">
        <f aca="false">IF(OR(AND(C$18&gt;0,C$26=0),AND(D$18&gt;0,D$26=0),AND(E$18&gt;0,E$26=0),AND(F$18&gt;0,F$26=0)),"整代不可達",IF(C31&gt;0,(IF(AND(C$18&gt;0,C$26=1),C$18*C$29,0)+IF(AND(D$18&gt;0,D$26=1),D$18*D$29,0)+IF(AND(E$18&gt;0,E$26=1),E$18*E$29,0)+IF(AND(F$18&gt;0,F$26=1),F$18*F$29,0))/C31,"SLO 不可達"))</f>
        <v>36113797739.3207</v>
      </c>
    </row>
    <row r="34" customFormat="false" ht="15" hidden="false" customHeight="false" outlineLevel="0" collapsed="false">
      <c r="A34" s="5" t="s">
        <v>2517</v>
      </c>
      <c r="B34" s="62" t="s">
        <v>1528</v>
      </c>
      <c r="C34" s="68" t="n">
        <f aca="false">IF(OR(AND(C$18&gt;0,C$26=0),AND(D$18&gt;0,D$26=0),AND(E$18&gt;0,E$26=0),AND(F$18&gt;0,F$26=0)),"整代不可達",IF(C31&gt;0,(IF(AND(C$18&gt;0,C$26=1),C$18*C$30,0)+IF(AND(D$18&gt;0,D$26=1),D$18*D$30,0)+IF(AND(E$18&gt;0,E$26=1),E$18*E$30,0)+IF(AND(F$18&gt;0,F$26=1),F$18*F$30,0))/C31,"SLO 不可達"))</f>
        <v>128845573400.042</v>
      </c>
    </row>
    <row r="35" customFormat="false" ht="15" hidden="false" customHeight="false" outlineLevel="0" collapsed="false">
      <c r="A35" s="5" t="s">
        <v>2518</v>
      </c>
      <c r="B35" s="62" t="s">
        <v>103</v>
      </c>
      <c r="C35" s="73" t="n">
        <f aca="false">IF(AL_BlendPaid="整代不可達","整代不可達",IF(AND(ISNUMBER(AL_BlendPaid),AL_DPaid&gt;=0),IF(AL_BlendPaid&gt;0,AL_DPaid/AL_BlendPaid,"SLO 不可達"),"SLO 不可達"))</f>
        <v>0.105920734994734</v>
      </c>
    </row>
    <row r="36" customFormat="false" ht="15" hidden="false" customHeight="false" outlineLevel="0" collapsed="false">
      <c r="A36" s="5" t="s">
        <v>2519</v>
      </c>
      <c r="B36" s="62" t="s">
        <v>103</v>
      </c>
      <c r="C36" s="73" t="n">
        <f aca="false">IF(AL_BlendFree="整代不可達","整代不可達",IF(AND(ISNUMBER(AL_BlendFree),AL_DFree&gt;=0),IF(AL_BlendFree&gt;0,AL_DFree/AL_BlendFree,"SLO 不可達"),"SLO 不可達"))</f>
        <v>0.0169970914965038</v>
      </c>
    </row>
    <row r="37" customFormat="false" ht="15" hidden="false" customHeight="false" outlineLevel="0" collapsed="false">
      <c r="A37" s="5" t="s">
        <v>2520</v>
      </c>
      <c r="B37" s="62" t="s">
        <v>103</v>
      </c>
      <c r="C37" s="152" t="n">
        <f aca="false">IF(OR(AL_ServeGWPaid="整代不可達",AL_ServeGWFree="整代不可達"),"整代不可達",IF(AND(ISNUMBER(AL_ServeGWPaid),ISNUMBER(AL_ServeGWFree)),AL_ServeGWPaid+AL_ServeGWFree,"SLO 不可達"))</f>
        <v>0.122917826491237</v>
      </c>
    </row>
    <row r="38" customFormat="false" ht="29.85" hidden="false" customHeight="false" outlineLevel="0" collapsed="false">
      <c r="A38" s="5" t="s">
        <v>2521</v>
      </c>
      <c r="B38" s="62" t="s">
        <v>103</v>
      </c>
      <c r="C38" s="73" t="n">
        <f aca="false">IF(AL_ServeGW="整代不可達","整代不可達",IF(AND(ISNUMBER(AL_ServeGW),AL_GenShareOK&gt;0),AL_ServeGW*IF(C26=1,C18/AL_GenShareOK,0),"SLO 不可達"))</f>
        <v>0.0737506958947424</v>
      </c>
      <c r="D38" s="73" t="n">
        <f aca="false">IF(AL_ServeGW="整代不可達","整代不可達",IF(AND(ISNUMBER(AL_ServeGW),AL_GenShareOK&gt;0),AL_ServeGW*IF(D26=1,D18/AL_GenShareOK,0),"SLO 不可達"))</f>
        <v>0.0491671305964949</v>
      </c>
      <c r="E38" s="73" t="n">
        <f aca="false">IF(AL_ServeGW="整代不可達","整代不可達",IF(AND(ISNUMBER(AL_ServeGW),AL_GenShareOK&gt;0),AL_ServeGW*IF(E26=1,E18/AL_GenShareOK,0),"SLO 不可達"))</f>
        <v>0</v>
      </c>
      <c r="F38" s="73" t="n">
        <f aca="false">IF(AL_ServeGW="整代不可達","整代不可達",IF(AND(ISNUMBER(AL_ServeGW),AL_GenShareOK&gt;0),AL_ServeGW*IF(F26=1,F18/AL_GenShareOK,0),"SLO 不可達"))</f>
        <v>0</v>
      </c>
    </row>
    <row r="39" customFormat="false" ht="15" hidden="false" customHeight="false" outlineLevel="0" collapsed="false">
      <c r="A39" s="5" t="s">
        <v>2522</v>
      </c>
      <c r="B39" s="62" t="s">
        <v>1748</v>
      </c>
      <c r="C39" s="107" t="n">
        <f aca="false">INDEX(IF_HoldEcon,1,C17)</f>
        <v>9.70308728611469</v>
      </c>
      <c r="D39" s="107" t="n">
        <f aca="false">INDEX(IF_HoldEcon,1,D17)</f>
        <v>8.82816556596761</v>
      </c>
      <c r="E39" s="107" t="n">
        <f aca="false">INDEX(IF_HoldEcon,1,E17)</f>
        <v>10.8864110021101</v>
      </c>
      <c r="F39" s="107" t="n">
        <f aca="false">INDEX(IF_HoldEcon,1,F17)</f>
        <v>12.2254710045841</v>
      </c>
    </row>
    <row r="41" customFormat="false" ht="15" hidden="false" customHeight="false" outlineLevel="0" collapsed="false">
      <c r="A41" s="76" t="s">
        <v>2523</v>
      </c>
      <c r="B41" s="70"/>
      <c r="C41" s="70"/>
      <c r="D41" s="70"/>
      <c r="E41" s="70"/>
      <c r="F41" s="70"/>
      <c r="G41" s="70"/>
    </row>
    <row r="42" customFormat="false" ht="15" hidden="false" customHeight="false" outlineLevel="0" collapsed="false">
      <c r="A42" s="5" t="s">
        <v>2524</v>
      </c>
      <c r="B42" s="61" t="s">
        <v>1090</v>
      </c>
      <c r="C42" s="105" t="n">
        <f aca="false">IF_TrainGenDefault</f>
        <v>4</v>
      </c>
    </row>
    <row r="43" customFormat="false" ht="15" hidden="false" customHeight="false" outlineLevel="0" collapsed="false">
      <c r="A43" s="6" t="s">
        <v>2525</v>
      </c>
      <c r="B43" s="61" t="s">
        <v>1090</v>
      </c>
      <c r="C43" s="105" t="n">
        <f aca="false">3*(AL_TrainGen-1)+2</f>
        <v>11</v>
      </c>
    </row>
    <row r="44" customFormat="false" ht="15" hidden="false" customHeight="false" outlineLevel="0" collapsed="false">
      <c r="A44" s="60" t="s">
        <v>854</v>
      </c>
      <c r="C44" s="10" t="s">
        <v>278</v>
      </c>
      <c r="D44" s="10" t="s">
        <v>279</v>
      </c>
      <c r="E44" s="10" t="s">
        <v>280</v>
      </c>
      <c r="F44" s="60" t="s">
        <v>2526</v>
      </c>
    </row>
    <row r="45" customFormat="false" ht="15" hidden="false" customHeight="false" outlineLevel="0" collapsed="false">
      <c r="A45" s="5" t="s">
        <v>856</v>
      </c>
      <c r="B45" s="61" t="s">
        <v>1090</v>
      </c>
      <c r="C45" s="105" t="n">
        <v>1</v>
      </c>
      <c r="D45" s="105" t="n">
        <v>2</v>
      </c>
      <c r="E45" s="105" t="n">
        <v>3</v>
      </c>
    </row>
    <row r="46" customFormat="false" ht="29.85" hidden="false" customHeight="false" outlineLevel="0" collapsed="false">
      <c r="A46" s="5" t="s">
        <v>2527</v>
      </c>
      <c r="B46" s="62" t="s">
        <v>2528</v>
      </c>
      <c r="C46" s="73" t="n">
        <f aca="false">C138</f>
        <v>0.00584484934985856</v>
      </c>
      <c r="D46" s="73" t="n">
        <f aca="false">D138</f>
        <v>0.0168959241729325</v>
      </c>
      <c r="E46" s="73" t="n">
        <f aca="false">E138</f>
        <v>0.104951513378262</v>
      </c>
      <c r="F46" s="73" t="n">
        <f aca="false">IF(COUNT(C46:E46)=3,SUM(C46:E46),"SLO 不可達")</f>
        <v>0.127692286901053</v>
      </c>
      <c r="G46" s="74" t="s">
        <v>2529</v>
      </c>
    </row>
    <row r="47" customFormat="false" ht="15" hidden="false" customHeight="false" outlineLevel="0" collapsed="false">
      <c r="A47" s="5" t="s">
        <v>2530</v>
      </c>
      <c r="B47" s="62" t="s">
        <v>1180</v>
      </c>
      <c r="C47" s="63" t="n">
        <f aca="false">INDEX(Training!$C$104:$Q$104,3*(AL_TrainGen-1)+C45)</f>
        <v>117217.93801916</v>
      </c>
      <c r="D47" s="63" t="n">
        <f aca="false">INDEX(Training!$C$104:$Q$104,3*(AL_TrainGen-1)+D45)</f>
        <v>411736.625794877</v>
      </c>
      <c r="E47" s="63" t="n">
        <f aca="false">INDEX(Training!$C$104:$Q$104,3*(AL_TrainGen-1)+E45)</f>
        <v>6186311.43998631</v>
      </c>
      <c r="F47" s="68" t="n">
        <f aca="false">IF(COUNT(C47:E47)=3,SUM(C47:E47),"SLO 不可達")</f>
        <v>6715266.00380034</v>
      </c>
      <c r="G47" s="59" t="s">
        <v>2531</v>
      </c>
    </row>
    <row r="48" customFormat="false" ht="15" hidden="false" customHeight="false" outlineLevel="0" collapsed="false">
      <c r="A48" s="5" t="s">
        <v>2532</v>
      </c>
      <c r="B48" s="61" t="s">
        <v>867</v>
      </c>
      <c r="C48" s="63" t="n">
        <f aca="false">INDEX(Training!$C$18:$Q$18,3*(AL_TrainGen-1)+C45)</f>
        <v>291744</v>
      </c>
      <c r="D48" s="63" t="n">
        <f aca="false">INDEX(Training!$C$18:$Q$18,3*(AL_TrainGen-1)+D45)</f>
        <v>291744</v>
      </c>
      <c r="E48" s="63" t="n">
        <f aca="false">INDEX(Training!$C$18:$Q$18,3*(AL_TrainGen-1)+E45)</f>
        <v>291744</v>
      </c>
    </row>
    <row r="49" customFormat="false" ht="44" hidden="false" customHeight="false" outlineLevel="0" collapsed="false">
      <c r="A49" s="5" t="s">
        <v>2533</v>
      </c>
      <c r="B49" s="62" t="s">
        <v>2528</v>
      </c>
      <c r="C49" s="73" t="n">
        <f aca="false">C139</f>
        <v>0.000944274436989249</v>
      </c>
      <c r="D49" s="73" t="n">
        <f aca="false">D139</f>
        <v>0.00340009646059125</v>
      </c>
      <c r="E49" s="73" t="n">
        <f aca="false">E139</f>
        <v>0.0519089492939065</v>
      </c>
      <c r="F49" s="73" t="n">
        <f aca="false">IF(COUNT(C49:E49)=3,SUM(C49:E49),"SLO 不可達")</f>
        <v>0.056253320191487</v>
      </c>
      <c r="G49" s="74" t="s">
        <v>2534</v>
      </c>
    </row>
    <row r="50" customFormat="false" ht="29.85" hidden="false" customHeight="false" outlineLevel="0" collapsed="false">
      <c r="A50" s="5" t="s">
        <v>2535</v>
      </c>
      <c r="B50" s="62" t="s">
        <v>2528</v>
      </c>
      <c r="C50" s="152" t="n">
        <f aca="false">IF(AND(ISNUMBER(AL_FamGWyr),ISNUMBER(AL_RefGWyr)),AL_k*(AL_Nmajor*AL_FamGWyr+AL_Nrefresh*AL_RefGWyr),"SLO 不可達")</f>
        <v>0.240198927284027</v>
      </c>
    </row>
    <row r="51" customFormat="false" ht="15" hidden="false" customHeight="false" outlineLevel="0" collapsed="false">
      <c r="A51" s="5" t="s">
        <v>2536</v>
      </c>
      <c r="B51" s="62" t="s">
        <v>2528</v>
      </c>
      <c r="C51" s="73" t="n">
        <f aca="false">IF(ISNUMBER(AL_RDGW),AL_RDGW*(1+AL_g),"SLO 不可達")</f>
        <v>0.240198927284027</v>
      </c>
    </row>
    <row r="52" customFormat="false" ht="29.85" hidden="false" customHeight="false" outlineLevel="0" collapsed="false">
      <c r="A52" s="5" t="s">
        <v>2537</v>
      </c>
      <c r="B52" s="62" t="s">
        <v>1748</v>
      </c>
      <c r="C52" s="107" t="n">
        <f aca="false">C140</f>
        <v>9.39428350677871</v>
      </c>
    </row>
    <row r="53" customFormat="false" ht="15" hidden="false" customHeight="false" outlineLevel="0" collapsed="false">
      <c r="A53" s="5" t="s">
        <v>2538</v>
      </c>
      <c r="B53" s="62" t="s">
        <v>2048</v>
      </c>
      <c r="C53" s="107" t="n">
        <f aca="false">IF(ISNUMBER(AL_RDGW),AL_RDGW*AL_HoldTrain,"SLO 不可達")</f>
        <v>2.25649682093027</v>
      </c>
    </row>
    <row r="55" customFormat="false" ht="15" hidden="false" customHeight="false" outlineLevel="0" collapsed="false">
      <c r="A55" s="76" t="s">
        <v>2539</v>
      </c>
      <c r="B55" s="70"/>
      <c r="C55" s="70"/>
      <c r="D55" s="70"/>
      <c r="E55" s="70"/>
      <c r="F55" s="70"/>
      <c r="G55" s="70"/>
    </row>
    <row r="56" customFormat="false" ht="44" hidden="false" customHeight="false" outlineLevel="0" collapsed="false">
      <c r="A56" s="6" t="s">
        <v>2540</v>
      </c>
      <c r="B56" s="62" t="s">
        <v>113</v>
      </c>
      <c r="C56" s="101" t="n">
        <f aca="false">IF(AL_ServeGW="整代不可達","整代不可達",IF(AND(ISNUMBER(AL_ServeGWSpend),ISNUMBER(AL_RDGW)),AL_RDGW/(AL_RDGW+AL_ServeGWSpend),"SLO 不可達"))</f>
        <v>0.211016394291892</v>
      </c>
    </row>
    <row r="57" customFormat="false" ht="58.2" hidden="false" customHeight="false" outlineLevel="0" collapsed="false">
      <c r="A57" s="6" t="s">
        <v>2541</v>
      </c>
      <c r="B57" s="62" t="s">
        <v>113</v>
      </c>
      <c r="C57" s="103" t="n">
        <f aca="false">IF(AL_ServeGW="整代不可達","整代不可達",IF(AND(ISNUMBER(AL_ServeGWSpend),ISNUMBER(AL_RDGW),ISNUMBER(AL_FreeSpendShare)),(AL_RDGW+AL_ServeGWSpend*AL_FreeSpendShare)/(AL_RDGW+AL_ServeGWSpend),"SLO 不可達"))</f>
        <v>0.577330211227799</v>
      </c>
    </row>
    <row r="58" customFormat="false" ht="44" hidden="false" customHeight="false" outlineLevel="0" collapsed="false">
      <c r="A58" s="6" t="s">
        <v>2542</v>
      </c>
      <c r="B58" s="62" t="s">
        <v>113</v>
      </c>
      <c r="C58" s="101" t="n">
        <f aca="false">IF(AL_ServeGW="整代不可達","整代不可達",IF(AND(ISNUMBER(AL_ServeGWSpend),ISNUMBER(AL_RDGW)),AL_RDGW*AL_HoldTrain/(AL_RDGW*AL_HoldTrain+AL_ServeGWSpend*SUMPRODUCT(AL_ShareGen,AL_HoldGen)),"SLO 不可達"))</f>
        <v>0.211748462824886</v>
      </c>
      <c r="G58" s="74" t="s">
        <v>2543</v>
      </c>
    </row>
    <row r="59" customFormat="false" ht="15" hidden="false" customHeight="false" outlineLevel="0" collapsed="false">
      <c r="A59" s="6" t="s">
        <v>2544</v>
      </c>
      <c r="B59" s="62" t="s">
        <v>113</v>
      </c>
      <c r="C59" s="103" t="n">
        <f aca="false">IF(AL_ServeGW="整代不可達","整代不可達",IF(AND(ISNUMBER(AL_ServeGWSpend),ISNUMBER(AL_RDGWg)),AL_RDGWg/(AL_RDGWg+AL_ServeGWSpend),"SLO 不可達"))</f>
        <v>0.211016394291892</v>
      </c>
    </row>
    <row r="60" customFormat="false" ht="15" hidden="false" customHeight="false" outlineLevel="0" collapsed="false">
      <c r="A60" s="6" t="s">
        <v>2545</v>
      </c>
      <c r="B60" s="62" t="s">
        <v>113</v>
      </c>
      <c r="C60" s="103" t="n">
        <f aca="false">IF(AL_ServeGW="整代不可達","整代不可達",IF(AND(ISNUMBER(AL_ServeGWSpend),ISNUMBER(AL_RDGWg)),AL_RDGWg*AL_HoldTrain/(AL_RDGWg*AL_HoldTrain+AL_ServeGWSpend*SUMPRODUCT(AL_ShareGen,AL_HoldGen)),"SLO 不可達"))</f>
        <v>0.211748462824886</v>
      </c>
    </row>
    <row r="61" customFormat="false" ht="15" hidden="false" customHeight="false" outlineLevel="0" collapsed="false">
      <c r="A61" s="6" t="s">
        <v>2546</v>
      </c>
      <c r="B61" s="61"/>
      <c r="C61" s="61" t="s">
        <v>2547</v>
      </c>
      <c r="G61" s="59" t="s">
        <v>2548</v>
      </c>
    </row>
    <row r="63" customFormat="false" ht="15" hidden="false" customHeight="false" outlineLevel="0" collapsed="false">
      <c r="A63" s="76" t="s">
        <v>2549</v>
      </c>
      <c r="B63" s="70"/>
      <c r="C63" s="70"/>
      <c r="D63" s="70"/>
      <c r="E63" s="70"/>
      <c r="F63" s="70"/>
      <c r="G63" s="70"/>
    </row>
    <row r="64" customFormat="false" ht="15" hidden="false" customHeight="false" outlineLevel="0" collapsed="false">
      <c r="A64" s="6" t="s">
        <v>2550</v>
      </c>
      <c r="B64" s="62" t="s">
        <v>113</v>
      </c>
      <c r="C64" s="103" t="n">
        <f aca="false">SRC_DEM_006/(SRC_DEM_004+SRC_DEM_006)</f>
        <v>0.588235294117647</v>
      </c>
      <c r="G64" s="59" t="s">
        <v>2551</v>
      </c>
    </row>
    <row r="65" customFormat="false" ht="29.85" hidden="false" customHeight="false" outlineLevel="0" collapsed="false">
      <c r="A65" s="5" t="s">
        <v>2552</v>
      </c>
      <c r="B65" s="62" t="s">
        <v>103</v>
      </c>
      <c r="C65" s="73" t="n">
        <f aca="false">IF(AL_ServeGW="整代不可達","整代不可達",IF(ISNUMBER(AL_ServeGWSpend),AL_SpendRatio/(1-AL_SpendRatio)*AL_ServeGWSpend,"SLO 不可達"))</f>
        <v>1.28299453002706</v>
      </c>
    </row>
    <row r="66" customFormat="false" ht="44" hidden="false" customHeight="false" outlineLevel="0" collapsed="false">
      <c r="A66" s="5" t="s">
        <v>2553</v>
      </c>
      <c r="B66" s="61" t="s">
        <v>345</v>
      </c>
      <c r="C66" s="104" t="n">
        <f aca="false">IF(AL_ImpliedRDGW="整代不可達","整代不可達",IF(AND(ISNUMBER(AL_ImpliedRDGW),ISNUMBER(AL_FamGWyr)),AL_ImpliedRDGW/AL_FamGWyr,"SLO 不可達"))</f>
        <v>10.0475491602812</v>
      </c>
    </row>
    <row r="67" customFormat="false" ht="44" hidden="false" customHeight="false" outlineLevel="0" collapsed="false">
      <c r="A67" s="6" t="s">
        <v>2554</v>
      </c>
      <c r="B67" s="62" t="s">
        <v>118</v>
      </c>
      <c r="C67" s="77" t="n">
        <f aca="false">IF(AL_ImpliedNk="整代不可達","整代不可達",IF(AND(ISNUMBER(AL_ImpliedNk),ISNUMBER(AL_RefGWyr),ISNUMBER(AL_FamGWyr)),AL_ImpliedNk/(AL_Nmajor+AL_Nrefresh*AL_RefGWyr/AL_FamGWyr),"SLO 不可達"))</f>
        <v>5.34138326317319</v>
      </c>
      <c r="G67" s="74" t="s">
        <v>2555</v>
      </c>
    </row>
    <row r="69" customFormat="false" ht="15" hidden="false" customHeight="false" outlineLevel="0" collapsed="false">
      <c r="A69" s="76" t="s">
        <v>2556</v>
      </c>
      <c r="B69" s="70"/>
      <c r="C69" s="70"/>
      <c r="D69" s="70"/>
      <c r="E69" s="70"/>
      <c r="F69" s="70"/>
      <c r="G69" s="70"/>
    </row>
    <row r="70" customFormat="false" ht="29.85" hidden="false" customHeight="false" outlineLevel="0" collapsed="false">
      <c r="A70" s="5" t="s">
        <v>2557</v>
      </c>
      <c r="B70" s="62" t="s">
        <v>103</v>
      </c>
      <c r="C70" s="73" t="n">
        <f aca="false">SRC_DEM_004/SUMPRODUCT(AL_ShareGen,AL_HoldGen)</f>
        <v>0.89809617101894</v>
      </c>
      <c r="G70" s="74" t="s">
        <v>2558</v>
      </c>
    </row>
    <row r="71" customFormat="false" ht="29.85" hidden="false" customHeight="false" outlineLevel="0" collapsed="false">
      <c r="A71" s="5" t="s">
        <v>2559</v>
      </c>
      <c r="B71" s="62" t="s">
        <v>103</v>
      </c>
      <c r="C71" s="73" t="n">
        <f aca="false">SRC_DEM_018/SUMPRODUCT(AL_ShareGen,AL_HoldGen)</f>
        <v>1.34714425652841</v>
      </c>
      <c r="G71" s="74" t="s">
        <v>2560</v>
      </c>
      <c r="Y71" s="74" t="s">
        <v>2561</v>
      </c>
    </row>
    <row r="72" customFormat="false" ht="15" hidden="false" customHeight="false" outlineLevel="0" collapsed="false">
      <c r="A72" s="5" t="s">
        <v>2562</v>
      </c>
      <c r="B72" s="62" t="s">
        <v>113</v>
      </c>
      <c r="C72" s="103" t="n">
        <f aca="false">IF(AL_ServeGW="整代不可達","整代不可達",IF(ISNUMBER(AL_ServeGW),AL_ServeGWFree/AL_ServeGW,"SLO 不可達"))</f>
        <v>0.138280117552481</v>
      </c>
    </row>
    <row r="73" customFormat="false" ht="15" hidden="false" customHeight="false" outlineLevel="0" collapsed="false">
      <c r="A73" s="5" t="s">
        <v>2563</v>
      </c>
      <c r="B73" s="62" t="s">
        <v>113</v>
      </c>
      <c r="C73" s="103" t="n">
        <f aca="false">SRC_DEM_005/SRC_DEM_004</f>
        <v>0.464285714285714</v>
      </c>
    </row>
    <row r="74" customFormat="false" ht="15" hidden="false" customHeight="false" outlineLevel="0" collapsed="false">
      <c r="A74" s="6" t="s">
        <v>2564</v>
      </c>
      <c r="B74" s="62" t="s">
        <v>1469</v>
      </c>
      <c r="C74" s="75"/>
    </row>
    <row r="75" customFormat="false" ht="15" hidden="false" customHeight="false" outlineLevel="0" collapsed="false">
      <c r="A75" s="6" t="s">
        <v>2565</v>
      </c>
      <c r="B75" s="62" t="s">
        <v>1469</v>
      </c>
      <c r="C75" s="75"/>
    </row>
    <row r="76" customFormat="false" ht="15" hidden="false" customHeight="false" outlineLevel="0" collapsed="false">
      <c r="A76" s="5" t="s">
        <v>2566</v>
      </c>
      <c r="B76" s="61"/>
      <c r="C76" s="61"/>
    </row>
    <row r="78" customFormat="false" ht="15" hidden="false" customHeight="false" outlineLevel="0" collapsed="false">
      <c r="A78" s="76" t="s">
        <v>2567</v>
      </c>
      <c r="B78" s="70"/>
      <c r="C78" s="70"/>
      <c r="D78" s="70"/>
      <c r="E78" s="70"/>
      <c r="F78" s="70"/>
      <c r="G78" s="70"/>
    </row>
    <row r="79" customFormat="false" ht="15" hidden="false" customHeight="false" outlineLevel="0" collapsed="false">
      <c r="A79" s="74" t="s">
        <v>2568</v>
      </c>
    </row>
    <row r="80" customFormat="false" ht="29.85" hidden="false" customHeight="false" outlineLevel="0" collapsed="false">
      <c r="A80" s="60" t="s">
        <v>959</v>
      </c>
      <c r="B80" s="60" t="s">
        <v>2569</v>
      </c>
      <c r="C80" s="84" t="s">
        <v>2570</v>
      </c>
      <c r="D80" s="84" t="s">
        <v>2571</v>
      </c>
      <c r="E80" s="84" t="s">
        <v>2572</v>
      </c>
      <c r="F80" s="84" t="s">
        <v>2573</v>
      </c>
      <c r="G80" s="83" t="s">
        <v>2574</v>
      </c>
      <c r="H80" s="83" t="s">
        <v>2575</v>
      </c>
      <c r="I80" s="84" t="s">
        <v>2576</v>
      </c>
      <c r="J80" s="84" t="s">
        <v>2577</v>
      </c>
      <c r="K80" s="84" t="s">
        <v>2578</v>
      </c>
      <c r="L80" s="84" t="s">
        <v>2579</v>
      </c>
      <c r="M80" s="83" t="s">
        <v>2580</v>
      </c>
      <c r="N80" s="83" t="s">
        <v>2581</v>
      </c>
      <c r="O80" s="83" t="s">
        <v>2582</v>
      </c>
      <c r="P80" s="83" t="s">
        <v>2583</v>
      </c>
      <c r="Q80" s="83" t="s">
        <v>2584</v>
      </c>
      <c r="R80" s="83" t="s">
        <v>2585</v>
      </c>
      <c r="S80" s="84" t="s">
        <v>2586</v>
      </c>
      <c r="T80" s="84" t="s">
        <v>2587</v>
      </c>
      <c r="U80" s="83" t="s">
        <v>2588</v>
      </c>
      <c r="V80" s="83" t="s">
        <v>2589</v>
      </c>
      <c r="W80" s="83" t="s">
        <v>2590</v>
      </c>
      <c r="X80" s="83" t="s">
        <v>2591</v>
      </c>
    </row>
    <row r="81" customFormat="false" ht="15" hidden="false" customHeight="false" outlineLevel="0" collapsed="false">
      <c r="A81" s="61" t="s">
        <v>97</v>
      </c>
      <c r="B81" s="62" t="s">
        <v>751</v>
      </c>
      <c r="C81" s="86" t="n">
        <f aca="false">AL_Nmajor</f>
        <v>1</v>
      </c>
      <c r="D81" s="86" t="n">
        <f aca="false">AL_Nrefresh</f>
        <v>2</v>
      </c>
      <c r="E81" s="86" t="n">
        <f aca="false">AL_k</f>
        <v>1</v>
      </c>
      <c r="F81" s="77" t="n">
        <f aca="false">AL_APIratio</f>
        <v>0.75</v>
      </c>
      <c r="G81" s="68" t="n">
        <f aca="false">AL_TokPerPrompt</f>
        <v>4000</v>
      </c>
      <c r="H81" s="85" t="n">
        <f aca="false">AL_FreeShare</f>
        <v>0.6</v>
      </c>
      <c r="I81" s="85" t="n">
        <f aca="false">AL_MixHopper</f>
        <v>0.6</v>
      </c>
      <c r="J81" s="85" t="n">
        <f aca="false">AL_MixGB200</f>
        <v>0.4</v>
      </c>
      <c r="K81" s="85" t="n">
        <f aca="false">AL_MixGB300</f>
        <v>0</v>
      </c>
      <c r="L81" s="85" t="n">
        <f aca="false">AL_MixVR200</f>
        <v>0</v>
      </c>
      <c r="M81" s="68" t="n">
        <f aca="false">SRC_DEM_010*1000000000*525600*F81/1000000+SRC_DEM_012*1000000000*G81*365/1000000*(1-H81)</f>
        <v>3825200000</v>
      </c>
      <c r="N81" s="68" t="n">
        <f aca="false">SRC_DEM_012*1000000000*G81*365/1000000*H81</f>
        <v>2190000000</v>
      </c>
      <c r="O81" s="68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$29,0)+IF(AND(J81&gt;0,$D$26=1),J81*$D$29,0)+IF(AND(K81&gt;0,$E$26=1),K81*$E$29,0)+IF(AND(L81&gt;0,$F$26=1),L81*$F$29,0))/(IF(AND(I81&gt;0,$C$26=1),I81,0)+IF(AND(J81&gt;0,$D$26=1),J81,0)+IF(AND(K81&gt;0,$E$26=1),K81,0)+IF(AND(L81&gt;0,$F$26=1),L81,0)),"SLO 不可達"))</f>
        <v>36113797739.3207</v>
      </c>
      <c r="P81" s="68" t="n">
        <f aca="false">IF(OR(AND(I81&gt;0,$C$26=0),AND(J81&gt;0,$D$26=0),AND(K81&gt;0,$E$26=0),AND(L81&gt;0,$F$26=0)),"整代不可達",IF((IF(AND(I81&gt;0,$C$26=1),I81,0)+IF(AND(J81&gt;0,$D$26=1),J81,0)+IF(AND(K81&gt;0,$E$26=1),K81,0)+IF(AND(L81&gt;0,$F$26=1),L81,0))&gt;0,(IF(AND(I81&gt;0,$C$26=1),I81*$C$30,0)+IF(AND(J81&gt;0,$D$26=1),J81*$D$30,0)+IF(AND(K81&gt;0,$E$26=1),K81*$E$30,0)+IF(AND(L81&gt;0,$F$26=1),L81*$F$30,0))/(IF(AND(I81&gt;0,$C$26=1),I81,0)+IF(AND(J81&gt;0,$D$26=1),J81,0)+IF(AND(K81&gt;0,$E$26=1),K81,0)+IF(AND(L81&gt;0,$F$26=1),L81,0)),"SLO 不可達"))</f>
        <v>128845573400.042</v>
      </c>
      <c r="Q81" s="73" t="n">
        <f aca="false">IF(O81="整代不可達","整代不可達",IF(AND(ISNUMBER(O81),ISNUMBER(P81)),IF(AND(O81&gt;0,P81&gt;0),M81/O81+N81/P81,"SLO 不可達"),"SLO 不可達"))</f>
        <v>0.122917826491237</v>
      </c>
      <c r="R81" s="73" t="n">
        <f aca="false">IF(AND(ISNUMBER(AL_FamGWyr),ISNUMBER(AL_RefGWyr)),E81*(C81*AL_FamGWyr+D81*AL_RefGWyr),"SLO 不可達")</f>
        <v>0.240198927284027</v>
      </c>
      <c r="S81" s="103" t="n">
        <f aca="false">IF(W81="整代不可達","整代不可達",IF(AND(ISNUMBER(W81),ISNUMBER(R81)),R81/(R81+W81),"SLO 不可達"))</f>
        <v>0.211016394291892</v>
      </c>
      <c r="T81" s="103" t="n">
        <f aca="false">IF(W81="整代不可達","整代不可達",IF(AND(ISNUMBER(W81),ISNUMBER(R81)),R81*AL_HoldTrain/(R81*AL_HoldTrain+SRC_DEM_004),"SLO 不可達"))</f>
        <v>0.211748462824886</v>
      </c>
      <c r="U81" s="107" t="n">
        <f aca="false">IF(ISNUMBER(R81),R81*AL_HoldTrain,"SLO 不可達")</f>
        <v>2.25649682093027</v>
      </c>
      <c r="V81" s="72" t="n">
        <f aca="false">(M81+N81)/365/1000000</f>
        <v>16.48</v>
      </c>
      <c r="W81" s="73" t="n">
        <f aca="false">IF(O81="整代不可達","整代不可達",IF((I81*$C$39+J81*$D$39+K81*$E$39+L81*$F$39)&gt;0,SRC_DEM_004/(I81*$C$39+J81*$D$39+K81*$E$39+L81*$F$39),"SLO 不可達"))</f>
        <v>0.89809617101894</v>
      </c>
      <c r="X81" s="105" t="n">
        <f aca="false">IF(AND(ISNUMBER(S97),ISNUMBER(T97),ISNUMBER(AL_Q1),ISNUMBER(AL_Q2)),IF(AND(ABS(S97-AL_Q1)&lt;=0.000000000001,ABS(T97-AL_Q2)&lt;=0.000000000001),0,1),IF(AND(NOT(ISNUMBER(S97)),NOT(ISNUMBER(AL_Q1))),0,1))</f>
        <v>0</v>
      </c>
      <c r="Y81" s="74" t="s">
        <v>2592</v>
      </c>
    </row>
    <row r="82" customFormat="false" ht="15" hidden="false" customHeight="false" outlineLevel="0" collapsed="false">
      <c r="A82" s="62" t="s">
        <v>2593</v>
      </c>
      <c r="B82" s="62" t="s">
        <v>2570</v>
      </c>
      <c r="C82" s="88" t="n">
        <f aca="false">AL_Nmajor_Lo</f>
        <v>1</v>
      </c>
      <c r="D82" s="86" t="n">
        <f aca="false">AL_Nrefresh</f>
        <v>2</v>
      </c>
      <c r="E82" s="86" t="n">
        <f aca="false">AL_k</f>
        <v>1</v>
      </c>
      <c r="F82" s="77" t="n">
        <f aca="false">AL_APIratio</f>
        <v>0.75</v>
      </c>
      <c r="G82" s="68" t="n">
        <f aca="false">AL_TokPerPrompt</f>
        <v>4000</v>
      </c>
      <c r="H82" s="85" t="n">
        <f aca="false">AL_FreeShare</f>
        <v>0.6</v>
      </c>
      <c r="I82" s="85" t="n">
        <f aca="false">AL_MixHopper</f>
        <v>0.6</v>
      </c>
      <c r="J82" s="85" t="n">
        <f aca="false">AL_MixGB200</f>
        <v>0.4</v>
      </c>
      <c r="K82" s="85" t="n">
        <f aca="false">AL_MixGB300</f>
        <v>0</v>
      </c>
      <c r="L82" s="85" t="n">
        <f aca="false">AL_MixVR200</f>
        <v>0</v>
      </c>
      <c r="M82" s="68" t="n">
        <f aca="false">SRC_DEM_010*1000000000*525600*F82/1000000+SRC_DEM_012*1000000000*G82*365/1000000*(1-H82)</f>
        <v>3825200000</v>
      </c>
      <c r="N82" s="68" t="n">
        <f aca="false">SRC_DEM_012*1000000000*G82*365/1000000*H82</f>
        <v>2190000000</v>
      </c>
      <c r="O82" s="68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$29,0)+IF(AND(J82&gt;0,$D$26=1),J82*$D$29,0)+IF(AND(K82&gt;0,$E$26=1),K82*$E$29,0)+IF(AND(L82&gt;0,$F$26=1),L82*$F$29,0))/(IF(AND(I82&gt;0,$C$26=1),I82,0)+IF(AND(J82&gt;0,$D$26=1),J82,0)+IF(AND(K82&gt;0,$E$26=1),K82,0)+IF(AND(L82&gt;0,$F$26=1),L82,0)),"SLO 不可達"))</f>
        <v>36113797739.3207</v>
      </c>
      <c r="P82" s="68" t="n">
        <f aca="false">IF(OR(AND(I82&gt;0,$C$26=0),AND(J82&gt;0,$D$26=0),AND(K82&gt;0,$E$26=0),AND(L82&gt;0,$F$26=0)),"整代不可達",IF((IF(AND(I82&gt;0,$C$26=1),I82,0)+IF(AND(J82&gt;0,$D$26=1),J82,0)+IF(AND(K82&gt;0,$E$26=1),K82,0)+IF(AND(L82&gt;0,$F$26=1),L82,0))&gt;0,(IF(AND(I82&gt;0,$C$26=1),I82*$C$30,0)+IF(AND(J82&gt;0,$D$26=1),J82*$D$30,0)+IF(AND(K82&gt;0,$E$26=1),K82*$E$30,0)+IF(AND(L82&gt;0,$F$26=1),L82*$F$30,0))/(IF(AND(I82&gt;0,$C$26=1),I82,0)+IF(AND(J82&gt;0,$D$26=1),J82,0)+IF(AND(K82&gt;0,$E$26=1),K82,0)+IF(AND(L82&gt;0,$F$26=1),L82,0)),"SLO 不可達"))</f>
        <v>128845573400.042</v>
      </c>
      <c r="Q82" s="73" t="n">
        <f aca="false">IF(O82="整代不可達","整代不可達",IF(AND(ISNUMBER(O82),ISNUMBER(P82)),IF(AND(O82&gt;0,P82&gt;0),M82/O82+N82/P82,"SLO 不可達"),"SLO 不可達"))</f>
        <v>0.122917826491237</v>
      </c>
      <c r="R82" s="73" t="n">
        <f aca="false">IF(AND(ISNUMBER(AL_FamGWyr),ISNUMBER(AL_RefGWyr)),E82*(C82*AL_FamGWyr+D82*AL_RefGWyr),"SLO 不可達")</f>
        <v>0.240198927284027</v>
      </c>
      <c r="S82" s="103" t="n">
        <f aca="false">IF(W82="整代不可達","整代不可達",IF(AND(ISNUMBER(W82),ISNUMBER(R82)),R82/(R82+W82),"SLO 不可達"))</f>
        <v>0.211016394291892</v>
      </c>
      <c r="T82" s="103" t="n">
        <f aca="false">IF(W82="整代不可達","整代不可達",IF(AND(ISNUMBER(W82),ISNUMBER(R82)),R82*AL_HoldTrain/(R82*AL_HoldTrain+SRC_DEM_004),"SLO 不可達"))</f>
        <v>0.211748462824886</v>
      </c>
      <c r="U82" s="107" t="n">
        <f aca="false">IF(ISNUMBER(R82),R82*AL_HoldTrain,"SLO 不可達")</f>
        <v>2.25649682093027</v>
      </c>
      <c r="V82" s="72" t="n">
        <f aca="false">(M82+N82)/365/1000000</f>
        <v>16.48</v>
      </c>
      <c r="W82" s="73" t="n">
        <f aca="false">IF(O82="整代不可達","整代不可達",IF((I82*$C$39+J82*$D$39+K82*$E$39+L82*$F$39)&gt;0,SRC_DEM_004/(I82*$C$39+J82*$D$39+K82*$E$39+L82*$F$39),"SLO 不可達"))</f>
        <v>0.89809617101894</v>
      </c>
      <c r="X82" s="105" t="n">
        <f aca="false">IF(AND(ISNUMBER(S98),ISNUMBER(T98),ISNUMBER(AL_Q1),ISNUMBER(AL_Q2)),IF(AND(ABS(S98-AL_Q1)&lt;=0.000000000001,ABS(T98-AL_Q2)&lt;=0.000000000001),0,1),IF(AND(NOT(ISNUMBER(S98)),NOT(ISNUMBER(AL_Q1))),0,1))</f>
        <v>0</v>
      </c>
      <c r="Y82" s="74" t="s">
        <v>2594</v>
      </c>
    </row>
    <row r="83" customFormat="false" ht="15" hidden="false" customHeight="false" outlineLevel="0" collapsed="false">
      <c r="A83" s="62" t="s">
        <v>2595</v>
      </c>
      <c r="B83" s="62" t="s">
        <v>2570</v>
      </c>
      <c r="C83" s="88" t="n">
        <f aca="false">AL_Nmajor_Hi</f>
        <v>2</v>
      </c>
      <c r="D83" s="86" t="n">
        <f aca="false">AL_Nrefresh</f>
        <v>2</v>
      </c>
      <c r="E83" s="86" t="n">
        <f aca="false">AL_k</f>
        <v>1</v>
      </c>
      <c r="F83" s="77" t="n">
        <f aca="false">AL_APIratio</f>
        <v>0.75</v>
      </c>
      <c r="G83" s="68" t="n">
        <f aca="false">AL_TokPerPrompt</f>
        <v>4000</v>
      </c>
      <c r="H83" s="85" t="n">
        <f aca="false">AL_FreeShare</f>
        <v>0.6</v>
      </c>
      <c r="I83" s="85" t="n">
        <f aca="false">AL_MixHopper</f>
        <v>0.6</v>
      </c>
      <c r="J83" s="85" t="n">
        <f aca="false">AL_MixGB200</f>
        <v>0.4</v>
      </c>
      <c r="K83" s="85" t="n">
        <f aca="false">AL_MixGB300</f>
        <v>0</v>
      </c>
      <c r="L83" s="85" t="n">
        <f aca="false">AL_MixVR200</f>
        <v>0</v>
      </c>
      <c r="M83" s="68" t="n">
        <f aca="false">SRC_DEM_010*1000000000*525600*F83/1000000+SRC_DEM_012*1000000000*G83*365/1000000*(1-H83)</f>
        <v>3825200000</v>
      </c>
      <c r="N83" s="68" t="n">
        <f aca="false">SRC_DEM_012*1000000000*G83*365/1000000*H83</f>
        <v>2190000000</v>
      </c>
      <c r="O83" s="68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$29,0)+IF(AND(J83&gt;0,$D$26=1),J83*$D$29,0)+IF(AND(K83&gt;0,$E$26=1),K83*$E$29,0)+IF(AND(L83&gt;0,$F$26=1),L83*$F$29,0))/(IF(AND(I83&gt;0,$C$26=1),I83,0)+IF(AND(J83&gt;0,$D$26=1),J83,0)+IF(AND(K83&gt;0,$E$26=1),K83,0)+IF(AND(L83&gt;0,$F$26=1),L83,0)),"SLO 不可達"))</f>
        <v>36113797739.3207</v>
      </c>
      <c r="P83" s="68" t="n">
        <f aca="false">IF(OR(AND(I83&gt;0,$C$26=0),AND(J83&gt;0,$D$26=0),AND(K83&gt;0,$E$26=0),AND(L83&gt;0,$F$26=0)),"整代不可達",IF((IF(AND(I83&gt;0,$C$26=1),I83,0)+IF(AND(J83&gt;0,$D$26=1),J83,0)+IF(AND(K83&gt;0,$E$26=1),K83,0)+IF(AND(L83&gt;0,$F$26=1),L83,0))&gt;0,(IF(AND(I83&gt;0,$C$26=1),I83*$C$30,0)+IF(AND(J83&gt;0,$D$26=1),J83*$D$30,0)+IF(AND(K83&gt;0,$E$26=1),K83*$E$30,0)+IF(AND(L83&gt;0,$F$26=1),L83*$F$30,0))/(IF(AND(I83&gt;0,$C$26=1),I83,0)+IF(AND(J83&gt;0,$D$26=1),J83,0)+IF(AND(K83&gt;0,$E$26=1),K83,0)+IF(AND(L83&gt;0,$F$26=1),L83,0)),"SLO 不可達"))</f>
        <v>128845573400.042</v>
      </c>
      <c r="Q83" s="73" t="n">
        <f aca="false">IF(O83="整代不可達","整代不可達",IF(AND(ISNUMBER(O83),ISNUMBER(P83)),IF(AND(O83&gt;0,P83&gt;0),M83/O83+N83/P83,"SLO 不可達"),"SLO 不可達"))</f>
        <v>0.122917826491237</v>
      </c>
      <c r="R83" s="73" t="n">
        <f aca="false">IF(AND(ISNUMBER(AL_FamGWyr),ISNUMBER(AL_RefGWyr)),E83*(C83*AL_FamGWyr+D83*AL_RefGWyr),"SLO 不可達")</f>
        <v>0.36789121418508</v>
      </c>
      <c r="S83" s="103" t="n">
        <f aca="false">IF(W83="整代不可達","整代不可達",IF(AND(ISNUMBER(W83),ISNUMBER(R83)),R83/(R83+W83),"SLO 不可達"))</f>
        <v>0.29059627172019</v>
      </c>
      <c r="T83" s="103" t="n">
        <f aca="false">IF(W83="整代不可達","整代不可達",IF(AND(ISNUMBER(W83),ISNUMBER(R83)),R83*AL_HoldTrain/(R83*AL_HoldTrain+SRC_DEM_004),"SLO 不可達"))</f>
        <v>0.29150241969669</v>
      </c>
      <c r="U83" s="107" t="n">
        <f aca="false">IF(ISNUMBER(R83),R83*AL_HoldTrain,"SLO 不可達")</f>
        <v>3.45607436570769</v>
      </c>
      <c r="V83" s="72" t="n">
        <f aca="false">(M83+N83)/365/1000000</f>
        <v>16.48</v>
      </c>
      <c r="W83" s="73" t="n">
        <f aca="false">IF(O83="整代不可達","整代不可達",IF((I83*$C$39+J83*$D$39+K83*$E$39+L83*$F$39)&gt;0,SRC_DEM_004/(I83*$C$39+J83*$D$39+K83*$E$39+L83*$F$39),"SLO 不可達"))</f>
        <v>0.89809617101894</v>
      </c>
      <c r="X83" s="105" t="n">
        <f aca="false">IF(AND(ISNUMBER(S99),ISNUMBER(T99),ISNUMBER(AL_Q1),ISNUMBER(AL_Q2)),IF(AND(ABS(S99-AL_Q1)&lt;=0.000000000001,ABS(T99-AL_Q2)&lt;=0.000000000001),0,1),IF(AND(NOT(ISNUMBER(S99)),NOT(ISNUMBER(AL_Q1))),0,1))</f>
        <v>0</v>
      </c>
      <c r="Y83" s="74" t="s">
        <v>2596</v>
      </c>
    </row>
    <row r="84" customFormat="false" ht="15" hidden="false" customHeight="false" outlineLevel="0" collapsed="false">
      <c r="A84" s="62" t="s">
        <v>2597</v>
      </c>
      <c r="B84" s="62" t="s">
        <v>2571</v>
      </c>
      <c r="C84" s="86" t="n">
        <f aca="false">AL_Nmajor</f>
        <v>1</v>
      </c>
      <c r="D84" s="88" t="n">
        <f aca="false">AL_Nrefresh_Lo</f>
        <v>0</v>
      </c>
      <c r="E84" s="86" t="n">
        <f aca="false">AL_k</f>
        <v>1</v>
      </c>
      <c r="F84" s="77" t="n">
        <f aca="false">AL_APIratio</f>
        <v>0.75</v>
      </c>
      <c r="G84" s="68" t="n">
        <f aca="false">AL_TokPerPrompt</f>
        <v>4000</v>
      </c>
      <c r="H84" s="85" t="n">
        <f aca="false">AL_FreeShare</f>
        <v>0.6</v>
      </c>
      <c r="I84" s="85" t="n">
        <f aca="false">AL_MixHopper</f>
        <v>0.6</v>
      </c>
      <c r="J84" s="85" t="n">
        <f aca="false">AL_MixGB200</f>
        <v>0.4</v>
      </c>
      <c r="K84" s="85" t="n">
        <f aca="false">AL_MixGB300</f>
        <v>0</v>
      </c>
      <c r="L84" s="85" t="n">
        <f aca="false">AL_MixVR200</f>
        <v>0</v>
      </c>
      <c r="M84" s="68" t="n">
        <f aca="false">SRC_DEM_010*1000000000*525600*F84/1000000+SRC_DEM_012*1000000000*G84*365/1000000*(1-H84)</f>
        <v>3825200000</v>
      </c>
      <c r="N84" s="68" t="n">
        <f aca="false">SRC_DEM_012*1000000000*G84*365/1000000*H84</f>
        <v>2190000000</v>
      </c>
      <c r="O84" s="68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$29,0)+IF(AND(J84&gt;0,$D$26=1),J84*$D$29,0)+IF(AND(K84&gt;0,$E$26=1),K84*$E$29,0)+IF(AND(L84&gt;0,$F$26=1),L84*$F$29,0))/(IF(AND(I84&gt;0,$C$26=1),I84,0)+IF(AND(J84&gt;0,$D$26=1),J84,0)+IF(AND(K84&gt;0,$E$26=1),K84,0)+IF(AND(L84&gt;0,$F$26=1),L84,0)),"SLO 不可達"))</f>
        <v>36113797739.3207</v>
      </c>
      <c r="P84" s="68" t="n">
        <f aca="false">IF(OR(AND(I84&gt;0,$C$26=0),AND(J84&gt;0,$D$26=0),AND(K84&gt;0,$E$26=0),AND(L84&gt;0,$F$26=0)),"整代不可達",IF((IF(AND(I84&gt;0,$C$26=1),I84,0)+IF(AND(J84&gt;0,$D$26=1),J84,0)+IF(AND(K84&gt;0,$E$26=1),K84,0)+IF(AND(L84&gt;0,$F$26=1),L84,0))&gt;0,(IF(AND(I84&gt;0,$C$26=1),I84*$C$30,0)+IF(AND(J84&gt;0,$D$26=1),J84*$D$30,0)+IF(AND(K84&gt;0,$E$26=1),K84*$E$30,0)+IF(AND(L84&gt;0,$F$26=1),L84*$F$30,0))/(IF(AND(I84&gt;0,$C$26=1),I84,0)+IF(AND(J84&gt;0,$D$26=1),J84,0)+IF(AND(K84&gt;0,$E$26=1),K84,0)+IF(AND(L84&gt;0,$F$26=1),L84,0)),"SLO 不可達"))</f>
        <v>128845573400.042</v>
      </c>
      <c r="Q84" s="73" t="n">
        <f aca="false">IF(O84="整代不可達","整代不可達",IF(AND(ISNUMBER(O84),ISNUMBER(P84)),IF(AND(O84&gt;0,P84&gt;0),M84/O84+N84/P84,"SLO 不可達"),"SLO 不可達"))</f>
        <v>0.122917826491237</v>
      </c>
      <c r="R84" s="73" t="n">
        <f aca="false">IF(AND(ISNUMBER(AL_FamGWyr),ISNUMBER(AL_RefGWyr)),E84*(C84*AL_FamGWyr+D84*AL_RefGWyr),"SLO 不可達")</f>
        <v>0.127692286901053</v>
      </c>
      <c r="S84" s="103" t="n">
        <f aca="false">IF(W84="整代不可達","整代不可達",IF(AND(ISNUMBER(W84),ISNUMBER(R84)),R84/(R84+W84),"SLO 不可達"))</f>
        <v>0.124482085867857</v>
      </c>
      <c r="T84" s="103" t="n">
        <f aca="false">IF(W84="整代不可達","整代不可達",IF(AND(ISNUMBER(W84),ISNUMBER(R84)),R84*AL_HoldTrain/(R84*AL_HoldTrain+SRC_DEM_004),"SLO 不可達"))</f>
        <v>0.124961493272174</v>
      </c>
      <c r="U84" s="107" t="n">
        <f aca="false">IF(ISNUMBER(R84),R84*AL_HoldTrain,"SLO 不可達")</f>
        <v>1.19957754477742</v>
      </c>
      <c r="V84" s="72" t="n">
        <f aca="false">(M84+N84)/365/1000000</f>
        <v>16.48</v>
      </c>
      <c r="W84" s="73" t="n">
        <f aca="false">IF(O84="整代不可達","整代不可達",IF((I84*$C$39+J84*$D$39+K84*$E$39+L84*$F$39)&gt;0,SRC_DEM_004/(I84*$C$39+J84*$D$39+K84*$E$39+L84*$F$39),"SLO 不可達"))</f>
        <v>0.89809617101894</v>
      </c>
      <c r="X84" s="105" t="n">
        <f aca="false">IF(AND(ISNUMBER(S100),ISNUMBER(T100),ISNUMBER(AL_Q1),ISNUMBER(AL_Q2)),IF(AND(ABS(S100-AL_Q1)&lt;=0.000000000001,ABS(T100-AL_Q2)&lt;=0.000000000001),0,1),IF(AND(NOT(ISNUMBER(S100)),NOT(ISNUMBER(AL_Q1))),0,1))</f>
        <v>0</v>
      </c>
      <c r="Y84" s="74" t="s">
        <v>2598</v>
      </c>
    </row>
    <row r="85" customFormat="false" ht="15" hidden="false" customHeight="false" outlineLevel="0" collapsed="false">
      <c r="A85" s="62" t="s">
        <v>2599</v>
      </c>
      <c r="B85" s="62" t="s">
        <v>2571</v>
      </c>
      <c r="C85" s="86" t="n">
        <f aca="false">AL_Nmajor</f>
        <v>1</v>
      </c>
      <c r="D85" s="88" t="n">
        <f aca="false">AL_Nrefresh_Hi</f>
        <v>6</v>
      </c>
      <c r="E85" s="86" t="n">
        <f aca="false">AL_k</f>
        <v>1</v>
      </c>
      <c r="F85" s="77" t="n">
        <f aca="false">AL_APIratio</f>
        <v>0.75</v>
      </c>
      <c r="G85" s="68" t="n">
        <f aca="false">AL_TokPerPrompt</f>
        <v>4000</v>
      </c>
      <c r="H85" s="85" t="n">
        <f aca="false">AL_FreeShare</f>
        <v>0.6</v>
      </c>
      <c r="I85" s="85" t="n">
        <f aca="false">AL_MixHopper</f>
        <v>0.6</v>
      </c>
      <c r="J85" s="85" t="n">
        <f aca="false">AL_MixGB200</f>
        <v>0.4</v>
      </c>
      <c r="K85" s="85" t="n">
        <f aca="false">AL_MixGB300</f>
        <v>0</v>
      </c>
      <c r="L85" s="85" t="n">
        <f aca="false">AL_MixVR200</f>
        <v>0</v>
      </c>
      <c r="M85" s="68" t="n">
        <f aca="false">SRC_DEM_010*1000000000*525600*F85/1000000+SRC_DEM_012*1000000000*G85*365/1000000*(1-H85)</f>
        <v>3825200000</v>
      </c>
      <c r="N85" s="68" t="n">
        <f aca="false">SRC_DEM_012*1000000000*G85*365/1000000*H85</f>
        <v>2190000000</v>
      </c>
      <c r="O85" s="68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$29,0)+IF(AND(J85&gt;0,$D$26=1),J85*$D$29,0)+IF(AND(K85&gt;0,$E$26=1),K85*$E$29,0)+IF(AND(L85&gt;0,$F$26=1),L85*$F$29,0))/(IF(AND(I85&gt;0,$C$26=1),I85,0)+IF(AND(J85&gt;0,$D$26=1),J85,0)+IF(AND(K85&gt;0,$E$26=1),K85,0)+IF(AND(L85&gt;0,$F$26=1),L85,0)),"SLO 不可達"))</f>
        <v>36113797739.3207</v>
      </c>
      <c r="P85" s="68" t="n">
        <f aca="false">IF(OR(AND(I85&gt;0,$C$26=0),AND(J85&gt;0,$D$26=0),AND(K85&gt;0,$E$26=0),AND(L85&gt;0,$F$26=0)),"整代不可達",IF((IF(AND(I85&gt;0,$C$26=1),I85,0)+IF(AND(J85&gt;0,$D$26=1),J85,0)+IF(AND(K85&gt;0,$E$26=1),K85,0)+IF(AND(L85&gt;0,$F$26=1),L85,0))&gt;0,(IF(AND(I85&gt;0,$C$26=1),I85*$C$30,0)+IF(AND(J85&gt;0,$D$26=1),J85*$D$30,0)+IF(AND(K85&gt;0,$E$26=1),K85*$E$30,0)+IF(AND(L85&gt;0,$F$26=1),L85*$F$30,0))/(IF(AND(I85&gt;0,$C$26=1),I85,0)+IF(AND(J85&gt;0,$D$26=1),J85,0)+IF(AND(K85&gt;0,$E$26=1),K85,0)+IF(AND(L85&gt;0,$F$26=1),L85,0)),"SLO 不可達"))</f>
        <v>128845573400.042</v>
      </c>
      <c r="Q85" s="73" t="n">
        <f aca="false">IF(O85="整代不可達","整代不可達",IF(AND(ISNUMBER(O85),ISNUMBER(P85)),IF(AND(O85&gt;0,P85&gt;0),M85/O85+N85/P85,"SLO 不可達"),"SLO 不可達"))</f>
        <v>0.122917826491237</v>
      </c>
      <c r="R85" s="73" t="n">
        <f aca="false">IF(AND(ISNUMBER(AL_FamGWyr),ISNUMBER(AL_RefGWyr)),E85*(C85*AL_FamGWyr+D85*AL_RefGWyr),"SLO 不可達")</f>
        <v>0.465212208049975</v>
      </c>
      <c r="S85" s="103" t="n">
        <f aca="false">IF(W85="整代不可達","整代不可達",IF(AND(ISNUMBER(W85),ISNUMBER(R85)),R85/(R85+W85),"SLO 不可達"))</f>
        <v>0.341237694414888</v>
      </c>
      <c r="T85" s="103" t="n">
        <f aca="false">IF(W85="整代不可達","整代不可達",IF(AND(ISNUMBER(W85),ISNUMBER(R85)),R85*AL_HoldTrain/(R85*AL_HoldTrain+SRC_DEM_004),"SLO 不可達"))</f>
        <v>0.342225575562825</v>
      </c>
      <c r="U85" s="107" t="n">
        <f aca="false">IF(ISNUMBER(R85),R85*AL_HoldTrain,"SLO 不可達")</f>
        <v>4.37033537323599</v>
      </c>
      <c r="V85" s="72" t="n">
        <f aca="false">(M85+N85)/365/1000000</f>
        <v>16.48</v>
      </c>
      <c r="W85" s="73" t="n">
        <f aca="false">IF(O85="整代不可達","整代不可達",IF((I85*$C$39+J85*$D$39+K85*$E$39+L85*$F$39)&gt;0,SRC_DEM_004/(I85*$C$39+J85*$D$39+K85*$E$39+L85*$F$39),"SLO 不可達"))</f>
        <v>0.89809617101894</v>
      </c>
      <c r="X85" s="105" t="n">
        <f aca="false">IF(AND(ISNUMBER(S101),ISNUMBER(T101),ISNUMBER(AL_Q1),ISNUMBER(AL_Q2)),IF(AND(ABS(S101-AL_Q1)&lt;=0.000000000001,ABS(T101-AL_Q2)&lt;=0.000000000001),0,1),IF(AND(NOT(ISNUMBER(S101)),NOT(ISNUMBER(AL_Q1))),0,1))</f>
        <v>0</v>
      </c>
      <c r="Y85" s="74" t="s">
        <v>2600</v>
      </c>
    </row>
    <row r="86" customFormat="false" ht="15" hidden="false" customHeight="false" outlineLevel="0" collapsed="false">
      <c r="A86" s="62" t="s">
        <v>2601</v>
      </c>
      <c r="B86" s="62" t="s">
        <v>2572</v>
      </c>
      <c r="C86" s="86" t="n">
        <f aca="false">AL_Nmajor</f>
        <v>1</v>
      </c>
      <c r="D86" s="86" t="n">
        <f aca="false">AL_Nrefresh</f>
        <v>2</v>
      </c>
      <c r="E86" s="88" t="n">
        <f aca="false">AL_k_Lo</f>
        <v>0.5</v>
      </c>
      <c r="F86" s="77" t="n">
        <f aca="false">AL_APIratio</f>
        <v>0.75</v>
      </c>
      <c r="G86" s="68" t="n">
        <f aca="false">AL_TokPerPrompt</f>
        <v>4000</v>
      </c>
      <c r="H86" s="85" t="n">
        <f aca="false">AL_FreeShare</f>
        <v>0.6</v>
      </c>
      <c r="I86" s="85" t="n">
        <f aca="false">AL_MixHopper</f>
        <v>0.6</v>
      </c>
      <c r="J86" s="85" t="n">
        <f aca="false">AL_MixGB200</f>
        <v>0.4</v>
      </c>
      <c r="K86" s="85" t="n">
        <f aca="false">AL_MixGB300</f>
        <v>0</v>
      </c>
      <c r="L86" s="85" t="n">
        <f aca="false">AL_MixVR200</f>
        <v>0</v>
      </c>
      <c r="M86" s="68" t="n">
        <f aca="false">SRC_DEM_010*1000000000*525600*F86/1000000+SRC_DEM_012*1000000000*G86*365/1000000*(1-H86)</f>
        <v>3825200000</v>
      </c>
      <c r="N86" s="68" t="n">
        <f aca="false">SRC_DEM_012*1000000000*G86*365/1000000*H86</f>
        <v>2190000000</v>
      </c>
      <c r="O86" s="68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$29,0)+IF(AND(J86&gt;0,$D$26=1),J86*$D$29,0)+IF(AND(K86&gt;0,$E$26=1),K86*$E$29,0)+IF(AND(L86&gt;0,$F$26=1),L86*$F$29,0))/(IF(AND(I86&gt;0,$C$26=1),I86,0)+IF(AND(J86&gt;0,$D$26=1),J86,0)+IF(AND(K86&gt;0,$E$26=1),K86,0)+IF(AND(L86&gt;0,$F$26=1),L86,0)),"SLO 不可達"))</f>
        <v>36113797739.3207</v>
      </c>
      <c r="P86" s="68" t="n">
        <f aca="false">IF(OR(AND(I86&gt;0,$C$26=0),AND(J86&gt;0,$D$26=0),AND(K86&gt;0,$E$26=0),AND(L86&gt;0,$F$26=0)),"整代不可達",IF((IF(AND(I86&gt;0,$C$26=1),I86,0)+IF(AND(J86&gt;0,$D$26=1),J86,0)+IF(AND(K86&gt;0,$E$26=1),K86,0)+IF(AND(L86&gt;0,$F$26=1),L86,0))&gt;0,(IF(AND(I86&gt;0,$C$26=1),I86*$C$30,0)+IF(AND(J86&gt;0,$D$26=1),J86*$D$30,0)+IF(AND(K86&gt;0,$E$26=1),K86*$E$30,0)+IF(AND(L86&gt;0,$F$26=1),L86*$F$30,0))/(IF(AND(I86&gt;0,$C$26=1),I86,0)+IF(AND(J86&gt;0,$D$26=1),J86,0)+IF(AND(K86&gt;0,$E$26=1),K86,0)+IF(AND(L86&gt;0,$F$26=1),L86,0)),"SLO 不可達"))</f>
        <v>128845573400.042</v>
      </c>
      <c r="Q86" s="73" t="n">
        <f aca="false">IF(O86="整代不可達","整代不可達",IF(AND(ISNUMBER(O86),ISNUMBER(P86)),IF(AND(O86&gt;0,P86&gt;0),M86/O86+N86/P86,"SLO 不可達"),"SLO 不可達"))</f>
        <v>0.122917826491237</v>
      </c>
      <c r="R86" s="73" t="n">
        <f aca="false">IF(AND(ISNUMBER(AL_FamGWyr),ISNUMBER(AL_RefGWyr)),E86*(C86*AL_FamGWyr+D86*AL_RefGWyr),"SLO 不可達")</f>
        <v>0.120099463642014</v>
      </c>
      <c r="S86" s="103" t="n">
        <f aca="false">IF(W86="整代不可達","整代不可達",IF(AND(ISNUMBER(W86),ISNUMBER(R86)),R86/(R86+W86),"SLO 不可達"))</f>
        <v>0.11795322976611</v>
      </c>
      <c r="T86" s="103" t="n">
        <f aca="false">IF(W86="整代不可達","整代不可達",IF(AND(ISNUMBER(W86),ISNUMBER(R86)),R86*AL_HoldTrain/(R86*AL_HoldTrain+SRC_DEM_004),"SLO 不可達"))</f>
        <v>0.118410893782529</v>
      </c>
      <c r="U86" s="107" t="n">
        <f aca="false">IF(ISNUMBER(R86),R86*AL_HoldTrain,"SLO 不可達")</f>
        <v>1.12824841046514</v>
      </c>
      <c r="V86" s="72" t="n">
        <f aca="false">(M86+N86)/365/1000000</f>
        <v>16.48</v>
      </c>
      <c r="W86" s="73" t="n">
        <f aca="false">IF(O86="整代不可達","整代不可達",IF((I86*$C$39+J86*$D$39+K86*$E$39+L86*$F$39)&gt;0,SRC_DEM_004/(I86*$C$39+J86*$D$39+K86*$E$39+L86*$F$39),"SLO 不可達"))</f>
        <v>0.89809617101894</v>
      </c>
      <c r="X86" s="105" t="n">
        <f aca="false">IF(AND(ISNUMBER(S102),ISNUMBER(T102),ISNUMBER(AL_Q1),ISNUMBER(AL_Q2)),IF(AND(ABS(S102-AL_Q1)&lt;=0.000000000001,ABS(T102-AL_Q2)&lt;=0.000000000001),0,1),IF(AND(NOT(ISNUMBER(S102)),NOT(ISNUMBER(AL_Q1))),0,1))</f>
        <v>0</v>
      </c>
      <c r="Y86" s="74" t="s">
        <v>2602</v>
      </c>
    </row>
    <row r="87" customFormat="false" ht="15" hidden="false" customHeight="false" outlineLevel="0" collapsed="false">
      <c r="A87" s="62" t="s">
        <v>2603</v>
      </c>
      <c r="B87" s="62" t="s">
        <v>2572</v>
      </c>
      <c r="C87" s="86" t="n">
        <f aca="false">AL_Nmajor</f>
        <v>1</v>
      </c>
      <c r="D87" s="86" t="n">
        <f aca="false">AL_Nrefresh</f>
        <v>2</v>
      </c>
      <c r="E87" s="88" t="n">
        <f aca="false">AL_k_Hi</f>
        <v>7</v>
      </c>
      <c r="F87" s="77" t="n">
        <f aca="false">AL_APIratio</f>
        <v>0.75</v>
      </c>
      <c r="G87" s="68" t="n">
        <f aca="false">AL_TokPerPrompt</f>
        <v>4000</v>
      </c>
      <c r="H87" s="85" t="n">
        <f aca="false">AL_FreeShare</f>
        <v>0.6</v>
      </c>
      <c r="I87" s="85" t="n">
        <f aca="false">AL_MixHopper</f>
        <v>0.6</v>
      </c>
      <c r="J87" s="85" t="n">
        <f aca="false">AL_MixGB200</f>
        <v>0.4</v>
      </c>
      <c r="K87" s="85" t="n">
        <f aca="false">AL_MixGB300</f>
        <v>0</v>
      </c>
      <c r="L87" s="85" t="n">
        <f aca="false">AL_MixVR200</f>
        <v>0</v>
      </c>
      <c r="M87" s="68" t="n">
        <f aca="false">SRC_DEM_010*1000000000*525600*F87/1000000+SRC_DEM_012*1000000000*G87*365/1000000*(1-H87)</f>
        <v>3825200000</v>
      </c>
      <c r="N87" s="68" t="n">
        <f aca="false">SRC_DEM_012*1000000000*G87*365/1000000*H87</f>
        <v>2190000000</v>
      </c>
      <c r="O87" s="68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$29,0)+IF(AND(J87&gt;0,$D$26=1),J87*$D$29,0)+IF(AND(K87&gt;0,$E$26=1),K87*$E$29,0)+IF(AND(L87&gt;0,$F$26=1),L87*$F$29,0))/(IF(AND(I87&gt;0,$C$26=1),I87,0)+IF(AND(J87&gt;0,$D$26=1),J87,0)+IF(AND(K87&gt;0,$E$26=1),K87,0)+IF(AND(L87&gt;0,$F$26=1),L87,0)),"SLO 不可達"))</f>
        <v>36113797739.3207</v>
      </c>
      <c r="P87" s="68" t="n">
        <f aca="false">IF(OR(AND(I87&gt;0,$C$26=0),AND(J87&gt;0,$D$26=0),AND(K87&gt;0,$E$26=0),AND(L87&gt;0,$F$26=0)),"整代不可達",IF((IF(AND(I87&gt;0,$C$26=1),I87,0)+IF(AND(J87&gt;0,$D$26=1),J87,0)+IF(AND(K87&gt;0,$E$26=1),K87,0)+IF(AND(L87&gt;0,$F$26=1),L87,0))&gt;0,(IF(AND(I87&gt;0,$C$26=1),I87*$C$30,0)+IF(AND(J87&gt;0,$D$26=1),J87*$D$30,0)+IF(AND(K87&gt;0,$E$26=1),K87*$E$30,0)+IF(AND(L87&gt;0,$F$26=1),L87*$F$30,0))/(IF(AND(I87&gt;0,$C$26=1),I87,0)+IF(AND(J87&gt;0,$D$26=1),J87,0)+IF(AND(K87&gt;0,$E$26=1),K87,0)+IF(AND(L87&gt;0,$F$26=1),L87,0)),"SLO 不可達"))</f>
        <v>128845573400.042</v>
      </c>
      <c r="Q87" s="73" t="n">
        <f aca="false">IF(O87="整代不可達","整代不可達",IF(AND(ISNUMBER(O87),ISNUMBER(P87)),IF(AND(O87&gt;0,P87&gt;0),M87/O87+N87/P87,"SLO 不可達"),"SLO 不可達"))</f>
        <v>0.122917826491237</v>
      </c>
      <c r="R87" s="73" t="n">
        <f aca="false">IF(AND(ISNUMBER(AL_FamGWyr),ISNUMBER(AL_RefGWyr)),E87*(C87*AL_FamGWyr+D87*AL_RefGWyr),"SLO 不可達")</f>
        <v>1.68139249098819</v>
      </c>
      <c r="S87" s="103" t="n">
        <f aca="false">IF(W87="整代不可達","整代不可達",IF(AND(ISNUMBER(W87),ISNUMBER(R87)),R87/(R87+W87),"SLO 不可達"))</f>
        <v>0.651831704381239</v>
      </c>
      <c r="T87" s="103" t="n">
        <f aca="false">IF(W87="整代不可達","整代不可達",IF(AND(ISNUMBER(W87),ISNUMBER(R87)),R87*AL_HoldTrain/(R87*AL_HoldTrain+SRC_DEM_004),"SLO 不可達"))</f>
        <v>0.652827685900479</v>
      </c>
      <c r="U87" s="107" t="n">
        <f aca="false">IF(ISNUMBER(R87),R87*AL_HoldTrain,"SLO 不可達")</f>
        <v>15.7954777465119</v>
      </c>
      <c r="V87" s="72" t="n">
        <f aca="false">(M87+N87)/365/1000000</f>
        <v>16.48</v>
      </c>
      <c r="W87" s="73" t="n">
        <f aca="false">IF(O87="整代不可達","整代不可達",IF((I87*$C$39+J87*$D$39+K87*$E$39+L87*$F$39)&gt;0,SRC_DEM_004/(I87*$C$39+J87*$D$39+K87*$E$39+L87*$F$39),"SLO 不可達"))</f>
        <v>0.89809617101894</v>
      </c>
      <c r="X87" s="105" t="n">
        <f aca="false">IF(AND(ISNUMBER(S103),ISNUMBER(T103),ISNUMBER(AL_Q1),ISNUMBER(AL_Q2)),IF(AND(ABS(S103-AL_Q1)&lt;=0.000000000001,ABS(T103-AL_Q2)&lt;=0.000000000001),0,1),IF(AND(NOT(ISNUMBER(S103)),NOT(ISNUMBER(AL_Q1))),0,1))</f>
        <v>0</v>
      </c>
      <c r="Y87" s="74" t="s">
        <v>2604</v>
      </c>
    </row>
    <row r="88" customFormat="false" ht="15" hidden="false" customHeight="false" outlineLevel="0" collapsed="false">
      <c r="A88" s="61" t="s">
        <v>2605</v>
      </c>
      <c r="B88" s="61" t="s">
        <v>2449</v>
      </c>
      <c r="C88" s="86" t="n">
        <f aca="false">AL_Nmajor</f>
        <v>1</v>
      </c>
      <c r="D88" s="86" t="n">
        <f aca="false">AL_Nrefresh</f>
        <v>2</v>
      </c>
      <c r="E88" s="86" t="n">
        <f aca="false">AL_k</f>
        <v>1</v>
      </c>
      <c r="F88" s="77" t="n">
        <f aca="false">AL_APIratio</f>
        <v>0.75</v>
      </c>
      <c r="G88" s="71" t="n">
        <f aca="false">AL_TokPerPrompt_Lo</f>
        <v>2000</v>
      </c>
      <c r="H88" s="85" t="n">
        <f aca="false">AL_FreeShare</f>
        <v>0.6</v>
      </c>
      <c r="I88" s="85" t="n">
        <f aca="false">AL_MixHopper</f>
        <v>0.6</v>
      </c>
      <c r="J88" s="85" t="n">
        <f aca="false">AL_MixGB200</f>
        <v>0.4</v>
      </c>
      <c r="K88" s="85" t="n">
        <f aca="false">AL_MixGB300</f>
        <v>0</v>
      </c>
      <c r="L88" s="85" t="n">
        <f aca="false">AL_MixVR200</f>
        <v>0</v>
      </c>
      <c r="M88" s="68" t="n">
        <f aca="false">SRC_DEM_010*1000000000*525600*F88/1000000+SRC_DEM_012*1000000000*G88*365/1000000*(1-H88)</f>
        <v>3095200000</v>
      </c>
      <c r="N88" s="68" t="n">
        <f aca="false">SRC_DEM_012*1000000000*G88*365/1000000*H88</f>
        <v>1095000000</v>
      </c>
      <c r="O88" s="68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$29,0)+IF(AND(J88&gt;0,$D$26=1),J88*$D$29,0)+IF(AND(K88&gt;0,$E$26=1),K88*$E$29,0)+IF(AND(L88&gt;0,$F$26=1),L88*$F$29,0))/(IF(AND(I88&gt;0,$C$26=1),I88,0)+IF(AND(J88&gt;0,$D$26=1),J88,0)+IF(AND(K88&gt;0,$E$26=1),K88,0)+IF(AND(L88&gt;0,$F$26=1),L88,0)),"SLO 不可達"))</f>
        <v>36113797739.3207</v>
      </c>
      <c r="P88" s="68" t="n">
        <f aca="false">IF(OR(AND(I88&gt;0,$C$26=0),AND(J88&gt;0,$D$26=0),AND(K88&gt;0,$E$26=0),AND(L88&gt;0,$F$26=0)),"整代不可達",IF((IF(AND(I88&gt;0,$C$26=1),I88,0)+IF(AND(J88&gt;0,$D$26=1),J88,0)+IF(AND(K88&gt;0,$E$26=1),K88,0)+IF(AND(L88&gt;0,$F$26=1),L88,0))&gt;0,(IF(AND(I88&gt;0,$C$26=1),I88*$C$30,0)+IF(AND(J88&gt;0,$D$26=1),J88*$D$30,0)+IF(AND(K88&gt;0,$E$26=1),K88*$E$30,0)+IF(AND(L88&gt;0,$F$26=1),L88*$F$30,0))/(IF(AND(I88&gt;0,$C$26=1),I88,0)+IF(AND(J88&gt;0,$D$26=1),J88,0)+IF(AND(K88&gt;0,$E$26=1),K88,0)+IF(AND(L88&gt;0,$F$26=1),L88,0)),"SLO 不可達"))</f>
        <v>128845573400.042</v>
      </c>
      <c r="Q88" s="73" t="n">
        <f aca="false">IF(O88="整代不可達","整代不可達",IF(AND(ISNUMBER(O88),ISNUMBER(P88)),IF(AND(O88&gt;0,P88&gt;0),M88/O88+N88/P88,"SLO 不可達"),"SLO 不可達"))</f>
        <v>0.0942054000187996</v>
      </c>
      <c r="R88" s="73" t="n">
        <f aca="false">IF(AND(ISNUMBER(AL_FamGWyr),ISNUMBER(AL_RefGWyr)),E88*(C88*AL_FamGWyr+D88*AL_RefGWyr),"SLO 不可達")</f>
        <v>0.240198927284027</v>
      </c>
      <c r="S88" s="103" t="n">
        <f aca="false">IF(W88="整代不可達","整代不可達",IF(AND(ISNUMBER(W88),ISNUMBER(R88)),R88/(R88+W88),"SLO 不可達"))</f>
        <v>0.211016394291892</v>
      </c>
      <c r="T88" s="103" t="n">
        <f aca="false">IF(W88="整代不可達","整代不可達",IF(AND(ISNUMBER(W88),ISNUMBER(R88)),R88*AL_HoldTrain/(R88*AL_HoldTrain+SRC_DEM_004),"SLO 不可達"))</f>
        <v>0.211748462824886</v>
      </c>
      <c r="U88" s="107" t="n">
        <f aca="false">IF(ISNUMBER(R88),R88*AL_HoldTrain,"SLO 不可達")</f>
        <v>2.25649682093027</v>
      </c>
      <c r="V88" s="72" t="n">
        <f aca="false">(M88+N88)/365/1000000</f>
        <v>11.48</v>
      </c>
      <c r="W88" s="73" t="n">
        <f aca="false">IF(O88="整代不可達","整代不可達",IF((I88*$C$39+J88*$D$39+K88*$E$39+L88*$F$39)&gt;0,SRC_DEM_004/(I88*$C$39+J88*$D$39+K88*$E$39+L88*$F$39),"SLO 不可達"))</f>
        <v>0.89809617101894</v>
      </c>
      <c r="X88" s="105" t="n">
        <f aca="false">IF(AND(ISNUMBER(S104),ISNUMBER(T104),ISNUMBER(AL_Q1),ISNUMBER(AL_Q2)),IF(AND(ABS(S104-AL_Q1)&lt;=0.000000000001,ABS(T104-AL_Q2)&lt;=0.000000000001),0,1),IF(AND(NOT(ISNUMBER(S104)),NOT(ISNUMBER(AL_Q1))),0,1))</f>
        <v>0</v>
      </c>
      <c r="Y88" s="74" t="s">
        <v>2606</v>
      </c>
    </row>
    <row r="89" customFormat="false" ht="15" hidden="false" customHeight="false" outlineLevel="0" collapsed="false">
      <c r="A89" s="61" t="s">
        <v>2607</v>
      </c>
      <c r="B89" s="61" t="s">
        <v>2449</v>
      </c>
      <c r="C89" s="86" t="n">
        <f aca="false">AL_Nmajor</f>
        <v>1</v>
      </c>
      <c r="D89" s="86" t="n">
        <f aca="false">AL_Nrefresh</f>
        <v>2</v>
      </c>
      <c r="E89" s="86" t="n">
        <f aca="false">AL_k</f>
        <v>1</v>
      </c>
      <c r="F89" s="77" t="n">
        <f aca="false">AL_APIratio</f>
        <v>0.75</v>
      </c>
      <c r="G89" s="71" t="n">
        <f aca="false">AL_TokPerPrompt_Hi</f>
        <v>11000</v>
      </c>
      <c r="H89" s="85" t="n">
        <f aca="false">AL_FreeShare</f>
        <v>0.6</v>
      </c>
      <c r="I89" s="85" t="n">
        <f aca="false">AL_MixHopper</f>
        <v>0.6</v>
      </c>
      <c r="J89" s="85" t="n">
        <f aca="false">AL_MixGB200</f>
        <v>0.4</v>
      </c>
      <c r="K89" s="85" t="n">
        <f aca="false">AL_MixGB300</f>
        <v>0</v>
      </c>
      <c r="L89" s="85" t="n">
        <f aca="false">AL_MixVR200</f>
        <v>0</v>
      </c>
      <c r="M89" s="68" t="n">
        <f aca="false">SRC_DEM_010*1000000000*525600*F89/1000000+SRC_DEM_012*1000000000*G89*365/1000000*(1-H89)</f>
        <v>6380200000</v>
      </c>
      <c r="N89" s="68" t="n">
        <f aca="false">SRC_DEM_012*1000000000*G89*365/1000000*H89</f>
        <v>6022500000</v>
      </c>
      <c r="O89" s="68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$29,0)+IF(AND(J89&gt;0,$D$26=1),J89*$D$29,0)+IF(AND(K89&gt;0,$E$26=1),K89*$E$29,0)+IF(AND(L89&gt;0,$F$26=1),L89*$F$29,0))/(IF(AND(I89&gt;0,$C$26=1),I89,0)+IF(AND(J89&gt;0,$D$26=1),J89,0)+IF(AND(K89&gt;0,$E$26=1),K89,0)+IF(AND(L89&gt;0,$F$26=1),L89,0)),"SLO 不可達"))</f>
        <v>36113797739.3207</v>
      </c>
      <c r="P89" s="68" t="n">
        <f aca="false">IF(OR(AND(I89&gt;0,$C$26=0),AND(J89&gt;0,$D$26=0),AND(K89&gt;0,$E$26=0),AND(L89&gt;0,$F$26=0)),"整代不可達",IF((IF(AND(I89&gt;0,$C$26=1),I89,0)+IF(AND(J89&gt;0,$D$26=1),J89,0)+IF(AND(K89&gt;0,$E$26=1),K89,0)+IF(AND(L89&gt;0,$F$26=1),L89,0))&gt;0,(IF(AND(I89&gt;0,$C$26=1),I89*$C$30,0)+IF(AND(J89&gt;0,$D$26=1),J89*$D$30,0)+IF(AND(K89&gt;0,$E$26=1),K89*$E$30,0)+IF(AND(L89&gt;0,$F$26=1),L89*$F$30,0))/(IF(AND(I89&gt;0,$C$26=1),I89,0)+IF(AND(J89&gt;0,$D$26=1),J89,0)+IF(AND(K89&gt;0,$E$26=1),K89,0)+IF(AND(L89&gt;0,$F$26=1),L89,0)),"SLO 不可達"))</f>
        <v>128845573400.042</v>
      </c>
      <c r="Q89" s="73" t="n">
        <f aca="false">IF(O89="整代不可達","整代不可達",IF(AND(ISNUMBER(O89),ISNUMBER(P89)),IF(AND(O89&gt;0,P89&gt;0),M89/O89+N89/P89,"SLO 不可達"),"SLO 不可達"))</f>
        <v>0.223411319144769</v>
      </c>
      <c r="R89" s="73" t="n">
        <f aca="false">IF(AND(ISNUMBER(AL_FamGWyr),ISNUMBER(AL_RefGWyr)),E89*(C89*AL_FamGWyr+D89*AL_RefGWyr),"SLO 不可達")</f>
        <v>0.240198927284027</v>
      </c>
      <c r="S89" s="103" t="n">
        <f aca="false">IF(W89="整代不可達","整代不可達",IF(AND(ISNUMBER(W89),ISNUMBER(R89)),R89/(R89+W89),"SLO 不可達"))</f>
        <v>0.211016394291892</v>
      </c>
      <c r="T89" s="103" t="n">
        <f aca="false">IF(W89="整代不可達","整代不可達",IF(AND(ISNUMBER(W89),ISNUMBER(R89)),R89*AL_HoldTrain/(R89*AL_HoldTrain+SRC_DEM_004),"SLO 不可達"))</f>
        <v>0.211748462824886</v>
      </c>
      <c r="U89" s="107" t="n">
        <f aca="false">IF(ISNUMBER(R89),R89*AL_HoldTrain,"SLO 不可達")</f>
        <v>2.25649682093027</v>
      </c>
      <c r="V89" s="72" t="n">
        <f aca="false">(M89+N89)/365/1000000</f>
        <v>33.98</v>
      </c>
      <c r="W89" s="73" t="n">
        <f aca="false">IF(O89="整代不可達","整代不可達",IF((I89*$C$39+J89*$D$39+K89*$E$39+L89*$F$39)&gt;0,SRC_DEM_004/(I89*$C$39+J89*$D$39+K89*$E$39+L89*$F$39),"SLO 不可達"))</f>
        <v>0.89809617101894</v>
      </c>
      <c r="X89" s="105" t="n">
        <f aca="false">IF(AND(ISNUMBER(S105),ISNUMBER(T105),ISNUMBER(AL_Q1),ISNUMBER(AL_Q2)),IF(AND(ABS(S105-AL_Q1)&lt;=0.000000000001,ABS(T105-AL_Q2)&lt;=0.000000000001),0,1),IF(AND(NOT(ISNUMBER(S105)),NOT(ISNUMBER(AL_Q1))),0,1))</f>
        <v>0</v>
      </c>
      <c r="Y89" s="74" t="s">
        <v>2608</v>
      </c>
    </row>
    <row r="90" customFormat="false" ht="15" hidden="false" customHeight="false" outlineLevel="0" collapsed="false">
      <c r="A90" s="62" t="s">
        <v>2609</v>
      </c>
      <c r="B90" s="62" t="s">
        <v>2610</v>
      </c>
      <c r="C90" s="86" t="n">
        <f aca="false">AL_Nmajor</f>
        <v>1</v>
      </c>
      <c r="D90" s="86" t="n">
        <f aca="false">AL_Nrefresh</f>
        <v>2</v>
      </c>
      <c r="E90" s="86" t="n">
        <f aca="false">AL_k</f>
        <v>1</v>
      </c>
      <c r="F90" s="104" t="n">
        <f aca="false">AL_APIratio_Lo</f>
        <v>0.6</v>
      </c>
      <c r="G90" s="68" t="n">
        <f aca="false">AL_TokPerPrompt</f>
        <v>4000</v>
      </c>
      <c r="H90" s="85" t="n">
        <f aca="false">AL_FreeShare</f>
        <v>0.6</v>
      </c>
      <c r="I90" s="85" t="n">
        <f aca="false">AL_MixHopper</f>
        <v>0.6</v>
      </c>
      <c r="J90" s="85" t="n">
        <f aca="false">AL_MixGB200</f>
        <v>0.4</v>
      </c>
      <c r="K90" s="85" t="n">
        <f aca="false">AL_MixGB300</f>
        <v>0</v>
      </c>
      <c r="L90" s="85" t="n">
        <f aca="false">AL_MixVR200</f>
        <v>0</v>
      </c>
      <c r="M90" s="68" t="n">
        <f aca="false">SRC_DEM_010*1000000000*525600*F90/1000000+SRC_DEM_012*1000000000*G90*365/1000000*(1-H90)</f>
        <v>3352160000</v>
      </c>
      <c r="N90" s="68" t="n">
        <f aca="false">SRC_DEM_012*1000000000*G90*365/1000000*H90</f>
        <v>2190000000</v>
      </c>
      <c r="O90" s="68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$29,0)+IF(AND(J90&gt;0,$D$26=1),J90*$D$29,0)+IF(AND(K90&gt;0,$E$26=1),K90*$E$29,0)+IF(AND(L90&gt;0,$F$26=1),L90*$F$29,0))/(IF(AND(I90&gt;0,$C$26=1),I90,0)+IF(AND(J90&gt;0,$D$26=1),J90,0)+IF(AND(K90&gt;0,$E$26=1),K90,0)+IF(AND(L90&gt;0,$F$26=1),L90,0)),"SLO 不可達"))</f>
        <v>36113797739.3207</v>
      </c>
      <c r="P90" s="68" t="n">
        <f aca="false">IF(OR(AND(I90&gt;0,$C$26=0),AND(J90&gt;0,$D$26=0),AND(K90&gt;0,$E$26=0),AND(L90&gt;0,$F$26=0)),"整代不可達",IF((IF(AND(I90&gt;0,$C$26=1),I90,0)+IF(AND(J90&gt;0,$D$26=1),J90,0)+IF(AND(K90&gt;0,$E$26=1),K90,0)+IF(AND(L90&gt;0,$F$26=1),L90,0))&gt;0,(IF(AND(I90&gt;0,$C$26=1),I90*$C$30,0)+IF(AND(J90&gt;0,$D$26=1),J90*$D$30,0)+IF(AND(K90&gt;0,$E$26=1),K90*$E$30,0)+IF(AND(L90&gt;0,$F$26=1),L90*$F$30,0))/(IF(AND(I90&gt;0,$C$26=1),I90,0)+IF(AND(J90&gt;0,$D$26=1),J90,0)+IF(AND(K90&gt;0,$E$26=1),K90,0)+IF(AND(L90&gt;0,$F$26=1),L90,0)),"SLO 不可達"))</f>
        <v>128845573400.042</v>
      </c>
      <c r="Q90" s="73" t="n">
        <f aca="false">IF(O90="整代不可達","整代不可達",IF(AND(ISNUMBER(O90),ISNUMBER(P90)),IF(AND(O90&gt;0,P90&gt;0),M90/O90+N90/P90,"SLO 不可達"),"SLO 不可達"))</f>
        <v>0.109819231781965</v>
      </c>
      <c r="R90" s="73" t="n">
        <f aca="false">IF(AND(ISNUMBER(AL_FamGWyr),ISNUMBER(AL_RefGWyr)),E90*(C90*AL_FamGWyr+D90*AL_RefGWyr),"SLO 不可達")</f>
        <v>0.240198927284027</v>
      </c>
      <c r="S90" s="103" t="n">
        <f aca="false">IF(W90="整代不可達","整代不可達",IF(AND(ISNUMBER(W90),ISNUMBER(R90)),R90/(R90+W90),"SLO 不可達"))</f>
        <v>0.211016394291892</v>
      </c>
      <c r="T90" s="103" t="n">
        <f aca="false">IF(W90="整代不可達","整代不可達",IF(AND(ISNUMBER(W90),ISNUMBER(R90)),R90*AL_HoldTrain/(R90*AL_HoldTrain+SRC_DEM_004),"SLO 不可達"))</f>
        <v>0.211748462824886</v>
      </c>
      <c r="U90" s="107" t="n">
        <f aca="false">IF(ISNUMBER(R90),R90*AL_HoldTrain,"SLO 不可達")</f>
        <v>2.25649682093027</v>
      </c>
      <c r="V90" s="72" t="n">
        <f aca="false">(M90+N90)/365/1000000</f>
        <v>15.184</v>
      </c>
      <c r="W90" s="73" t="n">
        <f aca="false">IF(O90="整代不可達","整代不可達",IF((I90*$C$39+J90*$D$39+K90*$E$39+L90*$F$39)&gt;0,SRC_DEM_004/(I90*$C$39+J90*$D$39+K90*$E$39+L90*$F$39),"SLO 不可達"))</f>
        <v>0.89809617101894</v>
      </c>
      <c r="X90" s="105" t="n">
        <f aca="false">IF(AND(ISNUMBER(S106),ISNUMBER(T106),ISNUMBER(AL_Q1),ISNUMBER(AL_Q2)),IF(AND(ABS(S106-AL_Q1)&lt;=0.000000000001,ABS(T106-AL_Q2)&lt;=0.000000000001),0,1),IF(AND(NOT(ISNUMBER(S106)),NOT(ISNUMBER(AL_Q1))),0,1))</f>
        <v>0</v>
      </c>
      <c r="Y90" s="74" t="s">
        <v>2611</v>
      </c>
    </row>
    <row r="91" customFormat="false" ht="15" hidden="false" customHeight="false" outlineLevel="0" collapsed="false">
      <c r="A91" s="62" t="s">
        <v>2612</v>
      </c>
      <c r="B91" s="62" t="s">
        <v>2610</v>
      </c>
      <c r="C91" s="86" t="n">
        <f aca="false">AL_Nmajor</f>
        <v>1</v>
      </c>
      <c r="D91" s="86" t="n">
        <f aca="false">AL_Nrefresh</f>
        <v>2</v>
      </c>
      <c r="E91" s="86" t="n">
        <f aca="false">AL_k</f>
        <v>1</v>
      </c>
      <c r="F91" s="104" t="n">
        <f aca="false">AL_APIratio_Hi</f>
        <v>0.9</v>
      </c>
      <c r="G91" s="68" t="n">
        <f aca="false">AL_TokPerPrompt</f>
        <v>4000</v>
      </c>
      <c r="H91" s="85" t="n">
        <f aca="false">AL_FreeShare</f>
        <v>0.6</v>
      </c>
      <c r="I91" s="85" t="n">
        <f aca="false">AL_MixHopper</f>
        <v>0.6</v>
      </c>
      <c r="J91" s="85" t="n">
        <f aca="false">AL_MixGB200</f>
        <v>0.4</v>
      </c>
      <c r="K91" s="85" t="n">
        <f aca="false">AL_MixGB300</f>
        <v>0</v>
      </c>
      <c r="L91" s="85" t="n">
        <f aca="false">AL_MixVR200</f>
        <v>0</v>
      </c>
      <c r="M91" s="68" t="n">
        <f aca="false">SRC_DEM_010*1000000000*525600*F91/1000000+SRC_DEM_012*1000000000*G91*365/1000000*(1-H91)</f>
        <v>4298240000</v>
      </c>
      <c r="N91" s="68" t="n">
        <f aca="false">SRC_DEM_012*1000000000*G91*365/1000000*H91</f>
        <v>2190000000</v>
      </c>
      <c r="O91" s="68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$29,0)+IF(AND(J91&gt;0,$D$26=1),J91*$D$29,0)+IF(AND(K91&gt;0,$E$26=1),K91*$E$29,0)+IF(AND(L91&gt;0,$F$26=1),L91*$F$29,0))/(IF(AND(I91&gt;0,$C$26=1),I91,0)+IF(AND(J91&gt;0,$D$26=1),J91,0)+IF(AND(K91&gt;0,$E$26=1),K91,0)+IF(AND(L91&gt;0,$F$26=1),L91,0)),"SLO 不可達"))</f>
        <v>36113797739.3207</v>
      </c>
      <c r="P91" s="68" t="n">
        <f aca="false">IF(OR(AND(I91&gt;0,$C$26=0),AND(J91&gt;0,$D$26=0),AND(K91&gt;0,$E$26=0),AND(L91&gt;0,$F$26=0)),"整代不可達",IF((IF(AND(I91&gt;0,$C$26=1),I91,0)+IF(AND(J91&gt;0,$D$26=1),J91,0)+IF(AND(K91&gt;0,$E$26=1),K91,0)+IF(AND(L91&gt;0,$F$26=1),L91,0))&gt;0,(IF(AND(I91&gt;0,$C$26=1),I91*$C$30,0)+IF(AND(J91&gt;0,$D$26=1),J91*$D$30,0)+IF(AND(K91&gt;0,$E$26=1),K91*$E$30,0)+IF(AND(L91&gt;0,$F$26=1),L91*$F$30,0))/(IF(AND(I91&gt;0,$C$26=1),I91,0)+IF(AND(J91&gt;0,$D$26=1),J91,0)+IF(AND(K91&gt;0,$E$26=1),K91,0)+IF(AND(L91&gt;0,$F$26=1),L91,0)),"SLO 不可達"))</f>
        <v>128845573400.042</v>
      </c>
      <c r="Q91" s="73" t="n">
        <f aca="false">IF(O91="整代不可達","整代不可達",IF(AND(ISNUMBER(O91),ISNUMBER(P91)),IF(AND(O91&gt;0,P91&gt;0),M91/O91+N91/P91,"SLO 不可達"),"SLO 不可達"))</f>
        <v>0.13601642120051</v>
      </c>
      <c r="R91" s="73" t="n">
        <f aca="false">IF(AND(ISNUMBER(AL_FamGWyr),ISNUMBER(AL_RefGWyr)),E91*(C91*AL_FamGWyr+D91*AL_RefGWyr),"SLO 不可達")</f>
        <v>0.240198927284027</v>
      </c>
      <c r="S91" s="103" t="n">
        <f aca="false">IF(W91="整代不可達","整代不可達",IF(AND(ISNUMBER(W91),ISNUMBER(R91)),R91/(R91+W91),"SLO 不可達"))</f>
        <v>0.211016394291892</v>
      </c>
      <c r="T91" s="103" t="n">
        <f aca="false">IF(W91="整代不可達","整代不可達",IF(AND(ISNUMBER(W91),ISNUMBER(R91)),R91*AL_HoldTrain/(R91*AL_HoldTrain+SRC_DEM_004),"SLO 不可達"))</f>
        <v>0.211748462824886</v>
      </c>
      <c r="U91" s="107" t="n">
        <f aca="false">IF(ISNUMBER(R91),R91*AL_HoldTrain,"SLO 不可達")</f>
        <v>2.25649682093027</v>
      </c>
      <c r="V91" s="72" t="n">
        <f aca="false">(M91+N91)/365/1000000</f>
        <v>17.776</v>
      </c>
      <c r="W91" s="73" t="n">
        <f aca="false">IF(O91="整代不可達","整代不可達",IF((I91*$C$39+J91*$D$39+K91*$E$39+L91*$F$39)&gt;0,SRC_DEM_004/(I91*$C$39+J91*$D$39+K91*$E$39+L91*$F$39),"SLO 不可達"))</f>
        <v>0.89809617101894</v>
      </c>
      <c r="X91" s="105" t="n">
        <f aca="false">IF(AND(ISNUMBER(S107),ISNUMBER(T107),ISNUMBER(AL_Q1),ISNUMBER(AL_Q2)),IF(AND(ABS(S107-AL_Q1)&lt;=0.000000000001,ABS(T107-AL_Q2)&lt;=0.000000000001),0,1),IF(AND(NOT(ISNUMBER(S107)),NOT(ISNUMBER(AL_Q1))),0,1))</f>
        <v>0</v>
      </c>
      <c r="Y91" s="74" t="s">
        <v>2613</v>
      </c>
    </row>
    <row r="92" customFormat="false" ht="15" hidden="false" customHeight="false" outlineLevel="0" collapsed="false">
      <c r="A92" s="61" t="s">
        <v>2614</v>
      </c>
      <c r="B92" s="61" t="s">
        <v>2575</v>
      </c>
      <c r="C92" s="86" t="n">
        <f aca="false">AL_Nmajor</f>
        <v>1</v>
      </c>
      <c r="D92" s="86" t="n">
        <f aca="false">AL_Nrefresh</f>
        <v>2</v>
      </c>
      <c r="E92" s="86" t="n">
        <f aca="false">AL_k</f>
        <v>1</v>
      </c>
      <c r="F92" s="77" t="n">
        <f aca="false">AL_APIratio</f>
        <v>0.75</v>
      </c>
      <c r="G92" s="68" t="n">
        <f aca="false">AL_TokPerPrompt</f>
        <v>4000</v>
      </c>
      <c r="H92" s="117" t="n">
        <f aca="false">AL_FreeShare_Lo</f>
        <v>0.4</v>
      </c>
      <c r="I92" s="85" t="n">
        <f aca="false">AL_MixHopper</f>
        <v>0.6</v>
      </c>
      <c r="J92" s="85" t="n">
        <f aca="false">AL_MixGB200</f>
        <v>0.4</v>
      </c>
      <c r="K92" s="85" t="n">
        <f aca="false">AL_MixGB300</f>
        <v>0</v>
      </c>
      <c r="L92" s="85" t="n">
        <f aca="false">AL_MixVR200</f>
        <v>0</v>
      </c>
      <c r="M92" s="68" t="n">
        <f aca="false">SRC_DEM_010*1000000000*525600*F92/1000000+SRC_DEM_012*1000000000*G92*365/1000000*(1-H92)</f>
        <v>4555200000</v>
      </c>
      <c r="N92" s="68" t="n">
        <f aca="false">SRC_DEM_012*1000000000*G92*365/1000000*H92</f>
        <v>1460000000</v>
      </c>
      <c r="O92" s="68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$29,0)+IF(AND(J92&gt;0,$D$26=1),J92*$D$29,0)+IF(AND(K92&gt;0,$E$26=1),K92*$E$29,0)+IF(AND(L92&gt;0,$F$26=1),L92*$F$29,0))/(IF(AND(I92&gt;0,$C$26=1),I92,0)+IF(AND(J92&gt;0,$D$26=1),J92,0)+IF(AND(K92&gt;0,$E$26=1),K92,0)+IF(AND(L92&gt;0,$F$26=1),L92,0)),"SLO 不可達"))</f>
        <v>36113797739.3207</v>
      </c>
      <c r="P92" s="68" t="n">
        <f aca="false">IF(OR(AND(I92&gt;0,$C$26=0),AND(J92&gt;0,$D$26=0),AND(K92&gt;0,$E$26=0),AND(L92&gt;0,$F$26=0)),"整代不可達",IF((IF(AND(I92&gt;0,$C$26=1),I92,0)+IF(AND(J92&gt;0,$D$26=1),J92,0)+IF(AND(K92&gt;0,$E$26=1),K92,0)+IF(AND(L92&gt;0,$F$26=1),L92,0))&gt;0,(IF(AND(I92&gt;0,$C$26=1),I92*$C$30,0)+IF(AND(J92&gt;0,$D$26=1),J92*$D$30,0)+IF(AND(K92&gt;0,$E$26=1),K92*$E$30,0)+IF(AND(L92&gt;0,$F$26=1),L92*$F$30,0))/(IF(AND(I92&gt;0,$C$26=1),I92,0)+IF(AND(J92&gt;0,$D$26=1),J92,0)+IF(AND(K92&gt;0,$E$26=1),K92,0)+IF(AND(L92&gt;0,$F$26=1),L92,0)),"SLO 不可達"))</f>
        <v>128845573400.042</v>
      </c>
      <c r="Q92" s="73" t="n">
        <f aca="false">IF(O92="整代不可達","整代不可達",IF(AND(ISNUMBER(O92),ISNUMBER(P92)),IF(AND(O92&gt;0,P92&gt;0),M92/O92+N92/P92,"SLO 不可達"),"SLO 不可達"))</f>
        <v>0.137466010049922</v>
      </c>
      <c r="R92" s="73" t="n">
        <f aca="false">IF(AND(ISNUMBER(AL_FamGWyr),ISNUMBER(AL_RefGWyr)),E92*(C92*AL_FamGWyr+D92*AL_RefGWyr),"SLO 不可達")</f>
        <v>0.240198927284027</v>
      </c>
      <c r="S92" s="103" t="n">
        <f aca="false">IF(W92="整代不可達","整代不可達",IF(AND(ISNUMBER(W92),ISNUMBER(R92)),R92/(R92+W92),"SLO 不可達"))</f>
        <v>0.211016394291892</v>
      </c>
      <c r="T92" s="103" t="n">
        <f aca="false">IF(W92="整代不可達","整代不可達",IF(AND(ISNUMBER(W92),ISNUMBER(R92)),R92*AL_HoldTrain/(R92*AL_HoldTrain+SRC_DEM_004),"SLO 不可達"))</f>
        <v>0.211748462824886</v>
      </c>
      <c r="U92" s="107" t="n">
        <f aca="false">IF(ISNUMBER(R92),R92*AL_HoldTrain,"SLO 不可達")</f>
        <v>2.25649682093027</v>
      </c>
      <c r="V92" s="72" t="n">
        <f aca="false">(M92+N92)/365/1000000</f>
        <v>16.48</v>
      </c>
      <c r="W92" s="73" t="n">
        <f aca="false">IF(O92="整代不可達","整代不可達",IF((I92*$C$39+J92*$D$39+K92*$E$39+L92*$F$39)&gt;0,SRC_DEM_004/(I92*$C$39+J92*$D$39+K92*$E$39+L92*$F$39),"SLO 不可達"))</f>
        <v>0.89809617101894</v>
      </c>
      <c r="X92" s="105" t="n">
        <f aca="false">IF(AND(ISNUMBER(S108),ISNUMBER(T108),ISNUMBER(AL_Q1),ISNUMBER(AL_Q2)),IF(AND(ABS(S108-AL_Q1)&lt;=0.000000000001,ABS(T108-AL_Q2)&lt;=0.000000000001),0,1),IF(AND(NOT(ISNUMBER(S108)),NOT(ISNUMBER(AL_Q1))),0,1))</f>
        <v>0</v>
      </c>
      <c r="Y92" s="74" t="s">
        <v>2615</v>
      </c>
    </row>
    <row r="93" customFormat="false" ht="15" hidden="false" customHeight="false" outlineLevel="0" collapsed="false">
      <c r="A93" s="61" t="s">
        <v>2616</v>
      </c>
      <c r="B93" s="61" t="s">
        <v>2575</v>
      </c>
      <c r="C93" s="86" t="n">
        <f aca="false">AL_Nmajor</f>
        <v>1</v>
      </c>
      <c r="D93" s="86" t="n">
        <f aca="false">AL_Nrefresh</f>
        <v>2</v>
      </c>
      <c r="E93" s="86" t="n">
        <f aca="false">AL_k</f>
        <v>1</v>
      </c>
      <c r="F93" s="77" t="n">
        <f aca="false">AL_APIratio</f>
        <v>0.75</v>
      </c>
      <c r="G93" s="68" t="n">
        <f aca="false">AL_TokPerPrompt</f>
        <v>4000</v>
      </c>
      <c r="H93" s="117" t="n">
        <f aca="false">AL_FreeShare_Hi</f>
        <v>0.8</v>
      </c>
      <c r="I93" s="85" t="n">
        <f aca="false">AL_MixHopper</f>
        <v>0.6</v>
      </c>
      <c r="J93" s="85" t="n">
        <f aca="false">AL_MixGB200</f>
        <v>0.4</v>
      </c>
      <c r="K93" s="85" t="n">
        <f aca="false">AL_MixGB300</f>
        <v>0</v>
      </c>
      <c r="L93" s="85" t="n">
        <f aca="false">AL_MixVR200</f>
        <v>0</v>
      </c>
      <c r="M93" s="68" t="n">
        <f aca="false">SRC_DEM_010*1000000000*525600*F93/1000000+SRC_DEM_012*1000000000*G93*365/1000000*(1-H93)</f>
        <v>3095200000</v>
      </c>
      <c r="N93" s="68" t="n">
        <f aca="false">SRC_DEM_012*1000000000*G93*365/1000000*H93</f>
        <v>2920000000</v>
      </c>
      <c r="O93" s="68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$29,0)+IF(AND(J93&gt;0,$D$26=1),J93*$D$29,0)+IF(AND(K93&gt;0,$E$26=1),K93*$E$29,0)+IF(AND(L93&gt;0,$F$26=1),L93*$F$29,0))/(IF(AND(I93&gt;0,$C$26=1),I93,0)+IF(AND(J93&gt;0,$D$26=1),J93,0)+IF(AND(K93&gt;0,$E$26=1),K93,0)+IF(AND(L93&gt;0,$F$26=1),L93,0)),"SLO 不可達"))</f>
        <v>36113797739.3207</v>
      </c>
      <c r="P93" s="68" t="n">
        <f aca="false">IF(OR(AND(I93&gt;0,$C$26=0),AND(J93&gt;0,$D$26=0),AND(K93&gt;0,$E$26=0),AND(L93&gt;0,$F$26=0)),"整代不可達",IF((IF(AND(I93&gt;0,$C$26=1),I93,0)+IF(AND(J93&gt;0,$D$26=1),J93,0)+IF(AND(K93&gt;0,$E$26=1),K93,0)+IF(AND(L93&gt;0,$F$26=1),L93,0))&gt;0,(IF(AND(I93&gt;0,$C$26=1),I93*$C$30,0)+IF(AND(J93&gt;0,$D$26=1),J93*$D$30,0)+IF(AND(K93&gt;0,$E$26=1),K93*$E$30,0)+IF(AND(L93&gt;0,$F$26=1),L93*$F$30,0))/(IF(AND(I93&gt;0,$C$26=1),I93,0)+IF(AND(J93&gt;0,$D$26=1),J93,0)+IF(AND(K93&gt;0,$E$26=1),K93,0)+IF(AND(L93&gt;0,$F$26=1),L93,0)),"SLO 不可達"))</f>
        <v>128845573400.042</v>
      </c>
      <c r="Q93" s="73" t="n">
        <f aca="false">IF(O93="整代不可達","整代不可達",IF(AND(ISNUMBER(O93),ISNUMBER(P93)),IF(AND(O93&gt;0,P93&gt;0),M93/O93+N93/P93,"SLO 不可達"),"SLO 不可達"))</f>
        <v>0.108369642932553</v>
      </c>
      <c r="R93" s="73" t="n">
        <f aca="false">IF(AND(ISNUMBER(AL_FamGWyr),ISNUMBER(AL_RefGWyr)),E93*(C93*AL_FamGWyr+D93*AL_RefGWyr),"SLO 不可達")</f>
        <v>0.240198927284027</v>
      </c>
      <c r="S93" s="103" t="n">
        <f aca="false">IF(W93="整代不可達","整代不可達",IF(AND(ISNUMBER(W93),ISNUMBER(R93)),R93/(R93+W93),"SLO 不可達"))</f>
        <v>0.211016394291892</v>
      </c>
      <c r="T93" s="103" t="n">
        <f aca="false">IF(W93="整代不可達","整代不可達",IF(AND(ISNUMBER(W93),ISNUMBER(R93)),R93*AL_HoldTrain/(R93*AL_HoldTrain+SRC_DEM_004),"SLO 不可達"))</f>
        <v>0.211748462824886</v>
      </c>
      <c r="U93" s="107" t="n">
        <f aca="false">IF(ISNUMBER(R93),R93*AL_HoldTrain,"SLO 不可達")</f>
        <v>2.25649682093027</v>
      </c>
      <c r="V93" s="72" t="n">
        <f aca="false">(M93+N93)/365/1000000</f>
        <v>16.48</v>
      </c>
      <c r="W93" s="73" t="n">
        <f aca="false">IF(O93="整代不可達","整代不可達",IF((I93*$C$39+J93*$D$39+K93*$E$39+L93*$F$39)&gt;0,SRC_DEM_004/(I93*$C$39+J93*$D$39+K93*$E$39+L93*$F$39),"SLO 不可達"))</f>
        <v>0.89809617101894</v>
      </c>
      <c r="X93" s="105" t="n">
        <f aca="false">IF(AND(ISNUMBER(S109),ISNUMBER(T109),ISNUMBER(AL_Q1),ISNUMBER(AL_Q2)),IF(AND(ABS(S109-AL_Q1)&lt;=0.000000000001,ABS(T109-AL_Q2)&lt;=0.000000000001),0,1),IF(AND(NOT(ISNUMBER(S109)),NOT(ISNUMBER(AL_Q1))),0,1))</f>
        <v>0</v>
      </c>
      <c r="Y93" s="74" t="s">
        <v>2617</v>
      </c>
    </row>
    <row r="94" customFormat="false" ht="15" hidden="false" customHeight="false" outlineLevel="0" collapsed="false">
      <c r="A94" s="61" t="s">
        <v>2618</v>
      </c>
      <c r="B94" s="61" t="s">
        <v>2619</v>
      </c>
      <c r="C94" s="86" t="n">
        <f aca="false">AL_Nmajor</f>
        <v>1</v>
      </c>
      <c r="D94" s="86" t="n">
        <f aca="false">AL_Nrefresh</f>
        <v>2</v>
      </c>
      <c r="E94" s="86" t="n">
        <f aca="false">AL_k</f>
        <v>1</v>
      </c>
      <c r="F94" s="77" t="n">
        <f aca="false">AL_APIratio</f>
        <v>0.75</v>
      </c>
      <c r="G94" s="68" t="n">
        <f aca="false">AL_TokPerPrompt</f>
        <v>4000</v>
      </c>
      <c r="H94" s="85" t="n">
        <f aca="false">AL_FreeShare</f>
        <v>0.6</v>
      </c>
      <c r="I94" s="178" t="n">
        <v>0</v>
      </c>
      <c r="J94" s="178" t="n">
        <v>1</v>
      </c>
      <c r="K94" s="178" t="n">
        <v>0</v>
      </c>
      <c r="L94" s="178" t="n">
        <v>0</v>
      </c>
      <c r="M94" s="68" t="n">
        <f aca="false">SRC_DEM_010*1000000000*525600*F94/1000000+SRC_DEM_012*1000000000*G94*365/1000000*(1-H94)</f>
        <v>3825200000</v>
      </c>
      <c r="N94" s="68" t="n">
        <f aca="false">SRC_DEM_012*1000000000*G94*365/1000000*H94</f>
        <v>2190000000</v>
      </c>
      <c r="O94" s="68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$29,0)+IF(AND(J94&gt;0,$D$26=1),J94*$D$29,0)+IF(AND(K94&gt;0,$E$26=1),K94*$E$29,0)+IF(AND(L94&gt;0,$F$26=1),L94*$F$29,0))/(IF(AND(I94&gt;0,$C$26=1),I94,0)+IF(AND(J94&gt;0,$D$26=1),J94,0)+IF(AND(K94&gt;0,$E$26=1),K94,0)+IF(AND(L94&gt;0,$F$26=1),L94,0)),"SLO 不可達"))</f>
        <v>67191407765.9557</v>
      </c>
      <c r="P94" s="68" t="n">
        <f aca="false">IF(OR(AND(I94&gt;0,$C$26=0),AND(J94&gt;0,$D$26=0),AND(K94&gt;0,$E$26=0),AND(L94&gt;0,$F$26=0)),"整代不可達",IF((IF(AND(I94&gt;0,$C$26=1),I94,0)+IF(AND(J94&gt;0,$D$26=1),J94,0)+IF(AND(K94&gt;0,$E$26=1),K94,0)+IF(AND(L94&gt;0,$F$26=1),L94,0))&gt;0,(IF(AND(I94&gt;0,$C$26=1),I94*$C$30,0)+IF(AND(J94&gt;0,$D$26=1),J94*$D$30,0)+IF(AND(K94&gt;0,$E$26=1),K94*$E$30,0)+IF(AND(L94&gt;0,$F$26=1),L94*$F$30,0))/(IF(AND(I94&gt;0,$C$26=1),I94,0)+IF(AND(J94&gt;0,$D$26=1),J94,0)+IF(AND(K94&gt;0,$E$26=1),K94,0)+IF(AND(L94&gt;0,$F$26=1),L94,0)),"SLO 不可達"))</f>
        <v>240239726016.927</v>
      </c>
      <c r="Q94" s="73" t="n">
        <f aca="false">IF(O94="整代不可達","整代不可達",IF(AND(ISNUMBER(O94),ISNUMBER(P94)),IF(AND(O94&gt;0,P94&gt;0),M94/O94+N94/P94,"SLO 不可達"),"SLO 不可達"))</f>
        <v>0.0660457926521718</v>
      </c>
      <c r="R94" s="73" t="n">
        <f aca="false">IF(AND(ISNUMBER(AL_FamGWyr),ISNUMBER(AL_RefGWyr)),E94*(C94*AL_FamGWyr+D94*AL_RefGWyr),"SLO 不可達")</f>
        <v>0.240198927284027</v>
      </c>
      <c r="S94" s="103" t="n">
        <f aca="false">IF(W94="整代不可達","整代不可達",IF(AND(ISNUMBER(W94),ISNUMBER(R94)),R94/(R94+W94),"SLO 不可達"))</f>
        <v>0.201560067892373</v>
      </c>
      <c r="T94" s="103" t="n">
        <f aca="false">IF(W94="整代不可達","整代不可達",IF(AND(ISNUMBER(W94),ISNUMBER(R94)),R94*AL_HoldTrain/(R94*AL_HoldTrain+SRC_DEM_004),"SLO 不可達"))</f>
        <v>0.211748462824886</v>
      </c>
      <c r="U94" s="107" t="n">
        <f aca="false">IF(ISNUMBER(R94),R94*AL_HoldTrain,"SLO 不可達")</f>
        <v>2.25649682093027</v>
      </c>
      <c r="V94" s="72" t="n">
        <f aca="false">(M94+N94)/365/1000000</f>
        <v>16.48</v>
      </c>
      <c r="W94" s="73" t="n">
        <f aca="false">IF(O94="整代不可達","整代不可達",IF((I94*$C$39+J94*$D$39+K94*$E$39+L94*$F$39)&gt;0,SRC_DEM_004/(I94*$C$39+J94*$D$39+K94*$E$39+L94*$F$39),"SLO 不可達"))</f>
        <v>0.951500052556991</v>
      </c>
      <c r="X94" s="105" t="n">
        <f aca="false">IF(AND(ISNUMBER(S110),ISNUMBER(T110),ISNUMBER(AL_Q1),ISNUMBER(AL_Q2)),IF(AND(ABS(S110-AL_Q1)&lt;=0.000000000001,ABS(T110-AL_Q2)&lt;=0.000000000001),0,1),IF(AND(NOT(ISNUMBER(S110)),NOT(ISNUMBER(AL_Q1))),0,1))</f>
        <v>0</v>
      </c>
      <c r="Y94" s="74" t="s">
        <v>2620</v>
      </c>
    </row>
    <row r="95" customFormat="false" ht="15" hidden="false" customHeight="false" outlineLevel="0" collapsed="false">
      <c r="A95" s="61" t="s">
        <v>2621</v>
      </c>
      <c r="B95" s="61" t="s">
        <v>2619</v>
      </c>
      <c r="C95" s="86" t="n">
        <f aca="false">AL_Nmajor</f>
        <v>1</v>
      </c>
      <c r="D95" s="86" t="n">
        <f aca="false">AL_Nrefresh</f>
        <v>2</v>
      </c>
      <c r="E95" s="86" t="n">
        <f aca="false">AL_k</f>
        <v>1</v>
      </c>
      <c r="F95" s="77" t="n">
        <f aca="false">AL_APIratio</f>
        <v>0.75</v>
      </c>
      <c r="G95" s="68" t="n">
        <f aca="false">AL_TokPerPrompt</f>
        <v>4000</v>
      </c>
      <c r="H95" s="85" t="n">
        <f aca="false">AL_FreeShare</f>
        <v>0.6</v>
      </c>
      <c r="I95" s="178" t="n">
        <v>0</v>
      </c>
      <c r="J95" s="178" t="n">
        <v>0</v>
      </c>
      <c r="K95" s="178" t="n">
        <v>0</v>
      </c>
      <c r="L95" s="178" t="n">
        <v>1</v>
      </c>
      <c r="M95" s="68" t="n">
        <f aca="false">SRC_DEM_010*1000000000*525600*F95/1000000+SRC_DEM_012*1000000000*G95*365/1000000*(1-H95)</f>
        <v>3825200000</v>
      </c>
      <c r="N95" s="68" t="n">
        <f aca="false">SRC_DEM_012*1000000000*G95*365/1000000*H95</f>
        <v>2190000000</v>
      </c>
      <c r="O95" s="68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$29,0)+IF(AND(J95&gt;0,$D$26=1),J95*$D$29,0)+IF(AND(K95&gt;0,$E$26=1),K95*$E$29,0)+IF(AND(L95&gt;0,$F$26=1),L95*$F$29,0))/(IF(AND(I95&gt;0,$C$26=1),I95,0)+IF(AND(J95&gt;0,$D$26=1),J95,0)+IF(AND(K95&gt;0,$E$26=1),K95,0)+IF(AND(L95&gt;0,$F$26=1),L95,0)),"SLO 不可達"))</f>
        <v>151955347509.519</v>
      </c>
      <c r="P95" s="68" t="n">
        <f aca="false">IF(OR(AND(I95&gt;0,$C$26=0),AND(J95&gt;0,$D$26=0),AND(K95&gt;0,$E$26=0),AND(L95&gt;0,$F$26=0)),"整代不可達",IF((IF(AND(I95&gt;0,$C$26=1),I95,0)+IF(AND(J95&gt;0,$D$26=1),J95,0)+IF(AND(K95&gt;0,$E$26=1),K95,0)+IF(AND(L95&gt;0,$F$26=1),L95,0))&gt;0,(IF(AND(I95&gt;0,$C$26=1),I95*$C$30,0)+IF(AND(J95&gt;0,$D$26=1),J95*$D$30,0)+IF(AND(K95&gt;0,$E$26=1),K95*$E$30,0)+IF(AND(L95&gt;0,$F$26=1),L95*$F$30,0))/(IF(AND(I95&gt;0,$C$26=1),I95,0)+IF(AND(J95&gt;0,$D$26=1),J95,0)+IF(AND(K95&gt;0,$E$26=1),K95,0)+IF(AND(L95&gt;0,$F$26=1),L95,0)),"SLO 不可達"))</f>
        <v>510130972611.328</v>
      </c>
      <c r="Q95" s="73" t="n">
        <f aca="false">IF(O95="整代不可達","整代不可達",IF(AND(ISNUMBER(O95),ISNUMBER(P95)),IF(AND(O95&gt;0,P95&gt;0),M95/O95+N95/P95,"SLO 不可達"),"SLO 不可達"))</f>
        <v>0.0294661996710384</v>
      </c>
      <c r="R95" s="73" t="n">
        <f aca="false">IF(AND(ISNUMBER(AL_FamGWyr),ISNUMBER(AL_RefGWyr)),E95*(C95*AL_FamGWyr+D95*AL_RefGWyr),"SLO 不可達")</f>
        <v>0.240198927284027</v>
      </c>
      <c r="S95" s="103" t="n">
        <f aca="false">IF(W95="整代不可達","整代不可達",IF(AND(ISNUMBER(W95),ISNUMBER(R95)),R95/(R95+W95),"SLO 不可達"))</f>
        <v>0.259033507602539</v>
      </c>
      <c r="T95" s="103" t="n">
        <f aca="false">IF(W95="整代不可達","整代不可達",IF(AND(ISNUMBER(W95),ISNUMBER(R95)),R95*AL_HoldTrain/(R95*AL_HoldTrain+SRC_DEM_004),"SLO 不可達"))</f>
        <v>0.211748462824886</v>
      </c>
      <c r="U95" s="107" t="n">
        <f aca="false">IF(ISNUMBER(R95),R95*AL_HoldTrain,"SLO 不可達")</f>
        <v>2.25649682093027</v>
      </c>
      <c r="V95" s="72" t="n">
        <f aca="false">(M95+N95)/365/1000000</f>
        <v>16.48</v>
      </c>
      <c r="W95" s="73" t="n">
        <f aca="false">IF(O95="整代不可達","整代不可達",IF((I95*$C$39+J95*$D$39+K95*$E$39+L95*$F$39)&gt;0,SRC_DEM_004/(I95*$C$39+J95*$D$39+K95*$E$39+L95*$F$39),"SLO 不可達"))</f>
        <v>0.687090092222239</v>
      </c>
      <c r="X95" s="105" t="n">
        <f aca="false">IF(AND(ISNUMBER(S111),ISNUMBER(T111),ISNUMBER(AL_Q1),ISNUMBER(AL_Q2)),IF(AND(ABS(S111-AL_Q1)&lt;=0.000000000001,ABS(T111-AL_Q2)&lt;=0.000000000001),0,1),IF(AND(NOT(ISNUMBER(S111)),NOT(ISNUMBER(AL_Q1))),0,1))</f>
        <v>0</v>
      </c>
      <c r="Y95" s="74" t="s">
        <v>2622</v>
      </c>
    </row>
    <row r="97" customFormat="false" ht="15" hidden="false" customHeight="false" outlineLevel="0" collapsed="false">
      <c r="A97" s="74" t="s">
        <v>2623</v>
      </c>
      <c r="B97" s="59" t="s">
        <v>751</v>
      </c>
      <c r="C97" s="86" t="n">
        <f aca="false">AL_Nmajor</f>
        <v>1</v>
      </c>
      <c r="D97" s="86" t="n">
        <f aca="false">AL_Nrefresh</f>
        <v>2</v>
      </c>
      <c r="E97" s="86" t="n">
        <f aca="false">AL_k</f>
        <v>1</v>
      </c>
      <c r="F97" s="77" t="n">
        <f aca="false">AL_APIratio</f>
        <v>0.75</v>
      </c>
      <c r="G97" s="68" t="n">
        <f aca="false">AL_TokPerPrompt</f>
        <v>4000</v>
      </c>
      <c r="H97" s="85" t="n">
        <f aca="false">AL_FreeShare</f>
        <v>0.6</v>
      </c>
      <c r="I97" s="85" t="n">
        <f aca="false">AL_MixHopper</f>
        <v>0.6</v>
      </c>
      <c r="J97" s="85" t="n">
        <f aca="false">AL_MixGB200</f>
        <v>0.4</v>
      </c>
      <c r="K97" s="85" t="n">
        <f aca="false">AL_MixGB300</f>
        <v>0</v>
      </c>
      <c r="L97" s="85" t="n">
        <f aca="false">AL_MixVR200</f>
        <v>0</v>
      </c>
      <c r="M97" s="68" t="n">
        <f aca="false">SRC_DEM_010*1000000000*525600*F97/1000000+SRC_DEM_012*1000000000*G97*365/1000000*(1-H97)</f>
        <v>3825200000</v>
      </c>
      <c r="N97" s="68" t="n">
        <f aca="false">SRC_DEM_012*1000000000*G97*365/1000000*H97</f>
        <v>2190000000</v>
      </c>
      <c r="O97" s="68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$29,0)+IF(AND(J97&gt;0,$D$26=1),J97*$D$29,0)+IF(AND(K97&gt;0,$E$26=1),K97*$E$29,0)+IF(AND(L97&gt;0,$F$26=1),L97*$F$29,0))/(IF(AND(I97&gt;0,$C$26=1),I97,0)+IF(AND(J97&gt;0,$D$26=1),J97,0)+IF(AND(K97&gt;0,$E$26=1),K97,0)+IF(AND(L97&gt;0,$F$26=1),L97,0)),"SLO 不可達"))</f>
        <v>36113797739.3207</v>
      </c>
      <c r="P97" s="68" t="n">
        <f aca="false">IF(OR(AND(I97&gt;0,$C$26=0),AND(J97&gt;0,$D$26=0),AND(K97&gt;0,$E$26=0),AND(L97&gt;0,$F$26=0)),"整代不可達",IF((IF(AND(I97&gt;0,$C$26=1),I97,0)+IF(AND(J97&gt;0,$D$26=1),J97,0)+IF(AND(K97&gt;0,$E$26=1),K97,0)+IF(AND(L97&gt;0,$F$26=1),L97,0))&gt;0,(IF(AND(I97&gt;0,$C$26=1),I97*$C$30,0)+IF(AND(J97&gt;0,$D$26=1),J97*$D$30,0)+IF(AND(K97&gt;0,$E$26=1),K97*$E$30,0)+IF(AND(L97&gt;0,$F$26=1),L97*$F$30,0))/(IF(AND(I97&gt;0,$C$26=1),I97,0)+IF(AND(J97&gt;0,$D$26=1),J97,0)+IF(AND(K97&gt;0,$E$26=1),K97,0)+IF(AND(L97&gt;0,$F$26=1),L97,0)),"SLO 不可達"))</f>
        <v>128845573400.042</v>
      </c>
      <c r="Q97" s="73" t="n">
        <f aca="false">IF(O97="整代不可達","整代不可達",IF(AND(ISNUMBER(O97),ISNUMBER(P97)),IF(AND(O97&gt;0,P97&gt;0),M97/O97+N97/P97,"SLO 不可達"),"SLO 不可達"))</f>
        <v>0.122917826491237</v>
      </c>
      <c r="R97" s="73" t="n">
        <f aca="false">IF(AND(ISNUMBER(AL_FamGWyr),ISNUMBER(AL_RefGWyr)),E97*(C97*AL_FamGWyr+D97*AL_RefGWyr),"SLO 不可達")</f>
        <v>0.240198927284027</v>
      </c>
      <c r="S97" s="103" t="n">
        <f aca="false">IF(W97="整代不可達","整代不可達",IF(AND(ISNUMBER(W97),ISNUMBER(R97)),R97/(R97+W97),"SLO 不可達"))</f>
        <v>0.211016394291892</v>
      </c>
      <c r="T97" s="103" t="n">
        <f aca="false">IF(W97="整代不可達","整代不可達",IF(AND(ISNUMBER(W97),ISNUMBER(R97)),R97*AL_HoldTrain/(R97*AL_HoldTrain+SRC_DEM_004),"SLO 不可達"))</f>
        <v>0.211748462824886</v>
      </c>
      <c r="U97" s="107" t="n">
        <f aca="false">IF(ISNUMBER(R97),R97*AL_HoldTrain,"SLO 不可達")</f>
        <v>2.25649682093027</v>
      </c>
      <c r="V97" s="72" t="n">
        <f aca="false">(M97+N97)/365/1000000</f>
        <v>16.48</v>
      </c>
      <c r="W97" s="73" t="n">
        <f aca="false">IF(O97="整代不可達","整代不可達",IF((I97*$C$39+J97*$D$39+K97*$E$39+L97*$F$39)&gt;0,SRC_DEM_004/(I97*$C$39+J97*$D$39+K97*$E$39+L97*$F$39),"SLO 不可達"))</f>
        <v>0.89809617101894</v>
      </c>
      <c r="Y97" s="74" t="s">
        <v>2624</v>
      </c>
    </row>
    <row r="98" customFormat="false" ht="15" hidden="false" customHeight="false" outlineLevel="0" collapsed="false">
      <c r="A98" s="74" t="s">
        <v>2625</v>
      </c>
      <c r="B98" s="59" t="s">
        <v>2570</v>
      </c>
      <c r="C98" s="86" t="n">
        <f aca="false">AL_Nmajor</f>
        <v>1</v>
      </c>
      <c r="D98" s="86" t="n">
        <f aca="false">AL_Nrefresh</f>
        <v>2</v>
      </c>
      <c r="E98" s="86" t="n">
        <f aca="false">AL_k</f>
        <v>1</v>
      </c>
      <c r="F98" s="77" t="n">
        <f aca="false">AL_APIratio</f>
        <v>0.75</v>
      </c>
      <c r="G98" s="68" t="n">
        <f aca="false">AL_TokPerPrompt</f>
        <v>4000</v>
      </c>
      <c r="H98" s="85" t="n">
        <f aca="false">AL_FreeShare</f>
        <v>0.6</v>
      </c>
      <c r="I98" s="85" t="n">
        <f aca="false">AL_MixHopper</f>
        <v>0.6</v>
      </c>
      <c r="J98" s="85" t="n">
        <f aca="false">AL_MixGB200</f>
        <v>0.4</v>
      </c>
      <c r="K98" s="85" t="n">
        <f aca="false">AL_MixGB300</f>
        <v>0</v>
      </c>
      <c r="L98" s="85" t="n">
        <f aca="false">AL_MixVR200</f>
        <v>0</v>
      </c>
      <c r="M98" s="68" t="n">
        <f aca="false">SRC_DEM_010*1000000000*525600*F98/1000000+SRC_DEM_012*1000000000*G98*365/1000000*(1-H98)</f>
        <v>3825200000</v>
      </c>
      <c r="N98" s="68" t="n">
        <f aca="false">SRC_DEM_012*1000000000*G98*365/1000000*H98</f>
        <v>2190000000</v>
      </c>
      <c r="O98" s="68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$29,0)+IF(AND(J98&gt;0,$D$26=1),J98*$D$29,0)+IF(AND(K98&gt;0,$E$26=1),K98*$E$29,0)+IF(AND(L98&gt;0,$F$26=1),L98*$F$29,0))/(IF(AND(I98&gt;0,$C$26=1),I98,0)+IF(AND(J98&gt;0,$D$26=1),J98,0)+IF(AND(K98&gt;0,$E$26=1),K98,0)+IF(AND(L98&gt;0,$F$26=1),L98,0)),"SLO 不可達"))</f>
        <v>36113797739.3207</v>
      </c>
      <c r="P98" s="68" t="n">
        <f aca="false">IF(OR(AND(I98&gt;0,$C$26=0),AND(J98&gt;0,$D$26=0),AND(K98&gt;0,$E$26=0),AND(L98&gt;0,$F$26=0)),"整代不可達",IF((IF(AND(I98&gt;0,$C$26=1),I98,0)+IF(AND(J98&gt;0,$D$26=1),J98,0)+IF(AND(K98&gt;0,$E$26=1),K98,0)+IF(AND(L98&gt;0,$F$26=1),L98,0))&gt;0,(IF(AND(I98&gt;0,$C$26=1),I98*$C$30,0)+IF(AND(J98&gt;0,$D$26=1),J98*$D$30,0)+IF(AND(K98&gt;0,$E$26=1),K98*$E$30,0)+IF(AND(L98&gt;0,$F$26=1),L98*$F$30,0))/(IF(AND(I98&gt;0,$C$26=1),I98,0)+IF(AND(J98&gt;0,$D$26=1),J98,0)+IF(AND(K98&gt;0,$E$26=1),K98,0)+IF(AND(L98&gt;0,$F$26=1),L98,0)),"SLO 不可達"))</f>
        <v>128845573400.042</v>
      </c>
      <c r="Q98" s="73" t="n">
        <f aca="false">IF(O98="整代不可達","整代不可達",IF(AND(ISNUMBER(O98),ISNUMBER(P98)),IF(AND(O98&gt;0,P98&gt;0),M98/O98+N98/P98,"SLO 不可達"),"SLO 不可達"))</f>
        <v>0.122917826491237</v>
      </c>
      <c r="R98" s="73" t="n">
        <f aca="false">IF(AND(ISNUMBER(AL_FamGWyr),ISNUMBER(AL_RefGWyr)),E98*(C98*AL_FamGWyr+D98*AL_RefGWyr),"SLO 不可達")</f>
        <v>0.240198927284027</v>
      </c>
      <c r="S98" s="103" t="n">
        <f aca="false">IF(W98="整代不可達","整代不可達",IF(AND(ISNUMBER(W98),ISNUMBER(R98)),R98/(R98+W98),"SLO 不可達"))</f>
        <v>0.211016394291892</v>
      </c>
      <c r="T98" s="103" t="n">
        <f aca="false">IF(W98="整代不可達","整代不可達",IF(AND(ISNUMBER(W98),ISNUMBER(R98)),R98*AL_HoldTrain/(R98*AL_HoldTrain+SRC_DEM_004),"SLO 不可達"))</f>
        <v>0.211748462824886</v>
      </c>
      <c r="U98" s="107" t="n">
        <f aca="false">IF(ISNUMBER(R98),R98*AL_HoldTrain,"SLO 不可達")</f>
        <v>2.25649682093027</v>
      </c>
      <c r="V98" s="72" t="n">
        <f aca="false">(M98+N98)/365/1000000</f>
        <v>16.48</v>
      </c>
      <c r="W98" s="73" t="n">
        <f aca="false">IF(O98="整代不可達","整代不可達",IF((I98*$C$39+J98*$D$39+K98*$E$39+L98*$F$39)&gt;0,SRC_DEM_004/(I98*$C$39+J98*$D$39+K98*$E$39+L98*$F$39),"SLO 不可達"))</f>
        <v>0.89809617101894</v>
      </c>
      <c r="Y98" s="74" t="s">
        <v>2626</v>
      </c>
    </row>
    <row r="99" customFormat="false" ht="15" hidden="false" customHeight="false" outlineLevel="0" collapsed="false">
      <c r="A99" s="74" t="s">
        <v>2627</v>
      </c>
      <c r="B99" s="59" t="s">
        <v>2570</v>
      </c>
      <c r="C99" s="86" t="n">
        <f aca="false">AL_Nmajor</f>
        <v>1</v>
      </c>
      <c r="D99" s="86" t="n">
        <f aca="false">AL_Nrefresh</f>
        <v>2</v>
      </c>
      <c r="E99" s="86" t="n">
        <f aca="false">AL_k</f>
        <v>1</v>
      </c>
      <c r="F99" s="77" t="n">
        <f aca="false">AL_APIratio</f>
        <v>0.75</v>
      </c>
      <c r="G99" s="68" t="n">
        <f aca="false">AL_TokPerPrompt</f>
        <v>4000</v>
      </c>
      <c r="H99" s="85" t="n">
        <f aca="false">AL_FreeShare</f>
        <v>0.6</v>
      </c>
      <c r="I99" s="85" t="n">
        <f aca="false">AL_MixHopper</f>
        <v>0.6</v>
      </c>
      <c r="J99" s="85" t="n">
        <f aca="false">AL_MixGB200</f>
        <v>0.4</v>
      </c>
      <c r="K99" s="85" t="n">
        <f aca="false">AL_MixGB300</f>
        <v>0</v>
      </c>
      <c r="L99" s="85" t="n">
        <f aca="false">AL_MixVR200</f>
        <v>0</v>
      </c>
      <c r="M99" s="68" t="n">
        <f aca="false">SRC_DEM_010*1000000000*525600*F99/1000000+SRC_DEM_012*1000000000*G99*365/1000000*(1-H99)</f>
        <v>3825200000</v>
      </c>
      <c r="N99" s="68" t="n">
        <f aca="false">SRC_DEM_012*1000000000*G99*365/1000000*H99</f>
        <v>2190000000</v>
      </c>
      <c r="O99" s="68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$29,0)+IF(AND(J99&gt;0,$D$26=1),J99*$D$29,0)+IF(AND(K99&gt;0,$E$26=1),K99*$E$29,0)+IF(AND(L99&gt;0,$F$26=1),L99*$F$29,0))/(IF(AND(I99&gt;0,$C$26=1),I99,0)+IF(AND(J99&gt;0,$D$26=1),J99,0)+IF(AND(K99&gt;0,$E$26=1),K99,0)+IF(AND(L99&gt;0,$F$26=1),L99,0)),"SLO 不可達"))</f>
        <v>36113797739.3207</v>
      </c>
      <c r="P99" s="68" t="n">
        <f aca="false">IF(OR(AND(I99&gt;0,$C$26=0),AND(J99&gt;0,$D$26=0),AND(K99&gt;0,$E$26=0),AND(L99&gt;0,$F$26=0)),"整代不可達",IF((IF(AND(I99&gt;0,$C$26=1),I99,0)+IF(AND(J99&gt;0,$D$26=1),J99,0)+IF(AND(K99&gt;0,$E$26=1),K99,0)+IF(AND(L99&gt;0,$F$26=1),L99,0))&gt;0,(IF(AND(I99&gt;0,$C$26=1),I99*$C$30,0)+IF(AND(J99&gt;0,$D$26=1),J99*$D$30,0)+IF(AND(K99&gt;0,$E$26=1),K99*$E$30,0)+IF(AND(L99&gt;0,$F$26=1),L99*$F$30,0))/(IF(AND(I99&gt;0,$C$26=1),I99,0)+IF(AND(J99&gt;0,$D$26=1),J99,0)+IF(AND(K99&gt;0,$E$26=1),K99,0)+IF(AND(L99&gt;0,$F$26=1),L99,0)),"SLO 不可達"))</f>
        <v>128845573400.042</v>
      </c>
      <c r="Q99" s="73" t="n">
        <f aca="false">IF(O99="整代不可達","整代不可達",IF(AND(ISNUMBER(O99),ISNUMBER(P99)),IF(AND(O99&gt;0,P99&gt;0),M99/O99+N99/P99,"SLO 不可達"),"SLO 不可達"))</f>
        <v>0.122917826491237</v>
      </c>
      <c r="R99" s="73" t="n">
        <f aca="false">IF(AND(ISNUMBER(AL_FamGWyr),ISNUMBER(AL_RefGWyr)),E99*(C99*AL_FamGWyr+D99*AL_RefGWyr),"SLO 不可達")</f>
        <v>0.240198927284027</v>
      </c>
      <c r="S99" s="103" t="n">
        <f aca="false">IF(W99="整代不可達","整代不可達",IF(AND(ISNUMBER(W99),ISNUMBER(R99)),R99/(R99+W99),"SLO 不可達"))</f>
        <v>0.211016394291892</v>
      </c>
      <c r="T99" s="103" t="n">
        <f aca="false">IF(W99="整代不可達","整代不可達",IF(AND(ISNUMBER(W99),ISNUMBER(R99)),R99*AL_HoldTrain/(R99*AL_HoldTrain+SRC_DEM_004),"SLO 不可達"))</f>
        <v>0.211748462824886</v>
      </c>
      <c r="U99" s="107" t="n">
        <f aca="false">IF(ISNUMBER(R99),R99*AL_HoldTrain,"SLO 不可達")</f>
        <v>2.25649682093027</v>
      </c>
      <c r="V99" s="72" t="n">
        <f aca="false">(M99+N99)/365/1000000</f>
        <v>16.48</v>
      </c>
      <c r="W99" s="73" t="n">
        <f aca="false">IF(O99="整代不可達","整代不可達",IF((I99*$C$39+J99*$D$39+K99*$E$39+L99*$F$39)&gt;0,SRC_DEM_004/(I99*$C$39+J99*$D$39+K99*$E$39+L99*$F$39),"SLO 不可達"))</f>
        <v>0.89809617101894</v>
      </c>
      <c r="Y99" s="74" t="s">
        <v>2628</v>
      </c>
    </row>
    <row r="100" customFormat="false" ht="15" hidden="false" customHeight="false" outlineLevel="0" collapsed="false">
      <c r="A100" s="74" t="s">
        <v>2629</v>
      </c>
      <c r="B100" s="59" t="s">
        <v>2571</v>
      </c>
      <c r="C100" s="86" t="n">
        <f aca="false">AL_Nmajor</f>
        <v>1</v>
      </c>
      <c r="D100" s="86" t="n">
        <f aca="false">AL_Nrefresh</f>
        <v>2</v>
      </c>
      <c r="E100" s="86" t="n">
        <f aca="false">AL_k</f>
        <v>1</v>
      </c>
      <c r="F100" s="77" t="n">
        <f aca="false">AL_APIratio</f>
        <v>0.75</v>
      </c>
      <c r="G100" s="68" t="n">
        <f aca="false">AL_TokPerPrompt</f>
        <v>4000</v>
      </c>
      <c r="H100" s="85" t="n">
        <f aca="false">AL_FreeShare</f>
        <v>0.6</v>
      </c>
      <c r="I100" s="85" t="n">
        <f aca="false">AL_MixHopper</f>
        <v>0.6</v>
      </c>
      <c r="J100" s="85" t="n">
        <f aca="false">AL_MixGB200</f>
        <v>0.4</v>
      </c>
      <c r="K100" s="85" t="n">
        <f aca="false">AL_MixGB300</f>
        <v>0</v>
      </c>
      <c r="L100" s="85" t="n">
        <f aca="false">AL_MixVR200</f>
        <v>0</v>
      </c>
      <c r="M100" s="68" t="n">
        <f aca="false">SRC_DEM_010*1000000000*525600*F100/1000000+SRC_DEM_012*1000000000*G100*365/1000000*(1-H100)</f>
        <v>3825200000</v>
      </c>
      <c r="N100" s="68" t="n">
        <f aca="false">SRC_DEM_012*1000000000*G100*365/1000000*H100</f>
        <v>2190000000</v>
      </c>
      <c r="O100" s="68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$29,0)+IF(AND(J100&gt;0,$D$26=1),J100*$D$29,0)+IF(AND(K100&gt;0,$E$26=1),K100*$E$29,0)+IF(AND(L100&gt;0,$F$26=1),L100*$F$29,0))/(IF(AND(I100&gt;0,$C$26=1),I100,0)+IF(AND(J100&gt;0,$D$26=1),J100,0)+IF(AND(K100&gt;0,$E$26=1),K100,0)+IF(AND(L100&gt;0,$F$26=1),L100,0)),"SLO 不可達"))</f>
        <v>36113797739.3207</v>
      </c>
      <c r="P100" s="68" t="n">
        <f aca="false">IF(OR(AND(I100&gt;0,$C$26=0),AND(J100&gt;0,$D$26=0),AND(K100&gt;0,$E$26=0),AND(L100&gt;0,$F$26=0)),"整代不可達",IF((IF(AND(I100&gt;0,$C$26=1),I100,0)+IF(AND(J100&gt;0,$D$26=1),J100,0)+IF(AND(K100&gt;0,$E$26=1),K100,0)+IF(AND(L100&gt;0,$F$26=1),L100,0))&gt;0,(IF(AND(I100&gt;0,$C$26=1),I100*$C$30,0)+IF(AND(J100&gt;0,$D$26=1),J100*$D$30,0)+IF(AND(K100&gt;0,$E$26=1),K100*$E$30,0)+IF(AND(L100&gt;0,$F$26=1),L100*$F$30,0))/(IF(AND(I100&gt;0,$C$26=1),I100,0)+IF(AND(J100&gt;0,$D$26=1),J100,0)+IF(AND(K100&gt;0,$E$26=1),K100,0)+IF(AND(L100&gt;0,$F$26=1),L100,0)),"SLO 不可達"))</f>
        <v>128845573400.042</v>
      </c>
      <c r="Q100" s="73" t="n">
        <f aca="false">IF(O100="整代不可達","整代不可達",IF(AND(ISNUMBER(O100),ISNUMBER(P100)),IF(AND(O100&gt;0,P100&gt;0),M100/O100+N100/P100,"SLO 不可達"),"SLO 不可達"))</f>
        <v>0.122917826491237</v>
      </c>
      <c r="R100" s="73" t="n">
        <f aca="false">IF(AND(ISNUMBER(AL_FamGWyr),ISNUMBER(AL_RefGWyr)),E100*(C100*AL_FamGWyr+D100*AL_RefGWyr),"SLO 不可達")</f>
        <v>0.240198927284027</v>
      </c>
      <c r="S100" s="103" t="n">
        <f aca="false">IF(W100="整代不可達","整代不可達",IF(AND(ISNUMBER(W100),ISNUMBER(R100)),R100/(R100+W100),"SLO 不可達"))</f>
        <v>0.211016394291892</v>
      </c>
      <c r="T100" s="103" t="n">
        <f aca="false">IF(W100="整代不可達","整代不可達",IF(AND(ISNUMBER(W100),ISNUMBER(R100)),R100*AL_HoldTrain/(R100*AL_HoldTrain+SRC_DEM_004),"SLO 不可達"))</f>
        <v>0.211748462824886</v>
      </c>
      <c r="U100" s="107" t="n">
        <f aca="false">IF(ISNUMBER(R100),R100*AL_HoldTrain,"SLO 不可達")</f>
        <v>2.25649682093027</v>
      </c>
      <c r="V100" s="72" t="n">
        <f aca="false">(M100+N100)/365/1000000</f>
        <v>16.48</v>
      </c>
      <c r="W100" s="73" t="n">
        <f aca="false">IF(O100="整代不可達","整代不可達",IF((I100*$C$39+J100*$D$39+K100*$E$39+L100*$F$39)&gt;0,SRC_DEM_004/(I100*$C$39+J100*$D$39+K100*$E$39+L100*$F$39),"SLO 不可達"))</f>
        <v>0.89809617101894</v>
      </c>
      <c r="Y100" s="74" t="s">
        <v>2630</v>
      </c>
    </row>
    <row r="101" customFormat="false" ht="15" hidden="false" customHeight="false" outlineLevel="0" collapsed="false">
      <c r="A101" s="74" t="s">
        <v>2631</v>
      </c>
      <c r="B101" s="59" t="s">
        <v>2571</v>
      </c>
      <c r="C101" s="86" t="n">
        <f aca="false">AL_Nmajor</f>
        <v>1</v>
      </c>
      <c r="D101" s="86" t="n">
        <f aca="false">AL_Nrefresh</f>
        <v>2</v>
      </c>
      <c r="E101" s="86" t="n">
        <f aca="false">AL_k</f>
        <v>1</v>
      </c>
      <c r="F101" s="77" t="n">
        <f aca="false">AL_APIratio</f>
        <v>0.75</v>
      </c>
      <c r="G101" s="68" t="n">
        <f aca="false">AL_TokPerPrompt</f>
        <v>4000</v>
      </c>
      <c r="H101" s="85" t="n">
        <f aca="false">AL_FreeShare</f>
        <v>0.6</v>
      </c>
      <c r="I101" s="85" t="n">
        <f aca="false">AL_MixHopper</f>
        <v>0.6</v>
      </c>
      <c r="J101" s="85" t="n">
        <f aca="false">AL_MixGB200</f>
        <v>0.4</v>
      </c>
      <c r="K101" s="85" t="n">
        <f aca="false">AL_MixGB300</f>
        <v>0</v>
      </c>
      <c r="L101" s="85" t="n">
        <f aca="false">AL_MixVR200</f>
        <v>0</v>
      </c>
      <c r="M101" s="68" t="n">
        <f aca="false">SRC_DEM_010*1000000000*525600*F101/1000000+SRC_DEM_012*1000000000*G101*365/1000000*(1-H101)</f>
        <v>3825200000</v>
      </c>
      <c r="N101" s="68" t="n">
        <f aca="false">SRC_DEM_012*1000000000*G101*365/1000000*H101</f>
        <v>2190000000</v>
      </c>
      <c r="O101" s="68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$29,0)+IF(AND(J101&gt;0,$D$26=1),J101*$D$29,0)+IF(AND(K101&gt;0,$E$26=1),K101*$E$29,0)+IF(AND(L101&gt;0,$F$26=1),L101*$F$29,0))/(IF(AND(I101&gt;0,$C$26=1),I101,0)+IF(AND(J101&gt;0,$D$26=1),J101,0)+IF(AND(K101&gt;0,$E$26=1),K101,0)+IF(AND(L101&gt;0,$F$26=1),L101,0)),"SLO 不可達"))</f>
        <v>36113797739.3207</v>
      </c>
      <c r="P101" s="68" t="n">
        <f aca="false">IF(OR(AND(I101&gt;0,$C$26=0),AND(J101&gt;0,$D$26=0),AND(K101&gt;0,$E$26=0),AND(L101&gt;0,$F$26=0)),"整代不可達",IF((IF(AND(I101&gt;0,$C$26=1),I101,0)+IF(AND(J101&gt;0,$D$26=1),J101,0)+IF(AND(K101&gt;0,$E$26=1),K101,0)+IF(AND(L101&gt;0,$F$26=1),L101,0))&gt;0,(IF(AND(I101&gt;0,$C$26=1),I101*$C$30,0)+IF(AND(J101&gt;0,$D$26=1),J101*$D$30,0)+IF(AND(K101&gt;0,$E$26=1),K101*$E$30,0)+IF(AND(L101&gt;0,$F$26=1),L101*$F$30,0))/(IF(AND(I101&gt;0,$C$26=1),I101,0)+IF(AND(J101&gt;0,$D$26=1),J101,0)+IF(AND(K101&gt;0,$E$26=1),K101,0)+IF(AND(L101&gt;0,$F$26=1),L101,0)),"SLO 不可達"))</f>
        <v>128845573400.042</v>
      </c>
      <c r="Q101" s="73" t="n">
        <f aca="false">IF(O101="整代不可達","整代不可達",IF(AND(ISNUMBER(O101),ISNUMBER(P101)),IF(AND(O101&gt;0,P101&gt;0),M101/O101+N101/P101,"SLO 不可達"),"SLO 不可達"))</f>
        <v>0.122917826491237</v>
      </c>
      <c r="R101" s="73" t="n">
        <f aca="false">IF(AND(ISNUMBER(AL_FamGWyr),ISNUMBER(AL_RefGWyr)),E101*(C101*AL_FamGWyr+D101*AL_RefGWyr),"SLO 不可達")</f>
        <v>0.240198927284027</v>
      </c>
      <c r="S101" s="103" t="n">
        <f aca="false">IF(W101="整代不可達","整代不可達",IF(AND(ISNUMBER(W101),ISNUMBER(R101)),R101/(R101+W101),"SLO 不可達"))</f>
        <v>0.211016394291892</v>
      </c>
      <c r="T101" s="103" t="n">
        <f aca="false">IF(W101="整代不可達","整代不可達",IF(AND(ISNUMBER(W101),ISNUMBER(R101)),R101*AL_HoldTrain/(R101*AL_HoldTrain+SRC_DEM_004),"SLO 不可達"))</f>
        <v>0.211748462824886</v>
      </c>
      <c r="U101" s="107" t="n">
        <f aca="false">IF(ISNUMBER(R101),R101*AL_HoldTrain,"SLO 不可達")</f>
        <v>2.25649682093027</v>
      </c>
      <c r="V101" s="72" t="n">
        <f aca="false">(M101+N101)/365/1000000</f>
        <v>16.48</v>
      </c>
      <c r="W101" s="73" t="n">
        <f aca="false">IF(O101="整代不可達","整代不可達",IF((I101*$C$39+J101*$D$39+K101*$E$39+L101*$F$39)&gt;0,SRC_DEM_004/(I101*$C$39+J101*$D$39+K101*$E$39+L101*$F$39),"SLO 不可達"))</f>
        <v>0.89809617101894</v>
      </c>
      <c r="Y101" s="74" t="s">
        <v>2632</v>
      </c>
    </row>
    <row r="102" customFormat="false" ht="15" hidden="false" customHeight="false" outlineLevel="0" collapsed="false">
      <c r="A102" s="74" t="s">
        <v>2633</v>
      </c>
      <c r="B102" s="59" t="s">
        <v>2572</v>
      </c>
      <c r="C102" s="86" t="n">
        <f aca="false">AL_Nmajor</f>
        <v>1</v>
      </c>
      <c r="D102" s="86" t="n">
        <f aca="false">AL_Nrefresh</f>
        <v>2</v>
      </c>
      <c r="E102" s="86" t="n">
        <f aca="false">AL_k</f>
        <v>1</v>
      </c>
      <c r="F102" s="77" t="n">
        <f aca="false">AL_APIratio</f>
        <v>0.75</v>
      </c>
      <c r="G102" s="68" t="n">
        <f aca="false">AL_TokPerPrompt</f>
        <v>4000</v>
      </c>
      <c r="H102" s="85" t="n">
        <f aca="false">AL_FreeShare</f>
        <v>0.6</v>
      </c>
      <c r="I102" s="85" t="n">
        <f aca="false">AL_MixHopper</f>
        <v>0.6</v>
      </c>
      <c r="J102" s="85" t="n">
        <f aca="false">AL_MixGB200</f>
        <v>0.4</v>
      </c>
      <c r="K102" s="85" t="n">
        <f aca="false">AL_MixGB300</f>
        <v>0</v>
      </c>
      <c r="L102" s="85" t="n">
        <f aca="false">AL_MixVR200</f>
        <v>0</v>
      </c>
      <c r="M102" s="68" t="n">
        <f aca="false">SRC_DEM_010*1000000000*525600*F102/1000000+SRC_DEM_012*1000000000*G102*365/1000000*(1-H102)</f>
        <v>3825200000</v>
      </c>
      <c r="N102" s="68" t="n">
        <f aca="false">SRC_DEM_012*1000000000*G102*365/1000000*H102</f>
        <v>2190000000</v>
      </c>
      <c r="O102" s="68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$29,0)+IF(AND(J102&gt;0,$D$26=1),J102*$D$29,0)+IF(AND(K102&gt;0,$E$26=1),K102*$E$29,0)+IF(AND(L102&gt;0,$F$26=1),L102*$F$29,0))/(IF(AND(I102&gt;0,$C$26=1),I102,0)+IF(AND(J102&gt;0,$D$26=1),J102,0)+IF(AND(K102&gt;0,$E$26=1),K102,0)+IF(AND(L102&gt;0,$F$26=1),L102,0)),"SLO 不可達"))</f>
        <v>36113797739.3207</v>
      </c>
      <c r="P102" s="68" t="n">
        <f aca="false">IF(OR(AND(I102&gt;0,$C$26=0),AND(J102&gt;0,$D$26=0),AND(K102&gt;0,$E$26=0),AND(L102&gt;0,$F$26=0)),"整代不可達",IF((IF(AND(I102&gt;0,$C$26=1),I102,0)+IF(AND(J102&gt;0,$D$26=1),J102,0)+IF(AND(K102&gt;0,$E$26=1),K102,0)+IF(AND(L102&gt;0,$F$26=1),L102,0))&gt;0,(IF(AND(I102&gt;0,$C$26=1),I102*$C$30,0)+IF(AND(J102&gt;0,$D$26=1),J102*$D$30,0)+IF(AND(K102&gt;0,$E$26=1),K102*$E$30,0)+IF(AND(L102&gt;0,$F$26=1),L102*$F$30,0))/(IF(AND(I102&gt;0,$C$26=1),I102,0)+IF(AND(J102&gt;0,$D$26=1),J102,0)+IF(AND(K102&gt;0,$E$26=1),K102,0)+IF(AND(L102&gt;0,$F$26=1),L102,0)),"SLO 不可達"))</f>
        <v>128845573400.042</v>
      </c>
      <c r="Q102" s="73" t="n">
        <f aca="false">IF(O102="整代不可達","整代不可達",IF(AND(ISNUMBER(O102),ISNUMBER(P102)),IF(AND(O102&gt;0,P102&gt;0),M102/O102+N102/P102,"SLO 不可達"),"SLO 不可達"))</f>
        <v>0.122917826491237</v>
      </c>
      <c r="R102" s="73" t="n">
        <f aca="false">IF(AND(ISNUMBER(AL_FamGWyr),ISNUMBER(AL_RefGWyr)),E102*(C102*AL_FamGWyr+D102*AL_RefGWyr),"SLO 不可達")</f>
        <v>0.240198927284027</v>
      </c>
      <c r="S102" s="103" t="n">
        <f aca="false">IF(W102="整代不可達","整代不可達",IF(AND(ISNUMBER(W102),ISNUMBER(R102)),R102/(R102+W102),"SLO 不可達"))</f>
        <v>0.211016394291892</v>
      </c>
      <c r="T102" s="103" t="n">
        <f aca="false">IF(W102="整代不可達","整代不可達",IF(AND(ISNUMBER(W102),ISNUMBER(R102)),R102*AL_HoldTrain/(R102*AL_HoldTrain+SRC_DEM_004),"SLO 不可達"))</f>
        <v>0.211748462824886</v>
      </c>
      <c r="U102" s="107" t="n">
        <f aca="false">IF(ISNUMBER(R102),R102*AL_HoldTrain,"SLO 不可達")</f>
        <v>2.25649682093027</v>
      </c>
      <c r="V102" s="72" t="n">
        <f aca="false">(M102+N102)/365/1000000</f>
        <v>16.48</v>
      </c>
      <c r="W102" s="73" t="n">
        <f aca="false">IF(O102="整代不可達","整代不可達",IF((I102*$C$39+J102*$D$39+K102*$E$39+L102*$F$39)&gt;0,SRC_DEM_004/(I102*$C$39+J102*$D$39+K102*$E$39+L102*$F$39),"SLO 不可達"))</f>
        <v>0.89809617101894</v>
      </c>
      <c r="Y102" s="74" t="s">
        <v>2634</v>
      </c>
    </row>
    <row r="103" customFormat="false" ht="15" hidden="false" customHeight="false" outlineLevel="0" collapsed="false">
      <c r="A103" s="74" t="s">
        <v>2635</v>
      </c>
      <c r="B103" s="59" t="s">
        <v>2572</v>
      </c>
      <c r="C103" s="86" t="n">
        <f aca="false">AL_Nmajor</f>
        <v>1</v>
      </c>
      <c r="D103" s="86" t="n">
        <f aca="false">AL_Nrefresh</f>
        <v>2</v>
      </c>
      <c r="E103" s="86" t="n">
        <f aca="false">AL_k</f>
        <v>1</v>
      </c>
      <c r="F103" s="77" t="n">
        <f aca="false">AL_APIratio</f>
        <v>0.75</v>
      </c>
      <c r="G103" s="68" t="n">
        <f aca="false">AL_TokPerPrompt</f>
        <v>4000</v>
      </c>
      <c r="H103" s="85" t="n">
        <f aca="false">AL_FreeShare</f>
        <v>0.6</v>
      </c>
      <c r="I103" s="85" t="n">
        <f aca="false">AL_MixHopper</f>
        <v>0.6</v>
      </c>
      <c r="J103" s="85" t="n">
        <f aca="false">AL_MixGB200</f>
        <v>0.4</v>
      </c>
      <c r="K103" s="85" t="n">
        <f aca="false">AL_MixGB300</f>
        <v>0</v>
      </c>
      <c r="L103" s="85" t="n">
        <f aca="false">AL_MixVR200</f>
        <v>0</v>
      </c>
      <c r="M103" s="68" t="n">
        <f aca="false">SRC_DEM_010*1000000000*525600*F103/1000000+SRC_DEM_012*1000000000*G103*365/1000000*(1-H103)</f>
        <v>3825200000</v>
      </c>
      <c r="N103" s="68" t="n">
        <f aca="false">SRC_DEM_012*1000000000*G103*365/1000000*H103</f>
        <v>2190000000</v>
      </c>
      <c r="O103" s="68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$29,0)+IF(AND(J103&gt;0,$D$26=1),J103*$D$29,0)+IF(AND(K103&gt;0,$E$26=1),K103*$E$29,0)+IF(AND(L103&gt;0,$F$26=1),L103*$F$29,0))/(IF(AND(I103&gt;0,$C$26=1),I103,0)+IF(AND(J103&gt;0,$D$26=1),J103,0)+IF(AND(K103&gt;0,$E$26=1),K103,0)+IF(AND(L103&gt;0,$F$26=1),L103,0)),"SLO 不可達"))</f>
        <v>36113797739.3207</v>
      </c>
      <c r="P103" s="68" t="n">
        <f aca="false">IF(OR(AND(I103&gt;0,$C$26=0),AND(J103&gt;0,$D$26=0),AND(K103&gt;0,$E$26=0),AND(L103&gt;0,$F$26=0)),"整代不可達",IF((IF(AND(I103&gt;0,$C$26=1),I103,0)+IF(AND(J103&gt;0,$D$26=1),J103,0)+IF(AND(K103&gt;0,$E$26=1),K103,0)+IF(AND(L103&gt;0,$F$26=1),L103,0))&gt;0,(IF(AND(I103&gt;0,$C$26=1),I103*$C$30,0)+IF(AND(J103&gt;0,$D$26=1),J103*$D$30,0)+IF(AND(K103&gt;0,$E$26=1),K103*$E$30,0)+IF(AND(L103&gt;0,$F$26=1),L103*$F$30,0))/(IF(AND(I103&gt;0,$C$26=1),I103,0)+IF(AND(J103&gt;0,$D$26=1),J103,0)+IF(AND(K103&gt;0,$E$26=1),K103,0)+IF(AND(L103&gt;0,$F$26=1),L103,0)),"SLO 不可達"))</f>
        <v>128845573400.042</v>
      </c>
      <c r="Q103" s="73" t="n">
        <f aca="false">IF(O103="整代不可達","整代不可達",IF(AND(ISNUMBER(O103),ISNUMBER(P103)),IF(AND(O103&gt;0,P103&gt;0),M103/O103+N103/P103,"SLO 不可達"),"SLO 不可達"))</f>
        <v>0.122917826491237</v>
      </c>
      <c r="R103" s="73" t="n">
        <f aca="false">IF(AND(ISNUMBER(AL_FamGWyr),ISNUMBER(AL_RefGWyr)),E103*(C103*AL_FamGWyr+D103*AL_RefGWyr),"SLO 不可達")</f>
        <v>0.240198927284027</v>
      </c>
      <c r="S103" s="103" t="n">
        <f aca="false">IF(W103="整代不可達","整代不可達",IF(AND(ISNUMBER(W103),ISNUMBER(R103)),R103/(R103+W103),"SLO 不可達"))</f>
        <v>0.211016394291892</v>
      </c>
      <c r="T103" s="103" t="n">
        <f aca="false">IF(W103="整代不可達","整代不可達",IF(AND(ISNUMBER(W103),ISNUMBER(R103)),R103*AL_HoldTrain/(R103*AL_HoldTrain+SRC_DEM_004),"SLO 不可達"))</f>
        <v>0.211748462824886</v>
      </c>
      <c r="U103" s="107" t="n">
        <f aca="false">IF(ISNUMBER(R103),R103*AL_HoldTrain,"SLO 不可達")</f>
        <v>2.25649682093027</v>
      </c>
      <c r="V103" s="72" t="n">
        <f aca="false">(M103+N103)/365/1000000</f>
        <v>16.48</v>
      </c>
      <c r="W103" s="73" t="n">
        <f aca="false">IF(O103="整代不可達","整代不可達",IF((I103*$C$39+J103*$D$39+K103*$E$39+L103*$F$39)&gt;0,SRC_DEM_004/(I103*$C$39+J103*$D$39+K103*$E$39+L103*$F$39),"SLO 不可達"))</f>
        <v>0.89809617101894</v>
      </c>
      <c r="Y103" s="74" t="s">
        <v>2636</v>
      </c>
    </row>
    <row r="104" customFormat="false" ht="15" hidden="false" customHeight="false" outlineLevel="0" collapsed="false">
      <c r="A104" s="74" t="s">
        <v>2637</v>
      </c>
      <c r="B104" s="74" t="s">
        <v>2638</v>
      </c>
      <c r="C104" s="86" t="n">
        <f aca="false">AL_Nmajor</f>
        <v>1</v>
      </c>
      <c r="D104" s="86" t="n">
        <f aca="false">AL_Nrefresh</f>
        <v>2</v>
      </c>
      <c r="E104" s="86" t="n">
        <f aca="false">AL_k</f>
        <v>1</v>
      </c>
      <c r="F104" s="77" t="n">
        <f aca="false">AL_APIratio</f>
        <v>0.75</v>
      </c>
      <c r="G104" s="68" t="n">
        <f aca="false">AL_TokPerPrompt</f>
        <v>4000</v>
      </c>
      <c r="H104" s="85" t="n">
        <f aca="false">AL_FreeShare</f>
        <v>0.6</v>
      </c>
      <c r="I104" s="85" t="n">
        <f aca="false">AL_MixHopper</f>
        <v>0.6</v>
      </c>
      <c r="J104" s="85" t="n">
        <f aca="false">AL_MixGB200</f>
        <v>0.4</v>
      </c>
      <c r="K104" s="85" t="n">
        <f aca="false">AL_MixGB300</f>
        <v>0</v>
      </c>
      <c r="L104" s="85" t="n">
        <f aca="false">AL_MixVR200</f>
        <v>0</v>
      </c>
      <c r="M104" s="68" t="n">
        <f aca="false">SRC_DEM_010*1000000000*525600*F104/1000000+SRC_DEM_012*1000000000*G104*365/1000000*(1-H104)</f>
        <v>3825200000</v>
      </c>
      <c r="N104" s="68" t="n">
        <f aca="false">SRC_DEM_012*1000000000*G104*365/1000000*H104</f>
        <v>2190000000</v>
      </c>
      <c r="O104" s="68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$29,0)+IF(AND(J104&gt;0,$D$26=1),J104*$D$29,0)+IF(AND(K104&gt;0,$E$26=1),K104*$E$29,0)+IF(AND(L104&gt;0,$F$26=1),L104*$F$29,0))/(IF(AND(I104&gt;0,$C$26=1),I104,0)+IF(AND(J104&gt;0,$D$26=1),J104,0)+IF(AND(K104&gt;0,$E$26=1),K104,0)+IF(AND(L104&gt;0,$F$26=1),L104,0)),"SLO 不可達"))</f>
        <v>36113797739.3207</v>
      </c>
      <c r="P104" s="68" t="n">
        <f aca="false">IF(OR(AND(I104&gt;0,$C$26=0),AND(J104&gt;0,$D$26=0),AND(K104&gt;0,$E$26=0),AND(L104&gt;0,$F$26=0)),"整代不可達",IF((IF(AND(I104&gt;0,$C$26=1),I104,0)+IF(AND(J104&gt;0,$D$26=1),J104,0)+IF(AND(K104&gt;0,$E$26=1),K104,0)+IF(AND(L104&gt;0,$F$26=1),L104,0))&gt;0,(IF(AND(I104&gt;0,$C$26=1),I104*$C$30,0)+IF(AND(J104&gt;0,$D$26=1),J104*$D$30,0)+IF(AND(K104&gt;0,$E$26=1),K104*$E$30,0)+IF(AND(L104&gt;0,$F$26=1),L104*$F$30,0))/(IF(AND(I104&gt;0,$C$26=1),I104,0)+IF(AND(J104&gt;0,$D$26=1),J104,0)+IF(AND(K104&gt;0,$E$26=1),K104,0)+IF(AND(L104&gt;0,$F$26=1),L104,0)),"SLO 不可達"))</f>
        <v>128845573400.042</v>
      </c>
      <c r="Q104" s="73" t="n">
        <f aca="false">IF(O104="整代不可達","整代不可達",IF(AND(ISNUMBER(O104),ISNUMBER(P104)),IF(AND(O104&gt;0,P104&gt;0),M104/O104+N104/P104,"SLO 不可達"),"SLO 不可達"))</f>
        <v>0.122917826491237</v>
      </c>
      <c r="R104" s="73" t="n">
        <f aca="false">IF(AND(ISNUMBER(AL_FamGWyr),ISNUMBER(AL_RefGWyr)),E104*(C104*AL_FamGWyr+D104*AL_RefGWyr),"SLO 不可達")</f>
        <v>0.240198927284027</v>
      </c>
      <c r="S104" s="103" t="n">
        <f aca="false">IF(W104="整代不可達","整代不可達",IF(AND(ISNUMBER(W104),ISNUMBER(R104)),R104/(R104+W104),"SLO 不可達"))</f>
        <v>0.211016394291892</v>
      </c>
      <c r="T104" s="103" t="n">
        <f aca="false">IF(W104="整代不可達","整代不可達",IF(AND(ISNUMBER(W104),ISNUMBER(R104)),R104*AL_HoldTrain/(R104*AL_HoldTrain+SRC_DEM_004),"SLO 不可達"))</f>
        <v>0.211748462824886</v>
      </c>
      <c r="U104" s="107" t="n">
        <f aca="false">IF(ISNUMBER(R104),R104*AL_HoldTrain,"SLO 不可達")</f>
        <v>2.25649682093027</v>
      </c>
      <c r="V104" s="72" t="n">
        <f aca="false">(M104+N104)/365/1000000</f>
        <v>16.48</v>
      </c>
      <c r="W104" s="73" t="n">
        <f aca="false">IF(O104="整代不可達","整代不可達",IF((I104*$C$39+J104*$D$39+K104*$E$39+L104*$F$39)&gt;0,SRC_DEM_004/(I104*$C$39+J104*$D$39+K104*$E$39+L104*$F$39),"SLO 不可達"))</f>
        <v>0.89809617101894</v>
      </c>
      <c r="Y104" s="74" t="s">
        <v>2639</v>
      </c>
    </row>
    <row r="105" customFormat="false" ht="15" hidden="false" customHeight="false" outlineLevel="0" collapsed="false">
      <c r="A105" s="74" t="s">
        <v>2640</v>
      </c>
      <c r="B105" s="74" t="s">
        <v>2638</v>
      </c>
      <c r="C105" s="86" t="n">
        <f aca="false">AL_Nmajor</f>
        <v>1</v>
      </c>
      <c r="D105" s="86" t="n">
        <f aca="false">AL_Nrefresh</f>
        <v>2</v>
      </c>
      <c r="E105" s="86" t="n">
        <f aca="false">AL_k</f>
        <v>1</v>
      </c>
      <c r="F105" s="77" t="n">
        <f aca="false">AL_APIratio</f>
        <v>0.75</v>
      </c>
      <c r="G105" s="68" t="n">
        <f aca="false">AL_TokPerPrompt</f>
        <v>4000</v>
      </c>
      <c r="H105" s="85" t="n">
        <f aca="false">AL_FreeShare</f>
        <v>0.6</v>
      </c>
      <c r="I105" s="85" t="n">
        <f aca="false">AL_MixHopper</f>
        <v>0.6</v>
      </c>
      <c r="J105" s="85" t="n">
        <f aca="false">AL_MixGB200</f>
        <v>0.4</v>
      </c>
      <c r="K105" s="85" t="n">
        <f aca="false">AL_MixGB300</f>
        <v>0</v>
      </c>
      <c r="L105" s="85" t="n">
        <f aca="false">AL_MixVR200</f>
        <v>0</v>
      </c>
      <c r="M105" s="68" t="n">
        <f aca="false">SRC_DEM_010*1000000000*525600*F105/1000000+SRC_DEM_012*1000000000*G105*365/1000000*(1-H105)</f>
        <v>3825200000</v>
      </c>
      <c r="N105" s="68" t="n">
        <f aca="false">SRC_DEM_012*1000000000*G105*365/1000000*H105</f>
        <v>2190000000</v>
      </c>
      <c r="O105" s="68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$29,0)+IF(AND(J105&gt;0,$D$26=1),J105*$D$29,0)+IF(AND(K105&gt;0,$E$26=1),K105*$E$29,0)+IF(AND(L105&gt;0,$F$26=1),L105*$F$29,0))/(IF(AND(I105&gt;0,$C$26=1),I105,0)+IF(AND(J105&gt;0,$D$26=1),J105,0)+IF(AND(K105&gt;0,$E$26=1),K105,0)+IF(AND(L105&gt;0,$F$26=1),L105,0)),"SLO 不可達"))</f>
        <v>36113797739.3207</v>
      </c>
      <c r="P105" s="68" t="n">
        <f aca="false">IF(OR(AND(I105&gt;0,$C$26=0),AND(J105&gt;0,$D$26=0),AND(K105&gt;0,$E$26=0),AND(L105&gt;0,$F$26=0)),"整代不可達",IF((IF(AND(I105&gt;0,$C$26=1),I105,0)+IF(AND(J105&gt;0,$D$26=1),J105,0)+IF(AND(K105&gt;0,$E$26=1),K105,0)+IF(AND(L105&gt;0,$F$26=1),L105,0))&gt;0,(IF(AND(I105&gt;0,$C$26=1),I105*$C$30,0)+IF(AND(J105&gt;0,$D$26=1),J105*$D$30,0)+IF(AND(K105&gt;0,$E$26=1),K105*$E$30,0)+IF(AND(L105&gt;0,$F$26=1),L105*$F$30,0))/(IF(AND(I105&gt;0,$C$26=1),I105,0)+IF(AND(J105&gt;0,$D$26=1),J105,0)+IF(AND(K105&gt;0,$E$26=1),K105,0)+IF(AND(L105&gt;0,$F$26=1),L105,0)),"SLO 不可達"))</f>
        <v>128845573400.042</v>
      </c>
      <c r="Q105" s="73" t="n">
        <f aca="false">IF(O105="整代不可達","整代不可達",IF(AND(ISNUMBER(O105),ISNUMBER(P105)),IF(AND(O105&gt;0,P105&gt;0),M105/O105+N105/P105,"SLO 不可達"),"SLO 不可達"))</f>
        <v>0.122917826491237</v>
      </c>
      <c r="R105" s="73" t="n">
        <f aca="false">IF(AND(ISNUMBER(AL_FamGWyr),ISNUMBER(AL_RefGWyr)),E105*(C105*AL_FamGWyr+D105*AL_RefGWyr),"SLO 不可達")</f>
        <v>0.240198927284027</v>
      </c>
      <c r="S105" s="103" t="n">
        <f aca="false">IF(W105="整代不可達","整代不可達",IF(AND(ISNUMBER(W105),ISNUMBER(R105)),R105/(R105+W105),"SLO 不可達"))</f>
        <v>0.211016394291892</v>
      </c>
      <c r="T105" s="103" t="n">
        <f aca="false">IF(W105="整代不可達","整代不可達",IF(AND(ISNUMBER(W105),ISNUMBER(R105)),R105*AL_HoldTrain/(R105*AL_HoldTrain+SRC_DEM_004),"SLO 不可達"))</f>
        <v>0.211748462824886</v>
      </c>
      <c r="U105" s="107" t="n">
        <f aca="false">IF(ISNUMBER(R105),R105*AL_HoldTrain,"SLO 不可達")</f>
        <v>2.25649682093027</v>
      </c>
      <c r="V105" s="72" t="n">
        <f aca="false">(M105+N105)/365/1000000</f>
        <v>16.48</v>
      </c>
      <c r="W105" s="73" t="n">
        <f aca="false">IF(O105="整代不可達","整代不可達",IF((I105*$C$39+J105*$D$39+K105*$E$39+L105*$F$39)&gt;0,SRC_DEM_004/(I105*$C$39+J105*$D$39+K105*$E$39+L105*$F$39),"SLO 不可達"))</f>
        <v>0.89809617101894</v>
      </c>
      <c r="Y105" s="74" t="s">
        <v>2641</v>
      </c>
    </row>
    <row r="106" customFormat="false" ht="15" hidden="false" customHeight="false" outlineLevel="0" collapsed="false">
      <c r="A106" s="74" t="s">
        <v>2642</v>
      </c>
      <c r="B106" s="59" t="s">
        <v>2643</v>
      </c>
      <c r="C106" s="86" t="n">
        <f aca="false">AL_Nmajor</f>
        <v>1</v>
      </c>
      <c r="D106" s="86" t="n">
        <f aca="false">AL_Nrefresh</f>
        <v>2</v>
      </c>
      <c r="E106" s="86" t="n">
        <f aca="false">AL_k</f>
        <v>1</v>
      </c>
      <c r="F106" s="77" t="n">
        <f aca="false">AL_APIratio</f>
        <v>0.75</v>
      </c>
      <c r="G106" s="68" t="n">
        <f aca="false">AL_TokPerPrompt</f>
        <v>4000</v>
      </c>
      <c r="H106" s="85" t="n">
        <f aca="false">AL_FreeShare</f>
        <v>0.6</v>
      </c>
      <c r="I106" s="85" t="n">
        <f aca="false">AL_MixHopper</f>
        <v>0.6</v>
      </c>
      <c r="J106" s="85" t="n">
        <f aca="false">AL_MixGB200</f>
        <v>0.4</v>
      </c>
      <c r="K106" s="85" t="n">
        <f aca="false">AL_MixGB300</f>
        <v>0</v>
      </c>
      <c r="L106" s="85" t="n">
        <f aca="false">AL_MixVR200</f>
        <v>0</v>
      </c>
      <c r="M106" s="68" t="n">
        <f aca="false">SRC_DEM_010*1000000000*525600*F106/1000000+SRC_DEM_012*1000000000*G106*365/1000000*(1-H106)</f>
        <v>3825200000</v>
      </c>
      <c r="N106" s="68" t="n">
        <f aca="false">SRC_DEM_012*1000000000*G106*365/1000000*H106</f>
        <v>2190000000</v>
      </c>
      <c r="O106" s="68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$29,0)+IF(AND(J106&gt;0,$D$26=1),J106*$D$29,0)+IF(AND(K106&gt;0,$E$26=1),K106*$E$29,0)+IF(AND(L106&gt;0,$F$26=1),L106*$F$29,0))/(IF(AND(I106&gt;0,$C$26=1),I106,0)+IF(AND(J106&gt;0,$D$26=1),J106,0)+IF(AND(K106&gt;0,$E$26=1),K106,0)+IF(AND(L106&gt;0,$F$26=1),L106,0)),"SLO 不可達"))</f>
        <v>36113797739.3207</v>
      </c>
      <c r="P106" s="68" t="n">
        <f aca="false">IF(OR(AND(I106&gt;0,$C$26=0),AND(J106&gt;0,$D$26=0),AND(K106&gt;0,$E$26=0),AND(L106&gt;0,$F$26=0)),"整代不可達",IF((IF(AND(I106&gt;0,$C$26=1),I106,0)+IF(AND(J106&gt;0,$D$26=1),J106,0)+IF(AND(K106&gt;0,$E$26=1),K106,0)+IF(AND(L106&gt;0,$F$26=1),L106,0))&gt;0,(IF(AND(I106&gt;0,$C$26=1),I106*$C$30,0)+IF(AND(J106&gt;0,$D$26=1),J106*$D$30,0)+IF(AND(K106&gt;0,$E$26=1),K106*$E$30,0)+IF(AND(L106&gt;0,$F$26=1),L106*$F$30,0))/(IF(AND(I106&gt;0,$C$26=1),I106,0)+IF(AND(J106&gt;0,$D$26=1),J106,0)+IF(AND(K106&gt;0,$E$26=1),K106,0)+IF(AND(L106&gt;0,$F$26=1),L106,0)),"SLO 不可達"))</f>
        <v>128845573400.042</v>
      </c>
      <c r="Q106" s="73" t="n">
        <f aca="false">IF(O106="整代不可達","整代不可達",IF(AND(ISNUMBER(O106),ISNUMBER(P106)),IF(AND(O106&gt;0,P106&gt;0),M106/O106+N106/P106,"SLO 不可達"),"SLO 不可達"))</f>
        <v>0.122917826491237</v>
      </c>
      <c r="R106" s="73" t="n">
        <f aca="false">IF(AND(ISNUMBER(AL_FamGWyr),ISNUMBER(AL_RefGWyr)),E106*(C106*AL_FamGWyr+D106*AL_RefGWyr),"SLO 不可達")</f>
        <v>0.240198927284027</v>
      </c>
      <c r="S106" s="103" t="n">
        <f aca="false">IF(W106="整代不可達","整代不可達",IF(AND(ISNUMBER(W106),ISNUMBER(R106)),R106/(R106+W106),"SLO 不可達"))</f>
        <v>0.211016394291892</v>
      </c>
      <c r="T106" s="103" t="n">
        <f aca="false">IF(W106="整代不可達","整代不可達",IF(AND(ISNUMBER(W106),ISNUMBER(R106)),R106*AL_HoldTrain/(R106*AL_HoldTrain+SRC_DEM_004),"SLO 不可達"))</f>
        <v>0.211748462824886</v>
      </c>
      <c r="U106" s="107" t="n">
        <f aca="false">IF(ISNUMBER(R106),R106*AL_HoldTrain,"SLO 不可達")</f>
        <v>2.25649682093027</v>
      </c>
      <c r="V106" s="72" t="n">
        <f aca="false">(M106+N106)/365/1000000</f>
        <v>16.48</v>
      </c>
      <c r="W106" s="73" t="n">
        <f aca="false">IF(O106="整代不可達","整代不可達",IF((I106*$C$39+J106*$D$39+K106*$E$39+L106*$F$39)&gt;0,SRC_DEM_004/(I106*$C$39+J106*$D$39+K106*$E$39+L106*$F$39),"SLO 不可達"))</f>
        <v>0.89809617101894</v>
      </c>
      <c r="Y106" s="74" t="s">
        <v>2644</v>
      </c>
    </row>
    <row r="107" customFormat="false" ht="15" hidden="false" customHeight="false" outlineLevel="0" collapsed="false">
      <c r="A107" s="74" t="s">
        <v>2645</v>
      </c>
      <c r="B107" s="59" t="s">
        <v>2643</v>
      </c>
      <c r="C107" s="86" t="n">
        <f aca="false">AL_Nmajor</f>
        <v>1</v>
      </c>
      <c r="D107" s="86" t="n">
        <f aca="false">AL_Nrefresh</f>
        <v>2</v>
      </c>
      <c r="E107" s="86" t="n">
        <f aca="false">AL_k</f>
        <v>1</v>
      </c>
      <c r="F107" s="77" t="n">
        <f aca="false">AL_APIratio</f>
        <v>0.75</v>
      </c>
      <c r="G107" s="68" t="n">
        <f aca="false">AL_TokPerPrompt</f>
        <v>4000</v>
      </c>
      <c r="H107" s="85" t="n">
        <f aca="false">AL_FreeShare</f>
        <v>0.6</v>
      </c>
      <c r="I107" s="85" t="n">
        <f aca="false">AL_MixHopper</f>
        <v>0.6</v>
      </c>
      <c r="J107" s="85" t="n">
        <f aca="false">AL_MixGB200</f>
        <v>0.4</v>
      </c>
      <c r="K107" s="85" t="n">
        <f aca="false">AL_MixGB300</f>
        <v>0</v>
      </c>
      <c r="L107" s="85" t="n">
        <f aca="false">AL_MixVR200</f>
        <v>0</v>
      </c>
      <c r="M107" s="68" t="n">
        <f aca="false">SRC_DEM_010*1000000000*525600*F107/1000000+SRC_DEM_012*1000000000*G107*365/1000000*(1-H107)</f>
        <v>3825200000</v>
      </c>
      <c r="N107" s="68" t="n">
        <f aca="false">SRC_DEM_012*1000000000*G107*365/1000000*H107</f>
        <v>2190000000</v>
      </c>
      <c r="O107" s="68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$29,0)+IF(AND(J107&gt;0,$D$26=1),J107*$D$29,0)+IF(AND(K107&gt;0,$E$26=1),K107*$E$29,0)+IF(AND(L107&gt;0,$F$26=1),L107*$F$29,0))/(IF(AND(I107&gt;0,$C$26=1),I107,0)+IF(AND(J107&gt;0,$D$26=1),J107,0)+IF(AND(K107&gt;0,$E$26=1),K107,0)+IF(AND(L107&gt;0,$F$26=1),L107,0)),"SLO 不可達"))</f>
        <v>36113797739.3207</v>
      </c>
      <c r="P107" s="68" t="n">
        <f aca="false">IF(OR(AND(I107&gt;0,$C$26=0),AND(J107&gt;0,$D$26=0),AND(K107&gt;0,$E$26=0),AND(L107&gt;0,$F$26=0)),"整代不可達",IF((IF(AND(I107&gt;0,$C$26=1),I107,0)+IF(AND(J107&gt;0,$D$26=1),J107,0)+IF(AND(K107&gt;0,$E$26=1),K107,0)+IF(AND(L107&gt;0,$F$26=1),L107,0))&gt;0,(IF(AND(I107&gt;0,$C$26=1),I107*$C$30,0)+IF(AND(J107&gt;0,$D$26=1),J107*$D$30,0)+IF(AND(K107&gt;0,$E$26=1),K107*$E$30,0)+IF(AND(L107&gt;0,$F$26=1),L107*$F$30,0))/(IF(AND(I107&gt;0,$C$26=1),I107,0)+IF(AND(J107&gt;0,$D$26=1),J107,0)+IF(AND(K107&gt;0,$E$26=1),K107,0)+IF(AND(L107&gt;0,$F$26=1),L107,0)),"SLO 不可達"))</f>
        <v>128845573400.042</v>
      </c>
      <c r="Q107" s="73" t="n">
        <f aca="false">IF(O107="整代不可達","整代不可達",IF(AND(ISNUMBER(O107),ISNUMBER(P107)),IF(AND(O107&gt;0,P107&gt;0),M107/O107+N107/P107,"SLO 不可達"),"SLO 不可達"))</f>
        <v>0.122917826491237</v>
      </c>
      <c r="R107" s="73" t="n">
        <f aca="false">IF(AND(ISNUMBER(AL_FamGWyr),ISNUMBER(AL_RefGWyr)),E107*(C107*AL_FamGWyr+D107*AL_RefGWyr),"SLO 不可達")</f>
        <v>0.240198927284027</v>
      </c>
      <c r="S107" s="103" t="n">
        <f aca="false">IF(W107="整代不可達","整代不可達",IF(AND(ISNUMBER(W107),ISNUMBER(R107)),R107/(R107+W107),"SLO 不可達"))</f>
        <v>0.211016394291892</v>
      </c>
      <c r="T107" s="103" t="n">
        <f aca="false">IF(W107="整代不可達","整代不可達",IF(AND(ISNUMBER(W107),ISNUMBER(R107)),R107*AL_HoldTrain/(R107*AL_HoldTrain+SRC_DEM_004),"SLO 不可達"))</f>
        <v>0.211748462824886</v>
      </c>
      <c r="U107" s="107" t="n">
        <f aca="false">IF(ISNUMBER(R107),R107*AL_HoldTrain,"SLO 不可達")</f>
        <v>2.25649682093027</v>
      </c>
      <c r="V107" s="72" t="n">
        <f aca="false">(M107+N107)/365/1000000</f>
        <v>16.48</v>
      </c>
      <c r="W107" s="73" t="n">
        <f aca="false">IF(O107="整代不可達","整代不可達",IF((I107*$C$39+J107*$D$39+K107*$E$39+L107*$F$39)&gt;0,SRC_DEM_004/(I107*$C$39+J107*$D$39+K107*$E$39+L107*$F$39),"SLO 不可達"))</f>
        <v>0.89809617101894</v>
      </c>
      <c r="Y107" s="74" t="s">
        <v>2646</v>
      </c>
    </row>
    <row r="108" customFormat="false" ht="15" hidden="false" customHeight="false" outlineLevel="0" collapsed="false">
      <c r="A108" s="74" t="s">
        <v>2647</v>
      </c>
      <c r="B108" s="74" t="s">
        <v>2575</v>
      </c>
      <c r="C108" s="86" t="n">
        <f aca="false">AL_Nmajor</f>
        <v>1</v>
      </c>
      <c r="D108" s="86" t="n">
        <f aca="false">AL_Nrefresh</f>
        <v>2</v>
      </c>
      <c r="E108" s="86" t="n">
        <f aca="false">AL_k</f>
        <v>1</v>
      </c>
      <c r="F108" s="77" t="n">
        <f aca="false">AL_APIratio</f>
        <v>0.75</v>
      </c>
      <c r="G108" s="68" t="n">
        <f aca="false">AL_TokPerPrompt</f>
        <v>4000</v>
      </c>
      <c r="H108" s="85" t="n">
        <f aca="false">AL_FreeShare</f>
        <v>0.6</v>
      </c>
      <c r="I108" s="85" t="n">
        <f aca="false">AL_MixHopper</f>
        <v>0.6</v>
      </c>
      <c r="J108" s="85" t="n">
        <f aca="false">AL_MixGB200</f>
        <v>0.4</v>
      </c>
      <c r="K108" s="85" t="n">
        <f aca="false">AL_MixGB300</f>
        <v>0</v>
      </c>
      <c r="L108" s="85" t="n">
        <f aca="false">AL_MixVR200</f>
        <v>0</v>
      </c>
      <c r="M108" s="68" t="n">
        <f aca="false">SRC_DEM_010*1000000000*525600*F108/1000000+SRC_DEM_012*1000000000*G108*365/1000000*(1-H108)</f>
        <v>3825200000</v>
      </c>
      <c r="N108" s="68" t="n">
        <f aca="false">SRC_DEM_012*1000000000*G108*365/1000000*H108</f>
        <v>2190000000</v>
      </c>
      <c r="O108" s="68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$29,0)+IF(AND(J108&gt;0,$D$26=1),J108*$D$29,0)+IF(AND(K108&gt;0,$E$26=1),K108*$E$29,0)+IF(AND(L108&gt;0,$F$26=1),L108*$F$29,0))/(IF(AND(I108&gt;0,$C$26=1),I108,0)+IF(AND(J108&gt;0,$D$26=1),J108,0)+IF(AND(K108&gt;0,$E$26=1),K108,0)+IF(AND(L108&gt;0,$F$26=1),L108,0)),"SLO 不可達"))</f>
        <v>36113797739.3207</v>
      </c>
      <c r="P108" s="68" t="n">
        <f aca="false">IF(OR(AND(I108&gt;0,$C$26=0),AND(J108&gt;0,$D$26=0),AND(K108&gt;0,$E$26=0),AND(L108&gt;0,$F$26=0)),"整代不可達",IF((IF(AND(I108&gt;0,$C$26=1),I108,0)+IF(AND(J108&gt;0,$D$26=1),J108,0)+IF(AND(K108&gt;0,$E$26=1),K108,0)+IF(AND(L108&gt;0,$F$26=1),L108,0))&gt;0,(IF(AND(I108&gt;0,$C$26=1),I108*$C$30,0)+IF(AND(J108&gt;0,$D$26=1),J108*$D$30,0)+IF(AND(K108&gt;0,$E$26=1),K108*$E$30,0)+IF(AND(L108&gt;0,$F$26=1),L108*$F$30,0))/(IF(AND(I108&gt;0,$C$26=1),I108,0)+IF(AND(J108&gt;0,$D$26=1),J108,0)+IF(AND(K108&gt;0,$E$26=1),K108,0)+IF(AND(L108&gt;0,$F$26=1),L108,0)),"SLO 不可達"))</f>
        <v>128845573400.042</v>
      </c>
      <c r="Q108" s="73" t="n">
        <f aca="false">IF(O108="整代不可達","整代不可達",IF(AND(ISNUMBER(O108),ISNUMBER(P108)),IF(AND(O108&gt;0,P108&gt;0),M108/O108+N108/P108,"SLO 不可達"),"SLO 不可達"))</f>
        <v>0.122917826491237</v>
      </c>
      <c r="R108" s="73" t="n">
        <f aca="false">IF(AND(ISNUMBER(AL_FamGWyr),ISNUMBER(AL_RefGWyr)),E108*(C108*AL_FamGWyr+D108*AL_RefGWyr),"SLO 不可達")</f>
        <v>0.240198927284027</v>
      </c>
      <c r="S108" s="103" t="n">
        <f aca="false">IF(W108="整代不可達","整代不可達",IF(AND(ISNUMBER(W108),ISNUMBER(R108)),R108/(R108+W108),"SLO 不可達"))</f>
        <v>0.211016394291892</v>
      </c>
      <c r="T108" s="103" t="n">
        <f aca="false">IF(W108="整代不可達","整代不可達",IF(AND(ISNUMBER(W108),ISNUMBER(R108)),R108*AL_HoldTrain/(R108*AL_HoldTrain+SRC_DEM_004),"SLO 不可達"))</f>
        <v>0.211748462824886</v>
      </c>
      <c r="U108" s="107" t="n">
        <f aca="false">IF(ISNUMBER(R108),R108*AL_HoldTrain,"SLO 不可達")</f>
        <v>2.25649682093027</v>
      </c>
      <c r="V108" s="72" t="n">
        <f aca="false">(M108+N108)/365/1000000</f>
        <v>16.48</v>
      </c>
      <c r="W108" s="73" t="n">
        <f aca="false">IF(O108="整代不可達","整代不可達",IF((I108*$C$39+J108*$D$39+K108*$E$39+L108*$F$39)&gt;0,SRC_DEM_004/(I108*$C$39+J108*$D$39+K108*$E$39+L108*$F$39),"SLO 不可達"))</f>
        <v>0.89809617101894</v>
      </c>
      <c r="Y108" s="74" t="s">
        <v>2648</v>
      </c>
    </row>
    <row r="109" customFormat="false" ht="15" hidden="false" customHeight="false" outlineLevel="0" collapsed="false">
      <c r="A109" s="74" t="s">
        <v>2649</v>
      </c>
      <c r="B109" s="74" t="s">
        <v>2575</v>
      </c>
      <c r="C109" s="86" t="n">
        <f aca="false">AL_Nmajor</f>
        <v>1</v>
      </c>
      <c r="D109" s="86" t="n">
        <f aca="false">AL_Nrefresh</f>
        <v>2</v>
      </c>
      <c r="E109" s="86" t="n">
        <f aca="false">AL_k</f>
        <v>1</v>
      </c>
      <c r="F109" s="77" t="n">
        <f aca="false">AL_APIratio</f>
        <v>0.75</v>
      </c>
      <c r="G109" s="68" t="n">
        <f aca="false">AL_TokPerPrompt</f>
        <v>4000</v>
      </c>
      <c r="H109" s="85" t="n">
        <f aca="false">AL_FreeShare</f>
        <v>0.6</v>
      </c>
      <c r="I109" s="85" t="n">
        <f aca="false">AL_MixHopper</f>
        <v>0.6</v>
      </c>
      <c r="J109" s="85" t="n">
        <f aca="false">AL_MixGB200</f>
        <v>0.4</v>
      </c>
      <c r="K109" s="85" t="n">
        <f aca="false">AL_MixGB300</f>
        <v>0</v>
      </c>
      <c r="L109" s="85" t="n">
        <f aca="false">AL_MixVR200</f>
        <v>0</v>
      </c>
      <c r="M109" s="68" t="n">
        <f aca="false">SRC_DEM_010*1000000000*525600*F109/1000000+SRC_DEM_012*1000000000*G109*365/1000000*(1-H109)</f>
        <v>3825200000</v>
      </c>
      <c r="N109" s="68" t="n">
        <f aca="false">SRC_DEM_012*1000000000*G109*365/1000000*H109</f>
        <v>2190000000</v>
      </c>
      <c r="O109" s="68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$29,0)+IF(AND(J109&gt;0,$D$26=1),J109*$D$29,0)+IF(AND(K109&gt;0,$E$26=1),K109*$E$29,0)+IF(AND(L109&gt;0,$F$26=1),L109*$F$29,0))/(IF(AND(I109&gt;0,$C$26=1),I109,0)+IF(AND(J109&gt;0,$D$26=1),J109,0)+IF(AND(K109&gt;0,$E$26=1),K109,0)+IF(AND(L109&gt;0,$F$26=1),L109,0)),"SLO 不可達"))</f>
        <v>36113797739.3207</v>
      </c>
      <c r="P109" s="68" t="n">
        <f aca="false">IF(OR(AND(I109&gt;0,$C$26=0),AND(J109&gt;0,$D$26=0),AND(K109&gt;0,$E$26=0),AND(L109&gt;0,$F$26=0)),"整代不可達",IF((IF(AND(I109&gt;0,$C$26=1),I109,0)+IF(AND(J109&gt;0,$D$26=1),J109,0)+IF(AND(K109&gt;0,$E$26=1),K109,0)+IF(AND(L109&gt;0,$F$26=1),L109,0))&gt;0,(IF(AND(I109&gt;0,$C$26=1),I109*$C$30,0)+IF(AND(J109&gt;0,$D$26=1),J109*$D$30,0)+IF(AND(K109&gt;0,$E$26=1),K109*$E$30,0)+IF(AND(L109&gt;0,$F$26=1),L109*$F$30,0))/(IF(AND(I109&gt;0,$C$26=1),I109,0)+IF(AND(J109&gt;0,$D$26=1),J109,0)+IF(AND(K109&gt;0,$E$26=1),K109,0)+IF(AND(L109&gt;0,$F$26=1),L109,0)),"SLO 不可達"))</f>
        <v>128845573400.042</v>
      </c>
      <c r="Q109" s="73" t="n">
        <f aca="false">IF(O109="整代不可達","整代不可達",IF(AND(ISNUMBER(O109),ISNUMBER(P109)),IF(AND(O109&gt;0,P109&gt;0),M109/O109+N109/P109,"SLO 不可達"),"SLO 不可達"))</f>
        <v>0.122917826491237</v>
      </c>
      <c r="R109" s="73" t="n">
        <f aca="false">IF(AND(ISNUMBER(AL_FamGWyr),ISNUMBER(AL_RefGWyr)),E109*(C109*AL_FamGWyr+D109*AL_RefGWyr),"SLO 不可達")</f>
        <v>0.240198927284027</v>
      </c>
      <c r="S109" s="103" t="n">
        <f aca="false">IF(W109="整代不可達","整代不可達",IF(AND(ISNUMBER(W109),ISNUMBER(R109)),R109/(R109+W109),"SLO 不可達"))</f>
        <v>0.211016394291892</v>
      </c>
      <c r="T109" s="103" t="n">
        <f aca="false">IF(W109="整代不可達","整代不可達",IF(AND(ISNUMBER(W109),ISNUMBER(R109)),R109*AL_HoldTrain/(R109*AL_HoldTrain+SRC_DEM_004),"SLO 不可達"))</f>
        <v>0.211748462824886</v>
      </c>
      <c r="U109" s="107" t="n">
        <f aca="false">IF(ISNUMBER(R109),R109*AL_HoldTrain,"SLO 不可達")</f>
        <v>2.25649682093027</v>
      </c>
      <c r="V109" s="72" t="n">
        <f aca="false">(M109+N109)/365/1000000</f>
        <v>16.48</v>
      </c>
      <c r="W109" s="73" t="n">
        <f aca="false">IF(O109="整代不可達","整代不可達",IF((I109*$C$39+J109*$D$39+K109*$E$39+L109*$F$39)&gt;0,SRC_DEM_004/(I109*$C$39+J109*$D$39+K109*$E$39+L109*$F$39),"SLO 不可達"))</f>
        <v>0.89809617101894</v>
      </c>
      <c r="Y109" s="74" t="s">
        <v>2650</v>
      </c>
    </row>
    <row r="110" customFormat="false" ht="15" hidden="false" customHeight="false" outlineLevel="0" collapsed="false">
      <c r="A110" s="74" t="s">
        <v>2651</v>
      </c>
      <c r="B110" s="74" t="s">
        <v>2619</v>
      </c>
      <c r="C110" s="86" t="n">
        <f aca="false">AL_Nmajor</f>
        <v>1</v>
      </c>
      <c r="D110" s="86" t="n">
        <f aca="false">AL_Nrefresh</f>
        <v>2</v>
      </c>
      <c r="E110" s="86" t="n">
        <f aca="false">AL_k</f>
        <v>1</v>
      </c>
      <c r="F110" s="77" t="n">
        <f aca="false">AL_APIratio</f>
        <v>0.75</v>
      </c>
      <c r="G110" s="68" t="n">
        <f aca="false">AL_TokPerPrompt</f>
        <v>4000</v>
      </c>
      <c r="H110" s="85" t="n">
        <f aca="false">AL_FreeShare</f>
        <v>0.6</v>
      </c>
      <c r="I110" s="85" t="n">
        <f aca="false">AL_MixHopper</f>
        <v>0.6</v>
      </c>
      <c r="J110" s="85" t="n">
        <f aca="false">AL_MixGB200</f>
        <v>0.4</v>
      </c>
      <c r="K110" s="85" t="n">
        <f aca="false">AL_MixGB300</f>
        <v>0</v>
      </c>
      <c r="L110" s="85" t="n">
        <f aca="false">AL_MixVR200</f>
        <v>0</v>
      </c>
      <c r="M110" s="68" t="n">
        <f aca="false">SRC_DEM_010*1000000000*525600*F110/1000000+SRC_DEM_012*1000000000*G110*365/1000000*(1-H110)</f>
        <v>3825200000</v>
      </c>
      <c r="N110" s="68" t="n">
        <f aca="false">SRC_DEM_012*1000000000*G110*365/1000000*H110</f>
        <v>2190000000</v>
      </c>
      <c r="O110" s="68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$29,0)+IF(AND(J110&gt;0,$D$26=1),J110*$D$29,0)+IF(AND(K110&gt;0,$E$26=1),K110*$E$29,0)+IF(AND(L110&gt;0,$F$26=1),L110*$F$29,0))/(IF(AND(I110&gt;0,$C$26=1),I110,0)+IF(AND(J110&gt;0,$D$26=1),J110,0)+IF(AND(K110&gt;0,$E$26=1),K110,0)+IF(AND(L110&gt;0,$F$26=1),L110,0)),"SLO 不可達"))</f>
        <v>36113797739.3207</v>
      </c>
      <c r="P110" s="68" t="n">
        <f aca="false">IF(OR(AND(I110&gt;0,$C$26=0),AND(J110&gt;0,$D$26=0),AND(K110&gt;0,$E$26=0),AND(L110&gt;0,$F$26=0)),"整代不可達",IF((IF(AND(I110&gt;0,$C$26=1),I110,0)+IF(AND(J110&gt;0,$D$26=1),J110,0)+IF(AND(K110&gt;0,$E$26=1),K110,0)+IF(AND(L110&gt;0,$F$26=1),L110,0))&gt;0,(IF(AND(I110&gt;0,$C$26=1),I110*$C$30,0)+IF(AND(J110&gt;0,$D$26=1),J110*$D$30,0)+IF(AND(K110&gt;0,$E$26=1),K110*$E$30,0)+IF(AND(L110&gt;0,$F$26=1),L110*$F$30,0))/(IF(AND(I110&gt;0,$C$26=1),I110,0)+IF(AND(J110&gt;0,$D$26=1),J110,0)+IF(AND(K110&gt;0,$E$26=1),K110,0)+IF(AND(L110&gt;0,$F$26=1),L110,0)),"SLO 不可達"))</f>
        <v>128845573400.042</v>
      </c>
      <c r="Q110" s="73" t="n">
        <f aca="false">IF(O110="整代不可達","整代不可達",IF(AND(ISNUMBER(O110),ISNUMBER(P110)),IF(AND(O110&gt;0,P110&gt;0),M110/O110+N110/P110,"SLO 不可達"),"SLO 不可達"))</f>
        <v>0.122917826491237</v>
      </c>
      <c r="R110" s="73" t="n">
        <f aca="false">IF(AND(ISNUMBER(AL_FamGWyr),ISNUMBER(AL_RefGWyr)),E110*(C110*AL_FamGWyr+D110*AL_RefGWyr),"SLO 不可達")</f>
        <v>0.240198927284027</v>
      </c>
      <c r="S110" s="103" t="n">
        <f aca="false">IF(W110="整代不可達","整代不可達",IF(AND(ISNUMBER(W110),ISNUMBER(R110)),R110/(R110+W110),"SLO 不可達"))</f>
        <v>0.211016394291892</v>
      </c>
      <c r="T110" s="103" t="n">
        <f aca="false">IF(W110="整代不可達","整代不可達",IF(AND(ISNUMBER(W110),ISNUMBER(R110)),R110*AL_HoldTrain/(R110*AL_HoldTrain+SRC_DEM_004),"SLO 不可達"))</f>
        <v>0.211748462824886</v>
      </c>
      <c r="U110" s="107" t="n">
        <f aca="false">IF(ISNUMBER(R110),R110*AL_HoldTrain,"SLO 不可達")</f>
        <v>2.25649682093027</v>
      </c>
      <c r="V110" s="72" t="n">
        <f aca="false">(M110+N110)/365/1000000</f>
        <v>16.48</v>
      </c>
      <c r="W110" s="73" t="n">
        <f aca="false">IF(O110="整代不可達","整代不可達",IF((I110*$C$39+J110*$D$39+K110*$E$39+L110*$F$39)&gt;0,SRC_DEM_004/(I110*$C$39+J110*$D$39+K110*$E$39+L110*$F$39),"SLO 不可達"))</f>
        <v>0.89809617101894</v>
      </c>
      <c r="Y110" s="74" t="s">
        <v>2652</v>
      </c>
    </row>
    <row r="111" customFormat="false" ht="15" hidden="false" customHeight="false" outlineLevel="0" collapsed="false">
      <c r="A111" s="74" t="s">
        <v>2653</v>
      </c>
      <c r="B111" s="74" t="s">
        <v>2619</v>
      </c>
      <c r="C111" s="86" t="n">
        <f aca="false">AL_Nmajor</f>
        <v>1</v>
      </c>
      <c r="D111" s="86" t="n">
        <f aca="false">AL_Nrefresh</f>
        <v>2</v>
      </c>
      <c r="E111" s="86" t="n">
        <f aca="false">AL_k</f>
        <v>1</v>
      </c>
      <c r="F111" s="77" t="n">
        <f aca="false">AL_APIratio</f>
        <v>0.75</v>
      </c>
      <c r="G111" s="68" t="n">
        <f aca="false">AL_TokPerPrompt</f>
        <v>4000</v>
      </c>
      <c r="H111" s="85" t="n">
        <f aca="false">AL_FreeShare</f>
        <v>0.6</v>
      </c>
      <c r="I111" s="85" t="n">
        <f aca="false">AL_MixHopper</f>
        <v>0.6</v>
      </c>
      <c r="J111" s="85" t="n">
        <f aca="false">AL_MixGB200</f>
        <v>0.4</v>
      </c>
      <c r="K111" s="85" t="n">
        <f aca="false">AL_MixGB300</f>
        <v>0</v>
      </c>
      <c r="L111" s="85" t="n">
        <f aca="false">AL_MixVR200</f>
        <v>0</v>
      </c>
      <c r="M111" s="68" t="n">
        <f aca="false">SRC_DEM_010*1000000000*525600*F111/1000000+SRC_DEM_012*1000000000*G111*365/1000000*(1-H111)</f>
        <v>3825200000</v>
      </c>
      <c r="N111" s="68" t="n">
        <f aca="false">SRC_DEM_012*1000000000*G111*365/1000000*H111</f>
        <v>2190000000</v>
      </c>
      <c r="O111" s="68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$29,0)+IF(AND(J111&gt;0,$D$26=1),J111*$D$29,0)+IF(AND(K111&gt;0,$E$26=1),K111*$E$29,0)+IF(AND(L111&gt;0,$F$26=1),L111*$F$29,0))/(IF(AND(I111&gt;0,$C$26=1),I111,0)+IF(AND(J111&gt;0,$D$26=1),J111,0)+IF(AND(K111&gt;0,$E$26=1),K111,0)+IF(AND(L111&gt;0,$F$26=1),L111,0)),"SLO 不可達"))</f>
        <v>36113797739.3207</v>
      </c>
      <c r="P111" s="68" t="n">
        <f aca="false">IF(OR(AND(I111&gt;0,$C$26=0),AND(J111&gt;0,$D$26=0),AND(K111&gt;0,$E$26=0),AND(L111&gt;0,$F$26=0)),"整代不可達",IF((IF(AND(I111&gt;0,$C$26=1),I111,0)+IF(AND(J111&gt;0,$D$26=1),J111,0)+IF(AND(K111&gt;0,$E$26=1),K111,0)+IF(AND(L111&gt;0,$F$26=1),L111,0))&gt;0,(IF(AND(I111&gt;0,$C$26=1),I111*$C$30,0)+IF(AND(J111&gt;0,$D$26=1),J111*$D$30,0)+IF(AND(K111&gt;0,$E$26=1),K111*$E$30,0)+IF(AND(L111&gt;0,$F$26=1),L111*$F$30,0))/(IF(AND(I111&gt;0,$C$26=1),I111,0)+IF(AND(J111&gt;0,$D$26=1),J111,0)+IF(AND(K111&gt;0,$E$26=1),K111,0)+IF(AND(L111&gt;0,$F$26=1),L111,0)),"SLO 不可達"))</f>
        <v>128845573400.042</v>
      </c>
      <c r="Q111" s="73" t="n">
        <f aca="false">IF(O111="整代不可達","整代不可達",IF(AND(ISNUMBER(O111),ISNUMBER(P111)),IF(AND(O111&gt;0,P111&gt;0),M111/O111+N111/P111,"SLO 不可達"),"SLO 不可達"))</f>
        <v>0.122917826491237</v>
      </c>
      <c r="R111" s="73" t="n">
        <f aca="false">IF(AND(ISNUMBER(AL_FamGWyr),ISNUMBER(AL_RefGWyr)),E111*(C111*AL_FamGWyr+D111*AL_RefGWyr),"SLO 不可達")</f>
        <v>0.240198927284027</v>
      </c>
      <c r="S111" s="103" t="n">
        <f aca="false">IF(W111="整代不可達","整代不可達",IF(AND(ISNUMBER(W111),ISNUMBER(R111)),R111/(R111+W111),"SLO 不可達"))</f>
        <v>0.211016394291892</v>
      </c>
      <c r="T111" s="103" t="n">
        <f aca="false">IF(W111="整代不可達","整代不可達",IF(AND(ISNUMBER(W111),ISNUMBER(R111)),R111*AL_HoldTrain/(R111*AL_HoldTrain+SRC_DEM_004),"SLO 不可達"))</f>
        <v>0.211748462824886</v>
      </c>
      <c r="U111" s="107" t="n">
        <f aca="false">IF(ISNUMBER(R111),R111*AL_HoldTrain,"SLO 不可達")</f>
        <v>2.25649682093027</v>
      </c>
      <c r="V111" s="72" t="n">
        <f aca="false">(M111+N111)/365/1000000</f>
        <v>16.48</v>
      </c>
      <c r="W111" s="73" t="n">
        <f aca="false">IF(O111="整代不可達","整代不可達",IF((I111*$C$39+J111*$D$39+K111*$E$39+L111*$F$39)&gt;0,SRC_DEM_004/(I111*$C$39+J111*$D$39+K111*$E$39+L111*$F$39),"SLO 不可達"))</f>
        <v>0.89809617101894</v>
      </c>
      <c r="Y111" s="74" t="s">
        <v>2654</v>
      </c>
    </row>
    <row r="113" customFormat="false" ht="15" hidden="false" customHeight="false" outlineLevel="0" collapsed="false">
      <c r="A113" s="76" t="s">
        <v>2655</v>
      </c>
      <c r="B113" s="70"/>
      <c r="C113" s="70"/>
      <c r="D113" s="70"/>
      <c r="E113" s="70"/>
      <c r="F113" s="70"/>
      <c r="G113" s="70"/>
    </row>
    <row r="114" customFormat="false" ht="29.85" hidden="false" customHeight="false" outlineLevel="0" collapsed="false">
      <c r="A114" s="5" t="s">
        <v>2656</v>
      </c>
      <c r="B114" s="62" t="s">
        <v>1528</v>
      </c>
      <c r="C114" s="63" t="n">
        <f aca="false">IF(AND(ISNUMBER(C29),ISNUMBER(INDEX(Fleet_1GW!$C$19:$Q$19,1,C$17)),ISNUMBER(INDEX(Fleet_1GW_Prod!$C$19:$Q$19,1,C$17))),C29*INDEX(Fleet_1GW_Prod!$C$19:$Q$19,1,C$17)/INDEX(Fleet_1GW!$C$19:$Q$19,1,C$17),"SLO 不可達")</f>
        <v>11560847553.8819</v>
      </c>
      <c r="D114" s="63" t="n">
        <f aca="false">IF(AND(ISNUMBER(D29),ISNUMBER(INDEX(Fleet_1GW!$C$19:$Q$19,1,D$17)),ISNUMBER(INDEX(Fleet_1GW_Prod!$C$19:$Q$19,1,D$17))),D29*INDEX(Fleet_1GW_Prod!$C$19:$Q$19,1,D$17)/INDEX(Fleet_1GW!$C$19:$Q$19,1,D$17),"SLO 不可達")</f>
        <v>53625524584.4664</v>
      </c>
      <c r="E114" s="63" t="n">
        <f aca="false">IF(AND(ISNUMBER(E29),ISNUMBER(INDEX(Fleet_1GW!$C$19:$Q$19,1,E$17)),ISNUMBER(INDEX(Fleet_1GW_Prod!$C$19:$Q$19,1,E$17))),E29*INDEX(Fleet_1GW_Prod!$C$19:$Q$19,1,E$17)/INDEX(Fleet_1GW!$C$19:$Q$19,1,E$17),"SLO 不可達")</f>
        <v>73196929071.7996</v>
      </c>
      <c r="F114" s="63" t="n">
        <f aca="false">IF(AND(ISNUMBER(F29),ISNUMBER(INDEX(Fleet_1GW!$C$19:$Q$19,1,F$17)),ISNUMBER(INDEX(Fleet_1GW_Prod!$C$19:$Q$19,1,F$17))),F29*INDEX(Fleet_1GW_Prod!$C$19:$Q$19,1,F$17)/INDEX(Fleet_1GW!$C$19:$Q$19,1,F$17),"SLO 不可達")</f>
        <v>122448413353.576</v>
      </c>
      <c r="G114" s="74" t="s">
        <v>2657</v>
      </c>
    </row>
    <row r="115" customFormat="false" ht="29.85" hidden="false" customHeight="false" outlineLevel="0" collapsed="false">
      <c r="A115" s="5" t="s">
        <v>2658</v>
      </c>
      <c r="B115" s="62" t="s">
        <v>1528</v>
      </c>
      <c r="C115" s="68" t="n">
        <f aca="false">IF(OR(AND(C$18&gt;0,NOT(ISNUMBER(C$114))),AND(D$18&gt;0,NOT(ISNUMBER(D$114))),AND(E$18&gt;0,NOT(ISNUMBER(E$114))),AND(F$18&gt;0,NOT(ISNUMBER(F$114)))),"整代不可達",IF((IF(AND(C$18&gt;0,ISNUMBER(C$114)),C$18,0)+IF(AND(D$18&gt;0,ISNUMBER(D$114)),D$18,0)+IF(AND(E$18&gt;0,ISNUMBER(E$114)),E$18,0)+IF(AND(F$18&gt;0,ISNUMBER(F$114)),F$18,0))&gt;0,(IF(AND(C$18&gt;0,ISNUMBER(C$114)),C$18*C$114,0)+IF(AND(D$18&gt;0,ISNUMBER(D$114)),D$18*D$114,0)+IF(AND(E$18&gt;0,ISNUMBER(E$114)),E$18*E$114,0)+IF(AND(F$18&gt;0,ISNUMBER(F$114)),F$18*F$114,0))/(IF(AND(C$18&gt;0,ISNUMBER(C$114)),C$18,0)+IF(AND(D$18&gt;0,ISNUMBER(D$114)),D$18,0)+IF(AND(E$18&gt;0,ISNUMBER(E$114)),E$18,0)+IF(AND(F$18&gt;0,ISNUMBER(F$114)),F$18,0)),"SLO 不可達"))</f>
        <v>28386718366.1157</v>
      </c>
    </row>
    <row r="116" customFormat="false" ht="29.85" hidden="false" customHeight="false" outlineLevel="0" collapsed="false">
      <c r="A116" s="5" t="s">
        <v>2659</v>
      </c>
      <c r="B116" s="62" t="s">
        <v>118</v>
      </c>
      <c r="C116" s="152" t="n">
        <f aca="false">IF(AND(ISNUMBER(AL_BlendPaidProd),ISNUMBER(AL_BlendPaid)),IF(AL_BlendPaid&gt;0,AL_BlendPaidProd/AL_BlendPaid,"SLO 不可達"),"SLO 不可達")</f>
        <v>0.786035259183175</v>
      </c>
      <c r="G116" s="59" t="s">
        <v>2660</v>
      </c>
    </row>
    <row r="118" customFormat="false" ht="15" hidden="false" customHeight="false" outlineLevel="0" collapsed="false">
      <c r="A118" s="76" t="s">
        <v>2661</v>
      </c>
      <c r="B118" s="70"/>
      <c r="C118" s="70"/>
      <c r="D118" s="70"/>
      <c r="E118" s="70"/>
      <c r="F118" s="70"/>
      <c r="G118" s="70"/>
    </row>
    <row r="119" customFormat="false" ht="29.85" hidden="false" customHeight="false" outlineLevel="0" collapsed="false">
      <c r="A119" s="5" t="s">
        <v>2662</v>
      </c>
      <c r="B119" s="62" t="s">
        <v>976</v>
      </c>
      <c r="C119" s="73" t="n">
        <f aca="false">IF(C26=1,(IF(C19=1,INDEX(B4_MixPaid,1,1)*IF_PriceRef_Luna,0)+IF(C20=1,INDEX(B4_MixPaid,1,2)*IF_PriceRef_Sol,0)+IF(C21=1,INDEX(B4_MixPaid,1,3)*IF_PriceRef_Astra,0))/C22,"SLO 不可達")</f>
        <v>1.96067555555556</v>
      </c>
      <c r="D119" s="73" t="n">
        <f aca="false">IF(D26=1,(IF(D19=1,INDEX(B4_MixPaid,1,1)*IF_PriceRef_Luna,0)+IF(D20=1,INDEX(B4_MixPaid,1,2)*IF_PriceRef_Sol,0)+IF(D21=1,INDEX(B4_MixPaid,1,3)*IF_PriceRef_Astra,0))/D22,"SLO 不可達")</f>
        <v>1.96067555555556</v>
      </c>
      <c r="E119" s="73" t="n">
        <f aca="false">IF(E26=1,(IF(E19=1,INDEX(B4_MixPaid,1,1)*IF_PriceRef_Luna,0)+IF(E20=1,INDEX(B4_MixPaid,1,2)*IF_PriceRef_Sol,0)+IF(E21=1,INDEX(B4_MixPaid,1,3)*IF_PriceRef_Astra,0))/E22,"SLO 不可達")</f>
        <v>1.96067555555556</v>
      </c>
      <c r="F119" s="73" t="n">
        <f aca="false">IF(F26=1,(IF(F19=1,INDEX(B4_MixPaid,1,1)*IF_PriceRef_Luna,0)+IF(F20=1,INDEX(B4_MixPaid,1,2)*IF_PriceRef_Sol,0)+IF(F21=1,INDEX(B4_MixPaid,1,3)*IF_PriceRef_Astra,0))/F22,"SLO 不可達")</f>
        <v>1.96067555555556</v>
      </c>
      <c r="G119" s="74" t="s">
        <v>2663</v>
      </c>
    </row>
    <row r="120" customFormat="false" ht="58.2" hidden="false" customHeight="false" outlineLevel="0" collapsed="false">
      <c r="A120" s="5" t="s">
        <v>2664</v>
      </c>
      <c r="B120" s="62" t="s">
        <v>976</v>
      </c>
      <c r="C120" s="152" t="n">
        <f aca="false">IF(AL_BlendPaid="整代不可達","整代不可達",IF(AND(ISNUMBER(AL_BlendPaid),AL_GenShareOK&gt;0),IF(AL_BlendPaid&gt;0,(IF(AND(C$18&gt;0,C$26=1),C$18*C$29*C$119,0)+IF(AND(D$18&gt;0,D$26=1),D$18*D$29*D$119,0)+IF(AND(E$18&gt;0,E$26=1),E$18*E$29*E$119,0)+IF(AND(F$18&gt;0,F$26=1),F$18*F$29*F$119,0))/AL_GenShareOK/AL_BlendPaid,"SLO 不可達"),"SLO 不可達"))</f>
        <v>1.96067555555556</v>
      </c>
      <c r="G120" s="74" t="s">
        <v>2665</v>
      </c>
    </row>
    <row r="121" customFormat="false" ht="29.85" hidden="false" customHeight="false" outlineLevel="0" collapsed="false">
      <c r="A121" s="5" t="s">
        <v>2666</v>
      </c>
      <c r="B121" s="62" t="s">
        <v>976</v>
      </c>
      <c r="C121" s="96" t="n">
        <f aca="false">Cap_In!$C$90</f>
        <v>1.96067555555556</v>
      </c>
      <c r="Y121" s="74" t="s">
        <v>2667</v>
      </c>
    </row>
    <row r="122" customFormat="false" ht="15" hidden="false" customHeight="false" outlineLevel="0" collapsed="false">
      <c r="A122" s="5" t="s">
        <v>2668</v>
      </c>
      <c r="B122" s="62" t="s">
        <v>118</v>
      </c>
      <c r="C122" s="73"/>
    </row>
    <row r="123" customFormat="false" ht="44" hidden="false" customHeight="false" outlineLevel="0" collapsed="false">
      <c r="A123" s="5" t="s">
        <v>2669</v>
      </c>
      <c r="C123" s="61" t="str">
        <f aca="false">IF(AL_ServeGW="整代不可達","整代不可達","SLO 不可達")</f>
        <v>SLO 不可達</v>
      </c>
    </row>
    <row r="125" customFormat="false" ht="15" hidden="false" customHeight="false" outlineLevel="0" collapsed="false">
      <c r="A125" s="76" t="s">
        <v>2670</v>
      </c>
      <c r="B125" s="70"/>
      <c r="C125" s="70"/>
      <c r="D125" s="70"/>
      <c r="E125" s="70"/>
      <c r="F125" s="70"/>
      <c r="G125" s="70"/>
    </row>
    <row r="126" customFormat="false" ht="15" hidden="false" customHeight="false" outlineLevel="0" collapsed="false">
      <c r="A126" s="5" t="s">
        <v>2671</v>
      </c>
      <c r="B126" s="62" t="s">
        <v>113</v>
      </c>
      <c r="C126" s="85" t="n">
        <f aca="false">AL_RDMixHopper</f>
        <v>0.6</v>
      </c>
      <c r="D126" s="85" t="n">
        <f aca="false">AL_RDMixGB200</f>
        <v>0.38</v>
      </c>
      <c r="E126" s="85" t="n">
        <f aca="false">AL_RDMixGB300</f>
        <v>0.02</v>
      </c>
      <c r="F126" s="85" t="n">
        <f aca="false">AL_RDMixVR200</f>
        <v>0</v>
      </c>
    </row>
    <row r="127" customFormat="false" ht="15" hidden="false" customHeight="false" outlineLevel="0" collapsed="false">
      <c r="A127" s="5" t="s">
        <v>2672</v>
      </c>
      <c r="B127" s="62" t="s">
        <v>2528</v>
      </c>
      <c r="C127" s="99" t="n">
        <f aca="false">INDEX(IF_ProgGWyr_Luna,1,C$17)</f>
        <v>0.00927434400031541</v>
      </c>
      <c r="D127" s="99" t="n">
        <f aca="false">INDEX(IF_ProgGWyr_Luna,1,D$17)</f>
        <v>0.00378530041866208</v>
      </c>
      <c r="E127" s="99" t="n">
        <f aca="false">INDEX(IF_ProgGWyr_Luna,1,E$17)</f>
        <v>0.00332896549749013</v>
      </c>
      <c r="F127" s="99" t="n">
        <f aca="false">INDEX(IF_ProgGWyr_Luna,1,F$17)</f>
        <v>0.00220433968028437</v>
      </c>
    </row>
    <row r="128" customFormat="false" ht="15" hidden="false" customHeight="false" outlineLevel="0" collapsed="false">
      <c r="A128" s="5" t="s">
        <v>2673</v>
      </c>
      <c r="B128" s="62" t="s">
        <v>2528</v>
      </c>
      <c r="C128" s="99" t="n">
        <f aca="false">INDEX(IF_ProgGWyr_Sol,1,C$17)</f>
        <v>0.0257573532274046</v>
      </c>
      <c r="D128" s="99" t="n">
        <f aca="false">INDEX(IF_ProgGWyr_Sol,1,D$17)</f>
        <v>0.0111975472382432</v>
      </c>
      <c r="E128" s="99" t="n">
        <f aca="false">INDEX(IF_ProgGWyr_Sol,1,E$17)</f>
        <v>0.0102273044724078</v>
      </c>
      <c r="F128" s="99" t="n">
        <f aca="false">INDEX(IF_ProgGWyr_Sol,1,F$17)</f>
        <v>0.00642112099901794</v>
      </c>
    </row>
    <row r="129" customFormat="false" ht="15" hidden="false" customHeight="false" outlineLevel="0" collapsed="false">
      <c r="A129" s="5" t="s">
        <v>2674</v>
      </c>
      <c r="B129" s="62" t="s">
        <v>2528</v>
      </c>
      <c r="C129" s="99" t="n">
        <f aca="false">INDEX(IF_ProgGWyr_Astra,1,C$17)</f>
        <v>0.156848141308111</v>
      </c>
      <c r="D129" s="99" t="n">
        <f aca="false">INDEX(IF_ProgGWyr_Astra,1,D$17)</f>
        <v>0.0703975899347298</v>
      </c>
      <c r="E129" s="99" t="n">
        <f aca="false">INDEX(IF_ProgGWyr_Astra,1,E$17)</f>
        <v>0.0655864074968763</v>
      </c>
      <c r="F129" s="99" t="n">
        <f aca="false">INDEX(IF_ProgGWyr_Astra,1,F$17)</f>
        <v>0.0400178434586299</v>
      </c>
    </row>
    <row r="130" customFormat="false" ht="29.85" hidden="false" customHeight="false" outlineLevel="0" collapsed="false">
      <c r="A130" s="5" t="s">
        <v>2675</v>
      </c>
      <c r="B130" s="62" t="s">
        <v>2528</v>
      </c>
      <c r="C130" s="180" t="n">
        <f aca="false">IF(AND(ISNUMBER(INDEX(Training!$C$104:$Q$104,3*(C$16-1)+1)),ISNUMBER(INDEX(Training!$C$18:$Q$18,3*(C$16-1)+1))),INDEX(Training!$C$104:$Q$104,3*(C$16-1)+1)*IF_RDMult/(INDEX(Training!$C$18:$Q$18,3*(C$16-1)+1)*8760),"SLO 不可達")</f>
        <v>0.00147142000310078</v>
      </c>
      <c r="D130" s="180" t="n">
        <f aca="false">IF(AND(ISNUMBER(INDEX(Training!$C$104:$Q$104,3*(D$16-1)+1)),ISNUMBER(INDEX(Training!$C$18:$Q$18,3*(D$16-1)+1))),INDEX(Training!$C$104:$Q$104,3*(D$16-1)+1)*IF_RDMult/(INDEX(Training!$C$18:$Q$18,3*(D$16-1)+1)*8760),"SLO 不可達")</f>
        <v>0.000618638606562888</v>
      </c>
      <c r="E130" s="180" t="n">
        <f aca="false">IF(AND(ISNUMBER(INDEX(Training!$C$104:$Q$104,3*(E$16-1)+1)),ISNUMBER(INDEX(Training!$C$18:$Q$18,3*(E$16-1)+1))),INDEX(Training!$C$104:$Q$104,3*(E$16-1)+1)*IF_RDMult/(INDEX(Training!$C$18:$Q$18,3*(E$16-1)+1)*8760),"SLO 不可達")</f>
        <v>0.00054064578047657</v>
      </c>
      <c r="F130" s="180" t="n">
        <f aca="false">IF(AND(ISNUMBER(INDEX(Training!$C$104:$Q$104,3*(F$16-1)+1)),ISNUMBER(INDEX(Training!$C$18:$Q$18,3*(F$16-1)+1))),INDEX(Training!$C$104:$Q$104,3*(F$16-1)+1)*IF_RDMult/(INDEX(Training!$C$18:$Q$18,3*(F$16-1)+1)*8760),"SLO 不可達")</f>
        <v>0.000366925610202704</v>
      </c>
    </row>
    <row r="131" customFormat="false" ht="29.85" hidden="false" customHeight="false" outlineLevel="0" collapsed="false">
      <c r="A131" s="5" t="s">
        <v>2676</v>
      </c>
      <c r="B131" s="62" t="s">
        <v>2528</v>
      </c>
      <c r="C131" s="180" t="n">
        <f aca="false">IF(AND(ISNUMBER(INDEX(Training!$C$104:$Q$104,3*(C$16-1)+2)),ISNUMBER(INDEX(Training!$C$18:$Q$18,3*(C$16-1)+2))),INDEX(Training!$C$104:$Q$104,3*(C$16-1)+2)*IF_RDMult/(INDEX(Training!$C$18:$Q$18,3*(C$16-1)+2)*8760),"SLO 不可達")</f>
        <v>0.005422341716569</v>
      </c>
      <c r="D131" s="180" t="n">
        <f aca="false">IF(AND(ISNUMBER(INDEX(Training!$C$104:$Q$104,3*(D$16-1)+2)),ISNUMBER(INDEX(Training!$C$18:$Q$18,3*(D$16-1)+2))),INDEX(Training!$C$104:$Q$104,3*(D$16-1)+2)*IF_RDMult/(INDEX(Training!$C$18:$Q$18,3*(D$16-1)+2)*8760),"SLO 不可達")</f>
        <v>0.00219692560497882</v>
      </c>
      <c r="E131" s="180" t="n">
        <f aca="false">IF(AND(ISNUMBER(INDEX(Training!$C$104:$Q$104,3*(E$16-1)+2)),ISNUMBER(INDEX(Training!$C$18:$Q$18,3*(E$16-1)+2))),INDEX(Training!$C$104:$Q$104,3*(E$16-1)+2)*IF_RDMult/(INDEX(Training!$C$18:$Q$18,3*(E$16-1)+2)*8760),"SLO 不可達")</f>
        <v>0.00190712034440033</v>
      </c>
      <c r="F131" s="180" t="n">
        <f aca="false">IF(AND(ISNUMBER(INDEX(Training!$C$104:$Q$104,3*(F$16-1)+2)),ISNUMBER(INDEX(Training!$C$18:$Q$18,3*(F$16-1)+2))),INDEX(Training!$C$104:$Q$104,3*(F$16-1)+2)*IF_RDMult/(INDEX(Training!$C$18:$Q$18,3*(F$16-1)+2)*8760),"SLO 不可達")</f>
        <v>0.00128885318421053</v>
      </c>
    </row>
    <row r="132" customFormat="false" ht="29.85" hidden="false" customHeight="false" outlineLevel="0" collapsed="false">
      <c r="A132" s="5" t="s">
        <v>2677</v>
      </c>
      <c r="B132" s="62" t="s">
        <v>2528</v>
      </c>
      <c r="C132" s="180" t="n">
        <f aca="false">IF(AND(ISNUMBER(INDEX(Training!$C$104:$Q$104,3*(C$16-1)+3)),ISNUMBER(INDEX(Training!$C$18:$Q$18,3*(C$16-1)+3))),INDEX(Training!$C$104:$Q$104,3*(C$16-1)+3)*IF_RDMult/(INDEX(Training!$C$18:$Q$18,3*(C$16-1)+3)*8760),"SLO 不可達")</f>
        <v>0.0843002900860736</v>
      </c>
      <c r="D132" s="180" t="n">
        <f aca="false">IF(AND(ISNUMBER(INDEX(Training!$C$104:$Q$104,3*(D$16-1)+3)),ISNUMBER(INDEX(Training!$C$18:$Q$18,3*(D$16-1)+3))),INDEX(Training!$C$104:$Q$104,3*(D$16-1)+3)*IF_RDMult/(INDEX(Training!$C$18:$Q$18,3*(D$16-1)+3)*8760),"SLO 不可達")</f>
        <v>0.033186037084439</v>
      </c>
      <c r="E132" s="180" t="n">
        <f aca="false">IF(AND(ISNUMBER(INDEX(Training!$C$104:$Q$104,3*(E$16-1)+3)),ISNUMBER(INDEX(Training!$C$18:$Q$18,3*(E$16-1)+3))),INDEX(Training!$C$104:$Q$104,3*(E$16-1)+3)*IF_RDMult/(INDEX(Training!$C$18:$Q$18,3*(E$16-1)+3)*8760),"SLO 不可達")</f>
        <v>0.0287154672463045</v>
      </c>
      <c r="F132" s="180" t="n">
        <f aca="false">IF(AND(ISNUMBER(INDEX(Training!$C$104:$Q$104,3*(F$16-1)+3)),ISNUMBER(INDEX(Training!$C$18:$Q$18,3*(F$16-1)+3))),INDEX(Training!$C$104:$Q$104,3*(F$16-1)+3)*IF_RDMult/(INDEX(Training!$C$18:$Q$18,3*(F$16-1)+3)*8760),"SLO 不可達")</f>
        <v>0.0193649209189288</v>
      </c>
    </row>
    <row r="133" customFormat="false" ht="29.85" hidden="false" customHeight="false" outlineLevel="0" collapsed="false">
      <c r="A133" s="5" t="s">
        <v>2678</v>
      </c>
      <c r="B133" s="61" t="s">
        <v>1980</v>
      </c>
      <c r="C133" s="105" t="n">
        <f aca="false">IF(AND(ISNUMBER(C127),ISNUMBER(C128),ISNUMBER(C129),ISNUMBER(C130),ISNUMBER(C131),ISNUMBER(C132)),1,0)</f>
        <v>1</v>
      </c>
      <c r="D133" s="105" t="n">
        <f aca="false">IF(AND(ISNUMBER(D127),ISNUMBER(D128),ISNUMBER(D129),ISNUMBER(D130),ISNUMBER(D131),ISNUMBER(D132)),1,0)</f>
        <v>1</v>
      </c>
      <c r="E133" s="105" t="n">
        <f aca="false">IF(AND(ISNUMBER(E127),ISNUMBER(E128),ISNUMBER(E129),ISNUMBER(E130),ISNUMBER(E131),ISNUMBER(E132)),1,0)</f>
        <v>1</v>
      </c>
      <c r="F133" s="105" t="n">
        <f aca="false">IF(AND(ISNUMBER(F127),ISNUMBER(F128),ISNUMBER(F129),ISNUMBER(F130),ISNUMBER(F131),ISNUMBER(F132)),1,0)</f>
        <v>1</v>
      </c>
    </row>
    <row r="134" customFormat="false" ht="15" hidden="false" customHeight="false" outlineLevel="0" collapsed="false">
      <c r="A134" s="5" t="s">
        <v>2679</v>
      </c>
      <c r="B134" s="62" t="s">
        <v>113</v>
      </c>
      <c r="C134" s="103" t="n">
        <f aca="false">SUMPRODUCT(C126:F126,C133:F133)</f>
        <v>1</v>
      </c>
    </row>
    <row r="135" customFormat="false" ht="15" hidden="false" customHeight="false" outlineLevel="0" collapsed="false">
      <c r="A135" s="5" t="s">
        <v>2680</v>
      </c>
      <c r="B135" s="62" t="s">
        <v>113</v>
      </c>
      <c r="C135" s="103" t="n">
        <f aca="false">SUM(C126:F126)-C134</f>
        <v>0</v>
      </c>
      <c r="G135" s="59" t="s">
        <v>2681</v>
      </c>
    </row>
    <row r="136" customFormat="false" ht="15" hidden="false" customHeight="false" outlineLevel="0" collapsed="false">
      <c r="A136" s="5" t="s">
        <v>2682</v>
      </c>
      <c r="B136" s="62" t="s">
        <v>113</v>
      </c>
      <c r="C136" s="103" t="n">
        <f aca="false">IF(AND(C133=1,AL_RDShareOK&gt;0),C126/AL_RDShareOK,0)</f>
        <v>0.6</v>
      </c>
      <c r="D136" s="103" t="n">
        <f aca="false">IF(AND(D133=1,AL_RDShareOK&gt;0),D126/AL_RDShareOK,0)</f>
        <v>0.38</v>
      </c>
      <c r="E136" s="103" t="n">
        <f aca="false">IF(AND(E133=1,AL_RDShareOK&gt;0),E126/AL_RDShareOK,0)</f>
        <v>0.02</v>
      </c>
      <c r="F136" s="103" t="n">
        <f aca="false">IF(AND(F133=1,AL_RDShareOK&gt;0),F126/AL_RDShareOK,0)</f>
        <v>0</v>
      </c>
    </row>
    <row r="137" customFormat="false" ht="15" hidden="false" customHeight="false" outlineLevel="0" collapsed="false">
      <c r="A137" s="60" t="s">
        <v>854</v>
      </c>
      <c r="C137" s="60" t="n">
        <v>1</v>
      </c>
      <c r="D137" s="60" t="n">
        <v>2</v>
      </c>
      <c r="E137" s="60" t="n">
        <v>3</v>
      </c>
      <c r="F137" s="60" t="s">
        <v>2526</v>
      </c>
    </row>
    <row r="138" customFormat="false" ht="29.85" hidden="false" customHeight="false" outlineLevel="0" collapsed="false">
      <c r="A138" s="5" t="s">
        <v>2683</v>
      </c>
      <c r="B138" s="62" t="s">
        <v>2528</v>
      </c>
      <c r="C138" s="99" t="n">
        <f aca="false">IF(AL_RDShareOK&gt;0,1/(IF(C136&gt;0,C136/C127,0)+IF(D136&gt;0,D136/D127,0)+IF(E136&gt;0,E136/E127,0)+IF(F136&gt;0,F136/F127,0)),"SLO 不可達")</f>
        <v>0.00584484934985856</v>
      </c>
      <c r="D138" s="99" t="n">
        <f aca="false">IF(AL_RDShareOK&gt;0,1/(IF(C136&gt;0,C136/C128,0)+IF(D136&gt;0,D136/D128,0)+IF(E136&gt;0,E136/E128,0)+IF(F136&gt;0,F136/F128,0)),"SLO 不可達")</f>
        <v>0.0168959241729325</v>
      </c>
      <c r="E138" s="99" t="n">
        <f aca="false">IF(AL_RDShareOK&gt;0,1/(IF(C136&gt;0,C136/C129,0)+IF(D136&gt;0,D136/D129,0)+IF(E136&gt;0,E136/E129,0)+IF(F136&gt;0,F136/F129,0)),"SLO 不可達")</f>
        <v>0.104951513378262</v>
      </c>
      <c r="F138" s="99" t="n">
        <f aca="false">IF(COUNT(C138:E138)=3,SUM(C138:E138),"SLO 不可達")</f>
        <v>0.127692286901053</v>
      </c>
      <c r="Y138" s="74" t="s">
        <v>2684</v>
      </c>
    </row>
    <row r="139" customFormat="false" ht="15" hidden="false" customHeight="false" outlineLevel="0" collapsed="false">
      <c r="A139" s="5" t="s">
        <v>2685</v>
      </c>
      <c r="B139" s="62" t="s">
        <v>2528</v>
      </c>
      <c r="C139" s="99" t="n">
        <f aca="false">IF(AL_RDShareOK&gt;0,1/(IF(C136&gt;0,C136/C130,0)+IF(D136&gt;0,D136/D130,0)+IF(E136&gt;0,E136/E130,0)+IF(F136&gt;0,F136/F130,0)),"SLO 不可達")</f>
        <v>0.000944274436989249</v>
      </c>
      <c r="D139" s="99" t="n">
        <f aca="false">IF(AL_RDShareOK&gt;0,1/(IF(C136&gt;0,C136/C131,0)+IF(D136&gt;0,D136/D131,0)+IF(E136&gt;0,E136/E131,0)+IF(F136&gt;0,F136/F131,0)),"SLO 不可達")</f>
        <v>0.00340009646059125</v>
      </c>
      <c r="E139" s="99" t="n">
        <f aca="false">IF(AL_RDShareOK&gt;0,1/(IF(C136&gt;0,C136/C132,0)+IF(D136&gt;0,D136/D132,0)+IF(E136&gt;0,E136/E132,0)+IF(F136&gt;0,F136/F132,0)),"SLO 不可達")</f>
        <v>0.0519089492939065</v>
      </c>
      <c r="F139" s="99" t="n">
        <f aca="false">IF(COUNT(C139:E139)=3,SUM(C139:E139),"SLO 不可達")</f>
        <v>0.056253320191487</v>
      </c>
      <c r="Y139" s="74" t="s">
        <v>2686</v>
      </c>
    </row>
    <row r="140" customFormat="false" ht="29.85" hidden="false" customHeight="false" outlineLevel="0" collapsed="false">
      <c r="A140" s="5" t="s">
        <v>2687</v>
      </c>
      <c r="B140" s="62" t="s">
        <v>1748</v>
      </c>
      <c r="C140" s="107" t="n">
        <f aca="false">IF(AL_RDShareOK&gt;0,SUMPRODUCT(C136:F136,C39:F39),"SLO 不可達")</f>
        <v>9.39428350677871</v>
      </c>
    </row>
    <row r="141" customFormat="false" ht="29.85" hidden="false" customHeight="false" outlineLevel="0" collapsed="false">
      <c r="A141" s="5" t="s">
        <v>2688</v>
      </c>
      <c r="B141" s="62" t="s">
        <v>2528</v>
      </c>
      <c r="C141" s="99" t="n">
        <f aca="false">IF(AND(ISNUMBER(INDEX(IF_ProgGWyr_Luna,1,AL_TrainCol)),ISNUMBER(INDEX(IF_ProgGWyr_Sol,1,AL_TrainCol)),ISNUMBER(INDEX(IF_ProgGWyr_Astra,1,AL_TrainCol))),INDEX(IF_ProgGWyr_Luna,1,AL_TrainCol)+INDEX(IF_ProgGWyr_Sol,1,AL_TrainCol)+INDEX(IF_ProgGWyr_Astra,1,AL_TrainCol),"SLO 不可達")</f>
        <v>0.0486433041379322</v>
      </c>
      <c r="Y141" s="74" t="s">
        <v>2689</v>
      </c>
    </row>
    <row r="142" customFormat="false" ht="15" hidden="false" customHeight="false" outlineLevel="0" collapsed="false">
      <c r="A142" s="5" t="s">
        <v>2690</v>
      </c>
      <c r="B142" s="62" t="s">
        <v>2528</v>
      </c>
      <c r="C142" s="99" t="n">
        <f aca="false">IF(AND(ISNUMBER(IF(AND(ISNUMBER(C47),ISNUMBER(C48)),C47*IF_RDMult/(C48*8760),"SLO 不可達")),ISNUMBER(IF(AND(ISNUMBER(D47),ISNUMBER(D48)),D47*IF_RDMult/(D48*8760),"SLO 不可達")),ISNUMBER(IF(AND(ISNUMBER(E47),ISNUMBER(E48)),E47*IF_RDMult/(E48*8760),"SLO 不可達"))),IF(AND(ISNUMBER(C47),ISNUMBER(C48)),C47*IF_RDMult/(C48*8760),"SLO 不可達")+IF(AND(ISNUMBER(D47),ISNUMBER(D48)),D47*IF_RDMult/(D48*8760),"SLO 不可達")+IF(AND(ISNUMBER(E47),ISNUMBER(E48)),E47*IF_RDMult/(E48*8760),"SLO 不可達"),"SLO 不可達")</f>
        <v>0.0210206997133421</v>
      </c>
      <c r="Y142" s="74" t="s">
        <v>2691</v>
      </c>
    </row>
    <row r="143" customFormat="false" ht="15" hidden="false" customHeight="false" outlineLevel="0" collapsed="false">
      <c r="A143" s="5" t="s">
        <v>2692</v>
      </c>
      <c r="B143" s="62" t="s">
        <v>2528</v>
      </c>
      <c r="C143" s="73" t="n">
        <f aca="false">IF(AND(ISNUMBER(C141),ISNUMBER(C142)),AL_k*(AL_Nmajor*C141+AL_Nrefresh*C142),"SLO 不可達")</f>
        <v>0.0906847035646163</v>
      </c>
      <c r="Y143" s="74" t="s">
        <v>2693</v>
      </c>
    </row>
    <row r="144" customFormat="false" ht="15" hidden="false" customHeight="false" outlineLevel="0" collapsed="false">
      <c r="A144" s="5" t="s">
        <v>2694</v>
      </c>
      <c r="B144" s="62" t="s">
        <v>118</v>
      </c>
      <c r="C144" s="107"/>
      <c r="G144" s="74" t="s">
        <v>2695</v>
      </c>
    </row>
    <row r="145" customFormat="false" ht="15" hidden="false" customHeight="false" outlineLevel="0" collapsed="false">
      <c r="A145" s="5" t="s">
        <v>2696</v>
      </c>
      <c r="B145" s="62" t="s">
        <v>118</v>
      </c>
      <c r="C145" s="107"/>
    </row>
    <row r="147" customFormat="false" ht="15" hidden="false" customHeight="false" outlineLevel="0" collapsed="false">
      <c r="A147" s="76" t="s">
        <v>2697</v>
      </c>
      <c r="B147" s="70"/>
      <c r="C147" s="70"/>
      <c r="D147" s="70"/>
      <c r="E147" s="70"/>
      <c r="F147" s="70"/>
      <c r="G147" s="70"/>
    </row>
    <row r="148" customFormat="false" ht="44" hidden="false" customHeight="false" outlineLevel="0" collapsed="false">
      <c r="A148" s="5" t="s">
        <v>2698</v>
      </c>
      <c r="B148" s="62" t="s">
        <v>976</v>
      </c>
      <c r="C148" s="73" t="n">
        <f aca="false">IF(C26=1,(IF(C19=1,INDEX(B4_MixPaid,1,1)*CAP_Px25_Luna,0)+IF(C20=1,INDEX(B4_MixPaid,1,2)*CAP_Px25_Sol,0)+IF(C21=1,INDEX(B4_MixPaid,1,3)*CAP_Px25_Astra,0))*(1-B4_Disc)/C22,"SLO 不可達")</f>
        <v>1.68024</v>
      </c>
      <c r="D148" s="73" t="n">
        <f aca="false">IF(D26=1,(IF(D19=1,INDEX(B4_MixPaid,1,1)*CAP_Px25_Luna,0)+IF(D20=1,INDEX(B4_MixPaid,1,2)*CAP_Px25_Sol,0)+IF(D21=1,INDEX(B4_MixPaid,1,3)*CAP_Px25_Astra,0))*(1-B4_Disc)/D22,"SLO 不可達")</f>
        <v>1.68024</v>
      </c>
      <c r="E148" s="73" t="n">
        <f aca="false">IF(E26=1,(IF(E19=1,INDEX(B4_MixPaid,1,1)*CAP_Px25_Luna,0)+IF(E20=1,INDEX(B4_MixPaid,1,2)*CAP_Px25_Sol,0)+IF(E21=1,INDEX(B4_MixPaid,1,3)*CAP_Px25_Astra,0))*(1-B4_Disc)/E22,"SLO 不可達")</f>
        <v>1.68024</v>
      </c>
      <c r="F148" s="73" t="n">
        <f aca="false">IF(F26=1,(IF(F19=1,INDEX(B4_MixPaid,1,1)*CAP_Px25_Luna,0)+IF(F20=1,INDEX(B4_MixPaid,1,2)*CAP_Px25_Sol,0)+IF(F21=1,INDEX(B4_MixPaid,1,3)*CAP_Px25_Astra,0))*(1-B4_Disc)/F22,"SLO 不可達")</f>
        <v>1.68024</v>
      </c>
      <c r="G148" s="74" t="s">
        <v>2699</v>
      </c>
    </row>
    <row r="149" customFormat="false" ht="15" hidden="false" customHeight="false" outlineLevel="0" collapsed="false">
      <c r="A149" s="5" t="s">
        <v>2700</v>
      </c>
      <c r="B149" s="62" t="s">
        <v>976</v>
      </c>
      <c r="C149" s="73" t="n">
        <f aca="false">IF(C26=1,(IF(C19=1,INDEX(B4_MixPaid,1,1)*CAP_Px25_Luna_Lo,0)+IF(C20=1,INDEX(B4_MixPaid,1,2)*CAP_Px25_Sol_Lo,0)+IF(C21=1,INDEX(B4_MixPaid,1,3)*CAP_Px25_Astra_Lo,0))*(1-B4_Disc)/C22,"SLO 不可達")</f>
        <v>0.874008</v>
      </c>
      <c r="D149" s="73" t="n">
        <f aca="false">IF(D26=1,(IF(D19=1,INDEX(B4_MixPaid,1,1)*CAP_Px25_Luna_Lo,0)+IF(D20=1,INDEX(B4_MixPaid,1,2)*CAP_Px25_Sol_Lo,0)+IF(D21=1,INDEX(B4_MixPaid,1,3)*CAP_Px25_Astra_Lo,0))*(1-B4_Disc)/D22,"SLO 不可達")</f>
        <v>0.874008</v>
      </c>
      <c r="E149" s="73" t="n">
        <f aca="false">IF(E26=1,(IF(E19=1,INDEX(B4_MixPaid,1,1)*CAP_Px25_Luna_Lo,0)+IF(E20=1,INDEX(B4_MixPaid,1,2)*CAP_Px25_Sol_Lo,0)+IF(E21=1,INDEX(B4_MixPaid,1,3)*CAP_Px25_Astra_Lo,0))*(1-B4_Disc)/E22,"SLO 不可達")</f>
        <v>0.874008</v>
      </c>
      <c r="F149" s="73" t="n">
        <f aca="false">IF(F26=1,(IF(F19=1,INDEX(B4_MixPaid,1,1)*CAP_Px25_Luna_Lo,0)+IF(F20=1,INDEX(B4_MixPaid,1,2)*CAP_Px25_Sol_Lo,0)+IF(F21=1,INDEX(B4_MixPaid,1,3)*CAP_Px25_Astra_Lo,0))*(1-B4_Disc)/F22,"SLO 不可達")</f>
        <v>0.874008</v>
      </c>
    </row>
    <row r="150" customFormat="false" ht="15" hidden="false" customHeight="false" outlineLevel="0" collapsed="false">
      <c r="A150" s="5" t="s">
        <v>2701</v>
      </c>
      <c r="B150" s="62" t="s">
        <v>976</v>
      </c>
      <c r="C150" s="73" t="n">
        <f aca="false">IF(C26=1,(IF(C19=1,INDEX(B4_MixPaid,1,1)*CAP_Px25_Luna_Hi,0)+IF(C20=1,INDEX(B4_MixPaid,1,2)*CAP_Px25_Sol_Hi,0)+IF(C21=1,INDEX(B4_MixPaid,1,3)*CAP_Px25_Astra_Hi,0))*(1-B4_Disc)/C22,"SLO 不可達")</f>
        <v>2.898112</v>
      </c>
      <c r="D150" s="73" t="n">
        <f aca="false">IF(D26=1,(IF(D19=1,INDEX(B4_MixPaid,1,1)*CAP_Px25_Luna_Hi,0)+IF(D20=1,INDEX(B4_MixPaid,1,2)*CAP_Px25_Sol_Hi,0)+IF(D21=1,INDEX(B4_MixPaid,1,3)*CAP_Px25_Astra_Hi,0))*(1-B4_Disc)/D22,"SLO 不可達")</f>
        <v>2.898112</v>
      </c>
      <c r="E150" s="73" t="n">
        <f aca="false">IF(E26=1,(IF(E19=1,INDEX(B4_MixPaid,1,1)*CAP_Px25_Luna_Hi,0)+IF(E20=1,INDEX(B4_MixPaid,1,2)*CAP_Px25_Sol_Hi,0)+IF(E21=1,INDEX(B4_MixPaid,1,3)*CAP_Px25_Astra_Hi,0))*(1-B4_Disc)/E22,"SLO 不可達")</f>
        <v>2.898112</v>
      </c>
      <c r="F150" s="73" t="n">
        <f aca="false">IF(F26=1,(IF(F19=1,INDEX(B4_MixPaid,1,1)*CAP_Px25_Luna_Hi,0)+IF(F20=1,INDEX(B4_MixPaid,1,2)*CAP_Px25_Sol_Hi,0)+IF(F21=1,INDEX(B4_MixPaid,1,3)*CAP_Px25_Astra_Hi,0))*(1-B4_Disc)/F22,"SLO 不可達")</f>
        <v>2.898112</v>
      </c>
    </row>
    <row r="151" customFormat="false" ht="44" hidden="false" customHeight="false" outlineLevel="0" collapsed="false">
      <c r="A151" s="5" t="s">
        <v>2702</v>
      </c>
      <c r="B151" s="62" t="s">
        <v>976</v>
      </c>
      <c r="C151" s="152" t="n">
        <f aca="false">IF(AL_BlendPaid="整代不可達","整代不可達",IF(AND(ISNUMBER(AL_BlendPaid),AL_GenShareOK&gt;0),IF(AL_BlendPaid&gt;0,(IF(AND(C$18&gt;0,C$26=1),C$18*C$29*C$148,0)+IF(AND(D$18&gt;0,D$26=1),D$18*D$29*D$148,0)+IF(AND(E$18&gt;0,E$26=1),E$18*E$29*E$148,0)+IF(AND(F$18&gt;0,F$26=1),F$18*F$29*F$148,0))/AL_GenShareOK/AL_BlendPaid,"SLO 不可達"),"SLO 不可達"))</f>
        <v>1.68024</v>
      </c>
      <c r="D151" s="73" t="n">
        <f aca="false">IF(AL_BlendPaid="整代不可達","整代不可達",IF(AND(ISNUMBER(AL_BlendPaid),AL_GenShareOK&gt;0),IF(AL_BlendPaid&gt;0,(IF(AND(C$18&gt;0,C$26=1),C$18*C$29*C$149,0)+IF(AND(D$18&gt;0,D$26=1),D$18*D$29*D$149,0)+IF(AND(E$18&gt;0,E$26=1),E$18*E$29*E$149,0)+IF(AND(F$18&gt;0,F$26=1),F$18*F$29*F$149,0))/AL_GenShareOK/AL_BlendPaid,"SLO 不可達"),"SLO 不可達"))</f>
        <v>0.874008</v>
      </c>
      <c r="E151" s="73" t="n">
        <f aca="false">IF(AL_BlendPaid="整代不可達","整代不可達",IF(AND(ISNUMBER(AL_BlendPaid),AL_GenShareOK&gt;0),IF(AL_BlendPaid&gt;0,(IF(AND(C$18&gt;0,C$26=1),C$18*C$29*C$150,0)+IF(AND(D$18&gt;0,D$26=1),D$18*D$29*D$150,0)+IF(AND(E$18&gt;0,E$26=1),E$18*E$29*E$150,0)+IF(AND(F$18&gt;0,F$26=1),F$18*F$29*F$150,0))/AL_GenShareOK/AL_BlendPaid,"SLO 不可達"),"SLO 不可達"))</f>
        <v>2.898112</v>
      </c>
      <c r="G151" s="74" t="s">
        <v>2703</v>
      </c>
    </row>
    <row r="152" customFormat="false" ht="15" hidden="false" customHeight="false" outlineLevel="0" collapsed="false">
      <c r="A152" s="5" t="s">
        <v>2704</v>
      </c>
      <c r="B152" s="62" t="s">
        <v>118</v>
      </c>
      <c r="C152" s="73"/>
    </row>
    <row r="153" customFormat="false" ht="44" hidden="false" customHeight="false" outlineLevel="0" collapsed="false">
      <c r="A153" s="5" t="s">
        <v>2705</v>
      </c>
      <c r="B153" s="62" t="s">
        <v>1748</v>
      </c>
      <c r="C153" s="107" t="n">
        <f aca="false">IF(AND(ISNUMBER(INDEX(IF_RevGWFleet,1,C$17)),ISNUMBER(C148),ISNUMBER(C119)),IF(C119&gt;0,INDEX(IF_RevGWFleet,1,C$17)*C148/C119,"SLO 不可達"),"SLO 不可達")</f>
        <v>5.72716454315031</v>
      </c>
      <c r="D153" s="107" t="n">
        <f aca="false">IF(AND(ISNUMBER(INDEX(IF_RevGWFleet,1,D$17)),ISNUMBER(D148),ISNUMBER(D119)),IF(D119&gt;0,INDEX(IF_RevGWFleet,1,D$17)*D148/D119,"SLO 不可達"),"SLO 不可達")</f>
        <v>24.9955487840058</v>
      </c>
      <c r="E153" s="107" t="n">
        <f aca="false">IF(AND(ISNUMBER(INDEX(IF_RevGWFleet,1,E$17)),ISNUMBER(E148),ISNUMBER(E119)),IF(E119&gt;0,INDEX(IF_RevGWFleet,1,E$17)*E148/E119,"SLO 不可達"),"SLO 不可達")</f>
        <v>34.3743196648805</v>
      </c>
      <c r="F153" s="107" t="n">
        <f aca="false">IF(AND(ISNUMBER(INDEX(IF_RevGWFleet,1,F$17)),ISNUMBER(F148),ISNUMBER(F119)),IF(F119&gt;0,INDEX(IF_RevGWFleet,1,F$17)*F148/F119,"SLO 不可達"),"SLO 不可達")</f>
        <v>56.528169716206</v>
      </c>
      <c r="G153" s="59" t="s">
        <v>2706</v>
      </c>
    </row>
    <row r="154" customFormat="false" ht="15" hidden="false" customHeight="false" outlineLevel="0" collapsed="false">
      <c r="A154" s="5" t="s">
        <v>2707</v>
      </c>
      <c r="B154" s="62" t="s">
        <v>1748</v>
      </c>
      <c r="C154" s="107" t="n">
        <f aca="false">INDEX(IF_HoldEcon,1,C$17-1)</f>
        <v>6.79107465326444</v>
      </c>
      <c r="D154" s="107" t="n">
        <f aca="false">INDEX(IF_HoldEcon,1,D$17-1)</f>
        <v>6.6118162762144</v>
      </c>
      <c r="E154" s="107" t="n">
        <f aca="false">INDEX(IF_HoldEcon,1,E$17-1)</f>
        <v>8.42889912085495</v>
      </c>
      <c r="F154" s="107" t="n">
        <f aca="false">INDEX(IF_HoldEcon,1,F$17-1)</f>
        <v>9.51207691858967</v>
      </c>
    </row>
    <row r="155" customFormat="false" ht="15" hidden="false" customHeight="false" outlineLevel="0" collapsed="false">
      <c r="A155" s="5" t="s">
        <v>2708</v>
      </c>
      <c r="B155" s="62" t="s">
        <v>1748</v>
      </c>
      <c r="C155" s="107" t="n">
        <f aca="false">INDEX(IF_HoldEcon,1,C$17+1)</f>
        <v>16.6637697337026</v>
      </c>
      <c r="D155" s="107" t="n">
        <f aca="false">INDEX(IF_HoldEcon,1,D$17+1)</f>
        <v>14.3185748619737</v>
      </c>
      <c r="E155" s="107" t="n">
        <f aca="false">INDEX(IF_HoldEcon,1,E$17+1)</f>
        <v>18.5346455040469</v>
      </c>
      <c r="F155" s="107" t="n">
        <f aca="false">INDEX(IF_HoldEcon,1,F$17+1)</f>
        <v>19.7506269894487</v>
      </c>
    </row>
    <row r="156" customFormat="false" ht="29.85" hidden="false" customHeight="false" outlineLevel="0" collapsed="false">
      <c r="A156" s="5" t="s">
        <v>2709</v>
      </c>
      <c r="B156" s="62" t="s">
        <v>1748</v>
      </c>
      <c r="C156" s="107" t="n">
        <f aca="false">IF(AND(ISNUMBER(AL_BlendPaid),AL_GenShareOK&gt;0),(IF(AND(C$18&gt;0,C$26=1),C$18*C$153,0)+IF(AND(D$18&gt;0,D$26=1),D$18*D$153,0)+IF(AND(E$18&gt;0,E$26=1),E$18*E$153,0)+IF(AND(F$18&gt;0,F$26=1),F$18*F$153,0))/AL_GenShareOK,AL_UnavailTxt)</f>
        <v>13.4345182394925</v>
      </c>
    </row>
    <row r="157" customFormat="false" ht="29.85" hidden="false" customHeight="false" outlineLevel="0" collapsed="false">
      <c r="A157" s="5" t="s">
        <v>2710</v>
      </c>
      <c r="B157" s="62" t="s">
        <v>1748</v>
      </c>
      <c r="C157" s="107" t="n">
        <f aca="false">IF(AND(ISNUMBER(AL_BlendPaid),AL_GenShareOK&gt;0),(IF(AND(C$18&gt;0,C$26=1),C$18*C$39,0)+IF(AND(D$18&gt;0,D$26=1),D$18*D$39,0)+IF(AND(E$18&gt;0,E$26=1),E$18*E$39,0)+IF(AND(F$18&gt;0,F$26=1),F$18*F$39,0))/AL_GenShareOK,AL_UnavailTxt)</f>
        <v>9.35311859805586</v>
      </c>
      <c r="D157" s="107" t="n">
        <f aca="false">IF(AND(ISNUMBER(AL_BlendPaid),AL_GenShareOK&gt;0),(IF(AND(C$18&gt;0,C$26=1),C$18*C$154,0)+IF(AND(D$18&gt;0,D$26=1),D$18*D$154,0)+IF(AND(E$18&gt;0,E$26=1),E$18*E$154,0)+IF(AND(F$18&gt;0,F$26=1),F$18*F$154,0))/AL_GenShareOK,AL_UnavailTxt)</f>
        <v>6.71937130244442</v>
      </c>
      <c r="E157" s="107" t="n">
        <f aca="false">IF(AND(ISNUMBER(AL_BlendPaid),AL_GenShareOK&gt;0),(IF(AND(C$18&gt;0,C$26=1),C$18*C$155,0)+IF(AND(D$18&gt;0,D$26=1),D$18*D$155,0)+IF(AND(E$18&gt;0,E$26=1),E$18*E$155,0)+IF(AND(F$18&gt;0,F$26=1),F$18*F$155,0))/AL_GenShareOK,AL_UnavailTxt)</f>
        <v>15.7256917850111</v>
      </c>
    </row>
    <row r="158" customFormat="false" ht="44" hidden="false" customHeight="false" outlineLevel="0" collapsed="false">
      <c r="A158" s="5" t="s">
        <v>2711</v>
      </c>
      <c r="B158" s="62" t="s">
        <v>118</v>
      </c>
      <c r="C158" s="152" t="n">
        <f aca="false">IF(AND(ISNUMBER(AL_FleetRev25),ISNUMBER(C157)),IF(AL_FleetRev25&gt;0,C157/(AL_FleetRev25/IF_Util),AL_UnavailTxt),AL_UnavailTxt)</f>
        <v>0.417720312615059</v>
      </c>
      <c r="D158" s="73" t="n">
        <f aca="false">IF(AND(ISNUMBER(AL_FleetRev25),ISNUMBER(D157)),IF(AL_FleetRev25&gt;0,D157/(AL_FleetRev25/IF_Util),AL_UnavailTxt),AL_UnavailTxt)</f>
        <v>0.300094332345702</v>
      </c>
      <c r="E158" s="73" t="n">
        <f aca="false">IF(AND(ISNUMBER(AL_FleetRev25),ISNUMBER(E157)),IF(AL_FleetRev25&gt;0,E157/(AL_FleetRev25/IF_Util),AL_UnavailTxt),AL_UnavailTxt)</f>
        <v>0.702326269003828</v>
      </c>
      <c r="G158" s="74" t="s">
        <v>2712</v>
      </c>
    </row>
    <row r="160" customFormat="false" ht="15" hidden="false" customHeight="false" outlineLevel="0" collapsed="false">
      <c r="A160" s="76" t="s">
        <v>2713</v>
      </c>
      <c r="B160" s="70"/>
      <c r="C160" s="70"/>
      <c r="D160" s="70"/>
      <c r="E160" s="70"/>
      <c r="F160" s="70"/>
      <c r="G160" s="70"/>
    </row>
    <row r="161" customFormat="false" ht="15" hidden="false" customHeight="false" outlineLevel="0" collapsed="false">
      <c r="A161" s="6" t="s">
        <v>2714</v>
      </c>
      <c r="B161" s="62" t="s">
        <v>113</v>
      </c>
      <c r="C161" s="103" t="n">
        <f aca="false">IF(AL_ServeGW="整代不可達","整代不可達",IF(AND(ISNUMBER(AL_ServeGW),ISNUMBER(AL_RDGW)),AL_RDGW/(AL_RDGW+AL_ServeGW),"SLO 不可達"))</f>
        <v>0.661492274280156</v>
      </c>
    </row>
    <row r="162" customFormat="false" ht="29.85" hidden="false" customHeight="false" outlineLevel="0" collapsed="false">
      <c r="A162" s="6" t="s">
        <v>2715</v>
      </c>
      <c r="B162" s="62" t="s">
        <v>113</v>
      </c>
      <c r="C162" s="103" t="n">
        <f aca="false">IF(AL_ServeGW="整代不可達","整代不可達",IF(AND(ISNUMBER(AL_ServeGW),ISNUMBER(AL_RDGW)),AL_RDGW*AL_HoldTrain/(AL_RDGW*AL_HoldTrain+SUMPRODUCT(AL_ServeGen,AL_HoldGen)),"SLO 不可達"))</f>
        <v>0.662474930319019</v>
      </c>
    </row>
    <row r="163" customFormat="false" ht="15" hidden="false" customHeight="false" outlineLevel="0" collapsed="false">
      <c r="A163" s="5" t="s">
        <v>2716</v>
      </c>
      <c r="B163" s="62" t="s">
        <v>103</v>
      </c>
      <c r="C163" s="73"/>
      <c r="G163" s="74" t="s">
        <v>2717</v>
      </c>
    </row>
    <row r="164" customFormat="false" ht="15" hidden="false" customHeight="false" outlineLevel="0" collapsed="false">
      <c r="A164" s="6" t="s">
        <v>2718</v>
      </c>
      <c r="B164" s="62" t="s">
        <v>113</v>
      </c>
      <c r="C164" s="103"/>
    </row>
    <row r="165" customFormat="false" ht="15" hidden="false" customHeight="false" outlineLevel="0" collapsed="false">
      <c r="A165" s="6" t="s">
        <v>2719</v>
      </c>
      <c r="B165" s="62" t="s">
        <v>113</v>
      </c>
      <c r="C165" s="10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2720</v>
      </c>
    </row>
    <row r="2" customFormat="false" ht="15" hidden="false" customHeight="false" outlineLevel="0" collapsed="false">
      <c r="A2" s="74" t="s">
        <v>2721</v>
      </c>
    </row>
    <row r="3" customFormat="false" ht="15" hidden="false" customHeight="false" outlineLevel="0" collapsed="false">
      <c r="S3" s="60" t="s">
        <v>2722</v>
      </c>
    </row>
    <row r="4" customFormat="false" ht="15" hidden="false" customHeight="false" outlineLevel="0" collapsed="false">
      <c r="A4" s="92" t="str">
        <f aca="false">Perf!A4</f>
        <v>世代</v>
      </c>
      <c r="C4" s="92" t="str">
        <f aca="false">Perf!C4</f>
        <v>Hopper H100</v>
      </c>
      <c r="D4" s="92" t="str">
        <f aca="false">Perf!D4</f>
        <v>Hopper H100</v>
      </c>
      <c r="E4" s="92" t="str">
        <f aca="false">Perf!E4</f>
        <v>Hopper H100</v>
      </c>
      <c r="F4" s="92" t="str">
        <f aca="false">Perf!F4</f>
        <v>GB200 NVL72</v>
      </c>
      <c r="G4" s="92" t="str">
        <f aca="false">Perf!G4</f>
        <v>GB200 NVL72</v>
      </c>
      <c r="H4" s="92" t="str">
        <f aca="false">Perf!H4</f>
        <v>GB200 NVL72</v>
      </c>
      <c r="I4" s="92" t="str">
        <f aca="false">Perf!I4</f>
        <v>GB300 NVL72</v>
      </c>
      <c r="J4" s="92" t="str">
        <f aca="false">Perf!J4</f>
        <v>GB300 NVL72</v>
      </c>
      <c r="K4" s="92" t="str">
        <f aca="false">Perf!K4</f>
        <v>GB300 NVL72</v>
      </c>
      <c r="L4" s="92" t="str">
        <f aca="false">Perf!L4</f>
        <v>VR200 NVL72</v>
      </c>
      <c r="M4" s="92" t="str">
        <f aca="false">Perf!M4</f>
        <v>VR200 NVL72</v>
      </c>
      <c r="N4" s="92" t="str">
        <f aca="false">Perf!N4</f>
        <v>VR200 NVL72</v>
      </c>
      <c r="O4" s="92" t="str">
        <f aca="false">Perf!O4</f>
        <v>Rubin Ultra（MGX NVL 單架，72 GPU）</v>
      </c>
      <c r="P4" s="92" t="str">
        <f aca="false">Perf!P4</f>
        <v>Rubin Ultra（MGX NVL 單架，72 GPU）</v>
      </c>
      <c r="Q4" s="92" t="str">
        <f aca="false">Perf!Q4</f>
        <v>Rubin Ultra（MGX NVL 單架，72 GPU）</v>
      </c>
      <c r="S4" s="92" t="str">
        <f aca="false">Perf!C4</f>
        <v>Hopper H100</v>
      </c>
      <c r="T4" s="92" t="str">
        <f aca="false">Perf!D4</f>
        <v>Hopper H100</v>
      </c>
      <c r="U4" s="92" t="str">
        <f aca="false">Perf!E4</f>
        <v>Hopper H100</v>
      </c>
      <c r="V4" s="92" t="str">
        <f aca="false">Perf!F4</f>
        <v>GB200 NVL72</v>
      </c>
      <c r="W4" s="92" t="str">
        <f aca="false">Perf!G4</f>
        <v>GB200 NVL72</v>
      </c>
      <c r="X4" s="92" t="str">
        <f aca="false">Perf!H4</f>
        <v>GB200 NVL72</v>
      </c>
      <c r="Y4" s="92" t="str">
        <f aca="false">Perf!I4</f>
        <v>GB300 NVL72</v>
      </c>
      <c r="Z4" s="92" t="str">
        <f aca="false">Perf!J4</f>
        <v>GB300 NVL72</v>
      </c>
      <c r="AA4" s="92" t="str">
        <f aca="false">Perf!K4</f>
        <v>GB300 NVL72</v>
      </c>
      <c r="AB4" s="92" t="str">
        <f aca="false">Perf!L4</f>
        <v>VR200 NVL72</v>
      </c>
      <c r="AC4" s="92" t="str">
        <f aca="false">Perf!M4</f>
        <v>VR200 NVL72</v>
      </c>
      <c r="AD4" s="92" t="str">
        <f aca="false">Perf!N4</f>
        <v>VR200 NVL72</v>
      </c>
      <c r="AE4" s="92" t="str">
        <f aca="false">Perf!O4</f>
        <v>Rubin Ultra（MGX NVL 單架，72 GPU）</v>
      </c>
      <c r="AF4" s="92" t="str">
        <f aca="false">Perf!P4</f>
        <v>Rubin Ultra（MGX NVL 單架，72 GPU）</v>
      </c>
      <c r="AG4" s="92" t="str">
        <f aca="false">Perf!Q4</f>
        <v>Rubin Ultra（MGX NVL 單架，72 GPU）</v>
      </c>
    </row>
    <row r="5" customFormat="false" ht="15" hidden="false" customHeight="false" outlineLevel="0" collapsed="false">
      <c r="A5" s="92" t="str">
        <f aca="false">Perf!A5</f>
        <v>層級</v>
      </c>
      <c r="C5" s="92" t="str">
        <f aca="false">Perf!C5</f>
        <v>Luna（低層）</v>
      </c>
      <c r="D5" s="92" t="str">
        <f aca="false">Perf!D5</f>
        <v>Sol（中層）</v>
      </c>
      <c r="E5" s="92" t="str">
        <f aca="false">Perf!E5</f>
        <v>Astra（頂層）</v>
      </c>
      <c r="F5" s="92" t="str">
        <f aca="false">Perf!F5</f>
        <v>Luna（低層）</v>
      </c>
      <c r="G5" s="92" t="str">
        <f aca="false">Perf!G5</f>
        <v>Sol（中層）</v>
      </c>
      <c r="H5" s="92" t="str">
        <f aca="false">Perf!H5</f>
        <v>Astra（頂層）</v>
      </c>
      <c r="I5" s="92" t="str">
        <f aca="false">Perf!I5</f>
        <v>Luna（低層）</v>
      </c>
      <c r="J5" s="92" t="str">
        <f aca="false">Perf!J5</f>
        <v>Sol（中層）</v>
      </c>
      <c r="K5" s="92" t="str">
        <f aca="false">Perf!K5</f>
        <v>Astra（頂層）</v>
      </c>
      <c r="L5" s="92" t="str">
        <f aca="false">Perf!L5</f>
        <v>Luna（低層）</v>
      </c>
      <c r="M5" s="92" t="str">
        <f aca="false">Perf!M5</f>
        <v>Sol（中層）</v>
      </c>
      <c r="N5" s="92" t="str">
        <f aca="false">Perf!N5</f>
        <v>Astra（頂層）</v>
      </c>
      <c r="O5" s="92" t="str">
        <f aca="false">Perf!O5</f>
        <v>Luna（低層）</v>
      </c>
      <c r="P5" s="92" t="str">
        <f aca="false">Perf!P5</f>
        <v>Sol（中層）</v>
      </c>
      <c r="Q5" s="92" t="str">
        <f aca="false">Perf!Q5</f>
        <v>Astra（頂層）</v>
      </c>
      <c r="S5" s="92" t="str">
        <f aca="false">Perf!C5</f>
        <v>Luna（低層）</v>
      </c>
      <c r="T5" s="92" t="str">
        <f aca="false">Perf!D5</f>
        <v>Sol（中層）</v>
      </c>
      <c r="U5" s="92" t="str">
        <f aca="false">Perf!E5</f>
        <v>Astra（頂層）</v>
      </c>
      <c r="V5" s="92" t="str">
        <f aca="false">Perf!F5</f>
        <v>Luna（低層）</v>
      </c>
      <c r="W5" s="92" t="str">
        <f aca="false">Perf!G5</f>
        <v>Sol（中層）</v>
      </c>
      <c r="X5" s="92" t="str">
        <f aca="false">Perf!H5</f>
        <v>Astra（頂層）</v>
      </c>
      <c r="Y5" s="92" t="str">
        <f aca="false">Perf!I5</f>
        <v>Luna（低層）</v>
      </c>
      <c r="Z5" s="92" t="str">
        <f aca="false">Perf!J5</f>
        <v>Sol（中層）</v>
      </c>
      <c r="AA5" s="92" t="str">
        <f aca="false">Perf!K5</f>
        <v>Astra（頂層）</v>
      </c>
      <c r="AB5" s="92" t="str">
        <f aca="false">Perf!L5</f>
        <v>Luna（低層）</v>
      </c>
      <c r="AC5" s="92" t="str">
        <f aca="false">Perf!M5</f>
        <v>Sol（中層）</v>
      </c>
      <c r="AD5" s="92" t="str">
        <f aca="false">Perf!N5</f>
        <v>Astra（頂層）</v>
      </c>
      <c r="AE5" s="92" t="str">
        <f aca="false">Perf!O5</f>
        <v>Luna（低層）</v>
      </c>
      <c r="AF5" s="92" t="str">
        <f aca="false">Perf!P5</f>
        <v>Sol（中層）</v>
      </c>
      <c r="AG5" s="92" t="str">
        <f aca="false">Perf!Q5</f>
        <v>Astra（頂層）</v>
      </c>
    </row>
    <row r="6" customFormat="false" ht="15" hidden="false" customHeight="false" outlineLevel="0" collapsed="false">
      <c r="A6" s="92" t="str">
        <f aca="false">Perf!A6</f>
        <v>世代索引</v>
      </c>
      <c r="C6" s="89" t="n">
        <f aca="false">Perf!C6</f>
        <v>1</v>
      </c>
      <c r="D6" s="89" t="n">
        <f aca="false">Perf!D6</f>
        <v>1</v>
      </c>
      <c r="E6" s="89" t="n">
        <f aca="false">Perf!E6</f>
        <v>1</v>
      </c>
      <c r="F6" s="89" t="n">
        <f aca="false">Perf!F6</f>
        <v>2</v>
      </c>
      <c r="G6" s="89" t="n">
        <f aca="false">Perf!G6</f>
        <v>2</v>
      </c>
      <c r="H6" s="89" t="n">
        <f aca="false">Perf!H6</f>
        <v>2</v>
      </c>
      <c r="I6" s="89" t="n">
        <f aca="false">Perf!I6</f>
        <v>3</v>
      </c>
      <c r="J6" s="89" t="n">
        <f aca="false">Perf!J6</f>
        <v>3</v>
      </c>
      <c r="K6" s="89" t="n">
        <f aca="false">Perf!K6</f>
        <v>3</v>
      </c>
      <c r="L6" s="89" t="n">
        <f aca="false">Perf!L6</f>
        <v>4</v>
      </c>
      <c r="M6" s="89" t="n">
        <f aca="false">Perf!M6</f>
        <v>4</v>
      </c>
      <c r="N6" s="89" t="n">
        <f aca="false">Perf!N6</f>
        <v>4</v>
      </c>
      <c r="O6" s="89" t="n">
        <f aca="false">Perf!O6</f>
        <v>5</v>
      </c>
      <c r="P6" s="89" t="n">
        <f aca="false">Perf!P6</f>
        <v>5</v>
      </c>
      <c r="Q6" s="89" t="n">
        <f aca="false">Perf!Q6</f>
        <v>5</v>
      </c>
      <c r="S6" s="89" t="n">
        <f aca="false">Perf!C6</f>
        <v>1</v>
      </c>
      <c r="T6" s="89" t="n">
        <f aca="false">Perf!D6</f>
        <v>1</v>
      </c>
      <c r="U6" s="89" t="n">
        <f aca="false">Perf!E6</f>
        <v>1</v>
      </c>
      <c r="V6" s="89" t="n">
        <f aca="false">Perf!F6</f>
        <v>2</v>
      </c>
      <c r="W6" s="89" t="n">
        <f aca="false">Perf!G6</f>
        <v>2</v>
      </c>
      <c r="X6" s="89" t="n">
        <f aca="false">Perf!H6</f>
        <v>2</v>
      </c>
      <c r="Y6" s="89" t="n">
        <f aca="false">Perf!I6</f>
        <v>3</v>
      </c>
      <c r="Z6" s="89" t="n">
        <f aca="false">Perf!J6</f>
        <v>3</v>
      </c>
      <c r="AA6" s="89" t="n">
        <f aca="false">Perf!K6</f>
        <v>3</v>
      </c>
      <c r="AB6" s="89" t="n">
        <f aca="false">Perf!L6</f>
        <v>4</v>
      </c>
      <c r="AC6" s="89" t="n">
        <f aca="false">Perf!M6</f>
        <v>4</v>
      </c>
      <c r="AD6" s="89" t="n">
        <f aca="false">Perf!N6</f>
        <v>4</v>
      </c>
      <c r="AE6" s="89" t="n">
        <f aca="false">Perf!O6</f>
        <v>5</v>
      </c>
      <c r="AF6" s="89" t="n">
        <f aca="false">Perf!P6</f>
        <v>5</v>
      </c>
      <c r="AG6" s="89" t="n">
        <f aca="false">Perf!Q6</f>
        <v>5</v>
      </c>
    </row>
    <row r="7" customFormat="false" ht="15" hidden="false" customHeight="false" outlineLevel="0" collapsed="false">
      <c r="A7" s="92" t="str">
        <f aca="false">Perf!A7</f>
        <v>層級索引</v>
      </c>
      <c r="C7" s="89" t="n">
        <f aca="false">Perf!C7</f>
        <v>1</v>
      </c>
      <c r="D7" s="89" t="n">
        <f aca="false">Perf!D7</f>
        <v>2</v>
      </c>
      <c r="E7" s="89" t="n">
        <f aca="false">Perf!E7</f>
        <v>3</v>
      </c>
      <c r="F7" s="89" t="n">
        <f aca="false">Perf!F7</f>
        <v>1</v>
      </c>
      <c r="G7" s="89" t="n">
        <f aca="false">Perf!G7</f>
        <v>2</v>
      </c>
      <c r="H7" s="89" t="n">
        <f aca="false">Perf!H7</f>
        <v>3</v>
      </c>
      <c r="I7" s="89" t="n">
        <f aca="false">Perf!I7</f>
        <v>1</v>
      </c>
      <c r="J7" s="89" t="n">
        <f aca="false">Perf!J7</f>
        <v>2</v>
      </c>
      <c r="K7" s="89" t="n">
        <f aca="false">Perf!K7</f>
        <v>3</v>
      </c>
      <c r="L7" s="89" t="n">
        <f aca="false">Perf!L7</f>
        <v>1</v>
      </c>
      <c r="M7" s="89" t="n">
        <f aca="false">Perf!M7</f>
        <v>2</v>
      </c>
      <c r="N7" s="89" t="n">
        <f aca="false">Perf!N7</f>
        <v>3</v>
      </c>
      <c r="O7" s="89" t="n">
        <f aca="false">Perf!O7</f>
        <v>1</v>
      </c>
      <c r="P7" s="89" t="n">
        <f aca="false">Perf!P7</f>
        <v>2</v>
      </c>
      <c r="Q7" s="89" t="n">
        <f aca="false">Perf!Q7</f>
        <v>3</v>
      </c>
      <c r="S7" s="89" t="n">
        <f aca="false">Perf!C7</f>
        <v>1</v>
      </c>
      <c r="T7" s="89" t="n">
        <f aca="false">Perf!D7</f>
        <v>2</v>
      </c>
      <c r="U7" s="89" t="n">
        <f aca="false">Perf!E7</f>
        <v>3</v>
      </c>
      <c r="V7" s="89" t="n">
        <f aca="false">Perf!F7</f>
        <v>1</v>
      </c>
      <c r="W7" s="89" t="n">
        <f aca="false">Perf!G7</f>
        <v>2</v>
      </c>
      <c r="X7" s="89" t="n">
        <f aca="false">Perf!H7</f>
        <v>3</v>
      </c>
      <c r="Y7" s="89" t="n">
        <f aca="false">Perf!I7</f>
        <v>1</v>
      </c>
      <c r="Z7" s="89" t="n">
        <f aca="false">Perf!J7</f>
        <v>2</v>
      </c>
      <c r="AA7" s="89" t="n">
        <f aca="false">Perf!K7</f>
        <v>3</v>
      </c>
      <c r="AB7" s="89" t="n">
        <f aca="false">Perf!L7</f>
        <v>1</v>
      </c>
      <c r="AC7" s="89" t="n">
        <f aca="false">Perf!M7</f>
        <v>2</v>
      </c>
      <c r="AD7" s="89" t="n">
        <f aca="false">Perf!N7</f>
        <v>3</v>
      </c>
      <c r="AE7" s="89" t="n">
        <f aca="false">Perf!O7</f>
        <v>1</v>
      </c>
      <c r="AF7" s="89" t="n">
        <f aca="false">Perf!P7</f>
        <v>2</v>
      </c>
      <c r="AG7" s="89" t="n">
        <f aca="false">Perf!Q7</f>
        <v>3</v>
      </c>
    </row>
    <row r="50" customFormat="false" ht="15" hidden="false" customHeight="false" outlineLevel="0" collapsed="false">
      <c r="A50" s="61" t="s">
        <v>383</v>
      </c>
      <c r="B50" s="59" t="s">
        <v>118</v>
      </c>
      <c r="C50" s="77" t="n">
        <f aca="false">CTL_ProdDerate</f>
        <v>0.85</v>
      </c>
      <c r="D50" s="77" t="n">
        <f aca="false">CTL_ProdDerate</f>
        <v>0.85</v>
      </c>
      <c r="E50" s="77" t="n">
        <f aca="false">CTL_ProdDerate</f>
        <v>0.85</v>
      </c>
      <c r="F50" s="77" t="n">
        <f aca="false">CTL_ProdDerate</f>
        <v>0.85</v>
      </c>
      <c r="G50" s="77" t="n">
        <f aca="false">CTL_ProdDerate</f>
        <v>0.85</v>
      </c>
      <c r="H50" s="77" t="n">
        <f aca="false">CTL_ProdDerate</f>
        <v>0.85</v>
      </c>
      <c r="I50" s="77" t="n">
        <f aca="false">CTL_ProdDerate</f>
        <v>0.85</v>
      </c>
      <c r="J50" s="77" t="n">
        <f aca="false">CTL_ProdDerate</f>
        <v>0.85</v>
      </c>
      <c r="K50" s="77" t="n">
        <f aca="false">CTL_ProdDerate</f>
        <v>0.85</v>
      </c>
      <c r="L50" s="77" t="n">
        <f aca="false">CTL_ProdDerate</f>
        <v>0.85</v>
      </c>
      <c r="M50" s="77" t="n">
        <f aca="false">CTL_ProdDerate</f>
        <v>0.85</v>
      </c>
      <c r="N50" s="77" t="n">
        <f aca="false">CTL_ProdDerate</f>
        <v>0.85</v>
      </c>
      <c r="O50" s="77" t="n">
        <f aca="false">CTL_ProdDerate</f>
        <v>0.85</v>
      </c>
      <c r="P50" s="77" t="n">
        <f aca="false">CTL_ProdDerate</f>
        <v>0.85</v>
      </c>
      <c r="Q50" s="77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2" t="s">
        <v>886</v>
      </c>
      <c r="B51" s="59" t="s">
        <v>113</v>
      </c>
      <c r="C51" s="112" t="n">
        <f aca="false">INDEX(Calib!$C$72:$G$72,Perf!C$6)*Perf_Prod!C50</f>
        <v>0.127435573521981</v>
      </c>
      <c r="D51" s="112" t="n">
        <f aca="false">INDEX(Calib!$C$72:$G$72,Perf!D$6)*Perf_Prod!D50</f>
        <v>0.127435573521981</v>
      </c>
      <c r="E51" s="112" t="n">
        <f aca="false">INDEX(Calib!$C$72:$G$72,Perf!E$6)*Perf_Prod!E50</f>
        <v>0.127435573521981</v>
      </c>
      <c r="F51" s="112" t="n">
        <f aca="false">INDEX(Calib!$C$72:$G$72,Perf!F$6)*Perf_Prod!F50</f>
        <v>0.255</v>
      </c>
      <c r="G51" s="112" t="n">
        <f aca="false">INDEX(Calib!$C$72:$G$72,Perf!G$6)*Perf_Prod!G50</f>
        <v>0.255</v>
      </c>
      <c r="H51" s="112" t="n">
        <f aca="false">INDEX(Calib!$C$72:$G$72,Perf!H$6)*Perf_Prod!H50</f>
        <v>0.255</v>
      </c>
      <c r="I51" s="112" t="n">
        <f aca="false">INDEX(Calib!$C$72:$G$72,Perf!I$6)*Perf_Prod!I50</f>
        <v>0.255</v>
      </c>
      <c r="J51" s="112" t="n">
        <f aca="false">INDEX(Calib!$C$72:$G$72,Perf!J$6)*Perf_Prod!J50</f>
        <v>0.255</v>
      </c>
      <c r="K51" s="112" t="n">
        <f aca="false">INDEX(Calib!$C$72:$G$72,Perf!K$6)*Perf_Prod!K50</f>
        <v>0.255</v>
      </c>
      <c r="L51" s="112" t="n">
        <f aca="false">INDEX(Calib!$C$72:$G$72,Perf!L$6)*Perf_Prod!L50</f>
        <v>0.255</v>
      </c>
      <c r="M51" s="112" t="n">
        <f aca="false">INDEX(Calib!$C$72:$G$72,Perf!M$6)*Perf_Prod!M50</f>
        <v>0.255</v>
      </c>
      <c r="N51" s="112" t="n">
        <f aca="false">INDEX(Calib!$C$72:$G$72,Perf!N$6)*Perf_Prod!N50</f>
        <v>0.255</v>
      </c>
      <c r="O51" s="112" t="n">
        <f aca="false">INDEX(Calib!$C$72:$G$72,Perf!O$6)*Perf_Prod!O50</f>
        <v>0.255</v>
      </c>
      <c r="P51" s="112" t="n">
        <f aca="false">INDEX(Calib!$C$72:$G$72,Perf!P$6)*Perf_Prod!P50</f>
        <v>0.255</v>
      </c>
      <c r="Q51" s="112" t="n">
        <f aca="false">INDEX(Calib!$C$72:$G$72,Perf!Q$6)*Perf_Prod!Q50</f>
        <v>0.255</v>
      </c>
      <c r="S51" s="112" t="n">
        <f aca="false">INDEX(Calib!$C$72:$G$72,Perf!C$6)*Perf_Prod!S50</f>
        <v>0.149924204143507</v>
      </c>
      <c r="T51" s="112" t="n">
        <f aca="false">INDEX(Calib!$C$72:$G$72,Perf!D$6)*Perf_Prod!T50</f>
        <v>0.149924204143507</v>
      </c>
      <c r="U51" s="112" t="n">
        <f aca="false">INDEX(Calib!$C$72:$G$72,Perf!E$6)*Perf_Prod!U50</f>
        <v>0.149924204143507</v>
      </c>
      <c r="V51" s="112" t="n">
        <f aca="false">INDEX(Calib!$C$72:$G$72,Perf!F$6)*Perf_Prod!V50</f>
        <v>0.3</v>
      </c>
      <c r="W51" s="112" t="n">
        <f aca="false">INDEX(Calib!$C$72:$G$72,Perf!G$6)*Perf_Prod!W50</f>
        <v>0.3</v>
      </c>
      <c r="X51" s="112" t="n">
        <f aca="false">INDEX(Calib!$C$72:$G$72,Perf!H$6)*Perf_Prod!X50</f>
        <v>0.3</v>
      </c>
      <c r="Y51" s="112" t="n">
        <f aca="false">INDEX(Calib!$C$72:$G$72,Perf!I$6)*Perf_Prod!Y50</f>
        <v>0.3</v>
      </c>
      <c r="Z51" s="112" t="n">
        <f aca="false">INDEX(Calib!$C$72:$G$72,Perf!J$6)*Perf_Prod!Z50</f>
        <v>0.3</v>
      </c>
      <c r="AA51" s="112" t="n">
        <f aca="false">INDEX(Calib!$C$72:$G$72,Perf!K$6)*Perf_Prod!AA50</f>
        <v>0.3</v>
      </c>
      <c r="AB51" s="112" t="n">
        <f aca="false">INDEX(Calib!$C$72:$G$72,Perf!L$6)*Perf_Prod!AB50</f>
        <v>0.3</v>
      </c>
      <c r="AC51" s="112" t="n">
        <f aca="false">INDEX(Calib!$C$72:$G$72,Perf!M$6)*Perf_Prod!AC50</f>
        <v>0.3</v>
      </c>
      <c r="AD51" s="112" t="n">
        <f aca="false">INDEX(Calib!$C$72:$G$72,Perf!N$6)*Perf_Prod!AD50</f>
        <v>0.3</v>
      </c>
      <c r="AE51" s="112" t="n">
        <f aca="false">INDEX(Calib!$C$72:$G$72,Perf!O$6)*Perf_Prod!AE50</f>
        <v>0.3</v>
      </c>
      <c r="AF51" s="112" t="n">
        <f aca="false">INDEX(Calib!$C$72:$G$72,Perf!P$6)*Perf_Prod!AF50</f>
        <v>0.3</v>
      </c>
      <c r="AG51" s="112" t="n">
        <f aca="false">INDEX(Calib!$C$72:$G$72,Perf!Q$6)*Perf_Prod!AG50</f>
        <v>0.3</v>
      </c>
    </row>
    <row r="53" customFormat="false" ht="15" hidden="false" customHeight="false" outlineLevel="0" collapsed="false">
      <c r="A53" s="62" t="s">
        <v>888</v>
      </c>
      <c r="B53" s="59" t="s">
        <v>113</v>
      </c>
      <c r="C53" s="113" t="n">
        <f aca="false">INDEX(Calib!$C$70:$G$70,Perf!C$6)*Perf!C52*Perf_Prod!C50</f>
        <v>0.0364701341698813</v>
      </c>
      <c r="D53" s="113" t="n">
        <f aca="false">INDEX(Calib!$C$70:$G$70,Perf!D$6)*Perf!D52*Perf_Prod!D50</f>
        <v>0.0364701341698813</v>
      </c>
      <c r="E53" s="113" t="n">
        <f aca="false">INDEX(Calib!$C$70:$G$70,Perf!E$6)*Perf!E52*Perf_Prod!E50</f>
        <v>0.0364701341698813</v>
      </c>
      <c r="F53" s="113" t="n">
        <f aca="false">INDEX(Calib!$C$70:$G$70,Perf!F$6)*Perf!F52*Perf_Prod!F50</f>
        <v>0.0303917784749011</v>
      </c>
      <c r="G53" s="113" t="n">
        <f aca="false">INDEX(Calib!$C$70:$G$70,Perf!G$6)*Perf!G52*Perf_Prod!G50</f>
        <v>0.0303917784749011</v>
      </c>
      <c r="H53" s="113" t="n">
        <f aca="false">INDEX(Calib!$C$70:$G$70,Perf!H$6)*Perf!H52*Perf_Prod!H50</f>
        <v>0.0303917784749011</v>
      </c>
      <c r="I53" s="113" t="n">
        <f aca="false">INDEX(Calib!$C$70:$G$70,Perf!I$6)*Perf!I52*Perf_Prod!I50</f>
        <v>0.0303917784749011</v>
      </c>
      <c r="J53" s="113" t="n">
        <f aca="false">INDEX(Calib!$C$70:$G$70,Perf!J$6)*Perf!J52*Perf_Prod!J50</f>
        <v>0.0303917784749011</v>
      </c>
      <c r="K53" s="113" t="n">
        <f aca="false">INDEX(Calib!$C$70:$G$70,Perf!K$6)*Perf!K52*Perf_Prod!K50</f>
        <v>0.0303917784749011</v>
      </c>
      <c r="L53" s="113" t="n">
        <f aca="false">INDEX(Calib!$C$70:$G$70,Perf!L$6)*Perf!L52*Perf_Prod!L50</f>
        <v>0.0303917784749011</v>
      </c>
      <c r="M53" s="113" t="n">
        <f aca="false">INDEX(Calib!$C$70:$G$70,Perf!M$6)*Perf!M52*Perf_Prod!M50</f>
        <v>0.0303917784749011</v>
      </c>
      <c r="N53" s="113" t="n">
        <f aca="false">INDEX(Calib!$C$70:$G$70,Perf!N$6)*Perf!N52*Perf_Prod!N50</f>
        <v>0.0303917784749011</v>
      </c>
      <c r="O53" s="113" t="n">
        <f aca="false">INDEX(Calib!$C$70:$G$70,Perf!O$6)*Perf!O52*Perf_Prod!O50</f>
        <v>0.0303917784749011</v>
      </c>
      <c r="P53" s="113" t="n">
        <f aca="false">INDEX(Calib!$C$70:$G$70,Perf!P$6)*Perf!P52*Perf_Prod!P50</f>
        <v>0.0303917784749011</v>
      </c>
      <c r="Q53" s="113" t="n">
        <f aca="false">INDEX(Calib!$C$70:$G$70,Perf!Q$6)*Perf!Q52*Perf_Prod!Q50</f>
        <v>0.0303917784749011</v>
      </c>
      <c r="S53" s="113" t="n">
        <f aca="false">INDEX(Calib!$C$70:$G$70,Perf!C$6)*Perf!C52*Perf_Prod!S50</f>
        <v>0.0429060401998604</v>
      </c>
      <c r="T53" s="113" t="n">
        <f aca="false">INDEX(Calib!$C$70:$G$70,Perf!D$6)*Perf!D52*Perf_Prod!T50</f>
        <v>0.0429060401998604</v>
      </c>
      <c r="U53" s="113" t="n">
        <f aca="false">INDEX(Calib!$C$70:$G$70,Perf!E$6)*Perf!E52*Perf_Prod!U50</f>
        <v>0.0429060401998604</v>
      </c>
      <c r="V53" s="113" t="n">
        <f aca="false">INDEX(Calib!$C$70:$G$70,Perf!F$6)*Perf!F52*Perf_Prod!V50</f>
        <v>0.0357550334998836</v>
      </c>
      <c r="W53" s="113" t="n">
        <f aca="false">INDEX(Calib!$C$70:$G$70,Perf!G$6)*Perf!G52*Perf_Prod!W50</f>
        <v>0.0357550334998836</v>
      </c>
      <c r="X53" s="113" t="n">
        <f aca="false">INDEX(Calib!$C$70:$G$70,Perf!H$6)*Perf!H52*Perf_Prod!X50</f>
        <v>0.0357550334998836</v>
      </c>
      <c r="Y53" s="113" t="n">
        <f aca="false">INDEX(Calib!$C$70:$G$70,Perf!I$6)*Perf!I52*Perf_Prod!Y50</f>
        <v>0.0357550334998836</v>
      </c>
      <c r="Z53" s="113" t="n">
        <f aca="false">INDEX(Calib!$C$70:$G$70,Perf!J$6)*Perf!J52*Perf_Prod!Z50</f>
        <v>0.0357550334998836</v>
      </c>
      <c r="AA53" s="113" t="n">
        <f aca="false">INDEX(Calib!$C$70:$G$70,Perf!K$6)*Perf!K52*Perf_Prod!AA50</f>
        <v>0.0357550334998836</v>
      </c>
      <c r="AB53" s="113" t="n">
        <f aca="false">INDEX(Calib!$C$70:$G$70,Perf!L$6)*Perf!L52*Perf_Prod!AB50</f>
        <v>0.0357550334998836</v>
      </c>
      <c r="AC53" s="113" t="n">
        <f aca="false">INDEX(Calib!$C$70:$G$70,Perf!M$6)*Perf!M52*Perf_Prod!AC50</f>
        <v>0.0357550334998836</v>
      </c>
      <c r="AD53" s="113" t="n">
        <f aca="false">INDEX(Calib!$C$70:$G$70,Perf!N$6)*Perf!N52*Perf_Prod!AD50</f>
        <v>0.0357550334998836</v>
      </c>
      <c r="AE53" s="113" t="n">
        <f aca="false">INDEX(Calib!$C$70:$G$70,Perf!O$6)*Perf!O52*Perf_Prod!AE50</f>
        <v>0.0357550334998836</v>
      </c>
      <c r="AF53" s="113" t="n">
        <f aca="false">INDEX(Calib!$C$70:$G$70,Perf!P$6)*Perf!P52*Perf_Prod!AF50</f>
        <v>0.0357550334998836</v>
      </c>
      <c r="AG53" s="113" t="n">
        <f aca="false">INDEX(Calib!$C$70:$G$70,Perf!Q$6)*Perf!Q52*Perf_Prod!AG50</f>
        <v>0.0357550334998836</v>
      </c>
    </row>
    <row r="55" customFormat="false" ht="15" hidden="false" customHeight="false" outlineLevel="0" collapsed="false">
      <c r="A55" s="61" t="s">
        <v>890</v>
      </c>
      <c r="B55" s="59" t="s">
        <v>574</v>
      </c>
      <c r="C55" s="63" t="n">
        <f aca="false">INDEX(Calib!$C$71:$G$71,Perf!C$6)*Perf!C54/Perf_Prod!C50</f>
        <v>284.444714353584</v>
      </c>
      <c r="D55" s="63" t="n">
        <f aca="false">INDEX(Calib!$C$71:$G$71,Perf!D$6)*Perf!D54/Perf_Prod!D50</f>
        <v>284.444714353584</v>
      </c>
      <c r="E55" s="63" t="n">
        <f aca="false">INDEX(Calib!$C$71:$G$71,Perf!E$6)*Perf!E54/Perf_Prod!E50</f>
        <v>284.444714353584</v>
      </c>
      <c r="F55" s="63" t="n">
        <f aca="false">INDEX(Calib!$C$71:$G$71,Perf!F$6)*Perf!F54/Perf_Prod!F50</f>
        <v>189.629809569056</v>
      </c>
      <c r="G55" s="63" t="n">
        <f aca="false">INDEX(Calib!$C$71:$G$71,Perf!G$6)*Perf!G54/Perf_Prod!G50</f>
        <v>189.629809569056</v>
      </c>
      <c r="H55" s="63" t="n">
        <f aca="false">INDEX(Calib!$C$71:$G$71,Perf!H$6)*Perf!H54/Perf_Prod!H50</f>
        <v>189.629809569056</v>
      </c>
      <c r="I55" s="63" t="n">
        <f aca="false">INDEX(Calib!$C$71:$G$71,Perf!I$6)*Perf!I54/Perf_Prod!I50</f>
        <v>189.629809569056</v>
      </c>
      <c r="J55" s="63" t="n">
        <f aca="false">INDEX(Calib!$C$71:$G$71,Perf!J$6)*Perf!J54/Perf_Prod!J50</f>
        <v>189.629809569056</v>
      </c>
      <c r="K55" s="63" t="n">
        <f aca="false">INDEX(Calib!$C$71:$G$71,Perf!K$6)*Perf!K54/Perf_Prod!K50</f>
        <v>189.629809569056</v>
      </c>
      <c r="L55" s="63" t="n">
        <f aca="false">INDEX(Calib!$C$71:$G$71,Perf!L$6)*Perf!L54/Perf_Prod!L50</f>
        <v>189.629809569056</v>
      </c>
      <c r="M55" s="63" t="n">
        <f aca="false">INDEX(Calib!$C$71:$G$71,Perf!M$6)*Perf!M54/Perf_Prod!M50</f>
        <v>189.629809569056</v>
      </c>
      <c r="N55" s="63" t="n">
        <f aca="false">INDEX(Calib!$C$71:$G$71,Perf!N$6)*Perf!N54/Perf_Prod!N50</f>
        <v>189.629809569056</v>
      </c>
      <c r="O55" s="63" t="n">
        <f aca="false">INDEX(Calib!$C$71:$G$71,Perf!O$6)*Perf!O54/Perf_Prod!O50</f>
        <v>189.629809569056</v>
      </c>
      <c r="P55" s="63" t="n">
        <f aca="false">INDEX(Calib!$C$71:$G$71,Perf!P$6)*Perf!P54/Perf_Prod!P50</f>
        <v>189.629809569056</v>
      </c>
      <c r="Q55" s="63" t="n">
        <f aca="false">INDEX(Calib!$C$71:$G$71,Perf!Q$6)*Perf!Q54/Perf_Prod!Q50</f>
        <v>189.629809569056</v>
      </c>
      <c r="S55" s="63" t="n">
        <f aca="false">INDEX(Calib!$C$71:$G$71,Perf!C$6)*Perf!C54/Perf_Prod!S50</f>
        <v>241.778007200547</v>
      </c>
      <c r="T55" s="63" t="n">
        <f aca="false">INDEX(Calib!$C$71:$G$71,Perf!D$6)*Perf!D54/Perf_Prod!T50</f>
        <v>241.778007200547</v>
      </c>
      <c r="U55" s="63" t="n">
        <f aca="false">INDEX(Calib!$C$71:$G$71,Perf!E$6)*Perf!E54/Perf_Prod!U50</f>
        <v>241.778007200547</v>
      </c>
      <c r="V55" s="63" t="n">
        <f aca="false">INDEX(Calib!$C$71:$G$71,Perf!F$6)*Perf!F54/Perf_Prod!V50</f>
        <v>161.185338133698</v>
      </c>
      <c r="W55" s="63" t="n">
        <f aca="false">INDEX(Calib!$C$71:$G$71,Perf!G$6)*Perf!G54/Perf_Prod!W50</f>
        <v>161.185338133698</v>
      </c>
      <c r="X55" s="63" t="n">
        <f aca="false">INDEX(Calib!$C$71:$G$71,Perf!H$6)*Perf!H54/Perf_Prod!X50</f>
        <v>161.185338133698</v>
      </c>
      <c r="Y55" s="63" t="n">
        <f aca="false">INDEX(Calib!$C$71:$G$71,Perf!I$6)*Perf!I54/Perf_Prod!Y50</f>
        <v>161.185338133698</v>
      </c>
      <c r="Z55" s="63" t="n">
        <f aca="false">INDEX(Calib!$C$71:$G$71,Perf!J$6)*Perf!J54/Perf_Prod!Z50</f>
        <v>161.185338133698</v>
      </c>
      <c r="AA55" s="63" t="n">
        <f aca="false">INDEX(Calib!$C$71:$G$71,Perf!K$6)*Perf!K54/Perf_Prod!AA50</f>
        <v>161.185338133698</v>
      </c>
      <c r="AB55" s="63" t="n">
        <f aca="false">INDEX(Calib!$C$71:$G$71,Perf!L$6)*Perf!L54/Perf_Prod!AB50</f>
        <v>161.185338133698</v>
      </c>
      <c r="AC55" s="63" t="n">
        <f aca="false">INDEX(Calib!$C$71:$G$71,Perf!M$6)*Perf!M54/Perf_Prod!AC50</f>
        <v>161.185338133698</v>
      </c>
      <c r="AD55" s="63" t="n">
        <f aca="false">INDEX(Calib!$C$71:$G$71,Perf!N$6)*Perf!N54/Perf_Prod!AD50</f>
        <v>161.185338133698</v>
      </c>
      <c r="AE55" s="63" t="n">
        <f aca="false">INDEX(Calib!$C$71:$G$71,Perf!O$6)*Perf!O54/Perf_Prod!AE50</f>
        <v>161.185338133698</v>
      </c>
      <c r="AF55" s="63" t="n">
        <f aca="false">INDEX(Calib!$C$71:$G$71,Perf!P$6)*Perf!P54/Perf_Prod!AF50</f>
        <v>161.185338133698</v>
      </c>
      <c r="AG55" s="63" t="n">
        <f aca="false">INDEX(Calib!$C$71:$G$71,Perf!Q$6)*Perf!Q54/Perf_Prod!AG50</f>
        <v>161.185338133698</v>
      </c>
    </row>
    <row r="75" customFormat="false" ht="15" hidden="false" customHeight="false" outlineLevel="0" collapsed="false">
      <c r="A75" s="62" t="s">
        <v>906</v>
      </c>
      <c r="B75" s="59" t="s">
        <v>389</v>
      </c>
      <c r="C75" s="63" t="n">
        <f aca="false">Perf_Prod!C51*Perf!C14*1000000000000000/(Perf!C67*1000000000)</f>
        <v>6591.64167263463</v>
      </c>
      <c r="D75" s="63" t="n">
        <f aca="false">Perf_Prod!D51*Perf!D14*1000000000000000/(Perf!D67*1000000000)</f>
        <v>1899.17525472889</v>
      </c>
      <c r="E75" s="63" t="n">
        <f aca="false">Perf_Prod!E51*Perf!E14*1000000000000000/(Perf!E67*1000000000)</f>
        <v>572.480047771334</v>
      </c>
      <c r="F75" s="63" t="n">
        <f aca="false">Perf_Prod!F51*Perf!F14*1000000000000000/(Perf!F67*1000000000)</f>
        <v>66649.5619073269</v>
      </c>
      <c r="G75" s="63" t="n">
        <f aca="false">Perf_Prod!G51*Perf!G14*1000000000000000/(Perf!G67*1000000000)</f>
        <v>19202.9853865408</v>
      </c>
      <c r="H75" s="63" t="n">
        <f aca="false">Perf_Prod!H51*Perf!H14*1000000000000000/(Perf!H67*1000000000)</f>
        <v>5788.47368828446</v>
      </c>
      <c r="I75" s="63" t="n">
        <f aca="false">Perf_Prod!I51*Perf!I14*1000000000000000/(Perf!I67*1000000000)</f>
        <v>99974.3428609903</v>
      </c>
      <c r="J75" s="63" t="n">
        <f aca="false">Perf_Prod!J51*Perf!J14*1000000000000000/(Perf!J67*1000000000)</f>
        <v>28804.4780798112</v>
      </c>
      <c r="K75" s="63" t="n">
        <f aca="false">Perf_Prod!K51*Perf!K14*1000000000000000/(Perf!K67*1000000000)</f>
        <v>8682.7105324267</v>
      </c>
      <c r="L75" s="63" t="n">
        <f aca="false">Perf_Prod!L51*Perf!L14*1000000000000000/(Perf!L67*1000000000)</f>
        <v>233273.466675644</v>
      </c>
      <c r="M75" s="63" t="n">
        <f aca="false">Perf_Prod!M51*Perf!M14*1000000000000000/(Perf!M67*1000000000)</f>
        <v>67210.4488528929</v>
      </c>
      <c r="N75" s="63" t="n">
        <f aca="false">Perf_Prod!N51*Perf!N14*1000000000000000/(Perf!N67*1000000000)</f>
        <v>20259.6579089956</v>
      </c>
      <c r="O75" s="63" t="n">
        <f aca="false">Perf_Prod!O51*Perf!O14*1000000000000000/(Perf!O67*1000000000)</f>
        <v>466546.933351288</v>
      </c>
      <c r="P75" s="63" t="n">
        <f aca="false">Perf_Prod!P51*Perf!P14*1000000000000000/(Perf!P67*1000000000)</f>
        <v>134420.897705786</v>
      </c>
      <c r="Q75" s="63" t="n">
        <f aca="false">Perf_Prod!Q51*Perf!Q14*1000000000000000/(Perf!Q67*1000000000)</f>
        <v>40519.3158179913</v>
      </c>
      <c r="S75" s="63" t="n">
        <f aca="false">Perf_Prod!S51*Perf!C14*1000000000000000/(Perf!C67*1000000000)</f>
        <v>7754.87255604074</v>
      </c>
      <c r="T75" s="63" t="n">
        <f aca="false">Perf_Prod!T51*Perf!D14*1000000000000000/(Perf!D67*1000000000)</f>
        <v>2234.32382909281</v>
      </c>
      <c r="U75" s="63" t="n">
        <f aca="false">Perf_Prod!U51*Perf!E14*1000000000000000/(Perf!E67*1000000000)</f>
        <v>673.50593855451</v>
      </c>
      <c r="V75" s="63" t="n">
        <f aca="false">Perf_Prod!V51*Perf!F14*1000000000000000/(Perf!F67*1000000000)</f>
        <v>78411.2493027375</v>
      </c>
      <c r="W75" s="63" t="n">
        <f aca="false">Perf_Prod!W51*Perf!G14*1000000000000000/(Perf!G67*1000000000)</f>
        <v>22591.7475135774</v>
      </c>
      <c r="X75" s="63" t="n">
        <f aca="false">Perf_Prod!X51*Perf!H14*1000000000000000/(Perf!H67*1000000000)</f>
        <v>6809.96904504055</v>
      </c>
      <c r="Y75" s="63" t="n">
        <f aca="false">Perf_Prod!Y51*Perf!I14*1000000000000000/(Perf!I67*1000000000)</f>
        <v>117616.873954106</v>
      </c>
      <c r="Z75" s="63" t="n">
        <f aca="false">Perf_Prod!Z51*Perf!J14*1000000000000000/(Perf!J67*1000000000)</f>
        <v>33887.6212703662</v>
      </c>
      <c r="AA75" s="63" t="n">
        <f aca="false">Perf_Prod!AA51*Perf!K14*1000000000000000/(Perf!K67*1000000000)</f>
        <v>10214.9535675608</v>
      </c>
      <c r="AB75" s="63" t="n">
        <f aca="false">Perf_Prod!AB51*Perf!L14*1000000000000000/(Perf!L67*1000000000)</f>
        <v>274439.372559581</v>
      </c>
      <c r="AC75" s="63" t="n">
        <f aca="false">Perf_Prod!AC51*Perf!M14*1000000000000000/(Perf!M67*1000000000)</f>
        <v>79071.116297521</v>
      </c>
      <c r="AD75" s="63" t="n">
        <f aca="false">Perf_Prod!AD51*Perf!N14*1000000000000000/(Perf!N67*1000000000)</f>
        <v>23834.8916576419</v>
      </c>
      <c r="AE75" s="63" t="n">
        <f aca="false">Perf_Prod!AE51*Perf!O14*1000000000000000/(Perf!O67*1000000000)</f>
        <v>548878.745119163</v>
      </c>
      <c r="AF75" s="63" t="n">
        <f aca="false">Perf_Prod!AF51*Perf!P14*1000000000000000/(Perf!P67*1000000000)</f>
        <v>158142.232595042</v>
      </c>
      <c r="AG75" s="63" t="n">
        <f aca="false">Perf_Prod!AG51*Perf!Q14*1000000000000000/(Perf!Q67*1000000000)</f>
        <v>47669.7833152838</v>
      </c>
    </row>
    <row r="76" customFormat="false" ht="15" hidden="false" customHeight="false" outlineLevel="0" collapsed="false">
      <c r="A76" s="62" t="s">
        <v>907</v>
      </c>
      <c r="B76" s="59" t="s">
        <v>392</v>
      </c>
      <c r="C76" s="97" t="n">
        <f aca="false">(Perf!C43*(1-B4_CacheHit))*Perf!C67*1000000000/(Perf_Prod!C51*Perf!C14*1000000000000000*Perf!C21)</f>
        <v>0.0699067126043916</v>
      </c>
      <c r="D76" s="97" t="n">
        <f aca="false">(Perf!D43*(1-B4_CacheHit))*Perf!D67*1000000000/(Perf_Prod!D51*Perf!D14*1000000000000000*Perf!D21)</f>
        <v>0.485263272941897</v>
      </c>
      <c r="E76" s="97" t="n">
        <f aca="false">(Perf!E43*(1-B4_CacheHit))*Perf!E67*1000000000/(Perf_Prod!E51*Perf!E14*1000000000000000*Perf!E21)</f>
        <v>3.21967552786439</v>
      </c>
      <c r="F76" s="97" t="n">
        <f aca="false">(Perf!F43*(1-B4_CacheHit))*Perf!F67*1000000000/(Perf_Prod!F51*Perf!F14*1000000000000000*Perf!F21)</f>
        <v>0.0138275477531487</v>
      </c>
      <c r="G76" s="97" t="n">
        <f aca="false">(Perf!G43*(1-B4_CacheHit))*Perf!G67*1000000000/(Perf_Prod!G51*Perf!G14*1000000000000000*Perf!G21)</f>
        <v>0.0959850753879071</v>
      </c>
      <c r="H76" s="97" t="n">
        <f aca="false">(Perf!H43*(1-B4_CacheHit))*Perf!H67*1000000000/(Perf_Prod!H51*Perf!H14*1000000000000000*Perf!H21)</f>
        <v>0.636851819411576</v>
      </c>
      <c r="I76" s="97" t="n">
        <f aca="false">(Perf!I43*(1-B4_CacheHit))*Perf!I67*1000000000/(Perf_Prod!I51*Perf!I14*1000000000000000*Perf!I21)</f>
        <v>0.00921836516876577</v>
      </c>
      <c r="J76" s="97" t="n">
        <f aca="false">(Perf!J43*(1-B4_CacheHit))*Perf!J67*1000000000/(Perf_Prod!J51*Perf!J14*1000000000000000*Perf!J21)</f>
        <v>0.0639900502586047</v>
      </c>
      <c r="K76" s="97" t="n">
        <f aca="false">(Perf!K43*(1-B4_CacheHit))*Perf!K67*1000000000/(Perf_Prod!K51*Perf!K14*1000000000000000*Perf!K21)</f>
        <v>0.424567879607718</v>
      </c>
      <c r="L76" s="97" t="n">
        <f aca="false">(Perf!L43*(1-B4_CacheHit))*Perf!L67*1000000000/(Perf_Prod!L51*Perf!L14*1000000000000000*Perf!L21)</f>
        <v>0.00395072792947105</v>
      </c>
      <c r="M76" s="97" t="n">
        <f aca="false">(Perf!M43*(1-B4_CacheHit))*Perf!M67*1000000000/(Perf_Prod!M51*Perf!M14*1000000000000000*Perf!M21)</f>
        <v>0.0274243072536877</v>
      </c>
      <c r="N76" s="97" t="n">
        <f aca="false">(Perf!N43*(1-B4_CacheHit))*Perf!N67*1000000000/(Perf_Prod!N51*Perf!N14*1000000000000000*Perf!N21)</f>
        <v>0.181957662689022</v>
      </c>
      <c r="O76" s="97" t="n">
        <f aca="false">(Perf!O43*(1-B4_CacheHit))*Perf!O67*1000000000/(Perf_Prod!O51*Perf!O14*1000000000000000*Perf!O21)</f>
        <v>0.000987681982367761</v>
      </c>
      <c r="P76" s="97" t="n">
        <f aca="false">(Perf!P43*(1-B4_CacheHit))*Perf!P67*1000000000/(Perf_Prod!P51*Perf!P14*1000000000000000*Perf!P21)</f>
        <v>0.00685607681342194</v>
      </c>
      <c r="Q76" s="97" t="n">
        <f aca="false">(Perf!Q43*(1-B4_CacheHit))*Perf!Q67*1000000000/(Perf_Prod!Q51*Perf!Q14*1000000000000000*Perf!Q21)</f>
        <v>0.0454894156722555</v>
      </c>
      <c r="S76" s="97" t="n">
        <f aca="false">(Perf!C43*(1-B4_CacheHit))*Perf!C67*1000000000/(Perf_Prod!S51*Perf!C14*1000000000000000*Perf!C21)</f>
        <v>0.0594207057137329</v>
      </c>
      <c r="T76" s="97" t="n">
        <f aca="false">(Perf!D43*(1-B4_CacheHit))*Perf!D67*1000000000/(Perf_Prod!T51*Perf!D14*1000000000000000*Perf!D21)</f>
        <v>0.412473782000612</v>
      </c>
      <c r="U76" s="97" t="n">
        <f aca="false">(Perf!E43*(1-B4_CacheHit))*Perf!E67*1000000000/(Perf_Prod!U51*Perf!E14*1000000000000000*Perf!E21)</f>
        <v>2.73672419868473</v>
      </c>
      <c r="V76" s="97" t="n">
        <f aca="false">(Perf!F43*(1-B4_CacheHit))*Perf!F67*1000000000/(Perf_Prod!V51*Perf!F14*1000000000000000*Perf!F21)</f>
        <v>0.0117534155901764</v>
      </c>
      <c r="W76" s="97" t="n">
        <f aca="false">(Perf!G43*(1-B4_CacheHit))*Perf!G67*1000000000/(Perf_Prod!W51*Perf!G14*1000000000000000*Perf!G21)</f>
        <v>0.0815873140797211</v>
      </c>
      <c r="X76" s="97" t="n">
        <f aca="false">(Perf!H43*(1-B4_CacheHit))*Perf!H67*1000000000/(Perf_Prod!X51*Perf!H14*1000000000000000*Perf!H21)</f>
        <v>0.54132404649984</v>
      </c>
      <c r="Y76" s="97" t="n">
        <f aca="false">(Perf!I43*(1-B4_CacheHit))*Perf!I67*1000000000/(Perf_Prod!Y51*Perf!I14*1000000000000000*Perf!I21)</f>
        <v>0.00783561039345091</v>
      </c>
      <c r="Z76" s="97" t="n">
        <f aca="false">(Perf!J43*(1-B4_CacheHit))*Perf!J67*1000000000/(Perf_Prod!Z51*Perf!J14*1000000000000000*Perf!J21)</f>
        <v>0.054391542719814</v>
      </c>
      <c r="AA76" s="97" t="n">
        <f aca="false">(Perf!K43*(1-B4_CacheHit))*Perf!K67*1000000000/(Perf_Prod!AA51*Perf!K14*1000000000000000*Perf!K21)</f>
        <v>0.36088269766656</v>
      </c>
      <c r="AB76" s="97" t="n">
        <f aca="false">(Perf!L43*(1-B4_CacheHit))*Perf!L67*1000000000/(Perf_Prod!AB51*Perf!L14*1000000000000000*Perf!L21)</f>
        <v>0.00335811874005039</v>
      </c>
      <c r="AC76" s="97" t="n">
        <f aca="false">(Perf!M43*(1-B4_CacheHit))*Perf!M67*1000000000/(Perf_Prod!AC51*Perf!M14*1000000000000000*Perf!M21)</f>
        <v>0.0233106611656346</v>
      </c>
      <c r="AD76" s="97" t="n">
        <f aca="false">(Perf!N43*(1-B4_CacheHit))*Perf!N67*1000000000/(Perf_Prod!AD51*Perf!N14*1000000000000000*Perf!N21)</f>
        <v>0.154664013285669</v>
      </c>
      <c r="AE76" s="97" t="n">
        <f aca="false">(Perf!O43*(1-B4_CacheHit))*Perf!O67*1000000000/(Perf_Prod!AE51*Perf!O14*1000000000000000*Perf!O21)</f>
        <v>0.000839529685012597</v>
      </c>
      <c r="AF76" s="97" t="n">
        <f aca="false">(Perf!P43*(1-B4_CacheHit))*Perf!P67*1000000000/(Perf_Prod!AF51*Perf!P14*1000000000000000*Perf!P21)</f>
        <v>0.00582766529140865</v>
      </c>
      <c r="AG76" s="97" t="n">
        <f aca="false">(Perf!Q43*(1-B4_CacheHit))*Perf!Q67*1000000000/(Perf_Prod!AG51*Perf!Q14*1000000000000000*Perf!Q21)</f>
        <v>0.0386660033214171</v>
      </c>
    </row>
    <row r="77" customFormat="false" ht="15" hidden="false" customHeight="false" outlineLevel="0" collapsed="false">
      <c r="A77" s="62" t="s">
        <v>908</v>
      </c>
      <c r="B77" s="74"/>
      <c r="C77" s="92" t="str">
        <f aca="false">IF(Perf_Prod!C76&lt;=Perf!C42,"是","否")</f>
        <v>是</v>
      </c>
      <c r="D77" s="92" t="str">
        <f aca="false">IF(Perf_Prod!D76&lt;=Perf!D42,"是","否")</f>
        <v>是</v>
      </c>
      <c r="E77" s="92" t="str">
        <f aca="false">IF(Perf_Prod!E76&lt;=Perf!E42,"是","否")</f>
        <v>是</v>
      </c>
      <c r="F77" s="92" t="str">
        <f aca="false">IF(Perf_Prod!F76&lt;=Perf!F42,"是","否")</f>
        <v>是</v>
      </c>
      <c r="G77" s="92" t="str">
        <f aca="false">IF(Perf_Prod!G76&lt;=Perf!G42,"是","否")</f>
        <v>是</v>
      </c>
      <c r="H77" s="92" t="str">
        <f aca="false">IF(Perf_Prod!H76&lt;=Perf!H42,"是","否")</f>
        <v>是</v>
      </c>
      <c r="I77" s="92" t="str">
        <f aca="false">IF(Perf_Prod!I76&lt;=Perf!I42,"是","否")</f>
        <v>是</v>
      </c>
      <c r="J77" s="92" t="str">
        <f aca="false">IF(Perf_Prod!J76&lt;=Perf!J42,"是","否")</f>
        <v>是</v>
      </c>
      <c r="K77" s="92" t="str">
        <f aca="false">IF(Perf_Prod!K76&lt;=Perf!K42,"是","否")</f>
        <v>是</v>
      </c>
      <c r="L77" s="92" t="str">
        <f aca="false">IF(Perf_Prod!L76&lt;=Perf!L42,"是","否")</f>
        <v>是</v>
      </c>
      <c r="M77" s="92" t="str">
        <f aca="false">IF(Perf_Prod!M76&lt;=Perf!M42,"是","否")</f>
        <v>是</v>
      </c>
      <c r="N77" s="92" t="str">
        <f aca="false">IF(Perf_Prod!N76&lt;=Perf!N42,"是","否")</f>
        <v>是</v>
      </c>
      <c r="O77" s="92" t="str">
        <f aca="false">IF(Perf_Prod!O76&lt;=Perf!O42,"是","否")</f>
        <v>是</v>
      </c>
      <c r="P77" s="92" t="str">
        <f aca="false">IF(Perf_Prod!P76&lt;=Perf!P42,"是","否")</f>
        <v>是</v>
      </c>
      <c r="Q77" s="92" t="str">
        <f aca="false">IF(Perf_Prod!Q76&lt;=Perf!Q42,"是","否")</f>
        <v>是</v>
      </c>
      <c r="S77" s="92" t="str">
        <f aca="false">IF(Perf_Prod!S76&lt;=Perf!C42,"是","否")</f>
        <v>是</v>
      </c>
      <c r="T77" s="92" t="str">
        <f aca="false">IF(Perf_Prod!T76&lt;=Perf!D42,"是","否")</f>
        <v>是</v>
      </c>
      <c r="U77" s="92" t="str">
        <f aca="false">IF(Perf_Prod!U76&lt;=Perf!E42,"是","否")</f>
        <v>是</v>
      </c>
      <c r="V77" s="92" t="str">
        <f aca="false">IF(Perf_Prod!V76&lt;=Perf!F42,"是","否")</f>
        <v>是</v>
      </c>
      <c r="W77" s="92" t="str">
        <f aca="false">IF(Perf_Prod!W76&lt;=Perf!G42,"是","否")</f>
        <v>是</v>
      </c>
      <c r="X77" s="92" t="str">
        <f aca="false">IF(Perf_Prod!X76&lt;=Perf!H42,"是","否")</f>
        <v>是</v>
      </c>
      <c r="Y77" s="92" t="str">
        <f aca="false">IF(Perf_Prod!Y76&lt;=Perf!I42,"是","否")</f>
        <v>是</v>
      </c>
      <c r="Z77" s="92" t="str">
        <f aca="false">IF(Perf_Prod!Z76&lt;=Perf!J42,"是","否")</f>
        <v>是</v>
      </c>
      <c r="AA77" s="92" t="str">
        <f aca="false">IF(Perf_Prod!AA76&lt;=Perf!K42,"是","否")</f>
        <v>是</v>
      </c>
      <c r="AB77" s="92" t="str">
        <f aca="false">IF(Perf_Prod!AB76&lt;=Perf!L42,"是","否")</f>
        <v>是</v>
      </c>
      <c r="AC77" s="92" t="str">
        <f aca="false">IF(Perf_Prod!AC76&lt;=Perf!M42,"是","否")</f>
        <v>是</v>
      </c>
      <c r="AD77" s="92" t="str">
        <f aca="false">IF(Perf_Prod!AD76&lt;=Perf!N42,"是","否")</f>
        <v>是</v>
      </c>
      <c r="AE77" s="92" t="str">
        <f aca="false">IF(Perf_Prod!AE76&lt;=Perf!O42,"是","否")</f>
        <v>是</v>
      </c>
      <c r="AF77" s="92" t="str">
        <f aca="false">IF(Perf_Prod!AF76&lt;=Perf!P42,"是","否")</f>
        <v>是</v>
      </c>
      <c r="AG77" s="92" t="str">
        <f aca="false">IF(Perf_Prod!AG76&lt;=Perf!Q42,"是","否")</f>
        <v>是</v>
      </c>
    </row>
    <row r="79" customFormat="false" ht="15" hidden="false" customHeight="false" outlineLevel="0" collapsed="false">
      <c r="A79" s="61" t="s">
        <v>910</v>
      </c>
      <c r="B79" s="59" t="s">
        <v>561</v>
      </c>
      <c r="C79" s="95" t="n">
        <f aca="false">Perf!C72/Perf!C16+(Perf!C29+Perf!C47)*Perf_Prod!C55/1000</f>
        <v>15.9993635766828</v>
      </c>
      <c r="D79" s="95" t="n">
        <f aca="false">Perf!D72/Perf!D16+(Perf!D29+Perf!D47)*Perf_Prod!D55/1000</f>
        <v>28.5991030950805</v>
      </c>
      <c r="E79" s="95" t="n">
        <f aca="false">Perf!E72/Perf!E16+(Perf!E29+Perf!E47)*Perf_Prod!E55/1000</f>
        <v>41.5061799059401</v>
      </c>
      <c r="F79" s="95" t="n">
        <f aca="false">Perf!F72/Perf!F16+(Perf!F29+Perf!F47)*Perf_Prod!F55/1000</f>
        <v>10.0116030761141</v>
      </c>
      <c r="G79" s="95" t="n">
        <f aca="false">Perf!G72/Perf!G16+(Perf!G29+Perf!G47)*Perf_Prod!G55/1000</f>
        <v>18.1420993705793</v>
      </c>
      <c r="H79" s="95" t="n">
        <f aca="false">Perf!H72/Perf!H16+(Perf!H29+Perf!H47)*Perf_Prod!H55/1000</f>
        <v>30.769482681035</v>
      </c>
      <c r="I79" s="95" t="n">
        <f aca="false">Perf!I72/Perf!I16+(Perf!I29+Perf!I47)*Perf_Prod!I55/1000</f>
        <v>10.0116030761141</v>
      </c>
      <c r="J79" s="95" t="n">
        <f aca="false">Perf!J72/Perf!J16+(Perf!J29+Perf!J47)*Perf_Prod!J55/1000</f>
        <v>18.1420993705793</v>
      </c>
      <c r="K79" s="95" t="n">
        <f aca="false">Perf!K72/Perf!K16+(Perf!K29+Perf!K47)*Perf_Prod!K55/1000</f>
        <v>34.3471799716763</v>
      </c>
      <c r="L79" s="95" t="n">
        <f aca="false">Perf!L72/Perf!L16+(Perf!L29+Perf!L47)*Perf_Prod!L55/1000</f>
        <v>9.19156463506294</v>
      </c>
      <c r="M79" s="95" t="n">
        <f aca="false">Perf!M72/Perf!M16+(Perf!M29+Perf!M47)*Perf_Prod!M55/1000</f>
        <v>14.3202320153868</v>
      </c>
      <c r="N79" s="95" t="n">
        <f aca="false">Perf!N72/Perf!N16+(Perf!N29+Perf!N47)*Perf_Prod!N55/1000</f>
        <v>24.9192556896359</v>
      </c>
      <c r="O79" s="95" t="n">
        <f aca="false">Perf!O72/Perf!O16+(Perf!O29+Perf!O47)*Perf_Prod!O55/1000</f>
        <v>8.96861271966877</v>
      </c>
      <c r="P79" s="95" t="n">
        <f aca="false">Perf!P72/Perf!P16+(Perf!P29+Perf!P47)*Perf_Prod!P55/1000</f>
        <v>13.2038720349673</v>
      </c>
      <c r="Q79" s="95" t="n">
        <f aca="false">Perf!Q72/Perf!Q16+(Perf!Q29+Perf!Q47)*Perf_Prod!Q55/1000</f>
        <v>22.1505431564514</v>
      </c>
      <c r="S79" s="95" t="n">
        <f aca="false">Perf!C72/Perf!C16+(Perf!C29+Perf!C47)*Perf_Prod!S55/1000</f>
        <v>14.0366950476431</v>
      </c>
      <c r="T79" s="95" t="n">
        <f aca="false">Perf!D72/Perf!D16+(Perf!D29+Perf!D47)*Perf_Prod!T55/1000</f>
        <v>25.8684338372861</v>
      </c>
      <c r="U79" s="95" t="n">
        <f aca="false">Perf!E72/Perf!E16+(Perf!E29+Perf!E47)*Perf_Prod!U55/1000</f>
        <v>37.1115090691772</v>
      </c>
      <c r="V79" s="95" t="n">
        <f aca="false">Perf!F72/Perf!F16+(Perf!F29+Perf!F47)*Perf_Prod!V55/1000</f>
        <v>8.70315739008759</v>
      </c>
      <c r="W79" s="95" t="n">
        <f aca="false">Perf!G72/Perf!G16+(Perf!G29+Perf!G47)*Perf_Prod!W55/1000</f>
        <v>16.3216531987164</v>
      </c>
      <c r="X79" s="95" t="n">
        <f aca="false">Perf!H72/Perf!H16+(Perf!H29+Perf!H47)*Perf_Prod!X55/1000</f>
        <v>27.8397021231931</v>
      </c>
      <c r="Y79" s="95" t="n">
        <f aca="false">Perf!I72/Perf!I16+(Perf!I29+Perf!I47)*Perf_Prod!Y55/1000</f>
        <v>8.70315739008759</v>
      </c>
      <c r="Z79" s="95" t="n">
        <f aca="false">Perf!J72/Perf!J16+(Perf!J29+Perf!J47)*Perf_Prod!Z55/1000</f>
        <v>16.3216531987164</v>
      </c>
      <c r="AA79" s="95" t="n">
        <f aca="false">Perf!K72/Perf!K16+(Perf!K29+Perf!K47)*Perf_Prod!AA55/1000</f>
        <v>31.4173994138344</v>
      </c>
      <c r="AB79" s="95" t="n">
        <f aca="false">Perf!L72/Perf!L16+(Perf!L29+Perf!L47)*Perf_Prod!AB55/1000</f>
        <v>7.88311894903646</v>
      </c>
      <c r="AC79" s="95" t="n">
        <f aca="false">Perf!M72/Perf!M16+(Perf!M29+Perf!M47)*Perf_Prod!AC55/1000</f>
        <v>12.4997858435238</v>
      </c>
      <c r="AD79" s="95" t="n">
        <f aca="false">Perf!N72/Perf!N16+(Perf!N29+Perf!N47)*Perf_Prod!AD55/1000</f>
        <v>21.989475131794</v>
      </c>
      <c r="AE79" s="95" t="n">
        <f aca="false">Perf!O72/Perf!O16+(Perf!O29+Perf!O47)*Perf_Prod!AE55/1000</f>
        <v>7.66016703364228</v>
      </c>
      <c r="AF79" s="95" t="n">
        <f aca="false">Perf!P72/Perf!P16+(Perf!P29+Perf!P47)*Perf_Prod!AF55/1000</f>
        <v>11.3834258631044</v>
      </c>
      <c r="AG79" s="95" t="n">
        <f aca="false">Perf!Q72/Perf!Q16+(Perf!Q29+Perf!Q47)*Perf_Prod!AG55/1000</f>
        <v>19.2207625986094</v>
      </c>
    </row>
    <row r="80" customFormat="false" ht="15" hidden="false" customHeight="false" outlineLevel="0" collapsed="false">
      <c r="A80" s="61" t="s">
        <v>911</v>
      </c>
      <c r="B80" s="59" t="s">
        <v>561</v>
      </c>
      <c r="C80" s="96" t="n">
        <f aca="false">(Perf!C47+1)*Perf!C65/(Perf!C14*Perf_Prod!C53)/1000</f>
        <v>2.14636773698209</v>
      </c>
      <c r="D80" s="96" t="n">
        <f aca="false">(Perf!D47+1)*Perf!D65/(Perf!D14*Perf_Prod!D53)/1000</f>
        <v>7.39191400462032</v>
      </c>
      <c r="E80" s="96" t="n">
        <f aca="false">(Perf!E47+1)*Perf!E65/(Perf!E14*Perf_Prod!E53)/1000</f>
        <v>29.4357908705542</v>
      </c>
      <c r="F80" s="96" t="n">
        <f aca="false">(Perf!F47+1)*Perf!F65/(Perf!F14*Perf_Prod!F53)/1000</f>
        <v>0.509719410178506</v>
      </c>
      <c r="G80" s="96" t="n">
        <f aca="false">(Perf!G47+1)*Perf!G65/(Perf!G14*Perf_Prod!G53)/1000</f>
        <v>1.75543173781723</v>
      </c>
      <c r="H80" s="96" t="n">
        <f aca="false">(Perf!H47+1)*Perf!H65/(Perf!H14*Perf_Prod!H53)/1000</f>
        <v>6.99041161593922</v>
      </c>
      <c r="I80" s="96" t="n">
        <f aca="false">(Perf!I47+1)*Perf!I65/(Perf!I14*Perf_Prod!I53)/1000</f>
        <v>0.339812940119004</v>
      </c>
      <c r="J80" s="96" t="n">
        <f aca="false">(Perf!J47+1)*Perf!J65/(Perf!J14*Perf_Prod!J53)/1000</f>
        <v>1.17028782521149</v>
      </c>
      <c r="K80" s="96" t="n">
        <f aca="false">(Perf!K47+1)*Perf!K65/(Perf!K14*Perf_Prod!K53)/1000</f>
        <v>4.66027441062615</v>
      </c>
      <c r="L80" s="96" t="n">
        <f aca="false">(Perf!L47+1)*Perf!L65/(Perf!L14*Perf_Prod!L53)/1000</f>
        <v>0.145634117193859</v>
      </c>
      <c r="M80" s="96" t="n">
        <f aca="false">(Perf!M47+1)*Perf!M65/(Perf!M14*Perf_Prod!M53)/1000</f>
        <v>0.501551925090638</v>
      </c>
      <c r="N80" s="96" t="n">
        <f aca="false">(Perf!N47+1)*Perf!N65/(Perf!N14*Perf_Prod!N53)/1000</f>
        <v>1.99726046169692</v>
      </c>
      <c r="O80" s="96" t="n">
        <f aca="false">(Perf!O47+1)*Perf!O65/(Perf!O14*Perf_Prod!O53)/1000</f>
        <v>0.0728170585969295</v>
      </c>
      <c r="P80" s="96" t="n">
        <f aca="false">(Perf!P47+1)*Perf!P65/(Perf!P14*Perf_Prod!P53)/1000</f>
        <v>0.250775962545319</v>
      </c>
      <c r="Q80" s="96" t="n">
        <f aca="false">(Perf!Q47+1)*Perf!Q65/(Perf!Q14*Perf_Prod!Q53)/1000</f>
        <v>0.99863023084846</v>
      </c>
      <c r="S80" s="96" t="n">
        <f aca="false">(Perf!C47+1)*Perf!C65/(Perf!C14*Perf_Prod!S53)/1000</f>
        <v>1.82441257643477</v>
      </c>
      <c r="T80" s="96" t="n">
        <f aca="false">(Perf!D47+1)*Perf!D65/(Perf!D14*Perf_Prod!T53)/1000</f>
        <v>6.28312690392727</v>
      </c>
      <c r="U80" s="96" t="n">
        <f aca="false">(Perf!E47+1)*Perf!E65/(Perf!E14*Perf_Prod!U53)/1000</f>
        <v>25.0204222399711</v>
      </c>
      <c r="V80" s="96" t="n">
        <f aca="false">(Perf!F47+1)*Perf!F65/(Perf!F14*Perf_Prod!V53)/1000</f>
        <v>0.43326149865173</v>
      </c>
      <c r="W80" s="96" t="n">
        <f aca="false">(Perf!G47+1)*Perf!G65/(Perf!G14*Perf_Prod!W53)/1000</f>
        <v>1.49211697714465</v>
      </c>
      <c r="X80" s="96" t="n">
        <f aca="false">(Perf!H47+1)*Perf!H65/(Perf!H14*Perf_Prod!X53)/1000</f>
        <v>5.94184987354833</v>
      </c>
      <c r="Y80" s="96" t="n">
        <f aca="false">(Perf!I47+1)*Perf!I65/(Perf!I14*Perf_Prod!Y53)/1000</f>
        <v>0.288840999101154</v>
      </c>
      <c r="Z80" s="96" t="n">
        <f aca="false">(Perf!J47+1)*Perf!J65/(Perf!J14*Perf_Prod!Z53)/1000</f>
        <v>0.994744651429766</v>
      </c>
      <c r="AA80" s="96" t="n">
        <f aca="false">(Perf!K47+1)*Perf!K65/(Perf!K14*Perf_Prod!AA53)/1000</f>
        <v>3.96123324903222</v>
      </c>
      <c r="AB80" s="96" t="n">
        <f aca="false">(Perf!L47+1)*Perf!L65/(Perf!L14*Perf_Prod!AB53)/1000</f>
        <v>0.12378899961478</v>
      </c>
      <c r="AC80" s="96" t="n">
        <f aca="false">(Perf!M47+1)*Perf!M65/(Perf!M14*Perf_Prod!AC53)/1000</f>
        <v>0.426319136327043</v>
      </c>
      <c r="AD80" s="96" t="n">
        <f aca="false">(Perf!N47+1)*Perf!N65/(Perf!N14*Perf_Prod!AD53)/1000</f>
        <v>1.69767139244238</v>
      </c>
      <c r="AE80" s="96" t="n">
        <f aca="false">(Perf!O47+1)*Perf!O65/(Perf!O14*Perf_Prod!AE53)/1000</f>
        <v>0.06189449980739</v>
      </c>
      <c r="AF80" s="96" t="n">
        <f aca="false">(Perf!P47+1)*Perf!P65/(Perf!P14*Perf_Prod!AF53)/1000</f>
        <v>0.213159568163521</v>
      </c>
      <c r="AG80" s="96" t="n">
        <f aca="false">(Perf!Q47+1)*Perf!Q65/(Perf!Q14*Perf_Prod!AG53)/1000</f>
        <v>0.848835696221191</v>
      </c>
    </row>
    <row r="83" customFormat="false" ht="15" hidden="false" customHeight="false" outlineLevel="0" collapsed="false">
      <c r="A83" s="61" t="s">
        <v>914</v>
      </c>
      <c r="B83" s="59" t="s">
        <v>561</v>
      </c>
      <c r="C83" s="96" t="n">
        <f aca="false">MAX(Perf_Prod!C80,Perf!C81,Perf!C82)</f>
        <v>2.14636773698209</v>
      </c>
      <c r="D83" s="96" t="n">
        <f aca="false">MAX(Perf_Prod!D80,Perf!D81,Perf!D82)</f>
        <v>7.39191400462032</v>
      </c>
      <c r="E83" s="96" t="n">
        <f aca="false">MAX(Perf_Prod!E80,Perf!E81,Perf!E82)</f>
        <v>29.4357908705542</v>
      </c>
      <c r="F83" s="96" t="n">
        <f aca="false">MAX(Perf_Prod!F80,Perf!F81,Perf!F82)</f>
        <v>0.509719410178506</v>
      </c>
      <c r="G83" s="96" t="n">
        <f aca="false">MAX(Perf_Prod!G80,Perf!G81,Perf!G82)</f>
        <v>1.75543173781723</v>
      </c>
      <c r="H83" s="96" t="n">
        <f aca="false">MAX(Perf_Prod!H80,Perf!H81,Perf!H82)</f>
        <v>6.99041161593922</v>
      </c>
      <c r="I83" s="96" t="n">
        <f aca="false">MAX(Perf_Prod!I80,Perf!I81,Perf!I82)</f>
        <v>0.339812940119004</v>
      </c>
      <c r="J83" s="96" t="n">
        <f aca="false">MAX(Perf_Prod!J80,Perf!J81,Perf!J82)</f>
        <v>1.17028782521149</v>
      </c>
      <c r="K83" s="96" t="n">
        <f aca="false">MAX(Perf_Prod!K80,Perf!K81,Perf!K82)</f>
        <v>4.66027441062615</v>
      </c>
      <c r="L83" s="96" t="n">
        <f aca="false">MAX(Perf_Prod!L80,Perf!L81,Perf!L82)</f>
        <v>0.145634117193859</v>
      </c>
      <c r="M83" s="96" t="n">
        <f aca="false">MAX(Perf_Prod!M80,Perf!M81,Perf!M82)</f>
        <v>0.501551925090638</v>
      </c>
      <c r="N83" s="96" t="n">
        <f aca="false">MAX(Perf_Prod!N80,Perf!N81,Perf!N82)</f>
        <v>1.99726046169692</v>
      </c>
      <c r="O83" s="96" t="n">
        <f aca="false">MAX(Perf_Prod!O80,Perf!O81,Perf!O82)</f>
        <v>0.0728170585969295</v>
      </c>
      <c r="P83" s="96" t="n">
        <f aca="false">MAX(Perf_Prod!P80,Perf!P81,Perf!P82)</f>
        <v>0.250775962545319</v>
      </c>
      <c r="Q83" s="96" t="n">
        <f aca="false">MAX(Perf_Prod!Q80,Perf!Q81,Perf!Q82)</f>
        <v>0.99863023084846</v>
      </c>
      <c r="S83" s="96" t="n">
        <f aca="false">MAX(Perf_Prod!S80,Perf!C81,Perf!C82)</f>
        <v>1.82441257643477</v>
      </c>
      <c r="T83" s="96" t="n">
        <f aca="false">MAX(Perf_Prod!T80,Perf!D81,Perf!D82)</f>
        <v>6.28312690392727</v>
      </c>
      <c r="U83" s="96" t="n">
        <f aca="false">MAX(Perf_Prod!U80,Perf!E81,Perf!E82)</f>
        <v>25.0204222399711</v>
      </c>
      <c r="V83" s="96" t="n">
        <f aca="false">MAX(Perf_Prod!V80,Perf!F81,Perf!F82)</f>
        <v>0.43326149865173</v>
      </c>
      <c r="W83" s="96" t="n">
        <f aca="false">MAX(Perf_Prod!W80,Perf!G81,Perf!G82)</f>
        <v>1.49211697714465</v>
      </c>
      <c r="X83" s="96" t="n">
        <f aca="false">MAX(Perf_Prod!X80,Perf!H81,Perf!H82)</f>
        <v>5.94184987354833</v>
      </c>
      <c r="Y83" s="96" t="n">
        <f aca="false">MAX(Perf_Prod!Y80,Perf!I81,Perf!I82)</f>
        <v>0.288840999101154</v>
      </c>
      <c r="Z83" s="96" t="n">
        <f aca="false">MAX(Perf_Prod!Z80,Perf!J81,Perf!J82)</f>
        <v>0.994744651429766</v>
      </c>
      <c r="AA83" s="96" t="n">
        <f aca="false">MAX(Perf_Prod!AA80,Perf!K81,Perf!K82)</f>
        <v>3.96123324903222</v>
      </c>
      <c r="AB83" s="96" t="n">
        <f aca="false">MAX(Perf_Prod!AB80,Perf!L81,Perf!L82)</f>
        <v>0.12378899961478</v>
      </c>
      <c r="AC83" s="96" t="n">
        <f aca="false">MAX(Perf_Prod!AC80,Perf!M81,Perf!M82)</f>
        <v>0.426319136327043</v>
      </c>
      <c r="AD83" s="96" t="n">
        <f aca="false">MAX(Perf_Prod!AD80,Perf!N81,Perf!N82)</f>
        <v>1.69767139244238</v>
      </c>
      <c r="AE83" s="96" t="n">
        <f aca="false">MAX(Perf_Prod!AE80,Perf!O81,Perf!O82)</f>
        <v>0.06189449980739</v>
      </c>
      <c r="AF83" s="96" t="n">
        <f aca="false">MAX(Perf_Prod!AF80,Perf!P81,Perf!P82)</f>
        <v>0.213159568163521</v>
      </c>
      <c r="AG83" s="96" t="n">
        <f aca="false">MAX(Perf_Prod!AG80,Perf!Q81,Perf!Q82)</f>
        <v>0.848835696221191</v>
      </c>
    </row>
    <row r="85" customFormat="false" ht="15" hidden="false" customHeight="false" outlineLevel="0" collapsed="false">
      <c r="A85" s="62" t="s">
        <v>916</v>
      </c>
      <c r="B85" s="74" t="s">
        <v>2723</v>
      </c>
      <c r="C85" s="98" t="n">
        <f aca="false">(1000*Perf!C49/Perf!C41-Perf_Prod!C79)/Perf_Prod!C83</f>
        <v>6.54504101289595</v>
      </c>
      <c r="D85" s="98" t="n">
        <f aca="false">(1000*Perf!D49/Perf!D41-Perf_Prod!D79)/Perf_Prod!D83</f>
        <v>4.04279485687181</v>
      </c>
      <c r="E85" s="98" t="n">
        <f aca="false">(1000*Perf!E49/Perf!E41-Perf_Prod!E79)/Perf_Prod!E83</f>
        <v>0.697432267368758</v>
      </c>
      <c r="F85" s="98" t="n">
        <f aca="false">(1000*Perf!F49/Perf!F41-Perf_Prod!F79)/Perf_Prod!F83</f>
        <v>39.3075581737342</v>
      </c>
      <c r="G85" s="98" t="n">
        <f aca="false">(1000*Perf!G49/Perf!G41-Perf_Prod!G79)/Perf_Prod!G83</f>
        <v>22.9806689578145</v>
      </c>
      <c r="H85" s="98" t="n">
        <f aca="false">(1000*Perf!H49/Perf!H41-Perf_Prod!H79)/Perf_Prod!H83</f>
        <v>4.47272196708082</v>
      </c>
      <c r="I85" s="98" t="n">
        <f aca="false">(1000*Perf!I49/Perf!I41-Perf_Prod!I79)/Perf_Prod!I83</f>
        <v>58.9613372606013</v>
      </c>
      <c r="J85" s="98" t="n">
        <f aca="false">(1000*Perf!J49/Perf!J41-Perf_Prod!J79)/Perf_Prod!J83</f>
        <v>34.4710034367218</v>
      </c>
      <c r="K85" s="98" t="n">
        <f aca="false">(1000*Perf!K49/Perf!K41-Perf_Prod!K79)/Perf_Prod!K83</f>
        <v>5.94138195806088</v>
      </c>
      <c r="L85" s="98" t="n">
        <f aca="false">(1000*Perf!L49/Perf!L41-Perf_Prod!L79)/Perf_Prod!L83</f>
        <v>143.207266338301</v>
      </c>
      <c r="M85" s="98" t="n">
        <f aca="false">(1000*Perf!M49/Perf!M41-Perf_Prod!M79)/Perf_Prod!M83</f>
        <v>88.0524244663811</v>
      </c>
      <c r="N85" s="98" t="n">
        <f aca="false">(1000*Perf!N49/Perf!N41-Perf_Prod!N79)/Perf_Prod!N83</f>
        <v>18.5836526065371</v>
      </c>
      <c r="O85" s="98" t="n">
        <f aca="false">(1000*Perf!O49/Perf!O41-Perf_Prod!O79)/Perf_Prod!O83</f>
        <v>289.476341539663</v>
      </c>
      <c r="P85" s="98" t="n">
        <f aca="false">(1000*Perf!P49/Perf!P41-Perf_Prod!P79)/Perf_Prod!P83</f>
        <v>180.556471684355</v>
      </c>
      <c r="Q85" s="98" t="n">
        <f aca="false">(1000*Perf!Q49/Perf!Q41-Perf_Prod!Q79)/Perf_Prod!Q83</f>
        <v>39.939815445247</v>
      </c>
      <c r="S85" s="98" t="n">
        <f aca="false">(1000*Perf!C49/Perf!C41-Perf_Prod!S79)/Perf_Prod!S83</f>
        <v>8.77582932892952</v>
      </c>
      <c r="T85" s="98" t="n">
        <f aca="false">(1000*Perf!D49/Perf!D41-Perf_Prod!T79)/Perf_Prod!T83</f>
        <v>5.19083279341793</v>
      </c>
      <c r="U85" s="98" t="n">
        <f aca="false">(1000*Perf!E49/Perf!E41-Perf_Prod!U79)/Perf_Prod!U83</f>
        <v>0.996151902088559</v>
      </c>
      <c r="V85" s="98" t="n">
        <f aca="false">(1000*Perf!F49/Perf!F41-Perf_Prod!V79)/Perf_Prod!V83</f>
        <v>49.2641767623502</v>
      </c>
      <c r="W85" s="98" t="n">
        <f aca="false">(1000*Perf!G49/Perf!G41-Perf_Prod!W79)/Perf_Prod!W83</f>
        <v>28.2561236568483</v>
      </c>
      <c r="X85" s="98" t="n">
        <f aca="false">(1000*Perf!H49/Perf!H41-Perf_Prod!X79)/Perf_Prod!X83</f>
        <v>5.75510133697962</v>
      </c>
      <c r="Y85" s="98" t="n">
        <f aca="false">(1000*Perf!I49/Perf!I41-Perf_Prod!Y79)/Perf_Prod!Y83</f>
        <v>73.8962651435254</v>
      </c>
      <c r="Z85" s="98" t="n">
        <f aca="false">(1000*Perf!J49/Perf!J41-Perf_Prod!Z79)/Perf_Prod!Z83</f>
        <v>42.3841854852724</v>
      </c>
      <c r="AA85" s="98" t="n">
        <f aca="false">(1000*Perf!K49/Perf!K41-Perf_Prod!AA79)/Perf_Prod!AA83</f>
        <v>7.72947436716313</v>
      </c>
      <c r="AB85" s="98" t="n">
        <f aca="false">(1000*Perf!L49/Perf!L41-Perf_Prod!AB79)/Perf_Prod!AB83</f>
        <v>179.049104233203</v>
      </c>
      <c r="AC85" s="98" t="n">
        <f aca="false">(1000*Perf!M49/Perf!M41-Perf_Prod!AC79)/Perf_Prod!AC83</f>
        <v>107.861236462534</v>
      </c>
      <c r="AD85" s="98" t="n">
        <f aca="false">(1000*Perf!N49/Perf!N41-Perf_Prod!AD79)/Perf_Prod!AD83</f>
        <v>23.5888849403159</v>
      </c>
      <c r="AE85" s="98" t="n">
        <f aca="false">(1000*Perf!O49/Perf!O41-Perf_Prod!AE79)/Perf_Prod!AE83</f>
        <v>361.700336540597</v>
      </c>
      <c r="AF85" s="98" t="n">
        <f aca="false">(1000*Perf!P49/Perf!P41-Perf_Prod!AF79)/Perf_Prod!AF83</f>
        <v>220.959676162236</v>
      </c>
      <c r="AG85" s="98" t="n">
        <f aca="false">(1000*Perf!Q49/Perf!Q41-Perf_Prod!AG79)/Perf_Prod!AG83</f>
        <v>50.4395466243647</v>
      </c>
    </row>
    <row r="87" customFormat="false" ht="15" hidden="false" customHeight="false" outlineLevel="0" collapsed="false">
      <c r="A87" s="61" t="s">
        <v>918</v>
      </c>
      <c r="B87" s="74" t="s">
        <v>2723</v>
      </c>
      <c r="C87" s="164" t="n">
        <f aca="false">MAX(0,MIN(Perf_Prod!C85,Perf!C86))</f>
        <v>6.54504101289595</v>
      </c>
      <c r="D87" s="164" t="n">
        <f aca="false">MAX(0,MIN(Perf_Prod!D85,Perf!D86))</f>
        <v>4.04279485687181</v>
      </c>
      <c r="E87" s="164" t="n">
        <f aca="false">MAX(0,MIN(Perf_Prod!E85,Perf!E86))</f>
        <v>0.697432267368758</v>
      </c>
      <c r="F87" s="164" t="n">
        <f aca="false">MAX(0,MIN(Perf_Prod!F85,Perf!F86))</f>
        <v>39.3075581737342</v>
      </c>
      <c r="G87" s="164" t="n">
        <f aca="false">MAX(0,MIN(Perf_Prod!G85,Perf!G86))</f>
        <v>22.9806689578145</v>
      </c>
      <c r="H87" s="164" t="n">
        <f aca="false">MAX(0,MIN(Perf_Prod!H85,Perf!H86))</f>
        <v>4.47272196708082</v>
      </c>
      <c r="I87" s="164" t="n">
        <f aca="false">MAX(0,MIN(Perf_Prod!I85,Perf!I86))</f>
        <v>58.9613372606013</v>
      </c>
      <c r="J87" s="164" t="n">
        <f aca="false">MAX(0,MIN(Perf_Prod!J85,Perf!J86))</f>
        <v>34.4710034367218</v>
      </c>
      <c r="K87" s="164" t="n">
        <f aca="false">MAX(0,MIN(Perf_Prod!K85,Perf!K86))</f>
        <v>5.94138195806088</v>
      </c>
      <c r="L87" s="164" t="n">
        <f aca="false">MAX(0,MIN(Perf_Prod!L85,Perf!L86))</f>
        <v>143.207266338301</v>
      </c>
      <c r="M87" s="164" t="n">
        <f aca="false">MAX(0,MIN(Perf_Prod!M85,Perf!M86))</f>
        <v>88.0524244663811</v>
      </c>
      <c r="N87" s="164" t="n">
        <f aca="false">MAX(0,MIN(Perf_Prod!N85,Perf!N86))</f>
        <v>18.5836526065371</v>
      </c>
      <c r="O87" s="164" t="n">
        <f aca="false">MAX(0,MIN(Perf_Prod!O85,Perf!O86))</f>
        <v>289.476341539663</v>
      </c>
      <c r="P87" s="164" t="n">
        <f aca="false">MAX(0,MIN(Perf_Prod!P85,Perf!P86))</f>
        <v>180.556471684355</v>
      </c>
      <c r="Q87" s="164" t="n">
        <f aca="false">MAX(0,MIN(Perf_Prod!Q85,Perf!Q86))</f>
        <v>39.939815445247</v>
      </c>
      <c r="S87" s="164" t="n">
        <f aca="false">MAX(0,MIN(Perf_Prod!S85,Perf!C86))</f>
        <v>8.77582932892952</v>
      </c>
      <c r="T87" s="164" t="n">
        <f aca="false">MAX(0,MIN(Perf_Prod!T85,Perf!D86))</f>
        <v>5.19083279341793</v>
      </c>
      <c r="U87" s="164" t="n">
        <f aca="false">MAX(0,MIN(Perf_Prod!U85,Perf!E86))</f>
        <v>0.996151902088559</v>
      </c>
      <c r="V87" s="164" t="n">
        <f aca="false">MAX(0,MIN(Perf_Prod!V85,Perf!F86))</f>
        <v>49.2641767623502</v>
      </c>
      <c r="W87" s="164" t="n">
        <f aca="false">MAX(0,MIN(Perf_Prod!W85,Perf!G86))</f>
        <v>28.2561236568483</v>
      </c>
      <c r="X87" s="164" t="n">
        <f aca="false">MAX(0,MIN(Perf_Prod!X85,Perf!H86))</f>
        <v>5.75510133697962</v>
      </c>
      <c r="Y87" s="164" t="n">
        <f aca="false">MAX(0,MIN(Perf_Prod!Y85,Perf!I86))</f>
        <v>73.8962651435254</v>
      </c>
      <c r="Z87" s="164" t="n">
        <f aca="false">MAX(0,MIN(Perf_Prod!Z85,Perf!J86))</f>
        <v>42.3841854852724</v>
      </c>
      <c r="AA87" s="164" t="n">
        <f aca="false">MAX(0,MIN(Perf_Prod!AA85,Perf!K86))</f>
        <v>7.72947436716313</v>
      </c>
      <c r="AB87" s="164" t="n">
        <f aca="false">MAX(0,MIN(Perf_Prod!AB85,Perf!L86))</f>
        <v>179.049104233203</v>
      </c>
      <c r="AC87" s="164" t="n">
        <f aca="false">MAX(0,MIN(Perf_Prod!AC85,Perf!M86))</f>
        <v>107.861236462534</v>
      </c>
      <c r="AD87" s="164" t="n">
        <f aca="false">MAX(0,MIN(Perf_Prod!AD85,Perf!N86))</f>
        <v>23.5888849403159</v>
      </c>
      <c r="AE87" s="164" t="n">
        <f aca="false">MAX(0,MIN(Perf_Prod!AE85,Perf!O86))</f>
        <v>361.700336540597</v>
      </c>
      <c r="AF87" s="164" t="n">
        <f aca="false">MAX(0,MIN(Perf_Prod!AF85,Perf!P86))</f>
        <v>220.959676162236</v>
      </c>
      <c r="AG87" s="164" t="n">
        <f aca="false">MAX(0,MIN(Perf_Prod!AG85,Perf!Q86))</f>
        <v>50.4395466243647</v>
      </c>
    </row>
    <row r="88" customFormat="false" ht="15" hidden="false" customHeight="false" outlineLevel="0" collapsed="false">
      <c r="A88" s="62" t="s">
        <v>919</v>
      </c>
      <c r="B88" s="59" t="s">
        <v>389</v>
      </c>
      <c r="C88" s="171" t="n">
        <f aca="false">IF(Perf_Prod!C87&gt;0,Perf_Prod!C87*Perf!C49/((Perf_Prod!C79+Perf_Prod!C87*Perf_Prod!C83)/1000),0)</f>
        <v>551.74734558634</v>
      </c>
      <c r="D88" s="171" t="n">
        <f aca="false">IF(Perf_Prod!D87&gt;0,Perf_Prod!D87*Perf!D49/((Perf_Prod!D79+Perf_Prod!D87*Perf_Prod!D83)/1000),0)</f>
        <v>175.100161333118</v>
      </c>
      <c r="E88" s="171" t="n">
        <f aca="false">IF(Perf_Prod!E87&gt;0,Perf_Prod!E87*Perf!E49/((Perf_Prod!E79+Perf_Prod!E87*Perf_Prod!E83)/1000),0)</f>
        <v>28.4771083308666</v>
      </c>
      <c r="F88" s="171" t="n">
        <f aca="false">IF(Perf_Prod!F87&gt;0,Perf_Prod!F87*Perf!F49/((Perf_Prod!F79+Perf_Prod!F87*Perf_Prod!F83)/1000),0)</f>
        <v>3313.62948545412</v>
      </c>
      <c r="G88" s="171" t="n">
        <f aca="false">IF(Perf_Prod!G87&gt;0,Perf_Prod!G87*Perf!G49/((Perf_Prod!G79+Perf_Prod!G87*Perf_Prod!G83)/1000),0)</f>
        <v>995.330949136974</v>
      </c>
      <c r="H88" s="171" t="n">
        <f aca="false">IF(Perf_Prod!H87&gt;0,Perf_Prod!H87*Perf!H49/((Perf_Prod!H79+Perf_Prod!H87*Perf_Prod!H83)/1000),0)</f>
        <v>182.627323038758</v>
      </c>
      <c r="I88" s="171" t="n">
        <f aca="false">IF(Perf_Prod!I87&gt;0,Perf_Prod!I87*Perf!I49/((Perf_Prod!I79+Perf_Prod!I87*Perf_Prod!I83)/1000),0)</f>
        <v>4970.44422818118</v>
      </c>
      <c r="J88" s="171" t="n">
        <f aca="false">IF(Perf_Prod!J87&gt;0,Perf_Prod!J87*Perf!J49/((Perf_Prod!J79+Perf_Prod!J87*Perf_Prod!J83)/1000),0)</f>
        <v>1492.99642370546</v>
      </c>
      <c r="K88" s="171" t="n">
        <f aca="false">IF(Perf_Prod!K87&gt;0,Perf_Prod!K87*Perf!K49/((Perf_Prod!K79+Perf_Prod!K87*Perf_Prod!K83)/1000),0)</f>
        <v>242.594708577338</v>
      </c>
      <c r="L88" s="171" t="n">
        <f aca="false">IF(Perf_Prod!L87&gt;0,Perf_Prod!L87*Perf!L49/((Perf_Prod!L79+Perf_Prod!L87*Perf_Prod!L83)/1000),0)</f>
        <v>12072.3810462224</v>
      </c>
      <c r="M88" s="171" t="n">
        <f aca="false">IF(Perf_Prod!M87&gt;0,Perf_Prod!M87*Perf!M49/((Perf_Prod!M79+Perf_Prod!M87*Perf_Prod!M83)/1000),0)</f>
        <v>3813.69678049048</v>
      </c>
      <c r="N88" s="171" t="n">
        <f aca="false">IF(Perf_Prod!N87&gt;0,Perf_Prod!N87*Perf!N49/((Perf_Prod!N79+Perf_Prod!N87*Perf_Prod!N83)/1000),0)</f>
        <v>758.795818920343</v>
      </c>
      <c r="O88" s="171" t="n">
        <f aca="false">IF(Perf_Prod!O87&gt;0,Perf_Prod!O87*Perf!O49/((Perf_Prod!O79+Perf_Prod!O87*Perf_Prod!O83)/1000),0)</f>
        <v>24402.8727612029</v>
      </c>
      <c r="P88" s="171" t="n">
        <f aca="false">IF(Perf_Prod!P87&gt;0,Perf_Prod!P87*Perf!P49/((Perf_Prod!P79+Perf_Prod!P87*Perf_Prod!P83)/1000),0)</f>
        <v>7820.2007375987</v>
      </c>
      <c r="Q88" s="171" t="n">
        <f aca="false">IF(Perf_Prod!Q87&gt;0,Perf_Prod!Q87*Perf!Q49/((Perf_Prod!Q79+Perf_Prod!Q87*Perf_Prod!Q83)/1000),0)</f>
        <v>1630.79700261094</v>
      </c>
      <c r="S88" s="171" t="n">
        <f aca="false">IF(Perf_Prod!S87&gt;0,Perf_Prod!S87*Perf!C49/((Perf_Prod!S79+Perf_Prod!S87*Perf_Prod!S83)/1000),0)</f>
        <v>739.802932940398</v>
      </c>
      <c r="T88" s="171" t="n">
        <f aca="false">IF(Perf_Prod!T87&gt;0,Perf_Prod!T87*Perf!D49/((Perf_Prod!T79+Perf_Prod!T87*Perf_Prod!T83)/1000),0)</f>
        <v>224.823591539841</v>
      </c>
      <c r="U88" s="171" t="n">
        <f aca="false">IF(Perf_Prod!U87&gt;0,Perf_Prod!U87*Perf!E49/((Perf_Prod!U79+Perf_Prod!U87*Perf_Prod!U83)/1000),0)</f>
        <v>40.6742374235114</v>
      </c>
      <c r="V88" s="171" t="n">
        <f aca="false">IF(Perf_Prod!V87&gt;0,Perf_Prod!V87*Perf!F49/((Perf_Prod!V79+Perf_Prod!V87*Perf_Prod!V83)/1000),0)</f>
        <v>4152.97302302101</v>
      </c>
      <c r="W88" s="171" t="n">
        <f aca="false">IF(Perf_Prod!W87&gt;0,Perf_Prod!W87*Perf!G49/((Perf_Prod!W79+Perf_Prod!W87*Perf_Prod!W83)/1000),0)</f>
        <v>1223.81965598695</v>
      </c>
      <c r="X88" s="171" t="n">
        <f aca="false">IF(Perf_Prod!X87&gt;0,Perf_Prod!X87*Perf!H49/((Perf_Prod!X79+Perf_Prod!X87*Perf_Prod!X83)/1000),0)</f>
        <v>234.988617384446</v>
      </c>
      <c r="Y88" s="171" t="n">
        <f aca="false">IF(Perf_Prod!Y87&gt;0,Perf_Prod!Y87*Perf!I49/((Perf_Prod!Y79+Perf_Prod!Y87*Perf_Prod!Y83)/1000),0)</f>
        <v>6229.45953453152</v>
      </c>
      <c r="Z88" s="171" t="n">
        <f aca="false">IF(Perf_Prod!Z87&gt;0,Perf_Prod!Z87*Perf!J49/((Perf_Prod!Z79+Perf_Prod!Z87*Perf_Prod!Z83)/1000),0)</f>
        <v>1835.72948398042</v>
      </c>
      <c r="AA88" s="171" t="n">
        <f aca="false">IF(Perf_Prod!AA87&gt;0,Perf_Prod!AA87*Perf!K49/((Perf_Prod!AA79+Perf_Prod!AA87*Perf_Prod!AA83)/1000),0)</f>
        <v>315.604954334554</v>
      </c>
      <c r="AB88" s="171" t="n">
        <f aca="false">IF(Perf_Prod!AB87&gt;0,Perf_Prod!AB87*Perf!L49/((Perf_Prod!AB79+Perf_Prod!AB87*Perf_Prod!AB83)/1000),0)</f>
        <v>15093.8501066124</v>
      </c>
      <c r="AC88" s="171" t="n">
        <f aca="false">IF(Perf_Prod!AC87&gt;0,Perf_Prod!AC87*Perf!M49/((Perf_Prod!AC79+Perf_Prod!AC87*Perf_Prod!AC83)/1000),0)</f>
        <v>4671.64933537911</v>
      </c>
      <c r="AD88" s="171" t="n">
        <f aca="false">IF(Perf_Prod!AD87&gt;0,Perf_Prod!AD87*Perf!N49/((Perf_Prod!AD79+Perf_Prod!AD87*Perf_Prod!AD83)/1000),0)</f>
        <v>963.166264709904</v>
      </c>
      <c r="AE88" s="171" t="n">
        <f aca="false">IF(Perf_Prod!AE87&gt;0,Perf_Prod!AE87*Perf!O49/((Perf_Prod!AE79+Perf_Prod!AE87*Perf_Prod!AE83)/1000),0)</f>
        <v>30491.3598235283</v>
      </c>
      <c r="AF88" s="171" t="n">
        <f aca="false">IF(Perf_Prod!AF87&gt;0,Perf_Prod!AF87*Perf!P49/((Perf_Prod!AF79+Perf_Prod!AF87*Perf_Prod!AF83)/1000),0)</f>
        <v>9570.13064324968</v>
      </c>
      <c r="AG88" s="171" t="n">
        <f aca="false">IF(Perf_Prod!AG87&gt;0,Perf_Prod!AG87*Perf!Q49/((Perf_Prod!AG79+Perf_Prod!AG87*Perf_Prod!AG83)/1000),0)</f>
        <v>2059.51531150246</v>
      </c>
    </row>
    <row r="93" customFormat="false" ht="15" hidden="false" customHeight="false" outlineLevel="0" collapsed="false">
      <c r="A93" s="61" t="s">
        <v>924</v>
      </c>
      <c r="B93" s="59" t="s">
        <v>925</v>
      </c>
      <c r="C93" s="108" t="n">
        <f aca="false">IF(ISNUMBER(Perf_Prod!C88),IF(Perf_Prod!C88&gt;0,IF(Perf_Prod!C77="是",(Perf!C43*(1-B4_CacheHit))/Perf_Prod!C75+Perf!C44/Perf_Prod!C88,"TTFT 不可達"),"SLO 不可達"),"SLO 不可達")</f>
        <v>2.4151756335665</v>
      </c>
      <c r="D93" s="108" t="n">
        <f aca="false">IF(ISNUMBER(Perf_Prod!D88),IF(Perf_Prod!D88&gt;0,IF(Perf_Prod!D77="是",(Perf!D43*(1-B4_CacheHit))/Perf_Prod!D75+Perf!D44/Perf_Prod!D88,"TTFT 不可達"),"SLO 不可達"),"SLO 不可達")</f>
        <v>15.5782690220365</v>
      </c>
      <c r="E93" s="108" t="n">
        <f aca="false">IF(ISNUMBER(Perf_Prod!E88),IF(Perf_Prod!E88&gt;0,IF(Perf_Prod!E77="是",(Perf!E43*(1-B4_CacheHit))/Perf_Prod!E75+Perf!E44/Perf_Prod!E88,"TTFT 不可達"),"SLO 不可達"),"SLO 不可達")</f>
        <v>169.592232970619</v>
      </c>
      <c r="F93" s="108" t="n">
        <f aca="false">IF(ISNUMBER(Perf_Prod!F88),IF(Perf_Prod!F88&gt;0,IF(Perf_Prod!F77="是",(Perf!F43*(1-B4_CacheHit))/Perf_Prod!F75+Perf!F44/Perf_Prod!F88,"TTFT 不可達"),"SLO 不可達"),"SLO 不可達")</f>
        <v>0.364336895565734</v>
      </c>
      <c r="G93" s="108" t="n">
        <f aca="false">IF(ISNUMBER(Perf_Prod!G88),IF(Perf_Prod!G88&gt;0,IF(Perf_Prod!G77="是",(Perf!G43*(1-B4_CacheHit))/Perf_Prod!G75+Perf!G44/Perf_Prod!G88,"TTFT 不可達"),"SLO 不可達"),"SLO 不可達")</f>
        <v>2.44154737362727</v>
      </c>
      <c r="H93" s="108" t="n">
        <f aca="false">IF(ISNUMBER(Perf_Prod!H88),IF(Perf_Prod!H88&gt;0,IF(Perf_Prod!H77="是",(Perf!H43*(1-B4_CacheHit))/Perf_Prod!H75+Perf!H44/Perf_Prod!H88,"TTFT 不可達"),"SLO 不可達"),"SLO 不可達")</f>
        <v>24.9755956332887</v>
      </c>
      <c r="I93" s="108" t="n">
        <f aca="false">IF(ISNUMBER(Perf_Prod!I88),IF(Perf_Prod!I88&gt;0,IF(Perf_Prod!I77="是",(Perf!I43*(1-B4_CacheHit))/Perf_Prod!I75+Perf!I44/Perf_Prod!I88,"TTFT 不可達"),"SLO 不可達"),"SLO 不可達")</f>
        <v>0.242891263710489</v>
      </c>
      <c r="J93" s="108" t="n">
        <f aca="false">IF(ISNUMBER(Perf_Prod!J88),IF(Perf_Prod!J88&gt;0,IF(Perf_Prod!J77="是",(Perf!J43*(1-B4_CacheHit))/Perf_Prod!J75+Perf!J44/Perf_Prod!J88,"TTFT 不可達"),"SLO 不可達"),"SLO 不可達")</f>
        <v>1.62769824908485</v>
      </c>
      <c r="K93" s="108" t="n">
        <f aca="false">IF(ISNUMBER(Perf_Prod!K88),IF(Perf_Prod!K88&gt;0,IF(Perf_Prod!K77="是",(Perf!K43*(1-B4_CacheHit))/Perf_Prod!K75+Perf!K44/Perf_Prod!K88,"TTFT 不可達"),"SLO 不可達"),"SLO 不可達")</f>
        <v>18.582399057817</v>
      </c>
      <c r="L93" s="108" t="n">
        <f aca="false">IF(ISNUMBER(Perf_Prod!L88),IF(Perf_Prod!L88&gt;0,IF(Perf_Prod!L77="是",(Perf!L43*(1-B4_CacheHit))/Perf_Prod!L75+Perf!L44/Perf_Prod!L88,"TTFT 不可達"),"SLO 不可達"),"SLO 不可達")</f>
        <v>0.100624621377257</v>
      </c>
      <c r="M93" s="108" t="n">
        <f aca="false">IF(ISNUMBER(Perf_Prod!M88),IF(Perf_Prod!M88&gt;0,IF(Perf_Prod!M77="是",(Perf!M43*(1-B4_CacheHit))/Perf_Prod!M75+Perf!M44/Perf_Prod!M88,"TTFT 不可達"),"SLO 不可達"),"SLO 不可達")</f>
        <v>0.646708983718701</v>
      </c>
      <c r="N93" s="108" t="n">
        <f aca="false">IF(ISNUMBER(Perf_Prod!N88),IF(Perf_Prod!N88&gt;0,IF(Perf_Prod!N77="是",(Perf!N43*(1-B4_CacheHit))/Perf_Prod!N75+Perf!N44/Perf_Prod!N88,"TTFT 不可達"),"SLO 不可達"),"SLO 不可達")</f>
        <v>6.12585723164582</v>
      </c>
      <c r="O93" s="108" t="n">
        <f aca="false">IF(ISNUMBER(Perf_Prod!O88),IF(Perf_Prod!O88&gt;0,IF(Perf_Prod!O77="是",(Perf!O43*(1-B4_CacheHit))/Perf_Prod!O75+Perf!O44/Perf_Prod!O88,"TTFT 不可達"),"SLO 不可達"),"SLO 不可達")</f>
        <v>0.0498637284987444</v>
      </c>
      <c r="P93" s="108" t="n">
        <f aca="false">IF(ISNUMBER(Perf_Prod!P88),IF(Perf_Prod!P88&gt;0,IF(Perf_Prod!P77="是",(Perf!P43*(1-B4_CacheHit))/Perf_Prod!P75+Perf!P44/Perf_Prod!P88,"TTFT 不可達"),"SLO 不可達"),"SLO 不可達")</f>
        <v>0.316734475077863</v>
      </c>
      <c r="Q93" s="108" t="n">
        <f aca="false">IF(ISNUMBER(Perf_Prod!Q88),IF(Perf_Prod!Q88&gt;0,IF(Perf_Prod!Q77="是",(Perf!Q43*(1-B4_CacheHit))/Perf_Prod!Q75+Perf!Q44/Perf_Prod!Q88,"TTFT 不可達"),"SLO 不可達"),"SLO 不可達")</f>
        <v>2.87557066533895</v>
      </c>
      <c r="S93" s="108" t="n">
        <f aca="false">IF(ISNUMBER(Perf_Prod!S88),IF(Perf_Prod!S88&gt;0,IF(Perf_Prod!S77="是",(Perf!C43*(1-B4_CacheHit))/Perf_Prod!S75+Perf!C44/Perf_Prod!S88,"TTFT 不可達"),"SLO 不可達"),"SLO 不可達")</f>
        <v>1.85951803873978</v>
      </c>
      <c r="T93" s="108" t="n">
        <f aca="false">IF(ISNUMBER(Perf_Prod!T88),IF(Perf_Prod!T88&gt;0,IF(Perf_Prod!T77="是",(Perf!D43*(1-B4_CacheHit))/Perf_Prod!T75+Perf!D44/Perf_Prod!T88,"TTFT 不可達"),"SLO 不可達"),"SLO 不可達")</f>
        <v>12.4091545623618</v>
      </c>
      <c r="U93" s="108" t="n">
        <f aca="false">IF(ISNUMBER(Perf_Prod!U88),IF(Perf_Prod!U88&gt;0,IF(Perf_Prod!U77="是",(Perf!E43*(1-B4_CacheHit))/Perf_Prod!U75+Perf!E44/Perf_Prod!U88,"TTFT 不可達"),"SLO 不可達"),"SLO 不可達")</f>
        <v>122.596357656047</v>
      </c>
      <c r="V93" s="108" t="n">
        <f aca="false">IF(ISNUMBER(Perf_Prod!V88),IF(Perf_Prod!V88&gt;0,IF(Perf_Prod!V77="是",(Perf!F43*(1-B4_CacheHit))/Perf_Prod!V75+Perf!F44/Perf_Prod!V88,"TTFT 不可達"),"SLO 不可達"),"SLO 不可達")</f>
        <v>0.293584009512902</v>
      </c>
      <c r="W93" s="108" t="n">
        <f aca="false">IF(ISNUMBER(Perf_Prod!W88),IF(Perf_Prod!W88&gt;0,IF(Perf_Prod!W77="是",(Perf!G43*(1-B4_CacheHit))/Perf_Prod!W75+Perf!G44/Perf_Prod!W88,"TTFT 不可達"),"SLO 不可達"),"SLO 不可達")</f>
        <v>1.99979843649927</v>
      </c>
      <c r="X93" s="108" t="n">
        <f aca="false">IF(ISNUMBER(Perf_Prod!X88),IF(Perf_Prod!X88&gt;0,IF(Perf_Prod!X77="是",(Perf!H43*(1-B4_CacheHit))/Perf_Prod!X75+Perf!H44/Perf_Prod!X88,"TTFT 不可達"),"SLO 不可達"),"SLO 不可達")</f>
        <v>19.5959277016479</v>
      </c>
      <c r="Y93" s="108" t="n">
        <f aca="false">IF(ISNUMBER(Perf_Prod!Y88),IF(Perf_Prod!Y88&gt;0,IF(Perf_Prod!Y77="是",(Perf!I43*(1-B4_CacheHit))/Perf_Prod!Y75+Perf!I44/Perf_Prod!Y88,"TTFT 不可達"),"SLO 不可達"),"SLO 不可達")</f>
        <v>0.195722673008602</v>
      </c>
      <c r="Z93" s="108" t="n">
        <f aca="false">IF(ISNUMBER(Perf_Prod!Z88),IF(Perf_Prod!Z88&gt;0,IF(Perf_Prod!Z77="是",(Perf!J43*(1-B4_CacheHit))/Perf_Prod!Z75+Perf!J44/Perf_Prod!Z88,"TTFT 不可達"),"SLO 不可達"),"SLO 不可達")</f>
        <v>1.33319895766618</v>
      </c>
      <c r="AA93" s="108" t="n">
        <f aca="false">IF(ISNUMBER(Perf_Prod!AA88),IF(Perf_Prod!AA88&gt;0,IF(Perf_Prod!AA77="是",(Perf!K43*(1-B4_CacheHit))/Perf_Prod!AA75+Perf!K44/Perf_Prod!AA88,"TTFT 不可達"),"SLO 不可達"),"SLO 不可達")</f>
        <v>14.4217807951262</v>
      </c>
      <c r="AB93" s="108" t="n">
        <f aca="false">IF(ISNUMBER(Perf_Prod!AB88),IF(Perf_Prod!AB88&gt;0,IF(Perf_Prod!AB77="是",(Perf!L43*(1-B4_CacheHit))/Perf_Prod!AB75+Perf!L44/Perf_Prod!AB88,"TTFT 不可達"),"SLO 不可達"),"SLO 不可達")</f>
        <v>0.0812746751123948</v>
      </c>
      <c r="AC93" s="108" t="n">
        <f aca="false">IF(ISNUMBER(Perf_Prod!AC88),IF(Perf_Prod!AC88&gt;0,IF(Perf_Prod!AC77="是",(Perf!M43*(1-B4_CacheHit))/Perf_Prod!AC75+Perf!M44/Perf_Prod!AC88,"TTFT 不可達"),"SLO 不可達"),"SLO 不可達")</f>
        <v>0.531631713056475</v>
      </c>
      <c r="AD93" s="108" t="n">
        <f aca="false">IF(ISNUMBER(Perf_Prod!AD88),IF(Perf_Prod!AD88&gt;0,IF(Perf_Prod!AD77="是",(Perf!N43*(1-B4_CacheHit))/Perf_Prod!AD75+Perf!N44/Perf_Prod!AD88,"TTFT 不可達"),"SLO 不可達"),"SLO 不可達")</f>
        <v>4.87129669274572</v>
      </c>
      <c r="AE93" s="108" t="n">
        <f aca="false">IF(ISNUMBER(Perf_Prod!AE88),IF(Perf_Prod!AE88&gt;0,IF(Perf_Prod!AE77="是",(Perf!O43*(1-B4_CacheHit))/Perf_Prod!AE75+Perf!O44/Perf_Prod!AE88,"TTFT 不可達"),"SLO 不可達"),"SLO 不可達")</f>
        <v>0.0402995215948959</v>
      </c>
      <c r="AF93" s="108" t="n">
        <f aca="false">IF(ISNUMBER(Perf_Prod!AF88),IF(Perf_Prod!AF88&gt;0,IF(Perf_Prod!AF77="是",(Perf!P43*(1-B4_CacheHit))/Perf_Prod!AF75+Perf!P44/Perf_Prod!AF88,"TTFT 不可達"),"SLO 不可達"),"SLO 不可達")</f>
        <v>0.260620490821677</v>
      </c>
      <c r="AG93" s="108" t="n">
        <f aca="false">IF(ISNUMBER(Perf_Prod!AG88),IF(Perf_Prod!AG88&gt;0,IF(Perf_Prod!AG77="是",(Perf!Q43*(1-B4_CacheHit))/Perf_Prod!AG75+Perf!Q44/Perf_Prod!AG88,"TTFT 不可達"),"SLO 不可達"),"SLO 不可達")</f>
        <v>2.29814548139856</v>
      </c>
    </row>
    <row r="95" customFormat="false" ht="15" hidden="false" customHeight="false" outlineLevel="0" collapsed="false">
      <c r="A95" s="61" t="s">
        <v>927</v>
      </c>
      <c r="B95" s="59" t="s">
        <v>389</v>
      </c>
      <c r="C95" s="171" t="n">
        <f aca="false">IF(ISNUMBER(Perf_Prod!C93),IF(Perf_Prod!C93&gt;0,Perf!C22*(Perf!C43+Perf!C44)/Perf_Prod!C93,0),Perf_Prod!C93)</f>
        <v>122107.889753965</v>
      </c>
      <c r="D95" s="171" t="n">
        <f aca="false">IF(ISNUMBER(Perf_Prod!D93),IF(Perf_Prod!D93&gt;0,Perf!D22*(Perf!D43+Perf!D44)/Perf_Prod!D93,0),Perf_Prod!D93)</f>
        <v>37861.9729294478</v>
      </c>
      <c r="E95" s="171" t="n">
        <f aca="false">IF(ISNUMBER(Perf_Prod!E93),IF(Perf_Prod!E93&gt;0,Perf!E22*(Perf!E43+Perf!E44)/Perf_Prod!E93,0),Perf_Prod!E93)</f>
        <v>6955.79024662274</v>
      </c>
      <c r="F95" s="171" t="n">
        <f aca="false">IF(ISNUMBER(Perf_Prod!F93),IF(Perf_Prod!F93&gt;0,Perf!F22*(Perf!F43+Perf!F44)/Perf_Prod!F93,0),Perf_Prod!F93)</f>
        <v>1821259.41148412</v>
      </c>
      <c r="G95" s="171" t="n">
        <f aca="false">IF(ISNUMBER(Perf_Prod!G93),IF(Perf_Prod!G93&gt;0,Perf!G22*(Perf!G43+Perf!G44)/Perf_Prod!G93,0),Perf_Prod!G93)</f>
        <v>543550.378884681</v>
      </c>
      <c r="H95" s="171" t="n">
        <f aca="false">IF(ISNUMBER(Perf_Prod!H93),IF(Perf_Prod!H93&gt;0,Perf!H22*(Perf!H43+Perf!H44)/Perf_Prod!H93,0),Perf_Prod!H93)</f>
        <v>106272.060093027</v>
      </c>
      <c r="I95" s="171" t="n">
        <f aca="false">IF(ISNUMBER(Perf_Prod!I93),IF(Perf_Prod!I93&gt;0,Perf!I22*(Perf!I43+Perf!I44)/Perf_Prod!I93,0),Perf_Prod!I93)</f>
        <v>2731889.11722618</v>
      </c>
      <c r="J95" s="171" t="n">
        <f aca="false">IF(ISNUMBER(Perf_Prod!J93),IF(Perf_Prod!J93&gt;0,Perf!J22*(Perf!J43+Perf!J44)/Perf_Prod!J93,0),Perf_Prod!J93)</f>
        <v>815325.568327021</v>
      </c>
      <c r="K95" s="171" t="n">
        <f aca="false">IF(ISNUMBER(Perf_Prod!K93),IF(Perf_Prod!K93&gt;0,Perf!K22*(Perf!K43+Perf!K44)/Perf_Prod!K93,0),Perf_Prod!K93)</f>
        <v>142834.517316183</v>
      </c>
      <c r="L95" s="171" t="n">
        <f aca="false">IF(ISNUMBER(Perf_Prod!L93),IF(Perf_Prod!L93&gt;0,Perf!L22*(Perf!L43+Perf!L44)/Perf_Prod!L93,0),Perf_Prod!L93)</f>
        <v>6594330.40261826</v>
      </c>
      <c r="M95" s="171" t="n">
        <f aca="false">IF(ISNUMBER(Perf_Prod!M93),IF(Perf_Prod!M93&gt;0,Perf!M22*(Perf!M43+Perf!M44)/Perf_Prod!M93,0),Perf_Prod!M93)</f>
        <v>2052088.39433295</v>
      </c>
      <c r="N95" s="171" t="n">
        <f aca="false">IF(ISNUMBER(Perf_Prod!N93),IF(Perf_Prod!N93&gt;0,Perf!N22*(Perf!N43+Perf!N44)/Perf_Prod!N93,0),Perf_Prod!N93)</f>
        <v>433279.441494085</v>
      </c>
      <c r="O95" s="171" t="n">
        <f aca="false">IF(ISNUMBER(Perf_Prod!O93),IF(Perf_Prod!O93&gt;0,Perf!O22*(Perf!O43+Perf!O44)/Perf_Prod!O93,0),Perf_Prod!O93)</f>
        <v>13307308.1371504</v>
      </c>
      <c r="P95" s="171" t="n">
        <f aca="false">IF(ISNUMBER(Perf_Prod!P93),IF(Perf_Prod!P93&gt;0,Perf!P22*(Perf!P43+Perf!P44)/Perf_Prod!P93,0),Perf_Prod!P93)</f>
        <v>4189957.53358947</v>
      </c>
      <c r="Q95" s="171" t="n">
        <f aca="false">IF(ISNUMBER(Perf_Prod!Q93),IF(Perf_Prod!Q93&gt;0,Perf!Q22*(Perf!Q43+Perf!Q44)/Perf_Prod!Q93,0),Perf_Prod!Q93)</f>
        <v>923019.570338794</v>
      </c>
      <c r="S95" s="171" t="n">
        <f aca="false">IF(ISNUMBER(Perf_Prod!S93),IF(Perf_Prod!S93&gt;0,Perf!C22*(Perf!C43+Perf!C44)/Perf_Prod!S93,0),Perf_Prod!S93)</f>
        <v>158595.933922677</v>
      </c>
      <c r="T95" s="171" t="n">
        <f aca="false">IF(ISNUMBER(Perf_Prod!T93),IF(Perf_Prod!T93&gt;0,Perf!D22*(Perf!D43+Perf!D44)/Perf_Prod!T93,0),Perf_Prod!T93)</f>
        <v>47531.3605802762</v>
      </c>
      <c r="U95" s="171" t="n">
        <f aca="false">IF(ISNUMBER(Perf_Prod!U93),IF(Perf_Prod!U93&gt;0,Perf!E22*(Perf!E43+Perf!E44)/Perf_Prod!U93,0),Perf_Prod!U93)</f>
        <v>9622.21082709152</v>
      </c>
      <c r="V95" s="171" t="n">
        <f aca="false">IF(ISNUMBER(Perf_Prod!V93),IF(Perf_Prod!V93&gt;0,Perf!F22*(Perf!F43+Perf!F44)/Perf_Prod!V93,0),Perf_Prod!V93)</f>
        <v>2260177.59312208</v>
      </c>
      <c r="W95" s="171" t="n">
        <f aca="false">IF(ISNUMBER(Perf_Prod!W93),IF(Perf_Prod!W93&gt;0,Perf!G22*(Perf!G43+Perf!G44)/Perf_Prod!W93,0),Perf_Prod!W93)</f>
        <v>663618.88067237</v>
      </c>
      <c r="X95" s="171" t="n">
        <f aca="false">IF(ISNUMBER(Perf_Prod!X93),IF(Perf_Prod!X93&gt;0,Perf!H22*(Perf!H43+Perf!H44)/Perf_Prod!X93,0),Perf_Prod!X93)</f>
        <v>135446.917360121</v>
      </c>
      <c r="Y95" s="171" t="n">
        <f aca="false">IF(ISNUMBER(Perf_Prod!Y93),IF(Perf_Prod!Y93&gt;0,Perf!I22*(Perf!I43+Perf!I44)/Perf_Prod!Y93,0),Perf_Prod!Y93)</f>
        <v>3390266.38968311</v>
      </c>
      <c r="Z95" s="171" t="n">
        <f aca="false">IF(ISNUMBER(Perf_Prod!Z93),IF(Perf_Prod!Z93&gt;0,Perf!J22*(Perf!J43+Perf!J44)/Perf_Prod!Z93,0),Perf_Prod!Z93)</f>
        <v>995428.321008554</v>
      </c>
      <c r="AA95" s="171" t="n">
        <f aca="false">IF(ISNUMBER(Perf_Prod!AA93),IF(Perf_Prod!AA93&gt;0,Perf!K22*(Perf!K43+Perf!K44)/Perf_Prod!AA93,0),Perf_Prod!AA93)</f>
        <v>184041.626877104</v>
      </c>
      <c r="AB95" s="171" t="n">
        <f aca="false">IF(ISNUMBER(Perf_Prod!AB93),IF(Perf_Prod!AB93&gt;0,Perf!L22*(Perf!L43+Perf!L44)/Perf_Prod!AB93,0),Perf_Prod!AB93)</f>
        <v>8164314.39538053</v>
      </c>
      <c r="AC95" s="171" t="n">
        <f aca="false">IF(ISNUMBER(Perf_Prod!AC93),IF(Perf_Prod!AC93&gt;0,Perf!M22*(Perf!M43+Perf!M44)/Perf_Prod!AC93,0),Perf_Prod!AC93)</f>
        <v>2496284.49057369</v>
      </c>
      <c r="AD95" s="171" t="n">
        <f aca="false">IF(ISNUMBER(Perf_Prod!AD93),IF(Perf_Prod!AD93&gt;0,Perf!N22*(Perf!N43+Perf!N44)/Perf_Prod!AD93,0),Perf_Prod!AD93)</f>
        <v>544866.832675706</v>
      </c>
      <c r="AE95" s="171" t="n">
        <f aca="false">IF(ISNUMBER(Perf_Prod!AE93),IF(Perf_Prod!AE93&gt;0,Perf!O22*(Perf!O43+Perf!O44)/Perf_Prod!AE93,0),Perf_Prod!AE93)</f>
        <v>16465505.637269</v>
      </c>
      <c r="AF95" s="171" t="n">
        <f aca="false">IF(ISNUMBER(Perf_Prod!AF93),IF(Perf_Prod!AF93&gt;0,Perf!P22*(Perf!P43+Perf!P44)/Perf_Prod!AF93,0),Perf_Prod!AF93)</f>
        <v>5092093.85576685</v>
      </c>
      <c r="AG95" s="171" t="n">
        <f aca="false">IF(ISNUMBER(Perf_Prod!AG93),IF(Perf_Prod!AG93&gt;0,Perf!Q22*(Perf!Q43+Perf!Q44)/Perf_Prod!AG93,0),Perf_Prod!AG93)</f>
        <v>1154934.71648486</v>
      </c>
    </row>
    <row r="98" customFormat="false" ht="15" hidden="false" customHeight="false" outlineLevel="0" collapsed="false">
      <c r="A98" s="61" t="s">
        <v>930</v>
      </c>
      <c r="B98" s="59" t="s">
        <v>2724</v>
      </c>
      <c r="C98" s="171" t="n">
        <f aca="false">IF(ISNUMBER(Perf_Prod!C95),Perf_Prod!C95*Perf!C25*8760*3600/1000000,Perf_Prod!C95)</f>
        <v>86407975794.7352</v>
      </c>
      <c r="D98" s="171" t="n">
        <f aca="false">IF(ISNUMBER(Perf_Prod!D95),Perf_Prod!D95*Perf!D25*8760*3600/1000000,Perf_Prod!D95)</f>
        <v>26792506585.9425</v>
      </c>
      <c r="E98" s="171" t="n">
        <f aca="false">IF(ISNUMBER(Perf_Prod!E95),Perf_Prod!E95*Perf!E25*8760*3600/1000000,Perf_Prod!E95)</f>
        <v>4922169701.51936</v>
      </c>
      <c r="F98" s="171" t="n">
        <f aca="false">IF(ISNUMBER(Perf_Prod!F95),Perf_Prod!F95*Perf!F25*8760*3600/1000000,Perf_Prod!F95)</f>
        <v>400266165263.125</v>
      </c>
      <c r="G98" s="171" t="n">
        <f aca="false">IF(ISNUMBER(Perf_Prod!G95),Perf_Prod!G95*Perf!G25*8760*3600/1000000,Perf_Prod!G95)</f>
        <v>119458449692.347</v>
      </c>
      <c r="H98" s="171" t="n">
        <f aca="false">IF(ISNUMBER(Perf_Prod!H95),Perf_Prod!H95*Perf!H25*8760*3600/1000000,Perf_Prod!H95)</f>
        <v>23355876543.356</v>
      </c>
      <c r="I98" s="171" t="n">
        <f aca="false">IF(ISNUMBER(Perf_Prod!I95),Perf_Prod!I95*Perf!I25*8760*3600/1000000,Perf_Prod!I95)</f>
        <v>582737912578.515</v>
      </c>
      <c r="J98" s="171" t="n">
        <f aca="false">IF(ISNUMBER(Perf_Prod!J95),Perf_Prod!J95*Perf!J25*8760*3600/1000000,Perf_Prod!J95)</f>
        <v>173916692578.355</v>
      </c>
      <c r="K98" s="171" t="n">
        <f aca="false">IF(ISNUMBER(Perf_Prod!K95),Perf_Prod!K95*Perf!K25*8760*3600/1000000,Perf_Prod!K95)</f>
        <v>30467960042.7945</v>
      </c>
      <c r="L98" s="171" t="n">
        <f aca="false">IF(ISNUMBER(Perf_Prod!L95),Perf_Prod!L95*Perf!L25*8760*3600/1000000,Perf_Prod!L95)</f>
        <v>842649072093.88</v>
      </c>
      <c r="M98" s="171" t="n">
        <f aca="false">IF(ISNUMBER(Perf_Prod!M95),Perf_Prod!M95*Perf!M25*8760*3600/1000000,Perf_Prod!M95)</f>
        <v>262223800714.127</v>
      </c>
      <c r="N98" s="171" t="n">
        <f aca="false">IF(ISNUMBER(Perf_Prod!N95),Perf_Prod!N95*Perf!N25*8760*3600/1000000,Perf_Prod!N95)</f>
        <v>55366124692.1116</v>
      </c>
      <c r="O98" s="171" t="n">
        <f aca="false">IF(ISNUMBER(Perf_Prod!O95),Perf_Prod!O95*Perf!O25*8760*3600/1000000,Perf_Prod!O95)</f>
        <v>1135178323762.64</v>
      </c>
      <c r="P98" s="171" t="n">
        <f aca="false">IF(ISNUMBER(Perf_Prod!P95),Perf_Prod!P95*Perf!P25*8760*3600/1000000,Perf_Prod!P95)</f>
        <v>357423824607.946</v>
      </c>
      <c r="Q98" s="171" t="n">
        <f aca="false">IF(ISNUMBER(Perf_Prod!Q95),Perf_Prod!Q95*Perf!Q25*8760*3600/1000000,Perf_Prod!Q95)</f>
        <v>78738073685.4024</v>
      </c>
      <c r="S98" s="171" t="n">
        <f aca="false">IF(ISNUMBER(Perf_Prod!S95),Perf_Prod!S95*Perf!C25*8760*3600/1000000,Perf_Prod!S95)</f>
        <v>112228240510.472</v>
      </c>
      <c r="T98" s="171" t="n">
        <f aca="false">IF(ISNUMBER(Perf_Prod!T95),Perf_Prod!T95*Perf!D25*8760*3600/1000000,Perf_Prod!T95)</f>
        <v>33634916325.118</v>
      </c>
      <c r="U98" s="171" t="n">
        <f aca="false">IF(ISNUMBER(Perf_Prod!U95),Perf_Prod!U95*Perf!E25*8760*3600/1000000,Perf_Prod!U95)</f>
        <v>6809025705.99183</v>
      </c>
      <c r="V98" s="171" t="n">
        <f aca="false">IF(ISNUMBER(Perf_Prod!V95),Perf_Prod!V95*Perf!F25*8760*3600/1000000,Perf_Prod!V95)</f>
        <v>496729138259.007</v>
      </c>
      <c r="W98" s="171" t="n">
        <f aca="false">IF(ISNUMBER(Perf_Prod!W95),Perf_Prod!W95*Perf!G25*8760*3600/1000000,Perf_Prod!W95)</f>
        <v>145846430710.54</v>
      </c>
      <c r="X98" s="171" t="n">
        <f aca="false">IF(ISNUMBER(Perf_Prod!X95),Perf_Prod!X95*Perf!H25*8760*3600/1000000,Perf_Prod!X95)</f>
        <v>29767762827.5194</v>
      </c>
      <c r="Y98" s="171" t="n">
        <f aca="false">IF(ISNUMBER(Perf_Prod!Y95),Perf_Prod!Y95*Perf!I25*8760*3600/1000000,Perf_Prod!Y95)</f>
        <v>723176042011.176</v>
      </c>
      <c r="Z98" s="171" t="n">
        <f aca="false">IF(ISNUMBER(Perf_Prod!Z95),Perf_Prod!Z95*Perf!J25*8760*3600/1000000,Perf_Prod!Z95)</f>
        <v>212334321421.888</v>
      </c>
      <c r="AA98" s="171" t="n">
        <f aca="false">IF(ISNUMBER(Perf_Prod!AA95),Perf_Prod!AA95*Perf!K25*8760*3600/1000000,Perf_Prod!AA95)</f>
        <v>39257828144.5082</v>
      </c>
      <c r="AB98" s="171" t="n">
        <f aca="false">IF(ISNUMBER(Perf_Prod!AB95),Perf_Prod!AB95*Perf!L25*8760*3600/1000000,Perf_Prod!AB95)</f>
        <v>1043267705667.06</v>
      </c>
      <c r="AC98" s="171" t="n">
        <f aca="false">IF(ISNUMBER(Perf_Prod!AC95),Perf_Prod!AC95*Perf!M25*8760*3600/1000000,Perf_Prod!AC95)</f>
        <v>318984897819.054</v>
      </c>
      <c r="AD98" s="171" t="n">
        <f aca="false">IF(ISNUMBER(Perf_Prod!AD95),Perf_Prod!AD95*Perf!N25*8760*3600/1000000,Perf_Prod!AD95)</f>
        <v>69625193603.6778</v>
      </c>
      <c r="AE98" s="171" t="n">
        <f aca="false">IF(ISNUMBER(Perf_Prod!AE95),Perf_Prod!AE95*Perf!O25*8760*3600/1000000,Perf_Prod!AE95)</f>
        <v>1404587982526.55</v>
      </c>
      <c r="AF98" s="171" t="n">
        <f aca="false">IF(ISNUMBER(Perf_Prod!AF95),Perf_Prod!AF95*Perf!P25*8760*3600/1000000,Perf_Prod!AF95)</f>
        <v>434380455314.928</v>
      </c>
      <c r="AG98" s="171" t="n">
        <f aca="false">IF(ISNUMBER(Perf_Prod!AG95),Perf_Prod!AG95*Perf!Q25*8760*3600/1000000,Perf_Prod!AG95)</f>
        <v>98521567397.5749</v>
      </c>
    </row>
    <row r="101" customFormat="false" ht="15" hidden="false" customHeight="false" outlineLevel="0" collapsed="false">
      <c r="A101" s="61" t="s">
        <v>934</v>
      </c>
      <c r="B101" s="59" t="s">
        <v>935</v>
      </c>
      <c r="C101" s="98" t="n">
        <f aca="false">1000000/Perf_Prod!C75</f>
        <v>151.707275617169</v>
      </c>
      <c r="D101" s="98" t="n">
        <f aca="false">1000000/Perf_Prod!D75</f>
        <v>526.544349980357</v>
      </c>
      <c r="E101" s="98" t="n">
        <f aca="false">1000000/Perf_Prod!E75</f>
        <v>1746.78576815559</v>
      </c>
      <c r="F101" s="98" t="n">
        <f aca="false">1000000/Perf_Prod!F75</f>
        <v>15.003849558538</v>
      </c>
      <c r="G101" s="98" t="n">
        <f aca="false">1000000/Perf_Prod!G75</f>
        <v>52.0752362130573</v>
      </c>
      <c r="H101" s="98" t="n">
        <f aca="false">1000000/Perf_Prod!H75</f>
        <v>172.757112470588</v>
      </c>
      <c r="I101" s="98" t="n">
        <f aca="false">1000000/Perf_Prod!I75</f>
        <v>10.0025663723587</v>
      </c>
      <c r="J101" s="98" t="n">
        <f aca="false">1000000/Perf_Prod!J75</f>
        <v>34.7168241420382</v>
      </c>
      <c r="K101" s="98" t="n">
        <f aca="false">1000000/Perf_Prod!K75</f>
        <v>115.171408313725</v>
      </c>
      <c r="L101" s="98" t="n">
        <f aca="false">1000000/Perf_Prod!L75</f>
        <v>4.2868141595823</v>
      </c>
      <c r="M101" s="98" t="n">
        <f aca="false">1000000/Perf_Prod!M75</f>
        <v>14.8786389180164</v>
      </c>
      <c r="N101" s="98" t="n">
        <f aca="false">1000000/Perf_Prod!N75</f>
        <v>49.3591749915966</v>
      </c>
      <c r="O101" s="98" t="n">
        <f aca="false">1000000/Perf_Prod!O75</f>
        <v>2.14340707979115</v>
      </c>
      <c r="P101" s="98" t="n">
        <f aca="false">1000000/Perf_Prod!P75</f>
        <v>7.43931945900818</v>
      </c>
      <c r="Q101" s="98" t="n">
        <f aca="false">1000000/Perf_Prod!Q75</f>
        <v>24.6795874957983</v>
      </c>
      <c r="S101" s="98" t="n">
        <f aca="false">1000000/Perf_Prod!S75</f>
        <v>128.951184274594</v>
      </c>
      <c r="T101" s="98" t="n">
        <f aca="false">1000000/Perf_Prod!T75</f>
        <v>447.562697483303</v>
      </c>
      <c r="U101" s="98" t="n">
        <f aca="false">1000000/Perf_Prod!U75</f>
        <v>1484.76790293225</v>
      </c>
      <c r="V101" s="98" t="n">
        <f aca="false">1000000/Perf_Prod!V75</f>
        <v>12.7532721247573</v>
      </c>
      <c r="W101" s="98" t="n">
        <f aca="false">1000000/Perf_Prod!W75</f>
        <v>44.2639507810987</v>
      </c>
      <c r="X101" s="98" t="n">
        <f aca="false">1000000/Perf_Prod!X75</f>
        <v>146.8435456</v>
      </c>
      <c r="Y101" s="98" t="n">
        <f aca="false">1000000/Perf_Prod!Y75</f>
        <v>8.50218141650489</v>
      </c>
      <c r="Z101" s="98" t="n">
        <f aca="false">1000000/Perf_Prod!Z75</f>
        <v>29.5093005207324</v>
      </c>
      <c r="AA101" s="98" t="n">
        <f aca="false">1000000/Perf_Prod!AA75</f>
        <v>97.8956970666667</v>
      </c>
      <c r="AB101" s="98" t="n">
        <f aca="false">1000000/Perf_Prod!AB75</f>
        <v>3.64379203564495</v>
      </c>
      <c r="AC101" s="98" t="n">
        <f aca="false">1000000/Perf_Prod!AC75</f>
        <v>12.6468430803139</v>
      </c>
      <c r="AD101" s="98" t="n">
        <f aca="false">1000000/Perf_Prod!AD75</f>
        <v>41.9552987428571</v>
      </c>
      <c r="AE101" s="98" t="n">
        <f aca="false">1000000/Perf_Prod!AE75</f>
        <v>1.82189601782248</v>
      </c>
      <c r="AF101" s="98" t="n">
        <f aca="false">1000000/Perf_Prod!AF75</f>
        <v>6.32342154015695</v>
      </c>
      <c r="AG101" s="98" t="n">
        <f aca="false">1000000/Perf_Prod!AG75</f>
        <v>20.9776493714286</v>
      </c>
    </row>
    <row r="103" customFormat="false" ht="15" hidden="false" customHeight="false" outlineLevel="0" collapsed="false">
      <c r="A103" s="62" t="s">
        <v>937</v>
      </c>
      <c r="B103" s="59" t="s">
        <v>935</v>
      </c>
      <c r="C103" s="98" t="n">
        <f aca="false">IF(ISNUMBER(Perf_Prod!C88),IF(Perf_Prod!C88&gt;0,IF(Perf_Prod!C77="是",1000000/Perf_Prod!C88,"TTFT 不可達"),"SLO 不可達"),"SLO 不可達")</f>
        <v>1812.42376243297</v>
      </c>
      <c r="D103" s="98" t="n">
        <f aca="false">IF(ISNUMBER(Perf_Prod!D88),IF(Perf_Prod!D88&gt;0,IF(Perf_Prod!D77="是",1000000/Perf_Prod!D88,"TTFT 不可達"),"SLO 不可達"),"SLO 不可達")</f>
        <v>5711.01701098697</v>
      </c>
      <c r="E103" s="98" t="n">
        <f aca="false">IF(ISNUMBER(Perf_Prod!E88),IF(Perf_Prod!E88&gt;0,IF(Perf_Prod!E77="是",1000000/Perf_Prod!E88,"TTFT 不可達"),"SLO 不可達"),"SLO 不可達")</f>
        <v>35115.9249872323</v>
      </c>
      <c r="F103" s="98" t="n">
        <f aca="false">IF(ISNUMBER(Perf_Prod!F88),IF(Perf_Prod!F88&gt;0,IF(Perf_Prod!F77="是",1000000/Perf_Prod!F88,"TTFT 不可達"),"SLO 不可達"),"SLO 不可達")</f>
        <v>301.783891165175</v>
      </c>
      <c r="G103" s="98" t="n">
        <f aca="false">IF(ISNUMBER(Perf_Prod!G88),IF(Perf_Prod!G88&gt;0,IF(Perf_Prod!G77="是",1000000/Perf_Prod!G88,"TTFT 不可達"),"SLO 不可達"),"SLO 不可達")</f>
        <v>1004.69095316193</v>
      </c>
      <c r="H103" s="98" t="n">
        <f aca="false">IF(ISNUMBER(Perf_Prod!H88),IF(Perf_Prod!H88&gt;0,IF(Perf_Prod!H77="是",1000000/Perf_Prod!H88,"TTFT 不可達"),"SLO 不可達"),"SLO 不可達")</f>
        <v>5475.63192276424</v>
      </c>
      <c r="I103" s="98" t="n">
        <f aca="false">IF(ISNUMBER(Perf_Prod!I88),IF(Perf_Prod!I88&gt;0,IF(Perf_Prod!I77="是",1000000/Perf_Prod!I88,"TTFT 不可達"),"SLO 不可達"),"SLO 不可達")</f>
        <v>201.189260776783</v>
      </c>
      <c r="J103" s="98" t="n">
        <f aca="false">IF(ISNUMBER(Perf_Prod!J88),IF(Perf_Prod!J88&gt;0,IF(Perf_Prod!J77="是",1000000/Perf_Prod!J88,"TTFT 不可達"),"SLO 不可達"),"SLO 不可達")</f>
        <v>669.793968774623</v>
      </c>
      <c r="K103" s="98" t="n">
        <f aca="false">IF(ISNUMBER(Perf_Prod!K88),IF(Perf_Prod!K88&gt;0,IF(Perf_Prod!K77="是",1000000/Perf_Prod!K88,"TTFT 不可達"),"SLO 不可達"),"SLO 不可達")</f>
        <v>4122.10145004545</v>
      </c>
      <c r="L103" s="98" t="n">
        <f aca="false">IF(ISNUMBER(Perf_Prod!L88),IF(Perf_Prod!L88&gt;0,IF(Perf_Prod!L77="是",1000000/Perf_Prod!L88,"TTFT 不可達"),"SLO 不可達"),"SLO 不可達")</f>
        <v>82.8337008392317</v>
      </c>
      <c r="M103" s="98" t="n">
        <f aca="false">IF(ISNUMBER(Perf_Prod!M88),IF(Perf_Prod!M88&gt;0,IF(Perf_Prod!M77="是",1000000/Perf_Prod!M88,"TTFT 不可達"),"SLO 不可達"),"SLO 不可達")</f>
        <v>262.212770851538</v>
      </c>
      <c r="N103" s="98" t="n">
        <f aca="false">IF(ISNUMBER(Perf_Prod!N88),IF(Perf_Prod!N88&gt;0,IF(Perf_Prod!N77="是",1000000/Perf_Prod!N88,"TTFT 不可達"),"SLO 不可達"),"SLO 不可達")</f>
        <v>1317.87758322503</v>
      </c>
      <c r="O103" s="98" t="n">
        <f aca="false">IF(ISNUMBER(Perf_Prod!O88),IF(Perf_Prod!O88&gt;0,IF(Perf_Prod!O77="是",1000000/Perf_Prod!O88,"TTFT 不可達"),"SLO 不可達"),"SLO 不可達")</f>
        <v>40.978781874807</v>
      </c>
      <c r="P103" s="98" t="n">
        <f aca="false">IF(ISNUMBER(Perf_Prod!P88),IF(Perf_Prod!P88&gt;0,IF(Perf_Prod!P77="是",1000000/Perf_Prod!P88,"TTFT 不可達"),"SLO 不可達"),"SLO 不可達")</f>
        <v>127.873955356684</v>
      </c>
      <c r="Q103" s="98" t="n">
        <f aca="false">IF(ISNUMBER(Perf_Prod!Q88),IF(Perf_Prod!Q88&gt;0,IF(Perf_Prod!Q77="是",1000000/Perf_Prod!Q88,"TTFT 不可達"),"SLO 不可達"),"SLO 不可達")</f>
        <v>613.197104482644</v>
      </c>
      <c r="S103" s="98" t="n">
        <f aca="false">IF(ISNUMBER(Perf_Prod!S88),IF(Perf_Prod!S88&gt;0,IF(Perf_Prod!S77="是",1000000/Perf_Prod!S88,"TTFT 不可達"),"SLO 不可達"),"SLO 不可達")</f>
        <v>1351.71132131828</v>
      </c>
      <c r="T103" s="98" t="n">
        <f aca="false">IF(ISNUMBER(Perf_Prod!T88),IF(Perf_Prod!T88&gt;0,IF(Perf_Prod!T77="是",1000000/Perf_Prod!T88,"TTFT 不可達"),"SLO 不可達"),"SLO 不可達")</f>
        <v>4447.93179021334</v>
      </c>
      <c r="U103" s="98" t="n">
        <f aca="false">IF(ISNUMBER(Perf_Prod!U88),IF(Perf_Prod!U88&gt;0,IF(Perf_Prod!U77="是",1000000/Perf_Prod!U88,"TTFT 不可達"),"SLO 不可達"),"SLO 不可達")</f>
        <v>24585.5869303147</v>
      </c>
      <c r="V103" s="98" t="n">
        <f aca="false">IF(ISNUMBER(Perf_Prod!V88),IF(Perf_Prod!V88&gt;0,IF(Perf_Prod!V77="是",1000000/Perf_Prod!V88,"TTFT 不可達"),"SLO 不可達"),"SLO 不可達")</f>
        <v>240.791354640817</v>
      </c>
      <c r="W103" s="98" t="n">
        <f aca="false">IF(ISNUMBER(Perf_Prod!W88),IF(Perf_Prod!W88&gt;0,IF(Perf_Prod!W77="是",1000000/Perf_Prod!W88,"TTFT 不可達"),"SLO 不可達"),"SLO 不可達")</f>
        <v>817.113857509954</v>
      </c>
      <c r="X103" s="98" t="n">
        <f aca="false">IF(ISNUMBER(Perf_Prod!X88),IF(Perf_Prod!X88&gt;0,IF(Perf_Prod!X77="是",1000000/Perf_Prod!X88,"TTFT 不可達"),"SLO 不可達"),"SLO 不可達")</f>
        <v>4255.52527237513</v>
      </c>
      <c r="Y103" s="98" t="n">
        <f aca="false">IF(ISNUMBER(Perf_Prod!Y88),IF(Perf_Prod!Y88&gt;0,IF(Perf_Prod!Y77="是",1000000/Perf_Prod!Y88,"TTFT 不可達"),"SLO 不可達"),"SLO 不可達")</f>
        <v>160.527569760545</v>
      </c>
      <c r="Z103" s="98" t="n">
        <f aca="false">IF(ISNUMBER(Perf_Prod!Z88),IF(Perf_Prod!Z88&gt;0,IF(Perf_Prod!Z77="是",1000000/Perf_Prod!Z88,"TTFT 不可達"),"SLO 不可達"),"SLO 不可達")</f>
        <v>544.742571673303</v>
      </c>
      <c r="AA103" s="98" t="n">
        <f aca="false">IF(ISNUMBER(Perf_Prod!AA88),IF(Perf_Prod!AA88&gt;0,IF(Perf_Prod!AA77="是",1000000/Perf_Prod!AA88,"TTFT 不可達"),"SLO 不可達"),"SLO 不可達")</f>
        <v>3168.5180674951</v>
      </c>
      <c r="AB103" s="98" t="n">
        <f aca="false">IF(ISNUMBER(Perf_Prod!AB88),IF(Perf_Prod!AB88&gt;0,IF(Perf_Prod!AB77="是",1000000/Perf_Prod!AB88,"TTFT 不可達"),"SLO 不可達"),"SLO 不可達")</f>
        <v>66.2521485861262</v>
      </c>
      <c r="AC103" s="98" t="n">
        <f aca="false">IF(ISNUMBER(Perf_Prod!AC88),IF(Perf_Prod!AC88&gt;0,IF(Perf_Prod!AC77="是",1000000/Perf_Prod!AC88,"TTFT 不可達"),"SLO 不可達"),"SLO 不可達")</f>
        <v>214.057162301727</v>
      </c>
      <c r="AD103" s="98" t="n">
        <f aca="false">IF(ISNUMBER(Perf_Prod!AD88),IF(Perf_Prod!AD88&gt;0,IF(Perf_Prod!AD77="是",1000000/Perf_Prod!AD88,"TTFT 不可達"),"SLO 不可達"),"SLO 不可達")</f>
        <v>1038.24234365309</v>
      </c>
      <c r="AE103" s="98" t="n">
        <f aca="false">IF(ISNUMBER(Perf_Prod!AE88),IF(Perf_Prod!AE88&gt;0,IF(Perf_Prod!AE77="是",1000000/Perf_Prod!AE88,"TTFT 不可達"),"SLO 不可達"),"SLO 不可達")</f>
        <v>32.7961758933546</v>
      </c>
      <c r="AF103" s="98" t="n">
        <f aca="false">IF(ISNUMBER(Perf_Prod!AF88),IF(Perf_Prod!AF88&gt;0,IF(Perf_Prod!AF77="是",1000000/Perf_Prod!AF88,"TTFT 不可達"),"SLO 不可達"),"SLO 不可達")</f>
        <v>104.491781489457</v>
      </c>
      <c r="AG103" s="98" t="n">
        <f aca="false">IF(ISNUMBER(Perf_Prod!AG88),IF(Perf_Prod!AG88&gt;0,IF(Perf_Prod!AG77="是",1000000/Perf_Prod!AG88,"TTFT 不可達"),"SLO 不可達"),"SLO 不可達")</f>
        <v>485.551136432426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2725</v>
      </c>
    </row>
    <row r="2" customFormat="false" ht="15" hidden="false" customHeight="false" outlineLevel="0" collapsed="false">
      <c r="A2" s="74" t="s">
        <v>2726</v>
      </c>
    </row>
    <row r="3" customFormat="false" ht="15" hidden="false" customHeight="false" outlineLevel="0" collapsed="false">
      <c r="S3" s="60" t="s">
        <v>2722</v>
      </c>
    </row>
    <row r="4" customFormat="false" ht="15" hidden="false" customHeight="false" outlineLevel="0" collapsed="false">
      <c r="A4" s="92" t="str">
        <f aca="false">Perf_Batch!A4</f>
        <v>世代</v>
      </c>
      <c r="C4" s="92" t="str">
        <f aca="false">Perf_Batch!C4</f>
        <v>Hopper H100</v>
      </c>
      <c r="D4" s="92" t="str">
        <f aca="false">Perf_Batch!D4</f>
        <v>Hopper H100</v>
      </c>
      <c r="E4" s="92" t="str">
        <f aca="false">Perf_Batch!E4</f>
        <v>Hopper H100</v>
      </c>
      <c r="F4" s="92" t="str">
        <f aca="false">Perf_Batch!F4</f>
        <v>GB200 NVL72</v>
      </c>
      <c r="G4" s="92" t="str">
        <f aca="false">Perf_Batch!G4</f>
        <v>GB200 NVL72</v>
      </c>
      <c r="H4" s="92" t="str">
        <f aca="false">Perf_Batch!H4</f>
        <v>GB200 NVL72</v>
      </c>
      <c r="I4" s="92" t="str">
        <f aca="false">Perf_Batch!I4</f>
        <v>GB300 NVL72</v>
      </c>
      <c r="J4" s="92" t="str">
        <f aca="false">Perf_Batch!J4</f>
        <v>GB300 NVL72</v>
      </c>
      <c r="K4" s="92" t="str">
        <f aca="false">Perf_Batch!K4</f>
        <v>GB300 NVL72</v>
      </c>
      <c r="L4" s="92" t="str">
        <f aca="false">Perf_Batch!L4</f>
        <v>VR200 NVL72</v>
      </c>
      <c r="M4" s="92" t="str">
        <f aca="false">Perf_Batch!M4</f>
        <v>VR200 NVL72</v>
      </c>
      <c r="N4" s="92" t="str">
        <f aca="false">Perf_Batch!N4</f>
        <v>VR200 NVL72</v>
      </c>
      <c r="O4" s="92" t="str">
        <f aca="false">Perf_Batch!O4</f>
        <v>Rubin Ultra（MGX NVL 單架，72 GPU）</v>
      </c>
      <c r="P4" s="92" t="str">
        <f aca="false">Perf_Batch!P4</f>
        <v>Rubin Ultra（MGX NVL 單架，72 GPU）</v>
      </c>
      <c r="Q4" s="92" t="str">
        <f aca="false">Perf_Batch!Q4</f>
        <v>Rubin Ultra（MGX NVL 單架，72 GPU）</v>
      </c>
      <c r="S4" s="92" t="str">
        <f aca="false">Perf_Batch!C4</f>
        <v>Hopper H100</v>
      </c>
      <c r="T4" s="92" t="str">
        <f aca="false">Perf_Batch!D4</f>
        <v>Hopper H100</v>
      </c>
      <c r="U4" s="92" t="str">
        <f aca="false">Perf_Batch!E4</f>
        <v>Hopper H100</v>
      </c>
      <c r="V4" s="92" t="str">
        <f aca="false">Perf_Batch!F4</f>
        <v>GB200 NVL72</v>
      </c>
      <c r="W4" s="92" t="str">
        <f aca="false">Perf_Batch!G4</f>
        <v>GB200 NVL72</v>
      </c>
      <c r="X4" s="92" t="str">
        <f aca="false">Perf_Batch!H4</f>
        <v>GB200 NVL72</v>
      </c>
      <c r="Y4" s="92" t="str">
        <f aca="false">Perf_Batch!I4</f>
        <v>GB300 NVL72</v>
      </c>
      <c r="Z4" s="92" t="str">
        <f aca="false">Perf_Batch!J4</f>
        <v>GB300 NVL72</v>
      </c>
      <c r="AA4" s="92" t="str">
        <f aca="false">Perf_Batch!K4</f>
        <v>GB300 NVL72</v>
      </c>
      <c r="AB4" s="92" t="str">
        <f aca="false">Perf_Batch!L4</f>
        <v>VR200 NVL72</v>
      </c>
      <c r="AC4" s="92" t="str">
        <f aca="false">Perf_Batch!M4</f>
        <v>VR200 NVL72</v>
      </c>
      <c r="AD4" s="92" t="str">
        <f aca="false">Perf_Batch!N4</f>
        <v>VR200 NVL72</v>
      </c>
      <c r="AE4" s="92" t="str">
        <f aca="false">Perf_Batch!O4</f>
        <v>Rubin Ultra（MGX NVL 單架，72 GPU）</v>
      </c>
      <c r="AF4" s="92" t="str">
        <f aca="false">Perf_Batch!P4</f>
        <v>Rubin Ultra（MGX NVL 單架，72 GPU）</v>
      </c>
      <c r="AG4" s="92" t="str">
        <f aca="false">Perf_Batch!Q4</f>
        <v>Rubin Ultra（MGX NVL 單架，72 GPU）</v>
      </c>
    </row>
    <row r="5" customFormat="false" ht="15" hidden="false" customHeight="false" outlineLevel="0" collapsed="false">
      <c r="A5" s="92" t="str">
        <f aca="false">Perf_Batch!A5</f>
        <v>層級</v>
      </c>
      <c r="C5" s="92" t="str">
        <f aca="false">Perf_Batch!C5</f>
        <v>Luna（低層）</v>
      </c>
      <c r="D5" s="92" t="str">
        <f aca="false">Perf_Batch!D5</f>
        <v>Sol（中層）</v>
      </c>
      <c r="E5" s="92" t="str">
        <f aca="false">Perf_Batch!E5</f>
        <v>Astra（頂層）</v>
      </c>
      <c r="F5" s="92" t="str">
        <f aca="false">Perf_Batch!F5</f>
        <v>Luna（低層）</v>
      </c>
      <c r="G5" s="92" t="str">
        <f aca="false">Perf_Batch!G5</f>
        <v>Sol（中層）</v>
      </c>
      <c r="H5" s="92" t="str">
        <f aca="false">Perf_Batch!H5</f>
        <v>Astra（頂層）</v>
      </c>
      <c r="I5" s="92" t="str">
        <f aca="false">Perf_Batch!I5</f>
        <v>Luna（低層）</v>
      </c>
      <c r="J5" s="92" t="str">
        <f aca="false">Perf_Batch!J5</f>
        <v>Sol（中層）</v>
      </c>
      <c r="K5" s="92" t="str">
        <f aca="false">Perf_Batch!K5</f>
        <v>Astra（頂層）</v>
      </c>
      <c r="L5" s="92" t="str">
        <f aca="false">Perf_Batch!L5</f>
        <v>Luna（低層）</v>
      </c>
      <c r="M5" s="92" t="str">
        <f aca="false">Perf_Batch!M5</f>
        <v>Sol（中層）</v>
      </c>
      <c r="N5" s="92" t="str">
        <f aca="false">Perf_Batch!N5</f>
        <v>Astra（頂層）</v>
      </c>
      <c r="O5" s="92" t="str">
        <f aca="false">Perf_Batch!O5</f>
        <v>Luna（低層）</v>
      </c>
      <c r="P5" s="92" t="str">
        <f aca="false">Perf_Batch!P5</f>
        <v>Sol（中層）</v>
      </c>
      <c r="Q5" s="92" t="str">
        <f aca="false">Perf_Batch!Q5</f>
        <v>Astra（頂層）</v>
      </c>
      <c r="S5" s="92" t="str">
        <f aca="false">Perf_Batch!C5</f>
        <v>Luna（低層）</v>
      </c>
      <c r="T5" s="92" t="str">
        <f aca="false">Perf_Batch!D5</f>
        <v>Sol（中層）</v>
      </c>
      <c r="U5" s="92" t="str">
        <f aca="false">Perf_Batch!E5</f>
        <v>Astra（頂層）</v>
      </c>
      <c r="V5" s="92" t="str">
        <f aca="false">Perf_Batch!F5</f>
        <v>Luna（低層）</v>
      </c>
      <c r="W5" s="92" t="str">
        <f aca="false">Perf_Batch!G5</f>
        <v>Sol（中層）</v>
      </c>
      <c r="X5" s="92" t="str">
        <f aca="false">Perf_Batch!H5</f>
        <v>Astra（頂層）</v>
      </c>
      <c r="Y5" s="92" t="str">
        <f aca="false">Perf_Batch!I5</f>
        <v>Luna（低層）</v>
      </c>
      <c r="Z5" s="92" t="str">
        <f aca="false">Perf_Batch!J5</f>
        <v>Sol（中層）</v>
      </c>
      <c r="AA5" s="92" t="str">
        <f aca="false">Perf_Batch!K5</f>
        <v>Astra（頂層）</v>
      </c>
      <c r="AB5" s="92" t="str">
        <f aca="false">Perf_Batch!L5</f>
        <v>Luna（低層）</v>
      </c>
      <c r="AC5" s="92" t="str">
        <f aca="false">Perf_Batch!M5</f>
        <v>Sol（中層）</v>
      </c>
      <c r="AD5" s="92" t="str">
        <f aca="false">Perf_Batch!N5</f>
        <v>Astra（頂層）</v>
      </c>
      <c r="AE5" s="92" t="str">
        <f aca="false">Perf_Batch!O5</f>
        <v>Luna（低層）</v>
      </c>
      <c r="AF5" s="92" t="str">
        <f aca="false">Perf_Batch!P5</f>
        <v>Sol（中層）</v>
      </c>
      <c r="AG5" s="92" t="str">
        <f aca="false">Perf_Batch!Q5</f>
        <v>Astra（頂層）</v>
      </c>
    </row>
    <row r="6" customFormat="false" ht="15" hidden="false" customHeight="false" outlineLevel="0" collapsed="false">
      <c r="A6" s="92" t="str">
        <f aca="false">Perf_Batch!A6</f>
        <v>世代索引</v>
      </c>
      <c r="C6" s="89" t="n">
        <f aca="false">Perf_Batch!C6</f>
        <v>1</v>
      </c>
      <c r="D6" s="89" t="n">
        <f aca="false">Perf_Batch!D6</f>
        <v>1</v>
      </c>
      <c r="E6" s="89" t="n">
        <f aca="false">Perf_Batch!E6</f>
        <v>1</v>
      </c>
      <c r="F6" s="89" t="n">
        <f aca="false">Perf_Batch!F6</f>
        <v>2</v>
      </c>
      <c r="G6" s="89" t="n">
        <f aca="false">Perf_Batch!G6</f>
        <v>2</v>
      </c>
      <c r="H6" s="89" t="n">
        <f aca="false">Perf_Batch!H6</f>
        <v>2</v>
      </c>
      <c r="I6" s="89" t="n">
        <f aca="false">Perf_Batch!I6</f>
        <v>3</v>
      </c>
      <c r="J6" s="89" t="n">
        <f aca="false">Perf_Batch!J6</f>
        <v>3</v>
      </c>
      <c r="K6" s="89" t="n">
        <f aca="false">Perf_Batch!K6</f>
        <v>3</v>
      </c>
      <c r="L6" s="89" t="n">
        <f aca="false">Perf_Batch!L6</f>
        <v>4</v>
      </c>
      <c r="M6" s="89" t="n">
        <f aca="false">Perf_Batch!M6</f>
        <v>4</v>
      </c>
      <c r="N6" s="89" t="n">
        <f aca="false">Perf_Batch!N6</f>
        <v>4</v>
      </c>
      <c r="O6" s="89" t="n">
        <f aca="false">Perf_Batch!O6</f>
        <v>5</v>
      </c>
      <c r="P6" s="89" t="n">
        <f aca="false">Perf_Batch!P6</f>
        <v>5</v>
      </c>
      <c r="Q6" s="89" t="n">
        <f aca="false">Perf_Batch!Q6</f>
        <v>5</v>
      </c>
      <c r="S6" s="89" t="n">
        <f aca="false">Perf_Batch!C6</f>
        <v>1</v>
      </c>
      <c r="T6" s="89" t="n">
        <f aca="false">Perf_Batch!D6</f>
        <v>1</v>
      </c>
      <c r="U6" s="89" t="n">
        <f aca="false">Perf_Batch!E6</f>
        <v>1</v>
      </c>
      <c r="V6" s="89" t="n">
        <f aca="false">Perf_Batch!F6</f>
        <v>2</v>
      </c>
      <c r="W6" s="89" t="n">
        <f aca="false">Perf_Batch!G6</f>
        <v>2</v>
      </c>
      <c r="X6" s="89" t="n">
        <f aca="false">Perf_Batch!H6</f>
        <v>2</v>
      </c>
      <c r="Y6" s="89" t="n">
        <f aca="false">Perf_Batch!I6</f>
        <v>3</v>
      </c>
      <c r="Z6" s="89" t="n">
        <f aca="false">Perf_Batch!J6</f>
        <v>3</v>
      </c>
      <c r="AA6" s="89" t="n">
        <f aca="false">Perf_Batch!K6</f>
        <v>3</v>
      </c>
      <c r="AB6" s="89" t="n">
        <f aca="false">Perf_Batch!L6</f>
        <v>4</v>
      </c>
      <c r="AC6" s="89" t="n">
        <f aca="false">Perf_Batch!M6</f>
        <v>4</v>
      </c>
      <c r="AD6" s="89" t="n">
        <f aca="false">Perf_Batch!N6</f>
        <v>4</v>
      </c>
      <c r="AE6" s="89" t="n">
        <f aca="false">Perf_Batch!O6</f>
        <v>5</v>
      </c>
      <c r="AF6" s="89" t="n">
        <f aca="false">Perf_Batch!P6</f>
        <v>5</v>
      </c>
      <c r="AG6" s="89" t="n">
        <f aca="false">Perf_Batch!Q6</f>
        <v>5</v>
      </c>
    </row>
    <row r="7" customFormat="false" ht="15" hidden="false" customHeight="false" outlineLevel="0" collapsed="false">
      <c r="A7" s="92" t="str">
        <f aca="false">Perf_Batch!A7</f>
        <v>層級索引</v>
      </c>
      <c r="C7" s="89" t="n">
        <f aca="false">Perf_Batch!C7</f>
        <v>1</v>
      </c>
      <c r="D7" s="89" t="n">
        <f aca="false">Perf_Batch!D7</f>
        <v>2</v>
      </c>
      <c r="E7" s="89" t="n">
        <f aca="false">Perf_Batch!E7</f>
        <v>3</v>
      </c>
      <c r="F7" s="89" t="n">
        <f aca="false">Perf_Batch!F7</f>
        <v>1</v>
      </c>
      <c r="G7" s="89" t="n">
        <f aca="false">Perf_Batch!G7</f>
        <v>2</v>
      </c>
      <c r="H7" s="89" t="n">
        <f aca="false">Perf_Batch!H7</f>
        <v>3</v>
      </c>
      <c r="I7" s="89" t="n">
        <f aca="false">Perf_Batch!I7</f>
        <v>1</v>
      </c>
      <c r="J7" s="89" t="n">
        <f aca="false">Perf_Batch!J7</f>
        <v>2</v>
      </c>
      <c r="K7" s="89" t="n">
        <f aca="false">Perf_Batch!K7</f>
        <v>3</v>
      </c>
      <c r="L7" s="89" t="n">
        <f aca="false">Perf_Batch!L7</f>
        <v>1</v>
      </c>
      <c r="M7" s="89" t="n">
        <f aca="false">Perf_Batch!M7</f>
        <v>2</v>
      </c>
      <c r="N7" s="89" t="n">
        <f aca="false">Perf_Batch!N7</f>
        <v>3</v>
      </c>
      <c r="O7" s="89" t="n">
        <f aca="false">Perf_Batch!O7</f>
        <v>1</v>
      </c>
      <c r="P7" s="89" t="n">
        <f aca="false">Perf_Batch!P7</f>
        <v>2</v>
      </c>
      <c r="Q7" s="89" t="n">
        <f aca="false">Perf_Batch!Q7</f>
        <v>3</v>
      </c>
      <c r="S7" s="89" t="n">
        <f aca="false">Perf_Batch!C7</f>
        <v>1</v>
      </c>
      <c r="T7" s="89" t="n">
        <f aca="false">Perf_Batch!D7</f>
        <v>2</v>
      </c>
      <c r="U7" s="89" t="n">
        <f aca="false">Perf_Batch!E7</f>
        <v>3</v>
      </c>
      <c r="V7" s="89" t="n">
        <f aca="false">Perf_Batch!F7</f>
        <v>1</v>
      </c>
      <c r="W7" s="89" t="n">
        <f aca="false">Perf_Batch!G7</f>
        <v>2</v>
      </c>
      <c r="X7" s="89" t="n">
        <f aca="false">Perf_Batch!H7</f>
        <v>3</v>
      </c>
      <c r="Y7" s="89" t="n">
        <f aca="false">Perf_Batch!I7</f>
        <v>1</v>
      </c>
      <c r="Z7" s="89" t="n">
        <f aca="false">Perf_Batch!J7</f>
        <v>2</v>
      </c>
      <c r="AA7" s="89" t="n">
        <f aca="false">Perf_Batch!K7</f>
        <v>3</v>
      </c>
      <c r="AB7" s="89" t="n">
        <f aca="false">Perf_Batch!L7</f>
        <v>1</v>
      </c>
      <c r="AC7" s="89" t="n">
        <f aca="false">Perf_Batch!M7</f>
        <v>2</v>
      </c>
      <c r="AD7" s="89" t="n">
        <f aca="false">Perf_Batch!N7</f>
        <v>3</v>
      </c>
      <c r="AE7" s="89" t="n">
        <f aca="false">Perf_Batch!O7</f>
        <v>1</v>
      </c>
      <c r="AF7" s="89" t="n">
        <f aca="false">Perf_Batch!P7</f>
        <v>2</v>
      </c>
      <c r="AG7" s="89" t="n">
        <f aca="false">Perf_Batch!Q7</f>
        <v>3</v>
      </c>
    </row>
    <row r="50" customFormat="false" ht="15" hidden="false" customHeight="false" outlineLevel="0" collapsed="false">
      <c r="A50" s="61" t="s">
        <v>383</v>
      </c>
      <c r="B50" s="59" t="s">
        <v>118</v>
      </c>
      <c r="C50" s="77" t="n">
        <f aca="false">CTL_ProdDerate</f>
        <v>0.85</v>
      </c>
      <c r="D50" s="77" t="n">
        <f aca="false">CTL_ProdDerate</f>
        <v>0.85</v>
      </c>
      <c r="E50" s="77" t="n">
        <f aca="false">CTL_ProdDerate</f>
        <v>0.85</v>
      </c>
      <c r="F50" s="77" t="n">
        <f aca="false">CTL_ProdDerate</f>
        <v>0.85</v>
      </c>
      <c r="G50" s="77" t="n">
        <f aca="false">CTL_ProdDerate</f>
        <v>0.85</v>
      </c>
      <c r="H50" s="77" t="n">
        <f aca="false">CTL_ProdDerate</f>
        <v>0.85</v>
      </c>
      <c r="I50" s="77" t="n">
        <f aca="false">CTL_ProdDerate</f>
        <v>0.85</v>
      </c>
      <c r="J50" s="77" t="n">
        <f aca="false">CTL_ProdDerate</f>
        <v>0.85</v>
      </c>
      <c r="K50" s="77" t="n">
        <f aca="false">CTL_ProdDerate</f>
        <v>0.85</v>
      </c>
      <c r="L50" s="77" t="n">
        <f aca="false">CTL_ProdDerate</f>
        <v>0.85</v>
      </c>
      <c r="M50" s="77" t="n">
        <f aca="false">CTL_ProdDerate</f>
        <v>0.85</v>
      </c>
      <c r="N50" s="77" t="n">
        <f aca="false">CTL_ProdDerate</f>
        <v>0.85</v>
      </c>
      <c r="O50" s="77" t="n">
        <f aca="false">CTL_ProdDerate</f>
        <v>0.85</v>
      </c>
      <c r="P50" s="77" t="n">
        <f aca="false">CTL_ProdDerate</f>
        <v>0.85</v>
      </c>
      <c r="Q50" s="77" t="n">
        <f aca="false">CTL_ProdDerate</f>
        <v>0.85</v>
      </c>
      <c r="S50" s="97" t="n">
        <f aca="false">Serving!$C$18</f>
        <v>1</v>
      </c>
      <c r="T50" s="97" t="n">
        <f aca="false">Serving!$C$18</f>
        <v>1</v>
      </c>
      <c r="U50" s="97" t="n">
        <f aca="false">Serving!$C$18</f>
        <v>1</v>
      </c>
      <c r="V50" s="97" t="n">
        <f aca="false">Serving!$C$18</f>
        <v>1</v>
      </c>
      <c r="W50" s="97" t="n">
        <f aca="false">Serving!$C$18</f>
        <v>1</v>
      </c>
      <c r="X50" s="97" t="n">
        <f aca="false">Serving!$C$18</f>
        <v>1</v>
      </c>
      <c r="Y50" s="97" t="n">
        <f aca="false">Serving!$C$18</f>
        <v>1</v>
      </c>
      <c r="Z50" s="97" t="n">
        <f aca="false">Serving!$C$18</f>
        <v>1</v>
      </c>
      <c r="AA50" s="97" t="n">
        <f aca="false">Serving!$C$18</f>
        <v>1</v>
      </c>
      <c r="AB50" s="97" t="n">
        <f aca="false">Serving!$C$18</f>
        <v>1</v>
      </c>
      <c r="AC50" s="97" t="n">
        <f aca="false">Serving!$C$18</f>
        <v>1</v>
      </c>
      <c r="AD50" s="97" t="n">
        <f aca="false">Serving!$C$18</f>
        <v>1</v>
      </c>
      <c r="AE50" s="97" t="n">
        <f aca="false">Serving!$C$18</f>
        <v>1</v>
      </c>
      <c r="AF50" s="97" t="n">
        <f aca="false">Serving!$C$18</f>
        <v>1</v>
      </c>
      <c r="AG50" s="97" t="n">
        <f aca="false">Serving!$C$18</f>
        <v>1</v>
      </c>
    </row>
    <row r="51" customFormat="false" ht="15" hidden="false" customHeight="false" outlineLevel="0" collapsed="false">
      <c r="A51" s="62" t="s">
        <v>886</v>
      </c>
      <c r="B51" s="59" t="s">
        <v>113</v>
      </c>
      <c r="C51" s="112" t="n">
        <f aca="false">INDEX(Calib!$C$72:$G$72,Perf_Batch!C$6)*Perf_Batch_Prod!C50</f>
        <v>0.127435573521981</v>
      </c>
      <c r="D51" s="112" t="n">
        <f aca="false">INDEX(Calib!$C$72:$G$72,Perf_Batch!D$6)*Perf_Batch_Prod!D50</f>
        <v>0.127435573521981</v>
      </c>
      <c r="E51" s="112" t="n">
        <f aca="false">INDEX(Calib!$C$72:$G$72,Perf_Batch!E$6)*Perf_Batch_Prod!E50</f>
        <v>0.127435573521981</v>
      </c>
      <c r="F51" s="112" t="n">
        <f aca="false">INDEX(Calib!$C$72:$G$72,Perf_Batch!F$6)*Perf_Batch_Prod!F50</f>
        <v>0.255</v>
      </c>
      <c r="G51" s="112" t="n">
        <f aca="false">INDEX(Calib!$C$72:$G$72,Perf_Batch!G$6)*Perf_Batch_Prod!G50</f>
        <v>0.255</v>
      </c>
      <c r="H51" s="112" t="n">
        <f aca="false">INDEX(Calib!$C$72:$G$72,Perf_Batch!H$6)*Perf_Batch_Prod!H50</f>
        <v>0.255</v>
      </c>
      <c r="I51" s="112" t="n">
        <f aca="false">INDEX(Calib!$C$72:$G$72,Perf_Batch!I$6)*Perf_Batch_Prod!I50</f>
        <v>0.255</v>
      </c>
      <c r="J51" s="112" t="n">
        <f aca="false">INDEX(Calib!$C$72:$G$72,Perf_Batch!J$6)*Perf_Batch_Prod!J50</f>
        <v>0.255</v>
      </c>
      <c r="K51" s="112" t="n">
        <f aca="false">INDEX(Calib!$C$72:$G$72,Perf_Batch!K$6)*Perf_Batch_Prod!K50</f>
        <v>0.255</v>
      </c>
      <c r="L51" s="112" t="n">
        <f aca="false">INDEX(Calib!$C$72:$G$72,Perf_Batch!L$6)*Perf_Batch_Prod!L50</f>
        <v>0.255</v>
      </c>
      <c r="M51" s="112" t="n">
        <f aca="false">INDEX(Calib!$C$72:$G$72,Perf_Batch!M$6)*Perf_Batch_Prod!M50</f>
        <v>0.255</v>
      </c>
      <c r="N51" s="112" t="n">
        <f aca="false">INDEX(Calib!$C$72:$G$72,Perf_Batch!N$6)*Perf_Batch_Prod!N50</f>
        <v>0.255</v>
      </c>
      <c r="O51" s="112" t="n">
        <f aca="false">INDEX(Calib!$C$72:$G$72,Perf_Batch!O$6)*Perf_Batch_Prod!O50</f>
        <v>0.255</v>
      </c>
      <c r="P51" s="112" t="n">
        <f aca="false">INDEX(Calib!$C$72:$G$72,Perf_Batch!P$6)*Perf_Batch_Prod!P50</f>
        <v>0.255</v>
      </c>
      <c r="Q51" s="112" t="n">
        <f aca="false">INDEX(Calib!$C$72:$G$72,Perf_Batch!Q$6)*Perf_Batch_Prod!Q50</f>
        <v>0.255</v>
      </c>
      <c r="S51" s="112" t="n">
        <f aca="false">INDEX(Calib!$C$72:$G$72,Perf_Batch!C$6)*Perf_Batch_Prod!S50</f>
        <v>0.149924204143507</v>
      </c>
      <c r="T51" s="112" t="n">
        <f aca="false">INDEX(Calib!$C$72:$G$72,Perf_Batch!D$6)*Perf_Batch_Prod!T50</f>
        <v>0.149924204143507</v>
      </c>
      <c r="U51" s="112" t="n">
        <f aca="false">INDEX(Calib!$C$72:$G$72,Perf_Batch!E$6)*Perf_Batch_Prod!U50</f>
        <v>0.149924204143507</v>
      </c>
      <c r="V51" s="112" t="n">
        <f aca="false">INDEX(Calib!$C$72:$G$72,Perf_Batch!F$6)*Perf_Batch_Prod!V50</f>
        <v>0.3</v>
      </c>
      <c r="W51" s="112" t="n">
        <f aca="false">INDEX(Calib!$C$72:$G$72,Perf_Batch!G$6)*Perf_Batch_Prod!W50</f>
        <v>0.3</v>
      </c>
      <c r="X51" s="112" t="n">
        <f aca="false">INDEX(Calib!$C$72:$G$72,Perf_Batch!H$6)*Perf_Batch_Prod!X50</f>
        <v>0.3</v>
      </c>
      <c r="Y51" s="112" t="n">
        <f aca="false">INDEX(Calib!$C$72:$G$72,Perf_Batch!I$6)*Perf_Batch_Prod!Y50</f>
        <v>0.3</v>
      </c>
      <c r="Z51" s="112" t="n">
        <f aca="false">INDEX(Calib!$C$72:$G$72,Perf_Batch!J$6)*Perf_Batch_Prod!Z50</f>
        <v>0.3</v>
      </c>
      <c r="AA51" s="112" t="n">
        <f aca="false">INDEX(Calib!$C$72:$G$72,Perf_Batch!K$6)*Perf_Batch_Prod!AA50</f>
        <v>0.3</v>
      </c>
      <c r="AB51" s="112" t="n">
        <f aca="false">INDEX(Calib!$C$72:$G$72,Perf_Batch!L$6)*Perf_Batch_Prod!AB50</f>
        <v>0.3</v>
      </c>
      <c r="AC51" s="112" t="n">
        <f aca="false">INDEX(Calib!$C$72:$G$72,Perf_Batch!M$6)*Perf_Batch_Prod!AC50</f>
        <v>0.3</v>
      </c>
      <c r="AD51" s="112" t="n">
        <f aca="false">INDEX(Calib!$C$72:$G$72,Perf_Batch!N$6)*Perf_Batch_Prod!AD50</f>
        <v>0.3</v>
      </c>
      <c r="AE51" s="112" t="n">
        <f aca="false">INDEX(Calib!$C$72:$G$72,Perf_Batch!O$6)*Perf_Batch_Prod!AE50</f>
        <v>0.3</v>
      </c>
      <c r="AF51" s="112" t="n">
        <f aca="false">INDEX(Calib!$C$72:$G$72,Perf_Batch!P$6)*Perf_Batch_Prod!AF50</f>
        <v>0.3</v>
      </c>
      <c r="AG51" s="112" t="n">
        <f aca="false">INDEX(Calib!$C$72:$G$72,Perf_Batch!Q$6)*Perf_Batch_Prod!AG50</f>
        <v>0.3</v>
      </c>
    </row>
    <row r="53" customFormat="false" ht="15" hidden="false" customHeight="false" outlineLevel="0" collapsed="false">
      <c r="A53" s="62" t="s">
        <v>888</v>
      </c>
      <c r="B53" s="59" t="s">
        <v>113</v>
      </c>
      <c r="C53" s="113" t="n">
        <f aca="false">INDEX(Calib!$C$70:$G$70,Perf_Batch!C$6)*Perf_Batch!C52*Perf_Batch_Prod!C50*INDEX(CAL_BatchEtaD,1,Perf_Batch!C$6)</f>
        <v>0.0364701341698813</v>
      </c>
      <c r="D53" s="113" t="n">
        <f aca="false">INDEX(Calib!$C$70:$G$70,Perf_Batch!D$6)*Perf_Batch!D52*Perf_Batch_Prod!D50*INDEX(CAL_BatchEtaD,1,Perf_Batch!D$6)</f>
        <v>0.0364701341698813</v>
      </c>
      <c r="E53" s="113" t="n">
        <f aca="false">INDEX(Calib!$C$70:$G$70,Perf_Batch!E$6)*Perf_Batch!E52*Perf_Batch_Prod!E50*INDEX(CAL_BatchEtaD,1,Perf_Batch!E$6)</f>
        <v>0.0364701341698813</v>
      </c>
      <c r="F53" s="113" t="n">
        <f aca="false">INDEX(Calib!$C$70:$G$70,Perf_Batch!F$6)*Perf_Batch!F52*Perf_Batch_Prod!F50*INDEX(CAL_BatchEtaD,1,Perf_Batch!F$6)</f>
        <v>0.0303917784749011</v>
      </c>
      <c r="G53" s="113" t="n">
        <f aca="false">INDEX(Calib!$C$70:$G$70,Perf_Batch!G$6)*Perf_Batch!G52*Perf_Batch_Prod!G50*INDEX(CAL_BatchEtaD,1,Perf_Batch!G$6)</f>
        <v>0.0303917784749011</v>
      </c>
      <c r="H53" s="113" t="n">
        <f aca="false">INDEX(Calib!$C$70:$G$70,Perf_Batch!H$6)*Perf_Batch!H52*Perf_Batch_Prod!H50*INDEX(CAL_BatchEtaD,1,Perf_Batch!H$6)</f>
        <v>0.0303917784749011</v>
      </c>
      <c r="I53" s="113" t="n">
        <f aca="false">INDEX(Calib!$C$70:$G$70,Perf_Batch!I$6)*Perf_Batch!I52*Perf_Batch_Prod!I50*INDEX(CAL_BatchEtaD,1,Perf_Batch!I$6)</f>
        <v>0.0303917784749011</v>
      </c>
      <c r="J53" s="113" t="n">
        <f aca="false">INDEX(Calib!$C$70:$G$70,Perf_Batch!J$6)*Perf_Batch!J52*Perf_Batch_Prod!J50*INDEX(CAL_BatchEtaD,1,Perf_Batch!J$6)</f>
        <v>0.0303917784749011</v>
      </c>
      <c r="K53" s="113" t="n">
        <f aca="false">INDEX(Calib!$C$70:$G$70,Perf_Batch!K$6)*Perf_Batch!K52*Perf_Batch_Prod!K50*INDEX(CAL_BatchEtaD,1,Perf_Batch!K$6)</f>
        <v>0.0303917784749011</v>
      </c>
      <c r="L53" s="113" t="n">
        <f aca="false">INDEX(Calib!$C$70:$G$70,Perf_Batch!L$6)*Perf_Batch!L52*Perf_Batch_Prod!L50*INDEX(CAL_BatchEtaD,1,Perf_Batch!L$6)</f>
        <v>0.0227938338561758</v>
      </c>
      <c r="M53" s="113" t="n">
        <f aca="false">INDEX(Calib!$C$70:$G$70,Perf_Batch!M$6)*Perf_Batch!M52*Perf_Batch_Prod!M50*INDEX(CAL_BatchEtaD,1,Perf_Batch!M$6)</f>
        <v>0.0227938338561758</v>
      </c>
      <c r="N53" s="113" t="n">
        <f aca="false">INDEX(Calib!$C$70:$G$70,Perf_Batch!N$6)*Perf_Batch!N52*Perf_Batch_Prod!N50*INDEX(CAL_BatchEtaD,1,Perf_Batch!N$6)</f>
        <v>0.0227938338561758</v>
      </c>
      <c r="O53" s="113" t="n">
        <f aca="false">INDEX(Calib!$C$70:$G$70,Perf_Batch!O$6)*Perf_Batch!O52*Perf_Batch_Prod!O50*INDEX(CAL_BatchEtaD,1,Perf_Batch!O$6)</f>
        <v>0.0303917784749011</v>
      </c>
      <c r="P53" s="113" t="n">
        <f aca="false">INDEX(Calib!$C$70:$G$70,Perf_Batch!P$6)*Perf_Batch!P52*Perf_Batch_Prod!P50*INDEX(CAL_BatchEtaD,1,Perf_Batch!P$6)</f>
        <v>0.0303917784749011</v>
      </c>
      <c r="Q53" s="113" t="n">
        <f aca="false">INDEX(Calib!$C$70:$G$70,Perf_Batch!Q$6)*Perf_Batch!Q52*Perf_Batch_Prod!Q50*INDEX(CAL_BatchEtaD,1,Perf_Batch!Q$6)</f>
        <v>0.0303917784749011</v>
      </c>
      <c r="S53" s="113" t="n">
        <f aca="false">INDEX(Calib!$C$70:$G$70,Perf_Batch!C$6)*Perf_Batch!C52*Perf_Batch_Prod!S50*INDEX(CAL_BatchEtaD,1,Perf_Batch!C$6)</f>
        <v>0.0429060401998604</v>
      </c>
      <c r="T53" s="113" t="n">
        <f aca="false">INDEX(Calib!$C$70:$G$70,Perf_Batch!D$6)*Perf_Batch!D52*Perf_Batch_Prod!T50*INDEX(CAL_BatchEtaD,1,Perf_Batch!D$6)</f>
        <v>0.0429060401998604</v>
      </c>
      <c r="U53" s="113" t="n">
        <f aca="false">INDEX(Calib!$C$70:$G$70,Perf_Batch!E$6)*Perf_Batch!E52*Perf_Batch_Prod!U50*INDEX(CAL_BatchEtaD,1,Perf_Batch!E$6)</f>
        <v>0.0429060401998604</v>
      </c>
      <c r="V53" s="113" t="n">
        <f aca="false">INDEX(Calib!$C$70:$G$70,Perf_Batch!F$6)*Perf_Batch!F52*Perf_Batch_Prod!V50*INDEX(CAL_BatchEtaD,1,Perf_Batch!F$6)</f>
        <v>0.0357550334998836</v>
      </c>
      <c r="W53" s="113" t="n">
        <f aca="false">INDEX(Calib!$C$70:$G$70,Perf_Batch!G$6)*Perf_Batch!G52*Perf_Batch_Prod!W50*INDEX(CAL_BatchEtaD,1,Perf_Batch!G$6)</f>
        <v>0.0357550334998836</v>
      </c>
      <c r="X53" s="113" t="n">
        <f aca="false">INDEX(Calib!$C$70:$G$70,Perf_Batch!H$6)*Perf_Batch!H52*Perf_Batch_Prod!X50*INDEX(CAL_BatchEtaD,1,Perf_Batch!H$6)</f>
        <v>0.0357550334998836</v>
      </c>
      <c r="Y53" s="113" t="n">
        <f aca="false">INDEX(Calib!$C$70:$G$70,Perf_Batch!I$6)*Perf_Batch!I52*Perf_Batch_Prod!Y50*INDEX(CAL_BatchEtaD,1,Perf_Batch!I$6)</f>
        <v>0.0357550334998836</v>
      </c>
      <c r="Z53" s="113" t="n">
        <f aca="false">INDEX(Calib!$C$70:$G$70,Perf_Batch!J$6)*Perf_Batch!J52*Perf_Batch_Prod!Z50*INDEX(CAL_BatchEtaD,1,Perf_Batch!J$6)</f>
        <v>0.0357550334998836</v>
      </c>
      <c r="AA53" s="113" t="n">
        <f aca="false">INDEX(Calib!$C$70:$G$70,Perf_Batch!K$6)*Perf_Batch!K52*Perf_Batch_Prod!AA50*INDEX(CAL_BatchEtaD,1,Perf_Batch!K$6)</f>
        <v>0.0357550334998836</v>
      </c>
      <c r="AB53" s="113" t="n">
        <f aca="false">INDEX(Calib!$C$70:$G$70,Perf_Batch!L$6)*Perf_Batch!L52*Perf_Batch_Prod!AB50*INDEX(CAL_BatchEtaD,1,Perf_Batch!L$6)</f>
        <v>0.0268162751249127</v>
      </c>
      <c r="AC53" s="113" t="n">
        <f aca="false">INDEX(Calib!$C$70:$G$70,Perf_Batch!M$6)*Perf_Batch!M52*Perf_Batch_Prod!AC50*INDEX(CAL_BatchEtaD,1,Perf_Batch!M$6)</f>
        <v>0.0268162751249127</v>
      </c>
      <c r="AD53" s="113" t="n">
        <f aca="false">INDEX(Calib!$C$70:$G$70,Perf_Batch!N$6)*Perf_Batch!N52*Perf_Batch_Prod!AD50*INDEX(CAL_BatchEtaD,1,Perf_Batch!N$6)</f>
        <v>0.0268162751249127</v>
      </c>
      <c r="AE53" s="113" t="n">
        <f aca="false">INDEX(Calib!$C$70:$G$70,Perf_Batch!O$6)*Perf_Batch!O52*Perf_Batch_Prod!AE50*INDEX(CAL_BatchEtaD,1,Perf_Batch!O$6)</f>
        <v>0.0357550334998836</v>
      </c>
      <c r="AF53" s="113" t="n">
        <f aca="false">INDEX(Calib!$C$70:$G$70,Perf_Batch!P$6)*Perf_Batch!P52*Perf_Batch_Prod!AF50*INDEX(CAL_BatchEtaD,1,Perf_Batch!P$6)</f>
        <v>0.0357550334998836</v>
      </c>
      <c r="AG53" s="113" t="n">
        <f aca="false">INDEX(Calib!$C$70:$G$70,Perf_Batch!Q$6)*Perf_Batch!Q52*Perf_Batch_Prod!AG50*INDEX(CAL_BatchEtaD,1,Perf_Batch!Q$6)</f>
        <v>0.0357550334998836</v>
      </c>
    </row>
    <row r="55" customFormat="false" ht="15" hidden="false" customHeight="false" outlineLevel="0" collapsed="false">
      <c r="A55" s="61" t="s">
        <v>890</v>
      </c>
      <c r="B55" s="59" t="s">
        <v>574</v>
      </c>
      <c r="C55" s="63" t="n">
        <f aca="false">INDEX(Calib!$C$71:$G$71,Perf_Batch!C$6)*Perf_Batch!C54/Perf_Batch_Prod!C50</f>
        <v>284.444714353584</v>
      </c>
      <c r="D55" s="63" t="n">
        <f aca="false">INDEX(Calib!$C$71:$G$71,Perf_Batch!D$6)*Perf_Batch!D54/Perf_Batch_Prod!D50</f>
        <v>284.444714353584</v>
      </c>
      <c r="E55" s="63" t="n">
        <f aca="false">INDEX(Calib!$C$71:$G$71,Perf_Batch!E$6)*Perf_Batch!E54/Perf_Batch_Prod!E50</f>
        <v>284.444714353584</v>
      </c>
      <c r="F55" s="63" t="n">
        <f aca="false">INDEX(Calib!$C$71:$G$71,Perf_Batch!F$6)*Perf_Batch!F54/Perf_Batch_Prod!F50</f>
        <v>189.629809569056</v>
      </c>
      <c r="G55" s="63" t="n">
        <f aca="false">INDEX(Calib!$C$71:$G$71,Perf_Batch!G$6)*Perf_Batch!G54/Perf_Batch_Prod!G50</f>
        <v>189.629809569056</v>
      </c>
      <c r="H55" s="63" t="n">
        <f aca="false">INDEX(Calib!$C$71:$G$71,Perf_Batch!H$6)*Perf_Batch!H54/Perf_Batch_Prod!H50</f>
        <v>189.629809569056</v>
      </c>
      <c r="I55" s="63" t="n">
        <f aca="false">INDEX(Calib!$C$71:$G$71,Perf_Batch!I$6)*Perf_Batch!I54/Perf_Batch_Prod!I50</f>
        <v>189.629809569056</v>
      </c>
      <c r="J55" s="63" t="n">
        <f aca="false">INDEX(Calib!$C$71:$G$71,Perf_Batch!J$6)*Perf_Batch!J54/Perf_Batch_Prod!J50</f>
        <v>189.629809569056</v>
      </c>
      <c r="K55" s="63" t="n">
        <f aca="false">INDEX(Calib!$C$71:$G$71,Perf_Batch!K$6)*Perf_Batch!K54/Perf_Batch_Prod!K50</f>
        <v>189.629809569056</v>
      </c>
      <c r="L55" s="63" t="n">
        <f aca="false">INDEX(Calib!$C$71:$G$71,Perf_Batch!L$6)*Perf_Batch!L54/Perf_Batch_Prod!L50</f>
        <v>189.629809569056</v>
      </c>
      <c r="M55" s="63" t="n">
        <f aca="false">INDEX(Calib!$C$71:$G$71,Perf_Batch!M$6)*Perf_Batch!M54/Perf_Batch_Prod!M50</f>
        <v>189.629809569056</v>
      </c>
      <c r="N55" s="63" t="n">
        <f aca="false">INDEX(Calib!$C$71:$G$71,Perf_Batch!N$6)*Perf_Batch!N54/Perf_Batch_Prod!N50</f>
        <v>189.629809569056</v>
      </c>
      <c r="O55" s="63" t="n">
        <f aca="false">INDEX(Calib!$C$71:$G$71,Perf_Batch!O$6)*Perf_Batch!O54/Perf_Batch_Prod!O50</f>
        <v>189.629809569056</v>
      </c>
      <c r="P55" s="63" t="n">
        <f aca="false">INDEX(Calib!$C$71:$G$71,Perf_Batch!P$6)*Perf_Batch!P54/Perf_Batch_Prod!P50</f>
        <v>189.629809569056</v>
      </c>
      <c r="Q55" s="63" t="n">
        <f aca="false">INDEX(Calib!$C$71:$G$71,Perf_Batch!Q$6)*Perf_Batch!Q54/Perf_Batch_Prod!Q50</f>
        <v>189.629809569056</v>
      </c>
      <c r="S55" s="63" t="n">
        <f aca="false">INDEX(Calib!$C$71:$G$71,Perf_Batch!C$6)*Perf_Batch!C54/Perf_Batch_Prod!S50</f>
        <v>241.778007200547</v>
      </c>
      <c r="T55" s="63" t="n">
        <f aca="false">INDEX(Calib!$C$71:$G$71,Perf_Batch!D$6)*Perf_Batch!D54/Perf_Batch_Prod!T50</f>
        <v>241.778007200547</v>
      </c>
      <c r="U55" s="63" t="n">
        <f aca="false">INDEX(Calib!$C$71:$G$71,Perf_Batch!E$6)*Perf_Batch!E54/Perf_Batch_Prod!U50</f>
        <v>241.778007200547</v>
      </c>
      <c r="V55" s="63" t="n">
        <f aca="false">INDEX(Calib!$C$71:$G$71,Perf_Batch!F$6)*Perf_Batch!F54/Perf_Batch_Prod!V50</f>
        <v>161.185338133698</v>
      </c>
      <c r="W55" s="63" t="n">
        <f aca="false">INDEX(Calib!$C$71:$G$71,Perf_Batch!G$6)*Perf_Batch!G54/Perf_Batch_Prod!W50</f>
        <v>161.185338133698</v>
      </c>
      <c r="X55" s="63" t="n">
        <f aca="false">INDEX(Calib!$C$71:$G$71,Perf_Batch!H$6)*Perf_Batch!H54/Perf_Batch_Prod!X50</f>
        <v>161.185338133698</v>
      </c>
      <c r="Y55" s="63" t="n">
        <f aca="false">INDEX(Calib!$C$71:$G$71,Perf_Batch!I$6)*Perf_Batch!I54/Perf_Batch_Prod!Y50</f>
        <v>161.185338133698</v>
      </c>
      <c r="Z55" s="63" t="n">
        <f aca="false">INDEX(Calib!$C$71:$G$71,Perf_Batch!J$6)*Perf_Batch!J54/Perf_Batch_Prod!Z50</f>
        <v>161.185338133698</v>
      </c>
      <c r="AA55" s="63" t="n">
        <f aca="false">INDEX(Calib!$C$71:$G$71,Perf_Batch!K$6)*Perf_Batch!K54/Perf_Batch_Prod!AA50</f>
        <v>161.185338133698</v>
      </c>
      <c r="AB55" s="63" t="n">
        <f aca="false">INDEX(Calib!$C$71:$G$71,Perf_Batch!L$6)*Perf_Batch!L54/Perf_Batch_Prod!AB50</f>
        <v>161.185338133698</v>
      </c>
      <c r="AC55" s="63" t="n">
        <f aca="false">INDEX(Calib!$C$71:$G$71,Perf_Batch!M$6)*Perf_Batch!M54/Perf_Batch_Prod!AC50</f>
        <v>161.185338133698</v>
      </c>
      <c r="AD55" s="63" t="n">
        <f aca="false">INDEX(Calib!$C$71:$G$71,Perf_Batch!N$6)*Perf_Batch!N54/Perf_Batch_Prod!AD50</f>
        <v>161.185338133698</v>
      </c>
      <c r="AE55" s="63" t="n">
        <f aca="false">INDEX(Calib!$C$71:$G$71,Perf_Batch!O$6)*Perf_Batch!O54/Perf_Batch_Prod!AE50</f>
        <v>161.185338133698</v>
      </c>
      <c r="AF55" s="63" t="n">
        <f aca="false">INDEX(Calib!$C$71:$G$71,Perf_Batch!P$6)*Perf_Batch!P54/Perf_Batch_Prod!AF50</f>
        <v>161.185338133698</v>
      </c>
      <c r="AG55" s="63" t="n">
        <f aca="false">INDEX(Calib!$C$71:$G$71,Perf_Batch!Q$6)*Perf_Batch!Q54/Perf_Batch_Prod!AG50</f>
        <v>161.185338133698</v>
      </c>
    </row>
    <row r="75" customFormat="false" ht="15" hidden="false" customHeight="false" outlineLevel="0" collapsed="false">
      <c r="A75" s="62" t="s">
        <v>906</v>
      </c>
      <c r="B75" s="59" t="s">
        <v>389</v>
      </c>
      <c r="C75" s="63" t="n">
        <f aca="false">Perf_Batch_Prod!C51*Perf_Batch!C14*1000000000000000/(Perf_Batch!C67*1000000000)</f>
        <v>7806.46039342041</v>
      </c>
      <c r="D75" s="63" t="n">
        <f aca="false">Perf_Batch_Prod!D51*Perf_Batch!D14*1000000000000000/(Perf_Batch!D67*1000000000)</f>
        <v>1917.47004923249</v>
      </c>
      <c r="E75" s="63" t="n">
        <f aca="false">Perf_Batch_Prod!E51*Perf_Batch!E14*1000000000000000/(Perf_Batch!E67*1000000000)</f>
        <v>630.069577369609</v>
      </c>
      <c r="F75" s="63" t="n">
        <f aca="false">Perf_Batch_Prod!F51*Perf_Batch!F14*1000000000000000/(Perf_Batch!F67*1000000000)</f>
        <v>78932.8654542003</v>
      </c>
      <c r="G75" s="63" t="n">
        <f aca="false">Perf_Batch_Prod!G51*Perf_Batch!G14*1000000000000000/(Perf_Batch!G67*1000000000)</f>
        <v>19387.9681418856</v>
      </c>
      <c r="H75" s="63" t="n">
        <f aca="false">Perf_Batch_Prod!H51*Perf_Batch!H14*1000000000000000/(Perf_Batch!H67*1000000000)</f>
        <v>6370.77429089595</v>
      </c>
      <c r="I75" s="63" t="n">
        <f aca="false">Perf_Batch_Prod!I51*Perf_Batch!I14*1000000000000000/(Perf_Batch!I67*1000000000)</f>
        <v>118399.2981813</v>
      </c>
      <c r="J75" s="63" t="n">
        <f aca="false">Perf_Batch_Prod!J51*Perf_Batch!J14*1000000000000000/(Perf_Batch!J67*1000000000)</f>
        <v>29081.9522128284</v>
      </c>
      <c r="K75" s="63" t="n">
        <f aca="false">Perf_Batch_Prod!K51*Perf_Batch!K14*1000000000000000/(Perf_Batch!K67*1000000000)</f>
        <v>9556.16143634392</v>
      </c>
      <c r="L75" s="63" t="n">
        <f aca="false">Perf_Batch_Prod!L51*Perf_Batch!L14*1000000000000000/(Perf_Batch!L67*1000000000)</f>
        <v>276265.029089701</v>
      </c>
      <c r="M75" s="63" t="n">
        <f aca="false">Perf_Batch_Prod!M51*Perf_Batch!M14*1000000000000000/(Perf_Batch!M67*1000000000)</f>
        <v>67857.8884965997</v>
      </c>
      <c r="N75" s="63" t="n">
        <f aca="false">Perf_Batch_Prod!N51*Perf_Batch!N14*1000000000000000/(Perf_Batch!N67*1000000000)</f>
        <v>22297.7100181358</v>
      </c>
      <c r="O75" s="63" t="n">
        <f aca="false">Perf_Batch_Prod!O51*Perf_Batch!O14*1000000000000000/(Perf_Batch!O67*1000000000)</f>
        <v>552530.058179402</v>
      </c>
      <c r="P75" s="63" t="n">
        <f aca="false">Perf_Batch_Prod!P51*Perf_Batch!P14*1000000000000000/(Perf_Batch!P67*1000000000)</f>
        <v>135715.776993199</v>
      </c>
      <c r="Q75" s="63" t="n">
        <f aca="false">Perf_Batch_Prod!Q51*Perf_Batch!Q14*1000000000000000/(Perf_Batch!Q67*1000000000)</f>
        <v>44595.4200362716</v>
      </c>
      <c r="S75" s="63" t="n">
        <f aca="false">Perf_Batch_Prod!S51*Perf_Batch!C14*1000000000000000/(Perf_Batch!C67*1000000000)</f>
        <v>9184.07105108283</v>
      </c>
      <c r="T75" s="63" t="n">
        <f aca="false">Perf_Batch_Prod!T51*Perf_Batch!D14*1000000000000000/(Perf_Batch!D67*1000000000)</f>
        <v>2255.8471167441</v>
      </c>
      <c r="U75" s="63" t="n">
        <f aca="false">Perf_Batch_Prod!U51*Perf_Batch!E14*1000000000000000/(Perf_Batch!E67*1000000000)</f>
        <v>741.258326317187</v>
      </c>
      <c r="V75" s="63" t="n">
        <f aca="false">Perf_Batch_Prod!V51*Perf_Batch!F14*1000000000000000/(Perf_Batch!F67*1000000000)</f>
        <v>92862.1946520003</v>
      </c>
      <c r="W75" s="63" t="n">
        <f aca="false">Perf_Batch_Prod!W51*Perf_Batch!G14*1000000000000000/(Perf_Batch!G67*1000000000)</f>
        <v>22809.3742845713</v>
      </c>
      <c r="X75" s="63" t="n">
        <f aca="false">Perf_Batch_Prod!X51*Perf_Batch!H14*1000000000000000/(Perf_Batch!H67*1000000000)</f>
        <v>7495.02857752464</v>
      </c>
      <c r="Y75" s="63" t="n">
        <f aca="false">Perf_Batch_Prod!Y51*Perf_Batch!I14*1000000000000000/(Perf_Batch!I67*1000000000)</f>
        <v>139293.291978</v>
      </c>
      <c r="Z75" s="63" t="n">
        <f aca="false">Perf_Batch_Prod!Z51*Perf_Batch!J14*1000000000000000/(Perf_Batch!J67*1000000000)</f>
        <v>34214.061426857</v>
      </c>
      <c r="AA75" s="63" t="n">
        <f aca="false">Perf_Batch_Prod!AA51*Perf_Batch!K14*1000000000000000/(Perf_Batch!K67*1000000000)</f>
        <v>11242.542866287</v>
      </c>
      <c r="AB75" s="63" t="n">
        <f aca="false">Perf_Batch_Prod!AB51*Perf_Batch!L14*1000000000000000/(Perf_Batch!L67*1000000000)</f>
        <v>325017.681282001</v>
      </c>
      <c r="AC75" s="63" t="n">
        <f aca="false">Perf_Batch_Prod!AC51*Perf_Batch!M14*1000000000000000/(Perf_Batch!M67*1000000000)</f>
        <v>79832.8099959996</v>
      </c>
      <c r="AD75" s="63" t="n">
        <f aca="false">Perf_Batch_Prod!AD51*Perf_Batch!N14*1000000000000000/(Perf_Batch!N67*1000000000)</f>
        <v>26232.6000213363</v>
      </c>
      <c r="AE75" s="63" t="n">
        <f aca="false">Perf_Batch_Prod!AE51*Perf_Batch!O14*1000000000000000/(Perf_Batch!O67*1000000000)</f>
        <v>650035.362564002</v>
      </c>
      <c r="AF75" s="63" t="n">
        <f aca="false">Perf_Batch_Prod!AF51*Perf_Batch!P14*1000000000000000/(Perf_Batch!P67*1000000000)</f>
        <v>159665.619991999</v>
      </c>
      <c r="AG75" s="63" t="n">
        <f aca="false">Perf_Batch_Prod!AG51*Perf_Batch!Q14*1000000000000000/(Perf_Batch!Q67*1000000000)</f>
        <v>52465.2000426725</v>
      </c>
    </row>
    <row r="76" customFormat="false" ht="15" hidden="false" customHeight="false" outlineLevel="0" collapsed="false">
      <c r="A76" s="62" t="s">
        <v>1151</v>
      </c>
      <c r="B76" s="59" t="s">
        <v>392</v>
      </c>
      <c r="C76" s="97" t="n">
        <f aca="false">Perf_Batch!C43*Perf_Batch!C67*1000000000/(Perf_Batch_Prod!C51*Perf_Batch!C14*1000000000000000*Perf_Batch!C21)</f>
        <v>0.0655867030890894</v>
      </c>
      <c r="D76" s="97" t="n">
        <f aca="false">Perf_Batch!D43*Perf_Batch!D67*1000000000/(Perf_Batch_Prod!D51*Perf_Batch!D14*1000000000000000*Perf_Batch!D21)</f>
        <v>0.534037024677324</v>
      </c>
      <c r="E76" s="97" t="n">
        <f aca="false">Perf_Batch!E43*Perf_Batch!E67*1000000000/(Perf_Batch_Prod!E51*Perf_Batch!E14*1000000000000000*Perf_Batch!E21)</f>
        <v>3.2504346719134</v>
      </c>
      <c r="F76" s="97" t="n">
        <f aca="false">Perf_Batch!F43*Perf_Batch!F67*1000000000/(Perf_Batch_Prod!F51*Perf_Batch!F14*1000000000000000*Perf_Batch!F21)</f>
        <v>0.0129730498710219</v>
      </c>
      <c r="G76" s="97" t="n">
        <f aca="false">Perf_Batch!G43*Perf_Batch!G67*1000000000/(Perf_Batch_Prod!G51*Perf_Batch!G14*1000000000000000*Perf_Batch!G21)</f>
        <v>0.105632523481175</v>
      </c>
      <c r="H76" s="97" t="n">
        <f aca="false">Perf_Batch!H43*Perf_Batch!H67*1000000000/(Perf_Batch_Prod!H51*Perf_Batch!H14*1000000000000000*Perf_Batch!H21)</f>
        <v>0.642935978104471</v>
      </c>
      <c r="I76" s="97" t="n">
        <f aca="false">Perf_Batch!I43*Perf_Batch!I67*1000000000/(Perf_Batch_Prod!I51*Perf_Batch!I14*1000000000000000*Perf_Batch!I21)</f>
        <v>0.00864869991401459</v>
      </c>
      <c r="J76" s="97" t="n">
        <f aca="false">Perf_Batch!J43*Perf_Batch!J67*1000000000/(Perf_Batch_Prod!J51*Perf_Batch!J14*1000000000000000*Perf_Batch!J21)</f>
        <v>0.0704216823207832</v>
      </c>
      <c r="K76" s="97" t="n">
        <f aca="false">Perf_Batch!K43*Perf_Batch!K67*1000000000/(Perf_Batch_Prod!K51*Perf_Batch!K14*1000000000000000*Perf_Batch!K21)</f>
        <v>0.42862398540298</v>
      </c>
      <c r="L76" s="97" t="n">
        <f aca="false">Perf_Batch!L43*Perf_Batch!L67*1000000000/(Perf_Batch_Prod!L51*Perf_Batch!L14*1000000000000000*Perf_Batch!L21)</f>
        <v>0.00370658567743482</v>
      </c>
      <c r="M76" s="97" t="n">
        <f aca="false">Perf_Batch!M43*Perf_Batch!M67*1000000000/(Perf_Batch_Prod!M51*Perf_Batch!M14*1000000000000000*Perf_Batch!M21)</f>
        <v>0.0301807209946213</v>
      </c>
      <c r="N76" s="97" t="n">
        <f aca="false">Perf_Batch!N43*Perf_Batch!N67*1000000000/(Perf_Batch_Prod!N51*Perf_Batch!N14*1000000000000000*Perf_Batch!N21)</f>
        <v>0.183695993744134</v>
      </c>
      <c r="O76" s="97" t="n">
        <f aca="false">Perf_Batch!O43*Perf_Batch!O67*1000000000/(Perf_Batch_Prod!O51*Perf_Batch!O14*1000000000000000*Perf_Batch!O21)</f>
        <v>0.000926646419358706</v>
      </c>
      <c r="P76" s="97" t="n">
        <f aca="false">Perf_Batch!P43*Perf_Batch!P67*1000000000/(Perf_Batch_Prod!P51*Perf_Batch!P14*1000000000000000*Perf_Batch!P21)</f>
        <v>0.00754518024865534</v>
      </c>
      <c r="Q76" s="97" t="n">
        <f aca="false">Perf_Batch!Q43*Perf_Batch!Q67*1000000000/(Perf_Batch_Prod!Q51*Perf_Batch!Q14*1000000000000000*Perf_Batch!Q21)</f>
        <v>0.0459239984360336</v>
      </c>
      <c r="S76" s="97" t="n">
        <f aca="false">Perf_Batch!C43*Perf_Batch!C67*1000000000/(Perf_Batch_Prod!S51*Perf_Batch!C14*1000000000000000*Perf_Batch!C21)</f>
        <v>0.055748697625726</v>
      </c>
      <c r="T76" s="97" t="n">
        <f aca="false">Perf_Batch!D43*Perf_Batch!D67*1000000000/(Perf_Batch_Prod!T51*Perf_Batch!D14*1000000000000000*Perf_Batch!D21)</f>
        <v>0.453931470975726</v>
      </c>
      <c r="U76" s="97" t="n">
        <f aca="false">Perf_Batch!E43*Perf_Batch!E67*1000000000/(Perf_Batch_Prod!U51*Perf_Batch!E14*1000000000000000*Perf_Batch!E21)</f>
        <v>2.76286947112639</v>
      </c>
      <c r="V76" s="97" t="n">
        <f aca="false">Perf_Batch!F43*Perf_Batch!F67*1000000000/(Perf_Batch_Prod!V51*Perf_Batch!F14*1000000000000000*Perf_Batch!F21)</f>
        <v>0.0110270923903686</v>
      </c>
      <c r="W76" s="97" t="n">
        <f aca="false">Perf_Batch!G43*Perf_Batch!G67*1000000000/(Perf_Batch_Prod!W51*Perf_Batch!G14*1000000000000000*Perf_Batch!G21)</f>
        <v>0.0897876449589985</v>
      </c>
      <c r="X76" s="97" t="n">
        <f aca="false">Perf_Batch!H43*Perf_Batch!H67*1000000000/(Perf_Batch_Prod!X51*Perf_Batch!H14*1000000000000000*Perf_Batch!H21)</f>
        <v>0.5464955813888</v>
      </c>
      <c r="Y76" s="97" t="n">
        <f aca="false">Perf_Batch!I43*Perf_Batch!I67*1000000000/(Perf_Batch_Prod!Y51*Perf_Batch!I14*1000000000000000*Perf_Batch!I21)</f>
        <v>0.0073513949269124</v>
      </c>
      <c r="Z76" s="97" t="n">
        <f aca="false">Perf_Batch!J43*Perf_Batch!J67*1000000000/(Perf_Batch_Prod!Z51*Perf_Batch!J14*1000000000000000*Perf_Batch!J21)</f>
        <v>0.0598584299726657</v>
      </c>
      <c r="AA76" s="97" t="n">
        <f aca="false">Perf_Batch!K43*Perf_Batch!K67*1000000000/(Perf_Batch_Prod!AA51*Perf_Batch!K14*1000000000000000*Perf_Batch!K21)</f>
        <v>0.364330387592533</v>
      </c>
      <c r="AB76" s="97" t="n">
        <f aca="false">Perf_Batch!L43*Perf_Batch!L67*1000000000/(Perf_Batch_Prod!AB51*Perf_Batch!L14*1000000000000000*Perf_Batch!L21)</f>
        <v>0.0031505978258196</v>
      </c>
      <c r="AC76" s="97" t="n">
        <f aca="false">Perf_Batch!M43*Perf_Batch!M67*1000000000/(Perf_Batch_Prod!AC51*Perf_Batch!M14*1000000000000000*Perf_Batch!M21)</f>
        <v>0.0256536128454282</v>
      </c>
      <c r="AD76" s="97" t="n">
        <f aca="false">Perf_Batch!N43*Perf_Batch!N67*1000000000/(Perf_Batch_Prod!AD51*Perf_Batch!N14*1000000000000000*Perf_Batch!N21)</f>
        <v>0.156141594682514</v>
      </c>
      <c r="AE76" s="97" t="n">
        <f aca="false">Perf_Batch!O43*Perf_Batch!O67*1000000000/(Perf_Batch_Prod!AE51*Perf_Batch!O14*1000000000000000*Perf_Batch!O21)</f>
        <v>0.0007876494564549</v>
      </c>
      <c r="AF76" s="97" t="n">
        <f aca="false">Perf_Batch!P43*Perf_Batch!P67*1000000000/(Perf_Batch_Prod!AF51*Perf_Batch!P14*1000000000000000*Perf_Batch!P21)</f>
        <v>0.00641340321135704</v>
      </c>
      <c r="AG76" s="97" t="n">
        <f aca="false">Perf_Batch!Q43*Perf_Batch!Q67*1000000000/(Perf_Batch_Prod!AG51*Perf_Batch!Q14*1000000000000000*Perf_Batch!Q21)</f>
        <v>0.0390353986706286</v>
      </c>
    </row>
    <row r="77" customFormat="false" ht="15" hidden="false" customHeight="false" outlineLevel="0" collapsed="false">
      <c r="A77" s="62" t="s">
        <v>908</v>
      </c>
      <c r="B77" s="74"/>
      <c r="C77" s="92" t="str">
        <f aca="false">IF(Perf_Batch_Prod!C76&lt;=Perf_Batch!C42,"是","否")</f>
        <v>是</v>
      </c>
      <c r="D77" s="92" t="str">
        <f aca="false">IF(Perf_Batch_Prod!D76&lt;=Perf_Batch!D42,"是","否")</f>
        <v>是</v>
      </c>
      <c r="E77" s="92" t="str">
        <f aca="false">IF(Perf_Batch_Prod!E76&lt;=Perf_Batch!E42,"是","否")</f>
        <v>是</v>
      </c>
      <c r="F77" s="92" t="str">
        <f aca="false">IF(Perf_Batch_Prod!F76&lt;=Perf_Batch!F42,"是","否")</f>
        <v>是</v>
      </c>
      <c r="G77" s="92" t="str">
        <f aca="false">IF(Perf_Batch_Prod!G76&lt;=Perf_Batch!G42,"是","否")</f>
        <v>是</v>
      </c>
      <c r="H77" s="92" t="str">
        <f aca="false">IF(Perf_Batch_Prod!H76&lt;=Perf_Batch!H42,"是","否")</f>
        <v>是</v>
      </c>
      <c r="I77" s="92" t="str">
        <f aca="false">IF(Perf_Batch_Prod!I76&lt;=Perf_Batch!I42,"是","否")</f>
        <v>是</v>
      </c>
      <c r="J77" s="92" t="str">
        <f aca="false">IF(Perf_Batch_Prod!J76&lt;=Perf_Batch!J42,"是","否")</f>
        <v>是</v>
      </c>
      <c r="K77" s="92" t="str">
        <f aca="false">IF(Perf_Batch_Prod!K76&lt;=Perf_Batch!K42,"是","否")</f>
        <v>是</v>
      </c>
      <c r="L77" s="92" t="str">
        <f aca="false">IF(Perf_Batch_Prod!L76&lt;=Perf_Batch!L42,"是","否")</f>
        <v>是</v>
      </c>
      <c r="M77" s="92" t="str">
        <f aca="false">IF(Perf_Batch_Prod!M76&lt;=Perf_Batch!M42,"是","否")</f>
        <v>是</v>
      </c>
      <c r="N77" s="92" t="str">
        <f aca="false">IF(Perf_Batch_Prod!N76&lt;=Perf_Batch!N42,"是","否")</f>
        <v>是</v>
      </c>
      <c r="O77" s="92" t="str">
        <f aca="false">IF(Perf_Batch_Prod!O76&lt;=Perf_Batch!O42,"是","否")</f>
        <v>是</v>
      </c>
      <c r="P77" s="92" t="str">
        <f aca="false">IF(Perf_Batch_Prod!P76&lt;=Perf_Batch!P42,"是","否")</f>
        <v>是</v>
      </c>
      <c r="Q77" s="92" t="str">
        <f aca="false">IF(Perf_Batch_Prod!Q76&lt;=Perf_Batch!Q42,"是","否")</f>
        <v>是</v>
      </c>
      <c r="S77" s="92" t="str">
        <f aca="false">IF(Perf_Batch_Prod!S76&lt;=Perf_Batch!C42,"是","否")</f>
        <v>是</v>
      </c>
      <c r="T77" s="92" t="str">
        <f aca="false">IF(Perf_Batch_Prod!T76&lt;=Perf_Batch!D42,"是","否")</f>
        <v>是</v>
      </c>
      <c r="U77" s="92" t="str">
        <f aca="false">IF(Perf_Batch_Prod!U76&lt;=Perf_Batch!E42,"是","否")</f>
        <v>是</v>
      </c>
      <c r="V77" s="92" t="str">
        <f aca="false">IF(Perf_Batch_Prod!V76&lt;=Perf_Batch!F42,"是","否")</f>
        <v>是</v>
      </c>
      <c r="W77" s="92" t="str">
        <f aca="false">IF(Perf_Batch_Prod!W76&lt;=Perf_Batch!G42,"是","否")</f>
        <v>是</v>
      </c>
      <c r="X77" s="92" t="str">
        <f aca="false">IF(Perf_Batch_Prod!X76&lt;=Perf_Batch!H42,"是","否")</f>
        <v>是</v>
      </c>
      <c r="Y77" s="92" t="str">
        <f aca="false">IF(Perf_Batch_Prod!Y76&lt;=Perf_Batch!I42,"是","否")</f>
        <v>是</v>
      </c>
      <c r="Z77" s="92" t="str">
        <f aca="false">IF(Perf_Batch_Prod!Z76&lt;=Perf_Batch!J42,"是","否")</f>
        <v>是</v>
      </c>
      <c r="AA77" s="92" t="str">
        <f aca="false">IF(Perf_Batch_Prod!AA76&lt;=Perf_Batch!K42,"是","否")</f>
        <v>是</v>
      </c>
      <c r="AB77" s="92" t="str">
        <f aca="false">IF(Perf_Batch_Prod!AB76&lt;=Perf_Batch!L42,"是","否")</f>
        <v>是</v>
      </c>
      <c r="AC77" s="92" t="str">
        <f aca="false">IF(Perf_Batch_Prod!AC76&lt;=Perf_Batch!M42,"是","否")</f>
        <v>是</v>
      </c>
      <c r="AD77" s="92" t="str">
        <f aca="false">IF(Perf_Batch_Prod!AD76&lt;=Perf_Batch!N42,"是","否")</f>
        <v>是</v>
      </c>
      <c r="AE77" s="92" t="str">
        <f aca="false">IF(Perf_Batch_Prod!AE76&lt;=Perf_Batch!O42,"是","否")</f>
        <v>是</v>
      </c>
      <c r="AF77" s="92" t="str">
        <f aca="false">IF(Perf_Batch_Prod!AF76&lt;=Perf_Batch!P42,"是","否")</f>
        <v>是</v>
      </c>
      <c r="AG77" s="92" t="str">
        <f aca="false">IF(Perf_Batch_Prod!AG76&lt;=Perf_Batch!Q42,"是","否")</f>
        <v>是</v>
      </c>
    </row>
    <row r="79" customFormat="false" ht="15" hidden="false" customHeight="false" outlineLevel="0" collapsed="false">
      <c r="A79" s="61" t="s">
        <v>910</v>
      </c>
      <c r="B79" s="59" t="s">
        <v>561</v>
      </c>
      <c r="C79" s="95" t="n">
        <f aca="false">Perf_Batch!C72/Perf_Batch!C16+(Perf_Batch!C29+Perf_Batch!C47)*Perf_Batch_Prod!C55/1000</f>
        <v>15.9993635766828</v>
      </c>
      <c r="D79" s="95" t="n">
        <f aca="false">Perf_Batch!D72/Perf_Batch!D16+(Perf_Batch!D29+Perf_Batch!D47)*Perf_Batch_Prod!D55/1000</f>
        <v>28.5991030950805</v>
      </c>
      <c r="E79" s="95" t="n">
        <f aca="false">Perf_Batch!E72/Perf_Batch!E16+(Perf_Batch!E29+Perf_Batch!E47)*Perf_Batch_Prod!E55/1000</f>
        <v>41.5061799059401</v>
      </c>
      <c r="F79" s="95" t="n">
        <f aca="false">Perf_Batch!F72/Perf_Batch!F16+(Perf_Batch!F29+Perf_Batch!F47)*Perf_Batch_Prod!F55/1000</f>
        <v>10.0116030761141</v>
      </c>
      <c r="G79" s="95" t="n">
        <f aca="false">Perf_Batch!G72/Perf_Batch!G16+(Perf_Batch!G29+Perf_Batch!G47)*Perf_Batch_Prod!G55/1000</f>
        <v>18.1420993705793</v>
      </c>
      <c r="H79" s="95" t="n">
        <f aca="false">Perf_Batch!H72/Perf_Batch!H16+(Perf_Batch!H29+Perf_Batch!H47)*Perf_Batch_Prod!H55/1000</f>
        <v>30.769482681035</v>
      </c>
      <c r="I79" s="95" t="n">
        <f aca="false">Perf_Batch!I72/Perf_Batch!I16+(Perf_Batch!I29+Perf_Batch!I47)*Perf_Batch_Prod!I55/1000</f>
        <v>10.0116030761141</v>
      </c>
      <c r="J79" s="95" t="n">
        <f aca="false">Perf_Batch!J72/Perf_Batch!J16+(Perf_Batch!J29+Perf_Batch!J47)*Perf_Batch_Prod!J55/1000</f>
        <v>18.1420993705793</v>
      </c>
      <c r="K79" s="95" t="n">
        <f aca="false">Perf_Batch!K72/Perf_Batch!K16+(Perf_Batch!K29+Perf_Batch!K47)*Perf_Batch_Prod!K55/1000</f>
        <v>34.3471799716763</v>
      </c>
      <c r="L79" s="95" t="n">
        <f aca="false">Perf_Batch!L72/Perf_Batch!L16+(Perf_Batch!L29+Perf_Batch!L47)*Perf_Batch_Prod!L55/1000</f>
        <v>9.19156463506294</v>
      </c>
      <c r="M79" s="95" t="n">
        <f aca="false">Perf_Batch!M72/Perf_Batch!M16+(Perf_Batch!M29+Perf_Batch!M47)*Perf_Batch_Prod!M55/1000</f>
        <v>14.3202320153868</v>
      </c>
      <c r="N79" s="95" t="n">
        <f aca="false">Perf_Batch!N72/Perf_Batch!N16+(Perf_Batch!N29+Perf_Batch!N47)*Perf_Batch_Prod!N55/1000</f>
        <v>24.9192556896359</v>
      </c>
      <c r="O79" s="95" t="n">
        <f aca="false">Perf_Batch!O72/Perf_Batch!O16+(Perf_Batch!O29+Perf_Batch!O47)*Perf_Batch_Prod!O55/1000</f>
        <v>8.96861271966877</v>
      </c>
      <c r="P79" s="95" t="n">
        <f aca="false">Perf_Batch!P72/Perf_Batch!P16+(Perf_Batch!P29+Perf_Batch!P47)*Perf_Batch_Prod!P55/1000</f>
        <v>13.2038720349673</v>
      </c>
      <c r="Q79" s="95" t="n">
        <f aca="false">Perf_Batch!Q72/Perf_Batch!Q16+(Perf_Batch!Q29+Perf_Batch!Q47)*Perf_Batch_Prod!Q55/1000</f>
        <v>22.1505431564514</v>
      </c>
      <c r="S79" s="95" t="n">
        <f aca="false">Perf_Batch!C72/Perf_Batch!C16+(Perf_Batch!C29+Perf_Batch!C47)*Perf_Batch_Prod!S55/1000</f>
        <v>14.0366950476431</v>
      </c>
      <c r="T79" s="95" t="n">
        <f aca="false">Perf_Batch!D72/Perf_Batch!D16+(Perf_Batch!D29+Perf_Batch!D47)*Perf_Batch_Prod!T55/1000</f>
        <v>25.8684338372861</v>
      </c>
      <c r="U79" s="95" t="n">
        <f aca="false">Perf_Batch!E72/Perf_Batch!E16+(Perf_Batch!E29+Perf_Batch!E47)*Perf_Batch_Prod!U55/1000</f>
        <v>37.1115090691772</v>
      </c>
      <c r="V79" s="95" t="n">
        <f aca="false">Perf_Batch!F72/Perf_Batch!F16+(Perf_Batch!F29+Perf_Batch!F47)*Perf_Batch_Prod!V55/1000</f>
        <v>8.70315739008759</v>
      </c>
      <c r="W79" s="95" t="n">
        <f aca="false">Perf_Batch!G72/Perf_Batch!G16+(Perf_Batch!G29+Perf_Batch!G47)*Perf_Batch_Prod!W55/1000</f>
        <v>16.3216531987164</v>
      </c>
      <c r="X79" s="95" t="n">
        <f aca="false">Perf_Batch!H72/Perf_Batch!H16+(Perf_Batch!H29+Perf_Batch!H47)*Perf_Batch_Prod!X55/1000</f>
        <v>27.8397021231931</v>
      </c>
      <c r="Y79" s="95" t="n">
        <f aca="false">Perf_Batch!I72/Perf_Batch!I16+(Perf_Batch!I29+Perf_Batch!I47)*Perf_Batch_Prod!Y55/1000</f>
        <v>8.70315739008759</v>
      </c>
      <c r="Z79" s="95" t="n">
        <f aca="false">Perf_Batch!J72/Perf_Batch!J16+(Perf_Batch!J29+Perf_Batch!J47)*Perf_Batch_Prod!Z55/1000</f>
        <v>16.3216531987164</v>
      </c>
      <c r="AA79" s="95" t="n">
        <f aca="false">Perf_Batch!K72/Perf_Batch!K16+(Perf_Batch!K29+Perf_Batch!K47)*Perf_Batch_Prod!AA55/1000</f>
        <v>31.4173994138344</v>
      </c>
      <c r="AB79" s="95" t="n">
        <f aca="false">Perf_Batch!L72/Perf_Batch!L16+(Perf_Batch!L29+Perf_Batch!L47)*Perf_Batch_Prod!AB55/1000</f>
        <v>7.88311894903646</v>
      </c>
      <c r="AC79" s="95" t="n">
        <f aca="false">Perf_Batch!M72/Perf_Batch!M16+(Perf_Batch!M29+Perf_Batch!M47)*Perf_Batch_Prod!AC55/1000</f>
        <v>12.4997858435238</v>
      </c>
      <c r="AD79" s="95" t="n">
        <f aca="false">Perf_Batch!N72/Perf_Batch!N16+(Perf_Batch!N29+Perf_Batch!N47)*Perf_Batch_Prod!AD55/1000</f>
        <v>21.989475131794</v>
      </c>
      <c r="AE79" s="95" t="n">
        <f aca="false">Perf_Batch!O72/Perf_Batch!O16+(Perf_Batch!O29+Perf_Batch!O47)*Perf_Batch_Prod!AE55/1000</f>
        <v>7.66016703364228</v>
      </c>
      <c r="AF79" s="95" t="n">
        <f aca="false">Perf_Batch!P72/Perf_Batch!P16+(Perf_Batch!P29+Perf_Batch!P47)*Perf_Batch_Prod!AF55/1000</f>
        <v>11.3834258631044</v>
      </c>
      <c r="AG79" s="95" t="n">
        <f aca="false">Perf_Batch!Q72/Perf_Batch!Q16+(Perf_Batch!Q29+Perf_Batch!Q47)*Perf_Batch_Prod!AG55/1000</f>
        <v>19.2207625986094</v>
      </c>
    </row>
    <row r="80" customFormat="false" ht="15" hidden="false" customHeight="false" outlineLevel="0" collapsed="false">
      <c r="A80" s="61" t="s">
        <v>911</v>
      </c>
      <c r="B80" s="59" t="s">
        <v>561</v>
      </c>
      <c r="C80" s="96" t="n">
        <f aca="false">(Perf_Batch!C47+1)*Perf_Batch!C65/(Perf_Batch!C14*Perf_Batch_Prod!C53)/1000</f>
        <v>2.14575801053756</v>
      </c>
      <c r="D80" s="96" t="n">
        <f aca="false">(Perf_Batch!D47+1)*Perf_Batch!D65/(Perf_Batch!D14*Perf_Batch_Prod!D53)/1000</f>
        <v>7.38831236469215</v>
      </c>
      <c r="E80" s="96" t="n">
        <f aca="false">(Perf_Batch!E47+1)*Perf_Batch!E65/(Perf_Batch!E14*Perf_Batch_Prod!E53)/1000</f>
        <v>28.8779016342306</v>
      </c>
      <c r="F80" s="96" t="n">
        <f aca="false">(Perf_Batch!F47+1)*Perf_Batch!F65/(Perf_Batch!F14*Perf_Batch_Prod!F53)/1000</f>
        <v>0.509574612342459</v>
      </c>
      <c r="G80" s="96" t="n">
        <f aca="false">(Perf_Batch!G47+1)*Perf_Batch!G65/(Perf_Batch!G14*Perf_Batch_Prod!G53)/1000</f>
        <v>1.75457642036709</v>
      </c>
      <c r="H80" s="96" t="n">
        <f aca="false">(Perf_Batch!H47+1)*Perf_Batch!H65/(Perf_Batch!H14*Perf_Batch_Prod!H53)/1000</f>
        <v>6.85792408009707</v>
      </c>
      <c r="I80" s="96" t="n">
        <f aca="false">(Perf_Batch!I47+1)*Perf_Batch!I65/(Perf_Batch!I14*Perf_Batch_Prod!I53)/1000</f>
        <v>0.339716408228306</v>
      </c>
      <c r="J80" s="96" t="n">
        <f aca="false">(Perf_Batch!J47+1)*Perf_Batch!J65/(Perf_Batch!J14*Perf_Batch_Prod!J53)/1000</f>
        <v>1.16971761357806</v>
      </c>
      <c r="K80" s="96" t="n">
        <f aca="false">(Perf_Batch!K47+1)*Perf_Batch!K65/(Perf_Batch!K14*Perf_Batch_Prod!K53)/1000</f>
        <v>4.57194938673138</v>
      </c>
      <c r="L80" s="96" t="n">
        <f aca="false">(Perf_Batch!L47+1)*Perf_Batch!L65/(Perf_Batch!L14*Perf_Batch_Prod!L53)/1000</f>
        <v>0.194123661844746</v>
      </c>
      <c r="M80" s="96" t="n">
        <f aca="false">(Perf_Batch!M47+1)*Perf_Batch!M65/(Perf_Batch!M14*Perf_Batch_Prod!M53)/1000</f>
        <v>0.66841006490175</v>
      </c>
      <c r="N80" s="96" t="n">
        <f aca="false">(Perf_Batch!N47+1)*Perf_Batch!N65/(Perf_Batch!N14*Perf_Batch_Prod!N53)/1000</f>
        <v>2.61254250670365</v>
      </c>
      <c r="O80" s="96" t="n">
        <f aca="false">(Perf_Batch!O47+1)*Perf_Batch!O65/(Perf_Batch!O14*Perf_Batch_Prod!O53)/1000</f>
        <v>0.0727963731917798</v>
      </c>
      <c r="P80" s="96" t="n">
        <f aca="false">(Perf_Batch!P47+1)*Perf_Batch!P65/(Perf_Batch!P14*Perf_Batch_Prod!P53)/1000</f>
        <v>0.250653774338156</v>
      </c>
      <c r="Q80" s="96" t="n">
        <f aca="false">(Perf_Batch!Q47+1)*Perf_Batch!Q65/(Perf_Batch!Q14*Perf_Batch_Prod!Q53)/1000</f>
        <v>0.979703440013868</v>
      </c>
      <c r="S80" s="96" t="n">
        <f aca="false">(Perf_Batch!C47+1)*Perf_Batch!C65/(Perf_Batch!C14*Perf_Batch_Prod!S53)/1000</f>
        <v>1.82389430895692</v>
      </c>
      <c r="T80" s="96" t="n">
        <f aca="false">(Perf_Batch!D47+1)*Perf_Batch!D65/(Perf_Batch!D14*Perf_Batch_Prod!T53)/1000</f>
        <v>6.28006550998833</v>
      </c>
      <c r="U80" s="96" t="n">
        <f aca="false">(Perf_Batch!E47+1)*Perf_Batch!E65/(Perf_Batch!E14*Perf_Batch_Prod!U53)/1000</f>
        <v>24.546216389096</v>
      </c>
      <c r="V80" s="96" t="n">
        <f aca="false">(Perf_Batch!F47+1)*Perf_Batch!F65/(Perf_Batch!F14*Perf_Batch_Prod!V53)/1000</f>
        <v>0.43313842049109</v>
      </c>
      <c r="W80" s="96" t="n">
        <f aca="false">(Perf_Batch!G47+1)*Perf_Batch!G65/(Perf_Batch!G14*Perf_Batch_Prod!W53)/1000</f>
        <v>1.49138995731203</v>
      </c>
      <c r="X80" s="96" t="n">
        <f aca="false">(Perf_Batch!H47+1)*Perf_Batch!H65/(Perf_Batch!H14*Perf_Batch_Prod!X53)/1000</f>
        <v>5.82923546808251</v>
      </c>
      <c r="Y80" s="96" t="n">
        <f aca="false">(Perf_Batch!I47+1)*Perf_Batch!I65/(Perf_Batch!I14*Perf_Batch_Prod!Y53)/1000</f>
        <v>0.28875894699406</v>
      </c>
      <c r="Z80" s="96" t="n">
        <f aca="false">(Perf_Batch!J47+1)*Perf_Batch!J65/(Perf_Batch!J14*Perf_Batch_Prod!Z53)/1000</f>
        <v>0.994259971541353</v>
      </c>
      <c r="AA80" s="96" t="n">
        <f aca="false">(Perf_Batch!K47+1)*Perf_Batch!K65/(Perf_Batch!K14*Perf_Batch_Prod!AA53)/1000</f>
        <v>3.88615697872167</v>
      </c>
      <c r="AB80" s="96" t="n">
        <f aca="false">(Perf_Batch!L47+1)*Perf_Batch!L65/(Perf_Batch!L14*Perf_Batch_Prod!AB53)/1000</f>
        <v>0.165005112568034</v>
      </c>
      <c r="AC80" s="96" t="n">
        <f aca="false">(Perf_Batch!M47+1)*Perf_Batch!M65/(Perf_Batch!M14*Perf_Batch_Prod!AC53)/1000</f>
        <v>0.568148555166487</v>
      </c>
      <c r="AD80" s="96" t="n">
        <f aca="false">(Perf_Batch!N47+1)*Perf_Batch!N65/(Perf_Batch!N14*Perf_Batch_Prod!AD53)/1000</f>
        <v>2.2206611306981</v>
      </c>
      <c r="AE80" s="96" t="n">
        <f aca="false">(Perf_Batch!O47+1)*Perf_Batch!O65/(Perf_Batch!O14*Perf_Batch_Prod!AE53)/1000</f>
        <v>0.0618769172130129</v>
      </c>
      <c r="AF80" s="96" t="n">
        <f aca="false">(Perf_Batch!P47+1)*Perf_Batch!P65/(Perf_Batch!P14*Perf_Batch_Prod!AF53)/1000</f>
        <v>0.213055708187433</v>
      </c>
      <c r="AG80" s="96" t="n">
        <f aca="false">(Perf_Batch!Q47+1)*Perf_Batch!Q65/(Perf_Batch!Q14*Perf_Batch_Prod!AG53)/1000</f>
        <v>0.832747924011788</v>
      </c>
    </row>
    <row r="83" customFormat="false" ht="15" hidden="false" customHeight="false" outlineLevel="0" collapsed="false">
      <c r="A83" s="61" t="s">
        <v>914</v>
      </c>
      <c r="B83" s="59" t="s">
        <v>561</v>
      </c>
      <c r="C83" s="96" t="n">
        <f aca="false">MAX(Perf_Batch_Prod!C80,Perf_Batch!C81,Perf_Batch!C82)</f>
        <v>2.14575801053756</v>
      </c>
      <c r="D83" s="96" t="n">
        <f aca="false">MAX(Perf_Batch_Prod!D80,Perf_Batch!D81,Perf_Batch!D82)</f>
        <v>7.38831236469215</v>
      </c>
      <c r="E83" s="96" t="n">
        <f aca="false">MAX(Perf_Batch_Prod!E80,Perf_Batch!E81,Perf_Batch!E82)</f>
        <v>28.8779016342306</v>
      </c>
      <c r="F83" s="96" t="n">
        <f aca="false">MAX(Perf_Batch_Prod!F80,Perf_Batch!F81,Perf_Batch!F82)</f>
        <v>0.509574612342459</v>
      </c>
      <c r="G83" s="96" t="n">
        <f aca="false">MAX(Perf_Batch_Prod!G80,Perf_Batch!G81,Perf_Batch!G82)</f>
        <v>1.75457642036709</v>
      </c>
      <c r="H83" s="96" t="n">
        <f aca="false">MAX(Perf_Batch_Prod!H80,Perf_Batch!H81,Perf_Batch!H82)</f>
        <v>6.85792408009707</v>
      </c>
      <c r="I83" s="96" t="n">
        <f aca="false">MAX(Perf_Batch_Prod!I80,Perf_Batch!I81,Perf_Batch!I82)</f>
        <v>0.339716408228306</v>
      </c>
      <c r="J83" s="96" t="n">
        <f aca="false">MAX(Perf_Batch_Prod!J80,Perf_Batch!J81,Perf_Batch!J82)</f>
        <v>1.16971761357806</v>
      </c>
      <c r="K83" s="96" t="n">
        <f aca="false">MAX(Perf_Batch_Prod!K80,Perf_Batch!K81,Perf_Batch!K82)</f>
        <v>4.57194938673138</v>
      </c>
      <c r="L83" s="96" t="n">
        <f aca="false">MAX(Perf_Batch_Prod!L80,Perf_Batch!L81,Perf_Batch!L82)</f>
        <v>0.194123661844746</v>
      </c>
      <c r="M83" s="96" t="n">
        <f aca="false">MAX(Perf_Batch_Prod!M80,Perf_Batch!M81,Perf_Batch!M82)</f>
        <v>0.66841006490175</v>
      </c>
      <c r="N83" s="96" t="n">
        <f aca="false">MAX(Perf_Batch_Prod!N80,Perf_Batch!N81,Perf_Batch!N82)</f>
        <v>2.61254250670365</v>
      </c>
      <c r="O83" s="96" t="n">
        <f aca="false">MAX(Perf_Batch_Prod!O80,Perf_Batch!O81,Perf_Batch!O82)</f>
        <v>0.0727963731917798</v>
      </c>
      <c r="P83" s="96" t="n">
        <f aca="false">MAX(Perf_Batch_Prod!P80,Perf_Batch!P81,Perf_Batch!P82)</f>
        <v>0.250653774338156</v>
      </c>
      <c r="Q83" s="96" t="n">
        <f aca="false">MAX(Perf_Batch_Prod!Q80,Perf_Batch!Q81,Perf_Batch!Q82)</f>
        <v>0.979703440013868</v>
      </c>
      <c r="S83" s="96" t="n">
        <f aca="false">MAX(Perf_Batch_Prod!S80,Perf_Batch!C81,Perf_Batch!C82)</f>
        <v>1.82389430895692</v>
      </c>
      <c r="T83" s="96" t="n">
        <f aca="false">MAX(Perf_Batch_Prod!T80,Perf_Batch!D81,Perf_Batch!D82)</f>
        <v>6.28006550998833</v>
      </c>
      <c r="U83" s="96" t="n">
        <f aca="false">MAX(Perf_Batch_Prod!U80,Perf_Batch!E81,Perf_Batch!E82)</f>
        <v>24.546216389096</v>
      </c>
      <c r="V83" s="96" t="n">
        <f aca="false">MAX(Perf_Batch_Prod!V80,Perf_Batch!F81,Perf_Batch!F82)</f>
        <v>0.43313842049109</v>
      </c>
      <c r="W83" s="96" t="n">
        <f aca="false">MAX(Perf_Batch_Prod!W80,Perf_Batch!G81,Perf_Batch!G82)</f>
        <v>1.49138995731203</v>
      </c>
      <c r="X83" s="96" t="n">
        <f aca="false">MAX(Perf_Batch_Prod!X80,Perf_Batch!H81,Perf_Batch!H82)</f>
        <v>5.82923546808251</v>
      </c>
      <c r="Y83" s="96" t="n">
        <f aca="false">MAX(Perf_Batch_Prod!Y80,Perf_Batch!I81,Perf_Batch!I82)</f>
        <v>0.28875894699406</v>
      </c>
      <c r="Z83" s="96" t="n">
        <f aca="false">MAX(Perf_Batch_Prod!Z80,Perf_Batch!J81,Perf_Batch!J82)</f>
        <v>0.994259971541353</v>
      </c>
      <c r="AA83" s="96" t="n">
        <f aca="false">MAX(Perf_Batch_Prod!AA80,Perf_Batch!K81,Perf_Batch!K82)</f>
        <v>3.88615697872167</v>
      </c>
      <c r="AB83" s="96" t="n">
        <f aca="false">MAX(Perf_Batch_Prod!AB80,Perf_Batch!L81,Perf_Batch!L82)</f>
        <v>0.165005112568034</v>
      </c>
      <c r="AC83" s="96" t="n">
        <f aca="false">MAX(Perf_Batch_Prod!AC80,Perf_Batch!M81,Perf_Batch!M82)</f>
        <v>0.568148555166487</v>
      </c>
      <c r="AD83" s="96" t="n">
        <f aca="false">MAX(Perf_Batch_Prod!AD80,Perf_Batch!N81,Perf_Batch!N82)</f>
        <v>2.2206611306981</v>
      </c>
      <c r="AE83" s="96" t="n">
        <f aca="false">MAX(Perf_Batch_Prod!AE80,Perf_Batch!O81,Perf_Batch!O82)</f>
        <v>0.0618769172130129</v>
      </c>
      <c r="AF83" s="96" t="n">
        <f aca="false">MAX(Perf_Batch_Prod!AF80,Perf_Batch!P81,Perf_Batch!P82)</f>
        <v>0.213055708187433</v>
      </c>
      <c r="AG83" s="96" t="n">
        <f aca="false">MAX(Perf_Batch_Prod!AG80,Perf_Batch!Q81,Perf_Batch!Q82)</f>
        <v>0.832747924011788</v>
      </c>
    </row>
    <row r="85" customFormat="false" ht="15" hidden="false" customHeight="false" outlineLevel="0" collapsed="false">
      <c r="A85" s="62" t="s">
        <v>916</v>
      </c>
      <c r="B85" s="74" t="s">
        <v>2723</v>
      </c>
      <c r="C85" s="98" t="n">
        <f aca="false">(1000*Perf_Batch!C49/Perf_Batch!C41-Perf_Batch_Prod!C79)/Perf_Batch_Prod!C83</f>
        <v>51.5671552336869</v>
      </c>
      <c r="D85" s="98" t="n">
        <f aca="false">(1000*Perf_Batch!D49/Perf_Batch!D41-Perf_Batch_Prod!D79)/Perf_Batch_Prod!D83</f>
        <v>13.2710816848368</v>
      </c>
      <c r="E85" s="98" t="n">
        <f aca="false">(1000*Perf_Batch!E49/Perf_Batch!E41-Perf_Batch_Prod!E79)/Perf_Batch_Prod!E83</f>
        <v>2.94840744221991</v>
      </c>
      <c r="F85" s="98" t="n">
        <f aca="false">(1000*Perf_Batch!F49/Perf_Batch!F41-Perf_Batch_Prod!F79)/Perf_Batch_Prod!F83</f>
        <v>228.893657766253</v>
      </c>
      <c r="G85" s="98" t="n">
        <f aca="false">(1000*Perf_Batch!G49/Perf_Batch!G41-Perf_Batch_Prod!G79)/Perf_Batch_Prod!G83</f>
        <v>61.8427897296822</v>
      </c>
      <c r="H85" s="98" t="n">
        <f aca="false">(1000*Perf_Batch!H49/Perf_Batch!H41-Perf_Batch_Prod!H79)/Perf_Batch_Prod!H83</f>
        <v>13.9809826121038</v>
      </c>
      <c r="I85" s="98" t="n">
        <f aca="false">(1000*Perf_Batch!I49/Perf_Batch!I41-Perf_Batch_Prod!I79)/Perf_Batch_Prod!I83</f>
        <v>343.34048664938</v>
      </c>
      <c r="J85" s="98" t="n">
        <f aca="false">(1000*Perf_Batch!J49/Perf_Batch!J41-Perf_Batch_Prod!J79)/Perf_Batch_Prod!J83</f>
        <v>92.7641845945234</v>
      </c>
      <c r="K85" s="98" t="n">
        <f aca="false">(1000*Perf_Batch!K49/Perf_Batch!K41-Perf_Batch_Prod!K79)/Perf_Batch_Prod!K83</f>
        <v>20.1889417884203</v>
      </c>
      <c r="L85" s="98" t="n">
        <f aca="false">(1000*Perf_Batch!L49/Perf_Batch!L41-Perf_Batch_Prod!L79)/Perf_Batch_Prod!L83</f>
        <v>605.070161198981</v>
      </c>
      <c r="M85" s="98" t="n">
        <f aca="false">(1000*Perf_Batch!M49/Perf_Batch!M41-Perf_Batch_Prod!M79)/Perf_Batch_Prod!M83</f>
        <v>168.055171343245</v>
      </c>
      <c r="N85" s="98" t="n">
        <f aca="false">(1000*Perf_Batch!N49/Perf_Batch!N41-Perf_Batch_Prod!N79)/Perf_Batch_Prod!N83</f>
        <v>38.9393642588889</v>
      </c>
      <c r="O85" s="98" t="n">
        <f aca="false">(1000*Perf_Batch!O49/Perf_Batch!O41-Perf_Batch_Prod!O79)/Perf_Batch_Prod!O83</f>
        <v>1616.58310875328</v>
      </c>
      <c r="P85" s="98" t="n">
        <f aca="false">(1000*Perf_Batch!P49/Perf_Batch!P41-Perf_Batch_Prod!P79)/Perf_Batch_Prod!P83</f>
        <v>452.600916401853</v>
      </c>
      <c r="Q85" s="98" t="n">
        <f aca="false">(1000*Perf_Batch!Q49/Perf_Batch!Q41-Perf_Batch_Prod!Q79)/Perf_Batch_Prod!Q83</f>
        <v>106.664376764942</v>
      </c>
      <c r="S85" s="98" t="n">
        <f aca="false">(1000*Perf_Batch!C49/Perf_Batch!C41-Perf_Batch_Prod!S79)/Perf_Batch_Prod!S83</f>
        <v>61.743328217719</v>
      </c>
      <c r="T85" s="98" t="n">
        <f aca="false">(1000*Perf_Batch!D49/Perf_Batch!D41-Perf_Batch_Prod!T79)/Perf_Batch_Prod!T83</f>
        <v>16.0478526859987</v>
      </c>
      <c r="U85" s="98" t="n">
        <f aca="false">(1000*Perf_Batch!E49/Perf_Batch!E41-Perf_Batch_Prod!U79)/Perf_Batch_Prod!U83</f>
        <v>3.6477512261563</v>
      </c>
      <c r="V85" s="98" t="n">
        <f aca="false">(1000*Perf_Batch!F49/Perf_Batch!F41-Perf_Batch_Prod!V79)/Perf_Batch_Prod!V83</f>
        <v>272.307505014644</v>
      </c>
      <c r="W85" s="98" t="n">
        <f aca="false">(1000*Perf_Batch!G49/Perf_Batch!G41-Perf_Batch_Prod!W79)/Perf_Batch_Prod!W83</f>
        <v>73.9768604853229</v>
      </c>
      <c r="X85" s="98" t="n">
        <f aca="false">(1000*Perf_Batch!H49/Perf_Batch!H41-Perf_Batch_Prod!X79)/Perf_Batch_Prod!X83</f>
        <v>16.9508160062901</v>
      </c>
      <c r="Y85" s="98" t="n">
        <f aca="false">(1000*Perf_Batch!I49/Perf_Batch!I41-Perf_Batch_Prod!Y79)/Perf_Batch_Prod!Y83</f>
        <v>408.461257521966</v>
      </c>
      <c r="Z85" s="98" t="n">
        <f aca="false">(1000*Perf_Batch!J49/Perf_Batch!J41-Perf_Batch_Prod!Z79)/Perf_Batch_Prod!Z83</f>
        <v>110.965290727984</v>
      </c>
      <c r="AA85" s="98" t="n">
        <f aca="false">(1000*Perf_Batch!K49/Perf_Batch!K41-Perf_Batch_Prod!AA79)/Perf_Batch_Prod!AA83</f>
        <v>24.5055979744523</v>
      </c>
      <c r="AB85" s="98" t="n">
        <f aca="false">(1000*Perf_Batch!L49/Perf_Batch!L41-Perf_Batch_Prod!AB79)/Perf_Batch_Prod!AB83</f>
        <v>719.7769766194</v>
      </c>
      <c r="AC85" s="98" t="n">
        <f aca="false">(1000*Perf_Batch!M49/Perf_Batch!M41-Perf_Batch_Prod!AC79)/Perf_Batch_Prod!AC83</f>
        <v>200.916139130242</v>
      </c>
      <c r="AD85" s="98" t="n">
        <f aca="false">(1000*Perf_Batch!N49/Perf_Batch!N41-Perf_Batch_Prod!AD79)/Perf_Batch_Prod!AD83</f>
        <v>47.1303448425309</v>
      </c>
      <c r="AE85" s="98" t="n">
        <f aca="false">(1000*Perf_Batch!O49/Perf_Batch!O41-Perf_Batch_Prod!AE79)/Perf_Batch_Prod!AE83</f>
        <v>1923.00842261957</v>
      </c>
      <c r="AF85" s="98" t="n">
        <f aca="false">(1000*Perf_Batch!P49/Perf_Batch!P41-Perf_Batch_Prod!AF79)/Perf_Batch_Prod!AF83</f>
        <v>541.016127272645</v>
      </c>
      <c r="AG85" s="98" t="n">
        <f aca="false">(1000*Perf_Batch!Q49/Perf_Batch!Q41-Perf_Batch_Prod!AG79)/Perf_Batch_Prod!AG83</f>
        <v>129.005710256048</v>
      </c>
    </row>
    <row r="87" customFormat="false" ht="15" hidden="false" customHeight="false" outlineLevel="0" collapsed="false">
      <c r="A87" s="61" t="s">
        <v>918</v>
      </c>
      <c r="B87" s="74" t="s">
        <v>2723</v>
      </c>
      <c r="C87" s="164" t="n">
        <f aca="false">MAX(0,MIN(Perf_Batch_Prod!C85,Perf_Batch!C86))</f>
        <v>51.5671552336869</v>
      </c>
      <c r="D87" s="164" t="n">
        <f aca="false">MAX(0,MIN(Perf_Batch_Prod!D85,Perf_Batch!D86))</f>
        <v>13.2710816848368</v>
      </c>
      <c r="E87" s="164" t="n">
        <f aca="false">MAX(0,MIN(Perf_Batch_Prod!E85,Perf_Batch!E86))</f>
        <v>2.94840744221991</v>
      </c>
      <c r="F87" s="164" t="n">
        <f aca="false">MAX(0,MIN(Perf_Batch_Prod!F85,Perf_Batch!F86))</f>
        <v>228.893657766253</v>
      </c>
      <c r="G87" s="164" t="n">
        <f aca="false">MAX(0,MIN(Perf_Batch_Prod!G85,Perf_Batch!G86))</f>
        <v>61.8427897296822</v>
      </c>
      <c r="H87" s="164" t="n">
        <f aca="false">MAX(0,MIN(Perf_Batch_Prod!H85,Perf_Batch!H86))</f>
        <v>13.9809826121038</v>
      </c>
      <c r="I87" s="164" t="n">
        <f aca="false">MAX(0,MIN(Perf_Batch_Prod!I85,Perf_Batch!I86))</f>
        <v>343.34048664938</v>
      </c>
      <c r="J87" s="164" t="n">
        <f aca="false">MAX(0,MIN(Perf_Batch_Prod!J85,Perf_Batch!J86))</f>
        <v>92.7641845945234</v>
      </c>
      <c r="K87" s="164" t="n">
        <f aca="false">MAX(0,MIN(Perf_Batch_Prod!K85,Perf_Batch!K86))</f>
        <v>20.1889417884203</v>
      </c>
      <c r="L87" s="164" t="n">
        <f aca="false">MAX(0,MIN(Perf_Batch_Prod!L85,Perf_Batch!L86))</f>
        <v>605.070161198981</v>
      </c>
      <c r="M87" s="164" t="n">
        <f aca="false">MAX(0,MIN(Perf_Batch_Prod!M85,Perf_Batch!M86))</f>
        <v>168.055171343245</v>
      </c>
      <c r="N87" s="164" t="n">
        <f aca="false">MAX(0,MIN(Perf_Batch_Prod!N85,Perf_Batch!N86))</f>
        <v>38.9393642588889</v>
      </c>
      <c r="O87" s="164" t="n">
        <f aca="false">MAX(0,MIN(Perf_Batch_Prod!O85,Perf_Batch!O86))</f>
        <v>1616.58310875328</v>
      </c>
      <c r="P87" s="164" t="n">
        <f aca="false">MAX(0,MIN(Perf_Batch_Prod!P85,Perf_Batch!P86))</f>
        <v>452.600916401853</v>
      </c>
      <c r="Q87" s="164" t="n">
        <f aca="false">MAX(0,MIN(Perf_Batch_Prod!Q85,Perf_Batch!Q86))</f>
        <v>106.664376764942</v>
      </c>
      <c r="S87" s="164" t="n">
        <f aca="false">MAX(0,MIN(Perf_Batch_Prod!S85,Perf_Batch!C86))</f>
        <v>61.743328217719</v>
      </c>
      <c r="T87" s="164" t="n">
        <f aca="false">MAX(0,MIN(Perf_Batch_Prod!T85,Perf_Batch!D86))</f>
        <v>16.0478526859987</v>
      </c>
      <c r="U87" s="164" t="n">
        <f aca="false">MAX(0,MIN(Perf_Batch_Prod!U85,Perf_Batch!E86))</f>
        <v>3.6477512261563</v>
      </c>
      <c r="V87" s="164" t="n">
        <f aca="false">MAX(0,MIN(Perf_Batch_Prod!V85,Perf_Batch!F86))</f>
        <v>272.307505014644</v>
      </c>
      <c r="W87" s="164" t="n">
        <f aca="false">MAX(0,MIN(Perf_Batch_Prod!W85,Perf_Batch!G86))</f>
        <v>73.9768604853229</v>
      </c>
      <c r="X87" s="164" t="n">
        <f aca="false">MAX(0,MIN(Perf_Batch_Prod!X85,Perf_Batch!H86))</f>
        <v>16.9508160062901</v>
      </c>
      <c r="Y87" s="164" t="n">
        <f aca="false">MAX(0,MIN(Perf_Batch_Prod!Y85,Perf_Batch!I86))</f>
        <v>408.461257521966</v>
      </c>
      <c r="Z87" s="164" t="n">
        <f aca="false">MAX(0,MIN(Perf_Batch_Prod!Z85,Perf_Batch!J86))</f>
        <v>110.965290727984</v>
      </c>
      <c r="AA87" s="164" t="n">
        <f aca="false">MAX(0,MIN(Perf_Batch_Prod!AA85,Perf_Batch!K86))</f>
        <v>24.5055979744523</v>
      </c>
      <c r="AB87" s="164" t="n">
        <f aca="false">MAX(0,MIN(Perf_Batch_Prod!AB85,Perf_Batch!L86))</f>
        <v>719.7769766194</v>
      </c>
      <c r="AC87" s="164" t="n">
        <f aca="false">MAX(0,MIN(Perf_Batch_Prod!AC85,Perf_Batch!M86))</f>
        <v>200.916139130242</v>
      </c>
      <c r="AD87" s="164" t="n">
        <f aca="false">MAX(0,MIN(Perf_Batch_Prod!AD85,Perf_Batch!N86))</f>
        <v>47.1303448425309</v>
      </c>
      <c r="AE87" s="164" t="n">
        <f aca="false">MAX(0,MIN(Perf_Batch_Prod!AE85,Perf_Batch!O86))</f>
        <v>1923.00842261957</v>
      </c>
      <c r="AF87" s="164" t="n">
        <f aca="false">MAX(0,MIN(Perf_Batch_Prod!AF85,Perf_Batch!P86))</f>
        <v>541.016127272645</v>
      </c>
      <c r="AG87" s="164" t="n">
        <f aca="false">MAX(0,MIN(Perf_Batch_Prod!AG85,Perf_Batch!Q86))</f>
        <v>129.005710256048</v>
      </c>
    </row>
    <row r="88" customFormat="false" ht="15" hidden="false" customHeight="false" outlineLevel="0" collapsed="false">
      <c r="A88" s="62" t="s">
        <v>919</v>
      </c>
      <c r="B88" s="59" t="s">
        <v>389</v>
      </c>
      <c r="C88" s="171" t="n">
        <f aca="false">IF(Perf_Batch_Prod!C87&gt;0,Perf_Batch_Prod!C87*Perf_Batch!C49/((Perf_Batch_Prod!C79+Perf_Batch_Prod!C87*Perf_Batch_Prod!C83)/1000),0)</f>
        <v>1031.34310467374</v>
      </c>
      <c r="D88" s="171" t="n">
        <f aca="false">IF(Perf_Batch_Prod!D87&gt;0,Perf_Batch_Prod!D87*Perf_Batch!D49/((Perf_Batch_Prod!D79+Perf_Batch_Prod!D87*Perf_Batch_Prod!D83)/1000),0)</f>
        <v>265.421633696737</v>
      </c>
      <c r="E88" s="171" t="n">
        <f aca="false">IF(Perf_Batch_Prod!E87&gt;0,Perf_Batch_Prod!E87*Perf_Batch!E49/((Perf_Batch_Prod!E79+Perf_Batch_Prod!E87*Perf_Batch_Prod!E83)/1000),0)</f>
        <v>58.9681488443982</v>
      </c>
      <c r="F88" s="171" t="n">
        <f aca="false">IF(Perf_Batch_Prod!F87&gt;0,Perf_Batch_Prod!F87*Perf_Batch!F49/((Perf_Batch_Prod!F79+Perf_Batch_Prod!F87*Perf_Batch_Prod!F83)/1000),0)</f>
        <v>4577.87315532506</v>
      </c>
      <c r="G88" s="171" t="n">
        <f aca="false">IF(Perf_Batch_Prod!G87&gt;0,Perf_Batch_Prod!G87*Perf_Batch!G49/((Perf_Batch_Prod!G79+Perf_Batch_Prod!G87*Perf_Batch_Prod!G83)/1000),0)</f>
        <v>1236.85579459364</v>
      </c>
      <c r="H88" s="171" t="n">
        <f aca="false">IF(Perf_Batch_Prod!H87&gt;0,Perf_Batch_Prod!H87*Perf_Batch!H49/((Perf_Batch_Prod!H79+Perf_Batch_Prod!H87*Perf_Batch_Prod!H83)/1000),0)</f>
        <v>279.619652242076</v>
      </c>
      <c r="I88" s="171" t="n">
        <f aca="false">IF(Perf_Batch_Prod!I87&gt;0,Perf_Batch_Prod!I87*Perf_Batch!I49/((Perf_Batch_Prod!I79+Perf_Batch_Prod!I87*Perf_Batch_Prod!I83)/1000),0)</f>
        <v>6866.8097329876</v>
      </c>
      <c r="J88" s="171" t="n">
        <f aca="false">IF(Perf_Batch_Prod!J87&gt;0,Perf_Batch_Prod!J87*Perf_Batch!J49/((Perf_Batch_Prod!J79+Perf_Batch_Prod!J87*Perf_Batch_Prod!J83)/1000),0)</f>
        <v>1855.28369189047</v>
      </c>
      <c r="K88" s="171" t="n">
        <f aca="false">IF(Perf_Batch_Prod!K87&gt;0,Perf_Batch_Prod!K87*Perf_Batch!K49/((Perf_Batch_Prod!K79+Perf_Batch_Prod!K87*Perf_Batch_Prod!K83)/1000),0)</f>
        <v>403.778835768406</v>
      </c>
      <c r="L88" s="171" t="n">
        <f aca="false">IF(Perf_Batch_Prod!L87&gt;0,Perf_Batch_Prod!L87*Perf_Batch!L49/((Perf_Batch_Prod!L79+Perf_Batch_Prod!L87*Perf_Batch_Prod!L83)/1000),0)</f>
        <v>12101.4032239796</v>
      </c>
      <c r="M88" s="171" t="n">
        <f aca="false">IF(Perf_Batch_Prod!M87&gt;0,Perf_Batch_Prod!M87*Perf_Batch!M49/((Perf_Batch_Prod!M79+Perf_Batch_Prod!M87*Perf_Batch_Prod!M83)/1000),0)</f>
        <v>3361.1034268649</v>
      </c>
      <c r="N88" s="171" t="n">
        <f aca="false">IF(Perf_Batch_Prod!N87&gt;0,Perf_Batch_Prod!N87*Perf_Batch!N49/((Perf_Batch_Prod!N79+Perf_Batch_Prod!N87*Perf_Batch_Prod!N83)/1000),0)</f>
        <v>778.787285177779</v>
      </c>
      <c r="O88" s="171" t="n">
        <f aca="false">IF(Perf_Batch_Prod!O87&gt;0,Perf_Batch_Prod!O87*Perf_Batch!O49/((Perf_Batch_Prod!O79+Perf_Batch_Prod!O87*Perf_Batch_Prod!O83)/1000),0)</f>
        <v>32331.6621750656</v>
      </c>
      <c r="P88" s="171" t="n">
        <f aca="false">IF(Perf_Batch_Prod!P87&gt;0,Perf_Batch_Prod!P87*Perf_Batch!P49/((Perf_Batch_Prod!P79+Perf_Batch_Prod!P87*Perf_Batch_Prod!P83)/1000),0)</f>
        <v>9052.01832803705</v>
      </c>
      <c r="Q88" s="171" t="n">
        <f aca="false">IF(Perf_Batch_Prod!Q87&gt;0,Perf_Batch_Prod!Q87*Perf_Batch!Q49/((Perf_Batch_Prod!Q79+Perf_Batch_Prod!Q87*Perf_Batch_Prod!Q83)/1000),0)</f>
        <v>2133.28753529883</v>
      </c>
      <c r="S88" s="171" t="n">
        <f aca="false">IF(Perf_Batch_Prod!S87&gt;0,Perf_Batch_Prod!S87*Perf_Batch!C49/((Perf_Batch_Prod!S79+Perf_Batch_Prod!S87*Perf_Batch_Prod!S83)/1000),0)</f>
        <v>1234.86656435438</v>
      </c>
      <c r="T88" s="171" t="n">
        <f aca="false">IF(Perf_Batch_Prod!T87&gt;0,Perf_Batch_Prod!T87*Perf_Batch!D49/((Perf_Batch_Prod!T79+Perf_Batch_Prod!T87*Perf_Batch_Prod!T83)/1000),0)</f>
        <v>320.957053719974</v>
      </c>
      <c r="U88" s="171" t="n">
        <f aca="false">IF(Perf_Batch_Prod!U87&gt;0,Perf_Batch_Prod!U87*Perf_Batch!E49/((Perf_Batch_Prod!U79+Perf_Batch_Prod!U87*Perf_Batch_Prod!U83)/1000),0)</f>
        <v>72.9550245231261</v>
      </c>
      <c r="V88" s="171" t="n">
        <f aca="false">IF(Perf_Batch_Prod!V87&gt;0,Perf_Batch_Prod!V87*Perf_Batch!F49/((Perf_Batch_Prod!V79+Perf_Batch_Prod!V87*Perf_Batch_Prod!V83)/1000),0)</f>
        <v>5446.15010029288</v>
      </c>
      <c r="W88" s="171" t="n">
        <f aca="false">IF(Perf_Batch_Prod!W87&gt;0,Perf_Batch_Prod!W87*Perf_Batch!G49/((Perf_Batch_Prod!W79+Perf_Batch_Prod!W87*Perf_Batch_Prod!W83)/1000),0)</f>
        <v>1479.53720970646</v>
      </c>
      <c r="X88" s="171" t="n">
        <f aca="false">IF(Perf_Batch_Prod!X87&gt;0,Perf_Batch_Prod!X87*Perf_Batch!H49/((Perf_Batch_Prod!X79+Perf_Batch_Prod!X87*Perf_Batch_Prod!X83)/1000),0)</f>
        <v>339.016320125802</v>
      </c>
      <c r="Y88" s="171" t="n">
        <f aca="false">IF(Perf_Batch_Prod!Y87&gt;0,Perf_Batch_Prod!Y87*Perf_Batch!I49/((Perf_Batch_Prod!Y79+Perf_Batch_Prod!Y87*Perf_Batch_Prod!Y83)/1000),0)</f>
        <v>8169.22515043932</v>
      </c>
      <c r="Z88" s="171" t="n">
        <f aca="false">IF(Perf_Batch_Prod!Z87&gt;0,Perf_Batch_Prod!Z87*Perf_Batch!J49/((Perf_Batch_Prod!Z79+Perf_Batch_Prod!Z87*Perf_Batch_Prod!Z83)/1000),0)</f>
        <v>2219.30581455969</v>
      </c>
      <c r="AA88" s="171" t="n">
        <f aca="false">IF(Perf_Batch_Prod!AA87&gt;0,Perf_Batch_Prod!AA87*Perf_Batch!K49/((Perf_Batch_Prod!AA79+Perf_Batch_Prod!AA87*Perf_Batch_Prod!AA83)/1000),0)</f>
        <v>490.111959489046</v>
      </c>
      <c r="AB88" s="171" t="n">
        <f aca="false">IF(Perf_Batch_Prod!AB87&gt;0,Perf_Batch_Prod!AB87*Perf_Batch!L49/((Perf_Batch_Prod!AB79+Perf_Batch_Prod!AB87*Perf_Batch_Prod!AB83)/1000),0)</f>
        <v>14395.539532388</v>
      </c>
      <c r="AC88" s="171" t="n">
        <f aca="false">IF(Perf_Batch_Prod!AC87&gt;0,Perf_Batch_Prod!AC87*Perf_Batch!M49/((Perf_Batch_Prod!AC79+Perf_Batch_Prod!AC87*Perf_Batch_Prod!AC83)/1000),0)</f>
        <v>4018.32278260485</v>
      </c>
      <c r="AD88" s="171" t="n">
        <f aca="false">IF(Perf_Batch_Prod!AD87&gt;0,Perf_Batch_Prod!AD87*Perf_Batch!N49/((Perf_Batch_Prod!AD79+Perf_Batch_Prod!AD87*Perf_Batch_Prod!AD83)/1000),0)</f>
        <v>942.606896850618</v>
      </c>
      <c r="AE88" s="171" t="n">
        <f aca="false">IF(Perf_Batch_Prod!AE87&gt;0,Perf_Batch_Prod!AE87*Perf_Batch!O49/((Perf_Batch_Prod!AE79+Perf_Batch_Prod!AE87*Perf_Batch_Prod!AE83)/1000),0)</f>
        <v>38460.1684523914</v>
      </c>
      <c r="AF88" s="171" t="n">
        <f aca="false">IF(Perf_Batch_Prod!AF87&gt;0,Perf_Batch_Prod!AF87*Perf_Batch!P49/((Perf_Batch_Prod!AF79+Perf_Batch_Prod!AF87*Perf_Batch_Prod!AF83)/1000),0)</f>
        <v>10820.3225454529</v>
      </c>
      <c r="AG88" s="171" t="n">
        <f aca="false">IF(Perf_Batch_Prod!AG87&gt;0,Perf_Batch_Prod!AG87*Perf_Batch!Q49/((Perf_Batch_Prod!AG79+Perf_Batch_Prod!AG87*Perf_Batch_Prod!AG83)/1000),0)</f>
        <v>2580.11420512097</v>
      </c>
    </row>
    <row r="101" customFormat="false" ht="15" hidden="false" customHeight="false" outlineLevel="0" collapsed="false">
      <c r="A101" s="61" t="s">
        <v>934</v>
      </c>
      <c r="B101" s="59" t="s">
        <v>935</v>
      </c>
      <c r="C101" s="98" t="n">
        <f aca="false">1000000/Perf_Batch_Prod!C75</f>
        <v>128.099029470878</v>
      </c>
      <c r="D101" s="98" t="n">
        <f aca="false">1000000/Perf_Batch_Prod!D75</f>
        <v>521.520531911449</v>
      </c>
      <c r="E101" s="98" t="n">
        <f aca="false">1000000/Perf_Batch_Prod!E75</f>
        <v>1587.12630464522</v>
      </c>
      <c r="F101" s="98" t="n">
        <f aca="false">1000000/Perf_Batch_Prod!F75</f>
        <v>12.6689940146698</v>
      </c>
      <c r="G101" s="98" t="n">
        <f aca="false">1000000/Perf_Batch_Prod!G75</f>
        <v>51.5783806060424</v>
      </c>
      <c r="H101" s="98" t="n">
        <f aca="false">1000000/Perf_Batch_Prod!H75</f>
        <v>156.966791529412</v>
      </c>
      <c r="I101" s="98" t="n">
        <f aca="false">1000000/Perf_Batch_Prod!I75</f>
        <v>8.44599600977987</v>
      </c>
      <c r="J101" s="98" t="n">
        <f aca="false">1000000/Perf_Batch_Prod!J75</f>
        <v>34.3855870706949</v>
      </c>
      <c r="K101" s="98" t="n">
        <f aca="false">1000000/Perf_Batch_Prod!K75</f>
        <v>104.644527686275</v>
      </c>
      <c r="L101" s="98" t="n">
        <f aca="false">1000000/Perf_Batch_Prod!L75</f>
        <v>3.61971257561994</v>
      </c>
      <c r="M101" s="98" t="n">
        <f aca="false">1000000/Perf_Batch_Prod!M75</f>
        <v>14.736680173155</v>
      </c>
      <c r="N101" s="98" t="n">
        <f aca="false">1000000/Perf_Batch_Prod!N75</f>
        <v>44.8476547226891</v>
      </c>
      <c r="O101" s="98" t="n">
        <f aca="false">1000000/Perf_Batch_Prod!O75</f>
        <v>1.80985628780997</v>
      </c>
      <c r="P101" s="98" t="n">
        <f aca="false">1000000/Perf_Batch_Prod!P75</f>
        <v>7.36834008657748</v>
      </c>
      <c r="Q101" s="98" t="n">
        <f aca="false">1000000/Perf_Batch_Prod!Q75</f>
        <v>22.4238273613445</v>
      </c>
      <c r="S101" s="98" t="n">
        <f aca="false">1000000/Perf_Batch_Prod!S75</f>
        <v>108.884175050246</v>
      </c>
      <c r="T101" s="98" t="n">
        <f aca="false">1000000/Perf_Batch_Prod!T75</f>
        <v>443.292452124732</v>
      </c>
      <c r="U101" s="98" t="n">
        <f aca="false">1000000/Perf_Batch_Prod!U75</f>
        <v>1349.05735894843</v>
      </c>
      <c r="V101" s="98" t="n">
        <f aca="false">1000000/Perf_Batch_Prod!V75</f>
        <v>10.7686449124693</v>
      </c>
      <c r="W101" s="98" t="n">
        <f aca="false">1000000/Perf_Batch_Prod!W75</f>
        <v>43.841623515136</v>
      </c>
      <c r="X101" s="98" t="n">
        <f aca="false">1000000/Perf_Batch_Prod!X75</f>
        <v>133.4217728</v>
      </c>
      <c r="Y101" s="98" t="n">
        <f aca="false">1000000/Perf_Batch_Prod!Y75</f>
        <v>7.17909660831289</v>
      </c>
      <c r="Z101" s="98" t="n">
        <f aca="false">1000000/Perf_Batch_Prod!Z75</f>
        <v>29.2277490100907</v>
      </c>
      <c r="AA101" s="98" t="n">
        <f aca="false">1000000/Perf_Batch_Prod!AA75</f>
        <v>88.9478485333333</v>
      </c>
      <c r="AB101" s="98" t="n">
        <f aca="false">1000000/Perf_Batch_Prod!AB75</f>
        <v>3.07675568927695</v>
      </c>
      <c r="AC101" s="98" t="n">
        <f aca="false">1000000/Perf_Batch_Prod!AC75</f>
        <v>12.5261781471817</v>
      </c>
      <c r="AD101" s="98" t="n">
        <f aca="false">1000000/Perf_Batch_Prod!AD75</f>
        <v>38.1205065142857</v>
      </c>
      <c r="AE101" s="98" t="n">
        <f aca="false">1000000/Perf_Batch_Prod!AE75</f>
        <v>1.53837784463848</v>
      </c>
      <c r="AF101" s="98" t="n">
        <f aca="false">1000000/Perf_Batch_Prod!AF75</f>
        <v>6.26308907359086</v>
      </c>
      <c r="AG101" s="98" t="n">
        <f aca="false">1000000/Perf_Batch_Prod!AG75</f>
        <v>19.0602532571429</v>
      </c>
    </row>
    <row r="103" customFormat="false" ht="15" hidden="false" customHeight="false" outlineLevel="0" collapsed="false">
      <c r="A103" s="62" t="s">
        <v>937</v>
      </c>
      <c r="B103" s="59" t="s">
        <v>935</v>
      </c>
      <c r="C103" s="98" t="n">
        <f aca="false">IF(ISNUMBER(Perf_Batch_Prod!C88),IF(Perf_Batch_Prod!C88&gt;0,IF(Perf_Batch_Prod!C77="是",1000000/Perf_Batch_Prod!C88,"TTFT 不可達"),"SLO 不可達"),"SLO 不可達")</f>
        <v>969.609430138526</v>
      </c>
      <c r="D103" s="98" t="n">
        <f aca="false">IF(ISNUMBER(Perf_Batch_Prod!D88),IF(Perf_Batch_Prod!D88&gt;0,IF(Perf_Batch_Prod!D77="是",1000000/Perf_Batch_Prod!D88,"TTFT 不可達"),"SLO 不可達"),"SLO 不可達")</f>
        <v>3767.59040351086</v>
      </c>
      <c r="E103" s="98" t="n">
        <f aca="false">IF(ISNUMBER(Perf_Batch_Prod!E88),IF(Perf_Batch_Prod!E88&gt;0,IF(Perf_Batch_Prod!E77="是",1000000/Perf_Batch_Prod!E88,"TTFT 不可達"),"SLO 不可達"),"SLO 不可達")</f>
        <v>16958.3074862795</v>
      </c>
      <c r="F103" s="98" t="n">
        <f aca="false">IF(ISNUMBER(Perf_Batch_Prod!F88),IF(Perf_Batch_Prod!F88&gt;0,IF(Perf_Batch_Prod!F77="是",1000000/Perf_Batch_Prod!F88,"TTFT 不可達"),"SLO 不可達"),"SLO 不可達")</f>
        <v>218.442050723223</v>
      </c>
      <c r="G103" s="98" t="n">
        <f aca="false">IF(ISNUMBER(Perf_Batch_Prod!G88),IF(Perf_Batch_Prod!G88&gt;0,IF(Perf_Batch_Prod!G77="是",1000000/Perf_Batch_Prod!G88,"TTFT 不可達"),"SLO 不可達"),"SLO 不可達")</f>
        <v>808.501689825966</v>
      </c>
      <c r="H103" s="98" t="n">
        <f aca="false">IF(ISNUMBER(Perf_Batch_Prod!H88),IF(Perf_Batch_Prod!H88&gt;0,IF(Perf_Batch_Prod!H77="是",1000000/Perf_Batch_Prod!H88,"TTFT 不可達"),"SLO 不可達"),"SLO 不可達")</f>
        <v>3576.28654488944</v>
      </c>
      <c r="I103" s="98" t="n">
        <f aca="false">IF(ISNUMBER(Perf_Batch_Prod!I88),IF(Perf_Batch_Prod!I88&gt;0,IF(Perf_Batch_Prod!I77="是",1000000/Perf_Batch_Prod!I88,"TTFT 不可達"),"SLO 不可達"),"SLO 不可達")</f>
        <v>145.628033815482</v>
      </c>
      <c r="J103" s="98" t="n">
        <f aca="false">IF(ISNUMBER(Perf_Batch_Prod!J88),IF(Perf_Batch_Prod!J88&gt;0,IF(Perf_Batch_Prod!J77="是",1000000/Perf_Batch_Prod!J88,"TTFT 不可達"),"SLO 不可達"),"SLO 不可達")</f>
        <v>539.001126550644</v>
      </c>
      <c r="K103" s="98" t="n">
        <f aca="false">IF(ISNUMBER(Perf_Batch_Prod!K88),IF(Perf_Batch_Prod!K88&gt;0,IF(Perf_Batch_Prod!K77="是",1000000/Perf_Batch_Prod!K88,"TTFT 不可達"),"SLO 不可達"),"SLO 不可達")</f>
        <v>2476.60330709747</v>
      </c>
      <c r="L103" s="98" t="n">
        <f aca="false">IF(ISNUMBER(Perf_Batch_Prod!L88),IF(Perf_Batch_Prod!L88&gt;0,IF(Perf_Batch_Prod!L77="是",1000000/Perf_Batch_Prod!L88,"TTFT 不可達"),"SLO 不可達"),"SLO 不可達")</f>
        <v>82.6350450019253</v>
      </c>
      <c r="M103" s="98" t="n">
        <f aca="false">IF(ISNUMBER(Perf_Batch_Prod!M88),IF(Perf_Batch_Prod!M88&gt;0,IF(Perf_Batch_Prod!M77="是",1000000/Perf_Batch_Prod!M88,"TTFT 不可達"),"SLO 不可達"),"SLO 不可達")</f>
        <v>297.521341356864</v>
      </c>
      <c r="N103" s="98" t="n">
        <f aca="false">IF(ISNUMBER(Perf_Batch_Prod!N88),IF(Perf_Batch_Prod!N88&gt;0,IF(Perf_Batch_Prod!N77="是",1000000/Perf_Batch_Prod!N88,"TTFT 不可達"),"SLO 不可達"),"SLO 不可達")</f>
        <v>1284.04767133778</v>
      </c>
      <c r="O103" s="98" t="n">
        <f aca="false">IF(ISNUMBER(Perf_Batch_Prod!O88),IF(Perf_Batch_Prod!O88&gt;0,IF(Perf_Batch_Prod!O77="是",1000000/Perf_Batch_Prod!O88,"TTFT 不可達"),"SLO 不可達"),"SLO 不可達")</f>
        <v>30.9294336488276</v>
      </c>
      <c r="P103" s="98" t="n">
        <f aca="false">IF(ISNUMBER(Perf_Batch_Prod!P88),IF(Perf_Batch_Prod!P88&gt;0,IF(Perf_Batch_Prod!P77="是",1000000/Perf_Batch_Prod!P88,"TTFT 不可達"),"SLO 不可達"),"SLO 不可達")</f>
        <v>110.472600005976</v>
      </c>
      <c r="Q103" s="98" t="n">
        <f aca="false">IF(ISNUMBER(Perf_Batch_Prod!Q88),IF(Perf_Batch_Prod!Q88&gt;0,IF(Perf_Batch_Prod!Q77="是",1000000/Perf_Batch_Prod!Q88,"TTFT 不可達"),"SLO 不可達"),"SLO 不可達")</f>
        <v>468.760063260726</v>
      </c>
      <c r="S103" s="98" t="n">
        <f aca="false">IF(ISNUMBER(Perf_Batch_Prod!S88),IF(Perf_Batch_Prod!S88&gt;0,IF(Perf_Batch_Prod!S77="是",1000000/Perf_Batch_Prod!S88,"TTFT 不可達"),"SLO 不可達"),"SLO 不可達")</f>
        <v>809.804094519983</v>
      </c>
      <c r="T103" s="98" t="n">
        <f aca="false">IF(ISNUMBER(Perf_Batch_Prod!T88),IF(Perf_Batch_Prod!T88&gt;0,IF(Perf_Batch_Prod!T77="是",1000000/Perf_Batch_Prod!T88,"TTFT 不可達"),"SLO 不可達"),"SLO 不可達")</f>
        <v>3115.68164154595</v>
      </c>
      <c r="U103" s="98" t="n">
        <f aca="false">IF(ISNUMBER(Perf_Batch_Prod!U88),IF(Perf_Batch_Prod!U88&gt;0,IF(Perf_Batch_Prod!U77="是",1000000/Perf_Batch_Prod!U88,"TTFT 不可達"),"SLO 不可達"),"SLO 不可達")</f>
        <v>13707.0750991662</v>
      </c>
      <c r="V103" s="98" t="n">
        <f aca="false">IF(ISNUMBER(Perf_Batch_Prod!V88),IF(Perf_Batch_Prod!V88&gt;0,IF(Perf_Batch_Prod!V77="是",1000000/Perf_Batch_Prod!V88,"TTFT 不可達"),"SLO 不可達"),"SLO 不可達")</f>
        <v>183.615945499964</v>
      </c>
      <c r="W103" s="98" t="n">
        <f aca="false">IF(ISNUMBER(Perf_Batch_Prod!W88),IF(Perf_Batch_Prod!W88&gt;0,IF(Perf_Batch_Prod!W77="是",1000000/Perf_Batch_Prod!W88,"TTFT 不可達"),"SLO 不可達"),"SLO 不可達")</f>
        <v>675.887022941722</v>
      </c>
      <c r="X103" s="98" t="n">
        <f aca="false">IF(ISNUMBER(Perf_Batch_Prod!X88),IF(Perf_Batch_Prod!X88&gt;0,IF(Perf_Batch_Prod!X77="是",1000000/Perf_Batch_Prod!X88,"TTFT 不可達"),"SLO 不可達"),"SLO 不可達")</f>
        <v>2949.71050251776</v>
      </c>
      <c r="Y103" s="98" t="n">
        <f aca="false">IF(ISNUMBER(Perf_Batch_Prod!Y88),IF(Perf_Batch_Prod!Y88&gt;0,IF(Perf_Batch_Prod!Y77="是",1000000/Perf_Batch_Prod!Y88,"TTFT 不可達"),"SLO 不可達"),"SLO 不可達")</f>
        <v>122.410630333309</v>
      </c>
      <c r="Z103" s="98" t="n">
        <f aca="false">IF(ISNUMBER(Perf_Batch_Prod!Z88),IF(Perf_Batch_Prod!Z88&gt;0,IF(Perf_Batch_Prod!Z77="是",1000000/Perf_Batch_Prod!Z88,"TTFT 不可達"),"SLO 不可達"),"SLO 不可達")</f>
        <v>450.591348627815</v>
      </c>
      <c r="AA103" s="98" t="n">
        <f aca="false">IF(ISNUMBER(Perf_Batch_Prod!AA88),IF(Perf_Batch_Prod!AA88&gt;0,IF(Perf_Batch_Prod!AA77="是",1000000/Perf_Batch_Prod!AA88,"TTFT 不可達"),"SLO 不可達"),"SLO 不可達")</f>
        <v>2040.35012947353</v>
      </c>
      <c r="AB103" s="98" t="n">
        <f aca="false">IF(ISNUMBER(Perf_Batch_Prod!AB88),IF(Perf_Batch_Prod!AB88&gt;0,IF(Perf_Batch_Prod!AB77="是",1000000/Perf_Batch_Prod!AB88,"TTFT 不可達"),"SLO 不可達"),"SLO 不可達")</f>
        <v>69.4659618522901</v>
      </c>
      <c r="AC103" s="98" t="n">
        <f aca="false">IF(ISNUMBER(Perf_Batch_Prod!AC88),IF(Perf_Batch_Prod!AC88&gt;0,IF(Perf_Batch_Prod!AC77="是",1000000/Perf_Batch_Prod!AC88,"TTFT 不可達"),"SLO 不可達"),"SLO 不可達")</f>
        <v>248.860047861003</v>
      </c>
      <c r="AD103" s="98" t="n">
        <f aca="false">IF(ISNUMBER(Perf_Batch_Prod!AD88),IF(Perf_Batch_Prod!AD88&gt;0,IF(Perf_Batch_Prod!AD77="是",1000000/Perf_Batch_Prod!AD88,"TTFT 不可達"),"SLO 不可達"),"SLO 不可達")</f>
        <v>1060.88763337202</v>
      </c>
      <c r="AE103" s="98" t="n">
        <f aca="false">IF(ISNUMBER(Perf_Batch_Prod!AE88),IF(Perf_Batch_Prod!AE88&gt;0,IF(Perf_Batch_Prod!AE77="是",1000000/Perf_Batch_Prod!AE88,"TTFT 不可達"),"SLO 不可達"),"SLO 不可達")</f>
        <v>26.0009261591734</v>
      </c>
      <c r="AF103" s="98" t="n">
        <f aca="false">IF(ISNUMBER(Perf_Batch_Prod!AF88),IF(Perf_Batch_Prod!AF88&gt;0,IF(Perf_Batch_Prod!AF77="是",1000000/Perf_Batch_Prod!AF88,"TTFT 不可達"),"SLO 不可達"),"SLO 不可達")</f>
        <v>92.4186867627377</v>
      </c>
      <c r="AG103" s="98" t="n">
        <f aca="false">IF(ISNUMBER(Perf_Batch_Prod!AG88),IF(Perf_Batch_Prod!AG88&gt;0,IF(Perf_Batch_Prod!AG77="是",1000000/Perf_Batch_Prod!AG88,"TTFT 不可達"),"SLO 不可達"),"SLO 不可達")</f>
        <v>387.579742794027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3"/>
    <col collapsed="false" customWidth="true" hidden="false" outlineLevel="0" max="33" min="19" style="0" width="13"/>
  </cols>
  <sheetData>
    <row r="1" customFormat="false" ht="20.1" hidden="false" customHeight="false" outlineLevel="0" collapsed="false">
      <c r="A1" s="58" t="s">
        <v>2727</v>
      </c>
    </row>
    <row r="2" customFormat="false" ht="15" hidden="false" customHeight="false" outlineLevel="0" collapsed="false">
      <c r="A2" s="74" t="s">
        <v>2728</v>
      </c>
    </row>
    <row r="3" customFormat="false" ht="15" hidden="false" customHeight="false" outlineLevel="0" collapsed="false">
      <c r="S3" s="60" t="s">
        <v>2722</v>
      </c>
    </row>
    <row r="4" customFormat="false" ht="15" hidden="false" customHeight="false" outlineLevel="0" collapsed="false">
      <c r="A4" s="92" t="str">
        <f aca="false">Training!A4</f>
        <v>世代</v>
      </c>
      <c r="C4" s="92" t="str">
        <f aca="false">Training!C4</f>
        <v>Hopper H100</v>
      </c>
      <c r="D4" s="92" t="str">
        <f aca="false">Training!D4</f>
        <v>Hopper H100</v>
      </c>
      <c r="E4" s="92" t="str">
        <f aca="false">Training!E4</f>
        <v>Hopper H100</v>
      </c>
      <c r="F4" s="92" t="str">
        <f aca="false">Training!F4</f>
        <v>GB200 NVL72</v>
      </c>
      <c r="G4" s="92" t="str">
        <f aca="false">Training!G4</f>
        <v>GB200 NVL72</v>
      </c>
      <c r="H4" s="92" t="str">
        <f aca="false">Training!H4</f>
        <v>GB200 NVL72</v>
      </c>
      <c r="I4" s="92" t="str">
        <f aca="false">Training!I4</f>
        <v>GB300 NVL72</v>
      </c>
      <c r="J4" s="92" t="str">
        <f aca="false">Training!J4</f>
        <v>GB300 NVL72</v>
      </c>
      <c r="K4" s="92" t="str">
        <f aca="false">Training!K4</f>
        <v>GB300 NVL72</v>
      </c>
      <c r="L4" s="92" t="str">
        <f aca="false">Training!L4</f>
        <v>VR200 NVL72</v>
      </c>
      <c r="M4" s="92" t="str">
        <f aca="false">Training!M4</f>
        <v>VR200 NVL72</v>
      </c>
      <c r="N4" s="92" t="str">
        <f aca="false">Training!N4</f>
        <v>VR200 NVL72</v>
      </c>
      <c r="O4" s="92" t="str">
        <f aca="false">Training!O4</f>
        <v>Rubin Ultra（MGX NVL 單架，72 GPU）</v>
      </c>
      <c r="P4" s="92" t="str">
        <f aca="false">Training!P4</f>
        <v>Rubin Ultra（MGX NVL 單架，72 GPU）</v>
      </c>
      <c r="Q4" s="92" t="str">
        <f aca="false">Training!Q4</f>
        <v>Rubin Ultra（MGX NVL 單架，72 GPU）</v>
      </c>
      <c r="S4" s="92" t="str">
        <f aca="false">Training!C4</f>
        <v>Hopper H100</v>
      </c>
      <c r="T4" s="92" t="str">
        <f aca="false">Training!D4</f>
        <v>Hopper H100</v>
      </c>
      <c r="U4" s="92" t="str">
        <f aca="false">Training!E4</f>
        <v>Hopper H100</v>
      </c>
      <c r="V4" s="92" t="str">
        <f aca="false">Training!F4</f>
        <v>GB200 NVL72</v>
      </c>
      <c r="W4" s="92" t="str">
        <f aca="false">Training!G4</f>
        <v>GB200 NVL72</v>
      </c>
      <c r="X4" s="92" t="str">
        <f aca="false">Training!H4</f>
        <v>GB200 NVL72</v>
      </c>
      <c r="Y4" s="92" t="str">
        <f aca="false">Training!I4</f>
        <v>GB300 NVL72</v>
      </c>
      <c r="Z4" s="92" t="str">
        <f aca="false">Training!J4</f>
        <v>GB300 NVL72</v>
      </c>
      <c r="AA4" s="92" t="str">
        <f aca="false">Training!K4</f>
        <v>GB300 NVL72</v>
      </c>
      <c r="AB4" s="92" t="str">
        <f aca="false">Training!L4</f>
        <v>VR200 NVL72</v>
      </c>
      <c r="AC4" s="92" t="str">
        <f aca="false">Training!M4</f>
        <v>VR200 NVL72</v>
      </c>
      <c r="AD4" s="92" t="str">
        <f aca="false">Training!N4</f>
        <v>VR200 NVL72</v>
      </c>
      <c r="AE4" s="92" t="str">
        <f aca="false">Training!O4</f>
        <v>Rubin Ultra（MGX NVL 單架，72 GPU）</v>
      </c>
      <c r="AF4" s="92" t="str">
        <f aca="false">Training!P4</f>
        <v>Rubin Ultra（MGX NVL 單架，72 GPU）</v>
      </c>
      <c r="AG4" s="92" t="str">
        <f aca="false">Training!Q4</f>
        <v>Rubin Ultra（MGX NVL 單架，72 GPU）</v>
      </c>
    </row>
    <row r="5" customFormat="false" ht="15" hidden="false" customHeight="false" outlineLevel="0" collapsed="false">
      <c r="A5" s="92" t="str">
        <f aca="false">Training!A5</f>
        <v>層級</v>
      </c>
      <c r="C5" s="92" t="str">
        <f aca="false">Training!C5</f>
        <v>Luna（低層）</v>
      </c>
      <c r="D5" s="92" t="str">
        <f aca="false">Training!D5</f>
        <v>Sol（中層）</v>
      </c>
      <c r="E5" s="92" t="str">
        <f aca="false">Training!E5</f>
        <v>Astra（頂層）</v>
      </c>
      <c r="F5" s="92" t="str">
        <f aca="false">Training!F5</f>
        <v>Luna（低層）</v>
      </c>
      <c r="G5" s="92" t="str">
        <f aca="false">Training!G5</f>
        <v>Sol（中層）</v>
      </c>
      <c r="H5" s="92" t="str">
        <f aca="false">Training!H5</f>
        <v>Astra（頂層）</v>
      </c>
      <c r="I5" s="92" t="str">
        <f aca="false">Training!I5</f>
        <v>Luna（低層）</v>
      </c>
      <c r="J5" s="92" t="str">
        <f aca="false">Training!J5</f>
        <v>Sol（中層）</v>
      </c>
      <c r="K5" s="92" t="str">
        <f aca="false">Training!K5</f>
        <v>Astra（頂層）</v>
      </c>
      <c r="L5" s="92" t="str">
        <f aca="false">Training!L5</f>
        <v>Luna（低層）</v>
      </c>
      <c r="M5" s="92" t="str">
        <f aca="false">Training!M5</f>
        <v>Sol（中層）</v>
      </c>
      <c r="N5" s="92" t="str">
        <f aca="false">Training!N5</f>
        <v>Astra（頂層）</v>
      </c>
      <c r="O5" s="92" t="str">
        <f aca="false">Training!O5</f>
        <v>Luna（低層）</v>
      </c>
      <c r="P5" s="92" t="str">
        <f aca="false">Training!P5</f>
        <v>Sol（中層）</v>
      </c>
      <c r="Q5" s="92" t="str">
        <f aca="false">Training!Q5</f>
        <v>Astra（頂層）</v>
      </c>
      <c r="S5" s="92" t="str">
        <f aca="false">Training!C5</f>
        <v>Luna（低層）</v>
      </c>
      <c r="T5" s="92" t="str">
        <f aca="false">Training!D5</f>
        <v>Sol（中層）</v>
      </c>
      <c r="U5" s="92" t="str">
        <f aca="false">Training!E5</f>
        <v>Astra（頂層）</v>
      </c>
      <c r="V5" s="92" t="str">
        <f aca="false">Training!F5</f>
        <v>Luna（低層）</v>
      </c>
      <c r="W5" s="92" t="str">
        <f aca="false">Training!G5</f>
        <v>Sol（中層）</v>
      </c>
      <c r="X5" s="92" t="str">
        <f aca="false">Training!H5</f>
        <v>Astra（頂層）</v>
      </c>
      <c r="Y5" s="92" t="str">
        <f aca="false">Training!I5</f>
        <v>Luna（低層）</v>
      </c>
      <c r="Z5" s="92" t="str">
        <f aca="false">Training!J5</f>
        <v>Sol（中層）</v>
      </c>
      <c r="AA5" s="92" t="str">
        <f aca="false">Training!K5</f>
        <v>Astra（頂層）</v>
      </c>
      <c r="AB5" s="92" t="str">
        <f aca="false">Training!L5</f>
        <v>Luna（低層）</v>
      </c>
      <c r="AC5" s="92" t="str">
        <f aca="false">Training!M5</f>
        <v>Sol（中層）</v>
      </c>
      <c r="AD5" s="92" t="str">
        <f aca="false">Training!N5</f>
        <v>Astra（頂層）</v>
      </c>
      <c r="AE5" s="92" t="str">
        <f aca="false">Training!O5</f>
        <v>Luna（低層）</v>
      </c>
      <c r="AF5" s="92" t="str">
        <f aca="false">Training!P5</f>
        <v>Sol（中層）</v>
      </c>
      <c r="AG5" s="92" t="str">
        <f aca="false">Training!Q5</f>
        <v>Astra（頂層）</v>
      </c>
    </row>
    <row r="6" customFormat="false" ht="15" hidden="false" customHeight="false" outlineLevel="0" collapsed="false">
      <c r="A6" s="92" t="str">
        <f aca="false">Training!A6</f>
        <v>世代索引</v>
      </c>
      <c r="C6" s="89" t="n">
        <f aca="false">Training!C6</f>
        <v>1</v>
      </c>
      <c r="D6" s="89" t="n">
        <f aca="false">Training!D6</f>
        <v>1</v>
      </c>
      <c r="E6" s="89" t="n">
        <f aca="false">Training!E6</f>
        <v>1</v>
      </c>
      <c r="F6" s="89" t="n">
        <f aca="false">Training!F6</f>
        <v>2</v>
      </c>
      <c r="G6" s="89" t="n">
        <f aca="false">Training!G6</f>
        <v>2</v>
      </c>
      <c r="H6" s="89" t="n">
        <f aca="false">Training!H6</f>
        <v>2</v>
      </c>
      <c r="I6" s="89" t="n">
        <f aca="false">Training!I6</f>
        <v>3</v>
      </c>
      <c r="J6" s="89" t="n">
        <f aca="false">Training!J6</f>
        <v>3</v>
      </c>
      <c r="K6" s="89" t="n">
        <f aca="false">Training!K6</f>
        <v>3</v>
      </c>
      <c r="L6" s="89" t="n">
        <f aca="false">Training!L6</f>
        <v>4</v>
      </c>
      <c r="M6" s="89" t="n">
        <f aca="false">Training!M6</f>
        <v>4</v>
      </c>
      <c r="N6" s="89" t="n">
        <f aca="false">Training!N6</f>
        <v>4</v>
      </c>
      <c r="O6" s="89" t="n">
        <f aca="false">Training!O6</f>
        <v>5</v>
      </c>
      <c r="P6" s="89" t="n">
        <f aca="false">Training!P6</f>
        <v>5</v>
      </c>
      <c r="Q6" s="89" t="n">
        <f aca="false">Training!Q6</f>
        <v>5</v>
      </c>
      <c r="S6" s="89" t="n">
        <f aca="false">Training!C6</f>
        <v>1</v>
      </c>
      <c r="T6" s="89" t="n">
        <f aca="false">Training!D6</f>
        <v>1</v>
      </c>
      <c r="U6" s="89" t="n">
        <f aca="false">Training!E6</f>
        <v>1</v>
      </c>
      <c r="V6" s="89" t="n">
        <f aca="false">Training!F6</f>
        <v>2</v>
      </c>
      <c r="W6" s="89" t="n">
        <f aca="false">Training!G6</f>
        <v>2</v>
      </c>
      <c r="X6" s="89" t="n">
        <f aca="false">Training!H6</f>
        <v>2</v>
      </c>
      <c r="Y6" s="89" t="n">
        <f aca="false">Training!I6</f>
        <v>3</v>
      </c>
      <c r="Z6" s="89" t="n">
        <f aca="false">Training!J6</f>
        <v>3</v>
      </c>
      <c r="AA6" s="89" t="n">
        <f aca="false">Training!K6</f>
        <v>3</v>
      </c>
      <c r="AB6" s="89" t="n">
        <f aca="false">Training!L6</f>
        <v>4</v>
      </c>
      <c r="AC6" s="89" t="n">
        <f aca="false">Training!M6</f>
        <v>4</v>
      </c>
      <c r="AD6" s="89" t="n">
        <f aca="false">Training!N6</f>
        <v>4</v>
      </c>
      <c r="AE6" s="89" t="n">
        <f aca="false">Training!O6</f>
        <v>5</v>
      </c>
      <c r="AF6" s="89" t="n">
        <f aca="false">Training!P6</f>
        <v>5</v>
      </c>
      <c r="AG6" s="89" t="n">
        <f aca="false">Training!Q6</f>
        <v>5</v>
      </c>
    </row>
    <row r="7" customFormat="false" ht="15" hidden="false" customHeight="false" outlineLevel="0" collapsed="false">
      <c r="A7" s="92" t="str">
        <f aca="false">Training!A7</f>
        <v>層級索引</v>
      </c>
      <c r="C7" s="89" t="n">
        <f aca="false">Training!C7</f>
        <v>1</v>
      </c>
      <c r="D7" s="89" t="n">
        <f aca="false">Training!D7</f>
        <v>2</v>
      </c>
      <c r="E7" s="89" t="n">
        <f aca="false">Training!E7</f>
        <v>3</v>
      </c>
      <c r="F7" s="89" t="n">
        <f aca="false">Training!F7</f>
        <v>1</v>
      </c>
      <c r="G7" s="89" t="n">
        <f aca="false">Training!G7</f>
        <v>2</v>
      </c>
      <c r="H7" s="89" t="n">
        <f aca="false">Training!H7</f>
        <v>3</v>
      </c>
      <c r="I7" s="89" t="n">
        <f aca="false">Training!I7</f>
        <v>1</v>
      </c>
      <c r="J7" s="89" t="n">
        <f aca="false">Training!J7</f>
        <v>2</v>
      </c>
      <c r="K7" s="89" t="n">
        <f aca="false">Training!K7</f>
        <v>3</v>
      </c>
      <c r="L7" s="89" t="n">
        <f aca="false">Training!L7</f>
        <v>1</v>
      </c>
      <c r="M7" s="89" t="n">
        <f aca="false">Training!M7</f>
        <v>2</v>
      </c>
      <c r="N7" s="89" t="n">
        <f aca="false">Training!N7</f>
        <v>3</v>
      </c>
      <c r="O7" s="89" t="n">
        <f aca="false">Training!O7</f>
        <v>1</v>
      </c>
      <c r="P7" s="89" t="n">
        <f aca="false">Training!P7</f>
        <v>2</v>
      </c>
      <c r="Q7" s="89" t="n">
        <f aca="false">Training!Q7</f>
        <v>3</v>
      </c>
      <c r="S7" s="89" t="n">
        <f aca="false">Training!C7</f>
        <v>1</v>
      </c>
      <c r="T7" s="89" t="n">
        <f aca="false">Training!D7</f>
        <v>2</v>
      </c>
      <c r="U7" s="89" t="n">
        <f aca="false">Training!E7</f>
        <v>3</v>
      </c>
      <c r="V7" s="89" t="n">
        <f aca="false">Training!F7</f>
        <v>1</v>
      </c>
      <c r="W7" s="89" t="n">
        <f aca="false">Training!G7</f>
        <v>2</v>
      </c>
      <c r="X7" s="89" t="n">
        <f aca="false">Training!H7</f>
        <v>3</v>
      </c>
      <c r="Y7" s="89" t="n">
        <f aca="false">Training!I7</f>
        <v>1</v>
      </c>
      <c r="Z7" s="89" t="n">
        <f aca="false">Training!J7</f>
        <v>2</v>
      </c>
      <c r="AA7" s="89" t="n">
        <f aca="false">Training!K7</f>
        <v>3</v>
      </c>
      <c r="AB7" s="89" t="n">
        <f aca="false">Training!L7</f>
        <v>1</v>
      </c>
      <c r="AC7" s="89" t="n">
        <f aca="false">Training!M7</f>
        <v>2</v>
      </c>
      <c r="AD7" s="89" t="n">
        <f aca="false">Training!N7</f>
        <v>3</v>
      </c>
      <c r="AE7" s="89" t="n">
        <f aca="false">Training!O7</f>
        <v>1</v>
      </c>
      <c r="AF7" s="89" t="n">
        <f aca="false">Training!P7</f>
        <v>2</v>
      </c>
      <c r="AG7" s="89" t="n">
        <f aca="false">Training!Q7</f>
        <v>3</v>
      </c>
    </row>
    <row r="59" customFormat="false" ht="15" hidden="false" customHeight="false" outlineLevel="0" collapsed="false">
      <c r="A59" s="62" t="s">
        <v>1197</v>
      </c>
      <c r="B59" s="59" t="s">
        <v>935</v>
      </c>
      <c r="C59" s="98" t="n">
        <f aca="false">INDEX(Perf_Batch_Prod!$C$103:$Q$103,3*(Training!C$6-1)+Training!C$7)</f>
        <v>969.609430138526</v>
      </c>
      <c r="D59" s="98" t="n">
        <f aca="false">INDEX(Perf_Batch_Prod!$C$103:$Q$103,3*(Training!D$6-1)+Training!D$7)</f>
        <v>3767.59040351086</v>
      </c>
      <c r="E59" s="98" t="n">
        <f aca="false">INDEX(Perf_Batch_Prod!$C$103:$Q$103,3*(Training!E$6-1)+Training!E$7)</f>
        <v>16958.3074862795</v>
      </c>
      <c r="F59" s="98" t="n">
        <f aca="false">INDEX(Perf_Batch_Prod!$C$103:$Q$103,3*(Training!F$6-1)+Training!F$7)</f>
        <v>218.442050723223</v>
      </c>
      <c r="G59" s="98" t="n">
        <f aca="false">INDEX(Perf_Batch_Prod!$C$103:$Q$103,3*(Training!G$6-1)+Training!G$7)</f>
        <v>808.501689825966</v>
      </c>
      <c r="H59" s="98" t="n">
        <f aca="false">INDEX(Perf_Batch_Prod!$C$103:$Q$103,3*(Training!H$6-1)+Training!H$7)</f>
        <v>3576.28654488944</v>
      </c>
      <c r="I59" s="98" t="n">
        <f aca="false">INDEX(Perf_Batch_Prod!$C$103:$Q$103,3*(Training!I$6-1)+Training!I$7)</f>
        <v>145.628033815482</v>
      </c>
      <c r="J59" s="98" t="n">
        <f aca="false">INDEX(Perf_Batch_Prod!$C$103:$Q$103,3*(Training!J$6-1)+Training!J$7)</f>
        <v>539.001126550644</v>
      </c>
      <c r="K59" s="98" t="n">
        <f aca="false">INDEX(Perf_Batch_Prod!$C$103:$Q$103,3*(Training!K$6-1)+Training!K$7)</f>
        <v>2476.60330709747</v>
      </c>
      <c r="L59" s="98" t="n">
        <f aca="false">INDEX(Perf_Batch_Prod!$C$103:$Q$103,3*(Training!L$6-1)+Training!L$7)</f>
        <v>82.6350450019253</v>
      </c>
      <c r="M59" s="98" t="n">
        <f aca="false">INDEX(Perf_Batch_Prod!$C$103:$Q$103,3*(Training!M$6-1)+Training!M$7)</f>
        <v>297.521341356864</v>
      </c>
      <c r="N59" s="98" t="n">
        <f aca="false">INDEX(Perf_Batch_Prod!$C$103:$Q$103,3*(Training!N$6-1)+Training!N$7)</f>
        <v>1284.04767133778</v>
      </c>
      <c r="O59" s="98" t="n">
        <f aca="false">INDEX(Perf_Batch_Prod!$C$103:$Q$103,3*(Training!O$6-1)+Training!O$7)</f>
        <v>30.9294336488276</v>
      </c>
      <c r="P59" s="98" t="n">
        <f aca="false">INDEX(Perf_Batch_Prod!$C$103:$Q$103,3*(Training!P$6-1)+Training!P$7)</f>
        <v>110.472600005976</v>
      </c>
      <c r="Q59" s="98" t="n">
        <f aca="false">INDEX(Perf_Batch_Prod!$C$103:$Q$103,3*(Training!Q$6-1)+Training!Q$7)</f>
        <v>468.760063260726</v>
      </c>
      <c r="S59" s="98" t="n">
        <f aca="false">INDEX(Perf_Batch_Prod!$S$103:$AG$103,3*(Training!C$6-1)+Training!C$7)</f>
        <v>809.804094519983</v>
      </c>
      <c r="T59" s="98" t="n">
        <f aca="false">INDEX(Perf_Batch_Prod!$S$103:$AG$103,3*(Training!D$6-1)+Training!D$7)</f>
        <v>3115.68164154595</v>
      </c>
      <c r="U59" s="98" t="n">
        <f aca="false">INDEX(Perf_Batch_Prod!$S$103:$AG$103,3*(Training!E$6-1)+Training!E$7)</f>
        <v>13707.0750991662</v>
      </c>
      <c r="V59" s="98" t="n">
        <f aca="false">INDEX(Perf_Batch_Prod!$S$103:$AG$103,3*(Training!F$6-1)+Training!F$7)</f>
        <v>183.615945499964</v>
      </c>
      <c r="W59" s="98" t="n">
        <f aca="false">INDEX(Perf_Batch_Prod!$S$103:$AG$103,3*(Training!G$6-1)+Training!G$7)</f>
        <v>675.887022941722</v>
      </c>
      <c r="X59" s="98" t="n">
        <f aca="false">INDEX(Perf_Batch_Prod!$S$103:$AG$103,3*(Training!H$6-1)+Training!H$7)</f>
        <v>2949.71050251776</v>
      </c>
      <c r="Y59" s="98" t="n">
        <f aca="false">INDEX(Perf_Batch_Prod!$S$103:$AG$103,3*(Training!I$6-1)+Training!I$7)</f>
        <v>122.410630333309</v>
      </c>
      <c r="Z59" s="98" t="n">
        <f aca="false">INDEX(Perf_Batch_Prod!$S$103:$AG$103,3*(Training!J$6-1)+Training!J$7)</f>
        <v>450.591348627815</v>
      </c>
      <c r="AA59" s="98" t="n">
        <f aca="false">INDEX(Perf_Batch_Prod!$S$103:$AG$103,3*(Training!K$6-1)+Training!K$7)</f>
        <v>2040.35012947353</v>
      </c>
      <c r="AB59" s="98" t="n">
        <f aca="false">INDEX(Perf_Batch_Prod!$S$103:$AG$103,3*(Training!L$6-1)+Training!L$7)</f>
        <v>69.4659618522901</v>
      </c>
      <c r="AC59" s="98" t="n">
        <f aca="false">INDEX(Perf_Batch_Prod!$S$103:$AG$103,3*(Training!M$6-1)+Training!M$7)</f>
        <v>248.860047861003</v>
      </c>
      <c r="AD59" s="98" t="n">
        <f aca="false">INDEX(Perf_Batch_Prod!$S$103:$AG$103,3*(Training!N$6-1)+Training!N$7)</f>
        <v>1060.88763337202</v>
      </c>
      <c r="AE59" s="98" t="n">
        <f aca="false">INDEX(Perf_Batch_Prod!$S$103:$AG$103,3*(Training!O$6-1)+Training!O$7)</f>
        <v>26.0009261591734</v>
      </c>
      <c r="AF59" s="98" t="n">
        <f aca="false">INDEX(Perf_Batch_Prod!$S$103:$AG$103,3*(Training!P$6-1)+Training!P$7)</f>
        <v>92.4186867627377</v>
      </c>
      <c r="AG59" s="98" t="n">
        <f aca="false">INDEX(Perf_Batch_Prod!$S$103:$AG$103,3*(Training!Q$6-1)+Training!Q$7)</f>
        <v>387.579742794027</v>
      </c>
    </row>
    <row r="60" customFormat="false" ht="15" hidden="false" customHeight="false" outlineLevel="0" collapsed="false">
      <c r="A60" s="62" t="s">
        <v>1198</v>
      </c>
      <c r="B60" s="59" t="s">
        <v>935</v>
      </c>
      <c r="C60" s="98" t="n">
        <f aca="false">INDEX(Perf_Batch_Prod!$C$101:$Q$101,3*(Training!C$6-1)+Training!C$7)</f>
        <v>128.099029470878</v>
      </c>
      <c r="D60" s="98" t="n">
        <f aca="false">INDEX(Perf_Batch_Prod!$C$101:$Q$101,3*(Training!D$6-1)+Training!D$7)</f>
        <v>521.520531911449</v>
      </c>
      <c r="E60" s="98" t="n">
        <f aca="false">INDEX(Perf_Batch_Prod!$C$101:$Q$101,3*(Training!E$6-1)+Training!E$7)</f>
        <v>1587.12630464522</v>
      </c>
      <c r="F60" s="98" t="n">
        <f aca="false">INDEX(Perf_Batch_Prod!$C$101:$Q$101,3*(Training!F$6-1)+Training!F$7)</f>
        <v>12.6689940146698</v>
      </c>
      <c r="G60" s="98" t="n">
        <f aca="false">INDEX(Perf_Batch_Prod!$C$101:$Q$101,3*(Training!G$6-1)+Training!G$7)</f>
        <v>51.5783806060424</v>
      </c>
      <c r="H60" s="98" t="n">
        <f aca="false">INDEX(Perf_Batch_Prod!$C$101:$Q$101,3*(Training!H$6-1)+Training!H$7)</f>
        <v>156.966791529412</v>
      </c>
      <c r="I60" s="98" t="n">
        <f aca="false">INDEX(Perf_Batch_Prod!$C$101:$Q$101,3*(Training!I$6-1)+Training!I$7)</f>
        <v>8.44599600977987</v>
      </c>
      <c r="J60" s="98" t="n">
        <f aca="false">INDEX(Perf_Batch_Prod!$C$101:$Q$101,3*(Training!J$6-1)+Training!J$7)</f>
        <v>34.3855870706949</v>
      </c>
      <c r="K60" s="98" t="n">
        <f aca="false">INDEX(Perf_Batch_Prod!$C$101:$Q$101,3*(Training!K$6-1)+Training!K$7)</f>
        <v>104.644527686275</v>
      </c>
      <c r="L60" s="98" t="n">
        <f aca="false">INDEX(Perf_Batch_Prod!$C$101:$Q$101,3*(Training!L$6-1)+Training!L$7)</f>
        <v>3.61971257561994</v>
      </c>
      <c r="M60" s="98" t="n">
        <f aca="false">INDEX(Perf_Batch_Prod!$C$101:$Q$101,3*(Training!M$6-1)+Training!M$7)</f>
        <v>14.736680173155</v>
      </c>
      <c r="N60" s="98" t="n">
        <f aca="false">INDEX(Perf_Batch_Prod!$C$101:$Q$101,3*(Training!N$6-1)+Training!N$7)</f>
        <v>44.8476547226891</v>
      </c>
      <c r="O60" s="98" t="n">
        <f aca="false">INDEX(Perf_Batch_Prod!$C$101:$Q$101,3*(Training!O$6-1)+Training!O$7)</f>
        <v>1.80985628780997</v>
      </c>
      <c r="P60" s="98" t="n">
        <f aca="false">INDEX(Perf_Batch_Prod!$C$101:$Q$101,3*(Training!P$6-1)+Training!P$7)</f>
        <v>7.36834008657748</v>
      </c>
      <c r="Q60" s="98" t="n">
        <f aca="false">INDEX(Perf_Batch_Prod!$C$101:$Q$101,3*(Training!Q$6-1)+Training!Q$7)</f>
        <v>22.4238273613445</v>
      </c>
      <c r="S60" s="98" t="n">
        <f aca="false">INDEX(Perf_Batch_Prod!$S$101:$AG$101,3*(Training!C$6-1)+Training!C$7)</f>
        <v>108.884175050246</v>
      </c>
      <c r="T60" s="98" t="n">
        <f aca="false">INDEX(Perf_Batch_Prod!$S$101:$AG$101,3*(Training!D$6-1)+Training!D$7)</f>
        <v>443.292452124732</v>
      </c>
      <c r="U60" s="98" t="n">
        <f aca="false">INDEX(Perf_Batch_Prod!$S$101:$AG$101,3*(Training!E$6-1)+Training!E$7)</f>
        <v>1349.05735894843</v>
      </c>
      <c r="V60" s="98" t="n">
        <f aca="false">INDEX(Perf_Batch_Prod!$S$101:$AG$101,3*(Training!F$6-1)+Training!F$7)</f>
        <v>10.7686449124693</v>
      </c>
      <c r="W60" s="98" t="n">
        <f aca="false">INDEX(Perf_Batch_Prod!$S$101:$AG$101,3*(Training!G$6-1)+Training!G$7)</f>
        <v>43.841623515136</v>
      </c>
      <c r="X60" s="98" t="n">
        <f aca="false">INDEX(Perf_Batch_Prod!$S$101:$AG$101,3*(Training!H$6-1)+Training!H$7)</f>
        <v>133.4217728</v>
      </c>
      <c r="Y60" s="98" t="n">
        <f aca="false">INDEX(Perf_Batch_Prod!$S$101:$AG$101,3*(Training!I$6-1)+Training!I$7)</f>
        <v>7.17909660831289</v>
      </c>
      <c r="Z60" s="98" t="n">
        <f aca="false">INDEX(Perf_Batch_Prod!$S$101:$AG$101,3*(Training!J$6-1)+Training!J$7)</f>
        <v>29.2277490100907</v>
      </c>
      <c r="AA60" s="98" t="n">
        <f aca="false">INDEX(Perf_Batch_Prod!$S$101:$AG$101,3*(Training!K$6-1)+Training!K$7)</f>
        <v>88.9478485333333</v>
      </c>
      <c r="AB60" s="98" t="n">
        <f aca="false">INDEX(Perf_Batch_Prod!$S$101:$AG$101,3*(Training!L$6-1)+Training!L$7)</f>
        <v>3.07675568927695</v>
      </c>
      <c r="AC60" s="98" t="n">
        <f aca="false">INDEX(Perf_Batch_Prod!$S$101:$AG$101,3*(Training!M$6-1)+Training!M$7)</f>
        <v>12.5261781471817</v>
      </c>
      <c r="AD60" s="98" t="n">
        <f aca="false">INDEX(Perf_Batch_Prod!$S$101:$AG$101,3*(Training!N$6-1)+Training!N$7)</f>
        <v>38.1205065142857</v>
      </c>
      <c r="AE60" s="98" t="n">
        <f aca="false">INDEX(Perf_Batch_Prod!$S$101:$AG$101,3*(Training!O$6-1)+Training!O$7)</f>
        <v>1.53837784463848</v>
      </c>
      <c r="AF60" s="98" t="n">
        <f aca="false">INDEX(Perf_Batch_Prod!$S$101:$AG$101,3*(Training!P$6-1)+Training!P$7)</f>
        <v>6.26308907359086</v>
      </c>
      <c r="AG60" s="98" t="n">
        <f aca="false">INDEX(Perf_Batch_Prod!$S$101:$AG$101,3*(Training!Q$6-1)+Training!Q$7)</f>
        <v>19.0602532571429</v>
      </c>
    </row>
    <row r="65" customFormat="false" ht="15" hidden="false" customHeight="false" outlineLevel="0" collapsed="false">
      <c r="A65" s="62" t="s">
        <v>1203</v>
      </c>
      <c r="B65" s="59" t="s">
        <v>1180</v>
      </c>
      <c r="C65" s="63" t="n">
        <f aca="false">IF(AND(ISNUMBER(Training_Prod!C59)),(Training!C53*1000000*Training_Prod!C59+Training!C58*1000000*Training_Prod!C60)/3600/Training!C64,"SLO 不可達")</f>
        <v>750890.705408627</v>
      </c>
      <c r="D65" s="63" t="n">
        <f aca="false">IF(AND(ISNUMBER(Training_Prod!D59)),(Training!D53*1000000*Training_Prod!D59+Training!D58*1000000*Training_Prod!D60)/3600/Training!D64,"SLO 不可達")</f>
        <v>2918292.64428566</v>
      </c>
      <c r="E65" s="63" t="n">
        <f aca="false">IF(AND(ISNUMBER(Training_Prod!E59)),(Training!E53*1000000*Training_Prod!E59+Training!E58*1000000*Training_Prod!E60)/3600/Training!E64,"SLO 不可達")</f>
        <v>53358133.908391</v>
      </c>
      <c r="F65" s="63" t="n">
        <f aca="false">IF(AND(ISNUMBER(Training_Prod!F59)),(Training!F53*1000000*Training_Prod!F59+Training!F58*1000000*Training_Prod!F60)/3600/Training!F64,"SLO 不可達")</f>
        <v>168776.986279539</v>
      </c>
      <c r="G65" s="63" t="n">
        <f aca="false">IF(AND(ISNUMBER(Training_Prod!G59)),(Training!G53*1000000*Training_Prod!G59+Training!G58*1000000*Training_Prod!G60)/3600/Training!G64,"SLO 不可達")</f>
        <v>624793.429267639</v>
      </c>
      <c r="H65" s="63" t="n">
        <f aca="false">IF(AND(ISNUMBER(Training_Prod!H59)),(Training!H53*1000000*Training_Prod!H59+Training!H58*1000000*Training_Prod!H60)/3600/Training!H64,"SLO 不可達")</f>
        <v>11235111.3949011</v>
      </c>
      <c r="I65" s="63" t="n">
        <f aca="false">IF(AND(ISNUMBER(Training_Prod!I59)),(Training!I53*1000000*Training_Prod!I59+Training!I58*1000000*Training_Prod!I60)/3600/Training!I64,"SLO 不可達")</f>
        <v>112517.990853026</v>
      </c>
      <c r="J65" s="63" t="n">
        <f aca="false">IF(AND(ISNUMBER(Training_Prod!J59)),(Training!J53*1000000*Training_Prod!J59+Training!J58*1000000*Training_Prod!J60)/3600/Training!J64,"SLO 不可達")</f>
        <v>416528.952845093</v>
      </c>
      <c r="K65" s="63" t="n">
        <f aca="false">IF(AND(ISNUMBER(Training_Prod!K59)),(Training!K53*1000000*Training_Prod!K59+Training!K58*1000000*Training_Prod!K60)/3600/Training!K64,"SLO 不可達")</f>
        <v>7779995.13282406</v>
      </c>
      <c r="L65" s="63" t="n">
        <f aca="false">IF(AND(ISNUMBER(Training_Prod!L59)),(Training!L53*1000000*Training_Prod!L59+Training!L58*1000000*Training_Prod!L60)/3600/Training!L64,"SLO 不可達")</f>
        <v>63818.8431395411</v>
      </c>
      <c r="M65" s="63" t="n">
        <f aca="false">IF(AND(ISNUMBER(Training_Prod!M59)),(Training!M53*1000000*Training_Prod!M59+Training!M58*1000000*Training_Prod!M60)/3600/Training!M64,"SLO 不可達")</f>
        <v>229816.077047376</v>
      </c>
      <c r="N65" s="63" t="n">
        <f aca="false">IF(AND(ISNUMBER(Training_Prod!N59)),(Training!N53*1000000*Training_Prod!N59+Training!N58*1000000*Training_Prod!N60)/3600/Training!N64,"SLO 不可達")</f>
        <v>4032781.68015017</v>
      </c>
      <c r="O65" s="63" t="n">
        <f aca="false">IF(AND(ISNUMBER(Training_Prod!O59)),(Training!O53*1000000*Training_Prod!O59+Training!O58*1000000*Training_Prod!O60)/3600/Training!O64,"SLO 不可達")</f>
        <v>23897.6929125684</v>
      </c>
      <c r="P65" s="63" t="n">
        <f aca="false">IF(AND(ISNUMBER(Training_Prod!P59)),(Training!P53*1000000*Training_Prod!P59+Training!P58*1000000*Training_Prod!P60)/3600/Training!P64,"SLO 不可達")</f>
        <v>85378.6768285909</v>
      </c>
      <c r="Q65" s="63" t="n">
        <f aca="false">IF(AND(ISNUMBER(Training_Prod!Q59)),(Training!Q53*1000000*Training_Prod!Q59+Training!Q58*1000000*Training_Prod!Q60)/3600/Training!Q64,"SLO 不可達")</f>
        <v>1472818.22075535</v>
      </c>
      <c r="S65" s="63" t="n">
        <f aca="false">IF(AND(ISNUMBER(Training_Prod!S59)),(Training!C53*1000000*Training_Prod!S59+Training!C58*1000000*Training_Prod!S60)/3600/Training!C64,"SLO 不可達")</f>
        <v>627179.042802979</v>
      </c>
      <c r="T65" s="63" t="n">
        <f aca="false">IF(AND(ISNUMBER(Training_Prod!T59)),(Training!D53*1000000*Training_Prod!T59+Training!D58*1000000*Training_Prod!T60)/3600/Training!D64,"SLO 不可達")</f>
        <v>2413627.93869041</v>
      </c>
      <c r="U65" s="63" t="n">
        <f aca="false">IF(AND(ISNUMBER(Training_Prod!U59)),(Training!E53*1000000*Training_Prod!U59+Training!E58*1000000*Training_Prod!U60)/3600/Training!E64,"SLO 不可達")</f>
        <v>43134849.0717908</v>
      </c>
      <c r="V65" s="63" t="n">
        <f aca="false">IF(AND(ISNUMBER(Training_Prod!V59)),(Training!F53*1000000*Training_Prod!V59+Training!F58*1000000*Training_Prod!V60)/3600/Training!F64,"SLO 不可達")</f>
        <v>141871.836255624</v>
      </c>
      <c r="W65" s="63" t="n">
        <f aca="false">IF(AND(ISNUMBER(Training_Prod!W59)),(Training!G53*1000000*Training_Prod!W59+Training!G58*1000000*Training_Prod!W60)/3600/Training!G64,"SLO 不可達")</f>
        <v>522328.984927028</v>
      </c>
      <c r="X65" s="63" t="n">
        <f aca="false">IF(AND(ISNUMBER(Training_Prod!X59)),(Training!H53*1000000*Training_Prod!X59+Training!H58*1000000*Training_Prod!X60)/3600/Training!H64,"SLO 不可達")</f>
        <v>9267074.29934984</v>
      </c>
      <c r="Y65" s="63" t="n">
        <f aca="false">IF(AND(ISNUMBER(Training_Prod!Y59)),(Training!I53*1000000*Training_Prod!Y59+Training!I58*1000000*Training_Prod!Y60)/3600/Training!I64,"SLO 不可達")</f>
        <v>94581.224170416</v>
      </c>
      <c r="Z65" s="63" t="n">
        <f aca="false">IF(AND(ISNUMBER(Training_Prod!Z59)),(Training!J53*1000000*Training_Prod!Z59+Training!J58*1000000*Training_Prod!Z60)/3600/Training!J64,"SLO 不可達")</f>
        <v>348219.323284685</v>
      </c>
      <c r="AA65" s="63" t="n">
        <f aca="false">IF(AND(ISNUMBER(Training_Prod!AA59)),(Training!K53*1000000*Training_Prod!AA59+Training!K58*1000000*Training_Prod!AA60)/3600/Training!K64,"SLO 不可達")</f>
        <v>6409818.82271434</v>
      </c>
      <c r="AB65" s="63" t="n">
        <f aca="false">IF(AND(ISNUMBER(Training_Prod!AB59)),(Training!L53*1000000*Training_Prod!AB59+Training!L58*1000000*Training_Prod!AB60)/3600/Training!L64,"SLO 不可達")</f>
        <v>53649.2093802251</v>
      </c>
      <c r="AC65" s="63" t="n">
        <f aca="false">IF(AND(ISNUMBER(Training_Prod!AC59)),(Training!M53*1000000*Training_Prod!AC59+Training!M58*1000000*Training_Prod!AC60)/3600/Training!M64,"SLO 不可達")</f>
        <v>192233.176009909</v>
      </c>
      <c r="AD65" s="63" t="n">
        <f aca="false">IF(AND(ISNUMBER(Training_Prod!AD59)),(Training!N53*1000000*Training_Prod!AD59+Training!N58*1000000*Training_Prod!AD60)/3600/Training!N64,"SLO 不可達")</f>
        <v>3332012.23278618</v>
      </c>
      <c r="AE65" s="63" t="n">
        <f aca="false">IF(AND(ISNUMBER(Training_Prod!AE59)),(Training!O53*1000000*Training_Prod!AE59+Training!O58*1000000*Training_Prod!AE60)/3600/Training!O64,"SLO 不可達")</f>
        <v>20090.0787914024</v>
      </c>
      <c r="AF65" s="63" t="n">
        <f aca="false">IF(AND(ISNUMBER(Training_Prod!AF59)),(Training!P53*1000000*Training_Prod!AF59+Training!P58*1000000*Training_Prod!AF60)/3600/Training!P64,"SLO 不可達")</f>
        <v>71428.1057448491</v>
      </c>
      <c r="AG65" s="63" t="n">
        <f aca="false">IF(AND(ISNUMBER(Training_Prod!AG59)),(Training!Q53*1000000*Training_Prod!AG59+Training!Q58*1000000*Training_Prod!AG60)/3600/Training!Q64,"SLO 不可達")</f>
        <v>1217805.10026137</v>
      </c>
    </row>
    <row r="75" customFormat="false" ht="15" hidden="false" customHeight="false" outlineLevel="0" collapsed="false">
      <c r="A75" s="62" t="s">
        <v>1213</v>
      </c>
      <c r="B75" s="59" t="s">
        <v>1180</v>
      </c>
      <c r="C75" s="171" t="n">
        <f aca="false">IF(AND(ISNUMBER(Training_Prod!C65)),Training_Prod!C65+Training!C72+Training!C74,"SLO 不可達")</f>
        <v>1177914.87057968</v>
      </c>
      <c r="D75" s="171" t="n">
        <f aca="false">IF(AND(ISNUMBER(Training_Prod!D65)),Training_Prod!D65+Training!D72+Training!D74,"SLO 不可達")</f>
        <v>4387432.71000385</v>
      </c>
      <c r="E75" s="171" t="n">
        <f aca="false">IF(AND(ISNUMBER(Training_Prod!E65)),Training_Prod!E65+Training!E72+Training!E74,"SLO 不可達")</f>
        <v>74953595.3737775</v>
      </c>
      <c r="F75" s="171" t="n">
        <f aca="false">IF(AND(ISNUMBER(Training_Prod!F65)),Training_Prod!F65+Training!F72+Training!F74,"SLO 不可達")</f>
        <v>337793.15085424</v>
      </c>
      <c r="G75" s="171" t="n">
        <f aca="false">IF(AND(ISNUMBER(Training_Prod!G65)),Training_Prod!G65+Training!G72+Training!G74,"SLO 不可達")</f>
        <v>1206279.0672789</v>
      </c>
      <c r="H75" s="171" t="n">
        <f aca="false">IF(AND(ISNUMBER(Training_Prod!H65)),Training_Prod!H65+Training!H72+Training!H74,"SLO 不可達")</f>
        <v>19782595.0429011</v>
      </c>
      <c r="I75" s="171" t="n">
        <f aca="false">IF(AND(ISNUMBER(Training_Prod!I65)),Training_Prod!I65+Training!I72+Training!I74,"SLO 不可達")</f>
        <v>281534.155427727</v>
      </c>
      <c r="J75" s="171" t="n">
        <f aca="false">IF(AND(ISNUMBER(Training_Prod!J65)),Training_Prod!J65+Training!J72+Training!J74,"SLO 不可達")</f>
        <v>998014.590856352</v>
      </c>
      <c r="K75" s="171" t="n">
        <f aca="false">IF(AND(ISNUMBER(Training_Prod!K65)),Training_Prod!K65+Training!K72+Training!K74,"SLO 不可達")</f>
        <v>16327478.7808241</v>
      </c>
      <c r="L75" s="171" t="n">
        <f aca="false">IF(AND(ISNUMBER(Training_Prod!L65)),Training_Prod!L65+Training!L72+Training!L74,"SLO 不可達")</f>
        <v>117474.768401351</v>
      </c>
      <c r="M75" s="171" t="n">
        <f aca="false">IF(AND(ISNUMBER(Training_Prod!M65)),Training_Prod!M65+Training!M72+Training!M74,"SLO 不可達")</f>
        <v>414414.692289046</v>
      </c>
      <c r="N75" s="171" t="n">
        <f aca="false">IF(AND(ISNUMBER(Training_Prod!N65)),Training_Prod!N65+Training!N72+Training!N74,"SLO 不可達")</f>
        <v>6746268.55253112</v>
      </c>
      <c r="O75" s="171" t="n">
        <f aca="false">IF(AND(ISNUMBER(Training_Prod!O65)),Training_Prod!O65+Training!O72+Training!O74,"SLO 不可達")</f>
        <v>50725.6555434733</v>
      </c>
      <c r="P75" s="171" t="n">
        <f aca="false">IF(AND(ISNUMBER(Training_Prod!P65)),Training_Prod!P65+Training!P72+Training!P74,"SLO 不可達")</f>
        <v>177677.984449426</v>
      </c>
      <c r="Q75" s="171" t="n">
        <f aca="false">IF(AND(ISNUMBER(Training_Prod!Q65)),Training_Prod!Q65+Training!Q72+Training!Q74,"SLO 不可達")</f>
        <v>2829561.65694583</v>
      </c>
      <c r="S75" s="171" t="n">
        <f aca="false">IF(AND(ISNUMBER(Training_Prod!S65)),Training_Prod!S65+Training!C72+Training!C74,"SLO 不可達")</f>
        <v>1054203.20797403</v>
      </c>
      <c r="T75" s="171" t="n">
        <f aca="false">IF(AND(ISNUMBER(Training_Prod!T65)),Training_Prod!T65+Training!D72+Training!D74,"SLO 不可達")</f>
        <v>3882768.0044086</v>
      </c>
      <c r="U75" s="171" t="n">
        <f aca="false">IF(AND(ISNUMBER(Training_Prod!U65)),Training_Prod!U65+Training!E72+Training!E74,"SLO 不可達")</f>
        <v>64730310.5371774</v>
      </c>
      <c r="V75" s="171" t="n">
        <f aca="false">IF(AND(ISNUMBER(Training_Prod!V65)),Training_Prod!V65+Training!F72+Training!F74,"SLO 不可達")</f>
        <v>310888.000830325</v>
      </c>
      <c r="W75" s="171" t="n">
        <f aca="false">IF(AND(ISNUMBER(Training_Prod!W65)),Training_Prod!W65+Training!G72+Training!G74,"SLO 不可達")</f>
        <v>1103814.62293829</v>
      </c>
      <c r="X75" s="171" t="n">
        <f aca="false">IF(AND(ISNUMBER(Training_Prod!X65)),Training_Prod!X65+Training!H72+Training!H74,"SLO 不可達")</f>
        <v>17814557.9473498</v>
      </c>
      <c r="Y75" s="171" t="n">
        <f aca="false">IF(AND(ISNUMBER(Training_Prod!Y65)),Training_Prod!Y65+Training!I72+Training!I74,"SLO 不可達")</f>
        <v>263597.388745117</v>
      </c>
      <c r="Z75" s="171" t="n">
        <f aca="false">IF(AND(ISNUMBER(Training_Prod!Z65)),Training_Prod!Z65+Training!J72+Training!J74,"SLO 不可達")</f>
        <v>929704.961295945</v>
      </c>
      <c r="AA75" s="171" t="n">
        <f aca="false">IF(AND(ISNUMBER(Training_Prod!AA65)),Training_Prod!AA65+Training!K72+Training!K74,"SLO 不可達")</f>
        <v>14957302.4707143</v>
      </c>
      <c r="AB75" s="171" t="n">
        <f aca="false">IF(AND(ISNUMBER(Training_Prod!AB65)),Training_Prod!AB65+Training!L72+Training!L74,"SLO 不可達")</f>
        <v>107305.134642035</v>
      </c>
      <c r="AC75" s="171" t="n">
        <f aca="false">IF(AND(ISNUMBER(Training_Prod!AC65)),Training_Prod!AC65+Training!M72+Training!M74,"SLO 不可達")</f>
        <v>376831.791251579</v>
      </c>
      <c r="AD75" s="171" t="n">
        <f aca="false">IF(AND(ISNUMBER(Training_Prod!AD65)),Training_Prod!AD65+Training!N72+Training!N74,"SLO 不可達")</f>
        <v>6045499.10516714</v>
      </c>
      <c r="AE75" s="171" t="n">
        <f aca="false">IF(AND(ISNUMBER(Training_Prod!AE65)),Training_Prod!AE65+Training!O72+Training!O74,"SLO 不可達")</f>
        <v>46918.0414223073</v>
      </c>
      <c r="AF75" s="171" t="n">
        <f aca="false">IF(AND(ISNUMBER(Training_Prod!AF65)),Training_Prod!AF65+Training!P72+Training!P74,"SLO 不可達")</f>
        <v>163727.413365684</v>
      </c>
      <c r="AG75" s="171" t="n">
        <f aca="false">IF(AND(ISNUMBER(Training_Prod!AG65)),Training_Prod!AG65+Training!Q72+Training!Q74,"SLO 不可達")</f>
        <v>2574548.53645185</v>
      </c>
    </row>
    <row r="84" customFormat="false" ht="15" hidden="false" customHeight="false" outlineLevel="0" collapsed="false">
      <c r="A84" s="61" t="s">
        <v>1222</v>
      </c>
      <c r="B84" s="59" t="s">
        <v>935</v>
      </c>
      <c r="C84" s="98" t="n">
        <f aca="false">INDEX(Perf_Batch_Prod!$C$101:$Q$101,3*(Training!C$6-1)+Training!C82)</f>
        <v>128.099029470878</v>
      </c>
      <c r="D84" s="98" t="n">
        <f aca="false">INDEX(Perf_Batch_Prod!$C$101:$Q$101,3*(Training!D$6-1)+Training!D82)</f>
        <v>521.520531911449</v>
      </c>
      <c r="E84" s="98" t="n">
        <f aca="false">INDEX(Perf_Batch_Prod!$C$101:$Q$101,3*(Training!E$6-1)+Training!E82)</f>
        <v>1587.12630464522</v>
      </c>
      <c r="F84" s="98" t="n">
        <f aca="false">INDEX(Perf_Batch_Prod!$C$101:$Q$101,3*(Training!F$6-1)+Training!F82)</f>
        <v>12.6689940146698</v>
      </c>
      <c r="G84" s="98" t="n">
        <f aca="false">INDEX(Perf_Batch_Prod!$C$101:$Q$101,3*(Training!G$6-1)+Training!G82)</f>
        <v>51.5783806060424</v>
      </c>
      <c r="H84" s="98" t="n">
        <f aca="false">INDEX(Perf_Batch_Prod!$C$101:$Q$101,3*(Training!H$6-1)+Training!H82)</f>
        <v>156.966791529412</v>
      </c>
      <c r="I84" s="98" t="n">
        <f aca="false">INDEX(Perf_Batch_Prod!$C$101:$Q$101,3*(Training!I$6-1)+Training!I82)</f>
        <v>8.44599600977987</v>
      </c>
      <c r="J84" s="98" t="n">
        <f aca="false">INDEX(Perf_Batch_Prod!$C$101:$Q$101,3*(Training!J$6-1)+Training!J82)</f>
        <v>34.3855870706949</v>
      </c>
      <c r="K84" s="98" t="n">
        <f aca="false">INDEX(Perf_Batch_Prod!$C$101:$Q$101,3*(Training!K$6-1)+Training!K82)</f>
        <v>104.644527686275</v>
      </c>
      <c r="L84" s="98" t="n">
        <f aca="false">INDEX(Perf_Batch_Prod!$C$101:$Q$101,3*(Training!L$6-1)+Training!L82)</f>
        <v>3.61971257561994</v>
      </c>
      <c r="M84" s="98" t="n">
        <f aca="false">INDEX(Perf_Batch_Prod!$C$101:$Q$101,3*(Training!M$6-1)+Training!M82)</f>
        <v>14.736680173155</v>
      </c>
      <c r="N84" s="98" t="n">
        <f aca="false">INDEX(Perf_Batch_Prod!$C$101:$Q$101,3*(Training!N$6-1)+Training!N82)</f>
        <v>44.8476547226891</v>
      </c>
      <c r="O84" s="98" t="n">
        <f aca="false">INDEX(Perf_Batch_Prod!$C$101:$Q$101,3*(Training!O$6-1)+Training!O82)</f>
        <v>1.80985628780997</v>
      </c>
      <c r="P84" s="98" t="n">
        <f aca="false">INDEX(Perf_Batch_Prod!$C$101:$Q$101,3*(Training!P$6-1)+Training!P82)</f>
        <v>7.36834008657748</v>
      </c>
      <c r="Q84" s="98" t="n">
        <f aca="false">INDEX(Perf_Batch_Prod!$C$101:$Q$101,3*(Training!Q$6-1)+Training!Q82)</f>
        <v>22.4238273613445</v>
      </c>
      <c r="S84" s="98" t="n">
        <f aca="false">INDEX(Perf_Batch_Prod!$S$101:$AG$101,3*(Training!C$6-1)+Training!C82)</f>
        <v>108.884175050246</v>
      </c>
      <c r="T84" s="98" t="n">
        <f aca="false">INDEX(Perf_Batch_Prod!$S$101:$AG$101,3*(Training!D$6-1)+Training!D82)</f>
        <v>443.292452124732</v>
      </c>
      <c r="U84" s="98" t="n">
        <f aca="false">INDEX(Perf_Batch_Prod!$S$101:$AG$101,3*(Training!E$6-1)+Training!E82)</f>
        <v>1349.05735894843</v>
      </c>
      <c r="V84" s="98" t="n">
        <f aca="false">INDEX(Perf_Batch_Prod!$S$101:$AG$101,3*(Training!F$6-1)+Training!F82)</f>
        <v>10.7686449124693</v>
      </c>
      <c r="W84" s="98" t="n">
        <f aca="false">INDEX(Perf_Batch_Prod!$S$101:$AG$101,3*(Training!G$6-1)+Training!G82)</f>
        <v>43.841623515136</v>
      </c>
      <c r="X84" s="98" t="n">
        <f aca="false">INDEX(Perf_Batch_Prod!$S$101:$AG$101,3*(Training!H$6-1)+Training!H82)</f>
        <v>133.4217728</v>
      </c>
      <c r="Y84" s="98" t="n">
        <f aca="false">INDEX(Perf_Batch_Prod!$S$101:$AG$101,3*(Training!I$6-1)+Training!I82)</f>
        <v>7.17909660831289</v>
      </c>
      <c r="Z84" s="98" t="n">
        <f aca="false">INDEX(Perf_Batch_Prod!$S$101:$AG$101,3*(Training!J$6-1)+Training!J82)</f>
        <v>29.2277490100907</v>
      </c>
      <c r="AA84" s="98" t="n">
        <f aca="false">INDEX(Perf_Batch_Prod!$S$101:$AG$101,3*(Training!K$6-1)+Training!K82)</f>
        <v>88.9478485333333</v>
      </c>
      <c r="AB84" s="98" t="n">
        <f aca="false">INDEX(Perf_Batch_Prod!$S$101:$AG$101,3*(Training!L$6-1)+Training!L82)</f>
        <v>3.07675568927695</v>
      </c>
      <c r="AC84" s="98" t="n">
        <f aca="false">INDEX(Perf_Batch_Prod!$S$101:$AG$101,3*(Training!M$6-1)+Training!M82)</f>
        <v>12.5261781471817</v>
      </c>
      <c r="AD84" s="98" t="n">
        <f aca="false">INDEX(Perf_Batch_Prod!$S$101:$AG$101,3*(Training!N$6-1)+Training!N82)</f>
        <v>38.1205065142857</v>
      </c>
      <c r="AE84" s="98" t="n">
        <f aca="false">INDEX(Perf_Batch_Prod!$S$101:$AG$101,3*(Training!O$6-1)+Training!O82)</f>
        <v>1.53837784463848</v>
      </c>
      <c r="AF84" s="98" t="n">
        <f aca="false">INDEX(Perf_Batch_Prod!$S$101:$AG$101,3*(Training!P$6-1)+Training!P82)</f>
        <v>6.26308907359086</v>
      </c>
      <c r="AG84" s="98" t="n">
        <f aca="false">INDEX(Perf_Batch_Prod!$S$101:$AG$101,3*(Training!Q$6-1)+Training!Q82)</f>
        <v>19.0602532571429</v>
      </c>
    </row>
    <row r="86" customFormat="false" ht="15" hidden="false" customHeight="false" outlineLevel="0" collapsed="false">
      <c r="A86" s="61" t="s">
        <v>1224</v>
      </c>
      <c r="B86" s="59" t="s">
        <v>1180</v>
      </c>
      <c r="C86" s="63" t="n">
        <f aca="false">IF(AND(ISNUMBER(Training_Prod!C59)),Training!C81*1000000*Training_Prod!C59/3600/Training!C64,"SLO 不可達")</f>
        <v>63373.1653685311</v>
      </c>
      <c r="D86" s="63" t="n">
        <f aca="false">IF(AND(ISNUMBER(Training_Prod!D59)),Training!D81*1000000*Training_Prod!D59/3600/Training!D64,"SLO 不可達")</f>
        <v>246247.73879156</v>
      </c>
      <c r="E86" s="63" t="n">
        <f aca="false">IF(AND(ISNUMBER(Training_Prod!E59)),Training!E81*1000000*Training_Prod!E59/3600/Training!E64,"SLO 不可達")</f>
        <v>1108386.11021434</v>
      </c>
      <c r="F86" s="63" t="n">
        <f aca="false">IF(AND(ISNUMBER(Training_Prod!F59)),Training!F81*1000000*Training_Prod!F59/3600/Training!F64,"SLO 不可達")</f>
        <v>14277.2582172041</v>
      </c>
      <c r="G86" s="63" t="n">
        <f aca="false">IF(AND(ISNUMBER(Training_Prod!G59)),Training!G81*1000000*Training_Prod!G59/3600/Training!G64,"SLO 不可達")</f>
        <v>52843.2477010436</v>
      </c>
      <c r="H86" s="63" t="n">
        <f aca="false">IF(AND(ISNUMBER(Training_Prod!H59)),Training!H81*1000000*Training_Prod!H59/3600/Training!H64,"SLO 不可達")</f>
        <v>233744.218620225</v>
      </c>
      <c r="I86" s="63" t="n">
        <f aca="false">IF(AND(ISNUMBER(Training_Prod!I59)),Training!I81*1000000*Training_Prod!I59/3600/Training!I64,"SLO 不可達")</f>
        <v>9518.17214480276</v>
      </c>
      <c r="J86" s="63" t="n">
        <f aca="false">IF(AND(ISNUMBER(Training_Prod!J59)),Training!J81*1000000*Training_Prod!J59/3600/Training!J64,"SLO 不可達")</f>
        <v>35228.8318006957</v>
      </c>
      <c r="K86" s="63" t="n">
        <f aca="false">IF(AND(ISNUMBER(Training_Prod!K59)),Training!K81*1000000*Training_Prod!K59/3600/Training!K64,"SLO 不可達")</f>
        <v>161869.497195913</v>
      </c>
      <c r="L86" s="63" t="n">
        <f aca="false">IF(AND(ISNUMBER(Training_Prod!L59)),Training!L81*1000000*Training_Prod!L59/3600/Training!L64,"SLO 不可達")</f>
        <v>5400.98333345917</v>
      </c>
      <c r="M86" s="63" t="n">
        <f aca="false">IF(AND(ISNUMBER(Training_Prod!M59)),Training!M81*1000000*Training_Prod!M59/3600/Training!M64,"SLO 不可達")</f>
        <v>19445.8393043702</v>
      </c>
      <c r="N86" s="63" t="n">
        <f aca="false">IF(AND(ISNUMBER(Training_Prod!N59)),Training!N81*1000000*Training_Prod!N59/3600/Training!N64,"SLO 不可達")</f>
        <v>83924.6844011622</v>
      </c>
      <c r="O86" s="63" t="n">
        <f aca="false">IF(AND(ISNUMBER(Training_Prod!O59)),Training!O81*1000000*Training_Prod!O59/3600/Training!O64,"SLO 不可達")</f>
        <v>2021.53161103449</v>
      </c>
      <c r="P86" s="63" t="n">
        <f aca="false">IF(AND(ISNUMBER(Training_Prod!P59)),Training!P81*1000000*Training_Prod!P59/3600/Training!P64,"SLO 不可達")</f>
        <v>7220.4313729396</v>
      </c>
      <c r="Q86" s="63" t="n">
        <f aca="false">IF(AND(ISNUMBER(Training_Prod!Q59)),Training!Q81*1000000*Training_Prod!Q59/3600/Training!Q64,"SLO 不可達")</f>
        <v>30637.91263142</v>
      </c>
      <c r="S86" s="63" t="n">
        <f aca="false">IF(AND(ISNUMBER(Training_Prod!S59)),Training!C81*1000000*Training_Prod!S59/3600/Training!C64,"SLO 不可達")</f>
        <v>52928.3721908486</v>
      </c>
      <c r="T86" s="63" t="n">
        <f aca="false">IF(AND(ISNUMBER(Training_Prod!T59)),Training!D81*1000000*Training_Prod!T59/3600/Training!D64,"SLO 不可達")</f>
        <v>203639.32297686</v>
      </c>
      <c r="U86" s="63" t="n">
        <f aca="false">IF(AND(ISNUMBER(Training_Prod!U59)),Training!E81*1000000*Training_Prod!U59/3600/Training!E64,"SLO 不可達")</f>
        <v>895887.261383411</v>
      </c>
      <c r="V86" s="63" t="n">
        <f aca="false">IF(AND(ISNUMBER(Training_Prod!V59)),Training!F81*1000000*Training_Prod!V59/3600/Training!F64,"SLO 不可達")</f>
        <v>12001.0421895401</v>
      </c>
      <c r="W86" s="63" t="n">
        <f aca="false">IF(AND(ISNUMBER(Training_Prod!W59)),Training!G81*1000000*Training_Prod!W59/3600/Training!G64,"SLO 不可達")</f>
        <v>44175.6224144917</v>
      </c>
      <c r="X86" s="63" t="n">
        <f aca="false">IF(AND(ISNUMBER(Training_Prod!X59)),Training!H81*1000000*Training_Prod!X59/3600/Training!H64,"SLO 不可達")</f>
        <v>192791.536112272</v>
      </c>
      <c r="Y86" s="63" t="n">
        <f aca="false">IF(AND(ISNUMBER(Training_Prod!Y59)),Training!I81*1000000*Training_Prod!Y59/3600/Training!I64,"SLO 不可達")</f>
        <v>8000.69479302675</v>
      </c>
      <c r="Z86" s="63" t="n">
        <f aca="false">IF(AND(ISNUMBER(Training_Prod!Z59)),Training!J81*1000000*Training_Prod!Z59/3600/Training!J64,"SLO 不可達")</f>
        <v>29450.4149429944</v>
      </c>
      <c r="AA86" s="63" t="n">
        <f aca="false">IF(AND(ISNUMBER(Training_Prod!AA59)),Training!K81*1000000*Training_Prod!AA59/3600/Training!K64,"SLO 不可達")</f>
        <v>133356.217612649</v>
      </c>
      <c r="AB86" s="63" t="n">
        <f aca="false">IF(AND(ISNUMBER(Training_Prod!AB59)),Training!L81*1000000*Training_Prod!AB59/3600/Training!L64,"SLO 不可達")</f>
        <v>4540.25894459413</v>
      </c>
      <c r="AC86" s="63" t="n">
        <f aca="false">IF(AND(ISNUMBER(Training_Prod!AC59)),Training!M81*1000000*Training_Prod!AC59/3600/Training!M64,"SLO 不可達")</f>
        <v>16265.3626052943</v>
      </c>
      <c r="AD86" s="63" t="n">
        <f aca="false">IF(AND(ISNUMBER(Training_Prod!AD59)),Training!N81*1000000*Training_Prod!AD59/3600/Training!N64,"SLO 不可達")</f>
        <v>69339.0610047075</v>
      </c>
      <c r="AE86" s="63" t="n">
        <f aca="false">IF(AND(ISNUMBER(Training_Prod!AE59)),Training!O81*1000000*Training_Prod!AE59/3600/Training!O64,"SLO 不可達")</f>
        <v>1699.40693850807</v>
      </c>
      <c r="AF86" s="63" t="n">
        <f aca="false">IF(AND(ISNUMBER(Training_Prod!AF59)),Training!P81*1000000*Training_Prod!AF59/3600/Training!P64,"SLO 不可達")</f>
        <v>6040.43704331619</v>
      </c>
      <c r="AG86" s="63" t="n">
        <f aca="false">IF(AND(ISNUMBER(Training_Prod!AG59)),Training!Q81*1000000*Training_Prod!AG59/3600/Training!Q64,"SLO 不可達")</f>
        <v>25332.0093329429</v>
      </c>
    </row>
    <row r="87" customFormat="false" ht="15" hidden="false" customHeight="false" outlineLevel="0" collapsed="false">
      <c r="A87" s="61" t="s">
        <v>1225</v>
      </c>
      <c r="B87" s="59" t="s">
        <v>1180</v>
      </c>
      <c r="C87" s="63" t="n">
        <f aca="false">Training!C83*1000000*Training_Prod!C84/3600</f>
        <v>10674.9191225731</v>
      </c>
      <c r="D87" s="63" t="n">
        <f aca="false">Training!D83*1000000*Training_Prod!D84/3600</f>
        <v>43460.0443259541</v>
      </c>
      <c r="E87" s="63" t="n">
        <f aca="false">Training!E83*1000000*Training_Prod!E84/3600</f>
        <v>132260.525387101</v>
      </c>
      <c r="F87" s="63" t="n">
        <f aca="false">Training!F83*1000000*Training_Prod!F84/3600</f>
        <v>1055.74950122248</v>
      </c>
      <c r="G87" s="63" t="n">
        <f aca="false">Training!G83*1000000*Training_Prod!G84/3600</f>
        <v>4298.19838383686</v>
      </c>
      <c r="H87" s="63" t="n">
        <f aca="false">Training!H83*1000000*Training_Prod!H84/3600</f>
        <v>13080.5659607843</v>
      </c>
      <c r="I87" s="63" t="n">
        <f aca="false">Training!I83*1000000*Training_Prod!I84/3600</f>
        <v>703.833000814989</v>
      </c>
      <c r="J87" s="63" t="n">
        <f aca="false">Training!J83*1000000*Training_Prod!J84/3600</f>
        <v>2865.46558922457</v>
      </c>
      <c r="K87" s="63" t="n">
        <f aca="false">Training!K83*1000000*Training_Prod!K84/3600</f>
        <v>8720.37730718954</v>
      </c>
      <c r="L87" s="63" t="n">
        <f aca="false">Training!L83*1000000*Training_Prod!L84/3600</f>
        <v>301.642714634995</v>
      </c>
      <c r="M87" s="63" t="n">
        <f aca="false">Training!M83*1000000*Training_Prod!M84/3600</f>
        <v>1228.05668109625</v>
      </c>
      <c r="N87" s="63" t="n">
        <f aca="false">Training!N83*1000000*Training_Prod!N84/3600</f>
        <v>3737.30456022409</v>
      </c>
      <c r="O87" s="63" t="n">
        <f aca="false">Training!O83*1000000*Training_Prod!O84/3600</f>
        <v>150.821357317498</v>
      </c>
      <c r="P87" s="63" t="n">
        <f aca="false">Training!P83*1000000*Training_Prod!P84/3600</f>
        <v>614.028340548123</v>
      </c>
      <c r="Q87" s="63" t="n">
        <f aca="false">Training!Q83*1000000*Training_Prod!Q84/3600</f>
        <v>1868.65228011204</v>
      </c>
      <c r="S87" s="63" t="n">
        <f aca="false">Training!C83*1000000*Training_Prod!S84/3600</f>
        <v>9073.68125418717</v>
      </c>
      <c r="T87" s="63" t="n">
        <f aca="false">Training!D83*1000000*Training_Prod!T84/3600</f>
        <v>36941.037677061</v>
      </c>
      <c r="U87" s="63" t="n">
        <f aca="false">Training!E83*1000000*Training_Prod!U84/3600</f>
        <v>112421.446579036</v>
      </c>
      <c r="V87" s="63" t="n">
        <f aca="false">Training!F83*1000000*Training_Prod!V84/3600</f>
        <v>897.387076039111</v>
      </c>
      <c r="W87" s="63" t="n">
        <f aca="false">Training!G83*1000000*Training_Prod!W84/3600</f>
        <v>3653.46862626133</v>
      </c>
      <c r="X87" s="63" t="n">
        <f aca="false">Training!H83*1000000*Training_Prod!X84/3600</f>
        <v>11118.4810666667</v>
      </c>
      <c r="Y87" s="63" t="n">
        <f aca="false">Training!I83*1000000*Training_Prod!Y84/3600</f>
        <v>598.258050692741</v>
      </c>
      <c r="Z87" s="63" t="n">
        <f aca="false">Training!J83*1000000*Training_Prod!Z84/3600</f>
        <v>2435.64575084089</v>
      </c>
      <c r="AA87" s="63" t="n">
        <f aca="false">Training!K83*1000000*Training_Prod!AA84/3600</f>
        <v>7412.32071111111</v>
      </c>
      <c r="AB87" s="63" t="n">
        <f aca="false">Training!L83*1000000*Training_Prod!AB84/3600</f>
        <v>256.396307439746</v>
      </c>
      <c r="AC87" s="63" t="n">
        <f aca="false">Training!M83*1000000*Training_Prod!AC84/3600</f>
        <v>1043.84817893181</v>
      </c>
      <c r="AD87" s="63" t="n">
        <f aca="false">Training!N83*1000000*Training_Prod!AD84/3600</f>
        <v>3176.70887619048</v>
      </c>
      <c r="AE87" s="63" t="n">
        <f aca="false">Training!O83*1000000*Training_Prod!AE84/3600</f>
        <v>128.198153719873</v>
      </c>
      <c r="AF87" s="63" t="n">
        <f aca="false">Training!P83*1000000*Training_Prod!AF84/3600</f>
        <v>521.924089465905</v>
      </c>
      <c r="AG87" s="63" t="n">
        <f aca="false">Training!Q83*1000000*Training_Prod!AG84/3600</f>
        <v>1588.35443809524</v>
      </c>
    </row>
    <row r="90" customFormat="false" ht="15" hidden="false" customHeight="false" outlineLevel="0" collapsed="false">
      <c r="A90" s="61" t="s">
        <v>1228</v>
      </c>
      <c r="B90" s="59" t="s">
        <v>1180</v>
      </c>
      <c r="C90" s="63" t="n">
        <f aca="false">IF(AND(ISNUMBER(Training_Prod!C86)),Training_Prod!C86+Training_Prod!C87+Training!C89,"SLO 不可達")</f>
        <v>110236.573064922</v>
      </c>
      <c r="D90" s="63" t="n">
        <f aca="false">IF(AND(ISNUMBER(Training_Prod!D86)),Training_Prod!D86+Training_Prod!D87+Training!D89,"SLO 不可達")</f>
        <v>414211.17851736</v>
      </c>
      <c r="E90" s="63" t="n">
        <f aca="false">IF(AND(ISNUMBER(Training_Prod!E86)),Training_Prod!E86+Training_Prod!E87+Training!E89,"SLO 不可達")</f>
        <v>1690552.082797</v>
      </c>
      <c r="F90" s="63" t="n">
        <f aca="false">IF(AND(ISNUMBER(Training_Prod!F86)),Training_Prod!F86+Training_Prod!F87+Training!F89,"SLO 不可達")</f>
        <v>29656.4114959437</v>
      </c>
      <c r="G90" s="63" t="n">
        <f aca="false">IF(AND(ISNUMBER(Training_Prod!G86)),Training_Prod!G86+Training_Prod!G87+Training!G89,"SLO 不可達")</f>
        <v>106419.88998414</v>
      </c>
      <c r="H90" s="63" t="n">
        <f aca="false">IF(AND(ISNUMBER(Training_Prod!H86)),Training_Prod!H86+Training_Prod!H87+Training!H89,"SLO 不可達")</f>
        <v>424897.360581009</v>
      </c>
      <c r="I90" s="63" t="n">
        <f aca="false">IF(AND(ISNUMBER(Training_Prod!I86)),Training_Prod!I86+Training_Prod!I87+Training!I89,"SLO 不可達")</f>
        <v>24545.4089231348</v>
      </c>
      <c r="J90" s="63" t="n">
        <f aca="false">IF(AND(ISNUMBER(Training_Prod!J86)),Training_Prod!J86+Training_Prod!J87+Training!J89,"SLO 不可達")</f>
        <v>87372.7412891795</v>
      </c>
      <c r="K90" s="63" t="n">
        <f aca="false">IF(AND(ISNUMBER(Training_Prod!K86)),Training_Prod!K86+Training_Prod!K87+Training!K89,"SLO 不可達")</f>
        <v>348662.450503103</v>
      </c>
      <c r="L90" s="63" t="n">
        <f aca="false">IF(AND(ISNUMBER(Training_Prod!L86)),Training_Prod!L86+Training_Prod!L87+Training!L89,"SLO 不可達")</f>
        <v>10249.738358417</v>
      </c>
      <c r="M90" s="63" t="n">
        <f aca="false">IF(AND(ISNUMBER(Training_Prod!M86)),Training_Prod!M86+Training_Prod!M87+Training!M89,"SLO 不可達")</f>
        <v>36317.8464296758</v>
      </c>
      <c r="N90" s="63" t="n">
        <f aca="false">IF(AND(ISNUMBER(Training_Prod!N86)),Training_Prod!N86+Training_Prod!N87+Training!N89,"SLO 不可達")</f>
        <v>144192.965469323</v>
      </c>
      <c r="O90" s="63" t="n">
        <f aca="false">IF(AND(ISNUMBER(Training_Prod!O86)),Training_Prod!O86+Training_Prod!O87+Training!O89,"SLO 不可達")</f>
        <v>4445.90912351342</v>
      </c>
      <c r="P90" s="63" t="n">
        <f aca="false">IF(AND(ISNUMBER(Training_Prod!P86)),Training_Prod!P86+Training_Prod!P87+Training!P89,"SLO 不可達")</f>
        <v>15656.4349355924</v>
      </c>
      <c r="Q90" s="63" t="n">
        <f aca="false">IF(AND(ISNUMBER(Training_Prod!Q86)),Training_Prod!Q86+Training_Prod!Q87+Training!Q89,"SLO 不可達")</f>
        <v>60772.0531655003</v>
      </c>
      <c r="S90" s="63" t="n">
        <f aca="false">IF(AND(ISNUMBER(Training_Prod!S86)),Training_Prod!S86+Training_Prod!S87+Training!C89,"SLO 不可達")</f>
        <v>98190.5420188534</v>
      </c>
      <c r="T90" s="63" t="n">
        <f aca="false">IF(AND(ISNUMBER(Training_Prod!T86)),Training_Prod!T86+Training_Prod!T87+Training!D89,"SLO 不可達")</f>
        <v>365083.756053767</v>
      </c>
      <c r="U90" s="63" t="n">
        <f aca="false">IF(AND(ISNUMBER(Training_Prod!U86)),Training_Prod!U86+Training_Prod!U87+Training!E89,"SLO 不可達")</f>
        <v>1458214.155158</v>
      </c>
      <c r="V90" s="63" t="n">
        <f aca="false">IF(AND(ISNUMBER(Training_Prod!V86)),Training_Prod!V86+Training_Prod!V87+Training!F89,"SLO 不可達")</f>
        <v>27221.8330430963</v>
      </c>
      <c r="W90" s="63" t="n">
        <f aca="false">IF(AND(ISNUMBER(Training_Prod!W86)),Training_Prod!W86+Training_Prod!W87+Training!G89,"SLO 不可達")</f>
        <v>97107.5349400122</v>
      </c>
      <c r="X90" s="63" t="n">
        <f aca="false">IF(AND(ISNUMBER(Training_Prod!X86)),Training_Prod!X86+Training_Prod!X87+Training!H89,"SLO 不可達")</f>
        <v>381982.593178939</v>
      </c>
      <c r="Y90" s="63" t="n">
        <f aca="false">IF(AND(ISNUMBER(Training_Prod!Y86)),Training_Prod!Y86+Training_Prod!Y87+Training!I89,"SLO 不可達")</f>
        <v>22922.3566212365</v>
      </c>
      <c r="Z90" s="63" t="n">
        <f aca="false">IF(AND(ISNUMBER(Training_Prod!Z86)),Training_Prod!Z86+Training_Prod!Z87+Training!J89,"SLO 不可達")</f>
        <v>81164.5045930946</v>
      </c>
      <c r="AA90" s="63" t="n">
        <f aca="false">IF(AND(ISNUMBER(Training_Prod!AA86)),Training_Prod!AA86+Training_Prod!AA87+Training!K89,"SLO 不可達")</f>
        <v>318841.11432376</v>
      </c>
      <c r="AB90" s="63" t="n">
        <f aca="false">IF(AND(ISNUMBER(Training_Prod!AB86)),Training_Prod!AB86+Training_Prod!AB87+Training!L89,"SLO 不可達")</f>
        <v>9343.76756235674</v>
      </c>
      <c r="AC90" s="63" t="n">
        <f aca="false">IF(AND(ISNUMBER(Training_Prod!AC86)),Training_Prod!AC86+Training_Prod!AC87+Training!M89,"SLO 不可達")</f>
        <v>32953.1612284354</v>
      </c>
      <c r="AD90" s="63" t="n">
        <f aca="false">IF(AND(ISNUMBER(Training_Prod!AD86)),Training_Prod!AD86+Training_Prod!AD87+Training!N89,"SLO 不可達")</f>
        <v>129046.746388834</v>
      </c>
      <c r="AE90" s="63" t="n">
        <f aca="false">IF(AND(ISNUMBER(Training_Prod!AE86)),Training_Prod!AE86+Training_Prod!AE87+Training!O89,"SLO 不可達")</f>
        <v>4101.16124738937</v>
      </c>
      <c r="AF90" s="63" t="n">
        <f aca="false">IF(AND(ISNUMBER(Training_Prod!AF86)),Training_Prod!AF86+Training_Prod!AF87+Training!P89,"SLO 不可達")</f>
        <v>14384.3363548867</v>
      </c>
      <c r="AG90" s="63" t="n">
        <f aca="false">IF(AND(ISNUMBER(Training_Prod!AG86)),Training_Prod!AG86+Training_Prod!AG87+Training!Q89,"SLO 不可達")</f>
        <v>55185.8520250064</v>
      </c>
    </row>
    <row r="95" customFormat="false" ht="15" hidden="false" customHeight="false" outlineLevel="0" collapsed="false">
      <c r="A95" s="61" t="s">
        <v>1233</v>
      </c>
      <c r="B95" s="59" t="s">
        <v>935</v>
      </c>
      <c r="C95" s="98" t="n">
        <f aca="false">INDEX(Perf_Batch_Prod!$C$103:$Q$103,3*(Training!C$6-1)+Training!C94)</f>
        <v>16958.3074862795</v>
      </c>
      <c r="D95" s="98" t="n">
        <f aca="false">INDEX(Perf_Batch_Prod!$C$103:$Q$103,3*(Training!D$6-1)+Training!D94)</f>
        <v>16958.3074862795</v>
      </c>
      <c r="E95" s="98" t="n">
        <f aca="false">INDEX(Perf_Batch_Prod!$C$103:$Q$103,3*(Training!E$6-1)+Training!E94)</f>
        <v>16958.3074862795</v>
      </c>
      <c r="F95" s="98" t="n">
        <f aca="false">INDEX(Perf_Batch_Prod!$C$103:$Q$103,3*(Training!F$6-1)+Training!F94)</f>
        <v>3576.28654488944</v>
      </c>
      <c r="G95" s="98" t="n">
        <f aca="false">INDEX(Perf_Batch_Prod!$C$103:$Q$103,3*(Training!G$6-1)+Training!G94)</f>
        <v>3576.28654488944</v>
      </c>
      <c r="H95" s="98" t="n">
        <f aca="false">INDEX(Perf_Batch_Prod!$C$103:$Q$103,3*(Training!H$6-1)+Training!H94)</f>
        <v>3576.28654488944</v>
      </c>
      <c r="I95" s="98" t="n">
        <f aca="false">INDEX(Perf_Batch_Prod!$C$103:$Q$103,3*(Training!I$6-1)+Training!I94)</f>
        <v>2476.60330709747</v>
      </c>
      <c r="J95" s="98" t="n">
        <f aca="false">INDEX(Perf_Batch_Prod!$C$103:$Q$103,3*(Training!J$6-1)+Training!J94)</f>
        <v>2476.60330709747</v>
      </c>
      <c r="K95" s="98" t="n">
        <f aca="false">INDEX(Perf_Batch_Prod!$C$103:$Q$103,3*(Training!K$6-1)+Training!K94)</f>
        <v>2476.60330709747</v>
      </c>
      <c r="L95" s="98" t="n">
        <f aca="false">INDEX(Perf_Batch_Prod!$C$103:$Q$103,3*(Training!L$6-1)+Training!L94)</f>
        <v>1284.04767133778</v>
      </c>
      <c r="M95" s="98" t="n">
        <f aca="false">INDEX(Perf_Batch_Prod!$C$103:$Q$103,3*(Training!M$6-1)+Training!M94)</f>
        <v>1284.04767133778</v>
      </c>
      <c r="N95" s="98" t="n">
        <f aca="false">INDEX(Perf_Batch_Prod!$C$103:$Q$103,3*(Training!N$6-1)+Training!N94)</f>
        <v>1284.04767133778</v>
      </c>
      <c r="O95" s="98" t="n">
        <f aca="false">INDEX(Perf_Batch_Prod!$C$103:$Q$103,3*(Training!O$6-1)+Training!O94)</f>
        <v>468.760063260726</v>
      </c>
      <c r="P95" s="98" t="n">
        <f aca="false">INDEX(Perf_Batch_Prod!$C$103:$Q$103,3*(Training!P$6-1)+Training!P94)</f>
        <v>468.760063260726</v>
      </c>
      <c r="Q95" s="98" t="n">
        <f aca="false">INDEX(Perf_Batch_Prod!$C$103:$Q$103,3*(Training!Q$6-1)+Training!Q94)</f>
        <v>468.760063260726</v>
      </c>
      <c r="S95" s="98" t="n">
        <f aca="false">INDEX(Perf_Batch_Prod!$S$103:$AG$103,3*(Training!C$6-1)+Training!C94)</f>
        <v>13707.0750991662</v>
      </c>
      <c r="T95" s="98" t="n">
        <f aca="false">INDEX(Perf_Batch_Prod!$S$103:$AG$103,3*(Training!D$6-1)+Training!D94)</f>
        <v>13707.0750991662</v>
      </c>
      <c r="U95" s="98" t="n">
        <f aca="false">INDEX(Perf_Batch_Prod!$S$103:$AG$103,3*(Training!E$6-1)+Training!E94)</f>
        <v>13707.0750991662</v>
      </c>
      <c r="V95" s="98" t="n">
        <f aca="false">INDEX(Perf_Batch_Prod!$S$103:$AG$103,3*(Training!F$6-1)+Training!F94)</f>
        <v>2949.71050251776</v>
      </c>
      <c r="W95" s="98" t="n">
        <f aca="false">INDEX(Perf_Batch_Prod!$S$103:$AG$103,3*(Training!G$6-1)+Training!G94)</f>
        <v>2949.71050251776</v>
      </c>
      <c r="X95" s="98" t="n">
        <f aca="false">INDEX(Perf_Batch_Prod!$S$103:$AG$103,3*(Training!H$6-1)+Training!H94)</f>
        <v>2949.71050251776</v>
      </c>
      <c r="Y95" s="98" t="n">
        <f aca="false">INDEX(Perf_Batch_Prod!$S$103:$AG$103,3*(Training!I$6-1)+Training!I94)</f>
        <v>2040.35012947353</v>
      </c>
      <c r="Z95" s="98" t="n">
        <f aca="false">INDEX(Perf_Batch_Prod!$S$103:$AG$103,3*(Training!J$6-1)+Training!J94)</f>
        <v>2040.35012947353</v>
      </c>
      <c r="AA95" s="98" t="n">
        <f aca="false">INDEX(Perf_Batch_Prod!$S$103:$AG$103,3*(Training!K$6-1)+Training!K94)</f>
        <v>2040.35012947353</v>
      </c>
      <c r="AB95" s="98" t="n">
        <f aca="false">INDEX(Perf_Batch_Prod!$S$103:$AG$103,3*(Training!L$6-1)+Training!L94)</f>
        <v>1060.88763337202</v>
      </c>
      <c r="AC95" s="98" t="n">
        <f aca="false">INDEX(Perf_Batch_Prod!$S$103:$AG$103,3*(Training!M$6-1)+Training!M94)</f>
        <v>1060.88763337202</v>
      </c>
      <c r="AD95" s="98" t="n">
        <f aca="false">INDEX(Perf_Batch_Prod!$S$103:$AG$103,3*(Training!N$6-1)+Training!N94)</f>
        <v>1060.88763337202</v>
      </c>
      <c r="AE95" s="98" t="n">
        <f aca="false">INDEX(Perf_Batch_Prod!$S$103:$AG$103,3*(Training!O$6-1)+Training!O94)</f>
        <v>387.579742794027</v>
      </c>
      <c r="AF95" s="98" t="n">
        <f aca="false">INDEX(Perf_Batch_Prod!$S$103:$AG$103,3*(Training!P$6-1)+Training!P94)</f>
        <v>387.579742794027</v>
      </c>
      <c r="AG95" s="98" t="n">
        <f aca="false">INDEX(Perf_Batch_Prod!$S$103:$AG$103,3*(Training!Q$6-1)+Training!Q94)</f>
        <v>387.579742794027</v>
      </c>
    </row>
    <row r="97" customFormat="false" ht="15" hidden="false" customHeight="false" outlineLevel="0" collapsed="false">
      <c r="A97" s="61" t="s">
        <v>1235</v>
      </c>
      <c r="B97" s="59" t="s">
        <v>1180</v>
      </c>
      <c r="C97" s="63" t="n">
        <f aca="false">IF(AND(ISNUMBER(Training_Prod!C95)),Training!C93*1000000*Training_Prod!C95/3600,"SLO 不可達")</f>
        <v>4710640.96841096</v>
      </c>
      <c r="D97" s="63" t="n">
        <f aca="false">IF(AND(ISNUMBER(Training_Prod!D95)),Training!D93*1000000*Training_Prod!D95/3600,"SLO 不可達")</f>
        <v>9421281.93682192</v>
      </c>
      <c r="E97" s="63" t="n">
        <f aca="false">IF(AND(ISNUMBER(Training_Prod!E95)),Training!E93*1000000*Training_Prod!E95/3600,"SLO 不可達")</f>
        <v>14131922.9052329</v>
      </c>
      <c r="F97" s="63" t="n">
        <f aca="false">IF(AND(ISNUMBER(Training_Prod!F95)),Training!F93*1000000*Training_Prod!F95/3600,"SLO 不可達")</f>
        <v>993412.929135956</v>
      </c>
      <c r="G97" s="63" t="n">
        <f aca="false">IF(AND(ISNUMBER(Training_Prod!G95)),Training!G93*1000000*Training_Prod!G95/3600,"SLO 不可達")</f>
        <v>1986825.85827191</v>
      </c>
      <c r="H97" s="63" t="n">
        <f aca="false">IF(AND(ISNUMBER(Training_Prod!H95)),Training!H93*1000000*Training_Prod!H95/3600,"SLO 不可達")</f>
        <v>2980238.78740787</v>
      </c>
      <c r="I97" s="63" t="n">
        <f aca="false">IF(AND(ISNUMBER(Training_Prod!I95)),Training!I93*1000000*Training_Prod!I95/3600,"SLO 不可達")</f>
        <v>687945.363082631</v>
      </c>
      <c r="J97" s="63" t="n">
        <f aca="false">IF(AND(ISNUMBER(Training_Prod!J95)),Training!J93*1000000*Training_Prod!J95/3600,"SLO 不可達")</f>
        <v>1375890.72616526</v>
      </c>
      <c r="K97" s="63" t="n">
        <f aca="false">IF(AND(ISNUMBER(Training_Prod!K95)),Training!K93*1000000*Training_Prod!K95/3600,"SLO 不可達")</f>
        <v>2063836.08924789</v>
      </c>
      <c r="L97" s="63" t="n">
        <f aca="false">IF(AND(ISNUMBER(Training_Prod!L95)),Training!L93*1000000*Training_Prod!L95/3600,"SLO 不可達")</f>
        <v>356679.90870494</v>
      </c>
      <c r="M97" s="63" t="n">
        <f aca="false">IF(AND(ISNUMBER(Training_Prod!M95)),Training!M93*1000000*Training_Prod!M95/3600,"SLO 不可達")</f>
        <v>713359.817409879</v>
      </c>
      <c r="N97" s="63" t="n">
        <f aca="false">IF(AND(ISNUMBER(Training_Prod!N95)),Training!N93*1000000*Training_Prod!N95/3600,"SLO 不可達")</f>
        <v>1070039.72611482</v>
      </c>
      <c r="O97" s="63" t="n">
        <f aca="false">IF(AND(ISNUMBER(Training_Prod!O95)),Training!O93*1000000*Training_Prod!O95/3600,"SLO 不可達")</f>
        <v>130211.128683535</v>
      </c>
      <c r="P97" s="63" t="n">
        <f aca="false">IF(AND(ISNUMBER(Training_Prod!P95)),Training!P93*1000000*Training_Prod!P95/3600,"SLO 不可達")</f>
        <v>260422.25736707</v>
      </c>
      <c r="Q97" s="63" t="n">
        <f aca="false">IF(AND(ISNUMBER(Training_Prod!Q95)),Training!Q93*1000000*Training_Prod!Q95/3600,"SLO 不可達")</f>
        <v>390633.386050605</v>
      </c>
      <c r="S97" s="63" t="n">
        <f aca="false">IF(AND(ISNUMBER(Training_Prod!S95)),Training!C93*1000000*Training_Prod!S95/3600,"SLO 不可達")</f>
        <v>3807520.8608795</v>
      </c>
      <c r="T97" s="63" t="n">
        <f aca="false">IF(AND(ISNUMBER(Training_Prod!T95)),Training!D93*1000000*Training_Prod!T95/3600,"SLO 不可達")</f>
        <v>7615041.72175899</v>
      </c>
      <c r="U97" s="63" t="n">
        <f aca="false">IF(AND(ISNUMBER(Training_Prod!U95)),Training!E93*1000000*Training_Prod!U95/3600,"SLO 不可達")</f>
        <v>11422562.5826385</v>
      </c>
      <c r="V97" s="63" t="n">
        <f aca="false">IF(AND(ISNUMBER(Training_Prod!V95)),Training!F93*1000000*Training_Prod!V95/3600,"SLO 不可達")</f>
        <v>819364.028477156</v>
      </c>
      <c r="W97" s="63" t="n">
        <f aca="false">IF(AND(ISNUMBER(Training_Prod!W95)),Training!G93*1000000*Training_Prod!W95/3600,"SLO 不可達")</f>
        <v>1638728.05695431</v>
      </c>
      <c r="X97" s="63" t="n">
        <f aca="false">IF(AND(ISNUMBER(Training_Prod!X95)),Training!H93*1000000*Training_Prod!X95/3600,"SLO 不可達")</f>
        <v>2458092.08543147</v>
      </c>
      <c r="Y97" s="63" t="n">
        <f aca="false">IF(AND(ISNUMBER(Training_Prod!Y95)),Training!I93*1000000*Training_Prod!Y95/3600,"SLO 不可達")</f>
        <v>566763.924853758</v>
      </c>
      <c r="Z97" s="63" t="n">
        <f aca="false">IF(AND(ISNUMBER(Training_Prod!Z95)),Training!J93*1000000*Training_Prod!Z95/3600,"SLO 不可達")</f>
        <v>1133527.84970752</v>
      </c>
      <c r="AA97" s="63" t="n">
        <f aca="false">IF(AND(ISNUMBER(Training_Prod!AA95)),Training!K93*1000000*Training_Prod!AA95/3600,"SLO 不可達")</f>
        <v>1700291.77456127</v>
      </c>
      <c r="AB97" s="63" t="n">
        <f aca="false">IF(AND(ISNUMBER(Training_Prod!AB95)),Training!L93*1000000*Training_Prod!AB95/3600,"SLO 不可達")</f>
        <v>294691.009270007</v>
      </c>
      <c r="AC97" s="63" t="n">
        <f aca="false">IF(AND(ISNUMBER(Training_Prod!AC95)),Training!M93*1000000*Training_Prod!AC95/3600,"SLO 不可達")</f>
        <v>589382.018540014</v>
      </c>
      <c r="AD97" s="63" t="n">
        <f aca="false">IF(AND(ISNUMBER(Training_Prod!AD95)),Training!N93*1000000*Training_Prod!AD95/3600,"SLO 不可達")</f>
        <v>884073.027810021</v>
      </c>
      <c r="AE97" s="63" t="n">
        <f aca="false">IF(AND(ISNUMBER(Training_Prod!AE95)),Training!O93*1000000*Training_Prod!AE95/3600,"SLO 不可達")</f>
        <v>107661.039665007</v>
      </c>
      <c r="AF97" s="63" t="n">
        <f aca="false">IF(AND(ISNUMBER(Training_Prod!AF95)),Training!P93*1000000*Training_Prod!AF95/3600,"SLO 不可達")</f>
        <v>215322.079330015</v>
      </c>
      <c r="AG97" s="63" t="n">
        <f aca="false">IF(AND(ISNUMBER(Training_Prod!AG95)),Training!Q93*1000000*Training_Prod!AG95/3600,"SLO 不可達")</f>
        <v>322983.118995022</v>
      </c>
    </row>
    <row r="100" customFormat="false" ht="15" hidden="false" customHeight="false" outlineLevel="0" collapsed="false">
      <c r="A100" s="61" t="s">
        <v>1237</v>
      </c>
      <c r="B100" s="59" t="s">
        <v>1180</v>
      </c>
      <c r="C100" s="63" t="n">
        <f aca="false">IF(AND(ISNUMBER(Training_Prod!C59)),Training!C99*1000000*Training_Prod!C59/3600,"SLO 不可達")</f>
        <v>5386.71905632514</v>
      </c>
      <c r="D100" s="63" t="n">
        <f aca="false">IF(AND(ISNUMBER(Training_Prod!D59)),Training!D99*1000000*Training_Prod!D59/3600,"SLO 不可達")</f>
        <v>52327.6444932064</v>
      </c>
      <c r="E100" s="63" t="n">
        <f aca="false">IF(AND(ISNUMBER(Training_Prod!E59)),Training!E99*1000000*Training_Prod!E59/3600,"SLO 不可達")</f>
        <v>471064.096841096</v>
      </c>
      <c r="F100" s="63" t="n">
        <f aca="false">IF(AND(ISNUMBER(Training_Prod!F59)),Training!F99*1000000*Training_Prod!F59/3600,"SLO 不可達")</f>
        <v>1213.56694846235</v>
      </c>
      <c r="G100" s="63" t="n">
        <f aca="false">IF(AND(ISNUMBER(Training_Prod!G59)),Training!G99*1000000*Training_Prod!G59/3600,"SLO 不可達")</f>
        <v>11229.1901364718</v>
      </c>
      <c r="H100" s="63" t="n">
        <f aca="false">IF(AND(ISNUMBER(Training_Prod!H59)),Training!H99*1000000*Training_Prod!H59/3600,"SLO 不可達")</f>
        <v>99341.2929135956</v>
      </c>
      <c r="I100" s="63" t="n">
        <f aca="false">IF(AND(ISNUMBER(Training_Prod!I59)),Training!I99*1000000*Training_Prod!I59/3600,"SLO 不可達")</f>
        <v>809.044632308235</v>
      </c>
      <c r="J100" s="63" t="n">
        <f aca="false">IF(AND(ISNUMBER(Training_Prod!J59)),Training!J99*1000000*Training_Prod!J59/3600,"SLO 不可達")</f>
        <v>7486.12675764784</v>
      </c>
      <c r="K100" s="63" t="n">
        <f aca="false">IF(AND(ISNUMBER(Training_Prod!K59)),Training!K99*1000000*Training_Prod!K59/3600,"SLO 不可達")</f>
        <v>68794.5363082631</v>
      </c>
      <c r="L100" s="63" t="n">
        <f aca="false">IF(AND(ISNUMBER(Training_Prod!L59)),Training!L99*1000000*Training_Prod!L59/3600,"SLO 不可達")</f>
        <v>459.08358334403</v>
      </c>
      <c r="M100" s="63" t="n">
        <f aca="false">IF(AND(ISNUMBER(Training_Prod!M59)),Training!M99*1000000*Training_Prod!M59/3600,"SLO 不可達")</f>
        <v>4132.24085217867</v>
      </c>
      <c r="N100" s="63" t="n">
        <f aca="false">IF(AND(ISNUMBER(Training_Prod!N59)),Training!N99*1000000*Training_Prod!N59/3600,"SLO 不可達")</f>
        <v>35667.9908704939</v>
      </c>
      <c r="O100" s="63" t="n">
        <f aca="false">IF(AND(ISNUMBER(Training_Prod!O59)),Training!O99*1000000*Training_Prod!O59/3600,"SLO 不可達")</f>
        <v>171.830186937931</v>
      </c>
      <c r="P100" s="63" t="n">
        <f aca="false">IF(AND(ISNUMBER(Training_Prod!P59)),Training!P99*1000000*Training_Prod!P59/3600,"SLO 不可達")</f>
        <v>1534.34166674967</v>
      </c>
      <c r="Q100" s="63" t="n">
        <f aca="false">IF(AND(ISNUMBER(Training_Prod!Q59)),Training!Q99*1000000*Training_Prod!Q59/3600,"SLO 不可達")</f>
        <v>13021.1128683535</v>
      </c>
      <c r="S100" s="63" t="n">
        <f aca="false">IF(AND(ISNUMBER(Training_Prod!S59)),Training!C99*1000000*Training_Prod!S59/3600,"SLO 不可達")</f>
        <v>4498.91163622213</v>
      </c>
      <c r="T100" s="63" t="n">
        <f aca="false">IF(AND(ISNUMBER(Training_Prod!T59)),Training!D99*1000000*Training_Prod!T59/3600,"SLO 不可達")</f>
        <v>43273.3561325827</v>
      </c>
      <c r="U100" s="63" t="n">
        <f aca="false">IF(AND(ISNUMBER(Training_Prod!U59)),Training!E99*1000000*Training_Prod!U59/3600,"SLO 不可達")</f>
        <v>380752.08608795</v>
      </c>
      <c r="V100" s="63" t="n">
        <f aca="false">IF(AND(ISNUMBER(Training_Prod!V59)),Training!F99*1000000*Training_Prod!V59/3600,"SLO 不可達")</f>
        <v>1020.08858611091</v>
      </c>
      <c r="W100" s="63" t="n">
        <f aca="false">IF(AND(ISNUMBER(Training_Prod!W59)),Training!G99*1000000*Training_Prod!W59/3600,"SLO 不可達")</f>
        <v>9387.31976307948</v>
      </c>
      <c r="X100" s="63" t="n">
        <f aca="false">IF(AND(ISNUMBER(Training_Prod!X59)),Training!H99*1000000*Training_Prod!X59/3600,"SLO 不可達")</f>
        <v>81936.4028477156</v>
      </c>
      <c r="Y100" s="63" t="n">
        <f aca="false">IF(AND(ISNUMBER(Training_Prod!Y59)),Training!I99*1000000*Training_Prod!Y59/3600,"SLO 不可達")</f>
        <v>680.059057407274</v>
      </c>
      <c r="Z100" s="63" t="n">
        <f aca="false">IF(AND(ISNUMBER(Training_Prod!Z59)),Training!J99*1000000*Training_Prod!Z59/3600,"SLO 不可達")</f>
        <v>6258.21317538632</v>
      </c>
      <c r="AA100" s="63" t="n">
        <f aca="false">IF(AND(ISNUMBER(Training_Prod!AA59)),Training!K99*1000000*Training_Prod!AA59/3600,"SLO 不可達")</f>
        <v>56676.3924853758</v>
      </c>
      <c r="AB100" s="63" t="n">
        <f aca="false">IF(AND(ISNUMBER(Training_Prod!AB59)),Training!L99*1000000*Training_Prod!AB59/3600,"SLO 不可達")</f>
        <v>385.922010290501</v>
      </c>
      <c r="AC100" s="63" t="n">
        <f aca="false">IF(AND(ISNUMBER(Training_Prod!AC59)),Training!M99*1000000*Training_Prod!AC59/3600,"SLO 不可達")</f>
        <v>3456.38955362504</v>
      </c>
      <c r="AD100" s="63" t="n">
        <f aca="false">IF(AND(ISNUMBER(Training_Prod!AD59)),Training!N99*1000000*Training_Prod!AD59/3600,"SLO 不可達")</f>
        <v>29469.1009270007</v>
      </c>
      <c r="AE100" s="63" t="n">
        <f aca="false">IF(AND(ISNUMBER(Training_Prod!AE59)),Training!O99*1000000*Training_Prod!AE59/3600,"SLO 不可達")</f>
        <v>144.449589773186</v>
      </c>
      <c r="AF100" s="63" t="n">
        <f aca="false">IF(AND(ISNUMBER(Training_Prod!AF59)),Training!P99*1000000*Training_Prod!AF59/3600,"SLO 不可達")</f>
        <v>1283.59287170469</v>
      </c>
      <c r="AG100" s="63" t="n">
        <f aca="false">IF(AND(ISNUMBER(Training_Prod!AG59)),Training!Q99*1000000*Training_Prod!AG59/3600,"SLO 不可達")</f>
        <v>10766.1039665007</v>
      </c>
    </row>
    <row r="104" customFormat="false" ht="15" hidden="false" customHeight="false" outlineLevel="0" collapsed="false">
      <c r="A104" s="61" t="s">
        <v>1241</v>
      </c>
      <c r="B104" s="59" t="s">
        <v>1180</v>
      </c>
      <c r="C104" s="63" t="n">
        <f aca="false">IF(AND(ISNUMBER(Training_Prod!C75),ISNUMBER(Training_Prod!C90)),Training!C51+Training_Prod!C75+Training_Prod!C90,"SLO 不可達")</f>
        <v>1292680.15212494</v>
      </c>
      <c r="D104" s="63" t="n">
        <f aca="false">IF(AND(ISNUMBER(Training_Prod!D75),ISNUMBER(Training_Prod!D90)),Training!D51+Training_Prod!D75+Training_Prod!D90,"SLO 不可達")</f>
        <v>4817176.40732317</v>
      </c>
      <c r="E104" s="63" t="n">
        <f aca="false">IF(AND(ISNUMBER(Training_Prod!E75),ISNUMBER(Training_Prod!E90)),Training!E51+Training_Prod!E75+Training_Prod!E90,"SLO 不可達")</f>
        <v>76737784.656058</v>
      </c>
      <c r="F104" s="63" t="n">
        <f aca="false">IF(AND(ISNUMBER(Training_Prod!F75),ISNUMBER(Training_Prod!F90)),Training!F51+Training_Prod!F75+Training_Prod!F90,"SLO 不可達")</f>
        <v>369242.025166705</v>
      </c>
      <c r="G104" s="63" t="n">
        <f aca="false">IF(AND(ISNUMBER(Training_Prod!G75),ISNUMBER(Training_Prod!G90)),Training!G51+Training_Prod!G75+Training_Prod!G90,"SLO 不可達")</f>
        <v>1318846.72820486</v>
      </c>
      <c r="H104" s="63" t="n">
        <f aca="false">IF(AND(ISNUMBER(Training_Prod!H75),ISNUMBER(Training_Prod!H90)),Training!H51+Training_Prod!H75+Training_Prod!H90,"SLO 不可達")</f>
        <v>20244554.0070377</v>
      </c>
      <c r="I104" s="63" t="n">
        <f aca="false">IF(AND(ISNUMBER(Training_Prod!I75),ISNUMBER(Training_Prod!I90)),Training!I51+Training_Prod!I75+Training_Prod!I90,"SLO 不可達")</f>
        <v>307872.027167383</v>
      </c>
      <c r="J104" s="63" t="n">
        <f aca="false">IF(AND(ISNUMBER(Training_Prod!J75),ISNUMBER(Training_Prod!J90)),Training!J51+Training_Prod!J75+Training_Prod!J90,"SLO 不可達")</f>
        <v>1091535.10308735</v>
      </c>
      <c r="K104" s="63" t="n">
        <f aca="false">IF(AND(ISNUMBER(Training_Prod!K75),ISNUMBER(Training_Prod!K90)),Training!K51+Training_Prod!K75+Training_Prod!K90,"SLO 不可達")</f>
        <v>16713202.8348827</v>
      </c>
      <c r="L104" s="63" t="n">
        <f aca="false">IF(AND(ISNUMBER(Training_Prod!L75),ISNUMBER(Training_Prod!L90)),Training!L51+Training_Prod!L75+Training_Prod!L90,"SLO 不可達")</f>
        <v>128293.542574537</v>
      </c>
      <c r="M104" s="63" t="n">
        <f aca="false">IF(AND(ISNUMBER(Training_Prod!M75),ISNUMBER(Training_Prod!M90)),Training!M51+Training_Prod!M75+Training_Prod!M90,"SLO 不可達")</f>
        <v>452684.212033585</v>
      </c>
      <c r="N104" s="63" t="n">
        <f aca="false">IF(AND(ISNUMBER(Training_Prod!N75),ISNUMBER(Training_Prod!N90)),Training!N51+Training_Prod!N75+Training_Prod!N90,"SLO 不可達")</f>
        <v>6902227.10643078</v>
      </c>
      <c r="O104" s="63" t="n">
        <f aca="false">IF(AND(ISNUMBER(Training_Prod!O75),ISNUMBER(Training_Prod!O90)),Training!O51+Training_Prod!O75+Training_Prod!O90,"SLO 不可達")</f>
        <v>55456.0825743711</v>
      </c>
      <c r="P104" s="63" t="n">
        <f aca="false">IF(AND(ISNUMBER(Training_Prod!P75),ISNUMBER(Training_Prod!P90)),Training!P51+Training_Prod!P75+Training_Prod!P90,"SLO 不可達")</f>
        <v>194310.25604245</v>
      </c>
      <c r="Q104" s="63" t="n">
        <f aca="false">IF(AND(ISNUMBER(Training_Prod!Q75),ISNUMBER(Training_Prod!Q90)),Training!Q51+Training_Prod!Q75+Training_Prod!Q90,"SLO 不可達")</f>
        <v>2896216.5043265</v>
      </c>
      <c r="S104" s="63" t="n">
        <f aca="false">IF(AND(ISNUMBER(Training_Prod!S75),ISNUMBER(Training_Prod!S90)),Training!C51+Training_Prod!S75+Training_Prod!S90,"SLO 不可達")</f>
        <v>1156922.45847323</v>
      </c>
      <c r="T104" s="63" t="n">
        <f aca="false">IF(AND(ISNUMBER(Training_Prod!T75),ISNUMBER(Training_Prod!T90)),Training!D51+Training_Prod!T75+Training_Prod!T90,"SLO 不可達")</f>
        <v>4263384.27926433</v>
      </c>
      <c r="U104" s="63" t="n">
        <f aca="false">IF(AND(ISNUMBER(Training_Prod!U75),ISNUMBER(Training_Prod!U90)),Training!E51+Training_Prod!U75+Training_Prod!U90,"SLO 不可達")</f>
        <v>66282161.8918188</v>
      </c>
      <c r="V104" s="63" t="n">
        <f aca="false">IF(AND(ISNUMBER(Training_Prod!V75),ISNUMBER(Training_Prod!V90)),Training!F51+Training_Prod!V75+Training_Prod!V90,"SLO 不可達")</f>
        <v>339902.296689943</v>
      </c>
      <c r="W104" s="63" t="n">
        <f aca="false">IF(AND(ISNUMBER(Training_Prod!W75),ISNUMBER(Training_Prod!W90)),Training!G51+Training_Prod!W75+Training_Prod!W90,"SLO 不可達")</f>
        <v>1207069.92882012</v>
      </c>
      <c r="X104" s="63" t="n">
        <f aca="false">IF(AND(ISNUMBER(Training_Prod!X75),ISNUMBER(Training_Prod!X90)),Training!H51+Training_Prod!X75+Training_Prod!X90,"SLO 不可達")</f>
        <v>18233602.1440843</v>
      </c>
      <c r="Y104" s="63" t="n">
        <f aca="false">IF(AND(ISNUMBER(Training_Prod!Y75),ISNUMBER(Training_Prod!Y90)),Training!I51+Training_Prod!Y75+Training_Prod!Y90,"SLO 不可達")</f>
        <v>288312.208182875</v>
      </c>
      <c r="Z104" s="63" t="n">
        <f aca="false">IF(AND(ISNUMBER(Training_Prod!Z75),ISNUMBER(Training_Prod!Z90)),Training!J51+Training_Prod!Z75+Training_Prod!Z90,"SLO 不可達")</f>
        <v>1017017.23683086</v>
      </c>
      <c r="AA104" s="63" t="n">
        <f aca="false">IF(AND(ISNUMBER(Training_Prod!AA75),ISNUMBER(Training_Prod!AA90)),Training!K51+Training_Prod!AA75+Training_Prod!AA90,"SLO 不可達")</f>
        <v>15313205.1885937</v>
      </c>
      <c r="AB104" s="63" t="n">
        <f aca="false">IF(AND(ISNUMBER(Training_Prod!AB75),ISNUMBER(Training_Prod!AB90)),Training!L51+Training_Prod!AB75+Training_Prod!AB90,"SLO 不可達")</f>
        <v>117217.93801916</v>
      </c>
      <c r="AC104" s="63" t="n">
        <f aca="false">IF(AND(ISNUMBER(Training_Prod!AC75),ISNUMBER(Training_Prod!AC90)),Training!M51+Training_Prod!AC75+Training_Prod!AC90,"SLO 不可達")</f>
        <v>411736.625794877</v>
      </c>
      <c r="AD104" s="63" t="n">
        <f aca="false">IF(AND(ISNUMBER(Training_Prod!AD75),ISNUMBER(Training_Prod!AD90)),Training!N51+Training_Prod!AD75+Training_Prod!AD90,"SLO 不可達")</f>
        <v>6186311.43998631</v>
      </c>
      <c r="AE104" s="63" t="n">
        <f aca="false">IF(AND(ISNUMBER(Training_Prod!AE75),ISNUMBER(Training_Prod!AE90)),Training!O51+Training_Prod!AE75+Training_Prod!AE90,"SLO 不可達")</f>
        <v>51303.720577081</v>
      </c>
      <c r="AF104" s="63" t="n">
        <f aca="false">IF(AND(ISNUMBER(Training_Prod!AF75),ISNUMBER(Training_Prod!AF90)),Training!P51+Training_Prod!AF75+Training_Prod!AF90,"SLO 不可達")</f>
        <v>179087.586378002</v>
      </c>
      <c r="AG104" s="63" t="n">
        <f aca="false">IF(AND(ISNUMBER(Training_Prod!AG75),ISNUMBER(Training_Prod!AG90)),Training!Q51+Training_Prod!AG75+Training_Prod!AG90,"SLO 不可達")</f>
        <v>2635617.18269202</v>
      </c>
    </row>
    <row r="105" customFormat="false" ht="15" hidden="false" customHeight="false" outlineLevel="0" collapsed="false">
      <c r="A105" s="61" t="s">
        <v>1242</v>
      </c>
      <c r="B105" s="59" t="s">
        <v>1180</v>
      </c>
      <c r="C105" s="63" t="n">
        <f aca="false">IF(AND(ISNUMBER(Training_Prod!C97),ISNUMBER(Training_Prod!C100)),Training_Prod!C97+Training_Prod!C100,"SLO 不可達")</f>
        <v>4716027.68746729</v>
      </c>
      <c r="D105" s="63" t="n">
        <f aca="false">IF(AND(ISNUMBER(Training_Prod!D97),ISNUMBER(Training_Prod!D100)),Training_Prod!D97+Training_Prod!D100,"SLO 不可達")</f>
        <v>9473609.58131513</v>
      </c>
      <c r="E105" s="63" t="n">
        <f aca="false">IF(AND(ISNUMBER(Training_Prod!E97),ISNUMBER(Training_Prod!E100)),Training_Prod!E97+Training_Prod!E100,"SLO 不可達")</f>
        <v>14602987.002074</v>
      </c>
      <c r="F105" s="63" t="n">
        <f aca="false">IF(AND(ISNUMBER(Training_Prod!F97),ISNUMBER(Training_Prod!F100)),Training_Prod!F97+Training_Prod!F100,"SLO 不可達")</f>
        <v>994626.496084419</v>
      </c>
      <c r="G105" s="63" t="n">
        <f aca="false">IF(AND(ISNUMBER(Training_Prod!G97),ISNUMBER(Training_Prod!G100)),Training_Prod!G97+Training_Prod!G100,"SLO 不可達")</f>
        <v>1998055.04840838</v>
      </c>
      <c r="H105" s="63" t="n">
        <f aca="false">IF(AND(ISNUMBER(Training_Prod!H97),ISNUMBER(Training_Prod!H100)),Training_Prod!H97+Training_Prod!H100,"SLO 不可達")</f>
        <v>3079580.08032146</v>
      </c>
      <c r="I105" s="63" t="n">
        <f aca="false">IF(AND(ISNUMBER(Training_Prod!I97),ISNUMBER(Training_Prod!I100)),Training_Prod!I97+Training_Prod!I100,"SLO 不可達")</f>
        <v>688754.407714939</v>
      </c>
      <c r="J105" s="63" t="n">
        <f aca="false">IF(AND(ISNUMBER(Training_Prod!J97),ISNUMBER(Training_Prod!J100)),Training_Prod!J97+Training_Prod!J100,"SLO 不可達")</f>
        <v>1383376.85292291</v>
      </c>
      <c r="K105" s="63" t="n">
        <f aca="false">IF(AND(ISNUMBER(Training_Prod!K97),ISNUMBER(Training_Prod!K100)),Training_Prod!K97+Training_Prod!K100,"SLO 不可達")</f>
        <v>2132630.62555616</v>
      </c>
      <c r="L105" s="63" t="n">
        <f aca="false">IF(AND(ISNUMBER(Training_Prod!L97),ISNUMBER(Training_Prod!L100)),Training_Prod!L97+Training_Prod!L100,"SLO 不可達")</f>
        <v>357138.992288284</v>
      </c>
      <c r="M105" s="63" t="n">
        <f aca="false">IF(AND(ISNUMBER(Training_Prod!M97),ISNUMBER(Training_Prod!M100)),Training_Prod!M97+Training_Prod!M100,"SLO 不可達")</f>
        <v>717492.058262058</v>
      </c>
      <c r="N105" s="63" t="n">
        <f aca="false">IF(AND(ISNUMBER(Training_Prod!N97),ISNUMBER(Training_Prod!N100)),Training_Prod!N97+Training_Prod!N100,"SLO 不可達")</f>
        <v>1105707.71698531</v>
      </c>
      <c r="O105" s="63" t="n">
        <f aca="false">IF(AND(ISNUMBER(Training_Prod!O97),ISNUMBER(Training_Prod!O100)),Training_Prod!O97+Training_Prod!O100,"SLO 不可達")</f>
        <v>130382.958870473</v>
      </c>
      <c r="P105" s="63" t="n">
        <f aca="false">IF(AND(ISNUMBER(Training_Prod!P97),ISNUMBER(Training_Prod!P100)),Training_Prod!P97+Training_Prod!P100,"SLO 不可達")</f>
        <v>261956.59903382</v>
      </c>
      <c r="Q105" s="63" t="n">
        <f aca="false">IF(AND(ISNUMBER(Training_Prod!Q97),ISNUMBER(Training_Prod!Q100)),Training_Prod!Q97+Training_Prod!Q100,"SLO 不可達")</f>
        <v>403654.498918959</v>
      </c>
      <c r="S105" s="63" t="n">
        <f aca="false">IF(AND(ISNUMBER(Training_Prod!S97),ISNUMBER(Training_Prod!S100)),Training_Prod!S97+Training_Prod!S100,"SLO 不可達")</f>
        <v>3812019.77251572</v>
      </c>
      <c r="T105" s="63" t="n">
        <f aca="false">IF(AND(ISNUMBER(Training_Prod!T97),ISNUMBER(Training_Prod!T100)),Training_Prod!T97+Training_Prod!T100,"SLO 不可達")</f>
        <v>7658315.07789158</v>
      </c>
      <c r="U105" s="63" t="n">
        <f aca="false">IF(AND(ISNUMBER(Training_Prod!U97),ISNUMBER(Training_Prod!U100)),Training_Prod!U97+Training_Prod!U100,"SLO 不可達")</f>
        <v>11803314.6687264</v>
      </c>
      <c r="V105" s="63" t="n">
        <f aca="false">IF(AND(ISNUMBER(Training_Prod!V97),ISNUMBER(Training_Prod!V100)),Training_Prod!V97+Training_Prod!V100,"SLO 不可達")</f>
        <v>820384.117063266</v>
      </c>
      <c r="W105" s="63" t="n">
        <f aca="false">IF(AND(ISNUMBER(Training_Prod!W97),ISNUMBER(Training_Prod!W100)),Training_Prod!W97+Training_Prod!W100,"SLO 不可達")</f>
        <v>1648115.37671739</v>
      </c>
      <c r="X105" s="63" t="n">
        <f aca="false">IF(AND(ISNUMBER(Training_Prod!X97),ISNUMBER(Training_Prod!X100)),Training_Prod!X97+Training_Prod!X100,"SLO 不可達")</f>
        <v>2540028.48827918</v>
      </c>
      <c r="Y105" s="63" t="n">
        <f aca="false">IF(AND(ISNUMBER(Training_Prod!Y97),ISNUMBER(Training_Prod!Y100)),Training_Prod!Y97+Training_Prod!Y100,"SLO 不可達")</f>
        <v>567443.983911165</v>
      </c>
      <c r="Z105" s="63" t="n">
        <f aca="false">IF(AND(ISNUMBER(Training_Prod!Z97),ISNUMBER(Training_Prod!Z100)),Training_Prod!Z97+Training_Prod!Z100,"SLO 不可達")</f>
        <v>1139786.0628829</v>
      </c>
      <c r="AA105" s="63" t="n">
        <f aca="false">IF(AND(ISNUMBER(Training_Prod!AA97),ISNUMBER(Training_Prod!AA100)),Training_Prod!AA97+Training_Prod!AA100,"SLO 不可達")</f>
        <v>1756968.16704665</v>
      </c>
      <c r="AB105" s="63" t="n">
        <f aca="false">IF(AND(ISNUMBER(Training_Prod!AB97),ISNUMBER(Training_Prod!AB100)),Training_Prod!AB97+Training_Prod!AB100,"SLO 不可達")</f>
        <v>295076.931280297</v>
      </c>
      <c r="AC105" s="63" t="n">
        <f aca="false">IF(AND(ISNUMBER(Training_Prod!AC97),ISNUMBER(Training_Prod!AC100)),Training_Prod!AC97+Training_Prod!AC100,"SLO 不可達")</f>
        <v>592838.408093639</v>
      </c>
      <c r="AD105" s="63" t="n">
        <f aca="false">IF(AND(ISNUMBER(Training_Prod!AD97),ISNUMBER(Training_Prod!AD100)),Training_Prod!AD97+Training_Prod!AD100,"SLO 不可達")</f>
        <v>913542.128737021</v>
      </c>
      <c r="AE105" s="63" t="n">
        <f aca="false">IF(AND(ISNUMBER(Training_Prod!AE97),ISNUMBER(Training_Prod!AE100)),Training_Prod!AE97+Training_Prod!AE100,"SLO 不可達")</f>
        <v>107805.489254781</v>
      </c>
      <c r="AF105" s="63" t="n">
        <f aca="false">IF(AND(ISNUMBER(Training_Prod!AF97),ISNUMBER(Training_Prod!AF100)),Training_Prod!AF97+Training_Prod!AF100,"SLO 不可達")</f>
        <v>216605.67220172</v>
      </c>
      <c r="AG105" s="63" t="n">
        <f aca="false">IF(AND(ISNUMBER(Training_Prod!AG97),ISNUMBER(Training_Prod!AG100)),Training_Prod!AG97+Training_Prod!AG100,"SLO 不可達")</f>
        <v>333749.222961523</v>
      </c>
    </row>
    <row r="106" customFormat="false" ht="15" hidden="false" customHeight="false" outlineLevel="0" collapsed="false">
      <c r="A106" s="61" t="s">
        <v>1243</v>
      </c>
      <c r="B106" s="59" t="s">
        <v>1180</v>
      </c>
      <c r="C106" s="171" t="n">
        <f aca="false">IF(AND(ISNUMBER(Training_Prod!C104),ISNUMBER(Training_Prod!C105)),Training!C103+Training_Prod!C104+Training_Prod!C105,"SLO 不可達")</f>
        <v>8331835.06461192</v>
      </c>
      <c r="D106" s="171" t="n">
        <f aca="false">IF(AND(ISNUMBER(Training_Prod!D104),ISNUMBER(Training_Prod!D105)),Training!D103+Training_Prod!D104+Training_Prod!D105,"SLO 不可達")</f>
        <v>22621129.1188858</v>
      </c>
      <c r="E106" s="171" t="n">
        <f aca="false">IF(AND(ISNUMBER(Training_Prod!E104),ISNUMBER(Training_Prod!E105)),Training!E103+Training_Prod!E104+Training_Prod!E105,"SLO 不可達")</f>
        <v>136579116.213744</v>
      </c>
      <c r="F106" s="171" t="n">
        <f aca="false">IF(AND(ISNUMBER(Training_Prod!F104),ISNUMBER(Training_Prod!F105)),Training!F103+Training_Prod!F104+Training_Prod!F105,"SLO 不可達")</f>
        <v>2283362.27691392</v>
      </c>
      <c r="G106" s="171" t="n">
        <f aca="false">IF(AND(ISNUMBER(Training_Prod!G104),ISNUMBER(Training_Prod!G105)),Training!G103+Training_Prod!G104+Training_Prod!G105,"SLO 不可達")</f>
        <v>6614051.58756521</v>
      </c>
      <c r="H106" s="171" t="n">
        <f aca="false">IF(AND(ISNUMBER(Training_Prod!H104),ISNUMBER(Training_Prod!H105)),Training!H103+Training_Prod!H104+Training_Prod!H105,"SLO 不可達")</f>
        <v>41229470.8624703</v>
      </c>
      <c r="I106" s="171" t="n">
        <f aca="false">IF(AND(ISNUMBER(Training_Prod!I104),ISNUMBER(Training_Prod!I105)),Training!I103+Training_Prod!I104+Training_Prod!I105,"SLO 不可達")</f>
        <v>1916120.19054511</v>
      </c>
      <c r="J106" s="171" t="n">
        <f aca="false">IF(AND(ISNUMBER(Training_Prod!J104),ISNUMBER(Training_Prod!J105)),Training!J103+Training_Prod!J104+Training_Prod!J105,"SLO 不可達")</f>
        <v>5772061.76696223</v>
      </c>
      <c r="K106" s="171" t="n">
        <f aca="false">IF(AND(ISNUMBER(Training_Prod!K104),ISNUMBER(Training_Prod!K105)),Training!K103+Training_Prod!K104+Training_Prod!K105,"SLO 不可達")</f>
        <v>36751170.23555</v>
      </c>
      <c r="L106" s="171" t="n">
        <f aca="false">IF(AND(ISNUMBER(Training_Prod!L104),ISNUMBER(Training_Prod!L105)),Training!L103+Training_Prod!L104+Training_Prod!L105,"SLO 不可達")</f>
        <v>777335.314438309</v>
      </c>
      <c r="M106" s="171" t="n">
        <f aca="false">IF(AND(ISNUMBER(Training_Prod!M104),ISNUMBER(Training_Prod!M105)),Training!M103+Training_Prod!M104+Training_Prod!M105,"SLO 不可達")</f>
        <v>2216890.49599468</v>
      </c>
      <c r="N106" s="171" t="n">
        <f aca="false">IF(AND(ISNUMBER(Training_Prod!N104),ISNUMBER(Training_Prod!N105)),Training!N103+Training_Prod!N104+Training_Prod!N105,"SLO 不可達")</f>
        <v>13692168.7202768</v>
      </c>
      <c r="O106" s="171" t="n">
        <f aca="false">IF(AND(ISNUMBER(Training_Prod!O104),ISNUMBER(Training_Prod!O105)),Training!O103+Training_Prod!O104+Training_Prod!O105,"SLO 不可達")</f>
        <v>331790.431232589</v>
      </c>
      <c r="P106" s="171" t="n">
        <f aca="false">IF(AND(ISNUMBER(Training_Prod!P104),ISNUMBER(Training_Prod!P105)),Training!P103+Training_Prod!P104+Training_Prod!P105,"SLO 不可達")</f>
        <v>979623.967925788</v>
      </c>
      <c r="Q106" s="171" t="n">
        <f aca="false">IF(AND(ISNUMBER(Training_Prod!Q104),ISNUMBER(Training_Prod!Q105)),Training!Q103+Training_Prod!Q104+Training_Prod!Q105,"SLO 不可達")</f>
        <v>6141987.95167579</v>
      </c>
      <c r="S106" s="171" t="n">
        <f aca="false">IF(AND(ISNUMBER(Training_Prod!S104),ISNUMBER(Training_Prod!S105)),Training!C103+Training_Prod!S104+Training_Prod!S105,"SLO 不可達")</f>
        <v>7292069.45600863</v>
      </c>
      <c r="T106" s="171" t="n">
        <f aca="false">IF(AND(ISNUMBER(Training_Prod!T104),ISNUMBER(Training_Prod!T105)),Training!D103+Training_Prod!T104+Training_Prod!T105,"SLO 不可達")</f>
        <v>20252042.4874034</v>
      </c>
      <c r="U106" s="171" t="n">
        <f aca="false">IF(AND(ISNUMBER(Training_Prod!U104),ISNUMBER(Training_Prod!U105)),Training!E103+Training_Prod!U104+Training_Prod!U105,"SLO 不可達")</f>
        <v>123323821.116157</v>
      </c>
      <c r="V106" s="171" t="n">
        <f aca="false">IF(AND(ISNUMBER(Training_Prod!V104),ISNUMBER(Training_Prod!V105)),Training!F103+Training_Prod!V104+Training_Prod!V105,"SLO 不可達")</f>
        <v>2079780.169416</v>
      </c>
      <c r="W106" s="171" t="n">
        <f aca="false">IF(AND(ISNUMBER(Training_Prod!W104),ISNUMBER(Training_Prod!W105)),Training!G103+Training_Prod!W104+Training_Prod!W105,"SLO 不可達")</f>
        <v>6152335.11648947</v>
      </c>
      <c r="X106" s="171" t="n">
        <f aca="false">IF(AND(ISNUMBER(Training_Prod!X104),ISNUMBER(Training_Prod!X105)),Training!H103+Training_Prod!X104+Training_Prod!X105,"SLO 不可達")</f>
        <v>38678967.4074746</v>
      </c>
      <c r="Y106" s="171" t="n">
        <f aca="false">IF(AND(ISNUMBER(Training_Prod!Y104),ISNUMBER(Training_Prod!Y105)),Training!I103+Training_Prod!Y104+Training_Prod!Y105,"SLO 不可達")</f>
        <v>1775249.94775683</v>
      </c>
      <c r="Z106" s="171" t="n">
        <f aca="false">IF(AND(ISNUMBER(Training_Prod!Z104),ISNUMBER(Training_Prod!Z105)),Training!J103+Training_Prod!Z104+Training_Prod!Z105,"SLO 不可達")</f>
        <v>5453953.11066573</v>
      </c>
      <c r="AA106" s="171" t="n">
        <f aca="false">IF(AND(ISNUMBER(Training_Prod!AA104),ISNUMBER(Training_Prod!AA105)),Training!K103+Training_Prod!AA104+Training_Prod!AA105,"SLO 不可達")</f>
        <v>34975510.1307514</v>
      </c>
      <c r="AB106" s="171" t="n">
        <f aca="false">IF(AND(ISNUMBER(Training_Prod!AB104),ISNUMBER(Training_Prod!AB105)),Training!L103+Training_Prod!AB104+Training_Prod!AB105,"SLO 不可達")</f>
        <v>704197.648874947</v>
      </c>
      <c r="AC106" s="171" t="n">
        <f aca="false">IF(AND(ISNUMBER(Training_Prod!AC104),ISNUMBER(Training_Prod!AC105)),Training!M103+Training_Prod!AC104+Training_Prod!AC105,"SLO 不可達")</f>
        <v>2051289.25958755</v>
      </c>
      <c r="AD106" s="171" t="n">
        <f aca="false">IF(AND(ISNUMBER(Training_Prod!AD104),ISNUMBER(Training_Prod!AD105)),Training!N103+Training_Prod!AD104+Training_Prod!AD105,"SLO 不可達")</f>
        <v>12784087.465584</v>
      </c>
      <c r="AE106" s="171" t="n">
        <f aca="false">IF(AND(ISNUMBER(Training_Prod!AE104),ISNUMBER(Training_Prod!AE105)),Training!O103+Training_Prod!AE104+Training_Prod!AE105,"SLO 不可達")</f>
        <v>305060.599619606</v>
      </c>
      <c r="AF106" s="171" t="n">
        <f aca="false">IF(AND(ISNUMBER(Training_Prod!AF104),ISNUMBER(Training_Prod!AF105)),Training!P103+Training_Prod!AF104+Training_Prod!AF105,"SLO 不可達")</f>
        <v>919050.37142924</v>
      </c>
      <c r="AG106" s="171" t="n">
        <f aca="false">IF(AND(ISNUMBER(Training_Prod!AG104),ISNUMBER(Training_Prod!AG105)),Training!Q103+Training_Prod!AG104+Training_Prod!AG105,"SLO 不可達")</f>
        <v>5811483.35408388</v>
      </c>
    </row>
    <row r="120" customFormat="false" ht="15" hidden="false" customHeight="false" outlineLevel="0" collapsed="false">
      <c r="A120" s="61" t="s">
        <v>1258</v>
      </c>
      <c r="B120" s="59" t="s">
        <v>1180</v>
      </c>
      <c r="C120" s="171" t="n">
        <f aca="false">IF(AND(ISNUMBER(Training_Prod!C106)),Training_Prod!C106*Training!C119,"SLO 不可達")</f>
        <v>66654680.5168953</v>
      </c>
      <c r="D120" s="171" t="n">
        <f aca="false">IF(AND(ISNUMBER(Training_Prod!D106)),Training_Prod!D106*Training!D119,"SLO 不可達")</f>
        <v>180969032.951087</v>
      </c>
      <c r="E120" s="171" t="n">
        <f aca="false">IF(AND(ISNUMBER(Training_Prod!E106)),Training_Prod!E106*Training!E119,"SLO 不可達")</f>
        <v>1092632929.70995</v>
      </c>
      <c r="F120" s="171" t="n">
        <f aca="false">IF(AND(ISNUMBER(Training_Prod!F106)),Training_Prod!F106*Training!F119,"SLO 不可達")</f>
        <v>18266898.2153113</v>
      </c>
      <c r="G120" s="171" t="n">
        <f aca="false">IF(AND(ISNUMBER(Training_Prod!G106)),Training_Prod!G106*Training!G119,"SLO 不可達")</f>
        <v>52912412.7005217</v>
      </c>
      <c r="H120" s="171" t="n">
        <f aca="false">IF(AND(ISNUMBER(Training_Prod!H106)),Training_Prod!H106*Training!H119,"SLO 不可達")</f>
        <v>329835766.899762</v>
      </c>
      <c r="I120" s="171" t="n">
        <f aca="false">IF(AND(ISNUMBER(Training_Prod!I106)),Training_Prod!I106*Training!I119,"SLO 不可達")</f>
        <v>15328961.5243609</v>
      </c>
      <c r="J120" s="171" t="n">
        <f aca="false">IF(AND(ISNUMBER(Training_Prod!J106)),Training_Prod!J106*Training!J119,"SLO 不可達")</f>
        <v>46176494.1356978</v>
      </c>
      <c r="K120" s="171" t="n">
        <f aca="false">IF(AND(ISNUMBER(Training_Prod!K106)),Training_Prod!K106*Training!K119,"SLO 不可達")</f>
        <v>294009361.8844</v>
      </c>
      <c r="L120" s="171" t="n">
        <f aca="false">IF(AND(ISNUMBER(Training_Prod!L106)),Training_Prod!L106*Training!L119,"SLO 不可達")</f>
        <v>6218682.51550648</v>
      </c>
      <c r="M120" s="171" t="n">
        <f aca="false">IF(AND(ISNUMBER(Training_Prod!M106)),Training_Prod!M106*Training!M119,"SLO 不可達")</f>
        <v>17735123.9679574</v>
      </c>
      <c r="N120" s="171" t="n">
        <f aca="false">IF(AND(ISNUMBER(Training_Prod!N106)),Training_Prod!N106*Training!N119,"SLO 不可達")</f>
        <v>109537349.762214</v>
      </c>
      <c r="O120" s="171" t="n">
        <f aca="false">IF(AND(ISNUMBER(Training_Prod!O106)),Training_Prod!O106*Training!O119,"SLO 不可達")</f>
        <v>2654323.44986071</v>
      </c>
      <c r="P120" s="171" t="n">
        <f aca="false">IF(AND(ISNUMBER(Training_Prod!P106)),Training_Prod!P106*Training!P119,"SLO 不可達")</f>
        <v>7836991.7434063</v>
      </c>
      <c r="Q120" s="171" t="n">
        <f aca="false">IF(AND(ISNUMBER(Training_Prod!Q106)),Training_Prod!Q106*Training!Q119,"SLO 不可達")</f>
        <v>49135903.6134063</v>
      </c>
      <c r="S120" s="171" t="n">
        <f aca="false">IF(AND(ISNUMBER(Training_Prod!S106)),Training_Prod!S106*Training!C119,"SLO 不可達")</f>
        <v>58336555.6480691</v>
      </c>
      <c r="T120" s="171" t="n">
        <f aca="false">IF(AND(ISNUMBER(Training_Prod!T106)),Training_Prod!T106*Training!D119,"SLO 不可達")</f>
        <v>162016339.899227</v>
      </c>
      <c r="U120" s="171" t="n">
        <f aca="false">IF(AND(ISNUMBER(Training_Prod!U106)),Training_Prod!U106*Training!E119,"SLO 不可達")</f>
        <v>986590568.929256</v>
      </c>
      <c r="V120" s="171" t="n">
        <f aca="false">IF(AND(ISNUMBER(Training_Prod!V106)),Training_Prod!V106*Training!F119,"SLO 不可達")</f>
        <v>16638241.355328</v>
      </c>
      <c r="W120" s="171" t="n">
        <f aca="false">IF(AND(ISNUMBER(Training_Prod!W106)),Training_Prod!W106*Training!G119,"SLO 不可達")</f>
        <v>49218680.9319158</v>
      </c>
      <c r="X120" s="171" t="n">
        <f aca="false">IF(AND(ISNUMBER(Training_Prod!X106)),Training_Prod!X106*Training!H119,"SLO 不可達")</f>
        <v>309431739.259797</v>
      </c>
      <c r="Y120" s="171" t="n">
        <f aca="false">IF(AND(ISNUMBER(Training_Prod!Y106)),Training_Prod!Y106*Training!I119,"SLO 不可達")</f>
        <v>14201999.5820546</v>
      </c>
      <c r="Z120" s="171" t="n">
        <f aca="false">IF(AND(ISNUMBER(Training_Prod!Z106)),Training_Prod!Z106*Training!J119,"SLO 不可達")</f>
        <v>43631624.8853258</v>
      </c>
      <c r="AA120" s="171" t="n">
        <f aca="false">IF(AND(ISNUMBER(Training_Prod!AA106)),Training_Prod!AA106*Training!K119,"SLO 不可達")</f>
        <v>279804081.046011</v>
      </c>
      <c r="AB120" s="171" t="n">
        <f aca="false">IF(AND(ISNUMBER(Training_Prod!AB106)),Training_Prod!AB106*Training!L119,"SLO 不可達")</f>
        <v>5633581.19099958</v>
      </c>
      <c r="AC120" s="171" t="n">
        <f aca="false">IF(AND(ISNUMBER(Training_Prod!AC106)),Training_Prod!AC106*Training!M119,"SLO 不可達")</f>
        <v>16410314.0767004</v>
      </c>
      <c r="AD120" s="171" t="n">
        <f aca="false">IF(AND(ISNUMBER(Training_Prod!AD106)),Training_Prod!AD106*Training!N119,"SLO 不可達")</f>
        <v>102272699.724672</v>
      </c>
      <c r="AE120" s="171" t="n">
        <f aca="false">IF(AND(ISNUMBER(Training_Prod!AE106)),Training_Prod!AE106*Training!O119,"SLO 不可達")</f>
        <v>2440484.79695685</v>
      </c>
      <c r="AF120" s="171" t="n">
        <f aca="false">IF(AND(ISNUMBER(Training_Prod!AF106)),Training_Prod!AF106*Training!P119,"SLO 不可達")</f>
        <v>7352402.97143392</v>
      </c>
      <c r="AG120" s="171" t="n">
        <f aca="false">IF(AND(ISNUMBER(Training_Prod!AG106)),Training_Prod!AG106*Training!Q119,"SLO 不可達")</f>
        <v>46491866.832671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7" min="3" style="0" width="12.5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2729</v>
      </c>
    </row>
    <row r="2" customFormat="false" ht="15" hidden="false" customHeight="false" outlineLevel="0" collapsed="false">
      <c r="A2" s="74" t="s">
        <v>2730</v>
      </c>
    </row>
    <row r="3" customFormat="false" ht="15" hidden="false" customHeight="false" outlineLevel="0" collapsed="false">
      <c r="S3" s="60" t="s">
        <v>2722</v>
      </c>
    </row>
    <row r="4" customFormat="false" ht="15" hidden="false" customHeight="false" outlineLevel="0" collapsed="false">
      <c r="A4" s="92" t="str">
        <f aca="false">Unit_Cost!A4</f>
        <v>世代</v>
      </c>
      <c r="C4" s="92" t="str">
        <f aca="false">Unit_Cost!C4</f>
        <v>Hopper H100</v>
      </c>
      <c r="D4" s="92" t="str">
        <f aca="false">Unit_Cost!D4</f>
        <v>Hopper H100</v>
      </c>
      <c r="E4" s="92" t="str">
        <f aca="false">Unit_Cost!E4</f>
        <v>Hopper H100</v>
      </c>
      <c r="F4" s="92" t="str">
        <f aca="false">Unit_Cost!F4</f>
        <v>GB200 NVL72</v>
      </c>
      <c r="G4" s="92" t="str">
        <f aca="false">Unit_Cost!G4</f>
        <v>GB200 NVL72</v>
      </c>
      <c r="H4" s="92" t="str">
        <f aca="false">Unit_Cost!H4</f>
        <v>GB200 NVL72</v>
      </c>
      <c r="I4" s="92" t="str">
        <f aca="false">Unit_Cost!I4</f>
        <v>GB300 NVL72</v>
      </c>
      <c r="J4" s="92" t="str">
        <f aca="false">Unit_Cost!J4</f>
        <v>GB300 NVL72</v>
      </c>
      <c r="K4" s="92" t="str">
        <f aca="false">Unit_Cost!K4</f>
        <v>GB300 NVL72</v>
      </c>
      <c r="L4" s="92" t="str">
        <f aca="false">Unit_Cost!L4</f>
        <v>VR200 NVL72</v>
      </c>
      <c r="M4" s="92" t="str">
        <f aca="false">Unit_Cost!M4</f>
        <v>VR200 NVL72</v>
      </c>
      <c r="N4" s="92" t="str">
        <f aca="false">Unit_Cost!N4</f>
        <v>VR200 NVL72</v>
      </c>
      <c r="O4" s="92" t="str">
        <f aca="false">Unit_Cost!O4</f>
        <v>Rubin Ultra（MGX NVL 單架，72 GPU）</v>
      </c>
      <c r="P4" s="92" t="str">
        <f aca="false">Unit_Cost!P4</f>
        <v>Rubin Ultra（MGX NVL 單架，72 GPU）</v>
      </c>
      <c r="Q4" s="92" t="str">
        <f aca="false">Unit_Cost!Q4</f>
        <v>Rubin Ultra（MGX NVL 單架，72 GPU）</v>
      </c>
      <c r="S4" s="92" t="str">
        <f aca="false">Unit_Cost!C4</f>
        <v>Hopper H100</v>
      </c>
      <c r="T4" s="92" t="str">
        <f aca="false">Unit_Cost!D4</f>
        <v>Hopper H100</v>
      </c>
      <c r="U4" s="92" t="str">
        <f aca="false">Unit_Cost!E4</f>
        <v>Hopper H100</v>
      </c>
      <c r="V4" s="92" t="str">
        <f aca="false">Unit_Cost!F4</f>
        <v>GB200 NVL72</v>
      </c>
      <c r="W4" s="92" t="str">
        <f aca="false">Unit_Cost!G4</f>
        <v>GB200 NVL72</v>
      </c>
      <c r="X4" s="92" t="str">
        <f aca="false">Unit_Cost!H4</f>
        <v>GB200 NVL72</v>
      </c>
      <c r="Y4" s="92" t="str">
        <f aca="false">Unit_Cost!I4</f>
        <v>GB300 NVL72</v>
      </c>
      <c r="Z4" s="92" t="str">
        <f aca="false">Unit_Cost!J4</f>
        <v>GB300 NVL72</v>
      </c>
      <c r="AA4" s="92" t="str">
        <f aca="false">Unit_Cost!K4</f>
        <v>GB300 NVL72</v>
      </c>
      <c r="AB4" s="92" t="str">
        <f aca="false">Unit_Cost!L4</f>
        <v>VR200 NVL72</v>
      </c>
      <c r="AC4" s="92" t="str">
        <f aca="false">Unit_Cost!M4</f>
        <v>VR200 NVL72</v>
      </c>
      <c r="AD4" s="92" t="str">
        <f aca="false">Unit_Cost!N4</f>
        <v>VR200 NVL72</v>
      </c>
      <c r="AE4" s="92" t="str">
        <f aca="false">Unit_Cost!O4</f>
        <v>Rubin Ultra（MGX NVL 單架，72 GPU）</v>
      </c>
      <c r="AF4" s="92" t="str">
        <f aca="false">Unit_Cost!P4</f>
        <v>Rubin Ultra（MGX NVL 單架，72 GPU）</v>
      </c>
      <c r="AG4" s="92" t="str">
        <f aca="false">Unit_Cost!Q4</f>
        <v>Rubin Ultra（MGX NVL 單架，72 GPU）</v>
      </c>
    </row>
    <row r="5" customFormat="false" ht="15" hidden="false" customHeight="false" outlineLevel="0" collapsed="false">
      <c r="A5" s="92" t="str">
        <f aca="false">Unit_Cost!A5</f>
        <v>成本情境</v>
      </c>
      <c r="C5" s="92" t="str">
        <f aca="false">Unit_Cost!C5</f>
        <v>低成本</v>
      </c>
      <c r="D5" s="92" t="str">
        <f aca="false">Unit_Cost!D5</f>
        <v>基準</v>
      </c>
      <c r="E5" s="92" t="str">
        <f aca="false">Unit_Cost!E5</f>
        <v>高成本</v>
      </c>
      <c r="F5" s="92" t="str">
        <f aca="false">Unit_Cost!F5</f>
        <v>低成本</v>
      </c>
      <c r="G5" s="92" t="str">
        <f aca="false">Unit_Cost!G5</f>
        <v>基準</v>
      </c>
      <c r="H5" s="92" t="str">
        <f aca="false">Unit_Cost!H5</f>
        <v>高成本</v>
      </c>
      <c r="I5" s="92" t="str">
        <f aca="false">Unit_Cost!I5</f>
        <v>低成本</v>
      </c>
      <c r="J5" s="92" t="str">
        <f aca="false">Unit_Cost!J5</f>
        <v>基準</v>
      </c>
      <c r="K5" s="92" t="str">
        <f aca="false">Unit_Cost!K5</f>
        <v>高成本</v>
      </c>
      <c r="L5" s="92" t="str">
        <f aca="false">Unit_Cost!L5</f>
        <v>低成本</v>
      </c>
      <c r="M5" s="92" t="str">
        <f aca="false">Unit_Cost!M5</f>
        <v>基準</v>
      </c>
      <c r="N5" s="92" t="str">
        <f aca="false">Unit_Cost!N5</f>
        <v>高成本</v>
      </c>
      <c r="O5" s="92" t="str">
        <f aca="false">Unit_Cost!O5</f>
        <v>低成本</v>
      </c>
      <c r="P5" s="92" t="str">
        <f aca="false">Unit_Cost!P5</f>
        <v>基準</v>
      </c>
      <c r="Q5" s="92" t="str">
        <f aca="false">Unit_Cost!Q5</f>
        <v>高成本</v>
      </c>
      <c r="S5" s="92" t="str">
        <f aca="false">Unit_Cost!C5</f>
        <v>低成本</v>
      </c>
      <c r="T5" s="92" t="str">
        <f aca="false">Unit_Cost!D5</f>
        <v>基準</v>
      </c>
      <c r="U5" s="92" t="str">
        <f aca="false">Unit_Cost!E5</f>
        <v>高成本</v>
      </c>
      <c r="V5" s="92" t="str">
        <f aca="false">Unit_Cost!F5</f>
        <v>低成本</v>
      </c>
      <c r="W5" s="92" t="str">
        <f aca="false">Unit_Cost!G5</f>
        <v>基準</v>
      </c>
      <c r="X5" s="92" t="str">
        <f aca="false">Unit_Cost!H5</f>
        <v>高成本</v>
      </c>
      <c r="Y5" s="92" t="str">
        <f aca="false">Unit_Cost!I5</f>
        <v>低成本</v>
      </c>
      <c r="Z5" s="92" t="str">
        <f aca="false">Unit_Cost!J5</f>
        <v>基準</v>
      </c>
      <c r="AA5" s="92" t="str">
        <f aca="false">Unit_Cost!K5</f>
        <v>高成本</v>
      </c>
      <c r="AB5" s="92" t="str">
        <f aca="false">Unit_Cost!L5</f>
        <v>低成本</v>
      </c>
      <c r="AC5" s="92" t="str">
        <f aca="false">Unit_Cost!M5</f>
        <v>基準</v>
      </c>
      <c r="AD5" s="92" t="str">
        <f aca="false">Unit_Cost!N5</f>
        <v>高成本</v>
      </c>
      <c r="AE5" s="92" t="str">
        <f aca="false">Unit_Cost!O5</f>
        <v>低成本</v>
      </c>
      <c r="AF5" s="92" t="str">
        <f aca="false">Unit_Cost!P5</f>
        <v>基準</v>
      </c>
      <c r="AG5" s="92" t="str">
        <f aca="false">Unit_Cost!Q5</f>
        <v>高成本</v>
      </c>
    </row>
    <row r="6" customFormat="false" ht="15" hidden="false" customHeight="false" outlineLevel="0" collapsed="false">
      <c r="A6" s="92" t="str">
        <f aca="false">Unit_Cost!A6</f>
        <v>世代索引</v>
      </c>
      <c r="C6" s="89" t="n">
        <f aca="false">Unit_Cost!C6</f>
        <v>1</v>
      </c>
      <c r="D6" s="89" t="n">
        <f aca="false">Unit_Cost!D6</f>
        <v>1</v>
      </c>
      <c r="E6" s="89" t="n">
        <f aca="false">Unit_Cost!E6</f>
        <v>1</v>
      </c>
      <c r="F6" s="89" t="n">
        <f aca="false">Unit_Cost!F6</f>
        <v>2</v>
      </c>
      <c r="G6" s="89" t="n">
        <f aca="false">Unit_Cost!G6</f>
        <v>2</v>
      </c>
      <c r="H6" s="89" t="n">
        <f aca="false">Unit_Cost!H6</f>
        <v>2</v>
      </c>
      <c r="I6" s="89" t="n">
        <f aca="false">Unit_Cost!I6</f>
        <v>3</v>
      </c>
      <c r="J6" s="89" t="n">
        <f aca="false">Unit_Cost!J6</f>
        <v>3</v>
      </c>
      <c r="K6" s="89" t="n">
        <f aca="false">Unit_Cost!K6</f>
        <v>3</v>
      </c>
      <c r="L6" s="89" t="n">
        <f aca="false">Unit_Cost!L6</f>
        <v>4</v>
      </c>
      <c r="M6" s="89" t="n">
        <f aca="false">Unit_Cost!M6</f>
        <v>4</v>
      </c>
      <c r="N6" s="89" t="n">
        <f aca="false">Unit_Cost!N6</f>
        <v>4</v>
      </c>
      <c r="O6" s="89" t="n">
        <f aca="false">Unit_Cost!O6</f>
        <v>5</v>
      </c>
      <c r="P6" s="89" t="n">
        <f aca="false">Unit_Cost!P6</f>
        <v>5</v>
      </c>
      <c r="Q6" s="89" t="n">
        <f aca="false">Unit_Cost!Q6</f>
        <v>5</v>
      </c>
      <c r="S6" s="89" t="n">
        <f aca="false">Unit_Cost!C6</f>
        <v>1</v>
      </c>
      <c r="T6" s="89" t="n">
        <f aca="false">Unit_Cost!D6</f>
        <v>1</v>
      </c>
      <c r="U6" s="89" t="n">
        <f aca="false">Unit_Cost!E6</f>
        <v>1</v>
      </c>
      <c r="V6" s="89" t="n">
        <f aca="false">Unit_Cost!F6</f>
        <v>2</v>
      </c>
      <c r="W6" s="89" t="n">
        <f aca="false">Unit_Cost!G6</f>
        <v>2</v>
      </c>
      <c r="X6" s="89" t="n">
        <f aca="false">Unit_Cost!H6</f>
        <v>2</v>
      </c>
      <c r="Y6" s="89" t="n">
        <f aca="false">Unit_Cost!I6</f>
        <v>3</v>
      </c>
      <c r="Z6" s="89" t="n">
        <f aca="false">Unit_Cost!J6</f>
        <v>3</v>
      </c>
      <c r="AA6" s="89" t="n">
        <f aca="false">Unit_Cost!K6</f>
        <v>3</v>
      </c>
      <c r="AB6" s="89" t="n">
        <f aca="false">Unit_Cost!L6</f>
        <v>4</v>
      </c>
      <c r="AC6" s="89" t="n">
        <f aca="false">Unit_Cost!M6</f>
        <v>4</v>
      </c>
      <c r="AD6" s="89" t="n">
        <f aca="false">Unit_Cost!N6</f>
        <v>4</v>
      </c>
      <c r="AE6" s="89" t="n">
        <f aca="false">Unit_Cost!O6</f>
        <v>5</v>
      </c>
      <c r="AF6" s="89" t="n">
        <f aca="false">Unit_Cost!P6</f>
        <v>5</v>
      </c>
      <c r="AG6" s="89" t="n">
        <f aca="false">Unit_Cost!Q6</f>
        <v>5</v>
      </c>
    </row>
    <row r="7" customFormat="false" ht="15" hidden="false" customHeight="false" outlineLevel="0" collapsed="false">
      <c r="A7" s="92" t="str">
        <f aca="false">Unit_Cost!A7</f>
        <v>共用</v>
      </c>
    </row>
    <row r="13" customFormat="false" ht="15" hidden="false" customHeight="false" outlineLevel="0" collapsed="false">
      <c r="A13" s="62" t="s">
        <v>989</v>
      </c>
      <c r="B13" s="59" t="s">
        <v>925</v>
      </c>
      <c r="C13" s="98" t="n">
        <f aca="false">INDEX(Perf_Prod!$C$101:$Q$101,3*(Unit_Cost!C$6-1)+1)</f>
        <v>151.707275617169</v>
      </c>
      <c r="D13" s="98" t="n">
        <f aca="false">INDEX(Perf_Prod!$C$101:$Q$101,3*(Unit_Cost!D$6-1)+1)</f>
        <v>151.707275617169</v>
      </c>
      <c r="E13" s="98" t="n">
        <f aca="false">INDEX(Perf_Prod!$C$101:$Q$101,3*(Unit_Cost!E$6-1)+1)</f>
        <v>151.707275617169</v>
      </c>
      <c r="F13" s="98" t="n">
        <f aca="false">INDEX(Perf_Prod!$C$101:$Q$101,3*(Unit_Cost!F$6-1)+1)</f>
        <v>15.003849558538</v>
      </c>
      <c r="G13" s="98" t="n">
        <f aca="false">INDEX(Perf_Prod!$C$101:$Q$101,3*(Unit_Cost!G$6-1)+1)</f>
        <v>15.003849558538</v>
      </c>
      <c r="H13" s="98" t="n">
        <f aca="false">INDEX(Perf_Prod!$C$101:$Q$101,3*(Unit_Cost!H$6-1)+1)</f>
        <v>15.003849558538</v>
      </c>
      <c r="I13" s="98" t="n">
        <f aca="false">INDEX(Perf_Prod!$C$101:$Q$101,3*(Unit_Cost!I$6-1)+1)</f>
        <v>10.0025663723587</v>
      </c>
      <c r="J13" s="98" t="n">
        <f aca="false">INDEX(Perf_Prod!$C$101:$Q$101,3*(Unit_Cost!J$6-1)+1)</f>
        <v>10.0025663723587</v>
      </c>
      <c r="K13" s="98" t="n">
        <f aca="false">INDEX(Perf_Prod!$C$101:$Q$101,3*(Unit_Cost!K$6-1)+1)</f>
        <v>10.0025663723587</v>
      </c>
      <c r="L13" s="98" t="n">
        <f aca="false">INDEX(Perf_Prod!$C$101:$Q$101,3*(Unit_Cost!L$6-1)+1)</f>
        <v>4.2868141595823</v>
      </c>
      <c r="M13" s="98" t="n">
        <f aca="false">INDEX(Perf_Prod!$C$101:$Q$101,3*(Unit_Cost!M$6-1)+1)</f>
        <v>4.2868141595823</v>
      </c>
      <c r="N13" s="98" t="n">
        <f aca="false">INDEX(Perf_Prod!$C$101:$Q$101,3*(Unit_Cost!N$6-1)+1)</f>
        <v>4.2868141595823</v>
      </c>
      <c r="O13" s="98" t="n">
        <f aca="false">INDEX(Perf_Prod!$C$101:$Q$101,3*(Unit_Cost!O$6-1)+1)</f>
        <v>2.14340707979115</v>
      </c>
      <c r="P13" s="98" t="n">
        <f aca="false">INDEX(Perf_Prod!$C$101:$Q$101,3*(Unit_Cost!P$6-1)+1)</f>
        <v>2.14340707979115</v>
      </c>
      <c r="Q13" s="98" t="n">
        <f aca="false">INDEX(Perf_Prod!$C$101:$Q$101,3*(Unit_Cost!Q$6-1)+1)</f>
        <v>2.14340707979115</v>
      </c>
      <c r="S13" s="98" t="n">
        <f aca="false">INDEX(Perf_Prod!$S$101:$AG$101,3*(Unit_Cost!C$6-1)+1)</f>
        <v>128.951184274594</v>
      </c>
      <c r="T13" s="98" t="n">
        <f aca="false">INDEX(Perf_Prod!$S$101:$AG$101,3*(Unit_Cost!D$6-1)+1)</f>
        <v>128.951184274594</v>
      </c>
      <c r="U13" s="98" t="n">
        <f aca="false">INDEX(Perf_Prod!$S$101:$AG$101,3*(Unit_Cost!E$6-1)+1)</f>
        <v>128.951184274594</v>
      </c>
      <c r="V13" s="98" t="n">
        <f aca="false">INDEX(Perf_Prod!$S$101:$AG$101,3*(Unit_Cost!F$6-1)+1)</f>
        <v>12.7532721247573</v>
      </c>
      <c r="W13" s="98" t="n">
        <f aca="false">INDEX(Perf_Prod!$S$101:$AG$101,3*(Unit_Cost!G$6-1)+1)</f>
        <v>12.7532721247573</v>
      </c>
      <c r="X13" s="98" t="n">
        <f aca="false">INDEX(Perf_Prod!$S$101:$AG$101,3*(Unit_Cost!H$6-1)+1)</f>
        <v>12.7532721247573</v>
      </c>
      <c r="Y13" s="98" t="n">
        <f aca="false">INDEX(Perf_Prod!$S$101:$AG$101,3*(Unit_Cost!I$6-1)+1)</f>
        <v>8.50218141650489</v>
      </c>
      <c r="Z13" s="98" t="n">
        <f aca="false">INDEX(Perf_Prod!$S$101:$AG$101,3*(Unit_Cost!J$6-1)+1)</f>
        <v>8.50218141650489</v>
      </c>
      <c r="AA13" s="98" t="n">
        <f aca="false">INDEX(Perf_Prod!$S$101:$AG$101,3*(Unit_Cost!K$6-1)+1)</f>
        <v>8.50218141650489</v>
      </c>
      <c r="AB13" s="98" t="n">
        <f aca="false">INDEX(Perf_Prod!$S$101:$AG$101,3*(Unit_Cost!L$6-1)+1)</f>
        <v>3.64379203564495</v>
      </c>
      <c r="AC13" s="98" t="n">
        <f aca="false">INDEX(Perf_Prod!$S$101:$AG$101,3*(Unit_Cost!M$6-1)+1)</f>
        <v>3.64379203564495</v>
      </c>
      <c r="AD13" s="98" t="n">
        <f aca="false">INDEX(Perf_Prod!$S$101:$AG$101,3*(Unit_Cost!N$6-1)+1)</f>
        <v>3.64379203564495</v>
      </c>
      <c r="AE13" s="98" t="n">
        <f aca="false">INDEX(Perf_Prod!$S$101:$AG$101,3*(Unit_Cost!O$6-1)+1)</f>
        <v>1.82189601782248</v>
      </c>
      <c r="AF13" s="98" t="n">
        <f aca="false">INDEX(Perf_Prod!$S$101:$AG$101,3*(Unit_Cost!P$6-1)+1)</f>
        <v>1.82189601782248</v>
      </c>
      <c r="AG13" s="98" t="n">
        <f aca="false">INDEX(Perf_Prod!$S$101:$AG$101,3*(Unit_Cost!Q$6-1)+1)</f>
        <v>1.82189601782248</v>
      </c>
    </row>
    <row r="15" customFormat="false" ht="15" hidden="false" customHeight="false" outlineLevel="0" collapsed="false">
      <c r="A15" s="62" t="s">
        <v>991</v>
      </c>
      <c r="B15" s="59" t="s">
        <v>925</v>
      </c>
      <c r="C15" s="98" t="n">
        <f aca="false">INDEX(Perf_Prod!$C$103:$Q$103,3*(Unit_Cost!C$6-1)+1)</f>
        <v>1812.42376243297</v>
      </c>
      <c r="D15" s="98" t="n">
        <f aca="false">INDEX(Perf_Prod!$C$103:$Q$103,3*(Unit_Cost!D$6-1)+1)</f>
        <v>1812.42376243297</v>
      </c>
      <c r="E15" s="98" t="n">
        <f aca="false">INDEX(Perf_Prod!$C$103:$Q$103,3*(Unit_Cost!E$6-1)+1)</f>
        <v>1812.42376243297</v>
      </c>
      <c r="F15" s="98" t="n">
        <f aca="false">INDEX(Perf_Prod!$C$103:$Q$103,3*(Unit_Cost!F$6-1)+1)</f>
        <v>301.783891165175</v>
      </c>
      <c r="G15" s="98" t="n">
        <f aca="false">INDEX(Perf_Prod!$C$103:$Q$103,3*(Unit_Cost!G$6-1)+1)</f>
        <v>301.783891165175</v>
      </c>
      <c r="H15" s="98" t="n">
        <f aca="false">INDEX(Perf_Prod!$C$103:$Q$103,3*(Unit_Cost!H$6-1)+1)</f>
        <v>301.783891165175</v>
      </c>
      <c r="I15" s="98" t="n">
        <f aca="false">INDEX(Perf_Prod!$C$103:$Q$103,3*(Unit_Cost!I$6-1)+1)</f>
        <v>201.189260776783</v>
      </c>
      <c r="J15" s="98" t="n">
        <f aca="false">INDEX(Perf_Prod!$C$103:$Q$103,3*(Unit_Cost!J$6-1)+1)</f>
        <v>201.189260776783</v>
      </c>
      <c r="K15" s="98" t="n">
        <f aca="false">INDEX(Perf_Prod!$C$103:$Q$103,3*(Unit_Cost!K$6-1)+1)</f>
        <v>201.189260776783</v>
      </c>
      <c r="L15" s="98" t="n">
        <f aca="false">INDEX(Perf_Prod!$C$103:$Q$103,3*(Unit_Cost!L$6-1)+1)</f>
        <v>82.8337008392317</v>
      </c>
      <c r="M15" s="98" t="n">
        <f aca="false">INDEX(Perf_Prod!$C$103:$Q$103,3*(Unit_Cost!M$6-1)+1)</f>
        <v>82.8337008392317</v>
      </c>
      <c r="N15" s="98" t="n">
        <f aca="false">INDEX(Perf_Prod!$C$103:$Q$103,3*(Unit_Cost!N$6-1)+1)</f>
        <v>82.8337008392317</v>
      </c>
      <c r="O15" s="98" t="n">
        <f aca="false">INDEX(Perf_Prod!$C$103:$Q$103,3*(Unit_Cost!O$6-1)+1)</f>
        <v>40.978781874807</v>
      </c>
      <c r="P15" s="98" t="n">
        <f aca="false">INDEX(Perf_Prod!$C$103:$Q$103,3*(Unit_Cost!P$6-1)+1)</f>
        <v>40.978781874807</v>
      </c>
      <c r="Q15" s="98" t="n">
        <f aca="false">INDEX(Perf_Prod!$C$103:$Q$103,3*(Unit_Cost!Q$6-1)+1)</f>
        <v>40.978781874807</v>
      </c>
      <c r="S15" s="98" t="n">
        <f aca="false">INDEX(Perf_Prod!$S$103:$AG$103,3*(Unit_Cost!C$6-1)+1)</f>
        <v>1351.71132131828</v>
      </c>
      <c r="T15" s="98" t="n">
        <f aca="false">INDEX(Perf_Prod!$S$103:$AG$103,3*(Unit_Cost!D$6-1)+1)</f>
        <v>1351.71132131828</v>
      </c>
      <c r="U15" s="98" t="n">
        <f aca="false">INDEX(Perf_Prod!$S$103:$AG$103,3*(Unit_Cost!E$6-1)+1)</f>
        <v>1351.71132131828</v>
      </c>
      <c r="V15" s="98" t="n">
        <f aca="false">INDEX(Perf_Prod!$S$103:$AG$103,3*(Unit_Cost!F$6-1)+1)</f>
        <v>240.791354640817</v>
      </c>
      <c r="W15" s="98" t="n">
        <f aca="false">INDEX(Perf_Prod!$S$103:$AG$103,3*(Unit_Cost!G$6-1)+1)</f>
        <v>240.791354640817</v>
      </c>
      <c r="X15" s="98" t="n">
        <f aca="false">INDEX(Perf_Prod!$S$103:$AG$103,3*(Unit_Cost!H$6-1)+1)</f>
        <v>240.791354640817</v>
      </c>
      <c r="Y15" s="98" t="n">
        <f aca="false">INDEX(Perf_Prod!$S$103:$AG$103,3*(Unit_Cost!I$6-1)+1)</f>
        <v>160.527569760545</v>
      </c>
      <c r="Z15" s="98" t="n">
        <f aca="false">INDEX(Perf_Prod!$S$103:$AG$103,3*(Unit_Cost!J$6-1)+1)</f>
        <v>160.527569760545</v>
      </c>
      <c r="AA15" s="98" t="n">
        <f aca="false">INDEX(Perf_Prod!$S$103:$AG$103,3*(Unit_Cost!K$6-1)+1)</f>
        <v>160.527569760545</v>
      </c>
      <c r="AB15" s="98" t="n">
        <f aca="false">INDEX(Perf_Prod!$S$103:$AG$103,3*(Unit_Cost!L$6-1)+1)</f>
        <v>66.2521485861262</v>
      </c>
      <c r="AC15" s="98" t="n">
        <f aca="false">INDEX(Perf_Prod!$S$103:$AG$103,3*(Unit_Cost!M$6-1)+1)</f>
        <v>66.2521485861262</v>
      </c>
      <c r="AD15" s="98" t="n">
        <f aca="false">INDEX(Perf_Prod!$S$103:$AG$103,3*(Unit_Cost!N$6-1)+1)</f>
        <v>66.2521485861262</v>
      </c>
      <c r="AE15" s="98" t="n">
        <f aca="false">INDEX(Perf_Prod!$S$103:$AG$103,3*(Unit_Cost!O$6-1)+1)</f>
        <v>32.7961758933546</v>
      </c>
      <c r="AF15" s="98" t="n">
        <f aca="false">INDEX(Perf_Prod!$S$103:$AG$103,3*(Unit_Cost!P$6-1)+1)</f>
        <v>32.7961758933546</v>
      </c>
      <c r="AG15" s="98" t="n">
        <f aca="false">INDEX(Perf_Prod!$S$103:$AG$103,3*(Unit_Cost!Q$6-1)+1)</f>
        <v>32.7961758933546</v>
      </c>
    </row>
    <row r="16" customFormat="false" ht="15" hidden="false" customHeight="false" outlineLevel="0" collapsed="false">
      <c r="A16" s="61" t="s">
        <v>992</v>
      </c>
      <c r="B16" s="59" t="s">
        <v>976</v>
      </c>
      <c r="C16" s="124" t="n">
        <f aca="false">Unit_Cost!C$8/3600*Unit_Cost_Prod!C13</f>
        <v>0.0454972167701083</v>
      </c>
      <c r="D16" s="124" t="n">
        <f aca="false">Unit_Cost!D$8/3600*Unit_Cost_Prod!D13</f>
        <v>0.0650064221254633</v>
      </c>
      <c r="E16" s="124" t="n">
        <f aca="false">Unit_Cost!E$8/3600*Unit_Cost_Prod!E13</f>
        <v>0.111639936606646</v>
      </c>
      <c r="F16" s="124" t="n">
        <f aca="false">Unit_Cost!F$8/3600*Unit_Cost_Prod!F13</f>
        <v>0.0062692257719205</v>
      </c>
      <c r="G16" s="124" t="n">
        <f aca="false">Unit_Cost!G$8/3600*Unit_Cost_Prod!G13</f>
        <v>0.00837073517666367</v>
      </c>
      <c r="H16" s="124" t="n">
        <f aca="false">Unit_Cost!H$8/3600*Unit_Cost_Prod!H13</f>
        <v>0.013576659542823</v>
      </c>
      <c r="I16" s="124" t="n">
        <f aca="false">Unit_Cost!I$8/3600*Unit_Cost_Prod!I13</f>
        <v>0.00548958603195948</v>
      </c>
      <c r="J16" s="124" t="n">
        <f aca="false">Unit_Cost!J$8/3600*Unit_Cost_Prod!J13</f>
        <v>0.00709011804726542</v>
      </c>
      <c r="K16" s="124" t="n">
        <f aca="false">Unit_Cost!K$8/3600*Unit_Cost_Prod!K13</f>
        <v>0.0120712716580734</v>
      </c>
      <c r="L16" s="124" t="n">
        <f aca="false">Unit_Cost!L$8/3600*Unit_Cost_Prod!L13</f>
        <v>0.00443201753513739</v>
      </c>
      <c r="M16" s="124" t="n">
        <f aca="false">Unit_Cost!M$8/3600*Unit_Cost_Prod!M13</f>
        <v>0.00569628508383258</v>
      </c>
      <c r="N16" s="124" t="n">
        <f aca="false">Unit_Cost!N$8/3600*Unit_Cost_Prod!N13</f>
        <v>0.00920252494764025</v>
      </c>
      <c r="O16" s="124" t="n">
        <f aca="false">Unit_Cost!O$8/3600*Unit_Cost_Prod!O13</f>
        <v>0.00352556777736313</v>
      </c>
      <c r="P16" s="124" t="n">
        <f aca="false">Unit_Cost!P$8/3600*Unit_Cost_Prod!P13</f>
        <v>0.00535837960987259</v>
      </c>
      <c r="Q16" s="124" t="n">
        <f aca="false">Unit_Cost!Q$8/3600*Unit_Cost_Prod!Q13</f>
        <v>0.00978194421983905</v>
      </c>
      <c r="S16" s="124" t="n">
        <f aca="false">Unit_Cost!C$8/3600*Unit_Cost_Prod!S13</f>
        <v>0.0386726342545921</v>
      </c>
      <c r="T16" s="124" t="n">
        <f aca="false">Unit_Cost!D$8/3600*Unit_Cost_Prod!T13</f>
        <v>0.0552554588066438</v>
      </c>
      <c r="U16" s="124" t="n">
        <f aca="false">Unit_Cost!E$8/3600*Unit_Cost_Prod!U13</f>
        <v>0.0948939461156487</v>
      </c>
      <c r="V16" s="124" t="n">
        <f aca="false">Unit_Cost!F$8/3600*Unit_Cost_Prod!V13</f>
        <v>0.00532884190613242</v>
      </c>
      <c r="W16" s="124" t="n">
        <f aca="false">Unit_Cost!G$8/3600*Unit_Cost_Prod!W13</f>
        <v>0.00711512490016412</v>
      </c>
      <c r="X16" s="124" t="n">
        <f aca="false">Unit_Cost!H$8/3600*Unit_Cost_Prod!X13</f>
        <v>0.0115401606113995</v>
      </c>
      <c r="Y16" s="124" t="n">
        <f aca="false">Unit_Cost!I$8/3600*Unit_Cost_Prod!Y13</f>
        <v>0.00466614812716556</v>
      </c>
      <c r="Z16" s="124" t="n">
        <f aca="false">Unit_Cost!J$8/3600*Unit_Cost_Prod!Z13</f>
        <v>0.00602660034017561</v>
      </c>
      <c r="AA16" s="124" t="n">
        <f aca="false">Unit_Cost!K$8/3600*Unit_Cost_Prod!AA13</f>
        <v>0.0102605809093624</v>
      </c>
      <c r="AB16" s="124" t="n">
        <f aca="false">Unit_Cost!L$8/3600*Unit_Cost_Prod!AB13</f>
        <v>0.00376721490486678</v>
      </c>
      <c r="AC16" s="124" t="n">
        <f aca="false">Unit_Cost!M$8/3600*Unit_Cost_Prod!AC13</f>
        <v>0.00484184232125769</v>
      </c>
      <c r="AD16" s="124" t="n">
        <f aca="false">Unit_Cost!N$8/3600*Unit_Cost_Prod!AD13</f>
        <v>0.00782214620549421</v>
      </c>
      <c r="AE16" s="124" t="n">
        <f aca="false">Unit_Cost!O$8/3600*Unit_Cost_Prod!AE13</f>
        <v>0.00299673261075866</v>
      </c>
      <c r="AF16" s="124" t="n">
        <f aca="false">Unit_Cost!P$8/3600*Unit_Cost_Prod!AF13</f>
        <v>0.0045546226683917</v>
      </c>
      <c r="AG16" s="124" t="n">
        <f aca="false">Unit_Cost!Q$8/3600*Unit_Cost_Prod!AG13</f>
        <v>0.00831465258686319</v>
      </c>
    </row>
    <row r="18" customFormat="false" ht="15" hidden="false" customHeight="false" outlineLevel="0" collapsed="false">
      <c r="A18" s="62" t="s">
        <v>994</v>
      </c>
      <c r="B18" s="59" t="s">
        <v>976</v>
      </c>
      <c r="C18" s="124" t="n">
        <f aca="false">IF(ISNUMBER(Unit_Cost_Prod!C15),Unit_Cost!C$8/3600*Unit_Cost_Prod!C15,"SLO 不可達")</f>
        <v>0.543548333217685</v>
      </c>
      <c r="D18" s="124" t="n">
        <f aca="false">IF(ISNUMBER(Unit_Cost_Prod!D15),Unit_Cost!D$8/3600*Unit_Cost_Prod!D15,"SLO 不可達")</f>
        <v>0.77662184421697</v>
      </c>
      <c r="E18" s="124" t="n">
        <f aca="false">IF(ISNUMBER(Unit_Cost_Prod!E15),Unit_Cost!E$8/3600*Unit_Cost_Prod!E15,"SLO 不可達")</f>
        <v>1.33374535347266</v>
      </c>
      <c r="F18" s="124" t="n">
        <f aca="false">IF(ISNUMBER(Unit_Cost_Prod!F15),Unit_Cost!F$8/3600*Unit_Cost_Prod!F15,"SLO 不可達")</f>
        <v>0.126097728497053</v>
      </c>
      <c r="G18" s="124" t="n">
        <f aca="false">IF(ISNUMBER(Unit_Cost_Prod!G15),Unit_Cost!G$8/3600*Unit_Cost_Prod!G15,"SLO 不可達")</f>
        <v>0.168366992995424</v>
      </c>
      <c r="H18" s="124" t="n">
        <f aca="false">IF(ISNUMBER(Unit_Cost_Prod!H15),Unit_Cost!H$8/3600*Unit_Cost_Prod!H15,"SLO 不可達")</f>
        <v>0.273077727810619</v>
      </c>
      <c r="I18" s="124" t="n">
        <f aca="false">IF(ISNUMBER(Unit_Cost_Prod!I15),Unit_Cost!I$8/3600*Unit_Cost_Prod!I15,"SLO 不可達")</f>
        <v>0.110416238655765</v>
      </c>
      <c r="J18" s="124" t="n">
        <f aca="false">IF(ISNUMBER(Unit_Cost_Prod!J15),Unit_Cost!J$8/3600*Unit_Cost_Prod!J15,"SLO 不可達")</f>
        <v>0.142608962105101</v>
      </c>
      <c r="K18" s="124" t="n">
        <f aca="false">IF(ISNUMBER(Unit_Cost_Prod!K15),Unit_Cost!K$8/3600*Unit_Cost_Prod!K15,"SLO 不可達")</f>
        <v>0.242798710962298</v>
      </c>
      <c r="L18" s="124" t="n">
        <f aca="false">IF(ISNUMBER(Unit_Cost_Prod!L15),Unit_Cost!L$8/3600*Unit_Cost_Prod!L15,"SLO 不可達")</f>
        <v>0.0856394518057605</v>
      </c>
      <c r="M18" s="124" t="n">
        <f aca="false">IF(ISNUMBER(Unit_Cost_Prod!M15),Unit_Cost!M$8/3600*Unit_Cost_Prod!M15,"SLO 不可達")</f>
        <v>0.110068772977819</v>
      </c>
      <c r="N18" s="124" t="n">
        <f aca="false">IF(ISNUMBER(Unit_Cost_Prod!N15),Unit_Cost!N$8/3600*Unit_Cost_Prod!N15,"SLO 不可達")</f>
        <v>0.177819511203787</v>
      </c>
      <c r="O18" s="124" t="n">
        <f aca="false">IF(ISNUMBER(Unit_Cost_Prod!O15),Unit_Cost!O$8/3600*Unit_Cost_Prod!O15,"SLO 不可達")</f>
        <v>0.0674036557476935</v>
      </c>
      <c r="P18" s="124" t="n">
        <f aca="false">IF(ISNUMBER(Unit_Cost_Prod!P15),Unit_Cost!P$8/3600*Unit_Cost_Prod!P15,"SLO 不可達")</f>
        <v>0.102444314617444</v>
      </c>
      <c r="Q18" s="124" t="n">
        <f aca="false">IF(ISNUMBER(Unit_Cost_Prod!Q15),Unit_Cost!Q$8/3600*Unit_Cost_Prod!Q15,"SLO 不可達")</f>
        <v>0.187016345273699</v>
      </c>
      <c r="S18" s="124" t="n">
        <f aca="false">IF(ISNUMBER(Unit_Cost_Prod!S15),Unit_Cost!C$8/3600*Unit_Cost_Prod!S15,"SLO 不可達")</f>
        <v>0.405380050142216</v>
      </c>
      <c r="T18" s="124" t="n">
        <f aca="false">IF(ISNUMBER(Unit_Cost_Prod!T15),Unit_Cost!D$8/3600*Unit_Cost_Prod!T15,"SLO 不可達")</f>
        <v>0.579207004989805</v>
      </c>
      <c r="U18" s="124" t="n">
        <f aca="false">IF(ISNUMBER(Unit_Cost_Prod!U15),Unit_Cost!E$8/3600*Unit_Cost_Prod!U15,"SLO 不可達")</f>
        <v>0.99471146395947</v>
      </c>
      <c r="V18" s="124" t="n">
        <f aca="false">IF(ISNUMBER(Unit_Cost_Prod!V15),Unit_Cost!F$8/3600*Unit_Cost_Prod!V15,"SLO 不可達")</f>
        <v>0.100612536821314</v>
      </c>
      <c r="W18" s="124" t="n">
        <f aca="false">IF(ISNUMBER(Unit_Cost_Prod!W15),Unit_Cost!G$8/3600*Unit_Cost_Prod!W15,"SLO 不可達")</f>
        <v>0.134338901137635</v>
      </c>
      <c r="X18" s="124" t="n">
        <f aca="false">IF(ISNUMBER(Unit_Cost_Prod!X15),Unit_Cost!H$8/3600*Unit_Cost_Prod!X15,"SLO 不可達")</f>
        <v>0.217886898296258</v>
      </c>
      <c r="Y18" s="124" t="n">
        <f aca="false">IF(ISNUMBER(Unit_Cost_Prod!Y15),Unit_Cost!I$8/3600*Unit_Cost_Prod!Y15,"SLO 不可達")</f>
        <v>0.0881003806320243</v>
      </c>
      <c r="Z18" s="124" t="n">
        <f aca="false">IF(ISNUMBER(Unit_Cost_Prod!Z15),Unit_Cost!J$8/3600*Unit_Cost_Prod!Z15,"SLO 不可達")</f>
        <v>0.11378674002985</v>
      </c>
      <c r="AA18" s="124" t="n">
        <f aca="false">IF(ISNUMBER(Unit_Cost_Prod!AA15),Unit_Cost!K$8/3600*Unit_Cost_Prod!AA15,"SLO 不可達")</f>
        <v>0.193727472635897</v>
      </c>
      <c r="AB18" s="124" t="n">
        <f aca="false">IF(ISNUMBER(Unit_Cost_Prod!AB15),Unit_Cost!L$8/3600*Unit_Cost_Prod!AB15,"SLO 不可達")</f>
        <v>0.0684962476429933</v>
      </c>
      <c r="AC18" s="124" t="n">
        <f aca="false">IF(ISNUMBER(Unit_Cost_Prod!AC15),Unit_Cost!M$8/3600*Unit_Cost_Prod!AC15,"SLO 不可達")</f>
        <v>0.0880353361993613</v>
      </c>
      <c r="AD18" s="124" t="n">
        <f aca="false">IF(ISNUMBER(Unit_Cost_Prod!AD15),Unit_Cost!N$8/3600*Unit_Cost_Prod!AD15,"SLO 不可達")</f>
        <v>0.142223811787074</v>
      </c>
      <c r="AE18" s="124" t="n">
        <f aca="false">IF(ISNUMBER(Unit_Cost_Prod!AE15),Unit_Cost!O$8/3600*Unit_Cost_Prod!AE15,"SLO 不可達")</f>
        <v>0.0539445549286936</v>
      </c>
      <c r="AF18" s="124" t="n">
        <f aca="false">IF(ISNUMBER(Unit_Cost_Prod!AF15),Unit_Cost!P$8/3600*Unit_Cost_Prod!AF15,"SLO 不可達")</f>
        <v>0.0819883268305102</v>
      </c>
      <c r="AG18" s="124" t="n">
        <f aca="false">IF(ISNUMBER(Unit_Cost_Prod!AG15),Unit_Cost!Q$8/3600*Unit_Cost_Prod!AG15,"SLO 不可達")</f>
        <v>0.149673091144256</v>
      </c>
    </row>
    <row r="26" customFormat="false" ht="15" hidden="false" customHeight="false" outlineLevel="0" collapsed="false">
      <c r="A26" s="62" t="s">
        <v>989</v>
      </c>
      <c r="B26" s="59" t="s">
        <v>925</v>
      </c>
      <c r="C26" s="98" t="n">
        <f aca="false">INDEX(Perf_Prod!$C$101:$Q$101,3*(Unit_Cost!C$6-1)+2)</f>
        <v>526.544349980357</v>
      </c>
      <c r="D26" s="98" t="n">
        <f aca="false">INDEX(Perf_Prod!$C$101:$Q$101,3*(Unit_Cost!D$6-1)+2)</f>
        <v>526.544349980357</v>
      </c>
      <c r="E26" s="98" t="n">
        <f aca="false">INDEX(Perf_Prod!$C$101:$Q$101,3*(Unit_Cost!E$6-1)+2)</f>
        <v>526.544349980357</v>
      </c>
      <c r="F26" s="98" t="n">
        <f aca="false">INDEX(Perf_Prod!$C$101:$Q$101,3*(Unit_Cost!F$6-1)+2)</f>
        <v>52.0752362130573</v>
      </c>
      <c r="G26" s="98" t="n">
        <f aca="false">INDEX(Perf_Prod!$C$101:$Q$101,3*(Unit_Cost!G$6-1)+2)</f>
        <v>52.0752362130573</v>
      </c>
      <c r="H26" s="98" t="n">
        <f aca="false">INDEX(Perf_Prod!$C$101:$Q$101,3*(Unit_Cost!H$6-1)+2)</f>
        <v>52.0752362130573</v>
      </c>
      <c r="I26" s="98" t="n">
        <f aca="false">INDEX(Perf_Prod!$C$101:$Q$101,3*(Unit_Cost!I$6-1)+2)</f>
        <v>34.7168241420382</v>
      </c>
      <c r="J26" s="98" t="n">
        <f aca="false">INDEX(Perf_Prod!$C$101:$Q$101,3*(Unit_Cost!J$6-1)+2)</f>
        <v>34.7168241420382</v>
      </c>
      <c r="K26" s="98" t="n">
        <f aca="false">INDEX(Perf_Prod!$C$101:$Q$101,3*(Unit_Cost!K$6-1)+2)</f>
        <v>34.7168241420382</v>
      </c>
      <c r="L26" s="98" t="n">
        <f aca="false">INDEX(Perf_Prod!$C$101:$Q$101,3*(Unit_Cost!L$6-1)+2)</f>
        <v>14.8786389180164</v>
      </c>
      <c r="M26" s="98" t="n">
        <f aca="false">INDEX(Perf_Prod!$C$101:$Q$101,3*(Unit_Cost!M$6-1)+2)</f>
        <v>14.8786389180164</v>
      </c>
      <c r="N26" s="98" t="n">
        <f aca="false">INDEX(Perf_Prod!$C$101:$Q$101,3*(Unit_Cost!N$6-1)+2)</f>
        <v>14.8786389180164</v>
      </c>
      <c r="O26" s="98" t="n">
        <f aca="false">INDEX(Perf_Prod!$C$101:$Q$101,3*(Unit_Cost!O$6-1)+2)</f>
        <v>7.43931945900818</v>
      </c>
      <c r="P26" s="98" t="n">
        <f aca="false">INDEX(Perf_Prod!$C$101:$Q$101,3*(Unit_Cost!P$6-1)+2)</f>
        <v>7.43931945900818</v>
      </c>
      <c r="Q26" s="98" t="n">
        <f aca="false">INDEX(Perf_Prod!$C$101:$Q$101,3*(Unit_Cost!Q$6-1)+2)</f>
        <v>7.43931945900818</v>
      </c>
      <c r="S26" s="98" t="n">
        <f aca="false">INDEX(Perf_Prod!$S$101:$AG$101,3*(Unit_Cost!C$6-1)+2)</f>
        <v>447.562697483303</v>
      </c>
      <c r="T26" s="98" t="n">
        <f aca="false">INDEX(Perf_Prod!$S$101:$AG$101,3*(Unit_Cost!D$6-1)+2)</f>
        <v>447.562697483303</v>
      </c>
      <c r="U26" s="98" t="n">
        <f aca="false">INDEX(Perf_Prod!$S$101:$AG$101,3*(Unit_Cost!E$6-1)+2)</f>
        <v>447.562697483303</v>
      </c>
      <c r="V26" s="98" t="n">
        <f aca="false">INDEX(Perf_Prod!$S$101:$AG$101,3*(Unit_Cost!F$6-1)+2)</f>
        <v>44.2639507810987</v>
      </c>
      <c r="W26" s="98" t="n">
        <f aca="false">INDEX(Perf_Prod!$S$101:$AG$101,3*(Unit_Cost!G$6-1)+2)</f>
        <v>44.2639507810987</v>
      </c>
      <c r="X26" s="98" t="n">
        <f aca="false">INDEX(Perf_Prod!$S$101:$AG$101,3*(Unit_Cost!H$6-1)+2)</f>
        <v>44.2639507810987</v>
      </c>
      <c r="Y26" s="98" t="n">
        <f aca="false">INDEX(Perf_Prod!$S$101:$AG$101,3*(Unit_Cost!I$6-1)+2)</f>
        <v>29.5093005207324</v>
      </c>
      <c r="Z26" s="98" t="n">
        <f aca="false">INDEX(Perf_Prod!$S$101:$AG$101,3*(Unit_Cost!J$6-1)+2)</f>
        <v>29.5093005207324</v>
      </c>
      <c r="AA26" s="98" t="n">
        <f aca="false">INDEX(Perf_Prod!$S$101:$AG$101,3*(Unit_Cost!K$6-1)+2)</f>
        <v>29.5093005207324</v>
      </c>
      <c r="AB26" s="98" t="n">
        <f aca="false">INDEX(Perf_Prod!$S$101:$AG$101,3*(Unit_Cost!L$6-1)+2)</f>
        <v>12.6468430803139</v>
      </c>
      <c r="AC26" s="98" t="n">
        <f aca="false">INDEX(Perf_Prod!$S$101:$AG$101,3*(Unit_Cost!M$6-1)+2)</f>
        <v>12.6468430803139</v>
      </c>
      <c r="AD26" s="98" t="n">
        <f aca="false">INDEX(Perf_Prod!$S$101:$AG$101,3*(Unit_Cost!N$6-1)+2)</f>
        <v>12.6468430803139</v>
      </c>
      <c r="AE26" s="98" t="n">
        <f aca="false">INDEX(Perf_Prod!$S$101:$AG$101,3*(Unit_Cost!O$6-1)+2)</f>
        <v>6.32342154015695</v>
      </c>
      <c r="AF26" s="98" t="n">
        <f aca="false">INDEX(Perf_Prod!$S$101:$AG$101,3*(Unit_Cost!P$6-1)+2)</f>
        <v>6.32342154015695</v>
      </c>
      <c r="AG26" s="98" t="n">
        <f aca="false">INDEX(Perf_Prod!$S$101:$AG$101,3*(Unit_Cost!Q$6-1)+2)</f>
        <v>6.32342154015695</v>
      </c>
    </row>
    <row r="28" customFormat="false" ht="15" hidden="false" customHeight="false" outlineLevel="0" collapsed="false">
      <c r="A28" s="62" t="s">
        <v>991</v>
      </c>
      <c r="B28" s="59" t="s">
        <v>925</v>
      </c>
      <c r="C28" s="98" t="n">
        <f aca="false">INDEX(Perf_Prod!$C$103:$Q$103,3*(Unit_Cost!C$6-1)+2)</f>
        <v>5711.01701098697</v>
      </c>
      <c r="D28" s="98" t="n">
        <f aca="false">INDEX(Perf_Prod!$C$103:$Q$103,3*(Unit_Cost!D$6-1)+2)</f>
        <v>5711.01701098697</v>
      </c>
      <c r="E28" s="98" t="n">
        <f aca="false">INDEX(Perf_Prod!$C$103:$Q$103,3*(Unit_Cost!E$6-1)+2)</f>
        <v>5711.01701098697</v>
      </c>
      <c r="F28" s="98" t="n">
        <f aca="false">INDEX(Perf_Prod!$C$103:$Q$103,3*(Unit_Cost!F$6-1)+2)</f>
        <v>1004.69095316193</v>
      </c>
      <c r="G28" s="98" t="n">
        <f aca="false">INDEX(Perf_Prod!$C$103:$Q$103,3*(Unit_Cost!G$6-1)+2)</f>
        <v>1004.69095316193</v>
      </c>
      <c r="H28" s="98" t="n">
        <f aca="false">INDEX(Perf_Prod!$C$103:$Q$103,3*(Unit_Cost!H$6-1)+2)</f>
        <v>1004.69095316193</v>
      </c>
      <c r="I28" s="98" t="n">
        <f aca="false">INDEX(Perf_Prod!$C$103:$Q$103,3*(Unit_Cost!I$6-1)+2)</f>
        <v>669.793968774623</v>
      </c>
      <c r="J28" s="98" t="n">
        <f aca="false">INDEX(Perf_Prod!$C$103:$Q$103,3*(Unit_Cost!J$6-1)+2)</f>
        <v>669.793968774623</v>
      </c>
      <c r="K28" s="98" t="n">
        <f aca="false">INDEX(Perf_Prod!$C$103:$Q$103,3*(Unit_Cost!K$6-1)+2)</f>
        <v>669.793968774623</v>
      </c>
      <c r="L28" s="98" t="n">
        <f aca="false">INDEX(Perf_Prod!$C$103:$Q$103,3*(Unit_Cost!L$6-1)+2)</f>
        <v>262.212770851538</v>
      </c>
      <c r="M28" s="98" t="n">
        <f aca="false">INDEX(Perf_Prod!$C$103:$Q$103,3*(Unit_Cost!M$6-1)+2)</f>
        <v>262.212770851538</v>
      </c>
      <c r="N28" s="98" t="n">
        <f aca="false">INDEX(Perf_Prod!$C$103:$Q$103,3*(Unit_Cost!N$6-1)+2)</f>
        <v>262.212770851538</v>
      </c>
      <c r="O28" s="98" t="n">
        <f aca="false">INDEX(Perf_Prod!$C$103:$Q$103,3*(Unit_Cost!O$6-1)+2)</f>
        <v>127.873955356684</v>
      </c>
      <c r="P28" s="98" t="n">
        <f aca="false">INDEX(Perf_Prod!$C$103:$Q$103,3*(Unit_Cost!P$6-1)+2)</f>
        <v>127.873955356684</v>
      </c>
      <c r="Q28" s="98" t="n">
        <f aca="false">INDEX(Perf_Prod!$C$103:$Q$103,3*(Unit_Cost!Q$6-1)+2)</f>
        <v>127.873955356684</v>
      </c>
      <c r="S28" s="98" t="n">
        <f aca="false">INDEX(Perf_Prod!$S$103:$AG$103,3*(Unit_Cost!C$6-1)+2)</f>
        <v>4447.93179021334</v>
      </c>
      <c r="T28" s="98" t="n">
        <f aca="false">INDEX(Perf_Prod!$S$103:$AG$103,3*(Unit_Cost!D$6-1)+2)</f>
        <v>4447.93179021334</v>
      </c>
      <c r="U28" s="98" t="n">
        <f aca="false">INDEX(Perf_Prod!$S$103:$AG$103,3*(Unit_Cost!E$6-1)+2)</f>
        <v>4447.93179021334</v>
      </c>
      <c r="V28" s="98" t="n">
        <f aca="false">INDEX(Perf_Prod!$S$103:$AG$103,3*(Unit_Cost!F$6-1)+2)</f>
        <v>817.113857509954</v>
      </c>
      <c r="W28" s="98" t="n">
        <f aca="false">INDEX(Perf_Prod!$S$103:$AG$103,3*(Unit_Cost!G$6-1)+2)</f>
        <v>817.113857509954</v>
      </c>
      <c r="X28" s="98" t="n">
        <f aca="false">INDEX(Perf_Prod!$S$103:$AG$103,3*(Unit_Cost!H$6-1)+2)</f>
        <v>817.113857509954</v>
      </c>
      <c r="Y28" s="98" t="n">
        <f aca="false">INDEX(Perf_Prod!$S$103:$AG$103,3*(Unit_Cost!I$6-1)+2)</f>
        <v>544.742571673303</v>
      </c>
      <c r="Z28" s="98" t="n">
        <f aca="false">INDEX(Perf_Prod!$S$103:$AG$103,3*(Unit_Cost!J$6-1)+2)</f>
        <v>544.742571673303</v>
      </c>
      <c r="AA28" s="98" t="n">
        <f aca="false">INDEX(Perf_Prod!$S$103:$AG$103,3*(Unit_Cost!K$6-1)+2)</f>
        <v>544.742571673303</v>
      </c>
      <c r="AB28" s="98" t="n">
        <f aca="false">INDEX(Perf_Prod!$S$103:$AG$103,3*(Unit_Cost!L$6-1)+2)</f>
        <v>214.057162301727</v>
      </c>
      <c r="AC28" s="98" t="n">
        <f aca="false">INDEX(Perf_Prod!$S$103:$AG$103,3*(Unit_Cost!M$6-1)+2)</f>
        <v>214.057162301727</v>
      </c>
      <c r="AD28" s="98" t="n">
        <f aca="false">INDEX(Perf_Prod!$S$103:$AG$103,3*(Unit_Cost!N$6-1)+2)</f>
        <v>214.057162301727</v>
      </c>
      <c r="AE28" s="98" t="n">
        <f aca="false">INDEX(Perf_Prod!$S$103:$AG$103,3*(Unit_Cost!O$6-1)+2)</f>
        <v>104.491781489457</v>
      </c>
      <c r="AF28" s="98" t="n">
        <f aca="false">INDEX(Perf_Prod!$S$103:$AG$103,3*(Unit_Cost!P$6-1)+2)</f>
        <v>104.491781489457</v>
      </c>
      <c r="AG28" s="98" t="n">
        <f aca="false">INDEX(Perf_Prod!$S$103:$AG$103,3*(Unit_Cost!Q$6-1)+2)</f>
        <v>104.491781489457</v>
      </c>
    </row>
    <row r="29" customFormat="false" ht="15" hidden="false" customHeight="false" outlineLevel="0" collapsed="false">
      <c r="A29" s="61" t="s">
        <v>992</v>
      </c>
      <c r="B29" s="59" t="s">
        <v>976</v>
      </c>
      <c r="C29" s="124" t="n">
        <f aca="false">Unit_Cost!C$8/3600*Unit_Cost_Prod!C26</f>
        <v>0.157911361420697</v>
      </c>
      <c r="D29" s="124" t="n">
        <f aca="false">Unit_Cost!D$8/3600*Unit_Cost_Prod!D26</f>
        <v>0.225623749047979</v>
      </c>
      <c r="E29" s="124" t="n">
        <f aca="false">Unit_Cost!E$8/3600*Unit_Cost_Prod!E26</f>
        <v>0.38747896311007</v>
      </c>
      <c r="F29" s="124" t="n">
        <f aca="false">Unit_Cost!F$8/3600*Unit_Cost_Prod!F26</f>
        <v>0.0217591766481</v>
      </c>
      <c r="G29" s="124" t="n">
        <f aca="false">Unit_Cost!G$8/3600*Unit_Cost_Prod!G26</f>
        <v>0.0290530780051478</v>
      </c>
      <c r="H29" s="124" t="n">
        <f aca="false">Unit_Cost!H$8/3600*Unit_Cost_Prod!H26</f>
        <v>0.0471217569809901</v>
      </c>
      <c r="I29" s="124" t="n">
        <f aca="false">Unit_Cost!I$8/3600*Unit_Cost_Prod!I26</f>
        <v>0.0190532095253856</v>
      </c>
      <c r="J29" s="124" t="n">
        <f aca="false">Unit_Cost!J$8/3600*Unit_Cost_Prod!J26</f>
        <v>0.0246083227273963</v>
      </c>
      <c r="K29" s="124" t="n">
        <f aca="false">Unit_Cost!K$8/3600*Unit_Cost_Prod!K26</f>
        <v>0.0418968692356981</v>
      </c>
      <c r="L29" s="124" t="n">
        <f aca="false">Unit_Cost!L$8/3600*Unit_Cost_Prod!L26</f>
        <v>0.0153826095857749</v>
      </c>
      <c r="M29" s="124" t="n">
        <f aca="false">Unit_Cost!M$8/3600*Unit_Cost_Prod!M26</f>
        <v>0.0197706188748536</v>
      </c>
      <c r="N29" s="124" t="n">
        <f aca="false">Unit_Cost!N$8/3600*Unit_Cost_Prod!N26</f>
        <v>0.0319400470216134</v>
      </c>
      <c r="O29" s="124" t="n">
        <f aca="false">Unit_Cost!O$8/3600*Unit_Cost_Prod!O26</f>
        <v>0.0122365113083164</v>
      </c>
      <c r="P29" s="124" t="n">
        <f aca="false">Unit_Cost!P$8/3600*Unit_Cost_Prod!P26</f>
        <v>0.0185978193672674</v>
      </c>
      <c r="Q29" s="124" t="n">
        <f aca="false">Unit_Cost!Q$8/3600*Unit_Cost_Prod!Q26</f>
        <v>0.0339510906106888</v>
      </c>
      <c r="S29" s="124" t="n">
        <f aca="false">Unit_Cost!C$8/3600*Unit_Cost_Prod!S26</f>
        <v>0.134224657207592</v>
      </c>
      <c r="T29" s="124" t="n">
        <f aca="false">Unit_Cost!D$8/3600*Unit_Cost_Prod!T26</f>
        <v>0.191780186690782</v>
      </c>
      <c r="U29" s="124" t="n">
        <f aca="false">Unit_Cost!E$8/3600*Unit_Cost_Prod!U26</f>
        <v>0.32935711864356</v>
      </c>
      <c r="V29" s="124" t="n">
        <f aca="false">Unit_Cost!F$8/3600*Unit_Cost_Prod!V26</f>
        <v>0.018495300150885</v>
      </c>
      <c r="W29" s="124" t="n">
        <f aca="false">Unit_Cost!G$8/3600*Unit_Cost_Prod!W26</f>
        <v>0.0246951163043756</v>
      </c>
      <c r="X29" s="124" t="n">
        <f aca="false">Unit_Cost!H$8/3600*Unit_Cost_Prod!X26</f>
        <v>0.0400534934338416</v>
      </c>
      <c r="Y29" s="124" t="n">
        <f aca="false">Unit_Cost!I$8/3600*Unit_Cost_Prod!Y26</f>
        <v>0.0161952280965778</v>
      </c>
      <c r="Z29" s="124" t="n">
        <f aca="false">Unit_Cost!J$8/3600*Unit_Cost_Prod!Z26</f>
        <v>0.0209170743182869</v>
      </c>
      <c r="AA29" s="124" t="n">
        <f aca="false">Unit_Cost!K$8/3600*Unit_Cost_Prod!AA26</f>
        <v>0.0356123388503434</v>
      </c>
      <c r="AB29" s="124" t="n">
        <f aca="false">Unit_Cost!L$8/3600*Unit_Cost_Prod!AB26</f>
        <v>0.0130752181479087</v>
      </c>
      <c r="AC29" s="124" t="n">
        <f aca="false">Unit_Cost!M$8/3600*Unit_Cost_Prod!AC26</f>
        <v>0.0168050260436256</v>
      </c>
      <c r="AD29" s="124" t="n">
        <f aca="false">Unit_Cost!N$8/3600*Unit_Cost_Prod!AD26</f>
        <v>0.0271490399683714</v>
      </c>
      <c r="AE29" s="124" t="n">
        <f aca="false">Unit_Cost!O$8/3600*Unit_Cost_Prod!AE26</f>
        <v>0.0104010346120689</v>
      </c>
      <c r="AF29" s="124" t="n">
        <f aca="false">Unit_Cost!P$8/3600*Unit_Cost_Prod!AF26</f>
        <v>0.0158081464621773</v>
      </c>
      <c r="AG29" s="124" t="n">
        <f aca="false">Unit_Cost!Q$8/3600*Unit_Cost_Prod!AG26</f>
        <v>0.0288584270190855</v>
      </c>
    </row>
    <row r="31" customFormat="false" ht="15" hidden="false" customHeight="false" outlineLevel="0" collapsed="false">
      <c r="A31" s="62" t="s">
        <v>994</v>
      </c>
      <c r="B31" s="59" t="s">
        <v>976</v>
      </c>
      <c r="C31" s="124" t="n">
        <f aca="false">IF(ISNUMBER(Unit_Cost_Prod!C28),Unit_Cost!C$8/3600*Unit_Cost_Prod!C28,"SLO 不可達")</f>
        <v>1.71274171175772</v>
      </c>
      <c r="D31" s="124" t="n">
        <f aca="false">IF(ISNUMBER(Unit_Cost_Prod!D28),Unit_Cost!D$8/3600*Unit_Cost_Prod!D28,"SLO 不可達")</f>
        <v>2.44716531274855</v>
      </c>
      <c r="E31" s="124" t="n">
        <f aca="false">IF(ISNUMBER(Unit_Cost_Prod!E28),Unit_Cost!E$8/3600*Unit_Cost_Prod!E28,"SLO 不可達")</f>
        <v>4.20268292652605</v>
      </c>
      <c r="F31" s="124" t="n">
        <f aca="false">IF(ISNUMBER(Unit_Cost_Prod!F28),Unit_Cost!F$8/3600*Unit_Cost_Prod!F28,"SLO 不可達")</f>
        <v>0.419801224466016</v>
      </c>
      <c r="G31" s="124" t="n">
        <f aca="false">IF(ISNUMBER(Unit_Cost_Prod!G28),Unit_Cost!G$8/3600*Unit_Cost_Prod!G28,"SLO 不可達")</f>
        <v>0.560522942495287</v>
      </c>
      <c r="H31" s="124" t="n">
        <f aca="false">IF(ISNUMBER(Unit_Cost_Prod!H28),Unit_Cost!H$8/3600*Unit_Cost_Prod!H28,"SLO 不可達")</f>
        <v>0.909123152935893</v>
      </c>
      <c r="I31" s="124" t="n">
        <f aca="false">IF(ISNUMBER(Unit_Cost_Prod!I28),Unit_Cost!I$8/3600*Unit_Cost_Prod!I28,"SLO 不可達")</f>
        <v>0.367594823008291</v>
      </c>
      <c r="J31" s="124" t="n">
        <f aca="false">IF(ISNUMBER(Unit_Cost_Prod!J28),Unit_Cost!J$8/3600*Unit_Cost_Prod!J28,"SLO 不可達")</f>
        <v>0.474769986938727</v>
      </c>
      <c r="K31" s="124" t="n">
        <f aca="false">IF(ISNUMBER(Unit_Cost_Prod!K28),Unit_Cost!K$8/3600*Unit_Cost_Prod!K28,"SLO 不可達")</f>
        <v>0.808319050434956</v>
      </c>
      <c r="L31" s="124" t="n">
        <f aca="false">IF(ISNUMBER(Unit_Cost_Prod!L28),Unit_Cost!L$8/3600*Unit_Cost_Prod!L28,"SLO 不可達")</f>
        <v>0.27109446668064</v>
      </c>
      <c r="M31" s="124" t="n">
        <f aca="false">IF(ISNUMBER(Unit_Cost_Prod!M28),Unit_Cost!M$8/3600*Unit_Cost_Prod!M28,"SLO 不可達")</f>
        <v>0.348426276434984</v>
      </c>
      <c r="N31" s="124" t="n">
        <f aca="false">IF(ISNUMBER(Unit_Cost_Prod!N28),Unit_Cost!N$8/3600*Unit_Cost_Prod!N28,"SLO 不可達")</f>
        <v>0.56289343916562</v>
      </c>
      <c r="O31" s="124" t="n">
        <f aca="false">IF(ISNUMBER(Unit_Cost_Prod!O28),Unit_Cost!O$8/3600*Unit_Cost_Prod!O28,"SLO 不可達")</f>
        <v>0.210332559232483</v>
      </c>
      <c r="P31" s="124" t="n">
        <f aca="false">IF(ISNUMBER(Unit_Cost_Prod!P28),Unit_Cost!P$8/3600*Unit_Cost_Prod!P28,"SLO 不可達")</f>
        <v>0.319676650076091</v>
      </c>
      <c r="Q31" s="124" t="n">
        <f aca="false">IF(ISNUMBER(Unit_Cost_Prod!Q28),Unit_Cost!Q$8/3600*Unit_Cost_Prod!Q28,"SLO 不可達")</f>
        <v>0.583582983495207</v>
      </c>
      <c r="S31" s="124" t="n">
        <f aca="false">IF(ISNUMBER(Unit_Cost_Prod!S28),Unit_Cost!C$8/3600*Unit_Cost_Prod!S28,"SLO 不可達")</f>
        <v>1.33394074881857</v>
      </c>
      <c r="T31" s="124" t="n">
        <f aca="false">IF(ISNUMBER(Unit_Cost_Prod!T28),Unit_Cost!D$8/3600*Unit_Cost_Prod!T28,"SLO 不可達")</f>
        <v>1.905934506856</v>
      </c>
      <c r="U31" s="124" t="n">
        <f aca="false">IF(ISNUMBER(Unit_Cost_Prod!U28),Unit_Cost!E$8/3600*Unit_Cost_Prod!U28,"SLO 不可達")</f>
        <v>3.2731905643285</v>
      </c>
      <c r="V31" s="124" t="n">
        <f aca="false">IF(ISNUMBER(Unit_Cost_Prod!V28),Unit_Cost!F$8/3600*Unit_Cost_Prod!V28,"SLO 不可達")</f>
        <v>0.341423794880673</v>
      </c>
      <c r="W31" s="124" t="n">
        <f aca="false">IF(ISNUMBER(Unit_Cost_Prod!W28),Unit_Cost!G$8/3600*Unit_Cost_Prod!W28,"SLO 不可達")</f>
        <v>0.455872586812606</v>
      </c>
      <c r="X31" s="124" t="n">
        <f aca="false">IF(ISNUMBER(Unit_Cost_Prod!X28),Unit_Cost!H$8/3600*Unit_Cost_Prod!X28,"SLO 不可達")</f>
        <v>0.739388688739717</v>
      </c>
      <c r="Y31" s="124" t="n">
        <f aca="false">IF(ISNUMBER(Unit_Cost_Prod!Y28),Unit_Cost!I$8/3600*Unit_Cost_Prod!Y28,"SLO 不可達")</f>
        <v>0.29896439585097</v>
      </c>
      <c r="Z31" s="124" t="n">
        <f aca="false">IF(ISNUMBER(Unit_Cost_Prod!Z28),Unit_Cost!J$8/3600*Unit_Cost_Prod!Z28,"SLO 不可達")</f>
        <v>0.386129818564143</v>
      </c>
      <c r="AA31" s="124" t="n">
        <f aca="false">IF(ISNUMBER(Unit_Cost_Prod!AA28),Unit_Cost!K$8/3600*Unit_Cost_Prod!AA28,"SLO 不可達")</f>
        <v>0.657404842077077</v>
      </c>
      <c r="AB31" s="124" t="n">
        <f aca="false">IF(ISNUMBER(Unit_Cost_Prod!AB28),Unit_Cost!L$8/3600*Unit_Cost_Prod!AB28,"SLO 不可達")</f>
        <v>0.22130772679342</v>
      </c>
      <c r="AC31" s="124" t="n">
        <f aca="false">IF(ISNUMBER(Unit_Cost_Prod!AC28),Unit_Cost!M$8/3600*Unit_Cost_Prod!AC28,"SLO 不可達")</f>
        <v>0.284437480916053</v>
      </c>
      <c r="AD31" s="124" t="n">
        <f aca="false">IF(ISNUMBER(Unit_Cost_Prod!AD28),Unit_Cost!N$8/3600*Unit_Cost_Prod!AD28,"SLO 不可達")</f>
        <v>0.459517558487924</v>
      </c>
      <c r="AE31" s="124" t="n">
        <f aca="false">IF(ISNUMBER(Unit_Cost_Prod!AE28),Unit_Cost!O$8/3600*Unit_Cost_Prod!AE28,"SLO 不可達")</f>
        <v>0.171872558083737</v>
      </c>
      <c r="AF31" s="124" t="n">
        <f aca="false">IF(ISNUMBER(Unit_Cost_Prod!AF28),Unit_Cost!P$8/3600*Unit_Cost_Prod!AF28,"SLO 不可達")</f>
        <v>0.261222721811166</v>
      </c>
      <c r="AG31" s="124" t="n">
        <f aca="false">IF(ISNUMBER(Unit_Cost_Prod!AG28),Unit_Cost!Q$8/3600*Unit_Cost_Prod!AG28,"SLO 不可達")</f>
        <v>0.47687291303576</v>
      </c>
    </row>
    <row r="39" customFormat="false" ht="15" hidden="false" customHeight="false" outlineLevel="0" collapsed="false">
      <c r="A39" s="62" t="s">
        <v>989</v>
      </c>
      <c r="B39" s="59" t="s">
        <v>925</v>
      </c>
      <c r="C39" s="98" t="n">
        <f aca="false">INDEX(Perf_Prod!$C$101:$Q$101,3*(Unit_Cost!C$6-1)+3)</f>
        <v>1746.78576815559</v>
      </c>
      <c r="D39" s="98" t="n">
        <f aca="false">INDEX(Perf_Prod!$C$101:$Q$101,3*(Unit_Cost!D$6-1)+3)</f>
        <v>1746.78576815559</v>
      </c>
      <c r="E39" s="98" t="n">
        <f aca="false">INDEX(Perf_Prod!$C$101:$Q$101,3*(Unit_Cost!E$6-1)+3)</f>
        <v>1746.78576815559</v>
      </c>
      <c r="F39" s="98" t="n">
        <f aca="false">INDEX(Perf_Prod!$C$101:$Q$101,3*(Unit_Cost!F$6-1)+3)</f>
        <v>172.757112470588</v>
      </c>
      <c r="G39" s="98" t="n">
        <f aca="false">INDEX(Perf_Prod!$C$101:$Q$101,3*(Unit_Cost!G$6-1)+3)</f>
        <v>172.757112470588</v>
      </c>
      <c r="H39" s="98" t="n">
        <f aca="false">INDEX(Perf_Prod!$C$101:$Q$101,3*(Unit_Cost!H$6-1)+3)</f>
        <v>172.757112470588</v>
      </c>
      <c r="I39" s="98" t="n">
        <f aca="false">INDEX(Perf_Prod!$C$101:$Q$101,3*(Unit_Cost!I$6-1)+3)</f>
        <v>115.171408313725</v>
      </c>
      <c r="J39" s="98" t="n">
        <f aca="false">INDEX(Perf_Prod!$C$101:$Q$101,3*(Unit_Cost!J$6-1)+3)</f>
        <v>115.171408313725</v>
      </c>
      <c r="K39" s="98" t="n">
        <f aca="false">INDEX(Perf_Prod!$C$101:$Q$101,3*(Unit_Cost!K$6-1)+3)</f>
        <v>115.171408313725</v>
      </c>
      <c r="L39" s="98" t="n">
        <f aca="false">INDEX(Perf_Prod!$C$101:$Q$101,3*(Unit_Cost!L$6-1)+3)</f>
        <v>49.3591749915966</v>
      </c>
      <c r="M39" s="98" t="n">
        <f aca="false">INDEX(Perf_Prod!$C$101:$Q$101,3*(Unit_Cost!M$6-1)+3)</f>
        <v>49.3591749915966</v>
      </c>
      <c r="N39" s="98" t="n">
        <f aca="false">INDEX(Perf_Prod!$C$101:$Q$101,3*(Unit_Cost!N$6-1)+3)</f>
        <v>49.3591749915966</v>
      </c>
      <c r="O39" s="98" t="n">
        <f aca="false">INDEX(Perf_Prod!$C$101:$Q$101,3*(Unit_Cost!O$6-1)+3)</f>
        <v>24.6795874957983</v>
      </c>
      <c r="P39" s="98" t="n">
        <f aca="false">INDEX(Perf_Prod!$C$101:$Q$101,3*(Unit_Cost!P$6-1)+3)</f>
        <v>24.6795874957983</v>
      </c>
      <c r="Q39" s="98" t="n">
        <f aca="false">INDEX(Perf_Prod!$C$101:$Q$101,3*(Unit_Cost!Q$6-1)+3)</f>
        <v>24.6795874957983</v>
      </c>
      <c r="S39" s="98" t="n">
        <f aca="false">INDEX(Perf_Prod!$S$101:$AG$101,3*(Unit_Cost!C$6-1)+3)</f>
        <v>1484.76790293225</v>
      </c>
      <c r="T39" s="98" t="n">
        <f aca="false">INDEX(Perf_Prod!$S$101:$AG$101,3*(Unit_Cost!D$6-1)+3)</f>
        <v>1484.76790293225</v>
      </c>
      <c r="U39" s="98" t="n">
        <f aca="false">INDEX(Perf_Prod!$S$101:$AG$101,3*(Unit_Cost!E$6-1)+3)</f>
        <v>1484.76790293225</v>
      </c>
      <c r="V39" s="98" t="n">
        <f aca="false">INDEX(Perf_Prod!$S$101:$AG$101,3*(Unit_Cost!F$6-1)+3)</f>
        <v>146.8435456</v>
      </c>
      <c r="W39" s="98" t="n">
        <f aca="false">INDEX(Perf_Prod!$S$101:$AG$101,3*(Unit_Cost!G$6-1)+3)</f>
        <v>146.8435456</v>
      </c>
      <c r="X39" s="98" t="n">
        <f aca="false">INDEX(Perf_Prod!$S$101:$AG$101,3*(Unit_Cost!H$6-1)+3)</f>
        <v>146.8435456</v>
      </c>
      <c r="Y39" s="98" t="n">
        <f aca="false">INDEX(Perf_Prod!$S$101:$AG$101,3*(Unit_Cost!I$6-1)+3)</f>
        <v>97.8956970666667</v>
      </c>
      <c r="Z39" s="98" t="n">
        <f aca="false">INDEX(Perf_Prod!$S$101:$AG$101,3*(Unit_Cost!J$6-1)+3)</f>
        <v>97.8956970666667</v>
      </c>
      <c r="AA39" s="98" t="n">
        <f aca="false">INDEX(Perf_Prod!$S$101:$AG$101,3*(Unit_Cost!K$6-1)+3)</f>
        <v>97.8956970666667</v>
      </c>
      <c r="AB39" s="98" t="n">
        <f aca="false">INDEX(Perf_Prod!$S$101:$AG$101,3*(Unit_Cost!L$6-1)+3)</f>
        <v>41.9552987428571</v>
      </c>
      <c r="AC39" s="98" t="n">
        <f aca="false">INDEX(Perf_Prod!$S$101:$AG$101,3*(Unit_Cost!M$6-1)+3)</f>
        <v>41.9552987428571</v>
      </c>
      <c r="AD39" s="98" t="n">
        <f aca="false">INDEX(Perf_Prod!$S$101:$AG$101,3*(Unit_Cost!N$6-1)+3)</f>
        <v>41.9552987428571</v>
      </c>
      <c r="AE39" s="98" t="n">
        <f aca="false">INDEX(Perf_Prod!$S$101:$AG$101,3*(Unit_Cost!O$6-1)+3)</f>
        <v>20.9776493714286</v>
      </c>
      <c r="AF39" s="98" t="n">
        <f aca="false">INDEX(Perf_Prod!$S$101:$AG$101,3*(Unit_Cost!P$6-1)+3)</f>
        <v>20.9776493714286</v>
      </c>
      <c r="AG39" s="98" t="n">
        <f aca="false">INDEX(Perf_Prod!$S$101:$AG$101,3*(Unit_Cost!Q$6-1)+3)</f>
        <v>20.9776493714286</v>
      </c>
    </row>
    <row r="41" customFormat="false" ht="15" hidden="false" customHeight="false" outlineLevel="0" collapsed="false">
      <c r="A41" s="62" t="s">
        <v>991</v>
      </c>
      <c r="B41" s="59" t="s">
        <v>925</v>
      </c>
      <c r="C41" s="98" t="n">
        <f aca="false">INDEX(Perf_Prod!$C$103:$Q$103,3*(Unit_Cost!C$6-1)+3)</f>
        <v>35115.9249872323</v>
      </c>
      <c r="D41" s="98" t="n">
        <f aca="false">INDEX(Perf_Prod!$C$103:$Q$103,3*(Unit_Cost!D$6-1)+3)</f>
        <v>35115.9249872323</v>
      </c>
      <c r="E41" s="98" t="n">
        <f aca="false">INDEX(Perf_Prod!$C$103:$Q$103,3*(Unit_Cost!E$6-1)+3)</f>
        <v>35115.9249872323</v>
      </c>
      <c r="F41" s="98" t="n">
        <f aca="false">INDEX(Perf_Prod!$C$103:$Q$103,3*(Unit_Cost!F$6-1)+3)</f>
        <v>5475.63192276424</v>
      </c>
      <c r="G41" s="98" t="n">
        <f aca="false">INDEX(Perf_Prod!$C$103:$Q$103,3*(Unit_Cost!G$6-1)+3)</f>
        <v>5475.63192276424</v>
      </c>
      <c r="H41" s="98" t="n">
        <f aca="false">INDEX(Perf_Prod!$C$103:$Q$103,3*(Unit_Cost!H$6-1)+3)</f>
        <v>5475.63192276424</v>
      </c>
      <c r="I41" s="98" t="n">
        <f aca="false">INDEX(Perf_Prod!$C$103:$Q$103,3*(Unit_Cost!I$6-1)+3)</f>
        <v>4122.10145004545</v>
      </c>
      <c r="J41" s="98" t="n">
        <f aca="false">INDEX(Perf_Prod!$C$103:$Q$103,3*(Unit_Cost!J$6-1)+3)</f>
        <v>4122.10145004545</v>
      </c>
      <c r="K41" s="98" t="n">
        <f aca="false">INDEX(Perf_Prod!$C$103:$Q$103,3*(Unit_Cost!K$6-1)+3)</f>
        <v>4122.10145004545</v>
      </c>
      <c r="L41" s="98" t="n">
        <f aca="false">INDEX(Perf_Prod!$C$103:$Q$103,3*(Unit_Cost!L$6-1)+3)</f>
        <v>1317.87758322503</v>
      </c>
      <c r="M41" s="98" t="n">
        <f aca="false">INDEX(Perf_Prod!$C$103:$Q$103,3*(Unit_Cost!M$6-1)+3)</f>
        <v>1317.87758322503</v>
      </c>
      <c r="N41" s="98" t="n">
        <f aca="false">INDEX(Perf_Prod!$C$103:$Q$103,3*(Unit_Cost!N$6-1)+3)</f>
        <v>1317.87758322503</v>
      </c>
      <c r="O41" s="98" t="n">
        <f aca="false">INDEX(Perf_Prod!$C$103:$Q$103,3*(Unit_Cost!O$6-1)+3)</f>
        <v>613.197104482644</v>
      </c>
      <c r="P41" s="98" t="n">
        <f aca="false">INDEX(Perf_Prod!$C$103:$Q$103,3*(Unit_Cost!P$6-1)+3)</f>
        <v>613.197104482644</v>
      </c>
      <c r="Q41" s="98" t="n">
        <f aca="false">INDEX(Perf_Prod!$C$103:$Q$103,3*(Unit_Cost!Q$6-1)+3)</f>
        <v>613.197104482644</v>
      </c>
      <c r="S41" s="98" t="n">
        <f aca="false">INDEX(Perf_Prod!$S$103:$AG$103,3*(Unit_Cost!C$6-1)+3)</f>
        <v>24585.5869303147</v>
      </c>
      <c r="T41" s="98" t="n">
        <f aca="false">INDEX(Perf_Prod!$S$103:$AG$103,3*(Unit_Cost!D$6-1)+3)</f>
        <v>24585.5869303147</v>
      </c>
      <c r="U41" s="98" t="n">
        <f aca="false">INDEX(Perf_Prod!$S$103:$AG$103,3*(Unit_Cost!E$6-1)+3)</f>
        <v>24585.5869303147</v>
      </c>
      <c r="V41" s="98" t="n">
        <f aca="false">INDEX(Perf_Prod!$S$103:$AG$103,3*(Unit_Cost!F$6-1)+3)</f>
        <v>4255.52527237513</v>
      </c>
      <c r="W41" s="98" t="n">
        <f aca="false">INDEX(Perf_Prod!$S$103:$AG$103,3*(Unit_Cost!G$6-1)+3)</f>
        <v>4255.52527237513</v>
      </c>
      <c r="X41" s="98" t="n">
        <f aca="false">INDEX(Perf_Prod!$S$103:$AG$103,3*(Unit_Cost!H$6-1)+3)</f>
        <v>4255.52527237513</v>
      </c>
      <c r="Y41" s="98" t="n">
        <f aca="false">INDEX(Perf_Prod!$S$103:$AG$103,3*(Unit_Cost!I$6-1)+3)</f>
        <v>3168.5180674951</v>
      </c>
      <c r="Z41" s="98" t="n">
        <f aca="false">INDEX(Perf_Prod!$S$103:$AG$103,3*(Unit_Cost!J$6-1)+3)</f>
        <v>3168.5180674951</v>
      </c>
      <c r="AA41" s="98" t="n">
        <f aca="false">INDEX(Perf_Prod!$S$103:$AG$103,3*(Unit_Cost!K$6-1)+3)</f>
        <v>3168.5180674951</v>
      </c>
      <c r="AB41" s="98" t="n">
        <f aca="false">INDEX(Perf_Prod!$S$103:$AG$103,3*(Unit_Cost!L$6-1)+3)</f>
        <v>1038.24234365309</v>
      </c>
      <c r="AC41" s="98" t="n">
        <f aca="false">INDEX(Perf_Prod!$S$103:$AG$103,3*(Unit_Cost!M$6-1)+3)</f>
        <v>1038.24234365309</v>
      </c>
      <c r="AD41" s="98" t="n">
        <f aca="false">INDEX(Perf_Prod!$S$103:$AG$103,3*(Unit_Cost!N$6-1)+3)</f>
        <v>1038.24234365309</v>
      </c>
      <c r="AE41" s="98" t="n">
        <f aca="false">INDEX(Perf_Prod!$S$103:$AG$103,3*(Unit_Cost!O$6-1)+3)</f>
        <v>485.551136432426</v>
      </c>
      <c r="AF41" s="98" t="n">
        <f aca="false">INDEX(Perf_Prod!$S$103:$AG$103,3*(Unit_Cost!P$6-1)+3)</f>
        <v>485.551136432426</v>
      </c>
      <c r="AG41" s="98" t="n">
        <f aca="false">INDEX(Perf_Prod!$S$103:$AG$103,3*(Unit_Cost!Q$6-1)+3)</f>
        <v>485.551136432426</v>
      </c>
    </row>
    <row r="42" customFormat="false" ht="15" hidden="false" customHeight="false" outlineLevel="0" collapsed="false">
      <c r="A42" s="61" t="s">
        <v>992</v>
      </c>
      <c r="B42" s="59" t="s">
        <v>976</v>
      </c>
      <c r="C42" s="124" t="n">
        <f aca="false">Unit_Cost!C$8/3600*Unit_Cost_Prod!C39</f>
        <v>0.523863410119276</v>
      </c>
      <c r="D42" s="124" t="n">
        <f aca="false">Unit_Cost!D$8/3600*Unit_Cost_Prod!D39</f>
        <v>0.748496026611284</v>
      </c>
      <c r="E42" s="124" t="n">
        <f aca="false">Unit_Cost!E$8/3600*Unit_Cost_Prod!E39</f>
        <v>1.28544297977104</v>
      </c>
      <c r="F42" s="124" t="n">
        <f aca="false">Unit_Cost!F$8/3600*Unit_Cost_Prod!F39</f>
        <v>0.0721850307521153</v>
      </c>
      <c r="G42" s="124" t="n">
        <f aca="false">Unit_Cost!G$8/3600*Unit_Cost_Prod!G39</f>
        <v>0.0963822006302029</v>
      </c>
      <c r="H42" s="124" t="n">
        <f aca="false">Unit_Cost!H$8/3600*Unit_Cost_Prod!H39</f>
        <v>0.156324181368484</v>
      </c>
      <c r="I42" s="124" t="n">
        <f aca="false">Unit_Cost!I$8/3600*Unit_Cost_Prod!I39</f>
        <v>0.0632081138803821</v>
      </c>
      <c r="J42" s="124" t="n">
        <f aca="false">Unit_Cost!J$8/3600*Unit_Cost_Prod!J39</f>
        <v>0.0816369369835597</v>
      </c>
      <c r="K42" s="124" t="n">
        <f aca="false">Unit_Cost!K$8/3600*Unit_Cost_Prod!K39</f>
        <v>0.138990865468262</v>
      </c>
      <c r="L42" s="124" t="n">
        <f aca="false">Unit_Cost!L$8/3600*Unit_Cost_Prod!L39</f>
        <v>0.0510310736456061</v>
      </c>
      <c r="M42" s="124" t="n">
        <f aca="false">Unit_Cost!M$8/3600*Unit_Cost_Prod!M39</f>
        <v>0.0655880851812597</v>
      </c>
      <c r="N42" s="124" t="n">
        <f aca="false">Unit_Cost!N$8/3600*Unit_Cost_Prod!N39</f>
        <v>0.105959582651786</v>
      </c>
      <c r="O42" s="124" t="n">
        <f aca="false">Unit_Cost!O$8/3600*Unit_Cost_Prod!O39</f>
        <v>0.0405940426595394</v>
      </c>
      <c r="P42" s="124" t="n">
        <f aca="false">Unit_Cost!P$8/3600*Unit_Cost_Prod!P39</f>
        <v>0.0616973787501149</v>
      </c>
      <c r="Q42" s="124" t="n">
        <f aca="false">Unit_Cost!Q$8/3600*Unit_Cost_Prod!Q39</f>
        <v>0.112631123844221</v>
      </c>
      <c r="S42" s="124" t="n">
        <f aca="false">Unit_Cost!C$8/3600*Unit_Cost_Prod!S39</f>
        <v>0.445283898601385</v>
      </c>
      <c r="T42" s="124" t="n">
        <f aca="false">Unit_Cost!D$8/3600*Unit_Cost_Prod!T39</f>
        <v>0.636221622619591</v>
      </c>
      <c r="U42" s="124" t="n">
        <f aca="false">Unit_Cost!E$8/3600*Unit_Cost_Prod!U39</f>
        <v>1.09262653280539</v>
      </c>
      <c r="V42" s="124" t="n">
        <f aca="false">Unit_Cost!F$8/3600*Unit_Cost_Prod!V39</f>
        <v>0.061357276139298</v>
      </c>
      <c r="W42" s="124" t="n">
        <f aca="false">Unit_Cost!G$8/3600*Unit_Cost_Prod!W39</f>
        <v>0.0819248705356724</v>
      </c>
      <c r="X42" s="124" t="n">
        <f aca="false">Unit_Cost!H$8/3600*Unit_Cost_Prod!X39</f>
        <v>0.132875554163212</v>
      </c>
      <c r="Y42" s="124" t="n">
        <f aca="false">Unit_Cost!I$8/3600*Unit_Cost_Prod!Y39</f>
        <v>0.0537268967983248</v>
      </c>
      <c r="Z42" s="124" t="n">
        <f aca="false">Unit_Cost!J$8/3600*Unit_Cost_Prod!Z39</f>
        <v>0.0693913964360257</v>
      </c>
      <c r="AA42" s="124" t="n">
        <f aca="false">Unit_Cost!K$8/3600*Unit_Cost_Prod!AA39</f>
        <v>0.118142235648023</v>
      </c>
      <c r="AB42" s="124" t="n">
        <f aca="false">Unit_Cost!L$8/3600*Unit_Cost_Prod!AB39</f>
        <v>0.0433764125987652</v>
      </c>
      <c r="AC42" s="124" t="n">
        <f aca="false">Unit_Cost!M$8/3600*Unit_Cost_Prod!AC39</f>
        <v>0.0557498724040708</v>
      </c>
      <c r="AD42" s="124" t="n">
        <f aca="false">Unit_Cost!N$8/3600*Unit_Cost_Prod!AD39</f>
        <v>0.0900656452540185</v>
      </c>
      <c r="AE42" s="124" t="n">
        <f aca="false">Unit_Cost!O$8/3600*Unit_Cost_Prod!AE39</f>
        <v>0.0345049362606085</v>
      </c>
      <c r="AF42" s="124" t="n">
        <f aca="false">Unit_Cost!P$8/3600*Unit_Cost_Prod!AF39</f>
        <v>0.0524427719375976</v>
      </c>
      <c r="AG42" s="124" t="n">
        <f aca="false">Unit_Cost!Q$8/3600*Unit_Cost_Prod!AG39</f>
        <v>0.0957364552675877</v>
      </c>
    </row>
    <row r="44" customFormat="false" ht="15" hidden="false" customHeight="false" outlineLevel="0" collapsed="false">
      <c r="A44" s="62" t="s">
        <v>994</v>
      </c>
      <c r="B44" s="59" t="s">
        <v>976</v>
      </c>
      <c r="C44" s="124" t="n">
        <f aca="false">IF(ISNUMBER(Unit_Cost_Prod!C41),Unit_Cost!C$8/3600*Unit_Cost_Prod!C41,"SLO 不可達")</f>
        <v>10.5313133119514</v>
      </c>
      <c r="D44" s="124" t="n">
        <f aca="false">IF(ISNUMBER(Unit_Cost_Prod!D41),Unit_Cost!D$8/3600*Unit_Cost_Prod!D41,"SLO 不可達")</f>
        <v>15.0471401833531</v>
      </c>
      <c r="E44" s="124" t="n">
        <f aca="false">IF(ISNUMBER(Unit_Cost_Prod!E41),Unit_Cost!E$8/3600*Unit_Cost_Prod!E41,"SLO 不可達")</f>
        <v>25.841474138335</v>
      </c>
      <c r="F44" s="124" t="n">
        <f aca="false">IF(ISNUMBER(Unit_Cost_Prod!F41),Unit_Cost!F$8/3600*Unit_Cost_Prod!F41,"SLO 不可達")</f>
        <v>2.2879443461368</v>
      </c>
      <c r="G44" s="124" t="n">
        <f aca="false">IF(ISNUMBER(Unit_Cost_Prod!G41),Unit_Cost!G$8/3600*Unit_Cost_Prod!G41,"SLO 不可達")</f>
        <v>3.05488698560447</v>
      </c>
      <c r="H44" s="124" t="n">
        <f aca="false">IF(ISNUMBER(Unit_Cost_Prod!H41),Unit_Cost!H$8/3600*Unit_Cost_Prod!H41,"SLO 不可達")</f>
        <v>4.95478111181668</v>
      </c>
      <c r="I44" s="124" t="n">
        <f aca="false">IF(ISNUMBER(Unit_Cost_Prod!I41),Unit_Cost!I$8/3600*Unit_Cost_Prod!I41,"SLO 不可達")</f>
        <v>2.26228246832952</v>
      </c>
      <c r="J44" s="124" t="n">
        <f aca="false">IF(ISNUMBER(Unit_Cost_Prod!J41),Unit_Cost!J$8/3600*Unit_Cost_Prod!J41,"SLO 不可達")</f>
        <v>2.92186872804868</v>
      </c>
      <c r="K44" s="124" t="n">
        <f aca="false">IF(ISNUMBER(Unit_Cost_Prod!K41),Unit_Cost!K$8/3600*Unit_Cost_Prod!K41,"SLO 不可達")</f>
        <v>4.97462396681936</v>
      </c>
      <c r="L44" s="124" t="n">
        <f aca="false">IF(ISNUMBER(Unit_Cost_Prod!L41),Unit_Cost!L$8/3600*Unit_Cost_Prod!L41,"SLO 不可達")</f>
        <v>1.36251685764399</v>
      </c>
      <c r="M44" s="124" t="n">
        <f aca="false">IF(ISNUMBER(Unit_Cost_Prod!M41),Unit_Cost!M$8/3600*Unit_Cost_Prod!M41,"SLO 不可達")</f>
        <v>1.75118541186622</v>
      </c>
      <c r="N44" s="124" t="n">
        <f aca="false">IF(ISNUMBER(Unit_Cost_Prod!N41),Unit_Cost!N$8/3600*Unit_Cost_Prod!N41,"SLO 不可達")</f>
        <v>2.82909426116711</v>
      </c>
      <c r="O44" s="124" t="n">
        <f aca="false">IF(ISNUMBER(Unit_Cost_Prod!O41),Unit_Cost!O$8/3600*Unit_Cost_Prod!O41,"SLO 不可達")</f>
        <v>1.00861286365959</v>
      </c>
      <c r="P44" s="124" t="n">
        <f aca="false">IF(ISNUMBER(Unit_Cost_Prod!P41),Unit_Cost!P$8/3600*Unit_Cost_Prod!P41,"SLO 不可達")</f>
        <v>1.53295325581031</v>
      </c>
      <c r="Q44" s="124" t="n">
        <f aca="false">IF(ISNUMBER(Unit_Cost_Prod!Q41),Unit_Cost!Q$8/3600*Unit_Cost_Prod!Q41,"SLO 不可達")</f>
        <v>2.79846974863986</v>
      </c>
      <c r="S44" s="124" t="n">
        <f aca="false">IF(ISNUMBER(Unit_Cost_Prod!S41),Unit_Cost!C$8/3600*Unit_Cost_Prod!S41,"SLO 不可達")</f>
        <v>7.37325071219114</v>
      </c>
      <c r="T44" s="124" t="n">
        <f aca="false">IF(ISNUMBER(Unit_Cost_Prod!T41),Unit_Cost!D$8/3600*Unit_Cost_Prod!T41,"SLO 不可達")</f>
        <v>10.5349004238096</v>
      </c>
      <c r="U44" s="124" t="n">
        <f aca="false">IF(ISNUMBER(Unit_Cost_Prod!U41),Unit_Cost!E$8/3600*Unit_Cost_Prod!U41,"SLO 不可達")</f>
        <v>18.0922988378211</v>
      </c>
      <c r="V44" s="124" t="n">
        <f aca="false">IF(ISNUMBER(Unit_Cost_Prod!V41),Unit_Cost!F$8/3600*Unit_Cost_Prod!V41,"SLO 不可達")</f>
        <v>1.77813357875555</v>
      </c>
      <c r="W44" s="124" t="n">
        <f aca="false">IF(ISNUMBER(Unit_Cost_Prod!W41),Unit_Cost!G$8/3600*Unit_Cost_Prod!W41,"SLO 不可達")</f>
        <v>2.37418236924275</v>
      </c>
      <c r="X44" s="124" t="n">
        <f aca="false">IF(ISNUMBER(Unit_Cost_Prod!X41),Unit_Cost!H$8/3600*Unit_Cost_Prod!X41,"SLO 不可達")</f>
        <v>3.8507329451353</v>
      </c>
      <c r="Y44" s="124" t="n">
        <f aca="false">IF(ISNUMBER(Unit_Cost_Prod!Y41),Unit_Cost!I$8/3600*Unit_Cost_Prod!Y41,"SLO 不可達")</f>
        <v>1.73893897604108</v>
      </c>
      <c r="Z44" s="124" t="n">
        <f aca="false">IF(ISNUMBER(Unit_Cost_Prod!Z41),Unit_Cost!J$8/3600*Unit_Cost_Prod!Z41,"SLO 不可達")</f>
        <v>2.24594032142734</v>
      </c>
      <c r="AA44" s="124" t="n">
        <f aca="false">IF(ISNUMBER(Unit_Cost_Prod!AA41),Unit_Cost!K$8/3600*Unit_Cost_Prod!AA41,"SLO 不可達")</f>
        <v>3.82382289928538</v>
      </c>
      <c r="AB44" s="124" t="n">
        <f aca="false">IF(ISNUMBER(Unit_Cost_Prod!AB41),Unit_Cost!L$8/3600*Unit_Cost_Prod!AB41,"SLO 不可達")</f>
        <v>1.07340978673099</v>
      </c>
      <c r="AC44" s="124" t="n">
        <f aca="false">IF(ISNUMBER(Unit_Cost_Prod!AC41),Unit_Cost!M$8/3600*Unit_Cost_Prod!AC41,"SLO 不可達")</f>
        <v>1.37960829543652</v>
      </c>
      <c r="AD44" s="124" t="n">
        <f aca="false">IF(ISNUMBER(Unit_Cost_Prod!AD41),Unit_Cost!N$8/3600*Unit_Cost_Prod!AD41,"SLO 不可達")</f>
        <v>2.2287999230867</v>
      </c>
      <c r="AE44" s="124" t="n">
        <f aca="false">IF(ISNUMBER(Unit_Cost_Prod!AE41),Unit_Cost!O$8/3600*Unit_Cost_Prod!AE41,"SLO 不可達")</f>
        <v>0.798655307714581</v>
      </c>
      <c r="AF44" s="124" t="n">
        <f aca="false">IF(ISNUMBER(Unit_Cost_Prod!AF41),Unit_Cost!P$8/3600*Unit_Cost_Prod!AF41,"SLO 不可達")</f>
        <v>1.21384655931224</v>
      </c>
      <c r="AG44" s="124" t="n">
        <f aca="false">IF(ISNUMBER(Unit_Cost_Prod!AG41),Unit_Cost!Q$8/3600*Unit_Cost_Prod!AG41,"SLO 不可達")</f>
        <v>2.2159272390405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0"/>
    <col collapsed="false" customWidth="true" hidden="false" outlineLevel="0" max="3" min="3" style="0" width="12.5"/>
    <col collapsed="false" customWidth="true" hidden="false" outlineLevel="0" max="17" min="4" style="0" width="13"/>
    <col collapsed="false" customWidth="true" hidden="false" outlineLevel="0" max="33" min="19" style="0" width="12.5"/>
  </cols>
  <sheetData>
    <row r="1" customFormat="false" ht="20.1" hidden="false" customHeight="false" outlineLevel="0" collapsed="false">
      <c r="A1" s="58" t="s">
        <v>2731</v>
      </c>
    </row>
    <row r="2" customFormat="false" ht="15" hidden="false" customHeight="false" outlineLevel="0" collapsed="false">
      <c r="A2" s="74" t="s">
        <v>2732</v>
      </c>
    </row>
    <row r="3" customFormat="false" ht="15" hidden="false" customHeight="false" outlineLevel="0" collapsed="false">
      <c r="S3" s="60" t="s">
        <v>2722</v>
      </c>
    </row>
    <row r="4" customFormat="false" ht="15" hidden="false" customHeight="false" outlineLevel="0" collapsed="false">
      <c r="A4" s="92" t="str">
        <f aca="false">Interface!A4</f>
        <v>指標</v>
      </c>
      <c r="B4" s="92" t="str">
        <f aca="false">Interface!B4</f>
        <v>單位</v>
      </c>
      <c r="C4" s="181" t="str">
        <f aca="false">Interface!C4</f>
        <v>Hopper H100</v>
      </c>
      <c r="D4" s="181" t="str">
        <f aca="false">Interface!D4</f>
        <v>Hopper H100</v>
      </c>
      <c r="E4" s="181" t="str">
        <f aca="false">Interface!E4</f>
        <v>Hopper H100</v>
      </c>
      <c r="F4" s="181" t="str">
        <f aca="false">Interface!F4</f>
        <v>GB200 NVL72</v>
      </c>
      <c r="G4" s="181" t="str">
        <f aca="false">Interface!G4</f>
        <v>GB200 NVL72</v>
      </c>
      <c r="H4" s="181" t="str">
        <f aca="false">Interface!H4</f>
        <v>GB200 NVL72</v>
      </c>
      <c r="I4" s="181" t="str">
        <f aca="false">Interface!I4</f>
        <v>GB300 NVL72</v>
      </c>
      <c r="J4" s="181" t="str">
        <f aca="false">Interface!J4</f>
        <v>GB300 NVL72</v>
      </c>
      <c r="K4" s="181" t="str">
        <f aca="false">Interface!K4</f>
        <v>GB300 NVL72</v>
      </c>
      <c r="L4" s="181" t="str">
        <f aca="false">Interface!L4</f>
        <v>VR200 NVL72</v>
      </c>
      <c r="M4" s="181" t="str">
        <f aca="false">Interface!M4</f>
        <v>VR200 NVL72</v>
      </c>
      <c r="N4" s="181" t="str">
        <f aca="false">Interface!N4</f>
        <v>VR200 NVL72</v>
      </c>
      <c r="O4" s="181" t="str">
        <f aca="false">Interface!O4</f>
        <v>Rubin Ultra（MGX NVL 單架，72 GPU）</v>
      </c>
      <c r="P4" s="181" t="str">
        <f aca="false">Interface!P4</f>
        <v>Rubin Ultra（MGX NVL 單架，72 GPU）</v>
      </c>
      <c r="Q4" s="181" t="str">
        <f aca="false">Interface!Q4</f>
        <v>Rubin Ultra（MGX NVL 單架，72 GPU）</v>
      </c>
      <c r="S4" s="181" t="str">
        <f aca="false">Interface!C4</f>
        <v>Hopper H100</v>
      </c>
      <c r="T4" s="181" t="str">
        <f aca="false">Interface!D4</f>
        <v>Hopper H100</v>
      </c>
      <c r="U4" s="181" t="str">
        <f aca="false">Interface!E4</f>
        <v>Hopper H100</v>
      </c>
      <c r="V4" s="181" t="str">
        <f aca="false">Interface!F4</f>
        <v>GB200 NVL72</v>
      </c>
      <c r="W4" s="181" t="str">
        <f aca="false">Interface!G4</f>
        <v>GB200 NVL72</v>
      </c>
      <c r="X4" s="181" t="str">
        <f aca="false">Interface!H4</f>
        <v>GB200 NVL72</v>
      </c>
      <c r="Y4" s="181" t="str">
        <f aca="false">Interface!I4</f>
        <v>GB300 NVL72</v>
      </c>
      <c r="Z4" s="181" t="str">
        <f aca="false">Interface!J4</f>
        <v>GB300 NVL72</v>
      </c>
      <c r="AA4" s="181" t="str">
        <f aca="false">Interface!K4</f>
        <v>GB300 NVL72</v>
      </c>
      <c r="AB4" s="181" t="str">
        <f aca="false">Interface!L4</f>
        <v>VR200 NVL72</v>
      </c>
      <c r="AC4" s="181" t="str">
        <f aca="false">Interface!M4</f>
        <v>VR200 NVL72</v>
      </c>
      <c r="AD4" s="181" t="str">
        <f aca="false">Interface!N4</f>
        <v>VR200 NVL72</v>
      </c>
      <c r="AE4" s="181" t="str">
        <f aca="false">Interface!O4</f>
        <v>Rubin Ultra（MGX NVL 單架，72 GPU）</v>
      </c>
      <c r="AF4" s="181" t="str">
        <f aca="false">Interface!P4</f>
        <v>Rubin Ultra（MGX NVL 單架，72 GPU）</v>
      </c>
      <c r="AG4" s="181" t="str">
        <f aca="false">Interface!Q4</f>
        <v>Rubin Ultra（MGX NVL 單架，72 GPU）</v>
      </c>
    </row>
    <row r="5" customFormat="false" ht="15" hidden="false" customHeight="false" outlineLevel="0" collapsed="false">
      <c r="A5" s="92" t="str">
        <f aca="false">Interface!A5</f>
        <v>成本情境</v>
      </c>
      <c r="C5" s="92" t="str">
        <f aca="false">Interface!C5</f>
        <v>低成本</v>
      </c>
      <c r="D5" s="92" t="str">
        <f aca="false">Interface!D5</f>
        <v>基準</v>
      </c>
      <c r="E5" s="92" t="str">
        <f aca="false">Interface!E5</f>
        <v>高成本</v>
      </c>
      <c r="F5" s="92" t="str">
        <f aca="false">Interface!F5</f>
        <v>低成本</v>
      </c>
      <c r="G5" s="92" t="str">
        <f aca="false">Interface!G5</f>
        <v>基準</v>
      </c>
      <c r="H5" s="92" t="str">
        <f aca="false">Interface!H5</f>
        <v>高成本</v>
      </c>
      <c r="I5" s="92" t="str">
        <f aca="false">Interface!I5</f>
        <v>低成本</v>
      </c>
      <c r="J5" s="92" t="str">
        <f aca="false">Interface!J5</f>
        <v>基準</v>
      </c>
      <c r="K5" s="92" t="str">
        <f aca="false">Interface!K5</f>
        <v>高成本</v>
      </c>
      <c r="L5" s="92" t="str">
        <f aca="false">Interface!L5</f>
        <v>低成本</v>
      </c>
      <c r="M5" s="92" t="str">
        <f aca="false">Interface!M5</f>
        <v>基準</v>
      </c>
      <c r="N5" s="92" t="str">
        <f aca="false">Interface!N5</f>
        <v>高成本</v>
      </c>
      <c r="O5" s="92" t="str">
        <f aca="false">Interface!O5</f>
        <v>低成本</v>
      </c>
      <c r="P5" s="92" t="str">
        <f aca="false">Interface!P5</f>
        <v>基準</v>
      </c>
      <c r="Q5" s="92" t="str">
        <f aca="false">Interface!Q5</f>
        <v>高成本</v>
      </c>
      <c r="S5" s="92" t="str">
        <f aca="false">Interface!C5</f>
        <v>低成本</v>
      </c>
      <c r="T5" s="92" t="str">
        <f aca="false">Interface!D5</f>
        <v>基準</v>
      </c>
      <c r="U5" s="92" t="str">
        <f aca="false">Interface!E5</f>
        <v>高成本</v>
      </c>
      <c r="V5" s="92" t="str">
        <f aca="false">Interface!F5</f>
        <v>低成本</v>
      </c>
      <c r="W5" s="92" t="str">
        <f aca="false">Interface!G5</f>
        <v>基準</v>
      </c>
      <c r="X5" s="92" t="str">
        <f aca="false">Interface!H5</f>
        <v>高成本</v>
      </c>
      <c r="Y5" s="92" t="str">
        <f aca="false">Interface!I5</f>
        <v>低成本</v>
      </c>
      <c r="Z5" s="92" t="str">
        <f aca="false">Interface!J5</f>
        <v>基準</v>
      </c>
      <c r="AA5" s="92" t="str">
        <f aca="false">Interface!K5</f>
        <v>高成本</v>
      </c>
      <c r="AB5" s="92" t="str">
        <f aca="false">Interface!L5</f>
        <v>低成本</v>
      </c>
      <c r="AC5" s="92" t="str">
        <f aca="false">Interface!M5</f>
        <v>基準</v>
      </c>
      <c r="AD5" s="92" t="str">
        <f aca="false">Interface!N5</f>
        <v>高成本</v>
      </c>
      <c r="AE5" s="92" t="str">
        <f aca="false">Interface!O5</f>
        <v>低成本</v>
      </c>
      <c r="AF5" s="92" t="str">
        <f aca="false">Interface!P5</f>
        <v>基準</v>
      </c>
      <c r="AG5" s="92" t="str">
        <f aca="false">Interface!Q5</f>
        <v>高成本</v>
      </c>
    </row>
    <row r="6" customFormat="false" ht="15" hidden="false" customHeight="false" outlineLevel="0" collapsed="false">
      <c r="A6" s="92" t="str">
        <f aca="false">Interface!A6</f>
        <v>每 GW 機架數</v>
      </c>
      <c r="B6" s="92" t="str">
        <f aca="false">Interface!B6</f>
        <v>架</v>
      </c>
      <c r="C6" s="63" t="n">
        <f aca="false">Interface!C6</f>
        <v>22439</v>
      </c>
      <c r="D6" s="171" t="n">
        <f aca="false">Interface!D6</f>
        <v>22439</v>
      </c>
      <c r="E6" s="63" t="n">
        <f aca="false">Interface!E6</f>
        <v>22439</v>
      </c>
      <c r="F6" s="63" t="n">
        <f aca="false">Interface!F6</f>
        <v>6969</v>
      </c>
      <c r="G6" s="171" t="n">
        <f aca="false">Interface!G6</f>
        <v>6969</v>
      </c>
      <c r="H6" s="63" t="n">
        <f aca="false">Interface!H6</f>
        <v>6969</v>
      </c>
      <c r="I6" s="63" t="n">
        <f aca="false">Interface!I6</f>
        <v>6764</v>
      </c>
      <c r="J6" s="171" t="n">
        <f aca="false">Interface!J6</f>
        <v>6764</v>
      </c>
      <c r="K6" s="63" t="n">
        <f aca="false">Interface!K6</f>
        <v>6764</v>
      </c>
      <c r="L6" s="63" t="n">
        <f aca="false">Interface!L6</f>
        <v>4052</v>
      </c>
      <c r="M6" s="171" t="n">
        <f aca="false">Interface!M6</f>
        <v>4052</v>
      </c>
      <c r="N6" s="63" t="n">
        <f aca="false">Interface!N6</f>
        <v>4052</v>
      </c>
      <c r="O6" s="63" t="n">
        <f aca="false">Interface!O6</f>
        <v>2705</v>
      </c>
      <c r="P6" s="171" t="n">
        <f aca="false">Interface!P6</f>
        <v>2705</v>
      </c>
      <c r="Q6" s="63" t="n">
        <f aca="false">Interface!Q6</f>
        <v>2705</v>
      </c>
      <c r="S6" s="63" t="n">
        <f aca="false">Interface!C6</f>
        <v>22439</v>
      </c>
      <c r="T6" s="171" t="n">
        <f aca="false">Interface!D6</f>
        <v>22439</v>
      </c>
      <c r="U6" s="63" t="n">
        <f aca="false">Interface!E6</f>
        <v>22439</v>
      </c>
      <c r="V6" s="63" t="n">
        <f aca="false">Interface!F6</f>
        <v>6969</v>
      </c>
      <c r="W6" s="171" t="n">
        <f aca="false">Interface!G6</f>
        <v>6969</v>
      </c>
      <c r="X6" s="63" t="n">
        <f aca="false">Interface!H6</f>
        <v>6969</v>
      </c>
      <c r="Y6" s="63" t="n">
        <f aca="false">Interface!I6</f>
        <v>6764</v>
      </c>
      <c r="Z6" s="171" t="n">
        <f aca="false">Interface!J6</f>
        <v>6764</v>
      </c>
      <c r="AA6" s="63" t="n">
        <f aca="false">Interface!K6</f>
        <v>6764</v>
      </c>
      <c r="AB6" s="63" t="n">
        <f aca="false">Interface!L6</f>
        <v>4052</v>
      </c>
      <c r="AC6" s="171" t="n">
        <f aca="false">Interface!M6</f>
        <v>4052</v>
      </c>
      <c r="AD6" s="63" t="n">
        <f aca="false">Interface!N6</f>
        <v>4052</v>
      </c>
      <c r="AE6" s="63" t="n">
        <f aca="false">Interface!O6</f>
        <v>2705</v>
      </c>
      <c r="AF6" s="171" t="n">
        <f aca="false">Interface!P6</f>
        <v>2705</v>
      </c>
      <c r="AG6" s="63" t="n">
        <f aca="false">Interface!Q6</f>
        <v>2705</v>
      </c>
    </row>
    <row r="7" customFormat="false" ht="15" hidden="false" customHeight="false" outlineLevel="0" collapsed="false">
      <c r="A7" s="92" t="str">
        <f aca="false">Interface!A7</f>
        <v>每 GW GPU 數</v>
      </c>
      <c r="B7" s="92" t="str">
        <f aca="false">Interface!B7</f>
        <v>顆</v>
      </c>
      <c r="C7" s="63" t="n">
        <f aca="false">Interface!C7</f>
        <v>718048</v>
      </c>
      <c r="D7" s="171" t="n">
        <f aca="false">Interface!D7</f>
        <v>718048</v>
      </c>
      <c r="E7" s="63" t="n">
        <f aca="false">Interface!E7</f>
        <v>718048</v>
      </c>
      <c r="F7" s="63" t="n">
        <f aca="false">Interface!F7</f>
        <v>501768</v>
      </c>
      <c r="G7" s="171" t="n">
        <f aca="false">Interface!G7</f>
        <v>501768</v>
      </c>
      <c r="H7" s="63" t="n">
        <f aca="false">Interface!H7</f>
        <v>501768</v>
      </c>
      <c r="I7" s="63" t="n">
        <f aca="false">Interface!I7</f>
        <v>487008</v>
      </c>
      <c r="J7" s="171" t="n">
        <f aca="false">Interface!J7</f>
        <v>487008</v>
      </c>
      <c r="K7" s="63" t="n">
        <f aca="false">Interface!K7</f>
        <v>487008</v>
      </c>
      <c r="L7" s="63" t="n">
        <f aca="false">Interface!L7</f>
        <v>291744</v>
      </c>
      <c r="M7" s="171" t="n">
        <f aca="false">Interface!M7</f>
        <v>291744</v>
      </c>
      <c r="N7" s="63" t="n">
        <f aca="false">Interface!N7</f>
        <v>291744</v>
      </c>
      <c r="O7" s="63" t="n">
        <f aca="false">Interface!O7</f>
        <v>194760</v>
      </c>
      <c r="P7" s="171" t="n">
        <f aca="false">Interface!P7</f>
        <v>194760</v>
      </c>
      <c r="Q7" s="63" t="n">
        <f aca="false">Interface!Q7</f>
        <v>194760</v>
      </c>
      <c r="S7" s="63" t="n">
        <f aca="false">Interface!C7</f>
        <v>718048</v>
      </c>
      <c r="T7" s="171" t="n">
        <f aca="false">Interface!D7</f>
        <v>718048</v>
      </c>
      <c r="U7" s="63" t="n">
        <f aca="false">Interface!E7</f>
        <v>718048</v>
      </c>
      <c r="V7" s="63" t="n">
        <f aca="false">Interface!F7</f>
        <v>501768</v>
      </c>
      <c r="W7" s="171" t="n">
        <f aca="false">Interface!G7</f>
        <v>501768</v>
      </c>
      <c r="X7" s="63" t="n">
        <f aca="false">Interface!H7</f>
        <v>501768</v>
      </c>
      <c r="Y7" s="63" t="n">
        <f aca="false">Interface!I7</f>
        <v>487008</v>
      </c>
      <c r="Z7" s="171" t="n">
        <f aca="false">Interface!J7</f>
        <v>487008</v>
      </c>
      <c r="AA7" s="63" t="n">
        <f aca="false">Interface!K7</f>
        <v>487008</v>
      </c>
      <c r="AB7" s="63" t="n">
        <f aca="false">Interface!L7</f>
        <v>291744</v>
      </c>
      <c r="AC7" s="171" t="n">
        <f aca="false">Interface!M7</f>
        <v>291744</v>
      </c>
      <c r="AD7" s="63" t="n">
        <f aca="false">Interface!N7</f>
        <v>291744</v>
      </c>
      <c r="AE7" s="63" t="n">
        <f aca="false">Interface!O7</f>
        <v>194760</v>
      </c>
      <c r="AF7" s="171" t="n">
        <f aca="false">Interface!P7</f>
        <v>194760</v>
      </c>
      <c r="AG7" s="63" t="n">
        <f aca="false">Interface!Q7</f>
        <v>194760</v>
      </c>
    </row>
    <row r="21" customFormat="false" ht="15" hidden="false" customHeight="false" outlineLevel="0" collapsed="false">
      <c r="A21" s="61" t="s">
        <v>2733</v>
      </c>
      <c r="B21" s="59" t="s">
        <v>2724</v>
      </c>
      <c r="C21" s="171" t="n">
        <f aca="false">INDEX(Perf_Prod!$C$98:$Q$98,3*(Unit_Cost!C$6-1)+1)</f>
        <v>86407975794.7352</v>
      </c>
      <c r="D21" s="171" t="n">
        <f aca="false">INDEX(Perf_Prod!$C$98:$Q$98,3*(Unit_Cost!D$6-1)+1)</f>
        <v>86407975794.7352</v>
      </c>
      <c r="E21" s="171" t="n">
        <f aca="false">INDEX(Perf_Prod!$C$98:$Q$98,3*(Unit_Cost!E$6-1)+1)</f>
        <v>86407975794.7352</v>
      </c>
      <c r="F21" s="171" t="n">
        <f aca="false">INDEX(Perf_Prod!$C$98:$Q$98,3*(Unit_Cost!F$6-1)+1)</f>
        <v>400266165263.125</v>
      </c>
      <c r="G21" s="171" t="n">
        <f aca="false">INDEX(Perf_Prod!$C$98:$Q$98,3*(Unit_Cost!G$6-1)+1)</f>
        <v>400266165263.125</v>
      </c>
      <c r="H21" s="171" t="n">
        <f aca="false">INDEX(Perf_Prod!$C$98:$Q$98,3*(Unit_Cost!H$6-1)+1)</f>
        <v>400266165263.125</v>
      </c>
      <c r="I21" s="171" t="n">
        <f aca="false">INDEX(Perf_Prod!$C$98:$Q$98,3*(Unit_Cost!I$6-1)+1)</f>
        <v>582737912578.515</v>
      </c>
      <c r="J21" s="171" t="n">
        <f aca="false">INDEX(Perf_Prod!$C$98:$Q$98,3*(Unit_Cost!J$6-1)+1)</f>
        <v>582737912578.515</v>
      </c>
      <c r="K21" s="171" t="n">
        <f aca="false">INDEX(Perf_Prod!$C$98:$Q$98,3*(Unit_Cost!K$6-1)+1)</f>
        <v>582737912578.515</v>
      </c>
      <c r="L21" s="171" t="n">
        <f aca="false">INDEX(Perf_Prod!$C$98:$Q$98,3*(Unit_Cost!L$6-1)+1)</f>
        <v>842649072093.88</v>
      </c>
      <c r="M21" s="171" t="n">
        <f aca="false">INDEX(Perf_Prod!$C$98:$Q$98,3*(Unit_Cost!M$6-1)+1)</f>
        <v>842649072093.88</v>
      </c>
      <c r="N21" s="171" t="n">
        <f aca="false">INDEX(Perf_Prod!$C$98:$Q$98,3*(Unit_Cost!N$6-1)+1)</f>
        <v>842649072093.88</v>
      </c>
      <c r="O21" s="171" t="n">
        <f aca="false">INDEX(Perf_Prod!$C$98:$Q$98,3*(Unit_Cost!O$6-1)+1)</f>
        <v>1135178323762.64</v>
      </c>
      <c r="P21" s="171" t="n">
        <f aca="false">INDEX(Perf_Prod!$C$98:$Q$98,3*(Unit_Cost!P$6-1)+1)</f>
        <v>1135178323762.64</v>
      </c>
      <c r="Q21" s="171" t="n">
        <f aca="false">INDEX(Perf_Prod!$C$98:$Q$98,3*(Unit_Cost!Q$6-1)+1)</f>
        <v>1135178323762.64</v>
      </c>
      <c r="S21" s="171" t="n">
        <f aca="false">INDEX(Perf_Prod!$S$98:$AG$98,3*(Unit_Cost!C$6-1)+1)</f>
        <v>112228240510.472</v>
      </c>
      <c r="T21" s="171" t="n">
        <f aca="false">INDEX(Perf_Prod!$S$98:$AG$98,3*(Unit_Cost!D$6-1)+1)</f>
        <v>112228240510.472</v>
      </c>
      <c r="U21" s="171" t="n">
        <f aca="false">INDEX(Perf_Prod!$S$98:$AG$98,3*(Unit_Cost!E$6-1)+1)</f>
        <v>112228240510.472</v>
      </c>
      <c r="V21" s="171" t="n">
        <f aca="false">INDEX(Perf_Prod!$S$98:$AG$98,3*(Unit_Cost!F$6-1)+1)</f>
        <v>496729138259.007</v>
      </c>
      <c r="W21" s="171" t="n">
        <f aca="false">INDEX(Perf_Prod!$S$98:$AG$98,3*(Unit_Cost!G$6-1)+1)</f>
        <v>496729138259.007</v>
      </c>
      <c r="X21" s="171" t="n">
        <f aca="false">INDEX(Perf_Prod!$S$98:$AG$98,3*(Unit_Cost!H$6-1)+1)</f>
        <v>496729138259.007</v>
      </c>
      <c r="Y21" s="171" t="n">
        <f aca="false">INDEX(Perf_Prod!$S$98:$AG$98,3*(Unit_Cost!I$6-1)+1)</f>
        <v>723176042011.176</v>
      </c>
      <c r="Z21" s="171" t="n">
        <f aca="false">INDEX(Perf_Prod!$S$98:$AG$98,3*(Unit_Cost!J$6-1)+1)</f>
        <v>723176042011.176</v>
      </c>
      <c r="AA21" s="171" t="n">
        <f aca="false">INDEX(Perf_Prod!$S$98:$AG$98,3*(Unit_Cost!K$6-1)+1)</f>
        <v>723176042011.176</v>
      </c>
      <c r="AB21" s="171" t="n">
        <f aca="false">INDEX(Perf_Prod!$S$98:$AG$98,3*(Unit_Cost!L$6-1)+1)</f>
        <v>1043267705667.06</v>
      </c>
      <c r="AC21" s="171" t="n">
        <f aca="false">INDEX(Perf_Prod!$S$98:$AG$98,3*(Unit_Cost!M$6-1)+1)</f>
        <v>1043267705667.06</v>
      </c>
      <c r="AD21" s="171" t="n">
        <f aca="false">INDEX(Perf_Prod!$S$98:$AG$98,3*(Unit_Cost!N$6-1)+1)</f>
        <v>1043267705667.06</v>
      </c>
      <c r="AE21" s="171" t="n">
        <f aca="false">INDEX(Perf_Prod!$S$98:$AG$98,3*(Unit_Cost!O$6-1)+1)</f>
        <v>1404587982526.55</v>
      </c>
      <c r="AF21" s="171" t="n">
        <f aca="false">INDEX(Perf_Prod!$S$98:$AG$98,3*(Unit_Cost!P$6-1)+1)</f>
        <v>1404587982526.55</v>
      </c>
      <c r="AG21" s="171" t="n">
        <f aca="false">INDEX(Perf_Prod!$S$98:$AG$98,3*(Unit_Cost!Q$6-1)+1)</f>
        <v>1404587982526.55</v>
      </c>
    </row>
    <row r="23" customFormat="false" ht="15" hidden="false" customHeight="false" outlineLevel="0" collapsed="false">
      <c r="A23" s="61" t="s">
        <v>2734</v>
      </c>
      <c r="B23" s="59" t="s">
        <v>976</v>
      </c>
      <c r="C23" s="94" t="n">
        <f aca="false">Unit_Cost_Prod!C16</f>
        <v>0.0454972167701083</v>
      </c>
      <c r="D23" s="94" t="n">
        <f aca="false">Unit_Cost_Prod!D16</f>
        <v>0.0650064221254633</v>
      </c>
      <c r="E23" s="94" t="n">
        <f aca="false">Unit_Cost_Prod!E16</f>
        <v>0.111639936606646</v>
      </c>
      <c r="F23" s="94" t="n">
        <f aca="false">Unit_Cost_Prod!F16</f>
        <v>0.0062692257719205</v>
      </c>
      <c r="G23" s="94" t="n">
        <f aca="false">Unit_Cost_Prod!G16</f>
        <v>0.00837073517666367</v>
      </c>
      <c r="H23" s="94" t="n">
        <f aca="false">Unit_Cost_Prod!H16</f>
        <v>0.013576659542823</v>
      </c>
      <c r="I23" s="94" t="n">
        <f aca="false">Unit_Cost_Prod!I16</f>
        <v>0.00548958603195948</v>
      </c>
      <c r="J23" s="94" t="n">
        <f aca="false">Unit_Cost_Prod!J16</f>
        <v>0.00709011804726542</v>
      </c>
      <c r="K23" s="94" t="n">
        <f aca="false">Unit_Cost_Prod!K16</f>
        <v>0.0120712716580734</v>
      </c>
      <c r="L23" s="94" t="n">
        <f aca="false">Unit_Cost_Prod!L16</f>
        <v>0.00443201753513739</v>
      </c>
      <c r="M23" s="94" t="n">
        <f aca="false">Unit_Cost_Prod!M16</f>
        <v>0.00569628508383258</v>
      </c>
      <c r="N23" s="94" t="n">
        <f aca="false">Unit_Cost_Prod!N16</f>
        <v>0.00920252494764025</v>
      </c>
      <c r="O23" s="94" t="n">
        <f aca="false">Unit_Cost_Prod!O16</f>
        <v>0.00352556777736313</v>
      </c>
      <c r="P23" s="94" t="n">
        <f aca="false">Unit_Cost_Prod!P16</f>
        <v>0.00535837960987259</v>
      </c>
      <c r="Q23" s="94" t="n">
        <f aca="false">Unit_Cost_Prod!Q16</f>
        <v>0.00978194421983905</v>
      </c>
      <c r="S23" s="94" t="n">
        <f aca="false">Unit_Cost_Prod!S16</f>
        <v>0.0386726342545921</v>
      </c>
      <c r="T23" s="94" t="n">
        <f aca="false">Unit_Cost_Prod!T16</f>
        <v>0.0552554588066438</v>
      </c>
      <c r="U23" s="94" t="n">
        <f aca="false">Unit_Cost_Prod!U16</f>
        <v>0.0948939461156487</v>
      </c>
      <c r="V23" s="94" t="n">
        <f aca="false">Unit_Cost_Prod!V16</f>
        <v>0.00532884190613242</v>
      </c>
      <c r="W23" s="94" t="n">
        <f aca="false">Unit_Cost_Prod!W16</f>
        <v>0.00711512490016412</v>
      </c>
      <c r="X23" s="94" t="n">
        <f aca="false">Unit_Cost_Prod!X16</f>
        <v>0.0115401606113995</v>
      </c>
      <c r="Y23" s="94" t="n">
        <f aca="false">Unit_Cost_Prod!Y16</f>
        <v>0.00466614812716556</v>
      </c>
      <c r="Z23" s="94" t="n">
        <f aca="false">Unit_Cost_Prod!Z16</f>
        <v>0.00602660034017561</v>
      </c>
      <c r="AA23" s="94" t="n">
        <f aca="false">Unit_Cost_Prod!AA16</f>
        <v>0.0102605809093624</v>
      </c>
      <c r="AB23" s="94" t="n">
        <f aca="false">Unit_Cost_Prod!AB16</f>
        <v>0.00376721490486678</v>
      </c>
      <c r="AC23" s="94" t="n">
        <f aca="false">Unit_Cost_Prod!AC16</f>
        <v>0.00484184232125769</v>
      </c>
      <c r="AD23" s="94" t="n">
        <f aca="false">Unit_Cost_Prod!AD16</f>
        <v>0.00782214620549421</v>
      </c>
      <c r="AE23" s="94" t="n">
        <f aca="false">Unit_Cost_Prod!AE16</f>
        <v>0.00299673261075866</v>
      </c>
      <c r="AF23" s="94" t="n">
        <f aca="false">Unit_Cost_Prod!AF16</f>
        <v>0.0045546226683917</v>
      </c>
      <c r="AG23" s="94" t="n">
        <f aca="false">Unit_Cost_Prod!AG16</f>
        <v>0.00831465258686319</v>
      </c>
    </row>
    <row r="25" customFormat="false" ht="15" hidden="false" customHeight="false" outlineLevel="0" collapsed="false">
      <c r="A25" s="62" t="s">
        <v>2735</v>
      </c>
      <c r="B25" s="59" t="s">
        <v>976</v>
      </c>
      <c r="C25" s="124" t="n">
        <f aca="false">Unit_Cost_Prod!C18</f>
        <v>0.543548333217685</v>
      </c>
      <c r="D25" s="124" t="n">
        <f aca="false">Unit_Cost_Prod!D18</f>
        <v>0.77662184421697</v>
      </c>
      <c r="E25" s="124" t="n">
        <f aca="false">Unit_Cost_Prod!E18</f>
        <v>1.33374535347266</v>
      </c>
      <c r="F25" s="124" t="n">
        <f aca="false">Unit_Cost_Prod!F18</f>
        <v>0.126097728497053</v>
      </c>
      <c r="G25" s="124" t="n">
        <f aca="false">Unit_Cost_Prod!G18</f>
        <v>0.168366992995424</v>
      </c>
      <c r="H25" s="124" t="n">
        <f aca="false">Unit_Cost_Prod!H18</f>
        <v>0.273077727810619</v>
      </c>
      <c r="I25" s="124" t="n">
        <f aca="false">Unit_Cost_Prod!I18</f>
        <v>0.110416238655765</v>
      </c>
      <c r="J25" s="124" t="n">
        <f aca="false">Unit_Cost_Prod!J18</f>
        <v>0.142608962105101</v>
      </c>
      <c r="K25" s="124" t="n">
        <f aca="false">Unit_Cost_Prod!K18</f>
        <v>0.242798710962298</v>
      </c>
      <c r="L25" s="124" t="n">
        <f aca="false">Unit_Cost_Prod!L18</f>
        <v>0.0856394518057605</v>
      </c>
      <c r="M25" s="124" t="n">
        <f aca="false">Unit_Cost_Prod!M18</f>
        <v>0.110068772977819</v>
      </c>
      <c r="N25" s="124" t="n">
        <f aca="false">Unit_Cost_Prod!N18</f>
        <v>0.177819511203787</v>
      </c>
      <c r="O25" s="124" t="n">
        <f aca="false">Unit_Cost_Prod!O18</f>
        <v>0.0674036557476935</v>
      </c>
      <c r="P25" s="124" t="n">
        <f aca="false">Unit_Cost_Prod!P18</f>
        <v>0.102444314617444</v>
      </c>
      <c r="Q25" s="124" t="n">
        <f aca="false">Unit_Cost_Prod!Q18</f>
        <v>0.187016345273699</v>
      </c>
      <c r="S25" s="124" t="n">
        <f aca="false">Unit_Cost_Prod!S18</f>
        <v>0.405380050142216</v>
      </c>
      <c r="T25" s="124" t="n">
        <f aca="false">Unit_Cost_Prod!T18</f>
        <v>0.579207004989805</v>
      </c>
      <c r="U25" s="124" t="n">
        <f aca="false">Unit_Cost_Prod!U18</f>
        <v>0.99471146395947</v>
      </c>
      <c r="V25" s="124" t="n">
        <f aca="false">Unit_Cost_Prod!V18</f>
        <v>0.100612536821314</v>
      </c>
      <c r="W25" s="124" t="n">
        <f aca="false">Unit_Cost_Prod!W18</f>
        <v>0.134338901137635</v>
      </c>
      <c r="X25" s="124" t="n">
        <f aca="false">Unit_Cost_Prod!X18</f>
        <v>0.217886898296258</v>
      </c>
      <c r="Y25" s="124" t="n">
        <f aca="false">Unit_Cost_Prod!Y18</f>
        <v>0.0881003806320243</v>
      </c>
      <c r="Z25" s="124" t="n">
        <f aca="false">Unit_Cost_Prod!Z18</f>
        <v>0.11378674002985</v>
      </c>
      <c r="AA25" s="124" t="n">
        <f aca="false">Unit_Cost_Prod!AA18</f>
        <v>0.193727472635897</v>
      </c>
      <c r="AB25" s="124" t="n">
        <f aca="false">Unit_Cost_Prod!AB18</f>
        <v>0.0684962476429933</v>
      </c>
      <c r="AC25" s="124" t="n">
        <f aca="false">Unit_Cost_Prod!AC18</f>
        <v>0.0880353361993613</v>
      </c>
      <c r="AD25" s="124" t="n">
        <f aca="false">Unit_Cost_Prod!AD18</f>
        <v>0.142223811787074</v>
      </c>
      <c r="AE25" s="124" t="n">
        <f aca="false">Unit_Cost_Prod!AE18</f>
        <v>0.0539445549286936</v>
      </c>
      <c r="AF25" s="124" t="n">
        <f aca="false">Unit_Cost_Prod!AF18</f>
        <v>0.0819883268305102</v>
      </c>
      <c r="AG25" s="124" t="n">
        <f aca="false">Unit_Cost_Prod!AG18</f>
        <v>0.149673091144256</v>
      </c>
    </row>
    <row r="31" customFormat="false" ht="15" hidden="false" customHeight="false" outlineLevel="0" collapsed="false">
      <c r="A31" s="61" t="s">
        <v>2736</v>
      </c>
      <c r="B31" s="59" t="s">
        <v>2724</v>
      </c>
      <c r="C31" s="171" t="n">
        <f aca="false">INDEX(Perf_Prod!$C$98:$Q$98,3*(Unit_Cost!C$6-1)+2)</f>
        <v>26792506585.9425</v>
      </c>
      <c r="D31" s="171" t="n">
        <f aca="false">INDEX(Perf_Prod!$C$98:$Q$98,3*(Unit_Cost!D$6-1)+2)</f>
        <v>26792506585.9425</v>
      </c>
      <c r="E31" s="171" t="n">
        <f aca="false">INDEX(Perf_Prod!$C$98:$Q$98,3*(Unit_Cost!E$6-1)+2)</f>
        <v>26792506585.9425</v>
      </c>
      <c r="F31" s="171" t="n">
        <f aca="false">INDEX(Perf_Prod!$C$98:$Q$98,3*(Unit_Cost!F$6-1)+2)</f>
        <v>119458449692.347</v>
      </c>
      <c r="G31" s="171" t="n">
        <f aca="false">INDEX(Perf_Prod!$C$98:$Q$98,3*(Unit_Cost!G$6-1)+2)</f>
        <v>119458449692.347</v>
      </c>
      <c r="H31" s="171" t="n">
        <f aca="false">INDEX(Perf_Prod!$C$98:$Q$98,3*(Unit_Cost!H$6-1)+2)</f>
        <v>119458449692.347</v>
      </c>
      <c r="I31" s="171" t="n">
        <f aca="false">INDEX(Perf_Prod!$C$98:$Q$98,3*(Unit_Cost!I$6-1)+2)</f>
        <v>173916692578.355</v>
      </c>
      <c r="J31" s="171" t="n">
        <f aca="false">INDEX(Perf_Prod!$C$98:$Q$98,3*(Unit_Cost!J$6-1)+2)</f>
        <v>173916692578.355</v>
      </c>
      <c r="K31" s="171" t="n">
        <f aca="false">INDEX(Perf_Prod!$C$98:$Q$98,3*(Unit_Cost!K$6-1)+2)</f>
        <v>173916692578.355</v>
      </c>
      <c r="L31" s="171" t="n">
        <f aca="false">INDEX(Perf_Prod!$C$98:$Q$98,3*(Unit_Cost!L$6-1)+2)</f>
        <v>262223800714.127</v>
      </c>
      <c r="M31" s="171" t="n">
        <f aca="false">INDEX(Perf_Prod!$C$98:$Q$98,3*(Unit_Cost!M$6-1)+2)</f>
        <v>262223800714.127</v>
      </c>
      <c r="N31" s="171" t="n">
        <f aca="false">INDEX(Perf_Prod!$C$98:$Q$98,3*(Unit_Cost!N$6-1)+2)</f>
        <v>262223800714.127</v>
      </c>
      <c r="O31" s="171" t="n">
        <f aca="false">INDEX(Perf_Prod!$C$98:$Q$98,3*(Unit_Cost!O$6-1)+2)</f>
        <v>357423824607.946</v>
      </c>
      <c r="P31" s="171" t="n">
        <f aca="false">INDEX(Perf_Prod!$C$98:$Q$98,3*(Unit_Cost!P$6-1)+2)</f>
        <v>357423824607.946</v>
      </c>
      <c r="Q31" s="171" t="n">
        <f aca="false">INDEX(Perf_Prod!$C$98:$Q$98,3*(Unit_Cost!Q$6-1)+2)</f>
        <v>357423824607.946</v>
      </c>
      <c r="S31" s="171" t="n">
        <f aca="false">INDEX(Perf_Prod!$S$98:$AG$98,3*(Unit_Cost!C$6-1)+2)</f>
        <v>33634916325.118</v>
      </c>
      <c r="T31" s="171" t="n">
        <f aca="false">INDEX(Perf_Prod!$S$98:$AG$98,3*(Unit_Cost!D$6-1)+2)</f>
        <v>33634916325.118</v>
      </c>
      <c r="U31" s="171" t="n">
        <f aca="false">INDEX(Perf_Prod!$S$98:$AG$98,3*(Unit_Cost!E$6-1)+2)</f>
        <v>33634916325.118</v>
      </c>
      <c r="V31" s="171" t="n">
        <f aca="false">INDEX(Perf_Prod!$S$98:$AG$98,3*(Unit_Cost!F$6-1)+2)</f>
        <v>145846430710.54</v>
      </c>
      <c r="W31" s="171" t="n">
        <f aca="false">INDEX(Perf_Prod!$S$98:$AG$98,3*(Unit_Cost!G$6-1)+2)</f>
        <v>145846430710.54</v>
      </c>
      <c r="X31" s="171" t="n">
        <f aca="false">INDEX(Perf_Prod!$S$98:$AG$98,3*(Unit_Cost!H$6-1)+2)</f>
        <v>145846430710.54</v>
      </c>
      <c r="Y31" s="171" t="n">
        <f aca="false">INDEX(Perf_Prod!$S$98:$AG$98,3*(Unit_Cost!I$6-1)+2)</f>
        <v>212334321421.888</v>
      </c>
      <c r="Z31" s="171" t="n">
        <f aca="false">INDEX(Perf_Prod!$S$98:$AG$98,3*(Unit_Cost!J$6-1)+2)</f>
        <v>212334321421.888</v>
      </c>
      <c r="AA31" s="171" t="n">
        <f aca="false">INDEX(Perf_Prod!$S$98:$AG$98,3*(Unit_Cost!K$6-1)+2)</f>
        <v>212334321421.888</v>
      </c>
      <c r="AB31" s="171" t="n">
        <f aca="false">INDEX(Perf_Prod!$S$98:$AG$98,3*(Unit_Cost!L$6-1)+2)</f>
        <v>318984897819.054</v>
      </c>
      <c r="AC31" s="171" t="n">
        <f aca="false">INDEX(Perf_Prod!$S$98:$AG$98,3*(Unit_Cost!M$6-1)+2)</f>
        <v>318984897819.054</v>
      </c>
      <c r="AD31" s="171" t="n">
        <f aca="false">INDEX(Perf_Prod!$S$98:$AG$98,3*(Unit_Cost!N$6-1)+2)</f>
        <v>318984897819.054</v>
      </c>
      <c r="AE31" s="171" t="n">
        <f aca="false">INDEX(Perf_Prod!$S$98:$AG$98,3*(Unit_Cost!O$6-1)+2)</f>
        <v>434380455314.928</v>
      </c>
      <c r="AF31" s="171" t="n">
        <f aca="false">INDEX(Perf_Prod!$S$98:$AG$98,3*(Unit_Cost!P$6-1)+2)</f>
        <v>434380455314.928</v>
      </c>
      <c r="AG31" s="171" t="n">
        <f aca="false">INDEX(Perf_Prod!$S$98:$AG$98,3*(Unit_Cost!Q$6-1)+2)</f>
        <v>434380455314.928</v>
      </c>
    </row>
    <row r="33" customFormat="false" ht="15" hidden="false" customHeight="false" outlineLevel="0" collapsed="false">
      <c r="A33" s="61" t="s">
        <v>2737</v>
      </c>
      <c r="B33" s="59" t="s">
        <v>976</v>
      </c>
      <c r="C33" s="94" t="n">
        <f aca="false">Unit_Cost_Prod!C29</f>
        <v>0.157911361420697</v>
      </c>
      <c r="D33" s="94" t="n">
        <f aca="false">Unit_Cost_Prod!D29</f>
        <v>0.225623749047979</v>
      </c>
      <c r="E33" s="94" t="n">
        <f aca="false">Unit_Cost_Prod!E29</f>
        <v>0.38747896311007</v>
      </c>
      <c r="F33" s="94" t="n">
        <f aca="false">Unit_Cost_Prod!F29</f>
        <v>0.0217591766481</v>
      </c>
      <c r="G33" s="94" t="n">
        <f aca="false">Unit_Cost_Prod!G29</f>
        <v>0.0290530780051478</v>
      </c>
      <c r="H33" s="94" t="n">
        <f aca="false">Unit_Cost_Prod!H29</f>
        <v>0.0471217569809901</v>
      </c>
      <c r="I33" s="94" t="n">
        <f aca="false">Unit_Cost_Prod!I29</f>
        <v>0.0190532095253856</v>
      </c>
      <c r="J33" s="94" t="n">
        <f aca="false">Unit_Cost_Prod!J29</f>
        <v>0.0246083227273963</v>
      </c>
      <c r="K33" s="94" t="n">
        <f aca="false">Unit_Cost_Prod!K29</f>
        <v>0.0418968692356981</v>
      </c>
      <c r="L33" s="94" t="n">
        <f aca="false">Unit_Cost_Prod!L29</f>
        <v>0.0153826095857749</v>
      </c>
      <c r="M33" s="94" t="n">
        <f aca="false">Unit_Cost_Prod!M29</f>
        <v>0.0197706188748536</v>
      </c>
      <c r="N33" s="94" t="n">
        <f aca="false">Unit_Cost_Prod!N29</f>
        <v>0.0319400470216134</v>
      </c>
      <c r="O33" s="94" t="n">
        <f aca="false">Unit_Cost_Prod!O29</f>
        <v>0.0122365113083164</v>
      </c>
      <c r="P33" s="94" t="n">
        <f aca="false">Unit_Cost_Prod!P29</f>
        <v>0.0185978193672674</v>
      </c>
      <c r="Q33" s="94" t="n">
        <f aca="false">Unit_Cost_Prod!Q29</f>
        <v>0.0339510906106888</v>
      </c>
      <c r="S33" s="94" t="n">
        <f aca="false">Unit_Cost_Prod!S29</f>
        <v>0.134224657207592</v>
      </c>
      <c r="T33" s="94" t="n">
        <f aca="false">Unit_Cost_Prod!T29</f>
        <v>0.191780186690782</v>
      </c>
      <c r="U33" s="94" t="n">
        <f aca="false">Unit_Cost_Prod!U29</f>
        <v>0.32935711864356</v>
      </c>
      <c r="V33" s="94" t="n">
        <f aca="false">Unit_Cost_Prod!V29</f>
        <v>0.018495300150885</v>
      </c>
      <c r="W33" s="94" t="n">
        <f aca="false">Unit_Cost_Prod!W29</f>
        <v>0.0246951163043756</v>
      </c>
      <c r="X33" s="94" t="n">
        <f aca="false">Unit_Cost_Prod!X29</f>
        <v>0.0400534934338416</v>
      </c>
      <c r="Y33" s="94" t="n">
        <f aca="false">Unit_Cost_Prod!Y29</f>
        <v>0.0161952280965778</v>
      </c>
      <c r="Z33" s="94" t="n">
        <f aca="false">Unit_Cost_Prod!Z29</f>
        <v>0.0209170743182869</v>
      </c>
      <c r="AA33" s="94" t="n">
        <f aca="false">Unit_Cost_Prod!AA29</f>
        <v>0.0356123388503434</v>
      </c>
      <c r="AB33" s="94" t="n">
        <f aca="false">Unit_Cost_Prod!AB29</f>
        <v>0.0130752181479087</v>
      </c>
      <c r="AC33" s="94" t="n">
        <f aca="false">Unit_Cost_Prod!AC29</f>
        <v>0.0168050260436256</v>
      </c>
      <c r="AD33" s="94" t="n">
        <f aca="false">Unit_Cost_Prod!AD29</f>
        <v>0.0271490399683714</v>
      </c>
      <c r="AE33" s="94" t="n">
        <f aca="false">Unit_Cost_Prod!AE29</f>
        <v>0.0104010346120689</v>
      </c>
      <c r="AF33" s="94" t="n">
        <f aca="false">Unit_Cost_Prod!AF29</f>
        <v>0.0158081464621773</v>
      </c>
      <c r="AG33" s="94" t="n">
        <f aca="false">Unit_Cost_Prod!AG29</f>
        <v>0.0288584270190855</v>
      </c>
    </row>
    <row r="35" customFormat="false" ht="15" hidden="false" customHeight="false" outlineLevel="0" collapsed="false">
      <c r="A35" s="62" t="s">
        <v>2738</v>
      </c>
      <c r="B35" s="59" t="s">
        <v>976</v>
      </c>
      <c r="C35" s="124" t="n">
        <f aca="false">Unit_Cost_Prod!C31</f>
        <v>1.71274171175772</v>
      </c>
      <c r="D35" s="124" t="n">
        <f aca="false">Unit_Cost_Prod!D31</f>
        <v>2.44716531274855</v>
      </c>
      <c r="E35" s="124" t="n">
        <f aca="false">Unit_Cost_Prod!E31</f>
        <v>4.20268292652605</v>
      </c>
      <c r="F35" s="124" t="n">
        <f aca="false">Unit_Cost_Prod!F31</f>
        <v>0.419801224466016</v>
      </c>
      <c r="G35" s="124" t="n">
        <f aca="false">Unit_Cost_Prod!G31</f>
        <v>0.560522942495287</v>
      </c>
      <c r="H35" s="124" t="n">
        <f aca="false">Unit_Cost_Prod!H31</f>
        <v>0.909123152935893</v>
      </c>
      <c r="I35" s="124" t="n">
        <f aca="false">Unit_Cost_Prod!I31</f>
        <v>0.367594823008291</v>
      </c>
      <c r="J35" s="124" t="n">
        <f aca="false">Unit_Cost_Prod!J31</f>
        <v>0.474769986938727</v>
      </c>
      <c r="K35" s="124" t="n">
        <f aca="false">Unit_Cost_Prod!K31</f>
        <v>0.808319050434956</v>
      </c>
      <c r="L35" s="124" t="n">
        <f aca="false">Unit_Cost_Prod!L31</f>
        <v>0.27109446668064</v>
      </c>
      <c r="M35" s="124" t="n">
        <f aca="false">Unit_Cost_Prod!M31</f>
        <v>0.348426276434984</v>
      </c>
      <c r="N35" s="124" t="n">
        <f aca="false">Unit_Cost_Prod!N31</f>
        <v>0.56289343916562</v>
      </c>
      <c r="O35" s="124" t="n">
        <f aca="false">Unit_Cost_Prod!O31</f>
        <v>0.210332559232483</v>
      </c>
      <c r="P35" s="124" t="n">
        <f aca="false">Unit_Cost_Prod!P31</f>
        <v>0.319676650076091</v>
      </c>
      <c r="Q35" s="124" t="n">
        <f aca="false">Unit_Cost_Prod!Q31</f>
        <v>0.583582983495207</v>
      </c>
      <c r="S35" s="124" t="n">
        <f aca="false">Unit_Cost_Prod!S31</f>
        <v>1.33394074881857</v>
      </c>
      <c r="T35" s="124" t="n">
        <f aca="false">Unit_Cost_Prod!T31</f>
        <v>1.905934506856</v>
      </c>
      <c r="U35" s="124" t="n">
        <f aca="false">Unit_Cost_Prod!U31</f>
        <v>3.2731905643285</v>
      </c>
      <c r="V35" s="124" t="n">
        <f aca="false">Unit_Cost_Prod!V31</f>
        <v>0.341423794880673</v>
      </c>
      <c r="W35" s="124" t="n">
        <f aca="false">Unit_Cost_Prod!W31</f>
        <v>0.455872586812606</v>
      </c>
      <c r="X35" s="124" t="n">
        <f aca="false">Unit_Cost_Prod!X31</f>
        <v>0.739388688739717</v>
      </c>
      <c r="Y35" s="124" t="n">
        <f aca="false">Unit_Cost_Prod!Y31</f>
        <v>0.29896439585097</v>
      </c>
      <c r="Z35" s="124" t="n">
        <f aca="false">Unit_Cost_Prod!Z31</f>
        <v>0.386129818564143</v>
      </c>
      <c r="AA35" s="124" t="n">
        <f aca="false">Unit_Cost_Prod!AA31</f>
        <v>0.657404842077077</v>
      </c>
      <c r="AB35" s="124" t="n">
        <f aca="false">Unit_Cost_Prod!AB31</f>
        <v>0.22130772679342</v>
      </c>
      <c r="AC35" s="124" t="n">
        <f aca="false">Unit_Cost_Prod!AC31</f>
        <v>0.284437480916053</v>
      </c>
      <c r="AD35" s="124" t="n">
        <f aca="false">Unit_Cost_Prod!AD31</f>
        <v>0.459517558487924</v>
      </c>
      <c r="AE35" s="124" t="n">
        <f aca="false">Unit_Cost_Prod!AE31</f>
        <v>0.171872558083737</v>
      </c>
      <c r="AF35" s="124" t="n">
        <f aca="false">Unit_Cost_Prod!AF31</f>
        <v>0.261222721811166</v>
      </c>
      <c r="AG35" s="124" t="n">
        <f aca="false">Unit_Cost_Prod!AG31</f>
        <v>0.47687291303576</v>
      </c>
    </row>
    <row r="41" customFormat="false" ht="15" hidden="false" customHeight="false" outlineLevel="0" collapsed="false">
      <c r="A41" s="61" t="s">
        <v>2739</v>
      </c>
      <c r="B41" s="59" t="s">
        <v>2724</v>
      </c>
      <c r="C41" s="171" t="n">
        <f aca="false">INDEX(Perf_Prod!$C$98:$Q$98,3*(Unit_Cost!C$6-1)+3)</f>
        <v>4922169701.51936</v>
      </c>
      <c r="D41" s="171" t="n">
        <f aca="false">INDEX(Perf_Prod!$C$98:$Q$98,3*(Unit_Cost!D$6-1)+3)</f>
        <v>4922169701.51936</v>
      </c>
      <c r="E41" s="171" t="n">
        <f aca="false">INDEX(Perf_Prod!$C$98:$Q$98,3*(Unit_Cost!E$6-1)+3)</f>
        <v>4922169701.51936</v>
      </c>
      <c r="F41" s="171" t="n">
        <f aca="false">INDEX(Perf_Prod!$C$98:$Q$98,3*(Unit_Cost!F$6-1)+3)</f>
        <v>23355876543.356</v>
      </c>
      <c r="G41" s="171" t="n">
        <f aca="false">INDEX(Perf_Prod!$C$98:$Q$98,3*(Unit_Cost!G$6-1)+3)</f>
        <v>23355876543.356</v>
      </c>
      <c r="H41" s="171" t="n">
        <f aca="false">INDEX(Perf_Prod!$C$98:$Q$98,3*(Unit_Cost!H$6-1)+3)</f>
        <v>23355876543.356</v>
      </c>
      <c r="I41" s="171" t="n">
        <f aca="false">INDEX(Perf_Prod!$C$98:$Q$98,3*(Unit_Cost!I$6-1)+3)</f>
        <v>30467960042.7945</v>
      </c>
      <c r="J41" s="171" t="n">
        <f aca="false">INDEX(Perf_Prod!$C$98:$Q$98,3*(Unit_Cost!J$6-1)+3)</f>
        <v>30467960042.7945</v>
      </c>
      <c r="K41" s="171" t="n">
        <f aca="false">INDEX(Perf_Prod!$C$98:$Q$98,3*(Unit_Cost!K$6-1)+3)</f>
        <v>30467960042.7945</v>
      </c>
      <c r="L41" s="171" t="n">
        <f aca="false">INDEX(Perf_Prod!$C$98:$Q$98,3*(Unit_Cost!L$6-1)+3)</f>
        <v>55366124692.1116</v>
      </c>
      <c r="M41" s="171" t="n">
        <f aca="false">INDEX(Perf_Prod!$C$98:$Q$98,3*(Unit_Cost!M$6-1)+3)</f>
        <v>55366124692.1116</v>
      </c>
      <c r="N41" s="171" t="n">
        <f aca="false">INDEX(Perf_Prod!$C$98:$Q$98,3*(Unit_Cost!N$6-1)+3)</f>
        <v>55366124692.1116</v>
      </c>
      <c r="O41" s="171" t="n">
        <f aca="false">INDEX(Perf_Prod!$C$98:$Q$98,3*(Unit_Cost!O$6-1)+3)</f>
        <v>78738073685.4024</v>
      </c>
      <c r="P41" s="171" t="n">
        <f aca="false">INDEX(Perf_Prod!$C$98:$Q$98,3*(Unit_Cost!P$6-1)+3)</f>
        <v>78738073685.4024</v>
      </c>
      <c r="Q41" s="171" t="n">
        <f aca="false">INDEX(Perf_Prod!$C$98:$Q$98,3*(Unit_Cost!Q$6-1)+3)</f>
        <v>78738073685.4024</v>
      </c>
      <c r="S41" s="171" t="n">
        <f aca="false">INDEX(Perf_Prod!$S$98:$AG$98,3*(Unit_Cost!C$6-1)+3)</f>
        <v>6809025705.99183</v>
      </c>
      <c r="T41" s="171" t="n">
        <f aca="false">INDEX(Perf_Prod!$S$98:$AG$98,3*(Unit_Cost!D$6-1)+3)</f>
        <v>6809025705.99183</v>
      </c>
      <c r="U41" s="171" t="n">
        <f aca="false">INDEX(Perf_Prod!$S$98:$AG$98,3*(Unit_Cost!E$6-1)+3)</f>
        <v>6809025705.99183</v>
      </c>
      <c r="V41" s="171" t="n">
        <f aca="false">INDEX(Perf_Prod!$S$98:$AG$98,3*(Unit_Cost!F$6-1)+3)</f>
        <v>29767762827.5194</v>
      </c>
      <c r="W41" s="171" t="n">
        <f aca="false">INDEX(Perf_Prod!$S$98:$AG$98,3*(Unit_Cost!G$6-1)+3)</f>
        <v>29767762827.5194</v>
      </c>
      <c r="X41" s="171" t="n">
        <f aca="false">INDEX(Perf_Prod!$S$98:$AG$98,3*(Unit_Cost!H$6-1)+3)</f>
        <v>29767762827.5194</v>
      </c>
      <c r="Y41" s="171" t="n">
        <f aca="false">INDEX(Perf_Prod!$S$98:$AG$98,3*(Unit_Cost!I$6-1)+3)</f>
        <v>39257828144.5082</v>
      </c>
      <c r="Z41" s="171" t="n">
        <f aca="false">INDEX(Perf_Prod!$S$98:$AG$98,3*(Unit_Cost!J$6-1)+3)</f>
        <v>39257828144.5082</v>
      </c>
      <c r="AA41" s="171" t="n">
        <f aca="false">INDEX(Perf_Prod!$S$98:$AG$98,3*(Unit_Cost!K$6-1)+3)</f>
        <v>39257828144.5082</v>
      </c>
      <c r="AB41" s="171" t="n">
        <f aca="false">INDEX(Perf_Prod!$S$98:$AG$98,3*(Unit_Cost!L$6-1)+3)</f>
        <v>69625193603.6778</v>
      </c>
      <c r="AC41" s="171" t="n">
        <f aca="false">INDEX(Perf_Prod!$S$98:$AG$98,3*(Unit_Cost!M$6-1)+3)</f>
        <v>69625193603.6778</v>
      </c>
      <c r="AD41" s="171" t="n">
        <f aca="false">INDEX(Perf_Prod!$S$98:$AG$98,3*(Unit_Cost!N$6-1)+3)</f>
        <v>69625193603.6778</v>
      </c>
      <c r="AE41" s="171" t="n">
        <f aca="false">INDEX(Perf_Prod!$S$98:$AG$98,3*(Unit_Cost!O$6-1)+3)</f>
        <v>98521567397.5749</v>
      </c>
      <c r="AF41" s="171" t="n">
        <f aca="false">INDEX(Perf_Prod!$S$98:$AG$98,3*(Unit_Cost!P$6-1)+3)</f>
        <v>98521567397.5749</v>
      </c>
      <c r="AG41" s="171" t="n">
        <f aca="false">INDEX(Perf_Prod!$S$98:$AG$98,3*(Unit_Cost!Q$6-1)+3)</f>
        <v>98521567397.5749</v>
      </c>
    </row>
    <row r="43" customFormat="false" ht="15" hidden="false" customHeight="false" outlineLevel="0" collapsed="false">
      <c r="A43" s="61" t="s">
        <v>2740</v>
      </c>
      <c r="B43" s="59" t="s">
        <v>976</v>
      </c>
      <c r="C43" s="94" t="n">
        <f aca="false">Unit_Cost_Prod!C42</f>
        <v>0.523863410119276</v>
      </c>
      <c r="D43" s="94" t="n">
        <f aca="false">Unit_Cost_Prod!D42</f>
        <v>0.748496026611284</v>
      </c>
      <c r="E43" s="94" t="n">
        <f aca="false">Unit_Cost_Prod!E42</f>
        <v>1.28544297977104</v>
      </c>
      <c r="F43" s="94" t="n">
        <f aca="false">Unit_Cost_Prod!F42</f>
        <v>0.0721850307521153</v>
      </c>
      <c r="G43" s="94" t="n">
        <f aca="false">Unit_Cost_Prod!G42</f>
        <v>0.0963822006302029</v>
      </c>
      <c r="H43" s="94" t="n">
        <f aca="false">Unit_Cost_Prod!H42</f>
        <v>0.156324181368484</v>
      </c>
      <c r="I43" s="94" t="n">
        <f aca="false">Unit_Cost_Prod!I42</f>
        <v>0.0632081138803821</v>
      </c>
      <c r="J43" s="94" t="n">
        <f aca="false">Unit_Cost_Prod!J42</f>
        <v>0.0816369369835597</v>
      </c>
      <c r="K43" s="94" t="n">
        <f aca="false">Unit_Cost_Prod!K42</f>
        <v>0.138990865468262</v>
      </c>
      <c r="L43" s="94" t="n">
        <f aca="false">Unit_Cost_Prod!L42</f>
        <v>0.0510310736456061</v>
      </c>
      <c r="M43" s="94" t="n">
        <f aca="false">Unit_Cost_Prod!M42</f>
        <v>0.0655880851812597</v>
      </c>
      <c r="N43" s="94" t="n">
        <f aca="false">Unit_Cost_Prod!N42</f>
        <v>0.105959582651786</v>
      </c>
      <c r="O43" s="94" t="n">
        <f aca="false">Unit_Cost_Prod!O42</f>
        <v>0.0405940426595394</v>
      </c>
      <c r="P43" s="94" t="n">
        <f aca="false">Unit_Cost_Prod!P42</f>
        <v>0.0616973787501149</v>
      </c>
      <c r="Q43" s="94" t="n">
        <f aca="false">Unit_Cost_Prod!Q42</f>
        <v>0.112631123844221</v>
      </c>
      <c r="S43" s="94" t="n">
        <f aca="false">Unit_Cost_Prod!S42</f>
        <v>0.445283898601385</v>
      </c>
      <c r="T43" s="94" t="n">
        <f aca="false">Unit_Cost_Prod!T42</f>
        <v>0.636221622619591</v>
      </c>
      <c r="U43" s="94" t="n">
        <f aca="false">Unit_Cost_Prod!U42</f>
        <v>1.09262653280539</v>
      </c>
      <c r="V43" s="94" t="n">
        <f aca="false">Unit_Cost_Prod!V42</f>
        <v>0.061357276139298</v>
      </c>
      <c r="W43" s="94" t="n">
        <f aca="false">Unit_Cost_Prod!W42</f>
        <v>0.0819248705356724</v>
      </c>
      <c r="X43" s="94" t="n">
        <f aca="false">Unit_Cost_Prod!X42</f>
        <v>0.132875554163212</v>
      </c>
      <c r="Y43" s="94" t="n">
        <f aca="false">Unit_Cost_Prod!Y42</f>
        <v>0.0537268967983248</v>
      </c>
      <c r="Z43" s="94" t="n">
        <f aca="false">Unit_Cost_Prod!Z42</f>
        <v>0.0693913964360257</v>
      </c>
      <c r="AA43" s="94" t="n">
        <f aca="false">Unit_Cost_Prod!AA42</f>
        <v>0.118142235648023</v>
      </c>
      <c r="AB43" s="94" t="n">
        <f aca="false">Unit_Cost_Prod!AB42</f>
        <v>0.0433764125987652</v>
      </c>
      <c r="AC43" s="94" t="n">
        <f aca="false">Unit_Cost_Prod!AC42</f>
        <v>0.0557498724040708</v>
      </c>
      <c r="AD43" s="94" t="n">
        <f aca="false">Unit_Cost_Prod!AD42</f>
        <v>0.0900656452540185</v>
      </c>
      <c r="AE43" s="94" t="n">
        <f aca="false">Unit_Cost_Prod!AE42</f>
        <v>0.0345049362606085</v>
      </c>
      <c r="AF43" s="94" t="n">
        <f aca="false">Unit_Cost_Prod!AF42</f>
        <v>0.0524427719375976</v>
      </c>
      <c r="AG43" s="94" t="n">
        <f aca="false">Unit_Cost_Prod!AG42</f>
        <v>0.0957364552675877</v>
      </c>
    </row>
    <row r="45" customFormat="false" ht="15" hidden="false" customHeight="false" outlineLevel="0" collapsed="false">
      <c r="A45" s="62" t="s">
        <v>2741</v>
      </c>
      <c r="B45" s="59" t="s">
        <v>976</v>
      </c>
      <c r="C45" s="124" t="n">
        <f aca="false">Unit_Cost_Prod!C44</f>
        <v>10.5313133119514</v>
      </c>
      <c r="D45" s="124" t="n">
        <f aca="false">Unit_Cost_Prod!D44</f>
        <v>15.0471401833531</v>
      </c>
      <c r="E45" s="124" t="n">
        <f aca="false">Unit_Cost_Prod!E44</f>
        <v>25.841474138335</v>
      </c>
      <c r="F45" s="124" t="n">
        <f aca="false">Unit_Cost_Prod!F44</f>
        <v>2.2879443461368</v>
      </c>
      <c r="G45" s="124" t="n">
        <f aca="false">Unit_Cost_Prod!G44</f>
        <v>3.05488698560447</v>
      </c>
      <c r="H45" s="124" t="n">
        <f aca="false">Unit_Cost_Prod!H44</f>
        <v>4.95478111181668</v>
      </c>
      <c r="I45" s="124" t="n">
        <f aca="false">Unit_Cost_Prod!I44</f>
        <v>2.26228246832952</v>
      </c>
      <c r="J45" s="124" t="n">
        <f aca="false">Unit_Cost_Prod!J44</f>
        <v>2.92186872804868</v>
      </c>
      <c r="K45" s="124" t="n">
        <f aca="false">Unit_Cost_Prod!K44</f>
        <v>4.97462396681936</v>
      </c>
      <c r="L45" s="124" t="n">
        <f aca="false">Unit_Cost_Prod!L44</f>
        <v>1.36251685764399</v>
      </c>
      <c r="M45" s="124" t="n">
        <f aca="false">Unit_Cost_Prod!M44</f>
        <v>1.75118541186622</v>
      </c>
      <c r="N45" s="124" t="n">
        <f aca="false">Unit_Cost_Prod!N44</f>
        <v>2.82909426116711</v>
      </c>
      <c r="O45" s="124" t="n">
        <f aca="false">Unit_Cost_Prod!O44</f>
        <v>1.00861286365959</v>
      </c>
      <c r="P45" s="124" t="n">
        <f aca="false">Unit_Cost_Prod!P44</f>
        <v>1.53295325581031</v>
      </c>
      <c r="Q45" s="124" t="n">
        <f aca="false">Unit_Cost_Prod!Q44</f>
        <v>2.79846974863986</v>
      </c>
      <c r="S45" s="124" t="n">
        <f aca="false">Unit_Cost_Prod!S44</f>
        <v>7.37325071219114</v>
      </c>
      <c r="T45" s="124" t="n">
        <f aca="false">Unit_Cost_Prod!T44</f>
        <v>10.5349004238096</v>
      </c>
      <c r="U45" s="124" t="n">
        <f aca="false">Unit_Cost_Prod!U44</f>
        <v>18.0922988378211</v>
      </c>
      <c r="V45" s="124" t="n">
        <f aca="false">Unit_Cost_Prod!V44</f>
        <v>1.77813357875555</v>
      </c>
      <c r="W45" s="124" t="n">
        <f aca="false">Unit_Cost_Prod!W44</f>
        <v>2.37418236924275</v>
      </c>
      <c r="X45" s="124" t="n">
        <f aca="false">Unit_Cost_Prod!X44</f>
        <v>3.8507329451353</v>
      </c>
      <c r="Y45" s="124" t="n">
        <f aca="false">Unit_Cost_Prod!Y44</f>
        <v>1.73893897604108</v>
      </c>
      <c r="Z45" s="124" t="n">
        <f aca="false">Unit_Cost_Prod!Z44</f>
        <v>2.24594032142734</v>
      </c>
      <c r="AA45" s="124" t="n">
        <f aca="false">Unit_Cost_Prod!AA44</f>
        <v>3.82382289928538</v>
      </c>
      <c r="AB45" s="124" t="n">
        <f aca="false">Unit_Cost_Prod!AB44</f>
        <v>1.07340978673099</v>
      </c>
      <c r="AC45" s="124" t="n">
        <f aca="false">Unit_Cost_Prod!AC44</f>
        <v>1.37960829543652</v>
      </c>
      <c r="AD45" s="124" t="n">
        <f aca="false">Unit_Cost_Prod!AD44</f>
        <v>2.2287999230867</v>
      </c>
      <c r="AE45" s="124" t="n">
        <f aca="false">Unit_Cost_Prod!AE44</f>
        <v>0.798655307714581</v>
      </c>
      <c r="AF45" s="124" t="n">
        <f aca="false">Unit_Cost_Prod!AF44</f>
        <v>1.21384655931224</v>
      </c>
      <c r="AG45" s="124" t="n">
        <f aca="false">Unit_Cost_Prod!AG44</f>
        <v>2.2159272390405</v>
      </c>
    </row>
    <row r="60" customFormat="false" ht="15" hidden="false" customHeight="false" outlineLevel="0" collapsed="false">
      <c r="A60" s="61" t="s">
        <v>2742</v>
      </c>
      <c r="B60" s="59" t="s">
        <v>1021</v>
      </c>
      <c r="C60" s="171" t="n">
        <f aca="false">IF(ISNUMBER(INDEX(Training_Prod!$C$120:$Q$120,3*(Unit_Cost!C$6-1)+1)),INDEX(Training_Prod!$C$120:$Q$120,3*(Unit_Cost!C$6-1)+1)*Unit_Cost!C$8/1000000,INDEX(Training_Prod!$C$120:$Q$120,3*(Unit_Cost!C$6-1)+1))</f>
        <v>71.9633832271829</v>
      </c>
      <c r="D60" s="171" t="n">
        <f aca="false">IF(ISNUMBER(INDEX(Training_Prod!$C$120:$Q$120,3*(Unit_Cost!D$6-1)+1)),INDEX(Training_Prod!$C$120:$Q$120,3*(Unit_Cost!D$6-1)+1)*Unit_Cost!D$8/1000000,INDEX(Training_Prod!$C$120:$Q$120,3*(Unit_Cost!D$6-1)+1))</f>
        <v>102.8212800638</v>
      </c>
      <c r="E60" s="171" t="n">
        <f aca="false">IF(ISNUMBER(INDEX(Training_Prod!$C$120:$Q$120,3*(Unit_Cost!E$6-1)+1)),INDEX(Training_Prod!$C$120:$Q$120,3*(Unit_Cost!E$6-1)+1)*Unit_Cost!E$8/1000000,INDEX(Training_Prod!$C$120:$Q$120,3*(Unit_Cost!E$6-1)+1))</f>
        <v>176.581956256295</v>
      </c>
      <c r="F60" s="171" t="n">
        <f aca="false">IF(ISNUMBER(INDEX(Training_Prod!$C$120:$Q$120,3*(Unit_Cost!F$6-1)+1)),INDEX(Training_Prod!$C$120:$Q$120,3*(Unit_Cost!F$6-1)+1)*Unit_Cost!F$8/1000000,INDEX(Training_Prod!$C$120:$Q$120,3*(Unit_Cost!F$6-1)+1))</f>
        <v>27.4775824046781</v>
      </c>
      <c r="G60" s="171" t="n">
        <f aca="false">IF(ISNUMBER(INDEX(Training_Prod!$C$120:$Q$120,3*(Unit_Cost!G$6-1)+1)),INDEX(Training_Prod!$C$120:$Q$120,3*(Unit_Cost!G$6-1)+1)*Unit_Cost!G$8/1000000,INDEX(Training_Prod!$C$120:$Q$120,3*(Unit_Cost!G$6-1)+1))</f>
        <v>36.6883525928678</v>
      </c>
      <c r="H60" s="171" t="n">
        <f aca="false">IF(ISNUMBER(INDEX(Training_Prod!$C$120:$Q$120,3*(Unit_Cost!H$6-1)+1)),INDEX(Training_Prod!$C$120:$Q$120,3*(Unit_Cost!H$6-1)+1)*Unit_Cost!H$8/1000000,INDEX(Training_Prod!$C$120:$Q$120,3*(Unit_Cost!H$6-1)+1))</f>
        <v>59.5055585713732</v>
      </c>
      <c r="I60" s="171" t="n">
        <f aca="false">IF(ISNUMBER(INDEX(Training_Prod!$C$120:$Q$120,3*(Unit_Cost!I$6-1)+1)),INDEX(Training_Prod!$C$120:$Q$120,3*(Unit_Cost!I$6-1)+1)*Unit_Cost!I$8/1000000,INDEX(Training_Prod!$C$120:$Q$120,3*(Unit_Cost!I$6-1)+1))</f>
        <v>30.2861025630403</v>
      </c>
      <c r="J60" s="171" t="n">
        <f aca="false">IF(ISNUMBER(INDEX(Training_Prod!$C$120:$Q$120,3*(Unit_Cost!J$6-1)+1)),INDEX(Training_Prod!$C$120:$Q$120,3*(Unit_Cost!J$6-1)+1)*Unit_Cost!J$8/1000000,INDEX(Training_Prod!$C$120:$Q$120,3*(Unit_Cost!J$6-1)+1))</f>
        <v>39.1162541425544</v>
      </c>
      <c r="K60" s="171" t="n">
        <f aca="false">IF(ISNUMBER(INDEX(Training_Prod!$C$120:$Q$120,3*(Unit_Cost!K$6-1)+1)),INDEX(Training_Prod!$C$120:$Q$120,3*(Unit_Cost!K$6-1)+1)*Unit_Cost!K$8/1000000,INDEX(Training_Prod!$C$120:$Q$120,3*(Unit_Cost!K$6-1)+1))</f>
        <v>66.5973298121782</v>
      </c>
      <c r="L60" s="171" t="n">
        <f aca="false">IF(ISNUMBER(INDEX(Training_Prod!$C$120:$Q$120,3*(Unit_Cost!L$6-1)+1)),INDEX(Training_Prod!$C$120:$Q$120,3*(Unit_Cost!L$6-1)+1)*Unit_Cost!L$8/1000000,INDEX(Training_Prod!$C$120:$Q$120,3*(Unit_Cost!L$6-1)+1))</f>
        <v>23.1455603488781</v>
      </c>
      <c r="M60" s="171" t="n">
        <f aca="false">IF(ISNUMBER(INDEX(Training_Prod!$C$120:$Q$120,3*(Unit_Cost!M$6-1)+1)),INDEX(Training_Prod!$C$120:$Q$120,3*(Unit_Cost!M$6-1)+1)*Unit_Cost!M$8/1000000,INDEX(Training_Prod!$C$120:$Q$120,3*(Unit_Cost!M$6-1)+1))</f>
        <v>29.748011853968</v>
      </c>
      <c r="N60" s="171" t="n">
        <f aca="false">IF(ISNUMBER(INDEX(Training_Prod!$C$120:$Q$120,3*(Unit_Cost!N$6-1)+1)),INDEX(Training_Prod!$C$120:$Q$120,3*(Unit_Cost!N$6-1)+1)*Unit_Cost!N$8/1000000,INDEX(Training_Prod!$C$120:$Q$120,3*(Unit_Cost!N$6-1)+1))</f>
        <v>48.0588343455326</v>
      </c>
      <c r="O60" s="171" t="n">
        <f aca="false">IF(ISNUMBER(INDEX(Training_Prod!$C$120:$Q$120,3*(Unit_Cost!O$6-1)+1)),INDEX(Training_Prod!$C$120:$Q$120,3*(Unit_Cost!O$6-1)+1)*Unit_Cost!O$8/1000000,INDEX(Training_Prod!$C$120:$Q$120,3*(Unit_Cost!O$6-1)+1))</f>
        <v>15.7174016683683</v>
      </c>
      <c r="P60" s="171" t="n">
        <f aca="false">IF(ISNUMBER(INDEX(Training_Prod!$C$120:$Q$120,3*(Unit_Cost!P$6-1)+1)),INDEX(Training_Prod!$C$120:$Q$120,3*(Unit_Cost!P$6-1)+1)*Unit_Cost!P$8/1000000,INDEX(Training_Prod!$C$120:$Q$120,3*(Unit_Cost!P$6-1)+1))</f>
        <v>23.8882954288152</v>
      </c>
      <c r="Q60" s="171" t="n">
        <f aca="false">IF(ISNUMBER(INDEX(Training_Prod!$C$120:$Q$120,3*(Unit_Cost!Q$6-1)+1)),INDEX(Training_Prod!$C$120:$Q$120,3*(Unit_Cost!Q$6-1)+1)*Unit_Cost!Q$8/1000000,INDEX(Training_Prod!$C$120:$Q$120,3*(Unit_Cost!Q$6-1)+1))</f>
        <v>43.6090740867206</v>
      </c>
      <c r="S60" s="171" t="n">
        <f aca="false">IF(ISNUMBER(INDEX(Training_Prod!$S$120:$AG$120,3*(Unit_Cost!C$6-1)+1)),INDEX(Training_Prod!$S$120:$AG$120,3*(Unit_Cost!C$6-1)+1)*Unit_Cost!C$8/1000000,INDEX(Training_Prod!$S$120:$AG$120,3*(Unit_Cost!C$6-1)+1))</f>
        <v>62.9827624661971</v>
      </c>
      <c r="T60" s="171" t="n">
        <f aca="false">IF(ISNUMBER(INDEX(Training_Prod!$S$120:$AG$120,3*(Unit_Cost!D$6-1)+1)),INDEX(Training_Prod!$S$120:$AG$120,3*(Unit_Cost!D$6-1)+1)*Unit_Cost!D$8/1000000,INDEX(Training_Prod!$S$120:$AG$120,3*(Unit_Cost!D$6-1)+1))</f>
        <v>89.9897693565145</v>
      </c>
      <c r="U60" s="171" t="n">
        <f aca="false">IF(ISNUMBER(INDEX(Training_Prod!$S$120:$AG$120,3*(Unit_Cost!E$6-1)+1)),INDEX(Training_Prod!$S$120:$AG$120,3*(Unit_Cost!E$6-1)+1)*Unit_Cost!E$8/1000000,INDEX(Training_Prod!$S$120:$AG$120,3*(Unit_Cost!E$6-1)+1))</f>
        <v>154.545532852403</v>
      </c>
      <c r="V60" s="171" t="n">
        <f aca="false">IF(ISNUMBER(INDEX(Training_Prod!$S$120:$AG$120,3*(Unit_Cost!F$6-1)+1)),INDEX(Training_Prod!$S$120:$AG$120,3*(Unit_Cost!F$6-1)+1)*Unit_Cost!F$8/1000000,INDEX(Training_Prod!$S$120:$AG$120,3*(Unit_Cost!F$6-1)+1))</f>
        <v>25.0277109184711</v>
      </c>
      <c r="W60" s="171" t="n">
        <f aca="false">IF(ISNUMBER(INDEX(Training_Prod!$S$120:$AG$120,3*(Unit_Cost!G$6-1)+1)),INDEX(Training_Prod!$S$120:$AG$120,3*(Unit_Cost!G$6-1)+1)*Unit_Cost!G$8/1000000,INDEX(Training_Prod!$S$120:$AG$120,3*(Unit_Cost!G$6-1)+1))</f>
        <v>33.4172588128753</v>
      </c>
      <c r="X60" s="171" t="n">
        <f aca="false">IF(ISNUMBER(INDEX(Training_Prod!$S$120:$AG$120,3*(Unit_Cost!H$6-1)+1)),INDEX(Training_Prod!$S$120:$AG$120,3*(Unit_Cost!H$6-1)+1)*Unit_Cost!H$8/1000000,INDEX(Training_Prod!$S$120:$AG$120,3*(Unit_Cost!H$6-1)+1))</f>
        <v>54.2001074196734</v>
      </c>
      <c r="Y60" s="171" t="n">
        <f aca="false">IF(ISNUMBER(INDEX(Training_Prod!$S$120:$AG$120,3*(Unit_Cost!I$6-1)+1)),INDEX(Training_Prod!$S$120:$AG$120,3*(Unit_Cost!I$6-1)+1)*Unit_Cost!I$8/1000000,INDEX(Training_Prod!$S$120:$AG$120,3*(Unit_Cost!I$6-1)+1))</f>
        <v>28.059514355151</v>
      </c>
      <c r="Z60" s="171" t="n">
        <f aca="false">IF(ISNUMBER(INDEX(Training_Prod!$S$120:$AG$120,3*(Unit_Cost!J$6-1)+1)),INDEX(Training_Prod!$S$120:$AG$120,3*(Unit_Cost!J$6-1)+1)*Unit_Cost!J$8/1000000,INDEX(Training_Prod!$S$120:$AG$120,3*(Unit_Cost!J$6-1)+1))</f>
        <v>36.2404866175213</v>
      </c>
      <c r="AA60" s="171" t="n">
        <f aca="false">IF(ISNUMBER(INDEX(Training_Prod!$S$120:$AG$120,3*(Unit_Cost!K$6-1)+1)),INDEX(Training_Prod!$S$120:$AG$120,3*(Unit_Cost!K$6-1)+1)*Unit_Cost!K$8/1000000,INDEX(Training_Prod!$S$120:$AG$120,3*(Unit_Cost!K$6-1)+1))</f>
        <v>61.7011953911825</v>
      </c>
      <c r="AB60" s="171" t="n">
        <f aca="false">IF(ISNUMBER(INDEX(Training_Prod!$S$120:$AG$120,3*(Unit_Cost!L$6-1)+1)),INDEX(Training_Prod!$S$120:$AG$120,3*(Unit_Cost!L$6-1)+1)*Unit_Cost!L$8/1000000,INDEX(Training_Prod!$S$120:$AG$120,3*(Unit_Cost!L$6-1)+1))</f>
        <v>20.9678485935643</v>
      </c>
      <c r="AC60" s="171" t="n">
        <f aca="false">IF(ISNUMBER(INDEX(Training_Prod!$S$120:$AG$120,3*(Unit_Cost!M$6-1)+1)),INDEX(Training_Prod!$S$120:$AG$120,3*(Unit_Cost!M$6-1)+1)*Unit_Cost!M$8/1000000,INDEX(Training_Prod!$S$120:$AG$120,3*(Unit_Cost!M$6-1)+1))</f>
        <v>26.9490908455707</v>
      </c>
      <c r="AD60" s="171" t="n">
        <f aca="false">IF(ISNUMBER(INDEX(Training_Prod!$S$120:$AG$120,3*(Unit_Cost!N$6-1)+1)),INDEX(Training_Prod!$S$120:$AG$120,3*(Unit_Cost!N$6-1)+1)*Unit_Cost!N$8/1000000,INDEX(Training_Prod!$S$120:$AG$120,3*(Unit_Cost!N$6-1)+1))</f>
        <v>43.5370907833372</v>
      </c>
      <c r="AE60" s="171" t="n">
        <f aca="false">IF(ISNUMBER(INDEX(Training_Prod!$S$120:$AG$120,3*(Unit_Cost!O$6-1)+1)),INDEX(Training_Prod!$S$120:$AG$120,3*(Unit_Cost!O$6-1)+1)*Unit_Cost!O$8/1000000,INDEX(Training_Prod!$S$120:$AG$120,3*(Unit_Cost!O$6-1)+1))</f>
        <v>14.4511701546132</v>
      </c>
      <c r="AF60" s="171" t="n">
        <f aca="false">IF(ISNUMBER(INDEX(Training_Prod!$S$120:$AG$120,3*(Unit_Cost!P$6-1)+1)),INDEX(Training_Prod!$S$120:$AG$120,3*(Unit_Cost!P$6-1)+1)*Unit_Cost!P$8/1000000,INDEX(Training_Prod!$S$120:$AG$120,3*(Unit_Cost!P$6-1)+1))</f>
        <v>21.9637971484962</v>
      </c>
      <c r="AG60" s="171" t="n">
        <f aca="false">IF(ISNUMBER(INDEX(Training_Prod!$S$120:$AG$120,3*(Unit_Cost!Q$6-1)+1)),INDEX(Training_Prod!$S$120:$AG$120,3*(Unit_Cost!Q$6-1)+1)*Unit_Cost!Q$8/1000000,INDEX(Training_Prod!$S$120:$AG$120,3*(Unit_Cost!Q$6-1)+1))</f>
        <v>40.0958226562748</v>
      </c>
    </row>
    <row r="69" customFormat="false" ht="15" hidden="false" customHeight="false" outlineLevel="0" collapsed="false">
      <c r="A69" s="61" t="s">
        <v>2743</v>
      </c>
      <c r="B69" s="59" t="s">
        <v>1021</v>
      </c>
      <c r="C69" s="171" t="n">
        <f aca="false">IF(ISNUMBER(INDEX(Training_Prod!$C$120:$Q$120,3*(Unit_Cost!C$6-1)+2)),INDEX(Training_Prod!$C$120:$Q$120,3*(Unit_Cost!C$6-1)+2)*Unit_Cost!C$8/1000000,INDEX(Training_Prod!$C$120:$Q$120,3*(Unit_Cost!C$6-1)+2))</f>
        <v>195.382286277866</v>
      </c>
      <c r="D69" s="171" t="n">
        <f aca="false">IF(ISNUMBER(INDEX(Training_Prod!$C$120:$Q$120,3*(Unit_Cost!D$6-1)+2)),INDEX(Training_Prod!$C$120:$Q$120,3*(Unit_Cost!D$6-1)+2)*Unit_Cost!D$8/1000000,INDEX(Training_Prod!$C$120:$Q$120,3*(Unit_Cost!D$6-1)+2))</f>
        <v>279.162205499165</v>
      </c>
      <c r="E69" s="171" t="n">
        <f aca="false">IF(ISNUMBER(INDEX(Training_Prod!$C$120:$Q$120,3*(Unit_Cost!E$6-1)+2)),INDEX(Training_Prod!$C$120:$Q$120,3*(Unit_Cost!E$6-1)+2)*Unit_Cost!E$8/1000000,INDEX(Training_Prod!$C$120:$Q$120,3*(Unit_Cost!E$6-1)+2))</f>
        <v>479.424184655911</v>
      </c>
      <c r="F69" s="171" t="n">
        <f aca="false">IF(ISNUMBER(INDEX(Training_Prod!$C$120:$Q$120,3*(Unit_Cost!F$6-1)+2)),INDEX(Training_Prod!$C$120:$Q$120,3*(Unit_Cost!F$6-1)+2)*Unit_Cost!F$8/1000000,INDEX(Training_Prod!$C$120:$Q$120,3*(Unit_Cost!F$6-1)+2))</f>
        <v>79.5923403673566</v>
      </c>
      <c r="G69" s="171" t="n">
        <f aca="false">IF(ISNUMBER(INDEX(Training_Prod!$C$120:$Q$120,3*(Unit_Cost!G$6-1)+2)),INDEX(Training_Prod!$C$120:$Q$120,3*(Unit_Cost!G$6-1)+2)*Unit_Cost!G$8/1000000,INDEX(Training_Prod!$C$120:$Q$120,3*(Unit_Cost!G$6-1)+2))</f>
        <v>106.272517140809</v>
      </c>
      <c r="H69" s="171" t="n">
        <f aca="false">IF(ISNUMBER(INDEX(Training_Prod!$C$120:$Q$120,3*(Unit_Cost!H$6-1)+2)),INDEX(Training_Prod!$C$120:$Q$120,3*(Unit_Cost!H$6-1)+2)*Unit_Cost!H$8/1000000,INDEX(Training_Prod!$C$120:$Q$120,3*(Unit_Cost!H$6-1)+2))</f>
        <v>172.365479677574</v>
      </c>
      <c r="I69" s="171" t="n">
        <f aca="false">IF(ISNUMBER(INDEX(Training_Prod!$C$120:$Q$120,3*(Unit_Cost!I$6-1)+2)),INDEX(Training_Prod!$C$120:$Q$120,3*(Unit_Cost!I$6-1)+2)*Unit_Cost!I$8/1000000,INDEX(Training_Prod!$C$120:$Q$120,3*(Unit_Cost!I$6-1)+2))</f>
        <v>91.2329276300195</v>
      </c>
      <c r="J69" s="171" t="n">
        <f aca="false">IF(ISNUMBER(INDEX(Training_Prod!$C$120:$Q$120,3*(Unit_Cost!J$6-1)+2)),INDEX(Training_Prod!$C$120:$Q$120,3*(Unit_Cost!J$6-1)+2)*Unit_Cost!J$8/1000000,INDEX(Training_Prod!$C$120:$Q$120,3*(Unit_Cost!J$6-1)+2))</f>
        <v>117.832605760907</v>
      </c>
      <c r="K69" s="171" t="n">
        <f aca="false">IF(ISNUMBER(INDEX(Training_Prod!$C$120:$Q$120,3*(Unit_Cost!K$6-1)+2)),INDEX(Training_Prod!$C$120:$Q$120,3*(Unit_Cost!K$6-1)+2)*Unit_Cost!K$8/1000000,INDEX(Training_Prod!$C$120:$Q$120,3*(Unit_Cost!K$6-1)+2))</f>
        <v>200.61575630143</v>
      </c>
      <c r="L69" s="171" t="n">
        <f aca="false">IF(ISNUMBER(INDEX(Training_Prod!$C$120:$Q$120,3*(Unit_Cost!L$6-1)+2)),INDEX(Training_Prod!$C$120:$Q$120,3*(Unit_Cost!L$6-1)+2)*Unit_Cost!L$8/1000000,INDEX(Training_Prod!$C$120:$Q$120,3*(Unit_Cost!L$6-1)+2))</f>
        <v>66.0090591651247</v>
      </c>
      <c r="M69" s="171" t="n">
        <f aca="false">IF(ISNUMBER(INDEX(Training_Prod!$C$120:$Q$120,3*(Unit_Cost!M$6-1)+2)),INDEX(Training_Prod!$C$120:$Q$120,3*(Unit_Cost!M$6-1)+2)*Unit_Cost!M$8/1000000,INDEX(Training_Prod!$C$120:$Q$120,3*(Unit_Cost!M$6-1)+2))</f>
        <v>84.8386578209839</v>
      </c>
      <c r="N69" s="171" t="n">
        <f aca="false">IF(ISNUMBER(INDEX(Training_Prod!$C$120:$Q$120,3*(Unit_Cost!N$6-1)+2)),INDEX(Training_Prod!$C$120:$Q$120,3*(Unit_Cost!N$6-1)+2)*Unit_Cost!N$8/1000000,INDEX(Training_Prod!$C$120:$Q$120,3*(Unit_Cost!N$6-1)+2))</f>
        <v>137.059478876473</v>
      </c>
      <c r="O69" s="171" t="n">
        <f aca="false">IF(ISNUMBER(INDEX(Training_Prod!$C$120:$Q$120,3*(Unit_Cost!O$6-1)+2)),INDEX(Training_Prod!$C$120:$Q$120,3*(Unit_Cost!O$6-1)+2)*Unit_Cost!O$8/1000000,INDEX(Training_Prod!$C$120:$Q$120,3*(Unit_Cost!O$6-1)+2))</f>
        <v>46.4062309773387</v>
      </c>
      <c r="P69" s="171" t="n">
        <f aca="false">IF(ISNUMBER(INDEX(Training_Prod!$C$120:$Q$120,3*(Unit_Cost!P$6-1)+2)),INDEX(Training_Prod!$C$120:$Q$120,3*(Unit_Cost!P$6-1)+2)*Unit_Cost!P$8/1000000,INDEX(Training_Prod!$C$120:$Q$120,3*(Unit_Cost!P$6-1)+2))</f>
        <v>70.5311080492091</v>
      </c>
      <c r="Q69" s="171" t="n">
        <f aca="false">IF(ISNUMBER(INDEX(Training_Prod!$C$120:$Q$120,3*(Unit_Cost!Q$6-1)+2)),INDEX(Training_Prod!$C$120:$Q$120,3*(Unit_Cost!Q$6-1)+2)*Unit_Cost!Q$8/1000000,INDEX(Training_Prod!$C$120:$Q$120,3*(Unit_Cost!Q$6-1)+2))</f>
        <v>128.757463063952</v>
      </c>
      <c r="S69" s="171" t="n">
        <f aca="false">IF(ISNUMBER(INDEX(Training_Prod!$S$120:$AG$120,3*(Unit_Cost!C$6-1)+2)),INDEX(Training_Prod!$S$120:$AG$120,3*(Unit_Cost!C$6-1)+2)*Unit_Cost!C$8/1000000,INDEX(Training_Prod!$S$120:$AG$120,3*(Unit_Cost!C$6-1)+2))</f>
        <v>174.920108637806</v>
      </c>
      <c r="T69" s="171" t="n">
        <f aca="false">IF(ISNUMBER(INDEX(Training_Prod!$S$120:$AG$120,3*(Unit_Cost!D$6-1)+2)),INDEX(Training_Prod!$S$120:$AG$120,3*(Unit_Cost!D$6-1)+2)*Unit_Cost!D$8/1000000,INDEX(Training_Prod!$S$120:$AG$120,3*(Unit_Cost!D$6-1)+2))</f>
        <v>249.925846624795</v>
      </c>
      <c r="U69" s="171" t="n">
        <f aca="false">IF(ISNUMBER(INDEX(Training_Prod!$S$120:$AG$120,3*(Unit_Cost!E$6-1)+2)),INDEX(Training_Prod!$S$120:$AG$120,3*(Unit_Cost!E$6-1)+2)*Unit_Cost!E$8/1000000,INDEX(Training_Prod!$S$120:$AG$120,3*(Unit_Cost!E$6-1)+2))</f>
        <v>429.214603131113</v>
      </c>
      <c r="V69" s="171" t="n">
        <f aca="false">IF(ISNUMBER(INDEX(Training_Prod!$S$120:$AG$120,3*(Unit_Cost!F$6-1)+2)),INDEX(Training_Prod!$S$120:$AG$120,3*(Unit_Cost!F$6-1)+2)*Unit_Cost!F$8/1000000,INDEX(Training_Prod!$S$120:$AG$120,3*(Unit_Cost!F$6-1)+2))</f>
        <v>74.0361250834957</v>
      </c>
      <c r="W69" s="171" t="n">
        <f aca="false">IF(ISNUMBER(INDEX(Training_Prod!$S$120:$AG$120,3*(Unit_Cost!G$6-1)+2)),INDEX(Training_Prod!$S$120:$AG$120,3*(Unit_Cost!G$6-1)+2)*Unit_Cost!G$8/1000000,INDEX(Training_Prod!$S$120:$AG$120,3*(Unit_Cost!G$6-1)+2))</f>
        <v>98.8538009519539</v>
      </c>
      <c r="X69" s="171" t="n">
        <f aca="false">IF(ISNUMBER(INDEX(Training_Prod!$S$120:$AG$120,3*(Unit_Cost!H$6-1)+2)),INDEX(Training_Prod!$S$120:$AG$120,3*(Unit_Cost!H$6-1)+2)*Unit_Cost!H$8/1000000,INDEX(Training_Prod!$S$120:$AG$120,3*(Unit_Cost!H$6-1)+2))</f>
        <v>160.332918401272</v>
      </c>
      <c r="Y69" s="171" t="n">
        <f aca="false">IF(ISNUMBER(INDEX(Training_Prod!$S$120:$AG$120,3*(Unit_Cost!I$6-1)+2)),INDEX(Training_Prod!$S$120:$AG$120,3*(Unit_Cost!I$6-1)+2)*Unit_Cost!I$8/1000000,INDEX(Training_Prod!$S$120:$AG$120,3*(Unit_Cost!I$6-1)+2))</f>
        <v>86.2049176761941</v>
      </c>
      <c r="Z69" s="171" t="n">
        <f aca="false">IF(ISNUMBER(INDEX(Training_Prod!$S$120:$AG$120,3*(Unit_Cost!J$6-1)+2)),INDEX(Training_Prod!$S$120:$AG$120,3*(Unit_Cost!J$6-1)+2)*Unit_Cost!J$8/1000000,INDEX(Training_Prod!$S$120:$AG$120,3*(Unit_Cost!J$6-1)+2))</f>
        <v>111.33863993035</v>
      </c>
      <c r="AA69" s="171" t="n">
        <f aca="false">IF(ISNUMBER(INDEX(Training_Prod!$S$120:$AG$120,3*(Unit_Cost!K$6-1)+2)),INDEX(Training_Prod!$S$120:$AG$120,3*(Unit_Cost!K$6-1)+2)*Unit_Cost!K$8/1000000,INDEX(Training_Prod!$S$120:$AG$120,3*(Unit_Cost!K$6-1)+2))</f>
        <v>189.559462858032</v>
      </c>
      <c r="AB69" s="171" t="n">
        <f aca="false">IF(ISNUMBER(INDEX(Training_Prod!$S$120:$AG$120,3*(Unit_Cost!L$6-1)+2)),INDEX(Training_Prod!$S$120:$AG$120,3*(Unit_Cost!L$6-1)+2)*Unit_Cost!L$8/1000000,INDEX(Training_Prod!$S$120:$AG$120,3*(Unit_Cost!L$6-1)+2))</f>
        <v>61.07819684623</v>
      </c>
      <c r="AC69" s="171" t="n">
        <f aca="false">IF(ISNUMBER(INDEX(Training_Prod!$S$120:$AG$120,3*(Unit_Cost!M$6-1)+2)),INDEX(Training_Prod!$S$120:$AG$120,3*(Unit_Cost!M$6-1)+2)*Unit_Cost!M$8/1000000,INDEX(Training_Prod!$S$120:$AG$120,3*(Unit_Cost!M$6-1)+2))</f>
        <v>78.50122859042</v>
      </c>
      <c r="AD69" s="171" t="n">
        <f aca="false">IF(ISNUMBER(INDEX(Training_Prod!$S$120:$AG$120,3*(Unit_Cost!N$6-1)+2)),INDEX(Training_Prod!$S$120:$AG$120,3*(Unit_Cost!N$6-1)+2)*Unit_Cost!N$8/1000000,INDEX(Training_Prod!$S$120:$AG$120,3*(Unit_Cost!N$6-1)+2))</f>
        <v>126.821165705719</v>
      </c>
      <c r="AE69" s="171" t="n">
        <f aca="false">IF(ISNUMBER(INDEX(Training_Prod!$S$120:$AG$120,3*(Unit_Cost!O$6-1)+2)),INDEX(Training_Prod!$S$120:$AG$120,3*(Unit_Cost!O$6-1)+2)*Unit_Cost!O$8/1000000,INDEX(Training_Prod!$S$120:$AG$120,3*(Unit_Cost!O$6-1)+2))</f>
        <v>43.536770447398</v>
      </c>
      <c r="AF69" s="171" t="n">
        <f aca="false">IF(ISNUMBER(INDEX(Training_Prod!$S$120:$AG$120,3*(Unit_Cost!P$6-1)+2)),INDEX(Training_Prod!$S$120:$AG$120,3*(Unit_Cost!P$6-1)+2)*Unit_Cost!P$8/1000000,INDEX(Training_Prod!$S$120:$AG$120,3*(Unit_Cost!P$6-1)+2))</f>
        <v>66.1699214926233</v>
      </c>
      <c r="AG69" s="171" t="n">
        <f aca="false">IF(ISNUMBER(INDEX(Training_Prod!$S$120:$AG$120,3*(Unit_Cost!Q$6-1)+2)),INDEX(Training_Prod!$S$120:$AG$120,3*(Unit_Cost!Q$6-1)+2)*Unit_Cost!Q$8/1000000,INDEX(Training_Prod!$S$120:$AG$120,3*(Unit_Cost!Q$6-1)+2))</f>
        <v>120.79593612207</v>
      </c>
    </row>
    <row r="78" customFormat="false" ht="15" hidden="false" customHeight="false" outlineLevel="0" collapsed="false">
      <c r="A78" s="61" t="s">
        <v>2744</v>
      </c>
      <c r="B78" s="59" t="s">
        <v>1021</v>
      </c>
      <c r="C78" s="171" t="n">
        <f aca="false">IF(ISNUMBER(INDEX(Training_Prod!$C$120:$Q$120,3*(Unit_Cost!C$6-1)+3)),INDEX(Training_Prod!$C$120:$Q$120,3*(Unit_Cost!C$6-1)+3)*Unit_Cost!C$8/1000000,INDEX(Training_Prod!$C$120:$Q$120,3*(Unit_Cost!C$6-1)+3))</f>
        <v>1179.65552662766</v>
      </c>
      <c r="D78" s="171" t="n">
        <f aca="false">IF(ISNUMBER(INDEX(Training_Prod!$C$120:$Q$120,3*(Unit_Cost!D$6-1)+3)),INDEX(Training_Prod!$C$120:$Q$120,3*(Unit_Cost!D$6-1)+3)*Unit_Cost!D$8/1000000,INDEX(Training_Prod!$C$120:$Q$120,3*(Unit_Cost!D$6-1)+3))</f>
        <v>1685.49178544424</v>
      </c>
      <c r="E78" s="171" t="n">
        <f aca="false">IF(ISNUMBER(INDEX(Training_Prod!$C$120:$Q$120,3*(Unit_Cost!E$6-1)+3)),INDEX(Training_Prod!$C$120:$Q$120,3*(Unit_Cost!E$6-1)+3)*Unit_Cost!E$8/1000000,INDEX(Training_Prod!$C$120:$Q$120,3*(Unit_Cost!E$6-1)+3))</f>
        <v>2894.60933128806</v>
      </c>
      <c r="F78" s="171" t="n">
        <f aca="false">IF(ISNUMBER(INDEX(Training_Prod!$C$120:$Q$120,3*(Unit_Cost!F$6-1)+3)),INDEX(Training_Prod!$C$120:$Q$120,3*(Unit_Cost!F$6-1)+3)*Unit_Cost!F$8/1000000,INDEX(Training_Prod!$C$120:$Q$120,3*(Unit_Cost!F$6-1)+3))</f>
        <v>496.148243569985</v>
      </c>
      <c r="G78" s="171" t="n">
        <f aca="false">IF(ISNUMBER(INDEX(Training_Prod!$C$120:$Q$120,3*(Unit_Cost!G$6-1)+3)),INDEX(Training_Prod!$C$120:$Q$120,3*(Unit_Cost!G$6-1)+3)*Unit_Cost!G$8/1000000,INDEX(Training_Prod!$C$120:$Q$120,3*(Unit_Cost!G$6-1)+3))</f>
        <v>662.462273075692</v>
      </c>
      <c r="H78" s="171" t="n">
        <f aca="false">IF(ISNUMBER(INDEX(Training_Prod!$C$120:$Q$120,3*(Unit_Cost!H$6-1)+3)),INDEX(Training_Prod!$C$120:$Q$120,3*(Unit_Cost!H$6-1)+3)*Unit_Cost!H$8/1000000,INDEX(Training_Prod!$C$120:$Q$120,3*(Unit_Cost!H$6-1)+3))</f>
        <v>1074.46055235235</v>
      </c>
      <c r="I78" s="171" t="n">
        <f aca="false">IF(ISNUMBER(INDEX(Training_Prod!$C$120:$Q$120,3*(Unit_Cost!I$6-1)+3)),INDEX(Training_Prod!$C$120:$Q$120,3*(Unit_Cost!I$6-1)+3)*Unit_Cost!I$8/1000000,INDEX(Training_Prod!$C$120:$Q$120,3*(Unit_Cost!I$6-1)+3))</f>
        <v>580.887209767865</v>
      </c>
      <c r="J78" s="171" t="n">
        <f aca="false">IF(ISNUMBER(INDEX(Training_Prod!$C$120:$Q$120,3*(Unit_Cost!J$6-1)+3)),INDEX(Training_Prod!$C$120:$Q$120,3*(Unit_Cost!J$6-1)+3)*Unit_Cost!J$8/1000000,INDEX(Training_Prod!$C$120:$Q$120,3*(Unit_Cost!J$6-1)+3))</f>
        <v>750.249447849658</v>
      </c>
      <c r="K78" s="171" t="n">
        <f aca="false">IF(ISNUMBER(INDEX(Training_Prod!$C$120:$Q$120,3*(Unit_Cost!K$6-1)+3)),INDEX(Training_Prod!$C$120:$Q$120,3*(Unit_Cost!K$6-1)+3)*Unit_Cost!K$8/1000000,INDEX(Training_Prod!$C$120:$Q$120,3*(Unit_Cost!K$6-1)+3))</f>
        <v>1277.33626378841</v>
      </c>
      <c r="L78" s="171" t="n">
        <f aca="false">IF(ISNUMBER(INDEX(Training_Prod!$C$120:$Q$120,3*(Unit_Cost!L$6-1)+3)),INDEX(Training_Prod!$C$120:$Q$120,3*(Unit_Cost!L$6-1)+3)*Unit_Cost!L$8/1000000,INDEX(Training_Prod!$C$120:$Q$120,3*(Unit_Cost!L$6-1)+3))</f>
        <v>407.691393322563</v>
      </c>
      <c r="M78" s="171" t="n">
        <f aca="false">IF(ISNUMBER(INDEX(Training_Prod!$C$120:$Q$120,3*(Unit_Cost!M$6-1)+3)),INDEX(Training_Prod!$C$120:$Q$120,3*(Unit_Cost!M$6-1)+3)*Unit_Cost!M$8/1000000,INDEX(Training_Prod!$C$120:$Q$120,3*(Unit_Cost!M$6-1)+3))</f>
        <v>523.988541150536</v>
      </c>
      <c r="N78" s="171" t="n">
        <f aca="false">IF(ISNUMBER(INDEX(Training_Prod!$C$120:$Q$120,3*(Unit_Cost!N$6-1)+3)),INDEX(Training_Prod!$C$120:$Q$120,3*(Unit_Cost!N$6-1)+3)*Unit_Cost!N$8/1000000,INDEX(Training_Prod!$C$120:$Q$120,3*(Unit_Cost!N$6-1)+3))</f>
        <v>846.519714383935</v>
      </c>
      <c r="O78" s="171" t="n">
        <f aca="false">IF(ISNUMBER(INDEX(Training_Prod!$C$120:$Q$120,3*(Unit_Cost!O$6-1)+3)),INDEX(Training_Prod!$C$120:$Q$120,3*(Unit_Cost!O$6-1)+3)*Unit_Cost!O$8/1000000,INDEX(Training_Prod!$C$120:$Q$120,3*(Unit_Cost!O$6-1)+3))</f>
        <v>290.955020372766</v>
      </c>
      <c r="P78" s="171" t="n">
        <f aca="false">IF(ISNUMBER(INDEX(Training_Prod!$C$120:$Q$120,3*(Unit_Cost!P$6-1)+3)),INDEX(Training_Prod!$C$120:$Q$120,3*(Unit_Cost!P$6-1)+3)*Unit_Cost!P$8/1000000,INDEX(Training_Prod!$C$120:$Q$120,3*(Unit_Cost!P$6-1)+3))</f>
        <v>442.211736380671</v>
      </c>
      <c r="Q78" s="171" t="n">
        <f aca="false">IF(ISNUMBER(INDEX(Training_Prod!$C$120:$Q$120,3*(Unit_Cost!Q$6-1)+3)),INDEX(Training_Prod!$C$120:$Q$120,3*(Unit_Cost!Q$6-1)+3)*Unit_Cost!Q$8/1000000,INDEX(Training_Prod!$C$120:$Q$120,3*(Unit_Cost!Q$6-1)+3))</f>
        <v>807.275865760611</v>
      </c>
      <c r="S78" s="171" t="n">
        <f aca="false">IF(ISNUMBER(INDEX(Training_Prod!$S$120:$AG$120,3*(Unit_Cost!C$6-1)+3)),INDEX(Training_Prod!$S$120:$AG$120,3*(Unit_Cost!C$6-1)+3)*Unit_Cost!C$8/1000000,INDEX(Training_Prod!$S$120:$AG$120,3*(Unit_Cost!C$6-1)+3))</f>
        <v>1065.16743684915</v>
      </c>
      <c r="T78" s="171" t="n">
        <f aca="false">IF(ISNUMBER(INDEX(Training_Prod!$S$120:$AG$120,3*(Unit_Cost!D$6-1)+3)),INDEX(Training_Prod!$S$120:$AG$120,3*(Unit_Cost!D$6-1)+3)*Unit_Cost!D$8/1000000,INDEX(Training_Prod!$S$120:$AG$120,3*(Unit_Cost!D$6-1)+3))</f>
        <v>1521.91120577745</v>
      </c>
      <c r="U78" s="171" t="n">
        <f aca="false">IF(ISNUMBER(INDEX(Training_Prod!$S$120:$AG$120,3*(Unit_Cost!E$6-1)+3)),INDEX(Training_Prod!$S$120:$AG$120,3*(Unit_Cost!E$6-1)+3)*Unit_Cost!E$8/1000000,INDEX(Training_Prod!$S$120:$AG$120,3*(Unit_Cost!E$6-1)+3))</f>
        <v>2613.68130991761</v>
      </c>
      <c r="V78" s="171" t="n">
        <f aca="false">IF(ISNUMBER(INDEX(Training_Prod!$S$120:$AG$120,3*(Unit_Cost!F$6-1)+3)),INDEX(Training_Prod!$S$120:$AG$120,3*(Unit_Cost!F$6-1)+3)*Unit_Cost!F$8/1000000,INDEX(Training_Prod!$S$120:$AG$120,3*(Unit_Cost!F$6-1)+3))</f>
        <v>465.455930936714</v>
      </c>
      <c r="W78" s="171" t="n">
        <f aca="false">IF(ISNUMBER(INDEX(Training_Prod!$S$120:$AG$120,3*(Unit_Cost!G$6-1)+3)),INDEX(Training_Prod!$S$120:$AG$120,3*(Unit_Cost!G$6-1)+3)*Unit_Cost!G$8/1000000,INDEX(Training_Prod!$S$120:$AG$120,3*(Unit_Cost!G$6-1)+3))</f>
        <v>621.48157938889</v>
      </c>
      <c r="X78" s="171" t="n">
        <f aca="false">IF(ISNUMBER(INDEX(Training_Prod!$S$120:$AG$120,3*(Unit_Cost!H$6-1)+3)),INDEX(Training_Prod!$S$120:$AG$120,3*(Unit_Cost!H$6-1)+3)*Unit_Cost!H$8/1000000,INDEX(Training_Prod!$S$120:$AG$120,3*(Unit_Cost!H$6-1)+3))</f>
        <v>1007.99316158296</v>
      </c>
      <c r="Y78" s="171" t="n">
        <f aca="false">IF(ISNUMBER(INDEX(Training_Prod!$S$120:$AG$120,3*(Unit_Cost!I$6-1)+3)),INDEX(Training_Prod!$S$120:$AG$120,3*(Unit_Cost!I$6-1)+3)*Unit_Cost!I$8/1000000,INDEX(Training_Prod!$S$120:$AG$120,3*(Unit_Cost!I$6-1)+3))</f>
        <v>552.821212490455</v>
      </c>
      <c r="Z78" s="171" t="n">
        <f aca="false">IF(ISNUMBER(INDEX(Training_Prod!$S$120:$AG$120,3*(Unit_Cost!J$6-1)+3)),INDEX(Training_Prod!$S$120:$AG$120,3*(Unit_Cost!J$6-1)+3)*Unit_Cost!J$8/1000000,INDEX(Training_Prod!$S$120:$AG$120,3*(Unit_Cost!J$6-1)+3))</f>
        <v>714.000588162868</v>
      </c>
      <c r="AA78" s="171" t="n">
        <f aca="false">IF(ISNUMBER(INDEX(Training_Prod!$S$120:$AG$120,3*(Unit_Cost!K$6-1)+3)),INDEX(Training_Prod!$S$120:$AG$120,3*(Unit_Cost!K$6-1)+3)*Unit_Cost!K$8/1000000,INDEX(Training_Prod!$S$120:$AG$120,3*(Unit_Cost!K$6-1)+3))</f>
        <v>1215.62081283856</v>
      </c>
      <c r="AB78" s="171" t="n">
        <f aca="false">IF(ISNUMBER(INDEX(Training_Prod!$S$120:$AG$120,3*(Unit_Cost!L$6-1)+3)),INDEX(Training_Prod!$S$120:$AG$120,3*(Unit_Cost!L$6-1)+3)*Unit_Cost!L$8/1000000,INDEX(Training_Prod!$S$120:$AG$120,3*(Unit_Cost!L$6-1)+3))</f>
        <v>380.652805094568</v>
      </c>
      <c r="AC78" s="171" t="n">
        <f aca="false">IF(ISNUMBER(INDEX(Training_Prod!$S$120:$AG$120,3*(Unit_Cost!M$6-1)+3)),INDEX(Training_Prod!$S$120:$AG$120,3*(Unit_Cost!M$6-1)+3)*Unit_Cost!M$8/1000000,INDEX(Training_Prod!$S$120:$AG$120,3*(Unit_Cost!M$6-1)+3))</f>
        <v>489.236984869465</v>
      </c>
      <c r="AD78" s="171" t="n">
        <f aca="false">IF(ISNUMBER(INDEX(Training_Prod!$S$120:$AG$120,3*(Unit_Cost!N$6-1)+3)),INDEX(Training_Prod!$S$120:$AG$120,3*(Unit_Cost!N$6-1)+3)*Unit_Cost!N$8/1000000,INDEX(Training_Prod!$S$120:$AG$120,3*(Unit_Cost!N$6-1)+3))</f>
        <v>790.377499073548</v>
      </c>
      <c r="AE78" s="171" t="n">
        <f aca="false">IF(ISNUMBER(INDEX(Training_Prod!$S$120:$AG$120,3*(Unit_Cost!O$6-1)+3)),INDEX(Training_Prod!$S$120:$AG$120,3*(Unit_Cost!O$6-1)+3)*Unit_Cost!O$8/1000000,INDEX(Training_Prod!$S$120:$AG$120,3*(Unit_Cost!O$6-1)+3))</f>
        <v>275.298530538818</v>
      </c>
      <c r="AF78" s="171" t="n">
        <f aca="false">IF(ISNUMBER(INDEX(Training_Prod!$S$120:$AG$120,3*(Unit_Cost!P$6-1)+3)),INDEX(Training_Prod!$S$120:$AG$120,3*(Unit_Cost!P$6-1)+3)*Unit_Cost!P$8/1000000,INDEX(Training_Prod!$S$120:$AG$120,3*(Unit_Cost!P$6-1)+3))</f>
        <v>418.416018588187</v>
      </c>
      <c r="AG78" s="171" t="n">
        <f aca="false">IF(ISNUMBER(INDEX(Training_Prod!$S$120:$AG$120,3*(Unit_Cost!Q$6-1)+3)),INDEX(Training_Prod!$S$120:$AG$120,3*(Unit_Cost!Q$6-1)+3)*Unit_Cost!Q$8/1000000,INDEX(Training_Prod!$S$120:$AG$120,3*(Unit_Cost!Q$6-1)+3))</f>
        <v>763.835795988727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2745</v>
      </c>
    </row>
    <row r="2" customFormat="false" ht="15" hidden="false" customHeight="false" outlineLevel="0" collapsed="false">
      <c r="A2" s="74" t="s">
        <v>2746</v>
      </c>
    </row>
    <row r="3" customFormat="false" ht="15" hidden="false" customHeight="false" outlineLevel="0" collapsed="false">
      <c r="S3" s="60" t="s">
        <v>2722</v>
      </c>
    </row>
    <row r="4" customFormat="false" ht="15" hidden="false" customHeight="false" outlineLevel="0" collapsed="false">
      <c r="A4" s="92" t="str">
        <f aca="false">Fleet_1GW!A4</f>
        <v>世代</v>
      </c>
      <c r="C4" s="92" t="str">
        <f aca="false">Fleet_1GW!C4</f>
        <v>Hopper H100</v>
      </c>
      <c r="D4" s="92" t="str">
        <f aca="false">Fleet_1GW!D4</f>
        <v>Hopper H100</v>
      </c>
      <c r="E4" s="92" t="str">
        <f aca="false">Fleet_1GW!E4</f>
        <v>Hopper H100</v>
      </c>
      <c r="F4" s="92" t="str">
        <f aca="false">Fleet_1GW!F4</f>
        <v>GB200 NVL72</v>
      </c>
      <c r="G4" s="92" t="str">
        <f aca="false">Fleet_1GW!G4</f>
        <v>GB200 NVL72</v>
      </c>
      <c r="H4" s="92" t="str">
        <f aca="false">Fleet_1GW!H4</f>
        <v>GB200 NVL72</v>
      </c>
      <c r="I4" s="92" t="str">
        <f aca="false">Fleet_1GW!I4</f>
        <v>GB300 NVL72</v>
      </c>
      <c r="J4" s="92" t="str">
        <f aca="false">Fleet_1GW!J4</f>
        <v>GB300 NVL72</v>
      </c>
      <c r="K4" s="92" t="str">
        <f aca="false">Fleet_1GW!K4</f>
        <v>GB300 NVL72</v>
      </c>
      <c r="L4" s="92" t="str">
        <f aca="false">Fleet_1GW!L4</f>
        <v>VR200 NVL72</v>
      </c>
      <c r="M4" s="92" t="str">
        <f aca="false">Fleet_1GW!M4</f>
        <v>VR200 NVL72</v>
      </c>
      <c r="N4" s="92" t="str">
        <f aca="false">Fleet_1GW!N4</f>
        <v>VR200 NVL72</v>
      </c>
      <c r="O4" s="92" t="str">
        <f aca="false">Fleet_1GW!O4</f>
        <v>Rubin Ultra（MGX NVL 單架，72 GPU）</v>
      </c>
      <c r="P4" s="92" t="str">
        <f aca="false">Fleet_1GW!P4</f>
        <v>Rubin Ultra（MGX NVL 單架，72 GPU）</v>
      </c>
      <c r="Q4" s="92" t="str">
        <f aca="false">Fleet_1GW!Q4</f>
        <v>Rubin Ultra（MGX NVL 單架，72 GPU）</v>
      </c>
      <c r="S4" s="92" t="str">
        <f aca="false">Fleet_1GW!C4</f>
        <v>Hopper H100</v>
      </c>
      <c r="T4" s="92" t="str">
        <f aca="false">Fleet_1GW!D4</f>
        <v>Hopper H100</v>
      </c>
      <c r="U4" s="92" t="str">
        <f aca="false">Fleet_1GW!E4</f>
        <v>Hopper H100</v>
      </c>
      <c r="V4" s="92" t="str">
        <f aca="false">Fleet_1GW!F4</f>
        <v>GB200 NVL72</v>
      </c>
      <c r="W4" s="92" t="str">
        <f aca="false">Fleet_1GW!G4</f>
        <v>GB200 NVL72</v>
      </c>
      <c r="X4" s="92" t="str">
        <f aca="false">Fleet_1GW!H4</f>
        <v>GB200 NVL72</v>
      </c>
      <c r="Y4" s="92" t="str">
        <f aca="false">Fleet_1GW!I4</f>
        <v>GB300 NVL72</v>
      </c>
      <c r="Z4" s="92" t="str">
        <f aca="false">Fleet_1GW!J4</f>
        <v>GB300 NVL72</v>
      </c>
      <c r="AA4" s="92" t="str">
        <f aca="false">Fleet_1GW!K4</f>
        <v>GB300 NVL72</v>
      </c>
      <c r="AB4" s="92" t="str">
        <f aca="false">Fleet_1GW!L4</f>
        <v>VR200 NVL72</v>
      </c>
      <c r="AC4" s="92" t="str">
        <f aca="false">Fleet_1GW!M4</f>
        <v>VR200 NVL72</v>
      </c>
      <c r="AD4" s="92" t="str">
        <f aca="false">Fleet_1GW!N4</f>
        <v>VR200 NVL72</v>
      </c>
      <c r="AE4" s="92" t="str">
        <f aca="false">Fleet_1GW!O4</f>
        <v>Rubin Ultra（MGX NVL 單架，72 GPU）</v>
      </c>
      <c r="AF4" s="92" t="str">
        <f aca="false">Fleet_1GW!P4</f>
        <v>Rubin Ultra（MGX NVL 單架，72 GPU）</v>
      </c>
      <c r="AG4" s="92" t="str">
        <f aca="false">Fleet_1GW!Q4</f>
        <v>Rubin Ultra（MGX NVL 單架，72 GPU）</v>
      </c>
    </row>
    <row r="5" customFormat="false" ht="15" hidden="false" customHeight="false" outlineLevel="0" collapsed="false">
      <c r="A5" s="92" t="str">
        <f aca="false">Fleet_1GW!A5</f>
        <v>成本情境</v>
      </c>
      <c r="C5" s="92" t="str">
        <f aca="false">Fleet_1GW!C5</f>
        <v>低成本</v>
      </c>
      <c r="D5" s="92" t="str">
        <f aca="false">Fleet_1GW!D5</f>
        <v>基準</v>
      </c>
      <c r="E5" s="92" t="str">
        <f aca="false">Fleet_1GW!E5</f>
        <v>高成本</v>
      </c>
      <c r="F5" s="92" t="str">
        <f aca="false">Fleet_1GW!F5</f>
        <v>低成本</v>
      </c>
      <c r="G5" s="92" t="str">
        <f aca="false">Fleet_1GW!G5</f>
        <v>基準</v>
      </c>
      <c r="H5" s="92" t="str">
        <f aca="false">Fleet_1GW!H5</f>
        <v>高成本</v>
      </c>
      <c r="I5" s="92" t="str">
        <f aca="false">Fleet_1GW!I5</f>
        <v>低成本</v>
      </c>
      <c r="J5" s="92" t="str">
        <f aca="false">Fleet_1GW!J5</f>
        <v>基準</v>
      </c>
      <c r="K5" s="92" t="str">
        <f aca="false">Fleet_1GW!K5</f>
        <v>高成本</v>
      </c>
      <c r="L5" s="92" t="str">
        <f aca="false">Fleet_1GW!L5</f>
        <v>低成本</v>
      </c>
      <c r="M5" s="92" t="str">
        <f aca="false">Fleet_1GW!M5</f>
        <v>基準</v>
      </c>
      <c r="N5" s="92" t="str">
        <f aca="false">Fleet_1GW!N5</f>
        <v>高成本</v>
      </c>
      <c r="O5" s="92" t="str">
        <f aca="false">Fleet_1GW!O5</f>
        <v>低成本</v>
      </c>
      <c r="P5" s="92" t="str">
        <f aca="false">Fleet_1GW!P5</f>
        <v>基準</v>
      </c>
      <c r="Q5" s="92" t="str">
        <f aca="false">Fleet_1GW!Q5</f>
        <v>高成本</v>
      </c>
      <c r="S5" s="92" t="str">
        <f aca="false">Fleet_1GW!C5</f>
        <v>低成本</v>
      </c>
      <c r="T5" s="92" t="str">
        <f aca="false">Fleet_1GW!D5</f>
        <v>基準</v>
      </c>
      <c r="U5" s="92" t="str">
        <f aca="false">Fleet_1GW!E5</f>
        <v>高成本</v>
      </c>
      <c r="V5" s="92" t="str">
        <f aca="false">Fleet_1GW!F5</f>
        <v>低成本</v>
      </c>
      <c r="W5" s="92" t="str">
        <f aca="false">Fleet_1GW!G5</f>
        <v>基準</v>
      </c>
      <c r="X5" s="92" t="str">
        <f aca="false">Fleet_1GW!H5</f>
        <v>高成本</v>
      </c>
      <c r="Y5" s="92" t="str">
        <f aca="false">Fleet_1GW!I5</f>
        <v>低成本</v>
      </c>
      <c r="Z5" s="92" t="str">
        <f aca="false">Fleet_1GW!J5</f>
        <v>基準</v>
      </c>
      <c r="AA5" s="92" t="str">
        <f aca="false">Fleet_1GW!K5</f>
        <v>高成本</v>
      </c>
      <c r="AB5" s="92" t="str">
        <f aca="false">Fleet_1GW!L5</f>
        <v>低成本</v>
      </c>
      <c r="AC5" s="92" t="str">
        <f aca="false">Fleet_1GW!M5</f>
        <v>基準</v>
      </c>
      <c r="AD5" s="92" t="str">
        <f aca="false">Fleet_1GW!N5</f>
        <v>高成本</v>
      </c>
      <c r="AE5" s="92" t="str">
        <f aca="false">Fleet_1GW!O5</f>
        <v>低成本</v>
      </c>
      <c r="AF5" s="92" t="str">
        <f aca="false">Fleet_1GW!P5</f>
        <v>基準</v>
      </c>
      <c r="AG5" s="92" t="str">
        <f aca="false">Fleet_1GW!Q5</f>
        <v>高成本</v>
      </c>
    </row>
    <row r="6" customFormat="false" ht="15" hidden="false" customHeight="false" outlineLevel="0" collapsed="false">
      <c r="A6" s="92" t="str">
        <f aca="false">Fleet_1GW!A6</f>
        <v>世代索引</v>
      </c>
      <c r="C6" s="89" t="n">
        <f aca="false">Fleet_1GW!C6</f>
        <v>1</v>
      </c>
      <c r="D6" s="89" t="n">
        <f aca="false">Fleet_1GW!D6</f>
        <v>1</v>
      </c>
      <c r="E6" s="89" t="n">
        <f aca="false">Fleet_1GW!E6</f>
        <v>1</v>
      </c>
      <c r="F6" s="89" t="n">
        <f aca="false">Fleet_1GW!F6</f>
        <v>2</v>
      </c>
      <c r="G6" s="89" t="n">
        <f aca="false">Fleet_1GW!G6</f>
        <v>2</v>
      </c>
      <c r="H6" s="89" t="n">
        <f aca="false">Fleet_1GW!H6</f>
        <v>2</v>
      </c>
      <c r="I6" s="89" t="n">
        <f aca="false">Fleet_1GW!I6</f>
        <v>3</v>
      </c>
      <c r="J6" s="89" t="n">
        <f aca="false">Fleet_1GW!J6</f>
        <v>3</v>
      </c>
      <c r="K6" s="89" t="n">
        <f aca="false">Fleet_1GW!K6</f>
        <v>3</v>
      </c>
      <c r="L6" s="89" t="n">
        <f aca="false">Fleet_1GW!L6</f>
        <v>4</v>
      </c>
      <c r="M6" s="89" t="n">
        <f aca="false">Fleet_1GW!M6</f>
        <v>4</v>
      </c>
      <c r="N6" s="89" t="n">
        <f aca="false">Fleet_1GW!N6</f>
        <v>4</v>
      </c>
      <c r="O6" s="89" t="n">
        <f aca="false">Fleet_1GW!O6</f>
        <v>5</v>
      </c>
      <c r="P6" s="89" t="n">
        <f aca="false">Fleet_1GW!P6</f>
        <v>5</v>
      </c>
      <c r="Q6" s="89" t="n">
        <f aca="false">Fleet_1GW!Q6</f>
        <v>5</v>
      </c>
      <c r="S6" s="89" t="n">
        <f aca="false">Fleet_1GW!C6</f>
        <v>1</v>
      </c>
      <c r="T6" s="89" t="n">
        <f aca="false">Fleet_1GW!D6</f>
        <v>1</v>
      </c>
      <c r="U6" s="89" t="n">
        <f aca="false">Fleet_1GW!E6</f>
        <v>1</v>
      </c>
      <c r="V6" s="89" t="n">
        <f aca="false">Fleet_1GW!F6</f>
        <v>2</v>
      </c>
      <c r="W6" s="89" t="n">
        <f aca="false">Fleet_1GW!G6</f>
        <v>2</v>
      </c>
      <c r="X6" s="89" t="n">
        <f aca="false">Fleet_1GW!H6</f>
        <v>2</v>
      </c>
      <c r="Y6" s="89" t="n">
        <f aca="false">Fleet_1GW!I6</f>
        <v>3</v>
      </c>
      <c r="Z6" s="89" t="n">
        <f aca="false">Fleet_1GW!J6</f>
        <v>3</v>
      </c>
      <c r="AA6" s="89" t="n">
        <f aca="false">Fleet_1GW!K6</f>
        <v>3</v>
      </c>
      <c r="AB6" s="89" t="n">
        <f aca="false">Fleet_1GW!L6</f>
        <v>4</v>
      </c>
      <c r="AC6" s="89" t="n">
        <f aca="false">Fleet_1GW!M6</f>
        <v>4</v>
      </c>
      <c r="AD6" s="89" t="n">
        <f aca="false">Fleet_1GW!N6</f>
        <v>4</v>
      </c>
      <c r="AE6" s="89" t="n">
        <f aca="false">Fleet_1GW!O6</f>
        <v>5</v>
      </c>
      <c r="AF6" s="89" t="n">
        <f aca="false">Fleet_1GW!P6</f>
        <v>5</v>
      </c>
      <c r="AG6" s="89" t="n">
        <f aca="false">Fleet_1GW!Q6</f>
        <v>5</v>
      </c>
    </row>
    <row r="7" customFormat="false" ht="15" hidden="false" customHeight="false" outlineLevel="0" collapsed="false">
      <c r="A7" s="92" t="str">
        <f aca="false">Fleet_1GW!A7</f>
        <v>欄索引</v>
      </c>
      <c r="C7" s="89" t="n">
        <f aca="false">Fleet_1GW!C7</f>
        <v>1</v>
      </c>
      <c r="D7" s="89" t="n">
        <f aca="false">Fleet_1GW!D7</f>
        <v>2</v>
      </c>
      <c r="E7" s="89" t="n">
        <f aca="false">Fleet_1GW!E7</f>
        <v>3</v>
      </c>
      <c r="F7" s="89" t="n">
        <f aca="false">Fleet_1GW!F7</f>
        <v>4</v>
      </c>
      <c r="G7" s="89" t="n">
        <f aca="false">Fleet_1GW!G7</f>
        <v>5</v>
      </c>
      <c r="H7" s="89" t="n">
        <f aca="false">Fleet_1GW!H7</f>
        <v>6</v>
      </c>
      <c r="I7" s="89" t="n">
        <f aca="false">Fleet_1GW!I7</f>
        <v>7</v>
      </c>
      <c r="J7" s="89" t="n">
        <f aca="false">Fleet_1GW!J7</f>
        <v>8</v>
      </c>
      <c r="K7" s="89" t="n">
        <f aca="false">Fleet_1GW!K7</f>
        <v>9</v>
      </c>
      <c r="L7" s="89" t="n">
        <f aca="false">Fleet_1GW!L7</f>
        <v>10</v>
      </c>
      <c r="M7" s="89" t="n">
        <f aca="false">Fleet_1GW!M7</f>
        <v>11</v>
      </c>
      <c r="N7" s="89" t="n">
        <f aca="false">Fleet_1GW!N7</f>
        <v>12</v>
      </c>
      <c r="O7" s="89" t="n">
        <f aca="false">Fleet_1GW!O7</f>
        <v>13</v>
      </c>
      <c r="P7" s="89" t="n">
        <f aca="false">Fleet_1GW!P7</f>
        <v>14</v>
      </c>
      <c r="Q7" s="89" t="n">
        <f aca="false">Fleet_1GW!Q7</f>
        <v>15</v>
      </c>
      <c r="S7" s="89" t="n">
        <f aca="false">Fleet_1GW!C7</f>
        <v>1</v>
      </c>
      <c r="T7" s="89" t="n">
        <f aca="false">Fleet_1GW!D7</f>
        <v>2</v>
      </c>
      <c r="U7" s="89" t="n">
        <f aca="false">Fleet_1GW!E7</f>
        <v>3</v>
      </c>
      <c r="V7" s="89" t="n">
        <f aca="false">Fleet_1GW!F7</f>
        <v>4</v>
      </c>
      <c r="W7" s="89" t="n">
        <f aca="false">Fleet_1GW!G7</f>
        <v>5</v>
      </c>
      <c r="X7" s="89" t="n">
        <f aca="false">Fleet_1GW!H7</f>
        <v>6</v>
      </c>
      <c r="Y7" s="89" t="n">
        <f aca="false">Fleet_1GW!I7</f>
        <v>7</v>
      </c>
      <c r="Z7" s="89" t="n">
        <f aca="false">Fleet_1GW!J7</f>
        <v>8</v>
      </c>
      <c r="AA7" s="89" t="n">
        <f aca="false">Fleet_1GW!K7</f>
        <v>9</v>
      </c>
      <c r="AB7" s="89" t="n">
        <f aca="false">Fleet_1GW!L7</f>
        <v>10</v>
      </c>
      <c r="AC7" s="89" t="n">
        <f aca="false">Fleet_1GW!M7</f>
        <v>11</v>
      </c>
      <c r="AD7" s="89" t="n">
        <f aca="false">Fleet_1GW!N7</f>
        <v>12</v>
      </c>
      <c r="AE7" s="89" t="n">
        <f aca="false">Fleet_1GW!O7</f>
        <v>13</v>
      </c>
      <c r="AF7" s="89" t="n">
        <f aca="false">Fleet_1GW!P7</f>
        <v>14</v>
      </c>
      <c r="AG7" s="89" t="n">
        <f aca="false">Fleet_1GW!Q7</f>
        <v>15</v>
      </c>
    </row>
    <row r="18" customFormat="false" ht="15" hidden="false" customHeight="false" outlineLevel="0" collapsed="false">
      <c r="A18" s="61" t="s">
        <v>1979</v>
      </c>
      <c r="B18" s="74" t="s">
        <v>1980</v>
      </c>
      <c r="C18" s="89" t="n">
        <f aca="false">IF(AND(Fleet_1GW_Prod!C41&gt;0,Fleet_1GW_Prod!C42&gt;0),1,0)</f>
        <v>1</v>
      </c>
      <c r="D18" s="89" t="n">
        <f aca="false">IF(AND(Fleet_1GW_Prod!D41&gt;0,Fleet_1GW_Prod!D42&gt;0),1,0)</f>
        <v>1</v>
      </c>
      <c r="E18" s="89" t="n">
        <f aca="false">IF(AND(Fleet_1GW_Prod!E41&gt;0,Fleet_1GW_Prod!E42&gt;0),1,0)</f>
        <v>1</v>
      </c>
      <c r="F18" s="89" t="n">
        <f aca="false">IF(AND(Fleet_1GW_Prod!F41&gt;0,Fleet_1GW_Prod!F42&gt;0),1,0)</f>
        <v>1</v>
      </c>
      <c r="G18" s="89" t="n">
        <f aca="false">IF(AND(Fleet_1GW_Prod!G41&gt;0,Fleet_1GW_Prod!G42&gt;0),1,0)</f>
        <v>1</v>
      </c>
      <c r="H18" s="89" t="n">
        <f aca="false">IF(AND(Fleet_1GW_Prod!H41&gt;0,Fleet_1GW_Prod!H42&gt;0),1,0)</f>
        <v>1</v>
      </c>
      <c r="I18" s="89" t="n">
        <f aca="false">IF(AND(Fleet_1GW_Prod!I41&gt;0,Fleet_1GW_Prod!I42&gt;0),1,0)</f>
        <v>1</v>
      </c>
      <c r="J18" s="89" t="n">
        <f aca="false">IF(AND(Fleet_1GW_Prod!J41&gt;0,Fleet_1GW_Prod!J42&gt;0),1,0)</f>
        <v>1</v>
      </c>
      <c r="K18" s="89" t="n">
        <f aca="false">IF(AND(Fleet_1GW_Prod!K41&gt;0,Fleet_1GW_Prod!K42&gt;0),1,0)</f>
        <v>1</v>
      </c>
      <c r="L18" s="89" t="n">
        <f aca="false">IF(AND(Fleet_1GW_Prod!L41&gt;0,Fleet_1GW_Prod!L42&gt;0),1,0)</f>
        <v>1</v>
      </c>
      <c r="M18" s="89" t="n">
        <f aca="false">IF(AND(Fleet_1GW_Prod!M41&gt;0,Fleet_1GW_Prod!M42&gt;0),1,0)</f>
        <v>1</v>
      </c>
      <c r="N18" s="89" t="n">
        <f aca="false">IF(AND(Fleet_1GW_Prod!N41&gt;0,Fleet_1GW_Prod!N42&gt;0),1,0)</f>
        <v>1</v>
      </c>
      <c r="O18" s="89" t="n">
        <f aca="false">IF(AND(Fleet_1GW_Prod!O41&gt;0,Fleet_1GW_Prod!O42&gt;0),1,0)</f>
        <v>1</v>
      </c>
      <c r="P18" s="89" t="n">
        <f aca="false">IF(AND(Fleet_1GW_Prod!P41&gt;0,Fleet_1GW_Prod!P42&gt;0),1,0)</f>
        <v>1</v>
      </c>
      <c r="Q18" s="89" t="n">
        <f aca="false">IF(AND(Fleet_1GW_Prod!Q41&gt;0,Fleet_1GW_Prod!Q42&gt;0),1,0)</f>
        <v>1</v>
      </c>
      <c r="S18" s="89" t="n">
        <f aca="false">IF(AND(Fleet_1GW_Prod!S41&gt;0,Fleet_1GW_Prod!S42&gt;0),1,0)</f>
        <v>1</v>
      </c>
      <c r="T18" s="89" t="n">
        <f aca="false">IF(AND(Fleet_1GW_Prod!T41&gt;0,Fleet_1GW_Prod!T42&gt;0),1,0)</f>
        <v>1</v>
      </c>
      <c r="U18" s="89" t="n">
        <f aca="false">IF(AND(Fleet_1GW_Prod!U41&gt;0,Fleet_1GW_Prod!U42&gt;0),1,0)</f>
        <v>1</v>
      </c>
      <c r="V18" s="89" t="n">
        <f aca="false">IF(AND(Fleet_1GW_Prod!V41&gt;0,Fleet_1GW_Prod!V42&gt;0),1,0)</f>
        <v>1</v>
      </c>
      <c r="W18" s="89" t="n">
        <f aca="false">IF(AND(Fleet_1GW_Prod!W41&gt;0,Fleet_1GW_Prod!W42&gt;0),1,0)</f>
        <v>1</v>
      </c>
      <c r="X18" s="89" t="n">
        <f aca="false">IF(AND(Fleet_1GW_Prod!X41&gt;0,Fleet_1GW_Prod!X42&gt;0),1,0)</f>
        <v>1</v>
      </c>
      <c r="Y18" s="89" t="n">
        <f aca="false">IF(AND(Fleet_1GW_Prod!Y41&gt;0,Fleet_1GW_Prod!Y42&gt;0),1,0)</f>
        <v>1</v>
      </c>
      <c r="Z18" s="89" t="n">
        <f aca="false">IF(AND(Fleet_1GW_Prod!Z41&gt;0,Fleet_1GW_Prod!Z42&gt;0),1,0)</f>
        <v>1</v>
      </c>
      <c r="AA18" s="89" t="n">
        <f aca="false">IF(AND(Fleet_1GW_Prod!AA41&gt;0,Fleet_1GW_Prod!AA42&gt;0),1,0)</f>
        <v>1</v>
      </c>
      <c r="AB18" s="89" t="n">
        <f aca="false">IF(AND(Fleet_1GW_Prod!AB41&gt;0,Fleet_1GW_Prod!AB42&gt;0),1,0)</f>
        <v>1</v>
      </c>
      <c r="AC18" s="89" t="n">
        <f aca="false">IF(AND(Fleet_1GW_Prod!AC41&gt;0,Fleet_1GW_Prod!AC42&gt;0),1,0)</f>
        <v>1</v>
      </c>
      <c r="AD18" s="89" t="n">
        <f aca="false">IF(AND(Fleet_1GW_Prod!AD41&gt;0,Fleet_1GW_Prod!AD42&gt;0),1,0)</f>
        <v>1</v>
      </c>
      <c r="AE18" s="89" t="n">
        <f aca="false">IF(AND(Fleet_1GW_Prod!AE41&gt;0,Fleet_1GW_Prod!AE42&gt;0),1,0)</f>
        <v>1</v>
      </c>
      <c r="AF18" s="89" t="n">
        <f aca="false">IF(AND(Fleet_1GW_Prod!AF41&gt;0,Fleet_1GW_Prod!AF42&gt;0),1,0)</f>
        <v>1</v>
      </c>
      <c r="AG18" s="89" t="n">
        <f aca="false">IF(AND(Fleet_1GW_Prod!AG41&gt;0,Fleet_1GW_Prod!AG42&gt;0),1,0)</f>
        <v>1</v>
      </c>
    </row>
    <row r="19" customFormat="false" ht="15" hidden="false" customHeight="false" outlineLevel="0" collapsed="false">
      <c r="A19" s="61" t="s">
        <v>1981</v>
      </c>
      <c r="B19" s="59" t="s">
        <v>2724</v>
      </c>
      <c r="C19" s="63" t="n">
        <f aca="false">IF(Fleet_1GW_Prod!C18=1,Fleet_1GW!C11*IF_Util/(IF(Fleet_1GW_Prod!C38=1,Fleet_1GW_Prod!C44/INDEX(Interface_Prod!$C$21:$Q$21,1,Fleet_1GW!C$7),0)+IF(Fleet_1GW_Prod!C39=1,Fleet_1GW_Prod!C45/INDEX(Interface_Prod!$C$31:$Q$31,1,Fleet_1GW!C$7),0)+IF(Fleet_1GW_Prod!C40=1,Fleet_1GW_Prod!C46/INDEX(Interface_Prod!$C$41:$Q$41,1,Fleet_1GW!C$7),0)),"SLO 不可達")</f>
        <v>2559571648.42946</v>
      </c>
      <c r="D19" s="63" t="n">
        <f aca="false">IF(Fleet_1GW_Prod!D18=1,Fleet_1GW!D11*IF_Util/(IF(Fleet_1GW_Prod!D38=1,Fleet_1GW_Prod!D44/INDEX(Interface_Prod!$C$21:$Q$21,1,Fleet_1GW!D$7),0)+IF(Fleet_1GW_Prod!D39=1,Fleet_1GW_Prod!D45/INDEX(Interface_Prod!$C$31:$Q$31,1,Fleet_1GW!D$7),0)+IF(Fleet_1GW_Prod!D40=1,Fleet_1GW_Prod!D46/INDEX(Interface_Prod!$C$41:$Q$41,1,Fleet_1GW!D$7),0)),"SLO 不可達")</f>
        <v>2559571648.42946</v>
      </c>
      <c r="E19" s="63" t="n">
        <f aca="false">IF(Fleet_1GW_Prod!E18=1,Fleet_1GW!E11*IF_Util/(IF(Fleet_1GW_Prod!E38=1,Fleet_1GW_Prod!E44/INDEX(Interface_Prod!$C$21:$Q$21,1,Fleet_1GW!E$7),0)+IF(Fleet_1GW_Prod!E39=1,Fleet_1GW_Prod!E45/INDEX(Interface_Prod!$C$31:$Q$31,1,Fleet_1GW!E$7),0)+IF(Fleet_1GW_Prod!E40=1,Fleet_1GW_Prod!E46/INDEX(Interface_Prod!$C$41:$Q$41,1,Fleet_1GW!E$7),0)),"SLO 不可達")</f>
        <v>2559571648.42946</v>
      </c>
      <c r="F19" s="63" t="n">
        <f aca="false">IF(Fleet_1GW_Prod!F18=1,Fleet_1GW!F11*IF_Util/(IF(Fleet_1GW_Prod!F38=1,Fleet_1GW_Prod!F44/INDEX(Interface_Prod!$C$21:$Q$21,1,Fleet_1GW!F$7),0)+IF(Fleet_1GW_Prod!F39=1,Fleet_1GW_Prod!F45/INDEX(Interface_Prod!$C$31:$Q$31,1,Fleet_1GW!F$7),0)+IF(Fleet_1GW_Prod!F40=1,Fleet_1GW_Prod!F46/INDEX(Interface_Prod!$C$41:$Q$41,1,Fleet_1GW!F$7),0)),"SLO 不可達")</f>
        <v>11872691143.0009</v>
      </c>
      <c r="G19" s="63" t="n">
        <f aca="false">IF(Fleet_1GW_Prod!G18=1,Fleet_1GW!G11*IF_Util/(IF(Fleet_1GW_Prod!G38=1,Fleet_1GW_Prod!G44/INDEX(Interface_Prod!$C$21:$Q$21,1,Fleet_1GW!G$7),0)+IF(Fleet_1GW_Prod!G39=1,Fleet_1GW_Prod!G45/INDEX(Interface_Prod!$C$31:$Q$31,1,Fleet_1GW!G$7),0)+IF(Fleet_1GW_Prod!G40=1,Fleet_1GW_Prod!G46/INDEX(Interface_Prod!$C$41:$Q$41,1,Fleet_1GW!G$7),0)),"SLO 不可達")</f>
        <v>11872691143.0009</v>
      </c>
      <c r="H19" s="63" t="n">
        <f aca="false">IF(Fleet_1GW_Prod!H18=1,Fleet_1GW!H11*IF_Util/(IF(Fleet_1GW_Prod!H38=1,Fleet_1GW_Prod!H44/INDEX(Interface_Prod!$C$21:$Q$21,1,Fleet_1GW!H$7),0)+IF(Fleet_1GW_Prod!H39=1,Fleet_1GW_Prod!H45/INDEX(Interface_Prod!$C$31:$Q$31,1,Fleet_1GW!H$7),0)+IF(Fleet_1GW_Prod!H40=1,Fleet_1GW_Prod!H46/INDEX(Interface_Prod!$C$41:$Q$41,1,Fleet_1GW!H$7),0)),"SLO 不可達")</f>
        <v>11872691143.0009</v>
      </c>
      <c r="I19" s="63" t="n">
        <f aca="false">IF(Fleet_1GW_Prod!I18=1,Fleet_1GW!I11*IF_Util/(IF(Fleet_1GW_Prod!I38=1,Fleet_1GW_Prod!I44/INDEX(Interface_Prod!$C$21:$Q$21,1,Fleet_1GW!I$7),0)+IF(Fleet_1GW_Prod!I39=1,Fleet_1GW_Prod!I45/INDEX(Interface_Prod!$C$31:$Q$31,1,Fleet_1GW!I$7),0)+IF(Fleet_1GW_Prod!I40=1,Fleet_1GW_Prod!I46/INDEX(Interface_Prod!$C$41:$Q$41,1,Fleet_1GW!I$7),0)),"SLO 不可達")</f>
        <v>16205800096.4964</v>
      </c>
      <c r="J19" s="63" t="n">
        <f aca="false">IF(Fleet_1GW_Prod!J18=1,Fleet_1GW!J11*IF_Util/(IF(Fleet_1GW_Prod!J38=1,Fleet_1GW_Prod!J44/INDEX(Interface_Prod!$C$21:$Q$21,1,Fleet_1GW!J$7),0)+IF(Fleet_1GW_Prod!J39=1,Fleet_1GW_Prod!J45/INDEX(Interface_Prod!$C$31:$Q$31,1,Fleet_1GW!J$7),0)+IF(Fleet_1GW_Prod!J40=1,Fleet_1GW_Prod!J46/INDEX(Interface_Prod!$C$41:$Q$41,1,Fleet_1GW!J$7),0)),"SLO 不可達")</f>
        <v>16205800096.4964</v>
      </c>
      <c r="K19" s="63" t="n">
        <f aca="false">IF(Fleet_1GW_Prod!K18=1,Fleet_1GW!K11*IF_Util/(IF(Fleet_1GW_Prod!K38=1,Fleet_1GW_Prod!K44/INDEX(Interface_Prod!$C$21:$Q$21,1,Fleet_1GW!K$7),0)+IF(Fleet_1GW_Prod!K39=1,Fleet_1GW_Prod!K45/INDEX(Interface_Prod!$C$31:$Q$31,1,Fleet_1GW!K$7),0)+IF(Fleet_1GW_Prod!K40=1,Fleet_1GW_Prod!K46/INDEX(Interface_Prod!$C$41:$Q$41,1,Fleet_1GW!K$7),0)),"SLO 不可達")</f>
        <v>16205800096.4964</v>
      </c>
      <c r="L19" s="63" t="n">
        <f aca="false">IF(Fleet_1GW_Prod!L18=1,Fleet_1GW!L11*IF_Util/(IF(Fleet_1GW_Prod!L38=1,Fleet_1GW_Prod!L44/INDEX(Interface_Prod!$C$21:$Q$21,1,Fleet_1GW!L$7),0)+IF(Fleet_1GW_Prod!L39=1,Fleet_1GW_Prod!L45/INDEX(Interface_Prod!$C$31:$Q$31,1,Fleet_1GW!L$7),0)+IF(Fleet_1GW_Prod!L40=1,Fleet_1GW_Prod!L46/INDEX(Interface_Prod!$C$41:$Q$41,1,Fleet_1GW!L$7),0)),"SLO 不可達")</f>
        <v>27110078716.4817</v>
      </c>
      <c r="M19" s="63" t="n">
        <f aca="false">IF(Fleet_1GW_Prod!M18=1,Fleet_1GW!M11*IF_Util/(IF(Fleet_1GW_Prod!M38=1,Fleet_1GW_Prod!M44/INDEX(Interface_Prod!$C$21:$Q$21,1,Fleet_1GW!M$7),0)+IF(Fleet_1GW_Prod!M39=1,Fleet_1GW_Prod!M45/INDEX(Interface_Prod!$C$31:$Q$31,1,Fleet_1GW!M$7),0)+IF(Fleet_1GW_Prod!M40=1,Fleet_1GW_Prod!M46/INDEX(Interface_Prod!$C$41:$Q$41,1,Fleet_1GW!M$7),0)),"SLO 不可達")</f>
        <v>27110078716.4817</v>
      </c>
      <c r="N19" s="63" t="n">
        <f aca="false">IF(Fleet_1GW_Prod!N18=1,Fleet_1GW!N11*IF_Util/(IF(Fleet_1GW_Prod!N38=1,Fleet_1GW_Prod!N44/INDEX(Interface_Prod!$C$21:$Q$21,1,Fleet_1GW!N$7),0)+IF(Fleet_1GW_Prod!N39=1,Fleet_1GW_Prod!N45/INDEX(Interface_Prod!$C$31:$Q$31,1,Fleet_1GW!N$7),0)+IF(Fleet_1GW_Prod!N40=1,Fleet_1GW_Prod!N46/INDEX(Interface_Prod!$C$41:$Q$41,1,Fleet_1GW!N$7),0)),"SLO 不可達")</f>
        <v>27110078716.4817</v>
      </c>
      <c r="O19" s="63" t="n">
        <f aca="false">IF(Fleet_1GW_Prod!O18=1,Fleet_1GW!O11*IF_Util/(IF(Fleet_1GW_Prod!O38=1,Fleet_1GW_Prod!O44/INDEX(Interface_Prod!$C$21:$Q$21,1,Fleet_1GW!O$7),0)+IF(Fleet_1GW_Prod!O39=1,Fleet_1GW_Prod!O45/INDEX(Interface_Prod!$C$31:$Q$31,1,Fleet_1GW!O$7),0)+IF(Fleet_1GW_Prod!O40=1,Fleet_1GW_Prod!O46/INDEX(Interface_Prod!$C$41:$Q$41,1,Fleet_1GW!O$7),0)),"SLO 不可達")</f>
        <v>37776976910.437</v>
      </c>
      <c r="P19" s="63" t="n">
        <f aca="false">IF(Fleet_1GW_Prod!P18=1,Fleet_1GW!P11*IF_Util/(IF(Fleet_1GW_Prod!P38=1,Fleet_1GW_Prod!P44/INDEX(Interface_Prod!$C$21:$Q$21,1,Fleet_1GW!P$7),0)+IF(Fleet_1GW_Prod!P39=1,Fleet_1GW_Prod!P45/INDEX(Interface_Prod!$C$31:$Q$31,1,Fleet_1GW!P$7),0)+IF(Fleet_1GW_Prod!P40=1,Fleet_1GW_Prod!P46/INDEX(Interface_Prod!$C$41:$Q$41,1,Fleet_1GW!P$7),0)),"SLO 不可達")</f>
        <v>37776976910.437</v>
      </c>
      <c r="Q19" s="63" t="n">
        <f aca="false">IF(Fleet_1GW_Prod!Q18=1,Fleet_1GW!Q11*IF_Util/(IF(Fleet_1GW_Prod!Q38=1,Fleet_1GW_Prod!Q44/INDEX(Interface_Prod!$C$21:$Q$21,1,Fleet_1GW!Q$7),0)+IF(Fleet_1GW_Prod!Q39=1,Fleet_1GW_Prod!Q45/INDEX(Interface_Prod!$C$31:$Q$31,1,Fleet_1GW!Q$7),0)+IF(Fleet_1GW_Prod!Q40=1,Fleet_1GW_Prod!Q46/INDEX(Interface_Prod!$C$41:$Q$41,1,Fleet_1GW!Q$7),0)),"SLO 不可達")</f>
        <v>37776976910.437</v>
      </c>
      <c r="S19" s="63" t="n">
        <f aca="false">IF(Fleet_1GW_Prod!S18=1,Fleet_1GW!C11*IF_Util/(IF(Fleet_1GW_Prod!S38=1,Fleet_1GW_Prod!S44/INDEX(Interface_Prod!$S$21:$AG$21,1,Fleet_1GW!C$7),0)+IF(Fleet_1GW_Prod!S39=1,Fleet_1GW_Prod!S45/INDEX(Interface_Prod!$S$31:$AG$31,1,Fleet_1GW!C$7),0)+IF(Fleet_1GW_Prod!S40=1,Fleet_1GW_Prod!S46/INDEX(Interface_Prod!$S$41:$AG$41,1,Fleet_1GW!C$7),0)),"SLO 不可達")</f>
        <v>3408539579.55429</v>
      </c>
      <c r="T19" s="63" t="n">
        <f aca="false">IF(Fleet_1GW_Prod!T18=1,Fleet_1GW!D11*IF_Util/(IF(Fleet_1GW_Prod!T38=1,Fleet_1GW_Prod!T44/INDEX(Interface_Prod!$S$21:$AG$21,1,Fleet_1GW!D$7),0)+IF(Fleet_1GW_Prod!T39=1,Fleet_1GW_Prod!T45/INDEX(Interface_Prod!$S$31:$AG$31,1,Fleet_1GW!D$7),0)+IF(Fleet_1GW_Prod!T40=1,Fleet_1GW_Prod!T46/INDEX(Interface_Prod!$S$41:$AG$41,1,Fleet_1GW!D$7),0)),"SLO 不可達")</f>
        <v>3408539579.55429</v>
      </c>
      <c r="U19" s="63" t="n">
        <f aca="false">IF(Fleet_1GW_Prod!U18=1,Fleet_1GW!E11*IF_Util/(IF(Fleet_1GW_Prod!U38=1,Fleet_1GW_Prod!U44/INDEX(Interface_Prod!$S$21:$AG$21,1,Fleet_1GW!E$7),0)+IF(Fleet_1GW_Prod!U39=1,Fleet_1GW_Prod!U45/INDEX(Interface_Prod!$S$31:$AG$31,1,Fleet_1GW!E$7),0)+IF(Fleet_1GW_Prod!U40=1,Fleet_1GW_Prod!U46/INDEX(Interface_Prod!$S$41:$AG$41,1,Fleet_1GW!E$7),0)),"SLO 不可達")</f>
        <v>3408539579.55429</v>
      </c>
      <c r="V19" s="63" t="n">
        <f aca="false">IF(Fleet_1GW_Prod!V18=1,Fleet_1GW!F11*IF_Util/(IF(Fleet_1GW_Prod!V38=1,Fleet_1GW_Prod!V44/INDEX(Interface_Prod!$S$21:$AG$21,1,Fleet_1GW!F$7),0)+IF(Fleet_1GW_Prod!V39=1,Fleet_1GW_Prod!V45/INDEX(Interface_Prod!$S$31:$AG$31,1,Fleet_1GW!F$7),0)+IF(Fleet_1GW_Prod!V40=1,Fleet_1GW_Prod!V46/INDEX(Interface_Prod!$S$41:$AG$41,1,Fleet_1GW!F$7),0)),"SLO 不可達")</f>
        <v>14876177679.3826</v>
      </c>
      <c r="W19" s="63" t="n">
        <f aca="false">IF(Fleet_1GW_Prod!W18=1,Fleet_1GW!G11*IF_Util/(IF(Fleet_1GW_Prod!W38=1,Fleet_1GW_Prod!W44/INDEX(Interface_Prod!$S$21:$AG$21,1,Fleet_1GW!G$7),0)+IF(Fleet_1GW_Prod!W39=1,Fleet_1GW_Prod!W45/INDEX(Interface_Prod!$S$31:$AG$31,1,Fleet_1GW!G$7),0)+IF(Fleet_1GW_Prod!W40=1,Fleet_1GW_Prod!W46/INDEX(Interface_Prod!$S$41:$AG$41,1,Fleet_1GW!G$7),0)),"SLO 不可達")</f>
        <v>14876177679.3826</v>
      </c>
      <c r="X19" s="63" t="n">
        <f aca="false">IF(Fleet_1GW_Prod!X18=1,Fleet_1GW!H11*IF_Util/(IF(Fleet_1GW_Prod!X38=1,Fleet_1GW_Prod!X44/INDEX(Interface_Prod!$S$21:$AG$21,1,Fleet_1GW!H$7),0)+IF(Fleet_1GW_Prod!X39=1,Fleet_1GW_Prod!X45/INDEX(Interface_Prod!$S$31:$AG$31,1,Fleet_1GW!H$7),0)+IF(Fleet_1GW_Prod!X40=1,Fleet_1GW_Prod!X46/INDEX(Interface_Prod!$S$41:$AG$41,1,Fleet_1GW!H$7),0)),"SLO 不可達")</f>
        <v>14876177679.3826</v>
      </c>
      <c r="Y19" s="63" t="n">
        <f aca="false">IF(Fleet_1GW_Prod!Y18=1,Fleet_1GW!I11*IF_Util/(IF(Fleet_1GW_Prod!Y38=1,Fleet_1GW_Prod!Y44/INDEX(Interface_Prod!$S$21:$AG$21,1,Fleet_1GW!I$7),0)+IF(Fleet_1GW_Prod!Y39=1,Fleet_1GW_Prod!Y45/INDEX(Interface_Prod!$S$31:$AG$31,1,Fleet_1GW!I$7),0)+IF(Fleet_1GW_Prod!Y40=1,Fleet_1GW_Prod!Y46/INDEX(Interface_Prod!$S$41:$AG$41,1,Fleet_1GW!I$7),0)),"SLO 不可達")</f>
        <v>20457981993.5727</v>
      </c>
      <c r="Z19" s="63" t="n">
        <f aca="false">IF(Fleet_1GW_Prod!Z18=1,Fleet_1GW!J11*IF_Util/(IF(Fleet_1GW_Prod!Z38=1,Fleet_1GW_Prod!Z44/INDEX(Interface_Prod!$S$21:$AG$21,1,Fleet_1GW!J$7),0)+IF(Fleet_1GW_Prod!Z39=1,Fleet_1GW_Prod!Z45/INDEX(Interface_Prod!$S$31:$AG$31,1,Fleet_1GW!J$7),0)+IF(Fleet_1GW_Prod!Z40=1,Fleet_1GW_Prod!Z46/INDEX(Interface_Prod!$S$41:$AG$41,1,Fleet_1GW!J$7),0)),"SLO 不可達")</f>
        <v>20457981993.5727</v>
      </c>
      <c r="AA19" s="63" t="n">
        <f aca="false">IF(Fleet_1GW_Prod!AA18=1,Fleet_1GW!K11*IF_Util/(IF(Fleet_1GW_Prod!AA38=1,Fleet_1GW_Prod!AA44/INDEX(Interface_Prod!$S$21:$AG$21,1,Fleet_1GW!K$7),0)+IF(Fleet_1GW_Prod!AA39=1,Fleet_1GW_Prod!AA45/INDEX(Interface_Prod!$S$31:$AG$31,1,Fleet_1GW!K$7),0)+IF(Fleet_1GW_Prod!AA40=1,Fleet_1GW_Prod!AA46/INDEX(Interface_Prod!$S$41:$AG$41,1,Fleet_1GW!K$7),0)),"SLO 不可達")</f>
        <v>20457981993.5727</v>
      </c>
      <c r="AB19" s="63" t="n">
        <f aca="false">IF(Fleet_1GW_Prod!AB18=1,Fleet_1GW!L11*IF_Util/(IF(Fleet_1GW_Prod!AB38=1,Fleet_1GW_Prod!AB44/INDEX(Interface_Prod!$S$21:$AG$21,1,Fleet_1GW!L$7),0)+IF(Fleet_1GW_Prod!AB39=1,Fleet_1GW_Prod!AB45/INDEX(Interface_Prod!$S$31:$AG$31,1,Fleet_1GW!L$7),0)+IF(Fleet_1GW_Prod!AB40=1,Fleet_1GW_Prod!AB46/INDEX(Interface_Prod!$S$41:$AG$41,1,Fleet_1GW!L$7),0)),"SLO 不可達")</f>
        <v>33642913938.6076</v>
      </c>
      <c r="AC19" s="63" t="n">
        <f aca="false">IF(Fleet_1GW_Prod!AC18=1,Fleet_1GW!M11*IF_Util/(IF(Fleet_1GW_Prod!AC38=1,Fleet_1GW_Prod!AC44/INDEX(Interface_Prod!$S$21:$AG$21,1,Fleet_1GW!M$7),0)+IF(Fleet_1GW_Prod!AC39=1,Fleet_1GW_Prod!AC45/INDEX(Interface_Prod!$S$31:$AG$31,1,Fleet_1GW!M$7),0)+IF(Fleet_1GW_Prod!AC40=1,Fleet_1GW_Prod!AC46/INDEX(Interface_Prod!$S$41:$AG$41,1,Fleet_1GW!M$7),0)),"SLO 不可達")</f>
        <v>33642913938.6076</v>
      </c>
      <c r="AD19" s="63" t="n">
        <f aca="false">IF(Fleet_1GW_Prod!AD18=1,Fleet_1GW!N11*IF_Util/(IF(Fleet_1GW_Prod!AD38=1,Fleet_1GW_Prod!AD44/INDEX(Interface_Prod!$S$21:$AG$21,1,Fleet_1GW!N$7),0)+IF(Fleet_1GW_Prod!AD39=1,Fleet_1GW_Prod!AD45/INDEX(Interface_Prod!$S$31:$AG$31,1,Fleet_1GW!N$7),0)+IF(Fleet_1GW_Prod!AD40=1,Fleet_1GW_Prod!AD46/INDEX(Interface_Prod!$S$41:$AG$41,1,Fleet_1GW!N$7),0)),"SLO 不可達")</f>
        <v>33642913938.6076</v>
      </c>
      <c r="AE19" s="63" t="n">
        <f aca="false">IF(Fleet_1GW_Prod!AE18=1,Fleet_1GW!O11*IF_Util/(IF(Fleet_1GW_Prod!AE38=1,Fleet_1GW_Prod!AE44/INDEX(Interface_Prod!$S$21:$AG$21,1,Fleet_1GW!O$7),0)+IF(Fleet_1GW_Prod!AE39=1,Fleet_1GW_Prod!AE45/INDEX(Interface_Prod!$S$31:$AG$31,1,Fleet_1GW!O$7),0)+IF(Fleet_1GW_Prod!AE40=1,Fleet_1GW_Prod!AE46/INDEX(Interface_Prod!$S$41:$AG$41,1,Fleet_1GW!O$7),0)),"SLO 不可達")</f>
        <v>46721206278.4315</v>
      </c>
      <c r="AF19" s="63" t="n">
        <f aca="false">IF(Fleet_1GW_Prod!AF18=1,Fleet_1GW!P11*IF_Util/(IF(Fleet_1GW_Prod!AF38=1,Fleet_1GW_Prod!AF44/INDEX(Interface_Prod!$S$21:$AG$21,1,Fleet_1GW!P$7),0)+IF(Fleet_1GW_Prod!AF39=1,Fleet_1GW_Prod!AF45/INDEX(Interface_Prod!$S$31:$AG$31,1,Fleet_1GW!P$7),0)+IF(Fleet_1GW_Prod!AF40=1,Fleet_1GW_Prod!AF46/INDEX(Interface_Prod!$S$41:$AG$41,1,Fleet_1GW!P$7),0)),"SLO 不可達")</f>
        <v>46721206278.4315</v>
      </c>
      <c r="AG19" s="63" t="n">
        <f aca="false">IF(Fleet_1GW_Prod!AG18=1,Fleet_1GW!Q11*IF_Util/(IF(Fleet_1GW_Prod!AG38=1,Fleet_1GW_Prod!AG44/INDEX(Interface_Prod!$S$21:$AG$21,1,Fleet_1GW!Q$7),0)+IF(Fleet_1GW_Prod!AG39=1,Fleet_1GW_Prod!AG45/INDEX(Interface_Prod!$S$31:$AG$31,1,Fleet_1GW!Q$7),0)+IF(Fleet_1GW_Prod!AG40=1,Fleet_1GW_Prod!AG46/INDEX(Interface_Prod!$S$41:$AG$41,1,Fleet_1GW!Q$7),0)),"SLO 不可達")</f>
        <v>46721206278.4315</v>
      </c>
    </row>
    <row r="21" customFormat="false" ht="15" hidden="false" customHeight="false" outlineLevel="0" collapsed="false">
      <c r="A21" s="62" t="s">
        <v>1983</v>
      </c>
      <c r="B21" s="59" t="s">
        <v>2724</v>
      </c>
      <c r="C21" s="63" t="n">
        <f aca="false">IF(AND(Fleet_1GW_Prod!C18=1,Fleet_1GW_Prod!C38=1),Fleet_1GW_Prod!C19*Fleet_1GW_Prod!C44,"SLO 不可達")</f>
        <v>1023828659.37178</v>
      </c>
      <c r="D21" s="63" t="n">
        <f aca="false">IF(AND(Fleet_1GW_Prod!D18=1,Fleet_1GW_Prod!D38=1),Fleet_1GW_Prod!D19*Fleet_1GW_Prod!D44,"SLO 不可達")</f>
        <v>1023828659.37178</v>
      </c>
      <c r="E21" s="63" t="n">
        <f aca="false">IF(AND(Fleet_1GW_Prod!E18=1,Fleet_1GW_Prod!E38=1),Fleet_1GW_Prod!E19*Fleet_1GW_Prod!E44,"SLO 不可達")</f>
        <v>1023828659.37178</v>
      </c>
      <c r="F21" s="63" t="n">
        <f aca="false">IF(AND(Fleet_1GW_Prod!F18=1,Fleet_1GW_Prod!F38=1),Fleet_1GW_Prod!F19*Fleet_1GW_Prod!F44,"SLO 不可達")</f>
        <v>4749076457.20035</v>
      </c>
      <c r="G21" s="63" t="n">
        <f aca="false">IF(AND(Fleet_1GW_Prod!G18=1,Fleet_1GW_Prod!G38=1),Fleet_1GW_Prod!G19*Fleet_1GW_Prod!G44,"SLO 不可達")</f>
        <v>4749076457.20035</v>
      </c>
      <c r="H21" s="63" t="n">
        <f aca="false">IF(AND(Fleet_1GW_Prod!H18=1,Fleet_1GW_Prod!H38=1),Fleet_1GW_Prod!H19*Fleet_1GW_Prod!H44,"SLO 不可達")</f>
        <v>4749076457.20035</v>
      </c>
      <c r="I21" s="63" t="n">
        <f aca="false">IF(AND(Fleet_1GW_Prod!I18=1,Fleet_1GW_Prod!I38=1),Fleet_1GW_Prod!I19*Fleet_1GW_Prod!I44,"SLO 不可達")</f>
        <v>6482320038.59857</v>
      </c>
      <c r="J21" s="63" t="n">
        <f aca="false">IF(AND(Fleet_1GW_Prod!J18=1,Fleet_1GW_Prod!J38=1),Fleet_1GW_Prod!J19*Fleet_1GW_Prod!J44,"SLO 不可達")</f>
        <v>6482320038.59857</v>
      </c>
      <c r="K21" s="63" t="n">
        <f aca="false">IF(AND(Fleet_1GW_Prod!K18=1,Fleet_1GW_Prod!K38=1),Fleet_1GW_Prod!K19*Fleet_1GW_Prod!K44,"SLO 不可達")</f>
        <v>6482320038.59857</v>
      </c>
      <c r="L21" s="63" t="n">
        <f aca="false">IF(AND(Fleet_1GW_Prod!L18=1,Fleet_1GW_Prod!L38=1),Fleet_1GW_Prod!L19*Fleet_1GW_Prod!L44,"SLO 不可達")</f>
        <v>10844031486.5927</v>
      </c>
      <c r="M21" s="63" t="n">
        <f aca="false">IF(AND(Fleet_1GW_Prod!M18=1,Fleet_1GW_Prod!M38=1),Fleet_1GW_Prod!M19*Fleet_1GW_Prod!M44,"SLO 不可達")</f>
        <v>10844031486.5927</v>
      </c>
      <c r="N21" s="63" t="n">
        <f aca="false">IF(AND(Fleet_1GW_Prod!N18=1,Fleet_1GW_Prod!N38=1),Fleet_1GW_Prod!N19*Fleet_1GW_Prod!N44,"SLO 不可達")</f>
        <v>10844031486.5927</v>
      </c>
      <c r="O21" s="63" t="n">
        <f aca="false">IF(AND(Fleet_1GW_Prod!O18=1,Fleet_1GW_Prod!O38=1),Fleet_1GW_Prod!O19*Fleet_1GW_Prod!O44,"SLO 不可達")</f>
        <v>15110790764.1748</v>
      </c>
      <c r="P21" s="63" t="n">
        <f aca="false">IF(AND(Fleet_1GW_Prod!P18=1,Fleet_1GW_Prod!P38=1),Fleet_1GW_Prod!P19*Fleet_1GW_Prod!P44,"SLO 不可達")</f>
        <v>15110790764.1748</v>
      </c>
      <c r="Q21" s="63" t="n">
        <f aca="false">IF(AND(Fleet_1GW_Prod!Q18=1,Fleet_1GW_Prod!Q38=1),Fleet_1GW_Prod!Q19*Fleet_1GW_Prod!Q44,"SLO 不可達")</f>
        <v>15110790764.1748</v>
      </c>
      <c r="S21" s="63" t="n">
        <f aca="false">IF(AND(Fleet_1GW_Prod!S18=1,Fleet_1GW_Prod!S38=1),Fleet_1GW_Prod!S19*Fleet_1GW_Prod!S44,"SLO 不可達")</f>
        <v>1363415831.82172</v>
      </c>
      <c r="T21" s="63" t="n">
        <f aca="false">IF(AND(Fleet_1GW_Prod!T18=1,Fleet_1GW_Prod!T38=1),Fleet_1GW_Prod!T19*Fleet_1GW_Prod!T44,"SLO 不可達")</f>
        <v>1363415831.82172</v>
      </c>
      <c r="U21" s="63" t="n">
        <f aca="false">IF(AND(Fleet_1GW_Prod!U18=1,Fleet_1GW_Prod!U38=1),Fleet_1GW_Prod!U19*Fleet_1GW_Prod!U44,"SLO 不可達")</f>
        <v>1363415831.82172</v>
      </c>
      <c r="V21" s="63" t="n">
        <f aca="false">IF(AND(Fleet_1GW_Prod!V18=1,Fleet_1GW_Prod!V38=1),Fleet_1GW_Prod!V19*Fleet_1GW_Prod!V44,"SLO 不可達")</f>
        <v>5950471071.75304</v>
      </c>
      <c r="W21" s="63" t="n">
        <f aca="false">IF(AND(Fleet_1GW_Prod!W18=1,Fleet_1GW_Prod!W38=1),Fleet_1GW_Prod!W19*Fleet_1GW_Prod!W44,"SLO 不可達")</f>
        <v>5950471071.75304</v>
      </c>
      <c r="X21" s="63" t="n">
        <f aca="false">IF(AND(Fleet_1GW_Prod!X18=1,Fleet_1GW_Prod!X38=1),Fleet_1GW_Prod!X19*Fleet_1GW_Prod!X44,"SLO 不可達")</f>
        <v>5950471071.75304</v>
      </c>
      <c r="Y21" s="63" t="n">
        <f aca="false">IF(AND(Fleet_1GW_Prod!Y18=1,Fleet_1GW_Prod!Y38=1),Fleet_1GW_Prod!Y19*Fleet_1GW_Prod!Y44,"SLO 不可達")</f>
        <v>8183192797.42907</v>
      </c>
      <c r="Z21" s="63" t="n">
        <f aca="false">IF(AND(Fleet_1GW_Prod!Z18=1,Fleet_1GW_Prod!Z38=1),Fleet_1GW_Prod!Z19*Fleet_1GW_Prod!Z44,"SLO 不可達")</f>
        <v>8183192797.42907</v>
      </c>
      <c r="AA21" s="63" t="n">
        <f aca="false">IF(AND(Fleet_1GW_Prod!AA18=1,Fleet_1GW_Prod!AA38=1),Fleet_1GW_Prod!AA19*Fleet_1GW_Prod!AA44,"SLO 不可達")</f>
        <v>8183192797.42907</v>
      </c>
      <c r="AB21" s="63" t="n">
        <f aca="false">IF(AND(Fleet_1GW_Prod!AB18=1,Fleet_1GW_Prod!AB38=1),Fleet_1GW_Prod!AB19*Fleet_1GW_Prod!AB44,"SLO 不可達")</f>
        <v>13457165575.443</v>
      </c>
      <c r="AC21" s="63" t="n">
        <f aca="false">IF(AND(Fleet_1GW_Prod!AC18=1,Fleet_1GW_Prod!AC38=1),Fleet_1GW_Prod!AC19*Fleet_1GW_Prod!AC44,"SLO 不可達")</f>
        <v>13457165575.443</v>
      </c>
      <c r="AD21" s="63" t="n">
        <f aca="false">IF(AND(Fleet_1GW_Prod!AD18=1,Fleet_1GW_Prod!AD38=1),Fleet_1GW_Prod!AD19*Fleet_1GW_Prod!AD44,"SLO 不可達")</f>
        <v>13457165575.443</v>
      </c>
      <c r="AE21" s="63" t="n">
        <f aca="false">IF(AND(Fleet_1GW_Prod!AE18=1,Fleet_1GW_Prod!AE38=1),Fleet_1GW_Prod!AE19*Fleet_1GW_Prod!AE44,"SLO 不可達")</f>
        <v>18688482511.3726</v>
      </c>
      <c r="AF21" s="63" t="n">
        <f aca="false">IF(AND(Fleet_1GW_Prod!AF18=1,Fleet_1GW_Prod!AF38=1),Fleet_1GW_Prod!AF19*Fleet_1GW_Prod!AF44,"SLO 不可達")</f>
        <v>18688482511.3726</v>
      </c>
      <c r="AG21" s="63" t="n">
        <f aca="false">IF(AND(Fleet_1GW_Prod!AG18=1,Fleet_1GW_Prod!AG38=1),Fleet_1GW_Prod!AG19*Fleet_1GW_Prod!AG44,"SLO 不可達")</f>
        <v>18688482511.3726</v>
      </c>
    </row>
    <row r="24" customFormat="false" ht="15" hidden="false" customHeight="false" outlineLevel="0" collapsed="false">
      <c r="A24" s="62" t="s">
        <v>1987</v>
      </c>
      <c r="B24" s="59" t="s">
        <v>2724</v>
      </c>
      <c r="C24" s="63" t="n">
        <f aca="false">IF(AND(Fleet_1GW_Prod!C18=1,Fleet_1GW_Prod!C39=1),Fleet_1GW_Prod!C19*Fleet_1GW_Prod!C45,"SLO 不可達")</f>
        <v>1151807241.79326</v>
      </c>
      <c r="D24" s="63" t="n">
        <f aca="false">IF(AND(Fleet_1GW_Prod!D18=1,Fleet_1GW_Prod!D39=1),Fleet_1GW_Prod!D19*Fleet_1GW_Prod!D45,"SLO 不可達")</f>
        <v>1151807241.79326</v>
      </c>
      <c r="E24" s="63" t="n">
        <f aca="false">IF(AND(Fleet_1GW_Prod!E18=1,Fleet_1GW_Prod!E39=1),Fleet_1GW_Prod!E19*Fleet_1GW_Prod!E45,"SLO 不可達")</f>
        <v>1151807241.79326</v>
      </c>
      <c r="F24" s="63" t="n">
        <f aca="false">IF(AND(Fleet_1GW_Prod!F18=1,Fleet_1GW_Prod!F39=1),Fleet_1GW_Prod!F19*Fleet_1GW_Prod!F45,"SLO 不可達")</f>
        <v>5342711014.35039</v>
      </c>
      <c r="G24" s="63" t="n">
        <f aca="false">IF(AND(Fleet_1GW_Prod!G18=1,Fleet_1GW_Prod!G39=1),Fleet_1GW_Prod!G19*Fleet_1GW_Prod!G45,"SLO 不可達")</f>
        <v>5342711014.35039</v>
      </c>
      <c r="H24" s="63" t="n">
        <f aca="false">IF(AND(Fleet_1GW_Prod!H18=1,Fleet_1GW_Prod!H39=1),Fleet_1GW_Prod!H19*Fleet_1GW_Prod!H45,"SLO 不可達")</f>
        <v>5342711014.35039</v>
      </c>
      <c r="I24" s="63" t="n">
        <f aca="false">IF(AND(Fleet_1GW_Prod!I18=1,Fleet_1GW_Prod!I39=1),Fleet_1GW_Prod!I19*Fleet_1GW_Prod!I45,"SLO 不可達")</f>
        <v>7292610043.42339</v>
      </c>
      <c r="J24" s="63" t="n">
        <f aca="false">IF(AND(Fleet_1GW_Prod!J18=1,Fleet_1GW_Prod!J39=1),Fleet_1GW_Prod!J19*Fleet_1GW_Prod!J45,"SLO 不可達")</f>
        <v>7292610043.42339</v>
      </c>
      <c r="K24" s="63" t="n">
        <f aca="false">IF(AND(Fleet_1GW_Prod!K18=1,Fleet_1GW_Prod!K39=1),Fleet_1GW_Prod!K19*Fleet_1GW_Prod!K45,"SLO 不可達")</f>
        <v>7292610043.42339</v>
      </c>
      <c r="L24" s="63" t="n">
        <f aca="false">IF(AND(Fleet_1GW_Prod!L18=1,Fleet_1GW_Prod!L39=1),Fleet_1GW_Prod!L19*Fleet_1GW_Prod!L45,"SLO 不可達")</f>
        <v>12199535422.4168</v>
      </c>
      <c r="M24" s="63" t="n">
        <f aca="false">IF(AND(Fleet_1GW_Prod!M18=1,Fleet_1GW_Prod!M39=1),Fleet_1GW_Prod!M19*Fleet_1GW_Prod!M45,"SLO 不可達")</f>
        <v>12199535422.4168</v>
      </c>
      <c r="N24" s="63" t="n">
        <f aca="false">IF(AND(Fleet_1GW_Prod!N18=1,Fleet_1GW_Prod!N39=1),Fleet_1GW_Prod!N19*Fleet_1GW_Prod!N45,"SLO 不可達")</f>
        <v>12199535422.4168</v>
      </c>
      <c r="O24" s="63" t="n">
        <f aca="false">IF(AND(Fleet_1GW_Prod!O18=1,Fleet_1GW_Prod!O39=1),Fleet_1GW_Prod!O19*Fleet_1GW_Prod!O45,"SLO 不可達")</f>
        <v>16999639609.6966</v>
      </c>
      <c r="P24" s="63" t="n">
        <f aca="false">IF(AND(Fleet_1GW_Prod!P18=1,Fleet_1GW_Prod!P39=1),Fleet_1GW_Prod!P19*Fleet_1GW_Prod!P45,"SLO 不可達")</f>
        <v>16999639609.6966</v>
      </c>
      <c r="Q24" s="63" t="n">
        <f aca="false">IF(AND(Fleet_1GW_Prod!Q18=1,Fleet_1GW_Prod!Q39=1),Fleet_1GW_Prod!Q19*Fleet_1GW_Prod!Q45,"SLO 不可達")</f>
        <v>16999639609.6966</v>
      </c>
      <c r="S24" s="63" t="n">
        <f aca="false">IF(AND(Fleet_1GW_Prod!S18=1,Fleet_1GW_Prod!S39=1),Fleet_1GW_Prod!S19*Fleet_1GW_Prod!S45,"SLO 不可達")</f>
        <v>1533842810.79943</v>
      </c>
      <c r="T24" s="63" t="n">
        <f aca="false">IF(AND(Fleet_1GW_Prod!T18=1,Fleet_1GW_Prod!T39=1),Fleet_1GW_Prod!T19*Fleet_1GW_Prod!T45,"SLO 不可達")</f>
        <v>1533842810.79943</v>
      </c>
      <c r="U24" s="63" t="n">
        <f aca="false">IF(AND(Fleet_1GW_Prod!U18=1,Fleet_1GW_Prod!U39=1),Fleet_1GW_Prod!U19*Fleet_1GW_Prod!U45,"SLO 不可達")</f>
        <v>1533842810.79943</v>
      </c>
      <c r="V24" s="63" t="n">
        <f aca="false">IF(AND(Fleet_1GW_Prod!V18=1,Fleet_1GW_Prod!V39=1),Fleet_1GW_Prod!V19*Fleet_1GW_Prod!V45,"SLO 不可達")</f>
        <v>6694279955.72217</v>
      </c>
      <c r="W24" s="63" t="n">
        <f aca="false">IF(AND(Fleet_1GW_Prod!W18=1,Fleet_1GW_Prod!W39=1),Fleet_1GW_Prod!W19*Fleet_1GW_Prod!W45,"SLO 不可達")</f>
        <v>6694279955.72217</v>
      </c>
      <c r="X24" s="63" t="n">
        <f aca="false">IF(AND(Fleet_1GW_Prod!X18=1,Fleet_1GW_Prod!X39=1),Fleet_1GW_Prod!X19*Fleet_1GW_Prod!X45,"SLO 不可達")</f>
        <v>6694279955.72217</v>
      </c>
      <c r="Y24" s="63" t="n">
        <f aca="false">IF(AND(Fleet_1GW_Prod!Y18=1,Fleet_1GW_Prod!Y39=1),Fleet_1GW_Prod!Y19*Fleet_1GW_Prod!Y45,"SLO 不可達")</f>
        <v>9206091897.1077</v>
      </c>
      <c r="Z24" s="63" t="n">
        <f aca="false">IF(AND(Fleet_1GW_Prod!Z18=1,Fleet_1GW_Prod!Z39=1),Fleet_1GW_Prod!Z19*Fleet_1GW_Prod!Z45,"SLO 不可達")</f>
        <v>9206091897.1077</v>
      </c>
      <c r="AA24" s="63" t="n">
        <f aca="false">IF(AND(Fleet_1GW_Prod!AA18=1,Fleet_1GW_Prod!AA39=1),Fleet_1GW_Prod!AA19*Fleet_1GW_Prod!AA45,"SLO 不可達")</f>
        <v>9206091897.1077</v>
      </c>
      <c r="AB24" s="63" t="n">
        <f aca="false">IF(AND(Fleet_1GW_Prod!AB18=1,Fleet_1GW_Prod!AB39=1),Fleet_1GW_Prod!AB19*Fleet_1GW_Prod!AB45,"SLO 不可達")</f>
        <v>15139311272.3734</v>
      </c>
      <c r="AC24" s="63" t="n">
        <f aca="false">IF(AND(Fleet_1GW_Prod!AC18=1,Fleet_1GW_Prod!AC39=1),Fleet_1GW_Prod!AC19*Fleet_1GW_Prod!AC45,"SLO 不可達")</f>
        <v>15139311272.3734</v>
      </c>
      <c r="AD24" s="63" t="n">
        <f aca="false">IF(AND(Fleet_1GW_Prod!AD18=1,Fleet_1GW_Prod!AD39=1),Fleet_1GW_Prod!AD19*Fleet_1GW_Prod!AD45,"SLO 不可達")</f>
        <v>15139311272.3734</v>
      </c>
      <c r="AE24" s="63" t="n">
        <f aca="false">IF(AND(Fleet_1GW_Prod!AE18=1,Fleet_1GW_Prod!AE39=1),Fleet_1GW_Prod!AE19*Fleet_1GW_Prod!AE45,"SLO 不可達")</f>
        <v>21024542825.2942</v>
      </c>
      <c r="AF24" s="63" t="n">
        <f aca="false">IF(AND(Fleet_1GW_Prod!AF18=1,Fleet_1GW_Prod!AF39=1),Fleet_1GW_Prod!AF19*Fleet_1GW_Prod!AF45,"SLO 不可達")</f>
        <v>21024542825.2942</v>
      </c>
      <c r="AG24" s="63" t="n">
        <f aca="false">IF(AND(Fleet_1GW_Prod!AG18=1,Fleet_1GW_Prod!AG39=1),Fleet_1GW_Prod!AG19*Fleet_1GW_Prod!AG45,"SLO 不可達")</f>
        <v>21024542825.2942</v>
      </c>
    </row>
    <row r="27" customFormat="false" ht="15" hidden="false" customHeight="false" outlineLevel="0" collapsed="false">
      <c r="A27" s="62" t="s">
        <v>1991</v>
      </c>
      <c r="B27" s="59" t="s">
        <v>2724</v>
      </c>
      <c r="C27" s="63" t="n">
        <f aca="false">IF(AND(Fleet_1GW_Prod!C18=1,Fleet_1GW_Prod!C40=1),Fleet_1GW_Prod!C19*Fleet_1GW_Prod!C46,"SLO 不可達")</f>
        <v>383935747.264419</v>
      </c>
      <c r="D27" s="63" t="n">
        <f aca="false">IF(AND(Fleet_1GW_Prod!D18=1,Fleet_1GW_Prod!D40=1),Fleet_1GW_Prod!D19*Fleet_1GW_Prod!D46,"SLO 不可達")</f>
        <v>383935747.264419</v>
      </c>
      <c r="E27" s="63" t="n">
        <f aca="false">IF(AND(Fleet_1GW_Prod!E18=1,Fleet_1GW_Prod!E40=1),Fleet_1GW_Prod!E19*Fleet_1GW_Prod!E46,"SLO 不可達")</f>
        <v>383935747.264419</v>
      </c>
      <c r="F27" s="63" t="n">
        <f aca="false">IF(AND(Fleet_1GW_Prod!F18=1,Fleet_1GW_Prod!F40=1),Fleet_1GW_Prod!F19*Fleet_1GW_Prod!F46,"SLO 不可達")</f>
        <v>1780903671.45013</v>
      </c>
      <c r="G27" s="63" t="n">
        <f aca="false">IF(AND(Fleet_1GW_Prod!G18=1,Fleet_1GW_Prod!G40=1),Fleet_1GW_Prod!G19*Fleet_1GW_Prod!G46,"SLO 不可達")</f>
        <v>1780903671.45013</v>
      </c>
      <c r="H27" s="63" t="n">
        <f aca="false">IF(AND(Fleet_1GW_Prod!H18=1,Fleet_1GW_Prod!H40=1),Fleet_1GW_Prod!H19*Fleet_1GW_Prod!H46,"SLO 不可達")</f>
        <v>1780903671.45013</v>
      </c>
      <c r="I27" s="63" t="n">
        <f aca="false">IF(AND(Fleet_1GW_Prod!I18=1,Fleet_1GW_Prod!I40=1),Fleet_1GW_Prod!I19*Fleet_1GW_Prod!I46,"SLO 不可達")</f>
        <v>2430870014.47446</v>
      </c>
      <c r="J27" s="63" t="n">
        <f aca="false">IF(AND(Fleet_1GW_Prod!J18=1,Fleet_1GW_Prod!J40=1),Fleet_1GW_Prod!J19*Fleet_1GW_Prod!J46,"SLO 不可達")</f>
        <v>2430870014.47446</v>
      </c>
      <c r="K27" s="63" t="n">
        <f aca="false">IF(AND(Fleet_1GW_Prod!K18=1,Fleet_1GW_Prod!K40=1),Fleet_1GW_Prod!K19*Fleet_1GW_Prod!K46,"SLO 不可達")</f>
        <v>2430870014.47446</v>
      </c>
      <c r="L27" s="63" t="n">
        <f aca="false">IF(AND(Fleet_1GW_Prod!L18=1,Fleet_1GW_Prod!L40=1),Fleet_1GW_Prod!L19*Fleet_1GW_Prod!L46,"SLO 不可達")</f>
        <v>4066511807.47225</v>
      </c>
      <c r="M27" s="63" t="n">
        <f aca="false">IF(AND(Fleet_1GW_Prod!M18=1,Fleet_1GW_Prod!M40=1),Fleet_1GW_Prod!M19*Fleet_1GW_Prod!M46,"SLO 不可達")</f>
        <v>4066511807.47225</v>
      </c>
      <c r="N27" s="63" t="n">
        <f aca="false">IF(AND(Fleet_1GW_Prod!N18=1,Fleet_1GW_Prod!N40=1),Fleet_1GW_Prod!N19*Fleet_1GW_Prod!N46,"SLO 不可達")</f>
        <v>4066511807.47225</v>
      </c>
      <c r="O27" s="63" t="n">
        <f aca="false">IF(AND(Fleet_1GW_Prod!O18=1,Fleet_1GW_Prod!O40=1),Fleet_1GW_Prod!O19*Fleet_1GW_Prod!O46,"SLO 不可達")</f>
        <v>5666546536.56554</v>
      </c>
      <c r="P27" s="63" t="n">
        <f aca="false">IF(AND(Fleet_1GW_Prod!P18=1,Fleet_1GW_Prod!P40=1),Fleet_1GW_Prod!P19*Fleet_1GW_Prod!P46,"SLO 不可達")</f>
        <v>5666546536.56554</v>
      </c>
      <c r="Q27" s="63" t="n">
        <f aca="false">IF(AND(Fleet_1GW_Prod!Q18=1,Fleet_1GW_Prod!Q40=1),Fleet_1GW_Prod!Q19*Fleet_1GW_Prod!Q46,"SLO 不可達")</f>
        <v>5666546536.56554</v>
      </c>
      <c r="S27" s="63" t="n">
        <f aca="false">IF(AND(Fleet_1GW_Prod!S18=1,Fleet_1GW_Prod!S40=1),Fleet_1GW_Prod!S19*Fleet_1GW_Prod!S46,"SLO 不可達")</f>
        <v>511280936.933144</v>
      </c>
      <c r="T27" s="63" t="n">
        <f aca="false">IF(AND(Fleet_1GW_Prod!T18=1,Fleet_1GW_Prod!T40=1),Fleet_1GW_Prod!T19*Fleet_1GW_Prod!T46,"SLO 不可達")</f>
        <v>511280936.933144</v>
      </c>
      <c r="U27" s="63" t="n">
        <f aca="false">IF(AND(Fleet_1GW_Prod!U18=1,Fleet_1GW_Prod!U40=1),Fleet_1GW_Prod!U19*Fleet_1GW_Prod!U46,"SLO 不可達")</f>
        <v>511280936.933144</v>
      </c>
      <c r="V27" s="63" t="n">
        <f aca="false">IF(AND(Fleet_1GW_Prod!V18=1,Fleet_1GW_Prod!V40=1),Fleet_1GW_Prod!V19*Fleet_1GW_Prod!V46,"SLO 不可達")</f>
        <v>2231426651.90739</v>
      </c>
      <c r="W27" s="63" t="n">
        <f aca="false">IF(AND(Fleet_1GW_Prod!W18=1,Fleet_1GW_Prod!W40=1),Fleet_1GW_Prod!W19*Fleet_1GW_Prod!W46,"SLO 不可達")</f>
        <v>2231426651.90739</v>
      </c>
      <c r="X27" s="63" t="n">
        <f aca="false">IF(AND(Fleet_1GW_Prod!X18=1,Fleet_1GW_Prod!X40=1),Fleet_1GW_Prod!X19*Fleet_1GW_Prod!X46,"SLO 不可達")</f>
        <v>2231426651.90739</v>
      </c>
      <c r="Y27" s="63" t="n">
        <f aca="false">IF(AND(Fleet_1GW_Prod!Y18=1,Fleet_1GW_Prod!Y40=1),Fleet_1GW_Prod!Y19*Fleet_1GW_Prod!Y46,"SLO 不可達")</f>
        <v>3068697299.0359</v>
      </c>
      <c r="Z27" s="63" t="n">
        <f aca="false">IF(AND(Fleet_1GW_Prod!Z18=1,Fleet_1GW_Prod!Z40=1),Fleet_1GW_Prod!Z19*Fleet_1GW_Prod!Z46,"SLO 不可達")</f>
        <v>3068697299.0359</v>
      </c>
      <c r="AA27" s="63" t="n">
        <f aca="false">IF(AND(Fleet_1GW_Prod!AA18=1,Fleet_1GW_Prod!AA40=1),Fleet_1GW_Prod!AA19*Fleet_1GW_Prod!AA46,"SLO 不可達")</f>
        <v>3068697299.0359</v>
      </c>
      <c r="AB27" s="63" t="n">
        <f aca="false">IF(AND(Fleet_1GW_Prod!AB18=1,Fleet_1GW_Prod!AB40=1),Fleet_1GW_Prod!AB19*Fleet_1GW_Prod!AB46,"SLO 不可達")</f>
        <v>5046437090.79114</v>
      </c>
      <c r="AC27" s="63" t="n">
        <f aca="false">IF(AND(Fleet_1GW_Prod!AC18=1,Fleet_1GW_Prod!AC40=1),Fleet_1GW_Prod!AC19*Fleet_1GW_Prod!AC46,"SLO 不可達")</f>
        <v>5046437090.79114</v>
      </c>
      <c r="AD27" s="63" t="n">
        <f aca="false">IF(AND(Fleet_1GW_Prod!AD18=1,Fleet_1GW_Prod!AD40=1),Fleet_1GW_Prod!AD19*Fleet_1GW_Prod!AD46,"SLO 不可達")</f>
        <v>5046437090.79114</v>
      </c>
      <c r="AE27" s="63" t="n">
        <f aca="false">IF(AND(Fleet_1GW_Prod!AE18=1,Fleet_1GW_Prod!AE40=1),Fleet_1GW_Prod!AE19*Fleet_1GW_Prod!AE46,"SLO 不可達")</f>
        <v>7008180941.76473</v>
      </c>
      <c r="AF27" s="63" t="n">
        <f aca="false">IF(AND(Fleet_1GW_Prod!AF18=1,Fleet_1GW_Prod!AF40=1),Fleet_1GW_Prod!AF19*Fleet_1GW_Prod!AF46,"SLO 不可達")</f>
        <v>7008180941.76473</v>
      </c>
      <c r="AG27" s="63" t="n">
        <f aca="false">IF(AND(Fleet_1GW_Prod!AG18=1,Fleet_1GW_Prod!AG40=1),Fleet_1GW_Prod!AG19*Fleet_1GW_Prod!AG46,"SLO 不可達")</f>
        <v>7008180941.76473</v>
      </c>
    </row>
    <row r="38" customFormat="false" ht="15" hidden="false" customHeight="false" outlineLevel="0" collapsed="false">
      <c r="A38" s="62" t="s">
        <v>2002</v>
      </c>
      <c r="B38" s="74" t="s">
        <v>1980</v>
      </c>
      <c r="C38" s="89" t="n">
        <f aca="false">IF(ISNUMBER(INDEX(Interface_Prod!$C$21:$Q$21,1,Fleet_1GW!C$7)),IF(INDEX(Interface_Prod!$C$21:$Q$21,1,Fleet_1GW!C$7)&gt;0,1,0),0)</f>
        <v>1</v>
      </c>
      <c r="D38" s="89" t="n">
        <f aca="false">IF(ISNUMBER(INDEX(Interface_Prod!$C$21:$Q$21,1,Fleet_1GW!D$7)),IF(INDEX(Interface_Prod!$C$21:$Q$21,1,Fleet_1GW!D$7)&gt;0,1,0),0)</f>
        <v>1</v>
      </c>
      <c r="E38" s="89" t="n">
        <f aca="false">IF(ISNUMBER(INDEX(Interface_Prod!$C$21:$Q$21,1,Fleet_1GW!E$7)),IF(INDEX(Interface_Prod!$C$21:$Q$21,1,Fleet_1GW!E$7)&gt;0,1,0),0)</f>
        <v>1</v>
      </c>
      <c r="F38" s="89" t="n">
        <f aca="false">IF(ISNUMBER(INDEX(Interface_Prod!$C$21:$Q$21,1,Fleet_1GW!F$7)),IF(INDEX(Interface_Prod!$C$21:$Q$21,1,Fleet_1GW!F$7)&gt;0,1,0),0)</f>
        <v>1</v>
      </c>
      <c r="G38" s="89" t="n">
        <f aca="false">IF(ISNUMBER(INDEX(Interface_Prod!$C$21:$Q$21,1,Fleet_1GW!G$7)),IF(INDEX(Interface_Prod!$C$21:$Q$21,1,Fleet_1GW!G$7)&gt;0,1,0),0)</f>
        <v>1</v>
      </c>
      <c r="H38" s="89" t="n">
        <f aca="false">IF(ISNUMBER(INDEX(Interface_Prod!$C$21:$Q$21,1,Fleet_1GW!H$7)),IF(INDEX(Interface_Prod!$C$21:$Q$21,1,Fleet_1GW!H$7)&gt;0,1,0),0)</f>
        <v>1</v>
      </c>
      <c r="I38" s="89" t="n">
        <f aca="false">IF(ISNUMBER(INDEX(Interface_Prod!$C$21:$Q$21,1,Fleet_1GW!I$7)),IF(INDEX(Interface_Prod!$C$21:$Q$21,1,Fleet_1GW!I$7)&gt;0,1,0),0)</f>
        <v>1</v>
      </c>
      <c r="J38" s="89" t="n">
        <f aca="false">IF(ISNUMBER(INDEX(Interface_Prod!$C$21:$Q$21,1,Fleet_1GW!J$7)),IF(INDEX(Interface_Prod!$C$21:$Q$21,1,Fleet_1GW!J$7)&gt;0,1,0),0)</f>
        <v>1</v>
      </c>
      <c r="K38" s="89" t="n">
        <f aca="false">IF(ISNUMBER(INDEX(Interface_Prod!$C$21:$Q$21,1,Fleet_1GW!K$7)),IF(INDEX(Interface_Prod!$C$21:$Q$21,1,Fleet_1GW!K$7)&gt;0,1,0),0)</f>
        <v>1</v>
      </c>
      <c r="L38" s="89" t="n">
        <f aca="false">IF(ISNUMBER(INDEX(Interface_Prod!$C$21:$Q$21,1,Fleet_1GW!L$7)),IF(INDEX(Interface_Prod!$C$21:$Q$21,1,Fleet_1GW!L$7)&gt;0,1,0),0)</f>
        <v>1</v>
      </c>
      <c r="M38" s="89" t="n">
        <f aca="false">IF(ISNUMBER(INDEX(Interface_Prod!$C$21:$Q$21,1,Fleet_1GW!M$7)),IF(INDEX(Interface_Prod!$C$21:$Q$21,1,Fleet_1GW!M$7)&gt;0,1,0),0)</f>
        <v>1</v>
      </c>
      <c r="N38" s="89" t="n">
        <f aca="false">IF(ISNUMBER(INDEX(Interface_Prod!$C$21:$Q$21,1,Fleet_1GW!N$7)),IF(INDEX(Interface_Prod!$C$21:$Q$21,1,Fleet_1GW!N$7)&gt;0,1,0),0)</f>
        <v>1</v>
      </c>
      <c r="O38" s="89" t="n">
        <f aca="false">IF(ISNUMBER(INDEX(Interface_Prod!$C$21:$Q$21,1,Fleet_1GW!O$7)),IF(INDEX(Interface_Prod!$C$21:$Q$21,1,Fleet_1GW!O$7)&gt;0,1,0),0)</f>
        <v>1</v>
      </c>
      <c r="P38" s="89" t="n">
        <f aca="false">IF(ISNUMBER(INDEX(Interface_Prod!$C$21:$Q$21,1,Fleet_1GW!P$7)),IF(INDEX(Interface_Prod!$C$21:$Q$21,1,Fleet_1GW!P$7)&gt;0,1,0),0)</f>
        <v>1</v>
      </c>
      <c r="Q38" s="89" t="n">
        <f aca="false">IF(ISNUMBER(INDEX(Interface_Prod!$C$21:$Q$21,1,Fleet_1GW!Q$7)),IF(INDEX(Interface_Prod!$C$21:$Q$21,1,Fleet_1GW!Q$7)&gt;0,1,0),0)</f>
        <v>1</v>
      </c>
      <c r="S38" s="89" t="n">
        <f aca="false">IF(ISNUMBER(INDEX(Interface_Prod!$S$21:$AG$21,1,Fleet_1GW!C$7)),IF(INDEX(Interface_Prod!$S$21:$AG$21,1,Fleet_1GW!C$7)&gt;0,1,0),0)</f>
        <v>1</v>
      </c>
      <c r="T38" s="89" t="n">
        <f aca="false">IF(ISNUMBER(INDEX(Interface_Prod!$S$21:$AG$21,1,Fleet_1GW!D$7)),IF(INDEX(Interface_Prod!$S$21:$AG$21,1,Fleet_1GW!D$7)&gt;0,1,0),0)</f>
        <v>1</v>
      </c>
      <c r="U38" s="89" t="n">
        <f aca="false">IF(ISNUMBER(INDEX(Interface_Prod!$S$21:$AG$21,1,Fleet_1GW!E$7)),IF(INDEX(Interface_Prod!$S$21:$AG$21,1,Fleet_1GW!E$7)&gt;0,1,0),0)</f>
        <v>1</v>
      </c>
      <c r="V38" s="89" t="n">
        <f aca="false">IF(ISNUMBER(INDEX(Interface_Prod!$S$21:$AG$21,1,Fleet_1GW!F$7)),IF(INDEX(Interface_Prod!$S$21:$AG$21,1,Fleet_1GW!F$7)&gt;0,1,0),0)</f>
        <v>1</v>
      </c>
      <c r="W38" s="89" t="n">
        <f aca="false">IF(ISNUMBER(INDEX(Interface_Prod!$S$21:$AG$21,1,Fleet_1GW!G$7)),IF(INDEX(Interface_Prod!$S$21:$AG$21,1,Fleet_1GW!G$7)&gt;0,1,0),0)</f>
        <v>1</v>
      </c>
      <c r="X38" s="89" t="n">
        <f aca="false">IF(ISNUMBER(INDEX(Interface_Prod!$S$21:$AG$21,1,Fleet_1GW!H$7)),IF(INDEX(Interface_Prod!$S$21:$AG$21,1,Fleet_1GW!H$7)&gt;0,1,0),0)</f>
        <v>1</v>
      </c>
      <c r="Y38" s="89" t="n">
        <f aca="false">IF(ISNUMBER(INDEX(Interface_Prod!$S$21:$AG$21,1,Fleet_1GW!I$7)),IF(INDEX(Interface_Prod!$S$21:$AG$21,1,Fleet_1GW!I$7)&gt;0,1,0),0)</f>
        <v>1</v>
      </c>
      <c r="Z38" s="89" t="n">
        <f aca="false">IF(ISNUMBER(INDEX(Interface_Prod!$S$21:$AG$21,1,Fleet_1GW!J$7)),IF(INDEX(Interface_Prod!$S$21:$AG$21,1,Fleet_1GW!J$7)&gt;0,1,0),0)</f>
        <v>1</v>
      </c>
      <c r="AA38" s="89" t="n">
        <f aca="false">IF(ISNUMBER(INDEX(Interface_Prod!$S$21:$AG$21,1,Fleet_1GW!K$7)),IF(INDEX(Interface_Prod!$S$21:$AG$21,1,Fleet_1GW!K$7)&gt;0,1,0),0)</f>
        <v>1</v>
      </c>
      <c r="AB38" s="89" t="n">
        <f aca="false">IF(ISNUMBER(INDEX(Interface_Prod!$S$21:$AG$21,1,Fleet_1GW!L$7)),IF(INDEX(Interface_Prod!$S$21:$AG$21,1,Fleet_1GW!L$7)&gt;0,1,0),0)</f>
        <v>1</v>
      </c>
      <c r="AC38" s="89" t="n">
        <f aca="false">IF(ISNUMBER(INDEX(Interface_Prod!$S$21:$AG$21,1,Fleet_1GW!M$7)),IF(INDEX(Interface_Prod!$S$21:$AG$21,1,Fleet_1GW!M$7)&gt;0,1,0),0)</f>
        <v>1</v>
      </c>
      <c r="AD38" s="89" t="n">
        <f aca="false">IF(ISNUMBER(INDEX(Interface_Prod!$S$21:$AG$21,1,Fleet_1GW!N$7)),IF(INDEX(Interface_Prod!$S$21:$AG$21,1,Fleet_1GW!N$7)&gt;0,1,0),0)</f>
        <v>1</v>
      </c>
      <c r="AE38" s="89" t="n">
        <f aca="false">IF(ISNUMBER(INDEX(Interface_Prod!$S$21:$AG$21,1,Fleet_1GW!O$7)),IF(INDEX(Interface_Prod!$S$21:$AG$21,1,Fleet_1GW!O$7)&gt;0,1,0),0)</f>
        <v>1</v>
      </c>
      <c r="AF38" s="89" t="n">
        <f aca="false">IF(ISNUMBER(INDEX(Interface_Prod!$S$21:$AG$21,1,Fleet_1GW!P$7)),IF(INDEX(Interface_Prod!$S$21:$AG$21,1,Fleet_1GW!P$7)&gt;0,1,0),0)</f>
        <v>1</v>
      </c>
      <c r="AG38" s="89" t="n">
        <f aca="false">IF(ISNUMBER(INDEX(Interface_Prod!$S$21:$AG$21,1,Fleet_1GW!Q$7)),IF(INDEX(Interface_Prod!$S$21:$AG$21,1,Fleet_1GW!Q$7)&gt;0,1,0),0)</f>
        <v>1</v>
      </c>
    </row>
    <row r="39" customFormat="false" ht="15" hidden="false" customHeight="false" outlineLevel="0" collapsed="false">
      <c r="A39" s="62" t="s">
        <v>2003</v>
      </c>
      <c r="B39" s="74" t="s">
        <v>1980</v>
      </c>
      <c r="C39" s="89" t="n">
        <f aca="false">IF(ISNUMBER(INDEX(Interface_Prod!$C$31:$Q$31,1,Fleet_1GW!C$7)),IF(INDEX(Interface_Prod!$C$31:$Q$31,1,Fleet_1GW!C$7)&gt;0,1,0),0)</f>
        <v>1</v>
      </c>
      <c r="D39" s="89" t="n">
        <f aca="false">IF(ISNUMBER(INDEX(Interface_Prod!$C$31:$Q$31,1,Fleet_1GW!D$7)),IF(INDEX(Interface_Prod!$C$31:$Q$31,1,Fleet_1GW!D$7)&gt;0,1,0),0)</f>
        <v>1</v>
      </c>
      <c r="E39" s="89" t="n">
        <f aca="false">IF(ISNUMBER(INDEX(Interface_Prod!$C$31:$Q$31,1,Fleet_1GW!E$7)),IF(INDEX(Interface_Prod!$C$31:$Q$31,1,Fleet_1GW!E$7)&gt;0,1,0),0)</f>
        <v>1</v>
      </c>
      <c r="F39" s="89" t="n">
        <f aca="false">IF(ISNUMBER(INDEX(Interface_Prod!$C$31:$Q$31,1,Fleet_1GW!F$7)),IF(INDEX(Interface_Prod!$C$31:$Q$31,1,Fleet_1GW!F$7)&gt;0,1,0),0)</f>
        <v>1</v>
      </c>
      <c r="G39" s="89" t="n">
        <f aca="false">IF(ISNUMBER(INDEX(Interface_Prod!$C$31:$Q$31,1,Fleet_1GW!G$7)),IF(INDEX(Interface_Prod!$C$31:$Q$31,1,Fleet_1GW!G$7)&gt;0,1,0),0)</f>
        <v>1</v>
      </c>
      <c r="H39" s="89" t="n">
        <f aca="false">IF(ISNUMBER(INDEX(Interface_Prod!$C$31:$Q$31,1,Fleet_1GW!H$7)),IF(INDEX(Interface_Prod!$C$31:$Q$31,1,Fleet_1GW!H$7)&gt;0,1,0),0)</f>
        <v>1</v>
      </c>
      <c r="I39" s="89" t="n">
        <f aca="false">IF(ISNUMBER(INDEX(Interface_Prod!$C$31:$Q$31,1,Fleet_1GW!I$7)),IF(INDEX(Interface_Prod!$C$31:$Q$31,1,Fleet_1GW!I$7)&gt;0,1,0),0)</f>
        <v>1</v>
      </c>
      <c r="J39" s="89" t="n">
        <f aca="false">IF(ISNUMBER(INDEX(Interface_Prod!$C$31:$Q$31,1,Fleet_1GW!J$7)),IF(INDEX(Interface_Prod!$C$31:$Q$31,1,Fleet_1GW!J$7)&gt;0,1,0),0)</f>
        <v>1</v>
      </c>
      <c r="K39" s="89" t="n">
        <f aca="false">IF(ISNUMBER(INDEX(Interface_Prod!$C$31:$Q$31,1,Fleet_1GW!K$7)),IF(INDEX(Interface_Prod!$C$31:$Q$31,1,Fleet_1GW!K$7)&gt;0,1,0),0)</f>
        <v>1</v>
      </c>
      <c r="L39" s="89" t="n">
        <f aca="false">IF(ISNUMBER(INDEX(Interface_Prod!$C$31:$Q$31,1,Fleet_1GW!L$7)),IF(INDEX(Interface_Prod!$C$31:$Q$31,1,Fleet_1GW!L$7)&gt;0,1,0),0)</f>
        <v>1</v>
      </c>
      <c r="M39" s="89" t="n">
        <f aca="false">IF(ISNUMBER(INDEX(Interface_Prod!$C$31:$Q$31,1,Fleet_1GW!M$7)),IF(INDEX(Interface_Prod!$C$31:$Q$31,1,Fleet_1GW!M$7)&gt;0,1,0),0)</f>
        <v>1</v>
      </c>
      <c r="N39" s="89" t="n">
        <f aca="false">IF(ISNUMBER(INDEX(Interface_Prod!$C$31:$Q$31,1,Fleet_1GW!N$7)),IF(INDEX(Interface_Prod!$C$31:$Q$31,1,Fleet_1GW!N$7)&gt;0,1,0),0)</f>
        <v>1</v>
      </c>
      <c r="O39" s="89" t="n">
        <f aca="false">IF(ISNUMBER(INDEX(Interface_Prod!$C$31:$Q$31,1,Fleet_1GW!O$7)),IF(INDEX(Interface_Prod!$C$31:$Q$31,1,Fleet_1GW!O$7)&gt;0,1,0),0)</f>
        <v>1</v>
      </c>
      <c r="P39" s="89" t="n">
        <f aca="false">IF(ISNUMBER(INDEX(Interface_Prod!$C$31:$Q$31,1,Fleet_1GW!P$7)),IF(INDEX(Interface_Prod!$C$31:$Q$31,1,Fleet_1GW!P$7)&gt;0,1,0),0)</f>
        <v>1</v>
      </c>
      <c r="Q39" s="89" t="n">
        <f aca="false">IF(ISNUMBER(INDEX(Interface_Prod!$C$31:$Q$31,1,Fleet_1GW!Q$7)),IF(INDEX(Interface_Prod!$C$31:$Q$31,1,Fleet_1GW!Q$7)&gt;0,1,0),0)</f>
        <v>1</v>
      </c>
      <c r="S39" s="89" t="n">
        <f aca="false">IF(ISNUMBER(INDEX(Interface_Prod!$S$31:$AG$31,1,Fleet_1GW!C$7)),IF(INDEX(Interface_Prod!$S$31:$AG$31,1,Fleet_1GW!C$7)&gt;0,1,0),0)</f>
        <v>1</v>
      </c>
      <c r="T39" s="89" t="n">
        <f aca="false">IF(ISNUMBER(INDEX(Interface_Prod!$S$31:$AG$31,1,Fleet_1GW!D$7)),IF(INDEX(Interface_Prod!$S$31:$AG$31,1,Fleet_1GW!D$7)&gt;0,1,0),0)</f>
        <v>1</v>
      </c>
      <c r="U39" s="89" t="n">
        <f aca="false">IF(ISNUMBER(INDEX(Interface_Prod!$S$31:$AG$31,1,Fleet_1GW!E$7)),IF(INDEX(Interface_Prod!$S$31:$AG$31,1,Fleet_1GW!E$7)&gt;0,1,0),0)</f>
        <v>1</v>
      </c>
      <c r="V39" s="89" t="n">
        <f aca="false">IF(ISNUMBER(INDEX(Interface_Prod!$S$31:$AG$31,1,Fleet_1GW!F$7)),IF(INDEX(Interface_Prod!$S$31:$AG$31,1,Fleet_1GW!F$7)&gt;0,1,0),0)</f>
        <v>1</v>
      </c>
      <c r="W39" s="89" t="n">
        <f aca="false">IF(ISNUMBER(INDEX(Interface_Prod!$S$31:$AG$31,1,Fleet_1GW!G$7)),IF(INDEX(Interface_Prod!$S$31:$AG$31,1,Fleet_1GW!G$7)&gt;0,1,0),0)</f>
        <v>1</v>
      </c>
      <c r="X39" s="89" t="n">
        <f aca="false">IF(ISNUMBER(INDEX(Interface_Prod!$S$31:$AG$31,1,Fleet_1GW!H$7)),IF(INDEX(Interface_Prod!$S$31:$AG$31,1,Fleet_1GW!H$7)&gt;0,1,0),0)</f>
        <v>1</v>
      </c>
      <c r="Y39" s="89" t="n">
        <f aca="false">IF(ISNUMBER(INDEX(Interface_Prod!$S$31:$AG$31,1,Fleet_1GW!I$7)),IF(INDEX(Interface_Prod!$S$31:$AG$31,1,Fleet_1GW!I$7)&gt;0,1,0),0)</f>
        <v>1</v>
      </c>
      <c r="Z39" s="89" t="n">
        <f aca="false">IF(ISNUMBER(INDEX(Interface_Prod!$S$31:$AG$31,1,Fleet_1GW!J$7)),IF(INDEX(Interface_Prod!$S$31:$AG$31,1,Fleet_1GW!J$7)&gt;0,1,0),0)</f>
        <v>1</v>
      </c>
      <c r="AA39" s="89" t="n">
        <f aca="false">IF(ISNUMBER(INDEX(Interface_Prod!$S$31:$AG$31,1,Fleet_1GW!K$7)),IF(INDEX(Interface_Prod!$S$31:$AG$31,1,Fleet_1GW!K$7)&gt;0,1,0),0)</f>
        <v>1</v>
      </c>
      <c r="AB39" s="89" t="n">
        <f aca="false">IF(ISNUMBER(INDEX(Interface_Prod!$S$31:$AG$31,1,Fleet_1GW!L$7)),IF(INDEX(Interface_Prod!$S$31:$AG$31,1,Fleet_1GW!L$7)&gt;0,1,0),0)</f>
        <v>1</v>
      </c>
      <c r="AC39" s="89" t="n">
        <f aca="false">IF(ISNUMBER(INDEX(Interface_Prod!$S$31:$AG$31,1,Fleet_1GW!M$7)),IF(INDEX(Interface_Prod!$S$31:$AG$31,1,Fleet_1GW!M$7)&gt;0,1,0),0)</f>
        <v>1</v>
      </c>
      <c r="AD39" s="89" t="n">
        <f aca="false">IF(ISNUMBER(INDEX(Interface_Prod!$S$31:$AG$31,1,Fleet_1GW!N$7)),IF(INDEX(Interface_Prod!$S$31:$AG$31,1,Fleet_1GW!N$7)&gt;0,1,0),0)</f>
        <v>1</v>
      </c>
      <c r="AE39" s="89" t="n">
        <f aca="false">IF(ISNUMBER(INDEX(Interface_Prod!$S$31:$AG$31,1,Fleet_1GW!O$7)),IF(INDEX(Interface_Prod!$S$31:$AG$31,1,Fleet_1GW!O$7)&gt;0,1,0),0)</f>
        <v>1</v>
      </c>
      <c r="AF39" s="89" t="n">
        <f aca="false">IF(ISNUMBER(INDEX(Interface_Prod!$S$31:$AG$31,1,Fleet_1GW!P$7)),IF(INDEX(Interface_Prod!$S$31:$AG$31,1,Fleet_1GW!P$7)&gt;0,1,0),0)</f>
        <v>1</v>
      </c>
      <c r="AG39" s="89" t="n">
        <f aca="false">IF(ISNUMBER(INDEX(Interface_Prod!$S$31:$AG$31,1,Fleet_1GW!Q$7)),IF(INDEX(Interface_Prod!$S$31:$AG$31,1,Fleet_1GW!Q$7)&gt;0,1,0),0)</f>
        <v>1</v>
      </c>
    </row>
    <row r="40" customFormat="false" ht="15" hidden="false" customHeight="false" outlineLevel="0" collapsed="false">
      <c r="A40" s="62" t="s">
        <v>2004</v>
      </c>
      <c r="B40" s="74" t="s">
        <v>1980</v>
      </c>
      <c r="C40" s="89" t="n">
        <f aca="false">IF(ISNUMBER(INDEX(Interface_Prod!$C$41:$Q$41,1,Fleet_1GW!C$7)),IF(INDEX(Interface_Prod!$C$41:$Q$41,1,Fleet_1GW!C$7)&gt;0,1,0),0)</f>
        <v>1</v>
      </c>
      <c r="D40" s="89" t="n">
        <f aca="false">IF(ISNUMBER(INDEX(Interface_Prod!$C$41:$Q$41,1,Fleet_1GW!D$7)),IF(INDEX(Interface_Prod!$C$41:$Q$41,1,Fleet_1GW!D$7)&gt;0,1,0),0)</f>
        <v>1</v>
      </c>
      <c r="E40" s="89" t="n">
        <f aca="false">IF(ISNUMBER(INDEX(Interface_Prod!$C$41:$Q$41,1,Fleet_1GW!E$7)),IF(INDEX(Interface_Prod!$C$41:$Q$41,1,Fleet_1GW!E$7)&gt;0,1,0),0)</f>
        <v>1</v>
      </c>
      <c r="F40" s="89" t="n">
        <f aca="false">IF(ISNUMBER(INDEX(Interface_Prod!$C$41:$Q$41,1,Fleet_1GW!F$7)),IF(INDEX(Interface_Prod!$C$41:$Q$41,1,Fleet_1GW!F$7)&gt;0,1,0),0)</f>
        <v>1</v>
      </c>
      <c r="G40" s="89" t="n">
        <f aca="false">IF(ISNUMBER(INDEX(Interface_Prod!$C$41:$Q$41,1,Fleet_1GW!G$7)),IF(INDEX(Interface_Prod!$C$41:$Q$41,1,Fleet_1GW!G$7)&gt;0,1,0),0)</f>
        <v>1</v>
      </c>
      <c r="H40" s="89" t="n">
        <f aca="false">IF(ISNUMBER(INDEX(Interface_Prod!$C$41:$Q$41,1,Fleet_1GW!H$7)),IF(INDEX(Interface_Prod!$C$41:$Q$41,1,Fleet_1GW!H$7)&gt;0,1,0),0)</f>
        <v>1</v>
      </c>
      <c r="I40" s="89" t="n">
        <f aca="false">IF(ISNUMBER(INDEX(Interface_Prod!$C$41:$Q$41,1,Fleet_1GW!I$7)),IF(INDEX(Interface_Prod!$C$41:$Q$41,1,Fleet_1GW!I$7)&gt;0,1,0),0)</f>
        <v>1</v>
      </c>
      <c r="J40" s="89" t="n">
        <f aca="false">IF(ISNUMBER(INDEX(Interface_Prod!$C$41:$Q$41,1,Fleet_1GW!J$7)),IF(INDEX(Interface_Prod!$C$41:$Q$41,1,Fleet_1GW!J$7)&gt;0,1,0),0)</f>
        <v>1</v>
      </c>
      <c r="K40" s="89" t="n">
        <f aca="false">IF(ISNUMBER(INDEX(Interface_Prod!$C$41:$Q$41,1,Fleet_1GW!K$7)),IF(INDEX(Interface_Prod!$C$41:$Q$41,1,Fleet_1GW!K$7)&gt;0,1,0),0)</f>
        <v>1</v>
      </c>
      <c r="L40" s="89" t="n">
        <f aca="false">IF(ISNUMBER(INDEX(Interface_Prod!$C$41:$Q$41,1,Fleet_1GW!L$7)),IF(INDEX(Interface_Prod!$C$41:$Q$41,1,Fleet_1GW!L$7)&gt;0,1,0),0)</f>
        <v>1</v>
      </c>
      <c r="M40" s="89" t="n">
        <f aca="false">IF(ISNUMBER(INDEX(Interface_Prod!$C$41:$Q$41,1,Fleet_1GW!M$7)),IF(INDEX(Interface_Prod!$C$41:$Q$41,1,Fleet_1GW!M$7)&gt;0,1,0),0)</f>
        <v>1</v>
      </c>
      <c r="N40" s="89" t="n">
        <f aca="false">IF(ISNUMBER(INDEX(Interface_Prod!$C$41:$Q$41,1,Fleet_1GW!N$7)),IF(INDEX(Interface_Prod!$C$41:$Q$41,1,Fleet_1GW!N$7)&gt;0,1,0),0)</f>
        <v>1</v>
      </c>
      <c r="O40" s="89" t="n">
        <f aca="false">IF(ISNUMBER(INDEX(Interface_Prod!$C$41:$Q$41,1,Fleet_1GW!O$7)),IF(INDEX(Interface_Prod!$C$41:$Q$41,1,Fleet_1GW!O$7)&gt;0,1,0),0)</f>
        <v>1</v>
      </c>
      <c r="P40" s="89" t="n">
        <f aca="false">IF(ISNUMBER(INDEX(Interface_Prod!$C$41:$Q$41,1,Fleet_1GW!P$7)),IF(INDEX(Interface_Prod!$C$41:$Q$41,1,Fleet_1GW!P$7)&gt;0,1,0),0)</f>
        <v>1</v>
      </c>
      <c r="Q40" s="89" t="n">
        <f aca="false">IF(ISNUMBER(INDEX(Interface_Prod!$C$41:$Q$41,1,Fleet_1GW!Q$7)),IF(INDEX(Interface_Prod!$C$41:$Q$41,1,Fleet_1GW!Q$7)&gt;0,1,0),0)</f>
        <v>1</v>
      </c>
      <c r="S40" s="89" t="n">
        <f aca="false">IF(ISNUMBER(INDEX(Interface_Prod!$S$41:$AG$41,1,Fleet_1GW!C$7)),IF(INDEX(Interface_Prod!$S$41:$AG$41,1,Fleet_1GW!C$7)&gt;0,1,0),0)</f>
        <v>1</v>
      </c>
      <c r="T40" s="89" t="n">
        <f aca="false">IF(ISNUMBER(INDEX(Interface_Prod!$S$41:$AG$41,1,Fleet_1GW!D$7)),IF(INDEX(Interface_Prod!$S$41:$AG$41,1,Fleet_1GW!D$7)&gt;0,1,0),0)</f>
        <v>1</v>
      </c>
      <c r="U40" s="89" t="n">
        <f aca="false">IF(ISNUMBER(INDEX(Interface_Prod!$S$41:$AG$41,1,Fleet_1GW!E$7)),IF(INDEX(Interface_Prod!$S$41:$AG$41,1,Fleet_1GW!E$7)&gt;0,1,0),0)</f>
        <v>1</v>
      </c>
      <c r="V40" s="89" t="n">
        <f aca="false">IF(ISNUMBER(INDEX(Interface_Prod!$S$41:$AG$41,1,Fleet_1GW!F$7)),IF(INDEX(Interface_Prod!$S$41:$AG$41,1,Fleet_1GW!F$7)&gt;0,1,0),0)</f>
        <v>1</v>
      </c>
      <c r="W40" s="89" t="n">
        <f aca="false">IF(ISNUMBER(INDEX(Interface_Prod!$S$41:$AG$41,1,Fleet_1GW!G$7)),IF(INDEX(Interface_Prod!$S$41:$AG$41,1,Fleet_1GW!G$7)&gt;0,1,0),0)</f>
        <v>1</v>
      </c>
      <c r="X40" s="89" t="n">
        <f aca="false">IF(ISNUMBER(INDEX(Interface_Prod!$S$41:$AG$41,1,Fleet_1GW!H$7)),IF(INDEX(Interface_Prod!$S$41:$AG$41,1,Fleet_1GW!H$7)&gt;0,1,0),0)</f>
        <v>1</v>
      </c>
      <c r="Y40" s="89" t="n">
        <f aca="false">IF(ISNUMBER(INDEX(Interface_Prod!$S$41:$AG$41,1,Fleet_1GW!I$7)),IF(INDEX(Interface_Prod!$S$41:$AG$41,1,Fleet_1GW!I$7)&gt;0,1,0),0)</f>
        <v>1</v>
      </c>
      <c r="Z40" s="89" t="n">
        <f aca="false">IF(ISNUMBER(INDEX(Interface_Prod!$S$41:$AG$41,1,Fleet_1GW!J$7)),IF(INDEX(Interface_Prod!$S$41:$AG$41,1,Fleet_1GW!J$7)&gt;0,1,0),0)</f>
        <v>1</v>
      </c>
      <c r="AA40" s="89" t="n">
        <f aca="false">IF(ISNUMBER(INDEX(Interface_Prod!$S$41:$AG$41,1,Fleet_1GW!K$7)),IF(INDEX(Interface_Prod!$S$41:$AG$41,1,Fleet_1GW!K$7)&gt;0,1,0),0)</f>
        <v>1</v>
      </c>
      <c r="AB40" s="89" t="n">
        <f aca="false">IF(ISNUMBER(INDEX(Interface_Prod!$S$41:$AG$41,1,Fleet_1GW!L$7)),IF(INDEX(Interface_Prod!$S$41:$AG$41,1,Fleet_1GW!L$7)&gt;0,1,0),0)</f>
        <v>1</v>
      </c>
      <c r="AC40" s="89" t="n">
        <f aca="false">IF(ISNUMBER(INDEX(Interface_Prod!$S$41:$AG$41,1,Fleet_1GW!M$7)),IF(INDEX(Interface_Prod!$S$41:$AG$41,1,Fleet_1GW!M$7)&gt;0,1,0),0)</f>
        <v>1</v>
      </c>
      <c r="AD40" s="89" t="n">
        <f aca="false">IF(ISNUMBER(INDEX(Interface_Prod!$S$41:$AG$41,1,Fleet_1GW!N$7)),IF(INDEX(Interface_Prod!$S$41:$AG$41,1,Fleet_1GW!N$7)&gt;0,1,0),0)</f>
        <v>1</v>
      </c>
      <c r="AE40" s="89" t="n">
        <f aca="false">IF(ISNUMBER(INDEX(Interface_Prod!$S$41:$AG$41,1,Fleet_1GW!O$7)),IF(INDEX(Interface_Prod!$S$41:$AG$41,1,Fleet_1GW!O$7)&gt;0,1,0),0)</f>
        <v>1</v>
      </c>
      <c r="AF40" s="89" t="n">
        <f aca="false">IF(ISNUMBER(INDEX(Interface_Prod!$S$41:$AG$41,1,Fleet_1GW!P$7)),IF(INDEX(Interface_Prod!$S$41:$AG$41,1,Fleet_1GW!P$7)&gt;0,1,0),0)</f>
        <v>1</v>
      </c>
      <c r="AG40" s="89" t="n">
        <f aca="false">IF(ISNUMBER(INDEX(Interface_Prod!$S$41:$AG$41,1,Fleet_1GW!Q$7)),IF(INDEX(Interface_Prod!$S$41:$AG$41,1,Fleet_1GW!Q$7)&gt;0,1,0),0)</f>
        <v>1</v>
      </c>
    </row>
    <row r="41" customFormat="false" ht="15" hidden="false" customHeight="false" outlineLevel="0" collapsed="false">
      <c r="A41" s="61" t="s">
        <v>2005</v>
      </c>
      <c r="B41" s="59" t="s">
        <v>113</v>
      </c>
      <c r="C41" s="112" t="n">
        <f aca="false">INDEX(B4_MixPaid,1,1)*Fleet_1GW_Prod!C38+INDEX(B4_MixPaid,1,2)*Fleet_1GW_Prod!C39+INDEX(B4_MixPaid,1,3)*Fleet_1GW_Prod!C40</f>
        <v>1</v>
      </c>
      <c r="D41" s="112" t="n">
        <f aca="false">INDEX(B4_MixPaid,1,1)*Fleet_1GW_Prod!D38+INDEX(B4_MixPaid,1,2)*Fleet_1GW_Prod!D39+INDEX(B4_MixPaid,1,3)*Fleet_1GW_Prod!D40</f>
        <v>1</v>
      </c>
      <c r="E41" s="112" t="n">
        <f aca="false">INDEX(B4_MixPaid,1,1)*Fleet_1GW_Prod!E38+INDEX(B4_MixPaid,1,2)*Fleet_1GW_Prod!E39+INDEX(B4_MixPaid,1,3)*Fleet_1GW_Prod!E40</f>
        <v>1</v>
      </c>
      <c r="F41" s="112" t="n">
        <f aca="false">INDEX(B4_MixPaid,1,1)*Fleet_1GW_Prod!F38+INDEX(B4_MixPaid,1,2)*Fleet_1GW_Prod!F39+INDEX(B4_MixPaid,1,3)*Fleet_1GW_Prod!F40</f>
        <v>1</v>
      </c>
      <c r="G41" s="112" t="n">
        <f aca="false">INDEX(B4_MixPaid,1,1)*Fleet_1GW_Prod!G38+INDEX(B4_MixPaid,1,2)*Fleet_1GW_Prod!G39+INDEX(B4_MixPaid,1,3)*Fleet_1GW_Prod!G40</f>
        <v>1</v>
      </c>
      <c r="H41" s="112" t="n">
        <f aca="false">INDEX(B4_MixPaid,1,1)*Fleet_1GW_Prod!H38+INDEX(B4_MixPaid,1,2)*Fleet_1GW_Prod!H39+INDEX(B4_MixPaid,1,3)*Fleet_1GW_Prod!H40</f>
        <v>1</v>
      </c>
      <c r="I41" s="112" t="n">
        <f aca="false">INDEX(B4_MixPaid,1,1)*Fleet_1GW_Prod!I38+INDEX(B4_MixPaid,1,2)*Fleet_1GW_Prod!I39+INDEX(B4_MixPaid,1,3)*Fleet_1GW_Prod!I40</f>
        <v>1</v>
      </c>
      <c r="J41" s="112" t="n">
        <f aca="false">INDEX(B4_MixPaid,1,1)*Fleet_1GW_Prod!J38+INDEX(B4_MixPaid,1,2)*Fleet_1GW_Prod!J39+INDEX(B4_MixPaid,1,3)*Fleet_1GW_Prod!J40</f>
        <v>1</v>
      </c>
      <c r="K41" s="112" t="n">
        <f aca="false">INDEX(B4_MixPaid,1,1)*Fleet_1GW_Prod!K38+INDEX(B4_MixPaid,1,2)*Fleet_1GW_Prod!K39+INDEX(B4_MixPaid,1,3)*Fleet_1GW_Prod!K40</f>
        <v>1</v>
      </c>
      <c r="L41" s="112" t="n">
        <f aca="false">INDEX(B4_MixPaid,1,1)*Fleet_1GW_Prod!L38+INDEX(B4_MixPaid,1,2)*Fleet_1GW_Prod!L39+INDEX(B4_MixPaid,1,3)*Fleet_1GW_Prod!L40</f>
        <v>1</v>
      </c>
      <c r="M41" s="112" t="n">
        <f aca="false">INDEX(B4_MixPaid,1,1)*Fleet_1GW_Prod!M38+INDEX(B4_MixPaid,1,2)*Fleet_1GW_Prod!M39+INDEX(B4_MixPaid,1,3)*Fleet_1GW_Prod!M40</f>
        <v>1</v>
      </c>
      <c r="N41" s="112" t="n">
        <f aca="false">INDEX(B4_MixPaid,1,1)*Fleet_1GW_Prod!N38+INDEX(B4_MixPaid,1,2)*Fleet_1GW_Prod!N39+INDEX(B4_MixPaid,1,3)*Fleet_1GW_Prod!N40</f>
        <v>1</v>
      </c>
      <c r="O41" s="112" t="n">
        <f aca="false">INDEX(B4_MixPaid,1,1)*Fleet_1GW_Prod!O38+INDEX(B4_MixPaid,1,2)*Fleet_1GW_Prod!O39+INDEX(B4_MixPaid,1,3)*Fleet_1GW_Prod!O40</f>
        <v>1</v>
      </c>
      <c r="P41" s="112" t="n">
        <f aca="false">INDEX(B4_MixPaid,1,1)*Fleet_1GW_Prod!P38+INDEX(B4_MixPaid,1,2)*Fleet_1GW_Prod!P39+INDEX(B4_MixPaid,1,3)*Fleet_1GW_Prod!P40</f>
        <v>1</v>
      </c>
      <c r="Q41" s="112" t="n">
        <f aca="false">INDEX(B4_MixPaid,1,1)*Fleet_1GW_Prod!Q38+INDEX(B4_MixPaid,1,2)*Fleet_1GW_Prod!Q39+INDEX(B4_MixPaid,1,3)*Fleet_1GW_Prod!Q40</f>
        <v>1</v>
      </c>
      <c r="S41" s="112" t="n">
        <f aca="false">INDEX(B4_MixPaid,1,1)*Fleet_1GW_Prod!S38+INDEX(B4_MixPaid,1,2)*Fleet_1GW_Prod!S39+INDEX(B4_MixPaid,1,3)*Fleet_1GW_Prod!S40</f>
        <v>1</v>
      </c>
      <c r="T41" s="112" t="n">
        <f aca="false">INDEX(B4_MixPaid,1,1)*Fleet_1GW_Prod!T38+INDEX(B4_MixPaid,1,2)*Fleet_1GW_Prod!T39+INDEX(B4_MixPaid,1,3)*Fleet_1GW_Prod!T40</f>
        <v>1</v>
      </c>
      <c r="U41" s="112" t="n">
        <f aca="false">INDEX(B4_MixPaid,1,1)*Fleet_1GW_Prod!U38+INDEX(B4_MixPaid,1,2)*Fleet_1GW_Prod!U39+INDEX(B4_MixPaid,1,3)*Fleet_1GW_Prod!U40</f>
        <v>1</v>
      </c>
      <c r="V41" s="112" t="n">
        <f aca="false">INDEX(B4_MixPaid,1,1)*Fleet_1GW_Prod!V38+INDEX(B4_MixPaid,1,2)*Fleet_1GW_Prod!V39+INDEX(B4_MixPaid,1,3)*Fleet_1GW_Prod!V40</f>
        <v>1</v>
      </c>
      <c r="W41" s="112" t="n">
        <f aca="false">INDEX(B4_MixPaid,1,1)*Fleet_1GW_Prod!W38+INDEX(B4_MixPaid,1,2)*Fleet_1GW_Prod!W39+INDEX(B4_MixPaid,1,3)*Fleet_1GW_Prod!W40</f>
        <v>1</v>
      </c>
      <c r="X41" s="112" t="n">
        <f aca="false">INDEX(B4_MixPaid,1,1)*Fleet_1GW_Prod!X38+INDEX(B4_MixPaid,1,2)*Fleet_1GW_Prod!X39+INDEX(B4_MixPaid,1,3)*Fleet_1GW_Prod!X40</f>
        <v>1</v>
      </c>
      <c r="Y41" s="112" t="n">
        <f aca="false">INDEX(B4_MixPaid,1,1)*Fleet_1GW_Prod!Y38+INDEX(B4_MixPaid,1,2)*Fleet_1GW_Prod!Y39+INDEX(B4_MixPaid,1,3)*Fleet_1GW_Prod!Y40</f>
        <v>1</v>
      </c>
      <c r="Z41" s="112" t="n">
        <f aca="false">INDEX(B4_MixPaid,1,1)*Fleet_1GW_Prod!Z38+INDEX(B4_MixPaid,1,2)*Fleet_1GW_Prod!Z39+INDEX(B4_MixPaid,1,3)*Fleet_1GW_Prod!Z40</f>
        <v>1</v>
      </c>
      <c r="AA41" s="112" t="n">
        <f aca="false">INDEX(B4_MixPaid,1,1)*Fleet_1GW_Prod!AA38+INDEX(B4_MixPaid,1,2)*Fleet_1GW_Prod!AA39+INDEX(B4_MixPaid,1,3)*Fleet_1GW_Prod!AA40</f>
        <v>1</v>
      </c>
      <c r="AB41" s="112" t="n">
        <f aca="false">INDEX(B4_MixPaid,1,1)*Fleet_1GW_Prod!AB38+INDEX(B4_MixPaid,1,2)*Fleet_1GW_Prod!AB39+INDEX(B4_MixPaid,1,3)*Fleet_1GW_Prod!AB40</f>
        <v>1</v>
      </c>
      <c r="AC41" s="112" t="n">
        <f aca="false">INDEX(B4_MixPaid,1,1)*Fleet_1GW_Prod!AC38+INDEX(B4_MixPaid,1,2)*Fleet_1GW_Prod!AC39+INDEX(B4_MixPaid,1,3)*Fleet_1GW_Prod!AC40</f>
        <v>1</v>
      </c>
      <c r="AD41" s="112" t="n">
        <f aca="false">INDEX(B4_MixPaid,1,1)*Fleet_1GW_Prod!AD38+INDEX(B4_MixPaid,1,2)*Fleet_1GW_Prod!AD39+INDEX(B4_MixPaid,1,3)*Fleet_1GW_Prod!AD40</f>
        <v>1</v>
      </c>
      <c r="AE41" s="112" t="n">
        <f aca="false">INDEX(B4_MixPaid,1,1)*Fleet_1GW_Prod!AE38+INDEX(B4_MixPaid,1,2)*Fleet_1GW_Prod!AE39+INDEX(B4_MixPaid,1,3)*Fleet_1GW_Prod!AE40</f>
        <v>1</v>
      </c>
      <c r="AF41" s="112" t="n">
        <f aca="false">INDEX(B4_MixPaid,1,1)*Fleet_1GW_Prod!AF38+INDEX(B4_MixPaid,1,2)*Fleet_1GW_Prod!AF39+INDEX(B4_MixPaid,1,3)*Fleet_1GW_Prod!AF40</f>
        <v>1</v>
      </c>
      <c r="AG41" s="112" t="n">
        <f aca="false">INDEX(B4_MixPaid,1,1)*Fleet_1GW_Prod!AG38+INDEX(B4_MixPaid,1,2)*Fleet_1GW_Prod!AG39+INDEX(B4_MixPaid,1,3)*Fleet_1GW_Prod!AG40</f>
        <v>1</v>
      </c>
    </row>
    <row r="42" customFormat="false" ht="15" hidden="false" customHeight="false" outlineLevel="0" collapsed="false">
      <c r="A42" s="61" t="s">
        <v>2006</v>
      </c>
      <c r="B42" s="59" t="s">
        <v>113</v>
      </c>
      <c r="C42" s="112" t="n">
        <f aca="false">INDEX(B4_MixFree,1,1)*Fleet_1GW_Prod!C38+INDEX(B4_MixFree,1,2)*Fleet_1GW_Prod!C39+INDEX(B4_MixFree,1,3)*Fleet_1GW_Prod!C40</f>
        <v>1</v>
      </c>
      <c r="D42" s="112" t="n">
        <f aca="false">INDEX(B4_MixFree,1,1)*Fleet_1GW_Prod!D38+INDEX(B4_MixFree,1,2)*Fleet_1GW_Prod!D39+INDEX(B4_MixFree,1,3)*Fleet_1GW_Prod!D40</f>
        <v>1</v>
      </c>
      <c r="E42" s="112" t="n">
        <f aca="false">INDEX(B4_MixFree,1,1)*Fleet_1GW_Prod!E38+INDEX(B4_MixFree,1,2)*Fleet_1GW_Prod!E39+INDEX(B4_MixFree,1,3)*Fleet_1GW_Prod!E40</f>
        <v>1</v>
      </c>
      <c r="F42" s="112" t="n">
        <f aca="false">INDEX(B4_MixFree,1,1)*Fleet_1GW_Prod!F38+INDEX(B4_MixFree,1,2)*Fleet_1GW_Prod!F39+INDEX(B4_MixFree,1,3)*Fleet_1GW_Prod!F40</f>
        <v>1</v>
      </c>
      <c r="G42" s="112" t="n">
        <f aca="false">INDEX(B4_MixFree,1,1)*Fleet_1GW_Prod!G38+INDEX(B4_MixFree,1,2)*Fleet_1GW_Prod!G39+INDEX(B4_MixFree,1,3)*Fleet_1GW_Prod!G40</f>
        <v>1</v>
      </c>
      <c r="H42" s="112" t="n">
        <f aca="false">INDEX(B4_MixFree,1,1)*Fleet_1GW_Prod!H38+INDEX(B4_MixFree,1,2)*Fleet_1GW_Prod!H39+INDEX(B4_MixFree,1,3)*Fleet_1GW_Prod!H40</f>
        <v>1</v>
      </c>
      <c r="I42" s="112" t="n">
        <f aca="false">INDEX(B4_MixFree,1,1)*Fleet_1GW_Prod!I38+INDEX(B4_MixFree,1,2)*Fleet_1GW_Prod!I39+INDEX(B4_MixFree,1,3)*Fleet_1GW_Prod!I40</f>
        <v>1</v>
      </c>
      <c r="J42" s="112" t="n">
        <f aca="false">INDEX(B4_MixFree,1,1)*Fleet_1GW_Prod!J38+INDEX(B4_MixFree,1,2)*Fleet_1GW_Prod!J39+INDEX(B4_MixFree,1,3)*Fleet_1GW_Prod!J40</f>
        <v>1</v>
      </c>
      <c r="K42" s="112" t="n">
        <f aca="false">INDEX(B4_MixFree,1,1)*Fleet_1GW_Prod!K38+INDEX(B4_MixFree,1,2)*Fleet_1GW_Prod!K39+INDEX(B4_MixFree,1,3)*Fleet_1GW_Prod!K40</f>
        <v>1</v>
      </c>
      <c r="L42" s="112" t="n">
        <f aca="false">INDEX(B4_MixFree,1,1)*Fleet_1GW_Prod!L38+INDEX(B4_MixFree,1,2)*Fleet_1GW_Prod!L39+INDEX(B4_MixFree,1,3)*Fleet_1GW_Prod!L40</f>
        <v>1</v>
      </c>
      <c r="M42" s="112" t="n">
        <f aca="false">INDEX(B4_MixFree,1,1)*Fleet_1GW_Prod!M38+INDEX(B4_MixFree,1,2)*Fleet_1GW_Prod!M39+INDEX(B4_MixFree,1,3)*Fleet_1GW_Prod!M40</f>
        <v>1</v>
      </c>
      <c r="N42" s="112" t="n">
        <f aca="false">INDEX(B4_MixFree,1,1)*Fleet_1GW_Prod!N38+INDEX(B4_MixFree,1,2)*Fleet_1GW_Prod!N39+INDEX(B4_MixFree,1,3)*Fleet_1GW_Prod!N40</f>
        <v>1</v>
      </c>
      <c r="O42" s="112" t="n">
        <f aca="false">INDEX(B4_MixFree,1,1)*Fleet_1GW_Prod!O38+INDEX(B4_MixFree,1,2)*Fleet_1GW_Prod!O39+INDEX(B4_MixFree,1,3)*Fleet_1GW_Prod!O40</f>
        <v>1</v>
      </c>
      <c r="P42" s="112" t="n">
        <f aca="false">INDEX(B4_MixFree,1,1)*Fleet_1GW_Prod!P38+INDEX(B4_MixFree,1,2)*Fleet_1GW_Prod!P39+INDEX(B4_MixFree,1,3)*Fleet_1GW_Prod!P40</f>
        <v>1</v>
      </c>
      <c r="Q42" s="112" t="n">
        <f aca="false">INDEX(B4_MixFree,1,1)*Fleet_1GW_Prod!Q38+INDEX(B4_MixFree,1,2)*Fleet_1GW_Prod!Q39+INDEX(B4_MixFree,1,3)*Fleet_1GW_Prod!Q40</f>
        <v>1</v>
      </c>
      <c r="S42" s="112" t="n">
        <f aca="false">INDEX(B4_MixFree,1,1)*Fleet_1GW_Prod!S38+INDEX(B4_MixFree,1,2)*Fleet_1GW_Prod!S39+INDEX(B4_MixFree,1,3)*Fleet_1GW_Prod!S40</f>
        <v>1</v>
      </c>
      <c r="T42" s="112" t="n">
        <f aca="false">INDEX(B4_MixFree,1,1)*Fleet_1GW_Prod!T38+INDEX(B4_MixFree,1,2)*Fleet_1GW_Prod!T39+INDEX(B4_MixFree,1,3)*Fleet_1GW_Prod!T40</f>
        <v>1</v>
      </c>
      <c r="U42" s="112" t="n">
        <f aca="false">INDEX(B4_MixFree,1,1)*Fleet_1GW_Prod!U38+INDEX(B4_MixFree,1,2)*Fleet_1GW_Prod!U39+INDEX(B4_MixFree,1,3)*Fleet_1GW_Prod!U40</f>
        <v>1</v>
      </c>
      <c r="V42" s="112" t="n">
        <f aca="false">INDEX(B4_MixFree,1,1)*Fleet_1GW_Prod!V38+INDEX(B4_MixFree,1,2)*Fleet_1GW_Prod!V39+INDEX(B4_MixFree,1,3)*Fleet_1GW_Prod!V40</f>
        <v>1</v>
      </c>
      <c r="W42" s="112" t="n">
        <f aca="false">INDEX(B4_MixFree,1,1)*Fleet_1GW_Prod!W38+INDEX(B4_MixFree,1,2)*Fleet_1GW_Prod!W39+INDEX(B4_MixFree,1,3)*Fleet_1GW_Prod!W40</f>
        <v>1</v>
      </c>
      <c r="X42" s="112" t="n">
        <f aca="false">INDEX(B4_MixFree,1,1)*Fleet_1GW_Prod!X38+INDEX(B4_MixFree,1,2)*Fleet_1GW_Prod!X39+INDEX(B4_MixFree,1,3)*Fleet_1GW_Prod!X40</f>
        <v>1</v>
      </c>
      <c r="Y42" s="112" t="n">
        <f aca="false">INDEX(B4_MixFree,1,1)*Fleet_1GW_Prod!Y38+INDEX(B4_MixFree,1,2)*Fleet_1GW_Prod!Y39+INDEX(B4_MixFree,1,3)*Fleet_1GW_Prod!Y40</f>
        <v>1</v>
      </c>
      <c r="Z42" s="112" t="n">
        <f aca="false">INDEX(B4_MixFree,1,1)*Fleet_1GW_Prod!Z38+INDEX(B4_MixFree,1,2)*Fleet_1GW_Prod!Z39+INDEX(B4_MixFree,1,3)*Fleet_1GW_Prod!Z40</f>
        <v>1</v>
      </c>
      <c r="AA42" s="112" t="n">
        <f aca="false">INDEX(B4_MixFree,1,1)*Fleet_1GW_Prod!AA38+INDEX(B4_MixFree,1,2)*Fleet_1GW_Prod!AA39+INDEX(B4_MixFree,1,3)*Fleet_1GW_Prod!AA40</f>
        <v>1</v>
      </c>
      <c r="AB42" s="112" t="n">
        <f aca="false">INDEX(B4_MixFree,1,1)*Fleet_1GW_Prod!AB38+INDEX(B4_MixFree,1,2)*Fleet_1GW_Prod!AB39+INDEX(B4_MixFree,1,3)*Fleet_1GW_Prod!AB40</f>
        <v>1</v>
      </c>
      <c r="AC42" s="112" t="n">
        <f aca="false">INDEX(B4_MixFree,1,1)*Fleet_1GW_Prod!AC38+INDEX(B4_MixFree,1,2)*Fleet_1GW_Prod!AC39+INDEX(B4_MixFree,1,3)*Fleet_1GW_Prod!AC40</f>
        <v>1</v>
      </c>
      <c r="AD42" s="112" t="n">
        <f aca="false">INDEX(B4_MixFree,1,1)*Fleet_1GW_Prod!AD38+INDEX(B4_MixFree,1,2)*Fleet_1GW_Prod!AD39+INDEX(B4_MixFree,1,3)*Fleet_1GW_Prod!AD40</f>
        <v>1</v>
      </c>
      <c r="AE42" s="112" t="n">
        <f aca="false">INDEX(B4_MixFree,1,1)*Fleet_1GW_Prod!AE38+INDEX(B4_MixFree,1,2)*Fleet_1GW_Prod!AE39+INDEX(B4_MixFree,1,3)*Fleet_1GW_Prod!AE40</f>
        <v>1</v>
      </c>
      <c r="AF42" s="112" t="n">
        <f aca="false">INDEX(B4_MixFree,1,1)*Fleet_1GW_Prod!AF38+INDEX(B4_MixFree,1,2)*Fleet_1GW_Prod!AF39+INDEX(B4_MixFree,1,3)*Fleet_1GW_Prod!AF40</f>
        <v>1</v>
      </c>
      <c r="AG42" s="112" t="n">
        <f aca="false">INDEX(B4_MixFree,1,1)*Fleet_1GW_Prod!AG38+INDEX(B4_MixFree,1,2)*Fleet_1GW_Prod!AG39+INDEX(B4_MixFree,1,3)*Fleet_1GW_Prod!AG40</f>
        <v>1</v>
      </c>
    </row>
    <row r="44" customFormat="false" ht="15" hidden="false" customHeight="false" outlineLevel="0" collapsed="false">
      <c r="A44" s="62" t="s">
        <v>2008</v>
      </c>
      <c r="B44" s="59" t="s">
        <v>113</v>
      </c>
      <c r="C44" s="112" t="n">
        <f aca="false">IF(Fleet_1GW_Prod!C41&gt;0,INDEX(B4_MixPaid,1,1)*Fleet_1GW_Prod!C38/Fleet_1GW_Prod!C41,0)</f>
        <v>0.4</v>
      </c>
      <c r="D44" s="112" t="n">
        <f aca="false">IF(Fleet_1GW_Prod!D41&gt;0,INDEX(B4_MixPaid,1,1)*Fleet_1GW_Prod!D38/Fleet_1GW_Prod!D41,0)</f>
        <v>0.4</v>
      </c>
      <c r="E44" s="112" t="n">
        <f aca="false">IF(Fleet_1GW_Prod!E41&gt;0,INDEX(B4_MixPaid,1,1)*Fleet_1GW_Prod!E38/Fleet_1GW_Prod!E41,0)</f>
        <v>0.4</v>
      </c>
      <c r="F44" s="112" t="n">
        <f aca="false">IF(Fleet_1GW_Prod!F41&gt;0,INDEX(B4_MixPaid,1,1)*Fleet_1GW_Prod!F38/Fleet_1GW_Prod!F41,0)</f>
        <v>0.4</v>
      </c>
      <c r="G44" s="112" t="n">
        <f aca="false">IF(Fleet_1GW_Prod!G41&gt;0,INDEX(B4_MixPaid,1,1)*Fleet_1GW_Prod!G38/Fleet_1GW_Prod!G41,0)</f>
        <v>0.4</v>
      </c>
      <c r="H44" s="112" t="n">
        <f aca="false">IF(Fleet_1GW_Prod!H41&gt;0,INDEX(B4_MixPaid,1,1)*Fleet_1GW_Prod!H38/Fleet_1GW_Prod!H41,0)</f>
        <v>0.4</v>
      </c>
      <c r="I44" s="112" t="n">
        <f aca="false">IF(Fleet_1GW_Prod!I41&gt;0,INDEX(B4_MixPaid,1,1)*Fleet_1GW_Prod!I38/Fleet_1GW_Prod!I41,0)</f>
        <v>0.4</v>
      </c>
      <c r="J44" s="112" t="n">
        <f aca="false">IF(Fleet_1GW_Prod!J41&gt;0,INDEX(B4_MixPaid,1,1)*Fleet_1GW_Prod!J38/Fleet_1GW_Prod!J41,0)</f>
        <v>0.4</v>
      </c>
      <c r="K44" s="112" t="n">
        <f aca="false">IF(Fleet_1GW_Prod!K41&gt;0,INDEX(B4_MixPaid,1,1)*Fleet_1GW_Prod!K38/Fleet_1GW_Prod!K41,0)</f>
        <v>0.4</v>
      </c>
      <c r="L44" s="112" t="n">
        <f aca="false">IF(Fleet_1GW_Prod!L41&gt;0,INDEX(B4_MixPaid,1,1)*Fleet_1GW_Prod!L38/Fleet_1GW_Prod!L41,0)</f>
        <v>0.4</v>
      </c>
      <c r="M44" s="112" t="n">
        <f aca="false">IF(Fleet_1GW_Prod!M41&gt;0,INDEX(B4_MixPaid,1,1)*Fleet_1GW_Prod!M38/Fleet_1GW_Prod!M41,0)</f>
        <v>0.4</v>
      </c>
      <c r="N44" s="112" t="n">
        <f aca="false">IF(Fleet_1GW_Prod!N41&gt;0,INDEX(B4_MixPaid,1,1)*Fleet_1GW_Prod!N38/Fleet_1GW_Prod!N41,0)</f>
        <v>0.4</v>
      </c>
      <c r="O44" s="112" t="n">
        <f aca="false">IF(Fleet_1GW_Prod!O41&gt;0,INDEX(B4_MixPaid,1,1)*Fleet_1GW_Prod!O38/Fleet_1GW_Prod!O41,0)</f>
        <v>0.4</v>
      </c>
      <c r="P44" s="112" t="n">
        <f aca="false">IF(Fleet_1GW_Prod!P41&gt;0,INDEX(B4_MixPaid,1,1)*Fleet_1GW_Prod!P38/Fleet_1GW_Prod!P41,0)</f>
        <v>0.4</v>
      </c>
      <c r="Q44" s="112" t="n">
        <f aca="false">IF(Fleet_1GW_Prod!Q41&gt;0,INDEX(B4_MixPaid,1,1)*Fleet_1GW_Prod!Q38/Fleet_1GW_Prod!Q41,0)</f>
        <v>0.4</v>
      </c>
      <c r="S44" s="112" t="n">
        <f aca="false">IF(Fleet_1GW_Prod!S41&gt;0,INDEX(B4_MixPaid,1,1)*Fleet_1GW_Prod!S38/Fleet_1GW_Prod!S41,0)</f>
        <v>0.4</v>
      </c>
      <c r="T44" s="112" t="n">
        <f aca="false">IF(Fleet_1GW_Prod!T41&gt;0,INDEX(B4_MixPaid,1,1)*Fleet_1GW_Prod!T38/Fleet_1GW_Prod!T41,0)</f>
        <v>0.4</v>
      </c>
      <c r="U44" s="112" t="n">
        <f aca="false">IF(Fleet_1GW_Prod!U41&gt;0,INDEX(B4_MixPaid,1,1)*Fleet_1GW_Prod!U38/Fleet_1GW_Prod!U41,0)</f>
        <v>0.4</v>
      </c>
      <c r="V44" s="112" t="n">
        <f aca="false">IF(Fleet_1GW_Prod!V41&gt;0,INDEX(B4_MixPaid,1,1)*Fleet_1GW_Prod!V38/Fleet_1GW_Prod!V41,0)</f>
        <v>0.4</v>
      </c>
      <c r="W44" s="112" t="n">
        <f aca="false">IF(Fleet_1GW_Prod!W41&gt;0,INDEX(B4_MixPaid,1,1)*Fleet_1GW_Prod!W38/Fleet_1GW_Prod!W41,0)</f>
        <v>0.4</v>
      </c>
      <c r="X44" s="112" t="n">
        <f aca="false">IF(Fleet_1GW_Prod!X41&gt;0,INDEX(B4_MixPaid,1,1)*Fleet_1GW_Prod!X38/Fleet_1GW_Prod!X41,0)</f>
        <v>0.4</v>
      </c>
      <c r="Y44" s="112" t="n">
        <f aca="false">IF(Fleet_1GW_Prod!Y41&gt;0,INDEX(B4_MixPaid,1,1)*Fleet_1GW_Prod!Y38/Fleet_1GW_Prod!Y41,0)</f>
        <v>0.4</v>
      </c>
      <c r="Z44" s="112" t="n">
        <f aca="false">IF(Fleet_1GW_Prod!Z41&gt;0,INDEX(B4_MixPaid,1,1)*Fleet_1GW_Prod!Z38/Fleet_1GW_Prod!Z41,0)</f>
        <v>0.4</v>
      </c>
      <c r="AA44" s="112" t="n">
        <f aca="false">IF(Fleet_1GW_Prod!AA41&gt;0,INDEX(B4_MixPaid,1,1)*Fleet_1GW_Prod!AA38/Fleet_1GW_Prod!AA41,0)</f>
        <v>0.4</v>
      </c>
      <c r="AB44" s="112" t="n">
        <f aca="false">IF(Fleet_1GW_Prod!AB41&gt;0,INDEX(B4_MixPaid,1,1)*Fleet_1GW_Prod!AB38/Fleet_1GW_Prod!AB41,0)</f>
        <v>0.4</v>
      </c>
      <c r="AC44" s="112" t="n">
        <f aca="false">IF(Fleet_1GW_Prod!AC41&gt;0,INDEX(B4_MixPaid,1,1)*Fleet_1GW_Prod!AC38/Fleet_1GW_Prod!AC41,0)</f>
        <v>0.4</v>
      </c>
      <c r="AD44" s="112" t="n">
        <f aca="false">IF(Fleet_1GW_Prod!AD41&gt;0,INDEX(B4_MixPaid,1,1)*Fleet_1GW_Prod!AD38/Fleet_1GW_Prod!AD41,0)</f>
        <v>0.4</v>
      </c>
      <c r="AE44" s="112" t="n">
        <f aca="false">IF(Fleet_1GW_Prod!AE41&gt;0,INDEX(B4_MixPaid,1,1)*Fleet_1GW_Prod!AE38/Fleet_1GW_Prod!AE41,0)</f>
        <v>0.4</v>
      </c>
      <c r="AF44" s="112" t="n">
        <f aca="false">IF(Fleet_1GW_Prod!AF41&gt;0,INDEX(B4_MixPaid,1,1)*Fleet_1GW_Prod!AF38/Fleet_1GW_Prod!AF41,0)</f>
        <v>0.4</v>
      </c>
      <c r="AG44" s="112" t="n">
        <f aca="false">IF(Fleet_1GW_Prod!AG41&gt;0,INDEX(B4_MixPaid,1,1)*Fleet_1GW_Prod!AG38/Fleet_1GW_Prod!AG41,0)</f>
        <v>0.4</v>
      </c>
    </row>
    <row r="45" customFormat="false" ht="15" hidden="false" customHeight="false" outlineLevel="0" collapsed="false">
      <c r="A45" s="62" t="s">
        <v>2009</v>
      </c>
      <c r="B45" s="59" t="s">
        <v>113</v>
      </c>
      <c r="C45" s="112" t="n">
        <f aca="false">IF(Fleet_1GW_Prod!C41&gt;0,INDEX(B4_MixPaid,1,2)*Fleet_1GW_Prod!C39/Fleet_1GW_Prod!C41,0)</f>
        <v>0.45</v>
      </c>
      <c r="D45" s="112" t="n">
        <f aca="false">IF(Fleet_1GW_Prod!D41&gt;0,INDEX(B4_MixPaid,1,2)*Fleet_1GW_Prod!D39/Fleet_1GW_Prod!D41,0)</f>
        <v>0.45</v>
      </c>
      <c r="E45" s="112" t="n">
        <f aca="false">IF(Fleet_1GW_Prod!E41&gt;0,INDEX(B4_MixPaid,1,2)*Fleet_1GW_Prod!E39/Fleet_1GW_Prod!E41,0)</f>
        <v>0.45</v>
      </c>
      <c r="F45" s="112" t="n">
        <f aca="false">IF(Fleet_1GW_Prod!F41&gt;0,INDEX(B4_MixPaid,1,2)*Fleet_1GW_Prod!F39/Fleet_1GW_Prod!F41,0)</f>
        <v>0.45</v>
      </c>
      <c r="G45" s="112" t="n">
        <f aca="false">IF(Fleet_1GW_Prod!G41&gt;0,INDEX(B4_MixPaid,1,2)*Fleet_1GW_Prod!G39/Fleet_1GW_Prod!G41,0)</f>
        <v>0.45</v>
      </c>
      <c r="H45" s="112" t="n">
        <f aca="false">IF(Fleet_1GW_Prod!H41&gt;0,INDEX(B4_MixPaid,1,2)*Fleet_1GW_Prod!H39/Fleet_1GW_Prod!H41,0)</f>
        <v>0.45</v>
      </c>
      <c r="I45" s="112" t="n">
        <f aca="false">IF(Fleet_1GW_Prod!I41&gt;0,INDEX(B4_MixPaid,1,2)*Fleet_1GW_Prod!I39/Fleet_1GW_Prod!I41,0)</f>
        <v>0.45</v>
      </c>
      <c r="J45" s="112" t="n">
        <f aca="false">IF(Fleet_1GW_Prod!J41&gt;0,INDEX(B4_MixPaid,1,2)*Fleet_1GW_Prod!J39/Fleet_1GW_Prod!J41,0)</f>
        <v>0.45</v>
      </c>
      <c r="K45" s="112" t="n">
        <f aca="false">IF(Fleet_1GW_Prod!K41&gt;0,INDEX(B4_MixPaid,1,2)*Fleet_1GW_Prod!K39/Fleet_1GW_Prod!K41,0)</f>
        <v>0.45</v>
      </c>
      <c r="L45" s="112" t="n">
        <f aca="false">IF(Fleet_1GW_Prod!L41&gt;0,INDEX(B4_MixPaid,1,2)*Fleet_1GW_Prod!L39/Fleet_1GW_Prod!L41,0)</f>
        <v>0.45</v>
      </c>
      <c r="M45" s="112" t="n">
        <f aca="false">IF(Fleet_1GW_Prod!M41&gt;0,INDEX(B4_MixPaid,1,2)*Fleet_1GW_Prod!M39/Fleet_1GW_Prod!M41,0)</f>
        <v>0.45</v>
      </c>
      <c r="N45" s="112" t="n">
        <f aca="false">IF(Fleet_1GW_Prod!N41&gt;0,INDEX(B4_MixPaid,1,2)*Fleet_1GW_Prod!N39/Fleet_1GW_Prod!N41,0)</f>
        <v>0.45</v>
      </c>
      <c r="O45" s="112" t="n">
        <f aca="false">IF(Fleet_1GW_Prod!O41&gt;0,INDEX(B4_MixPaid,1,2)*Fleet_1GW_Prod!O39/Fleet_1GW_Prod!O41,0)</f>
        <v>0.45</v>
      </c>
      <c r="P45" s="112" t="n">
        <f aca="false">IF(Fleet_1GW_Prod!P41&gt;0,INDEX(B4_MixPaid,1,2)*Fleet_1GW_Prod!P39/Fleet_1GW_Prod!P41,0)</f>
        <v>0.45</v>
      </c>
      <c r="Q45" s="112" t="n">
        <f aca="false">IF(Fleet_1GW_Prod!Q41&gt;0,INDEX(B4_MixPaid,1,2)*Fleet_1GW_Prod!Q39/Fleet_1GW_Prod!Q41,0)</f>
        <v>0.45</v>
      </c>
      <c r="S45" s="112" t="n">
        <f aca="false">IF(Fleet_1GW_Prod!S41&gt;0,INDEX(B4_MixPaid,1,2)*Fleet_1GW_Prod!S39/Fleet_1GW_Prod!S41,0)</f>
        <v>0.45</v>
      </c>
      <c r="T45" s="112" t="n">
        <f aca="false">IF(Fleet_1GW_Prod!T41&gt;0,INDEX(B4_MixPaid,1,2)*Fleet_1GW_Prod!T39/Fleet_1GW_Prod!T41,0)</f>
        <v>0.45</v>
      </c>
      <c r="U45" s="112" t="n">
        <f aca="false">IF(Fleet_1GW_Prod!U41&gt;0,INDEX(B4_MixPaid,1,2)*Fleet_1GW_Prod!U39/Fleet_1GW_Prod!U41,0)</f>
        <v>0.45</v>
      </c>
      <c r="V45" s="112" t="n">
        <f aca="false">IF(Fleet_1GW_Prod!V41&gt;0,INDEX(B4_MixPaid,1,2)*Fleet_1GW_Prod!V39/Fleet_1GW_Prod!V41,0)</f>
        <v>0.45</v>
      </c>
      <c r="W45" s="112" t="n">
        <f aca="false">IF(Fleet_1GW_Prod!W41&gt;0,INDEX(B4_MixPaid,1,2)*Fleet_1GW_Prod!W39/Fleet_1GW_Prod!W41,0)</f>
        <v>0.45</v>
      </c>
      <c r="X45" s="112" t="n">
        <f aca="false">IF(Fleet_1GW_Prod!X41&gt;0,INDEX(B4_MixPaid,1,2)*Fleet_1GW_Prod!X39/Fleet_1GW_Prod!X41,0)</f>
        <v>0.45</v>
      </c>
      <c r="Y45" s="112" t="n">
        <f aca="false">IF(Fleet_1GW_Prod!Y41&gt;0,INDEX(B4_MixPaid,1,2)*Fleet_1GW_Prod!Y39/Fleet_1GW_Prod!Y41,0)</f>
        <v>0.45</v>
      </c>
      <c r="Z45" s="112" t="n">
        <f aca="false">IF(Fleet_1GW_Prod!Z41&gt;0,INDEX(B4_MixPaid,1,2)*Fleet_1GW_Prod!Z39/Fleet_1GW_Prod!Z41,0)</f>
        <v>0.45</v>
      </c>
      <c r="AA45" s="112" t="n">
        <f aca="false">IF(Fleet_1GW_Prod!AA41&gt;0,INDEX(B4_MixPaid,1,2)*Fleet_1GW_Prod!AA39/Fleet_1GW_Prod!AA41,0)</f>
        <v>0.45</v>
      </c>
      <c r="AB45" s="112" t="n">
        <f aca="false">IF(Fleet_1GW_Prod!AB41&gt;0,INDEX(B4_MixPaid,1,2)*Fleet_1GW_Prod!AB39/Fleet_1GW_Prod!AB41,0)</f>
        <v>0.45</v>
      </c>
      <c r="AC45" s="112" t="n">
        <f aca="false">IF(Fleet_1GW_Prod!AC41&gt;0,INDEX(B4_MixPaid,1,2)*Fleet_1GW_Prod!AC39/Fleet_1GW_Prod!AC41,0)</f>
        <v>0.45</v>
      </c>
      <c r="AD45" s="112" t="n">
        <f aca="false">IF(Fleet_1GW_Prod!AD41&gt;0,INDEX(B4_MixPaid,1,2)*Fleet_1GW_Prod!AD39/Fleet_1GW_Prod!AD41,0)</f>
        <v>0.45</v>
      </c>
      <c r="AE45" s="112" t="n">
        <f aca="false">IF(Fleet_1GW_Prod!AE41&gt;0,INDEX(B4_MixPaid,1,2)*Fleet_1GW_Prod!AE39/Fleet_1GW_Prod!AE41,0)</f>
        <v>0.45</v>
      </c>
      <c r="AF45" s="112" t="n">
        <f aca="false">IF(Fleet_1GW_Prod!AF41&gt;0,INDEX(B4_MixPaid,1,2)*Fleet_1GW_Prod!AF39/Fleet_1GW_Prod!AF41,0)</f>
        <v>0.45</v>
      </c>
      <c r="AG45" s="112" t="n">
        <f aca="false">IF(Fleet_1GW_Prod!AG41&gt;0,INDEX(B4_MixPaid,1,2)*Fleet_1GW_Prod!AG39/Fleet_1GW_Prod!AG41,0)</f>
        <v>0.45</v>
      </c>
    </row>
    <row r="46" customFormat="false" ht="15" hidden="false" customHeight="false" outlineLevel="0" collapsed="false">
      <c r="A46" s="62" t="s">
        <v>2010</v>
      </c>
      <c r="B46" s="59" t="s">
        <v>113</v>
      </c>
      <c r="C46" s="112" t="n">
        <f aca="false">IF(Fleet_1GW_Prod!C41&gt;0,INDEX(B4_MixPaid,1,3)*Fleet_1GW_Prod!C40/Fleet_1GW_Prod!C41,0)</f>
        <v>0.15</v>
      </c>
      <c r="D46" s="112" t="n">
        <f aca="false">IF(Fleet_1GW_Prod!D41&gt;0,INDEX(B4_MixPaid,1,3)*Fleet_1GW_Prod!D40/Fleet_1GW_Prod!D41,0)</f>
        <v>0.15</v>
      </c>
      <c r="E46" s="112" t="n">
        <f aca="false">IF(Fleet_1GW_Prod!E41&gt;0,INDEX(B4_MixPaid,1,3)*Fleet_1GW_Prod!E40/Fleet_1GW_Prod!E41,0)</f>
        <v>0.15</v>
      </c>
      <c r="F46" s="112" t="n">
        <f aca="false">IF(Fleet_1GW_Prod!F41&gt;0,INDEX(B4_MixPaid,1,3)*Fleet_1GW_Prod!F40/Fleet_1GW_Prod!F41,0)</f>
        <v>0.15</v>
      </c>
      <c r="G46" s="112" t="n">
        <f aca="false">IF(Fleet_1GW_Prod!G41&gt;0,INDEX(B4_MixPaid,1,3)*Fleet_1GW_Prod!G40/Fleet_1GW_Prod!G41,0)</f>
        <v>0.15</v>
      </c>
      <c r="H46" s="112" t="n">
        <f aca="false">IF(Fleet_1GW_Prod!H41&gt;0,INDEX(B4_MixPaid,1,3)*Fleet_1GW_Prod!H40/Fleet_1GW_Prod!H41,0)</f>
        <v>0.15</v>
      </c>
      <c r="I46" s="112" t="n">
        <f aca="false">IF(Fleet_1GW_Prod!I41&gt;0,INDEX(B4_MixPaid,1,3)*Fleet_1GW_Prod!I40/Fleet_1GW_Prod!I41,0)</f>
        <v>0.15</v>
      </c>
      <c r="J46" s="112" t="n">
        <f aca="false">IF(Fleet_1GW_Prod!J41&gt;0,INDEX(B4_MixPaid,1,3)*Fleet_1GW_Prod!J40/Fleet_1GW_Prod!J41,0)</f>
        <v>0.15</v>
      </c>
      <c r="K46" s="112" t="n">
        <f aca="false">IF(Fleet_1GW_Prod!K41&gt;0,INDEX(B4_MixPaid,1,3)*Fleet_1GW_Prod!K40/Fleet_1GW_Prod!K41,0)</f>
        <v>0.15</v>
      </c>
      <c r="L46" s="112" t="n">
        <f aca="false">IF(Fleet_1GW_Prod!L41&gt;0,INDEX(B4_MixPaid,1,3)*Fleet_1GW_Prod!L40/Fleet_1GW_Prod!L41,0)</f>
        <v>0.15</v>
      </c>
      <c r="M46" s="112" t="n">
        <f aca="false">IF(Fleet_1GW_Prod!M41&gt;0,INDEX(B4_MixPaid,1,3)*Fleet_1GW_Prod!M40/Fleet_1GW_Prod!M41,0)</f>
        <v>0.15</v>
      </c>
      <c r="N46" s="112" t="n">
        <f aca="false">IF(Fleet_1GW_Prod!N41&gt;0,INDEX(B4_MixPaid,1,3)*Fleet_1GW_Prod!N40/Fleet_1GW_Prod!N41,0)</f>
        <v>0.15</v>
      </c>
      <c r="O46" s="112" t="n">
        <f aca="false">IF(Fleet_1GW_Prod!O41&gt;0,INDEX(B4_MixPaid,1,3)*Fleet_1GW_Prod!O40/Fleet_1GW_Prod!O41,0)</f>
        <v>0.15</v>
      </c>
      <c r="P46" s="112" t="n">
        <f aca="false">IF(Fleet_1GW_Prod!P41&gt;0,INDEX(B4_MixPaid,1,3)*Fleet_1GW_Prod!P40/Fleet_1GW_Prod!P41,0)</f>
        <v>0.15</v>
      </c>
      <c r="Q46" s="112" t="n">
        <f aca="false">IF(Fleet_1GW_Prod!Q41&gt;0,INDEX(B4_MixPaid,1,3)*Fleet_1GW_Prod!Q40/Fleet_1GW_Prod!Q41,0)</f>
        <v>0.15</v>
      </c>
      <c r="S46" s="112" t="n">
        <f aca="false">IF(Fleet_1GW_Prod!S41&gt;0,INDEX(B4_MixPaid,1,3)*Fleet_1GW_Prod!S40/Fleet_1GW_Prod!S41,0)</f>
        <v>0.15</v>
      </c>
      <c r="T46" s="112" t="n">
        <f aca="false">IF(Fleet_1GW_Prod!T41&gt;0,INDEX(B4_MixPaid,1,3)*Fleet_1GW_Prod!T40/Fleet_1GW_Prod!T41,0)</f>
        <v>0.15</v>
      </c>
      <c r="U46" s="112" t="n">
        <f aca="false">IF(Fleet_1GW_Prod!U41&gt;0,INDEX(B4_MixPaid,1,3)*Fleet_1GW_Prod!U40/Fleet_1GW_Prod!U41,0)</f>
        <v>0.15</v>
      </c>
      <c r="V46" s="112" t="n">
        <f aca="false">IF(Fleet_1GW_Prod!V41&gt;0,INDEX(B4_MixPaid,1,3)*Fleet_1GW_Prod!V40/Fleet_1GW_Prod!V41,0)</f>
        <v>0.15</v>
      </c>
      <c r="W46" s="112" t="n">
        <f aca="false">IF(Fleet_1GW_Prod!W41&gt;0,INDEX(B4_MixPaid,1,3)*Fleet_1GW_Prod!W40/Fleet_1GW_Prod!W41,0)</f>
        <v>0.15</v>
      </c>
      <c r="X46" s="112" t="n">
        <f aca="false">IF(Fleet_1GW_Prod!X41&gt;0,INDEX(B4_MixPaid,1,3)*Fleet_1GW_Prod!X40/Fleet_1GW_Prod!X41,0)</f>
        <v>0.15</v>
      </c>
      <c r="Y46" s="112" t="n">
        <f aca="false">IF(Fleet_1GW_Prod!Y41&gt;0,INDEX(B4_MixPaid,1,3)*Fleet_1GW_Prod!Y40/Fleet_1GW_Prod!Y41,0)</f>
        <v>0.15</v>
      </c>
      <c r="Z46" s="112" t="n">
        <f aca="false">IF(Fleet_1GW_Prod!Z41&gt;0,INDEX(B4_MixPaid,1,3)*Fleet_1GW_Prod!Z40/Fleet_1GW_Prod!Z41,0)</f>
        <v>0.15</v>
      </c>
      <c r="AA46" s="112" t="n">
        <f aca="false">IF(Fleet_1GW_Prod!AA41&gt;0,INDEX(B4_MixPaid,1,3)*Fleet_1GW_Prod!AA40/Fleet_1GW_Prod!AA41,0)</f>
        <v>0.15</v>
      </c>
      <c r="AB46" s="112" t="n">
        <f aca="false">IF(Fleet_1GW_Prod!AB41&gt;0,INDEX(B4_MixPaid,1,3)*Fleet_1GW_Prod!AB40/Fleet_1GW_Prod!AB41,0)</f>
        <v>0.15</v>
      </c>
      <c r="AC46" s="112" t="n">
        <f aca="false">IF(Fleet_1GW_Prod!AC41&gt;0,INDEX(B4_MixPaid,1,3)*Fleet_1GW_Prod!AC40/Fleet_1GW_Prod!AC41,0)</f>
        <v>0.15</v>
      </c>
      <c r="AD46" s="112" t="n">
        <f aca="false">IF(Fleet_1GW_Prod!AD41&gt;0,INDEX(B4_MixPaid,1,3)*Fleet_1GW_Prod!AD40/Fleet_1GW_Prod!AD41,0)</f>
        <v>0.15</v>
      </c>
      <c r="AE46" s="112" t="n">
        <f aca="false">IF(Fleet_1GW_Prod!AE41&gt;0,INDEX(B4_MixPaid,1,3)*Fleet_1GW_Prod!AE40/Fleet_1GW_Prod!AE41,0)</f>
        <v>0.15</v>
      </c>
      <c r="AF46" s="112" t="n">
        <f aca="false">IF(Fleet_1GW_Prod!AF41&gt;0,INDEX(B4_MixPaid,1,3)*Fleet_1GW_Prod!AF40/Fleet_1GW_Prod!AF41,0)</f>
        <v>0.15</v>
      </c>
      <c r="AG46" s="112" t="n">
        <f aca="false">IF(Fleet_1GW_Prod!AG41&gt;0,INDEX(B4_MixPaid,1,3)*Fleet_1GW_Prod!AG40/Fleet_1GW_Prod!AG41,0)</f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2747</v>
      </c>
    </row>
    <row r="2" customFormat="false" ht="15" hidden="false" customHeight="false" outlineLevel="0" collapsed="false">
      <c r="A2" s="74" t="s">
        <v>2748</v>
      </c>
    </row>
    <row r="3" customFormat="false" ht="15" hidden="false" customHeight="false" outlineLevel="0" collapsed="false">
      <c r="S3" s="60" t="s">
        <v>2722</v>
      </c>
    </row>
    <row r="4" customFormat="false" ht="15" hidden="false" customHeight="false" outlineLevel="0" collapsed="false">
      <c r="A4" s="92" t="str">
        <f aca="false">Amortize!A4</f>
        <v>世代</v>
      </c>
      <c r="C4" s="92" t="str">
        <f aca="false">Amortize!C4</f>
        <v>Hopper H100</v>
      </c>
      <c r="D4" s="92" t="str">
        <f aca="false">Amortize!D4</f>
        <v>Hopper H100</v>
      </c>
      <c r="E4" s="92" t="str">
        <f aca="false">Amortize!E4</f>
        <v>Hopper H100</v>
      </c>
      <c r="F4" s="92" t="str">
        <f aca="false">Amortize!F4</f>
        <v>GB200 NVL72</v>
      </c>
      <c r="G4" s="92" t="str">
        <f aca="false">Amortize!G4</f>
        <v>GB200 NVL72</v>
      </c>
      <c r="H4" s="92" t="str">
        <f aca="false">Amortize!H4</f>
        <v>GB200 NVL72</v>
      </c>
      <c r="I4" s="92" t="str">
        <f aca="false">Amortize!I4</f>
        <v>GB300 NVL72</v>
      </c>
      <c r="J4" s="92" t="str">
        <f aca="false">Amortize!J4</f>
        <v>GB300 NVL72</v>
      </c>
      <c r="K4" s="92" t="str">
        <f aca="false">Amortize!K4</f>
        <v>GB300 NVL72</v>
      </c>
      <c r="L4" s="92" t="str">
        <f aca="false">Amortize!L4</f>
        <v>VR200 NVL72</v>
      </c>
      <c r="M4" s="92" t="str">
        <f aca="false">Amortize!M4</f>
        <v>VR200 NVL72</v>
      </c>
      <c r="N4" s="92" t="str">
        <f aca="false">Amortize!N4</f>
        <v>VR200 NVL72</v>
      </c>
      <c r="O4" s="92" t="str">
        <f aca="false">Amortize!O4</f>
        <v>Rubin Ultra（MGX NVL 單架，72 GPU）</v>
      </c>
      <c r="P4" s="92" t="str">
        <f aca="false">Amortize!P4</f>
        <v>Rubin Ultra（MGX NVL 單架，72 GPU）</v>
      </c>
      <c r="Q4" s="92" t="str">
        <f aca="false">Amortize!Q4</f>
        <v>Rubin Ultra（MGX NVL 單架，72 GPU）</v>
      </c>
      <c r="S4" s="92" t="str">
        <f aca="false">Amortize!C4</f>
        <v>Hopper H100</v>
      </c>
      <c r="T4" s="92" t="str">
        <f aca="false">Amortize!D4</f>
        <v>Hopper H100</v>
      </c>
      <c r="U4" s="92" t="str">
        <f aca="false">Amortize!E4</f>
        <v>Hopper H100</v>
      </c>
      <c r="V4" s="92" t="str">
        <f aca="false">Amortize!F4</f>
        <v>GB200 NVL72</v>
      </c>
      <c r="W4" s="92" t="str">
        <f aca="false">Amortize!G4</f>
        <v>GB200 NVL72</v>
      </c>
      <c r="X4" s="92" t="str">
        <f aca="false">Amortize!H4</f>
        <v>GB200 NVL72</v>
      </c>
      <c r="Y4" s="92" t="str">
        <f aca="false">Amortize!I4</f>
        <v>GB300 NVL72</v>
      </c>
      <c r="Z4" s="92" t="str">
        <f aca="false">Amortize!J4</f>
        <v>GB300 NVL72</v>
      </c>
      <c r="AA4" s="92" t="str">
        <f aca="false">Amortize!K4</f>
        <v>GB300 NVL72</v>
      </c>
      <c r="AB4" s="92" t="str">
        <f aca="false">Amortize!L4</f>
        <v>VR200 NVL72</v>
      </c>
      <c r="AC4" s="92" t="str">
        <f aca="false">Amortize!M4</f>
        <v>VR200 NVL72</v>
      </c>
      <c r="AD4" s="92" t="str">
        <f aca="false">Amortize!N4</f>
        <v>VR200 NVL72</v>
      </c>
      <c r="AE4" s="92" t="str">
        <f aca="false">Amortize!O4</f>
        <v>Rubin Ultra（MGX NVL 單架，72 GPU）</v>
      </c>
      <c r="AF4" s="92" t="str">
        <f aca="false">Amortize!P4</f>
        <v>Rubin Ultra（MGX NVL 單架，72 GPU）</v>
      </c>
      <c r="AG4" s="92" t="str">
        <f aca="false">Amortize!Q4</f>
        <v>Rubin Ultra（MGX NVL 單架，72 GPU）</v>
      </c>
    </row>
    <row r="5" customFormat="false" ht="15" hidden="false" customHeight="false" outlineLevel="0" collapsed="false">
      <c r="A5" s="92" t="str">
        <f aca="false">Amortize!A5</f>
        <v>成本情境</v>
      </c>
      <c r="C5" s="92" t="str">
        <f aca="false">Amortize!C5</f>
        <v>低成本</v>
      </c>
      <c r="D5" s="92" t="str">
        <f aca="false">Amortize!D5</f>
        <v>基準</v>
      </c>
      <c r="E5" s="92" t="str">
        <f aca="false">Amortize!E5</f>
        <v>高成本</v>
      </c>
      <c r="F5" s="92" t="str">
        <f aca="false">Amortize!F5</f>
        <v>低成本</v>
      </c>
      <c r="G5" s="92" t="str">
        <f aca="false">Amortize!G5</f>
        <v>基準</v>
      </c>
      <c r="H5" s="92" t="str">
        <f aca="false">Amortize!H5</f>
        <v>高成本</v>
      </c>
      <c r="I5" s="92" t="str">
        <f aca="false">Amortize!I5</f>
        <v>低成本</v>
      </c>
      <c r="J5" s="92" t="str">
        <f aca="false">Amortize!J5</f>
        <v>基準</v>
      </c>
      <c r="K5" s="92" t="str">
        <f aca="false">Amortize!K5</f>
        <v>高成本</v>
      </c>
      <c r="L5" s="92" t="str">
        <f aca="false">Amortize!L5</f>
        <v>低成本</v>
      </c>
      <c r="M5" s="92" t="str">
        <f aca="false">Amortize!M5</f>
        <v>基準</v>
      </c>
      <c r="N5" s="92" t="str">
        <f aca="false">Amortize!N5</f>
        <v>高成本</v>
      </c>
      <c r="O5" s="92" t="str">
        <f aca="false">Amortize!O5</f>
        <v>低成本</v>
      </c>
      <c r="P5" s="92" t="str">
        <f aca="false">Amortize!P5</f>
        <v>基準</v>
      </c>
      <c r="Q5" s="92" t="str">
        <f aca="false">Amortize!Q5</f>
        <v>高成本</v>
      </c>
      <c r="S5" s="92" t="str">
        <f aca="false">Amortize!C5</f>
        <v>低成本</v>
      </c>
      <c r="T5" s="92" t="str">
        <f aca="false">Amortize!D5</f>
        <v>基準</v>
      </c>
      <c r="U5" s="92" t="str">
        <f aca="false">Amortize!E5</f>
        <v>高成本</v>
      </c>
      <c r="V5" s="92" t="str">
        <f aca="false">Amortize!F5</f>
        <v>低成本</v>
      </c>
      <c r="W5" s="92" t="str">
        <f aca="false">Amortize!G5</f>
        <v>基準</v>
      </c>
      <c r="X5" s="92" t="str">
        <f aca="false">Amortize!H5</f>
        <v>高成本</v>
      </c>
      <c r="Y5" s="92" t="str">
        <f aca="false">Amortize!I5</f>
        <v>低成本</v>
      </c>
      <c r="Z5" s="92" t="str">
        <f aca="false">Amortize!J5</f>
        <v>基準</v>
      </c>
      <c r="AA5" s="92" t="str">
        <f aca="false">Amortize!K5</f>
        <v>高成本</v>
      </c>
      <c r="AB5" s="92" t="str">
        <f aca="false">Amortize!L5</f>
        <v>低成本</v>
      </c>
      <c r="AC5" s="92" t="str">
        <f aca="false">Amortize!M5</f>
        <v>基準</v>
      </c>
      <c r="AD5" s="92" t="str">
        <f aca="false">Amortize!N5</f>
        <v>高成本</v>
      </c>
      <c r="AE5" s="92" t="str">
        <f aca="false">Amortize!O5</f>
        <v>低成本</v>
      </c>
      <c r="AF5" s="92" t="str">
        <f aca="false">Amortize!P5</f>
        <v>基準</v>
      </c>
      <c r="AG5" s="92" t="str">
        <f aca="false">Amortize!Q5</f>
        <v>高成本</v>
      </c>
    </row>
    <row r="6" customFormat="false" ht="15" hidden="false" customHeight="false" outlineLevel="0" collapsed="false">
      <c r="A6" s="92" t="str">
        <f aca="false">Amortize!A6</f>
        <v>世代索引</v>
      </c>
      <c r="C6" s="89" t="n">
        <f aca="false">Amortize!C6</f>
        <v>1</v>
      </c>
      <c r="D6" s="89" t="n">
        <f aca="false">Amortize!D6</f>
        <v>1</v>
      </c>
      <c r="E6" s="89" t="n">
        <f aca="false">Amortize!E6</f>
        <v>1</v>
      </c>
      <c r="F6" s="89" t="n">
        <f aca="false">Amortize!F6</f>
        <v>2</v>
      </c>
      <c r="G6" s="89" t="n">
        <f aca="false">Amortize!G6</f>
        <v>2</v>
      </c>
      <c r="H6" s="89" t="n">
        <f aca="false">Amortize!H6</f>
        <v>2</v>
      </c>
      <c r="I6" s="89" t="n">
        <f aca="false">Amortize!I6</f>
        <v>3</v>
      </c>
      <c r="J6" s="89" t="n">
        <f aca="false">Amortize!J6</f>
        <v>3</v>
      </c>
      <c r="K6" s="89" t="n">
        <f aca="false">Amortize!K6</f>
        <v>3</v>
      </c>
      <c r="L6" s="89" t="n">
        <f aca="false">Amortize!L6</f>
        <v>4</v>
      </c>
      <c r="M6" s="89" t="n">
        <f aca="false">Amortize!M6</f>
        <v>4</v>
      </c>
      <c r="N6" s="89" t="n">
        <f aca="false">Amortize!N6</f>
        <v>4</v>
      </c>
      <c r="O6" s="89" t="n">
        <f aca="false">Amortize!O6</f>
        <v>5</v>
      </c>
      <c r="P6" s="89" t="n">
        <f aca="false">Amortize!P6</f>
        <v>5</v>
      </c>
      <c r="Q6" s="89" t="n">
        <f aca="false">Amortize!Q6</f>
        <v>5</v>
      </c>
      <c r="S6" s="89" t="n">
        <f aca="false">Amortize!C6</f>
        <v>1</v>
      </c>
      <c r="T6" s="89" t="n">
        <f aca="false">Amortize!D6</f>
        <v>1</v>
      </c>
      <c r="U6" s="89" t="n">
        <f aca="false">Amortize!E6</f>
        <v>1</v>
      </c>
      <c r="V6" s="89" t="n">
        <f aca="false">Amortize!F6</f>
        <v>2</v>
      </c>
      <c r="W6" s="89" t="n">
        <f aca="false">Amortize!G6</f>
        <v>2</v>
      </c>
      <c r="X6" s="89" t="n">
        <f aca="false">Amortize!H6</f>
        <v>2</v>
      </c>
      <c r="Y6" s="89" t="n">
        <f aca="false">Amortize!I6</f>
        <v>3</v>
      </c>
      <c r="Z6" s="89" t="n">
        <f aca="false">Amortize!J6</f>
        <v>3</v>
      </c>
      <c r="AA6" s="89" t="n">
        <f aca="false">Amortize!K6</f>
        <v>3</v>
      </c>
      <c r="AB6" s="89" t="n">
        <f aca="false">Amortize!L6</f>
        <v>4</v>
      </c>
      <c r="AC6" s="89" t="n">
        <f aca="false">Amortize!M6</f>
        <v>4</v>
      </c>
      <c r="AD6" s="89" t="n">
        <f aca="false">Amortize!N6</f>
        <v>4</v>
      </c>
      <c r="AE6" s="89" t="n">
        <f aca="false">Amortize!O6</f>
        <v>5</v>
      </c>
      <c r="AF6" s="89" t="n">
        <f aca="false">Amortize!P6</f>
        <v>5</v>
      </c>
      <c r="AG6" s="89" t="n">
        <f aca="false">Amortize!Q6</f>
        <v>5</v>
      </c>
    </row>
    <row r="7" customFormat="false" ht="15" hidden="false" customHeight="false" outlineLevel="0" collapsed="false">
      <c r="A7" s="92" t="str">
        <f aca="false">Amortize!A7</f>
        <v>欄索引</v>
      </c>
      <c r="C7" s="89" t="n">
        <f aca="false">Amortize!C7</f>
        <v>1</v>
      </c>
      <c r="D7" s="89" t="n">
        <f aca="false">Amortize!D7</f>
        <v>2</v>
      </c>
      <c r="E7" s="89" t="n">
        <f aca="false">Amortize!E7</f>
        <v>3</v>
      </c>
      <c r="F7" s="89" t="n">
        <f aca="false">Amortize!F7</f>
        <v>4</v>
      </c>
      <c r="G7" s="89" t="n">
        <f aca="false">Amortize!G7</f>
        <v>5</v>
      </c>
      <c r="H7" s="89" t="n">
        <f aca="false">Amortize!H7</f>
        <v>6</v>
      </c>
      <c r="I7" s="89" t="n">
        <f aca="false">Amortize!I7</f>
        <v>7</v>
      </c>
      <c r="J7" s="89" t="n">
        <f aca="false">Amortize!J7</f>
        <v>8</v>
      </c>
      <c r="K7" s="89" t="n">
        <f aca="false">Amortize!K7</f>
        <v>9</v>
      </c>
      <c r="L7" s="89" t="n">
        <f aca="false">Amortize!L7</f>
        <v>10</v>
      </c>
      <c r="M7" s="89" t="n">
        <f aca="false">Amortize!M7</f>
        <v>11</v>
      </c>
      <c r="N7" s="89" t="n">
        <f aca="false">Amortize!N7</f>
        <v>12</v>
      </c>
      <c r="O7" s="89" t="n">
        <f aca="false">Amortize!O7</f>
        <v>13</v>
      </c>
      <c r="P7" s="89" t="n">
        <f aca="false">Amortize!P7</f>
        <v>14</v>
      </c>
      <c r="Q7" s="89" t="n">
        <f aca="false">Amortize!Q7</f>
        <v>15</v>
      </c>
      <c r="S7" s="89" t="n">
        <f aca="false">Amortize!C7</f>
        <v>1</v>
      </c>
      <c r="T7" s="89" t="n">
        <f aca="false">Amortize!D7</f>
        <v>2</v>
      </c>
      <c r="U7" s="89" t="n">
        <f aca="false">Amortize!E7</f>
        <v>3</v>
      </c>
      <c r="V7" s="89" t="n">
        <f aca="false">Amortize!F7</f>
        <v>4</v>
      </c>
      <c r="W7" s="89" t="n">
        <f aca="false">Amortize!G7</f>
        <v>5</v>
      </c>
      <c r="X7" s="89" t="n">
        <f aca="false">Amortize!H7</f>
        <v>6</v>
      </c>
      <c r="Y7" s="89" t="n">
        <f aca="false">Amortize!I7</f>
        <v>7</v>
      </c>
      <c r="Z7" s="89" t="n">
        <f aca="false">Amortize!J7</f>
        <v>8</v>
      </c>
      <c r="AA7" s="89" t="n">
        <f aca="false">Amortize!K7</f>
        <v>9</v>
      </c>
      <c r="AB7" s="89" t="n">
        <f aca="false">Amortize!L7</f>
        <v>10</v>
      </c>
      <c r="AC7" s="89" t="n">
        <f aca="false">Amortize!M7</f>
        <v>11</v>
      </c>
      <c r="AD7" s="89" t="n">
        <f aca="false">Amortize!N7</f>
        <v>12</v>
      </c>
      <c r="AE7" s="89" t="n">
        <f aca="false">Amortize!O7</f>
        <v>13</v>
      </c>
      <c r="AF7" s="89" t="n">
        <f aca="false">Amortize!P7</f>
        <v>14</v>
      </c>
      <c r="AG7" s="89" t="n">
        <f aca="false">Amortize!Q7</f>
        <v>15</v>
      </c>
    </row>
    <row r="10" customFormat="false" ht="15" hidden="false" customHeight="false" outlineLevel="0" collapsed="false">
      <c r="A10" s="61" t="s">
        <v>2016</v>
      </c>
      <c r="B10" s="59" t="s">
        <v>1021</v>
      </c>
      <c r="C10" s="98" t="n">
        <f aca="false">INDEX(Interface_Prod!$C$60:$Q$60,1,Amortize!C$7)</f>
        <v>71.9633832271829</v>
      </c>
      <c r="D10" s="98" t="n">
        <f aca="false">INDEX(Interface_Prod!$C$60:$Q$60,1,Amortize!D$7)</f>
        <v>102.8212800638</v>
      </c>
      <c r="E10" s="98" t="n">
        <f aca="false">INDEX(Interface_Prod!$C$60:$Q$60,1,Amortize!E$7)</f>
        <v>176.581956256295</v>
      </c>
      <c r="F10" s="98" t="n">
        <f aca="false">INDEX(Interface_Prod!$C$60:$Q$60,1,Amortize!F$7)</f>
        <v>27.4775824046781</v>
      </c>
      <c r="G10" s="98" t="n">
        <f aca="false">INDEX(Interface_Prod!$C$60:$Q$60,1,Amortize!G$7)</f>
        <v>36.6883525928678</v>
      </c>
      <c r="H10" s="98" t="n">
        <f aca="false">INDEX(Interface_Prod!$C$60:$Q$60,1,Amortize!H$7)</f>
        <v>59.5055585713732</v>
      </c>
      <c r="I10" s="98" t="n">
        <f aca="false">INDEX(Interface_Prod!$C$60:$Q$60,1,Amortize!I$7)</f>
        <v>30.2861025630403</v>
      </c>
      <c r="J10" s="98" t="n">
        <f aca="false">INDEX(Interface_Prod!$C$60:$Q$60,1,Amortize!J$7)</f>
        <v>39.1162541425544</v>
      </c>
      <c r="K10" s="98" t="n">
        <f aca="false">INDEX(Interface_Prod!$C$60:$Q$60,1,Amortize!K$7)</f>
        <v>66.5973298121782</v>
      </c>
      <c r="L10" s="98" t="n">
        <f aca="false">INDEX(Interface_Prod!$C$60:$Q$60,1,Amortize!L$7)</f>
        <v>23.1455603488781</v>
      </c>
      <c r="M10" s="98" t="n">
        <f aca="false">INDEX(Interface_Prod!$C$60:$Q$60,1,Amortize!M$7)</f>
        <v>29.748011853968</v>
      </c>
      <c r="N10" s="98" t="n">
        <f aca="false">INDEX(Interface_Prod!$C$60:$Q$60,1,Amortize!N$7)</f>
        <v>48.0588343455326</v>
      </c>
      <c r="O10" s="98" t="n">
        <f aca="false">INDEX(Interface_Prod!$C$60:$Q$60,1,Amortize!O$7)</f>
        <v>15.7174016683683</v>
      </c>
      <c r="P10" s="98" t="n">
        <f aca="false">INDEX(Interface_Prod!$C$60:$Q$60,1,Amortize!P$7)</f>
        <v>23.8882954288152</v>
      </c>
      <c r="Q10" s="98" t="n">
        <f aca="false">INDEX(Interface_Prod!$C$60:$Q$60,1,Amortize!Q$7)</f>
        <v>43.6090740867206</v>
      </c>
      <c r="S10" s="98" t="n">
        <f aca="false">INDEX(Interface_Prod!$S$60:$AG$60,1,Amortize!C$7)</f>
        <v>62.9827624661971</v>
      </c>
      <c r="T10" s="98" t="n">
        <f aca="false">INDEX(Interface_Prod!$S$60:$AG$60,1,Amortize!D$7)</f>
        <v>89.9897693565145</v>
      </c>
      <c r="U10" s="98" t="n">
        <f aca="false">INDEX(Interface_Prod!$S$60:$AG$60,1,Amortize!E$7)</f>
        <v>154.545532852403</v>
      </c>
      <c r="V10" s="98" t="n">
        <f aca="false">INDEX(Interface_Prod!$S$60:$AG$60,1,Amortize!F$7)</f>
        <v>25.0277109184711</v>
      </c>
      <c r="W10" s="98" t="n">
        <f aca="false">INDEX(Interface_Prod!$S$60:$AG$60,1,Amortize!G$7)</f>
        <v>33.4172588128753</v>
      </c>
      <c r="X10" s="98" t="n">
        <f aca="false">INDEX(Interface_Prod!$S$60:$AG$60,1,Amortize!H$7)</f>
        <v>54.2001074196734</v>
      </c>
      <c r="Y10" s="98" t="n">
        <f aca="false">INDEX(Interface_Prod!$S$60:$AG$60,1,Amortize!I$7)</f>
        <v>28.059514355151</v>
      </c>
      <c r="Z10" s="98" t="n">
        <f aca="false">INDEX(Interface_Prod!$S$60:$AG$60,1,Amortize!J$7)</f>
        <v>36.2404866175213</v>
      </c>
      <c r="AA10" s="98" t="n">
        <f aca="false">INDEX(Interface_Prod!$S$60:$AG$60,1,Amortize!K$7)</f>
        <v>61.7011953911825</v>
      </c>
      <c r="AB10" s="98" t="n">
        <f aca="false">INDEX(Interface_Prod!$S$60:$AG$60,1,Amortize!L$7)</f>
        <v>20.9678485935643</v>
      </c>
      <c r="AC10" s="98" t="n">
        <f aca="false">INDEX(Interface_Prod!$S$60:$AG$60,1,Amortize!M$7)</f>
        <v>26.9490908455707</v>
      </c>
      <c r="AD10" s="98" t="n">
        <f aca="false">INDEX(Interface_Prod!$S$60:$AG$60,1,Amortize!N$7)</f>
        <v>43.5370907833372</v>
      </c>
      <c r="AE10" s="98" t="n">
        <f aca="false">INDEX(Interface_Prod!$S$60:$AG$60,1,Amortize!O$7)</f>
        <v>14.4511701546132</v>
      </c>
      <c r="AF10" s="98" t="n">
        <f aca="false">INDEX(Interface_Prod!$S$60:$AG$60,1,Amortize!P$7)</f>
        <v>21.9637971484962</v>
      </c>
      <c r="AG10" s="98" t="n">
        <f aca="false">INDEX(Interface_Prod!$S$60:$AG$60,1,Amortize!Q$7)</f>
        <v>40.0958226562748</v>
      </c>
    </row>
    <row r="12" customFormat="false" ht="15" hidden="false" customHeight="false" outlineLevel="0" collapsed="false">
      <c r="A12" s="61" t="s">
        <v>2018</v>
      </c>
      <c r="B12" s="59" t="s">
        <v>2019</v>
      </c>
      <c r="C12" s="63" t="n">
        <f aca="false">IF(ISNUMBER(Fleet_1GW_Prod!C21),Fleet_1GW_Prod!C21*INDEX(B4_Life,1,1)/12,"SLO 不可達")</f>
        <v>1023828659.37178</v>
      </c>
      <c r="D12" s="63" t="n">
        <f aca="false">IF(ISNUMBER(Fleet_1GW_Prod!D21),Fleet_1GW_Prod!D21*INDEX(B4_Life,1,1)/12,"SLO 不可達")</f>
        <v>1023828659.37178</v>
      </c>
      <c r="E12" s="63" t="n">
        <f aca="false">IF(ISNUMBER(Fleet_1GW_Prod!E21),Fleet_1GW_Prod!E21*INDEX(B4_Life,1,1)/12,"SLO 不可達")</f>
        <v>1023828659.37178</v>
      </c>
      <c r="F12" s="63" t="n">
        <f aca="false">IF(ISNUMBER(Fleet_1GW_Prod!F21),Fleet_1GW_Prod!F21*INDEX(B4_Life,1,1)/12,"SLO 不可達")</f>
        <v>4749076457.20035</v>
      </c>
      <c r="G12" s="63" t="n">
        <f aca="false">IF(ISNUMBER(Fleet_1GW_Prod!G21),Fleet_1GW_Prod!G21*INDEX(B4_Life,1,1)/12,"SLO 不可達")</f>
        <v>4749076457.20035</v>
      </c>
      <c r="H12" s="63" t="n">
        <f aca="false">IF(ISNUMBER(Fleet_1GW_Prod!H21),Fleet_1GW_Prod!H21*INDEX(B4_Life,1,1)/12,"SLO 不可達")</f>
        <v>4749076457.20035</v>
      </c>
      <c r="I12" s="63" t="n">
        <f aca="false">IF(ISNUMBER(Fleet_1GW_Prod!I21),Fleet_1GW_Prod!I21*INDEX(B4_Life,1,1)/12,"SLO 不可達")</f>
        <v>6482320038.59857</v>
      </c>
      <c r="J12" s="63" t="n">
        <f aca="false">IF(ISNUMBER(Fleet_1GW_Prod!J21),Fleet_1GW_Prod!J21*INDEX(B4_Life,1,1)/12,"SLO 不可達")</f>
        <v>6482320038.59857</v>
      </c>
      <c r="K12" s="63" t="n">
        <f aca="false">IF(ISNUMBER(Fleet_1GW_Prod!K21),Fleet_1GW_Prod!K21*INDEX(B4_Life,1,1)/12,"SLO 不可達")</f>
        <v>6482320038.59857</v>
      </c>
      <c r="L12" s="63" t="n">
        <f aca="false">IF(ISNUMBER(Fleet_1GW_Prod!L21),Fleet_1GW_Prod!L21*INDEX(B4_Life,1,1)/12,"SLO 不可達")</f>
        <v>10844031486.5927</v>
      </c>
      <c r="M12" s="63" t="n">
        <f aca="false">IF(ISNUMBER(Fleet_1GW_Prod!M21),Fleet_1GW_Prod!M21*INDEX(B4_Life,1,1)/12,"SLO 不可達")</f>
        <v>10844031486.5927</v>
      </c>
      <c r="N12" s="63" t="n">
        <f aca="false">IF(ISNUMBER(Fleet_1GW_Prod!N21),Fleet_1GW_Prod!N21*INDEX(B4_Life,1,1)/12,"SLO 不可達")</f>
        <v>10844031486.5927</v>
      </c>
      <c r="O12" s="63" t="n">
        <f aca="false">IF(ISNUMBER(Fleet_1GW_Prod!O21),Fleet_1GW_Prod!O21*INDEX(B4_Life,1,1)/12,"SLO 不可達")</f>
        <v>15110790764.1748</v>
      </c>
      <c r="P12" s="63" t="n">
        <f aca="false">IF(ISNUMBER(Fleet_1GW_Prod!P21),Fleet_1GW_Prod!P21*INDEX(B4_Life,1,1)/12,"SLO 不可達")</f>
        <v>15110790764.1748</v>
      </c>
      <c r="Q12" s="63" t="n">
        <f aca="false">IF(ISNUMBER(Fleet_1GW_Prod!Q21),Fleet_1GW_Prod!Q21*INDEX(B4_Life,1,1)/12,"SLO 不可達")</f>
        <v>15110790764.1748</v>
      </c>
      <c r="S12" s="63" t="n">
        <f aca="false">IF(ISNUMBER(Fleet_1GW_Prod!S21),Fleet_1GW_Prod!S21*INDEX(B4_Life,1,1)/12,"SLO 不可達")</f>
        <v>1363415831.82172</v>
      </c>
      <c r="T12" s="63" t="n">
        <f aca="false">IF(ISNUMBER(Fleet_1GW_Prod!T21),Fleet_1GW_Prod!T21*INDEX(B4_Life,1,1)/12,"SLO 不可達")</f>
        <v>1363415831.82172</v>
      </c>
      <c r="U12" s="63" t="n">
        <f aca="false">IF(ISNUMBER(Fleet_1GW_Prod!U21),Fleet_1GW_Prod!U21*INDEX(B4_Life,1,1)/12,"SLO 不可達")</f>
        <v>1363415831.82172</v>
      </c>
      <c r="V12" s="63" t="n">
        <f aca="false">IF(ISNUMBER(Fleet_1GW_Prod!V21),Fleet_1GW_Prod!V21*INDEX(B4_Life,1,1)/12,"SLO 不可達")</f>
        <v>5950471071.75304</v>
      </c>
      <c r="W12" s="63" t="n">
        <f aca="false">IF(ISNUMBER(Fleet_1GW_Prod!W21),Fleet_1GW_Prod!W21*INDEX(B4_Life,1,1)/12,"SLO 不可達")</f>
        <v>5950471071.75304</v>
      </c>
      <c r="X12" s="63" t="n">
        <f aca="false">IF(ISNUMBER(Fleet_1GW_Prod!X21),Fleet_1GW_Prod!X21*INDEX(B4_Life,1,1)/12,"SLO 不可達")</f>
        <v>5950471071.75304</v>
      </c>
      <c r="Y12" s="63" t="n">
        <f aca="false">IF(ISNUMBER(Fleet_1GW_Prod!Y21),Fleet_1GW_Prod!Y21*INDEX(B4_Life,1,1)/12,"SLO 不可達")</f>
        <v>8183192797.42907</v>
      </c>
      <c r="Z12" s="63" t="n">
        <f aca="false">IF(ISNUMBER(Fleet_1GW_Prod!Z21),Fleet_1GW_Prod!Z21*INDEX(B4_Life,1,1)/12,"SLO 不可達")</f>
        <v>8183192797.42907</v>
      </c>
      <c r="AA12" s="63" t="n">
        <f aca="false">IF(ISNUMBER(Fleet_1GW_Prod!AA21),Fleet_1GW_Prod!AA21*INDEX(B4_Life,1,1)/12,"SLO 不可達")</f>
        <v>8183192797.42907</v>
      </c>
      <c r="AB12" s="63" t="n">
        <f aca="false">IF(ISNUMBER(Fleet_1GW_Prod!AB21),Fleet_1GW_Prod!AB21*INDEX(B4_Life,1,1)/12,"SLO 不可達")</f>
        <v>13457165575.443</v>
      </c>
      <c r="AC12" s="63" t="n">
        <f aca="false">IF(ISNUMBER(Fleet_1GW_Prod!AC21),Fleet_1GW_Prod!AC21*INDEX(B4_Life,1,1)/12,"SLO 不可達")</f>
        <v>13457165575.443</v>
      </c>
      <c r="AD12" s="63" t="n">
        <f aca="false">IF(ISNUMBER(Fleet_1GW_Prod!AD21),Fleet_1GW_Prod!AD21*INDEX(B4_Life,1,1)/12,"SLO 不可達")</f>
        <v>13457165575.443</v>
      </c>
      <c r="AE12" s="63" t="n">
        <f aca="false">IF(ISNUMBER(Fleet_1GW_Prod!AE21),Fleet_1GW_Prod!AE21*INDEX(B4_Life,1,1)/12,"SLO 不可達")</f>
        <v>18688482511.3726</v>
      </c>
      <c r="AF12" s="63" t="n">
        <f aca="false">IF(ISNUMBER(Fleet_1GW_Prod!AF21),Fleet_1GW_Prod!AF21*INDEX(B4_Life,1,1)/12,"SLO 不可達")</f>
        <v>18688482511.3726</v>
      </c>
      <c r="AG12" s="63" t="n">
        <f aca="false">IF(ISNUMBER(Fleet_1GW_Prod!AG21),Fleet_1GW_Prod!AG21*INDEX(B4_Life,1,1)/12,"SLO 不可達")</f>
        <v>18688482511.3726</v>
      </c>
    </row>
    <row r="13" customFormat="false" ht="15" hidden="false" customHeight="false" outlineLevel="0" collapsed="false">
      <c r="A13" s="61" t="s">
        <v>2020</v>
      </c>
      <c r="B13" s="59" t="s">
        <v>976</v>
      </c>
      <c r="C13" s="182" t="n">
        <f aca="false">IF(AND(ISNUMBER(Amortize_Prod!C12),ISNUMBER(Amortize_Prod!C10)),IF(Amortize_Prod!C12&gt;0,Amortize_Prod!C10*1000000/Amortize_Prod!C12,0),"SLO 不可達")</f>
        <v>0.0702885024446759</v>
      </c>
      <c r="D13" s="182" t="n">
        <f aca="false">IF(AND(ISNUMBER(Amortize_Prod!D12),ISNUMBER(Amortize_Prod!D10)),IF(Amortize_Prod!D12&gt;0,Amortize_Prod!D10*1000000/Amortize_Prod!D12,0),"SLO 不可達")</f>
        <v>0.10042821044577</v>
      </c>
      <c r="E13" s="182" t="n">
        <f aca="false">IF(AND(ISNUMBER(Amortize_Prod!E12),ISNUMBER(Amortize_Prod!E10)),IF(Amortize_Prod!E12&gt;0,Amortize_Prod!E10*1000000/Amortize_Prod!E12,0),"SLO 不可達")</f>
        <v>0.172472175534376</v>
      </c>
      <c r="F13" s="182" t="n">
        <f aca="false">IF(AND(ISNUMBER(Amortize_Prod!F12),ISNUMBER(Amortize_Prod!F10)),IF(Amortize_Prod!F12&gt;0,Amortize_Prod!F10*1000000/Amortize_Prod!F12,0),"SLO 不可達")</f>
        <v>0.0057858791393046</v>
      </c>
      <c r="G13" s="182" t="n">
        <f aca="false">IF(AND(ISNUMBER(Amortize_Prod!G12),ISNUMBER(Amortize_Prod!G10)),IF(Amortize_Prod!G12&gt;0,Amortize_Prod!G10*1000000/Amortize_Prod!G12,0),"SLO 不可達")</f>
        <v>0.00772536574711122</v>
      </c>
      <c r="H13" s="182" t="n">
        <f aca="false">IF(AND(ISNUMBER(Amortize_Prod!H12),ISNUMBER(Amortize_Prod!H10)),IF(Amortize_Prod!H12&gt;0,Amortize_Prod!H10*1000000/Amortize_Prod!H12,0),"SLO 不可達")</f>
        <v>0.0125299222085914</v>
      </c>
      <c r="I13" s="182" t="n">
        <f aca="false">IF(AND(ISNUMBER(Amortize_Prod!I12),ISNUMBER(Amortize_Prod!I10)),IF(Amortize_Prod!I12&gt;0,Amortize_Prod!I10*1000000/Amortize_Prod!I12,0),"SLO 不可達")</f>
        <v>0.00467210850169439</v>
      </c>
      <c r="J13" s="182" t="n">
        <f aca="false">IF(AND(ISNUMBER(Amortize_Prod!J12),ISNUMBER(Amortize_Prod!J10)),IF(Amortize_Prod!J12&gt;0,Amortize_Prod!J10*1000000/Amortize_Prod!J12,0),"SLO 不可達")</f>
        <v>0.00603429850881151</v>
      </c>
      <c r="K13" s="182" t="n">
        <f aca="false">IF(AND(ISNUMBER(Amortize_Prod!K12),ISNUMBER(Amortize_Prod!K10)),IF(Amortize_Prod!K12&gt;0,Amortize_Prod!K10*1000000/Amortize_Prod!K12,0),"SLO 不可達")</f>
        <v>0.0102736874167935</v>
      </c>
      <c r="L13" s="182" t="n">
        <f aca="false">IF(AND(ISNUMBER(Amortize_Prod!L12),ISNUMBER(Amortize_Prod!L10)),IF(Amortize_Prod!L12&gt;0,Amortize_Prod!L10*1000000/Amortize_Prod!L12,0),"SLO 不可達")</f>
        <v>0.00213440549093709</v>
      </c>
      <c r="M13" s="182" t="n">
        <f aca="false">IF(AND(ISNUMBER(Amortize_Prod!M12),ISNUMBER(Amortize_Prod!M10)),IF(Amortize_Prod!M12&gt;0,Amortize_Prod!M10*1000000/Amortize_Prod!M12,0),"SLO 不可達")</f>
        <v>0.00274326129454233</v>
      </c>
      <c r="N13" s="182" t="n">
        <f aca="false">IF(AND(ISNUMBER(Amortize_Prod!N12),ISNUMBER(Amortize_Prod!N10)),IF(Amortize_Prod!N12&gt;0,Amortize_Prod!N10*1000000/Amortize_Prod!N12,0),"SLO 不可達")</f>
        <v>0.00443182357086952</v>
      </c>
      <c r="O13" s="182" t="n">
        <f aca="false">IF(AND(ISNUMBER(Amortize_Prod!O12),ISNUMBER(Amortize_Prod!O10)),IF(Amortize_Prod!O12&gt;0,Amortize_Prod!O10*1000000/Amortize_Prod!O12,0),"SLO 不可達")</f>
        <v>0.00104014421969442</v>
      </c>
      <c r="P13" s="182" t="n">
        <f aca="false">IF(AND(ISNUMBER(Amortize_Prod!P12),ISNUMBER(Amortize_Prod!P10)),IF(Amortize_Prod!P12&gt;0,Amortize_Prod!P10*1000000/Amortize_Prod!P12,0),"SLO 不可達")</f>
        <v>0.00158087659353013</v>
      </c>
      <c r="Q13" s="182" t="n">
        <f aca="false">IF(AND(ISNUMBER(Amortize_Prod!Q12),ISNUMBER(Amortize_Prod!Q10)),IF(Amortize_Prod!Q12&gt;0,Amortize_Prod!Q10*1000000/Amortize_Prod!Q12,0),"SLO 不可達")</f>
        <v>0.00288595578929665</v>
      </c>
      <c r="S13" s="182" t="n">
        <f aca="false">IF(AND(ISNUMBER(Amortize_Prod!S12),ISNUMBER(Amortize_Prod!S10)),IF(Amortize_Prod!S12&gt;0,Amortize_Prod!S10*1000000/Amortize_Prod!S12,0),"SLO 不可達")</f>
        <v>0.0461948299236361</v>
      </c>
      <c r="T13" s="182" t="n">
        <f aca="false">IF(AND(ISNUMBER(Amortize_Prod!T12),ISNUMBER(Amortize_Prod!T10)),IF(Amortize_Prod!T12&gt;0,Amortize_Prod!T10*1000000/Amortize_Prod!T12,0),"SLO 不可達")</f>
        <v>0.0660031717808905</v>
      </c>
      <c r="U13" s="182" t="n">
        <f aca="false">IF(AND(ISNUMBER(Amortize_Prod!U12),ISNUMBER(Amortize_Prod!U10)),IF(Amortize_Prod!U12&gt;0,Amortize_Prod!U10*1000000/Amortize_Prod!U12,0),"SLO 不可達")</f>
        <v>0.113351722376516</v>
      </c>
      <c r="V13" s="182" t="n">
        <f aca="false">IF(AND(ISNUMBER(Amortize_Prod!V12),ISNUMBER(Amortize_Prod!V10)),IF(Amortize_Prod!V12&gt;0,Amortize_Prod!V10*1000000/Amortize_Prod!V12,0),"SLO 不可達")</f>
        <v>0.00420600497282946</v>
      </c>
      <c r="W13" s="182" t="n">
        <f aca="false">IF(AND(ISNUMBER(Amortize_Prod!W12),ISNUMBER(Amortize_Prod!W10)),IF(Amortize_Prod!W12&gt;0,Amortize_Prod!W10*1000000/Amortize_Prod!W12,0),"SLO 不可達")</f>
        <v>0.00561590139837962</v>
      </c>
      <c r="X13" s="182" t="n">
        <f aca="false">IF(AND(ISNUMBER(Amortize_Prod!X12),ISNUMBER(Amortize_Prod!X10)),IF(Amortize_Prod!X12&gt;0,Amortize_Prod!X10*1000000/Amortize_Prod!X12,0),"SLO 不可達")</f>
        <v>0.0091085406123495</v>
      </c>
      <c r="Y13" s="182" t="n">
        <f aca="false">IF(AND(ISNUMBER(Amortize_Prod!Y12),ISNUMBER(Amortize_Prod!Y10)),IF(Amortize_Prod!Y12&gt;0,Amortize_Prod!Y10*1000000/Amortize_Prod!Y12,0),"SLO 不可達")</f>
        <v>0.00342892011098242</v>
      </c>
      <c r="Z13" s="182" t="n">
        <f aca="false">IF(AND(ISNUMBER(Amortize_Prod!Z12),ISNUMBER(Amortize_Prod!Z10)),IF(Amortize_Prod!Z12&gt;0,Amortize_Prod!Z10*1000000/Amortize_Prod!Z12,0),"SLO 不可達")</f>
        <v>0.00442864875784267</v>
      </c>
      <c r="AA13" s="182" t="n">
        <f aca="false">IF(AND(ISNUMBER(Amortize_Prod!AA12),ISNUMBER(Amortize_Prod!AA10)),IF(Amortize_Prod!AA12&gt;0,Amortize_Prod!AA10*1000000/Amortize_Prod!AA12,0),"SLO 不可達")</f>
        <v>0.0075399904314325</v>
      </c>
      <c r="AB13" s="182" t="n">
        <f aca="false">IF(AND(ISNUMBER(Amortize_Prod!AB12),ISNUMBER(Amortize_Prod!AB10)),IF(Amortize_Prod!AB12&gt;0,Amortize_Prod!AB10*1000000/Amortize_Prod!AB12,0),"SLO 不可達")</f>
        <v>0.00155811775340172</v>
      </c>
      <c r="AC13" s="182" t="n">
        <f aca="false">IF(AND(ISNUMBER(Amortize_Prod!AC12),ISNUMBER(Amortize_Prod!AC10)),IF(Amortize_Prod!AC12&gt;0,Amortize_Prod!AC10*1000000/Amortize_Prod!AC12,0),"SLO 不可達")</f>
        <v>0.00200258298781343</v>
      </c>
      <c r="AD13" s="182" t="n">
        <f aca="false">IF(AND(ISNUMBER(Amortize_Prod!AD12),ISNUMBER(Amortize_Prod!AD10)),IF(Amortize_Prod!AD12&gt;0,Amortize_Prod!AD10*1000000/Amortize_Prod!AD12,0),"SLO 不可達")</f>
        <v>0.00323523483004361</v>
      </c>
      <c r="AE13" s="182" t="n">
        <f aca="false">IF(AND(ISNUMBER(Amortize_Prod!AE12),ISNUMBER(Amortize_Prod!AE10)),IF(Amortize_Prod!AE12&gt;0,Amortize_Prod!AE10*1000000/Amortize_Prod!AE12,0),"SLO 不可達")</f>
        <v>0.000773266108996229</v>
      </c>
      <c r="AF13" s="182" t="n">
        <f aca="false">IF(AND(ISNUMBER(Amortize_Prod!AF12),ISNUMBER(Amortize_Prod!AF10)),IF(Amortize_Prod!AF12&gt;0,Amortize_Prod!AF10*1000000/Amortize_Prod!AF12,0),"SLO 不可達")</f>
        <v>0.00117525845852548</v>
      </c>
      <c r="AG13" s="182" t="n">
        <f aca="false">IF(AND(ISNUMBER(Amortize_Prod!AG12),ISNUMBER(Amortize_Prod!AG10)),IF(Amortize_Prod!AG12&gt;0,Amortize_Prod!AG10*1000000/Amortize_Prod!AG12,0),"SLO 不可達")</f>
        <v>0.00214548306058959</v>
      </c>
    </row>
    <row r="14" customFormat="false" ht="15" hidden="false" customHeight="false" outlineLevel="0" collapsed="false">
      <c r="A14" s="61" t="s">
        <v>2021</v>
      </c>
      <c r="B14" s="59" t="s">
        <v>976</v>
      </c>
      <c r="C14" s="160" t="n">
        <f aca="false">IF(ISNUMBER(INDEX(Interface_Prod!$C$25:$Q$25,1,Amortize!C$7)),(INDEX(B4_ISL,1,1)*((1-B4_CacheHit)*INDEX(Interface_Prod!$C$23:$Q$23,1,Amortize!C$7)+B4_CacheHit*(INDEX(IF_CostCache_Luna,1,Amortize!C$7)+Cache_Store!C17))+INDEX(B4_OSL,1,1)*INDEX(Interface_Prod!$C$25:$Q$25,1,Amortize!C$7))/(INDEX(B4_ISL,1,1)+INDEX(B4_OSL,1,1))/IF_Util,"SLO 不可達")</f>
        <v>0.131006238983588</v>
      </c>
      <c r="D14" s="160" t="n">
        <f aca="false">IF(ISNUMBER(INDEX(Interface_Prod!$C$25:$Q$25,1,Amortize!D$7)),(INDEX(B4_ISL,1,1)*((1-B4_CacheHit)*INDEX(Interface_Prod!$C$23:$Q$23,1,Amortize!D$7)+B4_CacheHit*(INDEX(IF_CostCache_Luna,1,Amortize!D$7)+Cache_Store!D17))+INDEX(B4_OSL,1,1)*INDEX(Interface_Prod!$C$25:$Q$25,1,Amortize!D$7))/(INDEX(B4_ISL,1,1)+INDEX(B4_OSL,1,1))/IF_Util,"SLO 不可達")</f>
        <v>0.187177065876663</v>
      </c>
      <c r="E14" s="160" t="n">
        <f aca="false">IF(ISNUMBER(INDEX(Interface_Prod!$C$25:$Q$25,1,Amortize!E$7)),(INDEX(B4_ISL,1,1)*((1-B4_CacheHit)*INDEX(Interface_Prod!$C$23:$Q$23,1,Amortize!E$7)+B4_CacheHit*(INDEX(IF_CostCache_Luna,1,Amortize!E$7)+Cache_Store!E17))+INDEX(B4_OSL,1,1)*INDEX(Interface_Prod!$C$25:$Q$25,1,Amortize!E$7))/(INDEX(B4_ISL,1,1)+INDEX(B4_OSL,1,1))/IF_Util,"SLO 不可達")</f>
        <v>0.321444096318229</v>
      </c>
      <c r="F14" s="160" t="n">
        <f aca="false">IF(ISNUMBER(INDEX(Interface_Prod!$C$25:$Q$25,1,Amortize!F$7)),(INDEX(B4_ISL,1,1)*((1-B4_CacheHit)*INDEX(Interface_Prod!$C$23:$Q$23,1,Amortize!F$7)+B4_CacheHit*(INDEX(IF_CostCache_Luna,1,Amortize!F$7)+Cache_Store!F17))+INDEX(B4_OSL,1,1)*INDEX(Interface_Prod!$C$25:$Q$25,1,Amortize!F$7))/(INDEX(B4_ISL,1,1)+INDEX(B4_OSL,1,1))/IF_Util,"SLO 不可達")</f>
        <v>0.0275512634137063</v>
      </c>
      <c r="G14" s="160" t="n">
        <f aca="false">IF(ISNUMBER(INDEX(Interface_Prod!$C$25:$Q$25,1,Amortize!G$7)),(INDEX(B4_ISL,1,1)*((1-B4_CacheHit)*INDEX(Interface_Prod!$C$23:$Q$23,1,Amortize!G$7)+B4_CacheHit*(INDEX(IF_CostCache_Luna,1,Amortize!G$7)+Cache_Store!G17))+INDEX(B4_OSL,1,1)*INDEX(Interface_Prod!$C$25:$Q$25,1,Amortize!G$7))/(INDEX(B4_ISL,1,1)+INDEX(B4_OSL,1,1))/IF_Util,"SLO 不可達")</f>
        <v>0.0367831011007315</v>
      </c>
      <c r="H14" s="160" t="n">
        <f aca="false">IF(ISNUMBER(INDEX(Interface_Prod!$C$25:$Q$25,1,Amortize!H$7)),(INDEX(B4_ISL,1,1)*((1-B4_CacheHit)*INDEX(Interface_Prod!$C$23:$Q$23,1,Amortize!H$7)+B4_CacheHit*(INDEX(IF_CostCache_Luna,1,Amortize!H$7)+Cache_Store!H17))+INDEX(B4_OSL,1,1)*INDEX(Interface_Prod!$C$25:$Q$25,1,Amortize!H$7))/(INDEX(B4_ISL,1,1)+INDEX(B4_OSL,1,1))/IF_Util,"SLO 不可達")</f>
        <v>0.0596524961416669</v>
      </c>
      <c r="I14" s="160" t="n">
        <f aca="false">IF(ISNUMBER(INDEX(Interface_Prod!$C$25:$Q$25,1,Amortize!I$7)),(INDEX(B4_ISL,1,1)*((1-B4_CacheHit)*INDEX(Interface_Prod!$C$23:$Q$23,1,Amortize!I$7)+B4_CacheHit*(INDEX(IF_CostCache_Luna,1,Amortize!I$7)+Cache_Store!I17))+INDEX(B4_OSL,1,1)*INDEX(Interface_Prod!$C$25:$Q$25,1,Amortize!I$7))/(INDEX(B4_ISL,1,1)+INDEX(B4_OSL,1,1))/IF_Util,"SLO 不可達")</f>
        <v>0.0241305068577295</v>
      </c>
      <c r="J14" s="160" t="n">
        <f aca="false">IF(ISNUMBER(INDEX(Interface_Prod!$C$25:$Q$25,1,Amortize!J$7)),(INDEX(B4_ISL,1,1)*((1-B4_CacheHit)*INDEX(Interface_Prod!$C$23:$Q$23,1,Amortize!J$7)+B4_CacheHit*(INDEX(IF_CostCache_Luna,1,Amortize!J$7)+Cache_Store!J17))+INDEX(B4_OSL,1,1)*INDEX(Interface_Prod!$C$25:$Q$25,1,Amortize!J$7))/(INDEX(B4_ISL,1,1)+INDEX(B4_OSL,1,1))/IF_Util,"SLO 不可達")</f>
        <v>0.0311627877830961</v>
      </c>
      <c r="K14" s="160" t="n">
        <f aca="false">IF(ISNUMBER(INDEX(Interface_Prod!$C$25:$Q$25,1,Amortize!K$7)),(INDEX(B4_ISL,1,1)*((1-B4_CacheHit)*INDEX(Interface_Prod!$C$23:$Q$23,1,Amortize!K$7)+B4_CacheHit*(INDEX(IF_CostCache_Luna,1,Amortize!K$7)+Cache_Store!K17))+INDEX(B4_OSL,1,1)*INDEX(Interface_Prod!$C$25:$Q$25,1,Amortize!K$7))/(INDEX(B4_ISL,1,1)+INDEX(B4_OSL,1,1))/IF_Util,"SLO 不可達")</f>
        <v>0.0530485552583003</v>
      </c>
      <c r="L14" s="160" t="n">
        <f aca="false">IF(ISNUMBER(INDEX(Interface_Prod!$C$25:$Q$25,1,Amortize!L$7)),(INDEX(B4_ISL,1,1)*((1-B4_CacheHit)*INDEX(Interface_Prod!$C$23:$Q$23,1,Amortize!L$7)+B4_CacheHit*(INDEX(IF_CostCache_Luna,1,Amortize!L$7)+Cache_Store!L17))+INDEX(B4_OSL,1,1)*INDEX(Interface_Prod!$C$25:$Q$25,1,Amortize!L$7))/(INDEX(B4_ISL,1,1)+INDEX(B4_OSL,1,1))/IF_Util,"SLO 不可達")</f>
        <v>0.0188482139955083</v>
      </c>
      <c r="M14" s="160" t="n">
        <f aca="false">IF(ISNUMBER(INDEX(Interface_Prod!$C$25:$Q$25,1,Amortize!M$7)),(INDEX(B4_ISL,1,1)*((1-B4_CacheHit)*INDEX(Interface_Prod!$C$23:$Q$23,1,Amortize!M$7)+B4_CacheHit*(INDEX(IF_CostCache_Luna,1,Amortize!M$7)+Cache_Store!M17))+INDEX(B4_OSL,1,1)*INDEX(Interface_Prod!$C$25:$Q$25,1,Amortize!M$7))/(INDEX(B4_ISL,1,1)+INDEX(B4_OSL,1,1))/IF_Util,"SLO 不可達")</f>
        <v>0.0242217239247765</v>
      </c>
      <c r="N14" s="160" t="n">
        <f aca="false">IF(ISNUMBER(INDEX(Interface_Prod!$C$25:$Q$25,1,Amortize!N$7)),(INDEX(B4_ISL,1,1)*((1-B4_CacheHit)*INDEX(Interface_Prod!$C$23:$Q$23,1,Amortize!N$7)+B4_CacheHit*(INDEX(IF_CostCache_Luna,1,Amortize!N$7)+Cache_Store!N17))+INDEX(B4_OSL,1,1)*INDEX(Interface_Prod!$C$25:$Q$25,1,Amortize!N$7))/(INDEX(B4_ISL,1,1)+INDEX(B4_OSL,1,1))/IF_Util,"SLO 不可達")</f>
        <v>0.0391242773771781</v>
      </c>
      <c r="O14" s="160" t="n">
        <f aca="false">IF(ISNUMBER(INDEX(Interface_Prod!$C$25:$Q$25,1,Amortize!O$7)),(INDEX(B4_ISL,1,1)*((1-B4_CacheHit)*INDEX(Interface_Prod!$C$23:$Q$23,1,Amortize!O$7)+B4_CacheHit*(INDEX(IF_CostCache_Luna,1,Amortize!O$7)+Cache_Store!O17))+INDEX(B4_OSL,1,1)*INDEX(Interface_Prod!$C$25:$Q$25,1,Amortize!O$7))/(INDEX(B4_ISL,1,1)+INDEX(B4_OSL,1,1))/IF_Util,"SLO 不可達")</f>
        <v>0.014880829179871</v>
      </c>
      <c r="P14" s="160" t="n">
        <f aca="false">IF(ISNUMBER(INDEX(Interface_Prod!$C$25:$Q$25,1,Amortize!P$7)),(INDEX(B4_ISL,1,1)*((1-B4_CacheHit)*INDEX(Interface_Prod!$C$23:$Q$23,1,Amortize!P$7)+B4_CacheHit*(INDEX(IF_CostCache_Luna,1,Amortize!P$7)+Cache_Store!P17))+INDEX(B4_OSL,1,1)*INDEX(Interface_Prod!$C$25:$Q$25,1,Amortize!P$7))/(INDEX(B4_ISL,1,1)+INDEX(B4_OSL,1,1))/IF_Util,"SLO 不可達")</f>
        <v>0.0226111885820809</v>
      </c>
      <c r="Q14" s="160" t="n">
        <f aca="false">IF(ISNUMBER(INDEX(Interface_Prod!$C$25:$Q$25,1,Amortize!Q$7)),(INDEX(B4_ISL,1,1)*((1-B4_CacheHit)*INDEX(Interface_Prod!$C$23:$Q$23,1,Amortize!Q$7)+B4_CacheHit*(INDEX(IF_CostCache_Luna,1,Amortize!Q$7)+Cache_Store!Q17))+INDEX(B4_OSL,1,1)*INDEX(Interface_Prod!$C$25:$Q$25,1,Amortize!Q$7))/(INDEX(B4_ISL,1,1)+INDEX(B4_OSL,1,1))/IF_Util,"SLO 不可達")</f>
        <v>0.041268719959493</v>
      </c>
      <c r="S14" s="160" t="n">
        <f aca="false">IF(ISNUMBER(INDEX(Interface_Prod!$S$25:$AG$25,1,Amortize!C$7)),(INDEX(B4_ISL,1,1)*((1-B4_CacheHit)*INDEX(Interface_Prod!$S$23:$AG$23,1,Amortize!C$7)+B4_CacheHit*(INDEX(IF_CostCache_Luna,1,Amortize!C$7)+Cache_Store!C17))+INDEX(B4_OSL,1,1)*INDEX(Interface_Prod!$S$25:$AG$25,1,Amortize!C$7))/(INDEX(B4_ISL,1,1)+INDEX(B4_OSL,1,1))/IF_Util,"SLO 不可達")</f>
        <v>0.100869798218528</v>
      </c>
      <c r="T14" s="160" t="n">
        <f aca="false">IF(ISNUMBER(INDEX(Interface_Prod!$S$25:$AG$25,1,Amortize!D$7)),(INDEX(B4_ISL,1,1)*((1-B4_CacheHit)*INDEX(Interface_Prod!$S$23:$AG$23,1,Amortize!D$7)+B4_CacheHit*(INDEX(IF_CostCache_Luna,1,Amortize!D$7)+Cache_Store!D17))+INDEX(B4_OSL,1,1)*INDEX(Interface_Prod!$S$25:$AG$25,1,Amortize!D$7))/(INDEX(B4_ISL,1,1)+INDEX(B4_OSL,1,1))/IF_Util,"SLO 不可達")</f>
        <v>0.144118120103531</v>
      </c>
      <c r="U14" s="160" t="n">
        <f aca="false">IF(ISNUMBER(INDEX(Interface_Prod!$S$25:$AG$25,1,Amortize!E$7)),(INDEX(B4_ISL,1,1)*((1-B4_CacheHit)*INDEX(Interface_Prod!$S$23:$AG$23,1,Amortize!E$7)+B4_CacheHit*(INDEX(IF_CostCache_Luna,1,Amortize!E$7)+Cache_Store!E17))+INDEX(B4_OSL,1,1)*INDEX(Interface_Prod!$S$25:$AG$25,1,Amortize!E$7))/(INDEX(B4_ISL,1,1)+INDEX(B4_OSL,1,1))/IF_Util,"SLO 不可達")</f>
        <v>0.247496049044011</v>
      </c>
      <c r="V14" s="160" t="n">
        <f aca="false">IF(ISNUMBER(INDEX(Interface_Prod!$S$25:$AG$25,1,Amortize!F$7)),(INDEX(B4_ISL,1,1)*((1-B4_CacheHit)*INDEX(Interface_Prod!$S$23:$AG$23,1,Amortize!F$7)+B4_CacheHit*(INDEX(IF_CostCache_Luna,1,Amortize!F$7)+Cache_Store!F17))+INDEX(B4_OSL,1,1)*INDEX(Interface_Prod!$S$25:$AG$25,1,Amortize!F$7))/(INDEX(B4_ISL,1,1)+INDEX(B4_OSL,1,1))/IF_Util,"SLO 不可達")</f>
        <v>0.0222048608965624</v>
      </c>
      <c r="W14" s="160" t="n">
        <f aca="false">IF(ISNUMBER(INDEX(Interface_Prod!$S$25:$AG$25,1,Amortize!G$7)),(INDEX(B4_ISL,1,1)*((1-B4_CacheHit)*INDEX(Interface_Prod!$S$23:$AG$23,1,Amortize!G$7)+B4_CacheHit*(INDEX(IF_CostCache_Luna,1,Amortize!G$7)+Cache_Store!G17))+INDEX(B4_OSL,1,1)*INDEX(Interface_Prod!$S$25:$AG$25,1,Amortize!G$7))/(INDEX(B4_ISL,1,1)+INDEX(B4_OSL,1,1))/IF_Util,"SLO 不可達")</f>
        <v>0.0296445290908819</v>
      </c>
      <c r="X14" s="160" t="n">
        <f aca="false">IF(ISNUMBER(INDEX(Interface_Prod!$S$25:$AG$25,1,Amortize!H$7)),(INDEX(B4_ISL,1,1)*((1-B4_CacheHit)*INDEX(Interface_Prod!$S$23:$AG$23,1,Amortize!H$7)+B4_CacheHit*(INDEX(IF_CostCache_Luna,1,Amortize!H$7)+Cache_Store!H17))+INDEX(B4_OSL,1,1)*INDEX(Interface_Prod!$S$25:$AG$25,1,Amortize!H$7))/(INDEX(B4_ISL,1,1)+INDEX(B4_OSL,1,1))/IF_Util,"SLO 不可達")</f>
        <v>0.0480743062032436</v>
      </c>
      <c r="Y14" s="160" t="n">
        <f aca="false">IF(ISNUMBER(INDEX(Interface_Prod!$S$25:$AG$25,1,Amortize!I$7)),(INDEX(B4_ISL,1,1)*((1-B4_CacheHit)*INDEX(Interface_Prod!$S$23:$AG$23,1,Amortize!I$7)+B4_CacheHit*(INDEX(IF_CostCache_Luna,1,Amortize!I$7)+Cache_Store!I17))+INDEX(B4_OSL,1,1)*INDEX(Interface_Prod!$S$25:$AG$25,1,Amortize!I$7))/(INDEX(B4_ISL,1,1)+INDEX(B4_OSL,1,1))/IF_Util,"SLO 不可達")</f>
        <v>0.0194489819538409</v>
      </c>
      <c r="Z14" s="160" t="n">
        <f aca="false">IF(ISNUMBER(INDEX(Interface_Prod!$S$25:$AG$25,1,Amortize!J$7)),(INDEX(B4_ISL,1,1)*((1-B4_CacheHit)*INDEX(Interface_Prod!$S$23:$AG$23,1,Amortize!J$7)+B4_CacheHit*(INDEX(IF_CostCache_Luna,1,Amortize!J$7)+Cache_Store!J17))+INDEX(B4_OSL,1,1)*INDEX(Interface_Prod!$S$25:$AG$25,1,Amortize!J$7))/(INDEX(B4_ISL,1,1)+INDEX(B4_OSL,1,1))/IF_Util,"SLO 不可達")</f>
        <v>0.0251163274459156</v>
      </c>
      <c r="AA14" s="160" t="n">
        <f aca="false">IF(ISNUMBER(INDEX(Interface_Prod!$S$25:$AG$25,1,Amortize!K$7)),(INDEX(B4_ISL,1,1)*((1-B4_CacheHit)*INDEX(Interface_Prod!$S$23:$AG$23,1,Amortize!K$7)+B4_CacheHit*(INDEX(IF_CostCache_Luna,1,Amortize!K$7)+Cache_Store!K17))+INDEX(B4_OSL,1,1)*INDEX(Interface_Prod!$S$25:$AG$25,1,Amortize!K$7))/(INDEX(B4_ISL,1,1)+INDEX(B4_OSL,1,1))/IF_Util,"SLO 不可達")</f>
        <v>0.0427541617357521</v>
      </c>
      <c r="AB14" s="160" t="n">
        <f aca="false">IF(ISNUMBER(INDEX(Interface_Prod!$S$25:$AG$25,1,Amortize!L$7)),(INDEX(B4_ISL,1,1)*((1-B4_CacheHit)*INDEX(Interface_Prod!$S$23:$AG$23,1,Amortize!L$7)+B4_CacheHit*(INDEX(IF_CostCache_Luna,1,Amortize!L$7)+Cache_Store!L17))+INDEX(B4_OSL,1,1)*INDEX(Interface_Prod!$S$25:$AG$25,1,Amortize!L$7))/(INDEX(B4_ISL,1,1)+INDEX(B4_OSL,1,1))/IF_Util,"SLO 不可達")</f>
        <v>0.015230344804445</v>
      </c>
      <c r="AC14" s="160" t="n">
        <f aca="false">IF(ISNUMBER(INDEX(Interface_Prod!$S$25:$AG$25,1,Amortize!M$7)),(INDEX(B4_ISL,1,1)*((1-B4_CacheHit)*INDEX(Interface_Prod!$S$23:$AG$23,1,Amortize!M$7)+B4_CacheHit*(INDEX(IF_CostCache_Luna,1,Amortize!M$7)+Cache_Store!M17))+INDEX(B4_OSL,1,1)*INDEX(Interface_Prod!$S$25:$AG$25,1,Amortize!M$7))/(INDEX(B4_ISL,1,1)+INDEX(B4_OSL,1,1))/IF_Util,"SLO 不可達")</f>
        <v>0.0195718293463084</v>
      </c>
      <c r="AD14" s="160" t="n">
        <f aca="false">IF(ISNUMBER(INDEX(Interface_Prod!$S$25:$AG$25,1,Amortize!N$7)),(INDEX(B4_ISL,1,1)*((1-B4_CacheHit)*INDEX(Interface_Prod!$S$23:$AG$23,1,Amortize!N$7)+B4_CacheHit*(INDEX(IF_CostCache_Luna,1,Amortize!N$7)+Cache_Store!N17))+INDEX(B4_OSL,1,1)*INDEX(Interface_Prod!$S$25:$AG$25,1,Amortize!N$7))/(INDEX(B4_ISL,1,1)+INDEX(B4_OSL,1,1))/IF_Util,"SLO 不可達")</f>
        <v>0.0316122286941337</v>
      </c>
      <c r="AE14" s="160" t="n">
        <f aca="false">IF(ISNUMBER(INDEX(Interface_Prod!$S$25:$AG$25,1,Amortize!O$7)),(INDEX(B4_ISL,1,1)*((1-B4_CacheHit)*INDEX(Interface_Prod!$S$23:$AG$23,1,Amortize!O$7)+B4_CacheHit*(INDEX(IF_CostCache_Luna,1,Amortize!O$7)+Cache_Store!O17))+INDEX(B4_OSL,1,1)*INDEX(Interface_Prod!$S$25:$AG$25,1,Amortize!O$7))/(INDEX(B4_ISL,1,1)+INDEX(B4_OSL,1,1))/IF_Util,"SLO 不可達")</f>
        <v>0.0120358463245421</v>
      </c>
      <c r="AF14" s="160" t="n">
        <f aca="false">IF(ISNUMBER(INDEX(Interface_Prod!$S$25:$AG$25,1,Amortize!P$7)),(INDEX(B4_ISL,1,1)*((1-B4_CacheHit)*INDEX(Interface_Prod!$S$23:$AG$23,1,Amortize!P$7)+B4_CacheHit*(INDEX(IF_CostCache_Luna,1,Amortize!P$7)+Cache_Store!P17))+INDEX(B4_OSL,1,1)*INDEX(Interface_Prod!$S$25:$AG$25,1,Amortize!P$7))/(INDEX(B4_ISL,1,1)+INDEX(B4_OSL,1,1))/IF_Util,"SLO 不可達")</f>
        <v>0.0182872047346244</v>
      </c>
      <c r="AG14" s="160" t="n">
        <f aca="false">IF(ISNUMBER(INDEX(Interface_Prod!$S$25:$AG$25,1,Amortize!Q$7)),(INDEX(B4_ISL,1,1)*((1-B4_CacheHit)*INDEX(Interface_Prod!$S$23:$AG$23,1,Amortize!Q$7)+B4_CacheHit*(INDEX(IF_CostCache_Luna,1,Amortize!Q$7)+Cache_Store!Q17))+INDEX(B4_OSL,1,1)*INDEX(Interface_Prod!$S$25:$AG$25,1,Amortize!Q$7))/(INDEX(B4_ISL,1,1)+INDEX(B4_OSL,1,1))/IF_Util,"SLO 不可達")</f>
        <v>0.0333751081061308</v>
      </c>
    </row>
    <row r="19" customFormat="false" ht="15" hidden="false" customHeight="false" outlineLevel="0" collapsed="false">
      <c r="A19" s="61" t="s">
        <v>2016</v>
      </c>
      <c r="B19" s="59" t="s">
        <v>1021</v>
      </c>
      <c r="C19" s="98" t="n">
        <f aca="false">INDEX(Interface_Prod!$C$69:$Q$69,1,Amortize!C$7)</f>
        <v>195.382286277866</v>
      </c>
      <c r="D19" s="98" t="n">
        <f aca="false">INDEX(Interface_Prod!$C$69:$Q$69,1,Amortize!D$7)</f>
        <v>279.162205499165</v>
      </c>
      <c r="E19" s="98" t="n">
        <f aca="false">INDEX(Interface_Prod!$C$69:$Q$69,1,Amortize!E$7)</f>
        <v>479.424184655911</v>
      </c>
      <c r="F19" s="98" t="n">
        <f aca="false">INDEX(Interface_Prod!$C$69:$Q$69,1,Amortize!F$7)</f>
        <v>79.5923403673566</v>
      </c>
      <c r="G19" s="98" t="n">
        <f aca="false">INDEX(Interface_Prod!$C$69:$Q$69,1,Amortize!G$7)</f>
        <v>106.272517140809</v>
      </c>
      <c r="H19" s="98" t="n">
        <f aca="false">INDEX(Interface_Prod!$C$69:$Q$69,1,Amortize!H$7)</f>
        <v>172.365479677574</v>
      </c>
      <c r="I19" s="98" t="n">
        <f aca="false">INDEX(Interface_Prod!$C$69:$Q$69,1,Amortize!I$7)</f>
        <v>91.2329276300195</v>
      </c>
      <c r="J19" s="98" t="n">
        <f aca="false">INDEX(Interface_Prod!$C$69:$Q$69,1,Amortize!J$7)</f>
        <v>117.832605760907</v>
      </c>
      <c r="K19" s="98" t="n">
        <f aca="false">INDEX(Interface_Prod!$C$69:$Q$69,1,Amortize!K$7)</f>
        <v>200.61575630143</v>
      </c>
      <c r="L19" s="98" t="n">
        <f aca="false">INDEX(Interface_Prod!$C$69:$Q$69,1,Amortize!L$7)</f>
        <v>66.0090591651247</v>
      </c>
      <c r="M19" s="98" t="n">
        <f aca="false">INDEX(Interface_Prod!$C$69:$Q$69,1,Amortize!M$7)</f>
        <v>84.8386578209839</v>
      </c>
      <c r="N19" s="98" t="n">
        <f aca="false">INDEX(Interface_Prod!$C$69:$Q$69,1,Amortize!N$7)</f>
        <v>137.059478876473</v>
      </c>
      <c r="O19" s="98" t="n">
        <f aca="false">INDEX(Interface_Prod!$C$69:$Q$69,1,Amortize!O$7)</f>
        <v>46.4062309773387</v>
      </c>
      <c r="P19" s="98" t="n">
        <f aca="false">INDEX(Interface_Prod!$C$69:$Q$69,1,Amortize!P$7)</f>
        <v>70.5311080492091</v>
      </c>
      <c r="Q19" s="98" t="n">
        <f aca="false">INDEX(Interface_Prod!$C$69:$Q$69,1,Amortize!Q$7)</f>
        <v>128.757463063952</v>
      </c>
      <c r="S19" s="98" t="n">
        <f aca="false">INDEX(Interface_Prod!$S$69:$AG$69,1,Amortize!C$7)</f>
        <v>174.920108637806</v>
      </c>
      <c r="T19" s="98" t="n">
        <f aca="false">INDEX(Interface_Prod!$S$69:$AG$69,1,Amortize!D$7)</f>
        <v>249.925846624795</v>
      </c>
      <c r="U19" s="98" t="n">
        <f aca="false">INDEX(Interface_Prod!$S$69:$AG$69,1,Amortize!E$7)</f>
        <v>429.214603131113</v>
      </c>
      <c r="V19" s="98" t="n">
        <f aca="false">INDEX(Interface_Prod!$S$69:$AG$69,1,Amortize!F$7)</f>
        <v>74.0361250834957</v>
      </c>
      <c r="W19" s="98" t="n">
        <f aca="false">INDEX(Interface_Prod!$S$69:$AG$69,1,Amortize!G$7)</f>
        <v>98.8538009519539</v>
      </c>
      <c r="X19" s="98" t="n">
        <f aca="false">INDEX(Interface_Prod!$S$69:$AG$69,1,Amortize!H$7)</f>
        <v>160.332918401272</v>
      </c>
      <c r="Y19" s="98" t="n">
        <f aca="false">INDEX(Interface_Prod!$S$69:$AG$69,1,Amortize!I$7)</f>
        <v>86.2049176761941</v>
      </c>
      <c r="Z19" s="98" t="n">
        <f aca="false">INDEX(Interface_Prod!$S$69:$AG$69,1,Amortize!J$7)</f>
        <v>111.33863993035</v>
      </c>
      <c r="AA19" s="98" t="n">
        <f aca="false">INDEX(Interface_Prod!$S$69:$AG$69,1,Amortize!K$7)</f>
        <v>189.559462858032</v>
      </c>
      <c r="AB19" s="98" t="n">
        <f aca="false">INDEX(Interface_Prod!$S$69:$AG$69,1,Amortize!L$7)</f>
        <v>61.07819684623</v>
      </c>
      <c r="AC19" s="98" t="n">
        <f aca="false">INDEX(Interface_Prod!$S$69:$AG$69,1,Amortize!M$7)</f>
        <v>78.50122859042</v>
      </c>
      <c r="AD19" s="98" t="n">
        <f aca="false">INDEX(Interface_Prod!$S$69:$AG$69,1,Amortize!N$7)</f>
        <v>126.821165705719</v>
      </c>
      <c r="AE19" s="98" t="n">
        <f aca="false">INDEX(Interface_Prod!$S$69:$AG$69,1,Amortize!O$7)</f>
        <v>43.536770447398</v>
      </c>
      <c r="AF19" s="98" t="n">
        <f aca="false">INDEX(Interface_Prod!$S$69:$AG$69,1,Amortize!P$7)</f>
        <v>66.1699214926233</v>
      </c>
      <c r="AG19" s="98" t="n">
        <f aca="false">INDEX(Interface_Prod!$S$69:$AG$69,1,Amortize!Q$7)</f>
        <v>120.79593612207</v>
      </c>
    </row>
    <row r="21" customFormat="false" ht="15" hidden="false" customHeight="false" outlineLevel="0" collapsed="false">
      <c r="A21" s="61" t="s">
        <v>2018</v>
      </c>
      <c r="B21" s="59" t="s">
        <v>2019</v>
      </c>
      <c r="C21" s="63" t="n">
        <f aca="false">IF(ISNUMBER(Fleet_1GW_Prod!C24),Fleet_1GW_Prod!C24*INDEX(B4_Life,1,2)/12,"SLO 不可達")</f>
        <v>1151807241.79326</v>
      </c>
      <c r="D21" s="63" t="n">
        <f aca="false">IF(ISNUMBER(Fleet_1GW_Prod!D24),Fleet_1GW_Prod!D24*INDEX(B4_Life,1,2)/12,"SLO 不可達")</f>
        <v>1151807241.79326</v>
      </c>
      <c r="E21" s="63" t="n">
        <f aca="false">IF(ISNUMBER(Fleet_1GW_Prod!E24),Fleet_1GW_Prod!E24*INDEX(B4_Life,1,2)/12,"SLO 不可達")</f>
        <v>1151807241.79326</v>
      </c>
      <c r="F21" s="63" t="n">
        <f aca="false">IF(ISNUMBER(Fleet_1GW_Prod!F24),Fleet_1GW_Prod!F24*INDEX(B4_Life,1,2)/12,"SLO 不可達")</f>
        <v>5342711014.35039</v>
      </c>
      <c r="G21" s="63" t="n">
        <f aca="false">IF(ISNUMBER(Fleet_1GW_Prod!G24),Fleet_1GW_Prod!G24*INDEX(B4_Life,1,2)/12,"SLO 不可達")</f>
        <v>5342711014.35039</v>
      </c>
      <c r="H21" s="63" t="n">
        <f aca="false">IF(ISNUMBER(Fleet_1GW_Prod!H24),Fleet_1GW_Prod!H24*INDEX(B4_Life,1,2)/12,"SLO 不可達")</f>
        <v>5342711014.35039</v>
      </c>
      <c r="I21" s="63" t="n">
        <f aca="false">IF(ISNUMBER(Fleet_1GW_Prod!I24),Fleet_1GW_Prod!I24*INDEX(B4_Life,1,2)/12,"SLO 不可達")</f>
        <v>7292610043.42339</v>
      </c>
      <c r="J21" s="63" t="n">
        <f aca="false">IF(ISNUMBER(Fleet_1GW_Prod!J24),Fleet_1GW_Prod!J24*INDEX(B4_Life,1,2)/12,"SLO 不可達")</f>
        <v>7292610043.42339</v>
      </c>
      <c r="K21" s="63" t="n">
        <f aca="false">IF(ISNUMBER(Fleet_1GW_Prod!K24),Fleet_1GW_Prod!K24*INDEX(B4_Life,1,2)/12,"SLO 不可達")</f>
        <v>7292610043.42339</v>
      </c>
      <c r="L21" s="63" t="n">
        <f aca="false">IF(ISNUMBER(Fleet_1GW_Prod!L24),Fleet_1GW_Prod!L24*INDEX(B4_Life,1,2)/12,"SLO 不可達")</f>
        <v>12199535422.4168</v>
      </c>
      <c r="M21" s="63" t="n">
        <f aca="false">IF(ISNUMBER(Fleet_1GW_Prod!M24),Fleet_1GW_Prod!M24*INDEX(B4_Life,1,2)/12,"SLO 不可達")</f>
        <v>12199535422.4168</v>
      </c>
      <c r="N21" s="63" t="n">
        <f aca="false">IF(ISNUMBER(Fleet_1GW_Prod!N24),Fleet_1GW_Prod!N24*INDEX(B4_Life,1,2)/12,"SLO 不可達")</f>
        <v>12199535422.4168</v>
      </c>
      <c r="O21" s="63" t="n">
        <f aca="false">IF(ISNUMBER(Fleet_1GW_Prod!O24),Fleet_1GW_Prod!O24*INDEX(B4_Life,1,2)/12,"SLO 不可達")</f>
        <v>16999639609.6966</v>
      </c>
      <c r="P21" s="63" t="n">
        <f aca="false">IF(ISNUMBER(Fleet_1GW_Prod!P24),Fleet_1GW_Prod!P24*INDEX(B4_Life,1,2)/12,"SLO 不可達")</f>
        <v>16999639609.6966</v>
      </c>
      <c r="Q21" s="63" t="n">
        <f aca="false">IF(ISNUMBER(Fleet_1GW_Prod!Q24),Fleet_1GW_Prod!Q24*INDEX(B4_Life,1,2)/12,"SLO 不可達")</f>
        <v>16999639609.6966</v>
      </c>
      <c r="S21" s="63" t="n">
        <f aca="false">IF(ISNUMBER(Fleet_1GW_Prod!S24),Fleet_1GW_Prod!S24*INDEX(B4_Life,1,2)/12,"SLO 不可達")</f>
        <v>1533842810.79943</v>
      </c>
      <c r="T21" s="63" t="n">
        <f aca="false">IF(ISNUMBER(Fleet_1GW_Prod!T24),Fleet_1GW_Prod!T24*INDEX(B4_Life,1,2)/12,"SLO 不可達")</f>
        <v>1533842810.79943</v>
      </c>
      <c r="U21" s="63" t="n">
        <f aca="false">IF(ISNUMBER(Fleet_1GW_Prod!U24),Fleet_1GW_Prod!U24*INDEX(B4_Life,1,2)/12,"SLO 不可達")</f>
        <v>1533842810.79943</v>
      </c>
      <c r="V21" s="63" t="n">
        <f aca="false">IF(ISNUMBER(Fleet_1GW_Prod!V24),Fleet_1GW_Prod!V24*INDEX(B4_Life,1,2)/12,"SLO 不可達")</f>
        <v>6694279955.72217</v>
      </c>
      <c r="W21" s="63" t="n">
        <f aca="false">IF(ISNUMBER(Fleet_1GW_Prod!W24),Fleet_1GW_Prod!W24*INDEX(B4_Life,1,2)/12,"SLO 不可達")</f>
        <v>6694279955.72217</v>
      </c>
      <c r="X21" s="63" t="n">
        <f aca="false">IF(ISNUMBER(Fleet_1GW_Prod!X24),Fleet_1GW_Prod!X24*INDEX(B4_Life,1,2)/12,"SLO 不可達")</f>
        <v>6694279955.72217</v>
      </c>
      <c r="Y21" s="63" t="n">
        <f aca="false">IF(ISNUMBER(Fleet_1GW_Prod!Y24),Fleet_1GW_Prod!Y24*INDEX(B4_Life,1,2)/12,"SLO 不可達")</f>
        <v>9206091897.1077</v>
      </c>
      <c r="Z21" s="63" t="n">
        <f aca="false">IF(ISNUMBER(Fleet_1GW_Prod!Z24),Fleet_1GW_Prod!Z24*INDEX(B4_Life,1,2)/12,"SLO 不可達")</f>
        <v>9206091897.1077</v>
      </c>
      <c r="AA21" s="63" t="n">
        <f aca="false">IF(ISNUMBER(Fleet_1GW_Prod!AA24),Fleet_1GW_Prod!AA24*INDEX(B4_Life,1,2)/12,"SLO 不可達")</f>
        <v>9206091897.1077</v>
      </c>
      <c r="AB21" s="63" t="n">
        <f aca="false">IF(ISNUMBER(Fleet_1GW_Prod!AB24),Fleet_1GW_Prod!AB24*INDEX(B4_Life,1,2)/12,"SLO 不可達")</f>
        <v>15139311272.3734</v>
      </c>
      <c r="AC21" s="63" t="n">
        <f aca="false">IF(ISNUMBER(Fleet_1GW_Prod!AC24),Fleet_1GW_Prod!AC24*INDEX(B4_Life,1,2)/12,"SLO 不可達")</f>
        <v>15139311272.3734</v>
      </c>
      <c r="AD21" s="63" t="n">
        <f aca="false">IF(ISNUMBER(Fleet_1GW_Prod!AD24),Fleet_1GW_Prod!AD24*INDEX(B4_Life,1,2)/12,"SLO 不可達")</f>
        <v>15139311272.3734</v>
      </c>
      <c r="AE21" s="63" t="n">
        <f aca="false">IF(ISNUMBER(Fleet_1GW_Prod!AE24),Fleet_1GW_Prod!AE24*INDEX(B4_Life,1,2)/12,"SLO 不可達")</f>
        <v>21024542825.2942</v>
      </c>
      <c r="AF21" s="63" t="n">
        <f aca="false">IF(ISNUMBER(Fleet_1GW_Prod!AF24),Fleet_1GW_Prod!AF24*INDEX(B4_Life,1,2)/12,"SLO 不可達")</f>
        <v>21024542825.2942</v>
      </c>
      <c r="AG21" s="63" t="n">
        <f aca="false">IF(ISNUMBER(Fleet_1GW_Prod!AG24),Fleet_1GW_Prod!AG24*INDEX(B4_Life,1,2)/12,"SLO 不可達")</f>
        <v>21024542825.2942</v>
      </c>
    </row>
    <row r="22" customFormat="false" ht="15" hidden="false" customHeight="false" outlineLevel="0" collapsed="false">
      <c r="A22" s="61" t="s">
        <v>2024</v>
      </c>
      <c r="B22" s="59" t="s">
        <v>976</v>
      </c>
      <c r="C22" s="182" t="n">
        <f aca="false">IF(AND(ISNUMBER(Amortize_Prod!C21),ISNUMBER(Amortize_Prod!C19)),IF(Amortize_Prod!C21&gt;0,Amortize_Prod!C19*1000000/Amortize_Prod!C21,0),"SLO 不可達")</f>
        <v>0.169631062549732</v>
      </c>
      <c r="D22" s="182" t="n">
        <f aca="false">IF(AND(ISNUMBER(Amortize_Prod!D21),ISNUMBER(Amortize_Prod!D19)),IF(Amortize_Prod!D21&gt;0,Amortize_Prod!D19*1000000/Amortize_Prod!D21,0),"SLO 不可達")</f>
        <v>0.24236885771315</v>
      </c>
      <c r="E22" s="182" t="n">
        <f aca="false">IF(AND(ISNUMBER(Amortize_Prod!E21),ISNUMBER(Amortize_Prod!E19)),IF(Amortize_Prod!E21&gt;0,Amortize_Prod!E19*1000000/Amortize_Prod!E21,0),"SLO 不可達")</f>
        <v>0.416236473656383</v>
      </c>
      <c r="F22" s="182" t="n">
        <f aca="false">IF(AND(ISNUMBER(Amortize_Prod!F21),ISNUMBER(Amortize_Prod!F19)),IF(Amortize_Prod!F21&gt;0,Amortize_Prod!F19*1000000/Amortize_Prod!F21,0),"SLO 不可達")</f>
        <v>0.0148973695477022</v>
      </c>
      <c r="G22" s="182" t="n">
        <f aca="false">IF(AND(ISNUMBER(Amortize_Prod!G21),ISNUMBER(Amortize_Prod!G19)),IF(Amortize_Prod!G21&gt;0,Amortize_Prod!G19*1000000/Amortize_Prod!G21,0),"SLO 不可達")</f>
        <v>0.0198911221017501</v>
      </c>
      <c r="H22" s="182" t="n">
        <f aca="false">IF(AND(ISNUMBER(Amortize_Prod!H21),ISNUMBER(Amortize_Prod!H19)),IF(Amortize_Prod!H21&gt;0,Amortize_Prod!H19*1000000/Amortize_Prod!H21,0),"SLO 不可達")</f>
        <v>0.0322618010247241</v>
      </c>
      <c r="I22" s="182" t="n">
        <f aca="false">IF(AND(ISNUMBER(Amortize_Prod!I21),ISNUMBER(Amortize_Prod!I19)),IF(Amortize_Prod!I21&gt;0,Amortize_Prod!I19*1000000/Amortize_Prod!I21,0),"SLO 不可達")</f>
        <v>0.0125103258074652</v>
      </c>
      <c r="J22" s="182" t="n">
        <f aca="false">IF(AND(ISNUMBER(Amortize_Prod!J21),ISNUMBER(Amortize_Prod!J19)),IF(Amortize_Prod!J21&gt;0,Amortize_Prod!J19*1000000/Amortize_Prod!J21,0),"SLO 不可達")</f>
        <v>0.0161578097634838</v>
      </c>
      <c r="K22" s="182" t="n">
        <f aca="false">IF(AND(ISNUMBER(Amortize_Prod!K21),ISNUMBER(Amortize_Prod!K19)),IF(Amortize_Prod!K21&gt;0,Amortize_Prod!K19*1000000/Amortize_Prod!K21,0),"SLO 不可達")</f>
        <v>0.0275094589052309</v>
      </c>
      <c r="L22" s="182" t="n">
        <f aca="false">IF(AND(ISNUMBER(Amortize_Prod!L21),ISNUMBER(Amortize_Prod!L19)),IF(Amortize_Prod!L21&gt;0,Amortize_Prod!L19*1000000/Amortize_Prod!L21,0),"SLO 不可達")</f>
        <v>0.00541078466347435</v>
      </c>
      <c r="M22" s="182" t="n">
        <f aca="false">IF(AND(ISNUMBER(Amortize_Prod!M21),ISNUMBER(Amortize_Prod!M19)),IF(Amortize_Prod!M21&gt;0,Amortize_Prod!M19*1000000/Amortize_Prod!M21,0),"SLO 不可達")</f>
        <v>0.00695425316484528</v>
      </c>
      <c r="N22" s="182" t="n">
        <f aca="false">IF(AND(ISNUMBER(Amortize_Prod!N21),ISNUMBER(Amortize_Prod!N19)),IF(Amortize_Prod!N21&gt;0,Amortize_Prod!N19*1000000/Amortize_Prod!N21,0),"SLO 不可達")</f>
        <v>0.0112348113375387</v>
      </c>
      <c r="O22" s="182" t="n">
        <f aca="false">IF(AND(ISNUMBER(Amortize_Prod!O21),ISNUMBER(Amortize_Prod!O19)),IF(Amortize_Prod!O21&gt;0,Amortize_Prod!O19*1000000/Amortize_Prod!O21,0),"SLO 不可達")</f>
        <v>0.00272983616375423</v>
      </c>
      <c r="P22" s="182" t="n">
        <f aca="false">IF(AND(ISNUMBER(Amortize_Prod!P21),ISNUMBER(Amortize_Prod!P19)),IF(Amortize_Prod!P21&gt;0,Amortize_Prod!P19*1000000/Amortize_Prod!P21,0),"SLO 不可達")</f>
        <v>0.00414897666471576</v>
      </c>
      <c r="Q22" s="182" t="n">
        <f aca="false">IF(AND(ISNUMBER(Amortize_Prod!Q21),ISNUMBER(Amortize_Prod!Q19)),IF(Amortize_Prod!Q21&gt;0,Amortize_Prod!Q19*1000000/Amortize_Prod!Q21,0),"SLO 不可達")</f>
        <v>0.00757412898274083</v>
      </c>
      <c r="S22" s="182" t="n">
        <f aca="false">IF(AND(ISNUMBER(Amortize_Prod!S21),ISNUMBER(Amortize_Prod!S19)),IF(Amortize_Prod!S21&gt;0,Amortize_Prod!S19*1000000/Amortize_Prod!S21,0),"SLO 不可達")</f>
        <v>0.114040439741435</v>
      </c>
      <c r="T22" s="182" t="n">
        <f aca="false">IF(AND(ISNUMBER(Amortize_Prod!T21),ISNUMBER(Amortize_Prod!T19)),IF(Amortize_Prod!T21&gt;0,Amortize_Prod!T19*1000000/Amortize_Prod!T21,0),"SLO 不可達")</f>
        <v>0.162940977305579</v>
      </c>
      <c r="U22" s="182" t="n">
        <f aca="false">IF(AND(ISNUMBER(Amortize_Prod!U21),ISNUMBER(Amortize_Prod!U19)),IF(Amortize_Prod!U21&gt;0,Amortize_Prod!U19*1000000/Amortize_Prod!U21,0),"SLO 不可達")</f>
        <v>0.279829588866025</v>
      </c>
      <c r="V22" s="182" t="n">
        <f aca="false">IF(AND(ISNUMBER(Amortize_Prod!V21),ISNUMBER(Amortize_Prod!V19)),IF(Amortize_Prod!V21&gt;0,Amortize_Prod!V19*1000000/Amortize_Prod!V21,0),"SLO 不可達")</f>
        <v>0.0110596099316418</v>
      </c>
      <c r="W22" s="182" t="n">
        <f aca="false">IF(AND(ISNUMBER(Amortize_Prod!W21),ISNUMBER(Amortize_Prod!W19)),IF(Amortize_Prod!W21&gt;0,Amortize_Prod!W19*1000000/Amortize_Prod!W21,0),"SLO 不可達")</f>
        <v>0.0147669057173887</v>
      </c>
      <c r="X22" s="182" t="n">
        <f aca="false">IF(AND(ISNUMBER(Amortize_Prod!X21),ISNUMBER(Amortize_Prod!X19)),IF(Amortize_Prod!X21&gt;0,Amortize_Prod!X19*1000000/Amortize_Prod!X21,0),"SLO 不可達")</f>
        <v>0.0239507339791222</v>
      </c>
      <c r="Y22" s="182" t="n">
        <f aca="false">IF(AND(ISNUMBER(Amortize_Prod!Y21),ISNUMBER(Amortize_Prod!Y19)),IF(Amortize_Prod!Y21&gt;0,Amortize_Prod!Y19*1000000/Amortize_Prod!Y21,0),"SLO 不可達")</f>
        <v>0.00936389932228216</v>
      </c>
      <c r="Z22" s="182" t="n">
        <f aca="false">IF(AND(ISNUMBER(Amortize_Prod!Z21),ISNUMBER(Amortize_Prod!Z19)),IF(Amortize_Prod!Z21&gt;0,Amortize_Prod!Z19*1000000/Amortize_Prod!Z21,0),"SLO 不可達")</f>
        <v>0.0120940178715063</v>
      </c>
      <c r="AA22" s="182" t="n">
        <f aca="false">IF(AND(ISNUMBER(Amortize_Prod!AA21),ISNUMBER(Amortize_Prod!AA19)),IF(Amortize_Prod!AA21&gt;0,Amortize_Prod!AA19*1000000/Amortize_Prod!AA21,0),"SLO 不可達")</f>
        <v>0.0205906550767309</v>
      </c>
      <c r="AB22" s="182" t="n">
        <f aca="false">IF(AND(ISNUMBER(Amortize_Prod!AB21),ISNUMBER(Amortize_Prod!AB19)),IF(Amortize_Prod!AB21&gt;0,Amortize_Prod!AB19*1000000/Amortize_Prod!AB21,0),"SLO 不可達")</f>
        <v>0.00403441053211496</v>
      </c>
      <c r="AC22" s="182" t="n">
        <f aca="false">IF(AND(ISNUMBER(Amortize_Prod!AC21),ISNUMBER(Amortize_Prod!AC19)),IF(Amortize_Prod!AC21&gt;0,Amortize_Prod!AC19*1000000/Amortize_Prod!AC21,0),"SLO 不可達")</f>
        <v>0.00518525758392133</v>
      </c>
      <c r="AD22" s="182" t="n">
        <f aca="false">IF(AND(ISNUMBER(Amortize_Prod!AD21),ISNUMBER(Amortize_Prod!AD19)),IF(Amortize_Prod!AD21&gt;0,Amortize_Prod!AD19*1000000/Amortize_Prod!AD21,0),"SLO 不可達")</f>
        <v>0.00837694419673806</v>
      </c>
      <c r="AE22" s="182" t="n">
        <f aca="false">IF(AND(ISNUMBER(Amortize_Prod!AE21),ISNUMBER(Amortize_Prod!AE19)),IF(Amortize_Prod!AE21&gt;0,Amortize_Prod!AE19*1000000/Amortize_Prod!AE21,0),"SLO 不可達")</f>
        <v>0.00207075943620614</v>
      </c>
      <c r="AF22" s="182" t="n">
        <f aca="false">IF(AND(ISNUMBER(Amortize_Prod!AF21),ISNUMBER(Amortize_Prod!AF19)),IF(Amortize_Prod!AF21&gt;0,Amortize_Prod!AF19*1000000/Amortize_Prod!AF21,0),"SLO 不可達")</f>
        <v>0.00314727040880126</v>
      </c>
      <c r="AG22" s="182" t="n">
        <f aca="false">IF(AND(ISNUMBER(Amortize_Prod!AG21),ISNUMBER(Amortize_Prod!AG19)),IF(Amortize_Prod!AG21&gt;0,Amortize_Prod!AG19*1000000/Amortize_Prod!AG21,0),"SLO 不可達")</f>
        <v>0.00574547266619956</v>
      </c>
    </row>
    <row r="23" customFormat="false" ht="15" hidden="false" customHeight="false" outlineLevel="0" collapsed="false">
      <c r="A23" s="61" t="s">
        <v>2021</v>
      </c>
      <c r="B23" s="59" t="s">
        <v>976</v>
      </c>
      <c r="C23" s="160" t="n">
        <f aca="false">IF(ISNUMBER(INDEX(Interface_Prod!$C$35:$Q$35,1,Amortize!C$7)),(INDEX(B4_ISL,1,2)*((1-B4_CacheHit)*INDEX(Interface_Prod!$C$33:$Q$33,1,Amortize!C$7)+B4_CacheHit*(INDEX(IF_CostCache_Sol,1,Amortize!C$7)+Cache_Store!C23))+INDEX(B4_OSL,1,2)*INDEX(Interface_Prod!$C$35:$Q$35,1,Amortize!C$7))/(INDEX(B4_ISL,1,2)+INDEX(B4_OSL,1,2))/IF_Util,"SLO 不可達")</f>
        <v>0.422473687965999</v>
      </c>
      <c r="D23" s="160" t="n">
        <f aca="false">IF(ISNUMBER(INDEX(Interface_Prod!$C$35:$Q$35,1,Amortize!D$7)),(INDEX(B4_ISL,1,2)*((1-B4_CacheHit)*INDEX(Interface_Prod!$C$33:$Q$33,1,Amortize!D$7)+B4_CacheHit*(INDEX(IF_CostCache_Sol,1,Amortize!D$7)+Cache_Store!D23))+INDEX(B4_OSL,1,2)*INDEX(Interface_Prod!$C$35:$Q$35,1,Amortize!D$7))/(INDEX(B4_ISL,1,2)+INDEX(B4_OSL,1,2))/IF_Util,"SLO 不可達")</f>
        <v>0.603623804929374</v>
      </c>
      <c r="E23" s="160" t="n">
        <f aca="false">IF(ISNUMBER(INDEX(Interface_Prod!$C$35:$Q$35,1,Amortize!E$7)),(INDEX(B4_ISL,1,2)*((1-B4_CacheHit)*INDEX(Interface_Prod!$C$33:$Q$33,1,Amortize!E$7)+B4_CacheHit*(INDEX(IF_CostCache_Sol,1,Amortize!E$7)+Cache_Store!E23))+INDEX(B4_OSL,1,2)*INDEX(Interface_Prod!$C$35:$Q$35,1,Amortize!E$7))/(INDEX(B4_ISL,1,2)+INDEX(B4_OSL,1,2))/IF_Util,"SLO 不可達")</f>
        <v>1.03663306639377</v>
      </c>
      <c r="F23" s="160" t="n">
        <f aca="false">IF(ISNUMBER(INDEX(Interface_Prod!$C$35:$Q$35,1,Amortize!F$7)),(INDEX(B4_ISL,1,2)*((1-B4_CacheHit)*INDEX(Interface_Prod!$C$33:$Q$33,1,Amortize!F$7)+B4_CacheHit*(INDEX(IF_CostCache_Sol,1,Amortize!F$7)+Cache_Store!F23))+INDEX(B4_OSL,1,2)*INDEX(Interface_Prod!$C$35:$Q$35,1,Amortize!F$7))/(INDEX(B4_ISL,1,2)+INDEX(B4_OSL,1,2))/IF_Util,"SLO 不可達")</f>
        <v>0.0922759515409364</v>
      </c>
      <c r="G23" s="160" t="n">
        <f aca="false">IF(ISNUMBER(INDEX(Interface_Prod!$C$35:$Q$35,1,Amortize!G$7)),(INDEX(B4_ISL,1,2)*((1-B4_CacheHit)*INDEX(Interface_Prod!$C$33:$Q$33,1,Amortize!G$7)+B4_CacheHit*(INDEX(IF_CostCache_Sol,1,Amortize!G$7)+Cache_Store!G23))+INDEX(B4_OSL,1,2)*INDEX(Interface_Prod!$C$35:$Q$35,1,Amortize!G$7))/(INDEX(B4_ISL,1,2)+INDEX(B4_OSL,1,2))/IF_Util,"SLO 不可達")</f>
        <v>0.123202654985181</v>
      </c>
      <c r="H23" s="160" t="n">
        <f aca="false">IF(ISNUMBER(INDEX(Interface_Prod!$C$35:$Q$35,1,Amortize!H$7)),(INDEX(B4_ISL,1,2)*((1-B4_CacheHit)*INDEX(Interface_Prod!$C$33:$Q$33,1,Amortize!H$7)+B4_CacheHit*(INDEX(IF_CostCache_Sol,1,Amortize!H$7)+Cache_Store!H23))+INDEX(B4_OSL,1,2)*INDEX(Interface_Prod!$C$35:$Q$35,1,Amortize!H$7))/(INDEX(B4_ISL,1,2)+INDEX(B4_OSL,1,2))/IF_Util,"SLO 不可達")</f>
        <v>0.199815245279561</v>
      </c>
      <c r="I23" s="160" t="n">
        <f aca="false">IF(ISNUMBER(INDEX(Interface_Prod!$C$35:$Q$35,1,Amortize!I$7)),(INDEX(B4_ISL,1,2)*((1-B4_CacheHit)*INDEX(Interface_Prod!$C$33:$Q$33,1,Amortize!I$7)+B4_CacheHit*(INDEX(IF_CostCache_Sol,1,Amortize!I$7)+Cache_Store!I23))+INDEX(B4_OSL,1,2)*INDEX(Interface_Prod!$C$35:$Q$35,1,Amortize!I$7))/(INDEX(B4_ISL,1,2)+INDEX(B4_OSL,1,2))/IF_Util,"SLO 不可達")</f>
        <v>0.0808083528518619</v>
      </c>
      <c r="J23" s="160" t="n">
        <f aca="false">IF(ISNUMBER(INDEX(Interface_Prod!$C$35:$Q$35,1,Amortize!J$7)),(INDEX(B4_ISL,1,2)*((1-B4_CacheHit)*INDEX(Interface_Prod!$C$33:$Q$33,1,Amortize!J$7)+B4_CacheHit*(INDEX(IF_CostCache_Sol,1,Amortize!J$7)+Cache_Store!J23))+INDEX(B4_OSL,1,2)*INDEX(Interface_Prod!$C$35:$Q$35,1,Amortize!J$7))/(INDEX(B4_ISL,1,2)+INDEX(B4_OSL,1,2))/IF_Util,"SLO 不可達")</f>
        <v>0.104364183810196</v>
      </c>
      <c r="K23" s="160" t="n">
        <f aca="false">IF(ISNUMBER(INDEX(Interface_Prod!$C$35:$Q$35,1,Amortize!K$7)),(INDEX(B4_ISL,1,2)*((1-B4_CacheHit)*INDEX(Interface_Prod!$C$33:$Q$33,1,Amortize!K$7)+B4_CacheHit*(INDEX(IF_CostCache_Sol,1,Amortize!K$7)+Cache_Store!K23))+INDEX(B4_OSL,1,2)*INDEX(Interface_Prod!$C$35:$Q$35,1,Amortize!K$7))/(INDEX(B4_ISL,1,2)+INDEX(B4_OSL,1,2))/IF_Util,"SLO 不可達")</f>
        <v>0.177674315261241</v>
      </c>
      <c r="L23" s="160" t="n">
        <f aca="false">IF(ISNUMBER(INDEX(Interface_Prod!$C$35:$Q$35,1,Amortize!L$7)),(INDEX(B4_ISL,1,2)*((1-B4_CacheHit)*INDEX(Interface_Prod!$C$33:$Q$33,1,Amortize!L$7)+B4_CacheHit*(INDEX(IF_CostCache_Sol,1,Amortize!L$7)+Cache_Store!L23))+INDEX(B4_OSL,1,2)*INDEX(Interface_Prod!$C$35:$Q$35,1,Amortize!L$7))/(INDEX(B4_ISL,1,2)+INDEX(B4_OSL,1,2))/IF_Util,"SLO 不可達")</f>
        <v>0.0605065207166165</v>
      </c>
      <c r="M23" s="160" t="n">
        <f aca="false">IF(ISNUMBER(INDEX(Interface_Prod!$C$35:$Q$35,1,Amortize!M$7)),(INDEX(B4_ISL,1,2)*((1-B4_CacheHit)*INDEX(Interface_Prod!$C$33:$Q$33,1,Amortize!M$7)+B4_CacheHit*(INDEX(IF_CostCache_Sol,1,Amortize!M$7)+Cache_Store!M23))+INDEX(B4_OSL,1,2)*INDEX(Interface_Prod!$C$35:$Q$35,1,Amortize!M$7))/(INDEX(B4_ISL,1,2)+INDEX(B4_OSL,1,2))/IF_Util,"SLO 不可達")</f>
        <v>0.0777620938557124</v>
      </c>
      <c r="N23" s="160" t="n">
        <f aca="false">IF(ISNUMBER(INDEX(Interface_Prod!$C$35:$Q$35,1,Amortize!N$7)),(INDEX(B4_ISL,1,2)*((1-B4_CacheHit)*INDEX(Interface_Prod!$C$33:$Q$33,1,Amortize!N$7)+B4_CacheHit*(INDEX(IF_CostCache_Sol,1,Amortize!N$7)+Cache_Store!N23))+INDEX(B4_OSL,1,2)*INDEX(Interface_Prod!$C$35:$Q$35,1,Amortize!N$7))/(INDEX(B4_ISL,1,2)+INDEX(B4_OSL,1,2))/IF_Util,"SLO 不可達")</f>
        <v>0.125617611839694</v>
      </c>
      <c r="O23" s="160" t="n">
        <f aca="false">IF(ISNUMBER(INDEX(Interface_Prod!$C$35:$Q$35,1,Amortize!O$7)),(INDEX(B4_ISL,1,2)*((1-B4_CacheHit)*INDEX(Interface_Prod!$C$33:$Q$33,1,Amortize!O$7)+B4_CacheHit*(INDEX(IF_CostCache_Sol,1,Amortize!O$7)+Cache_Store!O23))+INDEX(B4_OSL,1,2)*INDEX(Interface_Prod!$C$35:$Q$35,1,Amortize!O$7))/(INDEX(B4_ISL,1,2)+INDEX(B4_OSL,1,2))/IF_Util,"SLO 不可達")</f>
        <v>0.0471766556625985</v>
      </c>
      <c r="P23" s="160" t="n">
        <f aca="false">IF(ISNUMBER(INDEX(Interface_Prod!$C$35:$Q$35,1,Amortize!P$7)),(INDEX(B4_ISL,1,2)*((1-B4_CacheHit)*INDEX(Interface_Prod!$C$33:$Q$33,1,Amortize!P$7)+B4_CacheHit*(INDEX(IF_CostCache_Sol,1,Amortize!P$7)+Cache_Store!P23))+INDEX(B4_OSL,1,2)*INDEX(Interface_Prod!$C$35:$Q$35,1,Amortize!P$7))/(INDEX(B4_ISL,1,2)+INDEX(B4_OSL,1,2))/IF_Util,"SLO 不可達")</f>
        <v>0.0716940592431964</v>
      </c>
      <c r="Q23" s="160" t="n">
        <f aca="false">IF(ISNUMBER(INDEX(Interface_Prod!$C$35:$Q$35,1,Amortize!Q$7)),(INDEX(B4_ISL,1,2)*((1-B4_CacheHit)*INDEX(Interface_Prod!$C$33:$Q$33,1,Amortize!Q$7)+B4_CacheHit*(INDEX(IF_CostCache_Sol,1,Amortize!Q$7)+Cache_Store!Q23))+INDEX(B4_OSL,1,2)*INDEX(Interface_Prod!$C$35:$Q$35,1,Amortize!Q$7))/(INDEX(B4_ISL,1,2)+INDEX(B4_OSL,1,2))/IF_Util,"SLO 不可達")</f>
        <v>0.130867792674906</v>
      </c>
      <c r="S23" s="160" t="n">
        <f aca="false">IF(ISNUMBER(INDEX(Interface_Prod!$S$35:$AG$35,1,Amortize!C$7)),(INDEX(B4_ISL,1,2)*((1-B4_CacheHit)*INDEX(Interface_Prod!$S$33:$AG$33,1,Amortize!C$7)+B4_CacheHit*(INDEX(IF_CostCache_Sol,1,Amortize!C$7)+Cache_Store!C23))+INDEX(B4_OSL,1,2)*INDEX(Interface_Prod!$S$35:$AG$35,1,Amortize!C$7))/(INDEX(B4_ISL,1,2)+INDEX(B4_OSL,1,2))/IF_Util,"SLO 不可達")</f>
        <v>0.336534225353718</v>
      </c>
      <c r="T23" s="160" t="n">
        <f aca="false">IF(ISNUMBER(INDEX(Interface_Prod!$S$35:$AG$35,1,Amortize!D$7)),(INDEX(B4_ISL,1,2)*((1-B4_CacheHit)*INDEX(Interface_Prod!$S$33:$AG$33,1,Amortize!D$7)+B4_CacheHit*(INDEX(IF_CostCache_Sol,1,Amortize!D$7)+Cache_Store!D23))+INDEX(B4_OSL,1,2)*INDEX(Interface_Prod!$S$35:$AG$35,1,Amortize!D$7))/(INDEX(B4_ISL,1,2)+INDEX(B4_OSL,1,2))/IF_Util,"SLO 不可達")</f>
        <v>0.480833503007437</v>
      </c>
      <c r="U23" s="160" t="n">
        <f aca="false">IF(ISNUMBER(INDEX(Interface_Prod!$S$35:$AG$35,1,Amortize!E$7)),(INDEX(B4_ISL,1,2)*((1-B4_CacheHit)*INDEX(Interface_Prod!$S$33:$AG$33,1,Amortize!E$7)+B4_CacheHit*(INDEX(IF_CostCache_Sol,1,Amortize!E$7)+Cache_Store!E23))+INDEX(B4_OSL,1,2)*INDEX(Interface_Prod!$S$35:$AG$35,1,Amortize!E$7))/(INDEX(B4_ISL,1,2)+INDEX(B4_OSL,1,2))/IF_Util,"SLO 不可達")</f>
        <v>0.825756954860989</v>
      </c>
      <c r="V23" s="160" t="n">
        <f aca="false">IF(ISNUMBER(INDEX(Interface_Prod!$S$35:$AG$35,1,Amortize!F$7)),(INDEX(B4_ISL,1,2)*((1-B4_CacheHit)*INDEX(Interface_Prod!$S$33:$AG$33,1,Amortize!F$7)+B4_CacheHit*(INDEX(IF_CostCache_Sol,1,Amortize!F$7)+Cache_Store!F23))+INDEX(B4_OSL,1,2)*INDEX(Interface_Prod!$S$35:$AG$35,1,Amortize!F$7))/(INDEX(B4_ISL,1,2)+INDEX(B4_OSL,1,2))/IF_Util,"SLO 不可達")</f>
        <v>0.0755856950640258</v>
      </c>
      <c r="W23" s="160" t="n">
        <f aca="false">IF(ISNUMBER(INDEX(Interface_Prod!$S$35:$AG$35,1,Amortize!G$7)),(INDEX(B4_ISL,1,2)*((1-B4_CacheHit)*INDEX(Interface_Prod!$S$33:$AG$33,1,Amortize!G$7)+B4_CacheHit*(INDEX(IF_CostCache_Sol,1,Amortize!G$7)+Cache_Store!G23))+INDEX(B4_OSL,1,2)*INDEX(Interface_Prod!$S$35:$AG$35,1,Amortize!G$7))/(INDEX(B4_ISL,1,2)+INDEX(B4_OSL,1,2))/IF_Util,"SLO 不可達")</f>
        <v>0.100917651687873</v>
      </c>
      <c r="X23" s="160" t="n">
        <f aca="false">IF(ISNUMBER(INDEX(Interface_Prod!$S$35:$AG$35,1,Amortize!H$7)),(INDEX(B4_ISL,1,2)*((1-B4_CacheHit)*INDEX(Interface_Prod!$S$33:$AG$33,1,Amortize!H$7)+B4_CacheHit*(INDEX(IF_CostCache_Sol,1,Amortize!H$7)+Cache_Store!H23))+INDEX(B4_OSL,1,2)*INDEX(Interface_Prod!$S$35:$AG$35,1,Amortize!H$7))/(INDEX(B4_ISL,1,2)+INDEX(B4_OSL,1,2))/IF_Util,"SLO 不可達")</f>
        <v>0.163670761396985</v>
      </c>
      <c r="Y23" s="160" t="n">
        <f aca="false">IF(ISNUMBER(INDEX(Interface_Prod!$S$35:$AG$35,1,Amortize!I$7)),(INDEX(B4_ISL,1,2)*((1-B4_CacheHit)*INDEX(Interface_Prod!$S$33:$AG$33,1,Amortize!I$7)+B4_CacheHit*(INDEX(IF_CostCache_Sol,1,Amortize!I$7)+Cache_Store!I23))+INDEX(B4_OSL,1,2)*INDEX(Interface_Prod!$S$35:$AG$35,1,Amortize!I$7))/(INDEX(B4_ISL,1,2)+INDEX(B4_OSL,1,2))/IF_Util,"SLO 不可達")</f>
        <v>0.0661936935368566</v>
      </c>
      <c r="Z23" s="160" t="n">
        <f aca="false">IF(ISNUMBER(INDEX(Interface_Prod!$S$35:$AG$35,1,Amortize!J$7)),(INDEX(B4_ISL,1,2)*((1-B4_CacheHit)*INDEX(Interface_Prod!$S$33:$AG$33,1,Amortize!J$7)+B4_CacheHit*(INDEX(IF_CostCache_Sol,1,Amortize!J$7)+Cache_Store!J23))+INDEX(B4_OSL,1,2)*INDEX(Interface_Prod!$S$35:$AG$35,1,Amortize!J$7))/(INDEX(B4_ISL,1,2)+INDEX(B4_OSL,1,2))/IF_Util,"SLO 不可達")</f>
        <v>0.0854885055421626</v>
      </c>
      <c r="AA23" s="160" t="n">
        <f aca="false">IF(ISNUMBER(INDEX(Interface_Prod!$S$35:$AG$35,1,Amortize!K$7)),(INDEX(B4_ISL,1,2)*((1-B4_CacheHit)*INDEX(Interface_Prod!$S$33:$AG$33,1,Amortize!K$7)+B4_CacheHit*(INDEX(IF_CostCache_Sol,1,Amortize!K$7)+Cache_Store!K23))+INDEX(B4_OSL,1,2)*INDEX(Interface_Prod!$S$35:$AG$35,1,Amortize!K$7))/(INDEX(B4_ISL,1,2)+INDEX(B4_OSL,1,2))/IF_Util,"SLO 不可達")</f>
        <v>0.145537552715842</v>
      </c>
      <c r="AB23" s="160" t="n">
        <f aca="false">IF(ISNUMBER(INDEX(Interface_Prod!$S$35:$AG$35,1,Amortize!L$7)),(INDEX(B4_ISL,1,2)*((1-B4_CacheHit)*INDEX(Interface_Prod!$S$33:$AG$33,1,Amortize!L$7)+B4_CacheHit*(INDEX(IF_CostCache_Sol,1,Amortize!L$7)+Cache_Store!L23))+INDEX(B4_OSL,1,2)*INDEX(Interface_Prod!$S$35:$AG$35,1,Amortize!L$7))/(INDEX(B4_ISL,1,2)+INDEX(B4_OSL,1,2))/IF_Util,"SLO 不可達")</f>
        <v>0.0497484931122575</v>
      </c>
      <c r="AC23" s="160" t="n">
        <f aca="false">IF(ISNUMBER(INDEX(Interface_Prod!$S$35:$AG$35,1,Amortize!M$7)),(INDEX(B4_ISL,1,2)*((1-B4_CacheHit)*INDEX(Interface_Prod!$S$33:$AG$33,1,Amortize!M$7)+B4_CacheHit*(INDEX(IF_CostCache_Sol,1,Amortize!M$7)+Cache_Store!M23))+INDEX(B4_OSL,1,2)*INDEX(Interface_Prod!$S$35:$AG$35,1,Amortize!M$7))/(INDEX(B4_ISL,1,2)+INDEX(B4_OSL,1,2))/IF_Util,"SLO 不可達")</f>
        <v>0.0639352550202769</v>
      </c>
      <c r="AD23" s="160" t="n">
        <f aca="false">IF(ISNUMBER(INDEX(Interface_Prod!$S$35:$AG$35,1,Amortize!N$7)),(INDEX(B4_ISL,1,2)*((1-B4_CacheHit)*INDEX(Interface_Prod!$S$33:$AG$33,1,Amortize!N$7)+B4_CacheHit*(INDEX(IF_CostCache_Sol,1,Amortize!N$7)+Cache_Store!N23))+INDEX(B4_OSL,1,2)*INDEX(Interface_Prod!$S$35:$AG$35,1,Amortize!N$7))/(INDEX(B4_ISL,1,2)+INDEX(B4_OSL,1,2))/IF_Util,"SLO 不可達")</f>
        <v>0.103279925530552</v>
      </c>
      <c r="AE23" s="160" t="n">
        <f aca="false">IF(ISNUMBER(INDEX(Interface_Prod!$S$35:$AG$35,1,Amortize!O$7)),(INDEX(B4_ISL,1,2)*((1-B4_CacheHit)*INDEX(Interface_Prod!$S$33:$AG$33,1,Amortize!O$7)+B4_CacheHit*(INDEX(IF_CostCache_Sol,1,Amortize!O$7)+Cache_Store!O23))+INDEX(B4_OSL,1,2)*INDEX(Interface_Prod!$S$35:$AG$35,1,Amortize!O$7))/(INDEX(B4_ISL,1,2)+INDEX(B4_OSL,1,2))/IF_Util,"SLO 不可達")</f>
        <v>0.0388307820968141</v>
      </c>
      <c r="AF23" s="160" t="n">
        <f aca="false">IF(ISNUMBER(INDEX(Interface_Prod!$S$35:$AG$35,1,Amortize!P$7)),(INDEX(B4_ISL,1,2)*((1-B4_CacheHit)*INDEX(Interface_Prod!$S$33:$AG$33,1,Amortize!P$7)+B4_CacheHit*(INDEX(IF_CostCache_Sol,1,Amortize!P$7)+Cache_Store!P23))+INDEX(B4_OSL,1,2)*INDEX(Interface_Prod!$S$35:$AG$35,1,Amortize!P$7))/(INDEX(B4_ISL,1,2)+INDEX(B4_OSL,1,2))/IF_Util,"SLO 不可達")</f>
        <v>0.0590094757759281</v>
      </c>
      <c r="AG23" s="160" t="n">
        <f aca="false">IF(ISNUMBER(INDEX(Interface_Prod!$S$35:$AG$35,1,Amortize!Q$7)),(INDEX(B4_ISL,1,2)*((1-B4_CacheHit)*INDEX(Interface_Prod!$S$33:$AG$33,1,Amortize!Q$7)+B4_CacheHit*(INDEX(IF_CostCache_Sol,1,Amortize!Q$7)+Cache_Store!Q23))+INDEX(B4_OSL,1,2)*INDEX(Interface_Prod!$S$35:$AG$35,1,Amortize!Q$7))/(INDEX(B4_ISL,1,2)+INDEX(B4_OSL,1,2))/IF_Util,"SLO 不可達")</f>
        <v>0.10771155945468</v>
      </c>
    </row>
    <row r="29" customFormat="false" ht="15" hidden="false" customHeight="false" outlineLevel="0" collapsed="false">
      <c r="A29" s="61" t="s">
        <v>2016</v>
      </c>
      <c r="B29" s="59" t="s">
        <v>1021</v>
      </c>
      <c r="C29" s="98" t="n">
        <f aca="false">INDEX(Interface_Prod!$C$78:$Q$78,1,Amortize!C$7)</f>
        <v>1179.65552662766</v>
      </c>
      <c r="D29" s="98" t="n">
        <f aca="false">INDEX(Interface_Prod!$C$78:$Q$78,1,Amortize!D$7)</f>
        <v>1685.49178544424</v>
      </c>
      <c r="E29" s="98" t="n">
        <f aca="false">INDEX(Interface_Prod!$C$78:$Q$78,1,Amortize!E$7)</f>
        <v>2894.60933128806</v>
      </c>
      <c r="F29" s="98" t="n">
        <f aca="false">INDEX(Interface_Prod!$C$78:$Q$78,1,Amortize!F$7)</f>
        <v>496.148243569985</v>
      </c>
      <c r="G29" s="98" t="n">
        <f aca="false">INDEX(Interface_Prod!$C$78:$Q$78,1,Amortize!G$7)</f>
        <v>662.462273075692</v>
      </c>
      <c r="H29" s="98" t="n">
        <f aca="false">INDEX(Interface_Prod!$C$78:$Q$78,1,Amortize!H$7)</f>
        <v>1074.46055235235</v>
      </c>
      <c r="I29" s="98" t="n">
        <f aca="false">INDEX(Interface_Prod!$C$78:$Q$78,1,Amortize!I$7)</f>
        <v>580.887209767865</v>
      </c>
      <c r="J29" s="98" t="n">
        <f aca="false">INDEX(Interface_Prod!$C$78:$Q$78,1,Amortize!J$7)</f>
        <v>750.249447849658</v>
      </c>
      <c r="K29" s="98" t="n">
        <f aca="false">INDEX(Interface_Prod!$C$78:$Q$78,1,Amortize!K$7)</f>
        <v>1277.33626378841</v>
      </c>
      <c r="L29" s="98" t="n">
        <f aca="false">INDEX(Interface_Prod!$C$78:$Q$78,1,Amortize!L$7)</f>
        <v>407.691393322563</v>
      </c>
      <c r="M29" s="98" t="n">
        <f aca="false">INDEX(Interface_Prod!$C$78:$Q$78,1,Amortize!M$7)</f>
        <v>523.988541150536</v>
      </c>
      <c r="N29" s="98" t="n">
        <f aca="false">INDEX(Interface_Prod!$C$78:$Q$78,1,Amortize!N$7)</f>
        <v>846.519714383935</v>
      </c>
      <c r="O29" s="98" t="n">
        <f aca="false">INDEX(Interface_Prod!$C$78:$Q$78,1,Amortize!O$7)</f>
        <v>290.955020372766</v>
      </c>
      <c r="P29" s="98" t="n">
        <f aca="false">INDEX(Interface_Prod!$C$78:$Q$78,1,Amortize!P$7)</f>
        <v>442.211736380671</v>
      </c>
      <c r="Q29" s="98" t="n">
        <f aca="false">INDEX(Interface_Prod!$C$78:$Q$78,1,Amortize!Q$7)</f>
        <v>807.275865760611</v>
      </c>
      <c r="S29" s="98" t="n">
        <f aca="false">INDEX(Interface_Prod!$S$78:$AG$78,1,Amortize!C$7)</f>
        <v>1065.16743684915</v>
      </c>
      <c r="T29" s="98" t="n">
        <f aca="false">INDEX(Interface_Prod!$S$78:$AG$78,1,Amortize!D$7)</f>
        <v>1521.91120577745</v>
      </c>
      <c r="U29" s="98" t="n">
        <f aca="false">INDEX(Interface_Prod!$S$78:$AG$78,1,Amortize!E$7)</f>
        <v>2613.68130991761</v>
      </c>
      <c r="V29" s="98" t="n">
        <f aca="false">INDEX(Interface_Prod!$S$78:$AG$78,1,Amortize!F$7)</f>
        <v>465.455930936714</v>
      </c>
      <c r="W29" s="98" t="n">
        <f aca="false">INDEX(Interface_Prod!$S$78:$AG$78,1,Amortize!G$7)</f>
        <v>621.48157938889</v>
      </c>
      <c r="X29" s="98" t="n">
        <f aca="false">INDEX(Interface_Prod!$S$78:$AG$78,1,Amortize!H$7)</f>
        <v>1007.99316158296</v>
      </c>
      <c r="Y29" s="98" t="n">
        <f aca="false">INDEX(Interface_Prod!$S$78:$AG$78,1,Amortize!I$7)</f>
        <v>552.821212490455</v>
      </c>
      <c r="Z29" s="98" t="n">
        <f aca="false">INDEX(Interface_Prod!$S$78:$AG$78,1,Amortize!J$7)</f>
        <v>714.000588162868</v>
      </c>
      <c r="AA29" s="98" t="n">
        <f aca="false">INDEX(Interface_Prod!$S$78:$AG$78,1,Amortize!K$7)</f>
        <v>1215.62081283856</v>
      </c>
      <c r="AB29" s="98" t="n">
        <f aca="false">INDEX(Interface_Prod!$S$78:$AG$78,1,Amortize!L$7)</f>
        <v>380.652805094568</v>
      </c>
      <c r="AC29" s="98" t="n">
        <f aca="false">INDEX(Interface_Prod!$S$78:$AG$78,1,Amortize!M$7)</f>
        <v>489.236984869465</v>
      </c>
      <c r="AD29" s="98" t="n">
        <f aca="false">INDEX(Interface_Prod!$S$78:$AG$78,1,Amortize!N$7)</f>
        <v>790.377499073548</v>
      </c>
      <c r="AE29" s="98" t="n">
        <f aca="false">INDEX(Interface_Prod!$S$78:$AG$78,1,Amortize!O$7)</f>
        <v>275.298530538818</v>
      </c>
      <c r="AF29" s="98" t="n">
        <f aca="false">INDEX(Interface_Prod!$S$78:$AG$78,1,Amortize!P$7)</f>
        <v>418.416018588187</v>
      </c>
      <c r="AG29" s="98" t="n">
        <f aca="false">INDEX(Interface_Prod!$S$78:$AG$78,1,Amortize!Q$7)</f>
        <v>763.835795988727</v>
      </c>
    </row>
    <row r="31" customFormat="false" ht="15" hidden="false" customHeight="false" outlineLevel="0" collapsed="false">
      <c r="A31" s="61" t="s">
        <v>2018</v>
      </c>
      <c r="B31" s="59" t="s">
        <v>2019</v>
      </c>
      <c r="C31" s="63" t="n">
        <f aca="false">IF(ISNUMBER(Fleet_1GW_Prod!C27),Fleet_1GW_Prod!C27*INDEX(B4_Life,1,3)/12,"SLO 不可達")</f>
        <v>287951810.448314</v>
      </c>
      <c r="D31" s="63" t="n">
        <f aca="false">IF(ISNUMBER(Fleet_1GW_Prod!D27),Fleet_1GW_Prod!D27*INDEX(B4_Life,1,3)/12,"SLO 不可達")</f>
        <v>287951810.448314</v>
      </c>
      <c r="E31" s="63" t="n">
        <f aca="false">IF(ISNUMBER(Fleet_1GW_Prod!E27),Fleet_1GW_Prod!E27*INDEX(B4_Life,1,3)/12,"SLO 不可達")</f>
        <v>287951810.448314</v>
      </c>
      <c r="F31" s="63" t="n">
        <f aca="false">IF(ISNUMBER(Fleet_1GW_Prod!F27),Fleet_1GW_Prod!F27*INDEX(B4_Life,1,3)/12,"SLO 不可達")</f>
        <v>1335677753.5876</v>
      </c>
      <c r="G31" s="63" t="n">
        <f aca="false">IF(ISNUMBER(Fleet_1GW_Prod!G27),Fleet_1GW_Prod!G27*INDEX(B4_Life,1,3)/12,"SLO 不可達")</f>
        <v>1335677753.5876</v>
      </c>
      <c r="H31" s="63" t="n">
        <f aca="false">IF(ISNUMBER(Fleet_1GW_Prod!H27),Fleet_1GW_Prod!H27*INDEX(B4_Life,1,3)/12,"SLO 不可達")</f>
        <v>1335677753.5876</v>
      </c>
      <c r="I31" s="63" t="n">
        <f aca="false">IF(ISNUMBER(Fleet_1GW_Prod!I27),Fleet_1GW_Prod!I27*INDEX(B4_Life,1,3)/12,"SLO 不可達")</f>
        <v>1823152510.85585</v>
      </c>
      <c r="J31" s="63" t="n">
        <f aca="false">IF(ISNUMBER(Fleet_1GW_Prod!J27),Fleet_1GW_Prod!J27*INDEX(B4_Life,1,3)/12,"SLO 不可達")</f>
        <v>1823152510.85585</v>
      </c>
      <c r="K31" s="63" t="n">
        <f aca="false">IF(ISNUMBER(Fleet_1GW_Prod!K27),Fleet_1GW_Prod!K27*INDEX(B4_Life,1,3)/12,"SLO 不可達")</f>
        <v>1823152510.85585</v>
      </c>
      <c r="L31" s="63" t="n">
        <f aca="false">IF(ISNUMBER(Fleet_1GW_Prod!L27),Fleet_1GW_Prod!L27*INDEX(B4_Life,1,3)/12,"SLO 不可達")</f>
        <v>3049883855.60419</v>
      </c>
      <c r="M31" s="63" t="n">
        <f aca="false">IF(ISNUMBER(Fleet_1GW_Prod!M27),Fleet_1GW_Prod!M27*INDEX(B4_Life,1,3)/12,"SLO 不可達")</f>
        <v>3049883855.60419</v>
      </c>
      <c r="N31" s="63" t="n">
        <f aca="false">IF(ISNUMBER(Fleet_1GW_Prod!N27),Fleet_1GW_Prod!N27*INDEX(B4_Life,1,3)/12,"SLO 不可達")</f>
        <v>3049883855.60419</v>
      </c>
      <c r="O31" s="63" t="n">
        <f aca="false">IF(ISNUMBER(Fleet_1GW_Prod!O27),Fleet_1GW_Prod!O27*INDEX(B4_Life,1,3)/12,"SLO 不可達")</f>
        <v>4249909902.42416</v>
      </c>
      <c r="P31" s="63" t="n">
        <f aca="false">IF(ISNUMBER(Fleet_1GW_Prod!P27),Fleet_1GW_Prod!P27*INDEX(B4_Life,1,3)/12,"SLO 不可達")</f>
        <v>4249909902.42416</v>
      </c>
      <c r="Q31" s="63" t="n">
        <f aca="false">IF(ISNUMBER(Fleet_1GW_Prod!Q27),Fleet_1GW_Prod!Q27*INDEX(B4_Life,1,3)/12,"SLO 不可達")</f>
        <v>4249909902.42416</v>
      </c>
      <c r="S31" s="63" t="n">
        <f aca="false">IF(ISNUMBER(Fleet_1GW_Prod!S27),Fleet_1GW_Prod!S27*INDEX(B4_Life,1,3)/12,"SLO 不可達")</f>
        <v>383460702.699858</v>
      </c>
      <c r="T31" s="63" t="n">
        <f aca="false">IF(ISNUMBER(Fleet_1GW_Prod!T27),Fleet_1GW_Prod!T27*INDEX(B4_Life,1,3)/12,"SLO 不可達")</f>
        <v>383460702.699858</v>
      </c>
      <c r="U31" s="63" t="n">
        <f aca="false">IF(ISNUMBER(Fleet_1GW_Prod!U27),Fleet_1GW_Prod!U27*INDEX(B4_Life,1,3)/12,"SLO 不可達")</f>
        <v>383460702.699858</v>
      </c>
      <c r="V31" s="63" t="n">
        <f aca="false">IF(ISNUMBER(Fleet_1GW_Prod!V27),Fleet_1GW_Prod!V27*INDEX(B4_Life,1,3)/12,"SLO 不可達")</f>
        <v>1673569988.93054</v>
      </c>
      <c r="W31" s="63" t="n">
        <f aca="false">IF(ISNUMBER(Fleet_1GW_Prod!W27),Fleet_1GW_Prod!W27*INDEX(B4_Life,1,3)/12,"SLO 不可達")</f>
        <v>1673569988.93054</v>
      </c>
      <c r="X31" s="63" t="n">
        <f aca="false">IF(ISNUMBER(Fleet_1GW_Prod!X27),Fleet_1GW_Prod!X27*INDEX(B4_Life,1,3)/12,"SLO 不可達")</f>
        <v>1673569988.93054</v>
      </c>
      <c r="Y31" s="63" t="n">
        <f aca="false">IF(ISNUMBER(Fleet_1GW_Prod!Y27),Fleet_1GW_Prod!Y27*INDEX(B4_Life,1,3)/12,"SLO 不可達")</f>
        <v>2301522974.27693</v>
      </c>
      <c r="Z31" s="63" t="n">
        <f aca="false">IF(ISNUMBER(Fleet_1GW_Prod!Z27),Fleet_1GW_Prod!Z27*INDEX(B4_Life,1,3)/12,"SLO 不可達")</f>
        <v>2301522974.27693</v>
      </c>
      <c r="AA31" s="63" t="n">
        <f aca="false">IF(ISNUMBER(Fleet_1GW_Prod!AA27),Fleet_1GW_Prod!AA27*INDEX(B4_Life,1,3)/12,"SLO 不可達")</f>
        <v>2301522974.27693</v>
      </c>
      <c r="AB31" s="63" t="n">
        <f aca="false">IF(ISNUMBER(Fleet_1GW_Prod!AB27),Fleet_1GW_Prod!AB27*INDEX(B4_Life,1,3)/12,"SLO 不可達")</f>
        <v>3784827818.09335</v>
      </c>
      <c r="AC31" s="63" t="n">
        <f aca="false">IF(ISNUMBER(Fleet_1GW_Prod!AC27),Fleet_1GW_Prod!AC27*INDEX(B4_Life,1,3)/12,"SLO 不可達")</f>
        <v>3784827818.09335</v>
      </c>
      <c r="AD31" s="63" t="n">
        <f aca="false">IF(ISNUMBER(Fleet_1GW_Prod!AD27),Fleet_1GW_Prod!AD27*INDEX(B4_Life,1,3)/12,"SLO 不可達")</f>
        <v>3784827818.09335</v>
      </c>
      <c r="AE31" s="63" t="n">
        <f aca="false">IF(ISNUMBER(Fleet_1GW_Prod!AE27),Fleet_1GW_Prod!AE27*INDEX(B4_Life,1,3)/12,"SLO 不可達")</f>
        <v>5256135706.32354</v>
      </c>
      <c r="AF31" s="63" t="n">
        <f aca="false">IF(ISNUMBER(Fleet_1GW_Prod!AF27),Fleet_1GW_Prod!AF27*INDEX(B4_Life,1,3)/12,"SLO 不可達")</f>
        <v>5256135706.32354</v>
      </c>
      <c r="AG31" s="63" t="n">
        <f aca="false">IF(ISNUMBER(Fleet_1GW_Prod!AG27),Fleet_1GW_Prod!AG27*INDEX(B4_Life,1,3)/12,"SLO 不可達")</f>
        <v>5256135706.32354</v>
      </c>
    </row>
    <row r="32" customFormat="false" ht="15" hidden="false" customHeight="false" outlineLevel="0" collapsed="false">
      <c r="A32" s="61" t="s">
        <v>2027</v>
      </c>
      <c r="B32" s="59" t="s">
        <v>976</v>
      </c>
      <c r="C32" s="182" t="n">
        <f aca="false">IF(AND(ISNUMBER(Amortize_Prod!C31),ISNUMBER(Amortize_Prod!C29)),IF(Amortize_Prod!C31&gt;0,Amortize_Prod!C29*1000000/Amortize_Prod!C31,0),"SLO 不可達")</f>
        <v>4.09671161570767</v>
      </c>
      <c r="D32" s="182" t="n">
        <f aca="false">IF(AND(ISNUMBER(Amortize_Prod!D31),ISNUMBER(Amortize_Prod!D29)),IF(Amortize_Prod!D31&gt;0,Amortize_Prod!D29*1000000/Amortize_Prod!D31,0),"SLO 不可達")</f>
        <v>5.85338144886147</v>
      </c>
      <c r="E32" s="182" t="n">
        <f aca="false">IF(AND(ISNUMBER(Amortize_Prod!E31),ISNUMBER(Amortize_Prod!E29)),IF(Amortize_Prod!E31&gt;0,Amortize_Prod!E29*1000000/Amortize_Prod!E31,0),"SLO 不可達")</f>
        <v>10.0524088623767</v>
      </c>
      <c r="F32" s="182" t="n">
        <f aca="false">IF(AND(ISNUMBER(Amortize_Prod!F31),ISNUMBER(Amortize_Prod!F29)),IF(Amortize_Prod!F31&gt;0,Amortize_Prod!F29*1000000/Amortize_Prod!F31,0),"SLO 不可達")</f>
        <v>0.371458042358902</v>
      </c>
      <c r="G32" s="182" t="n">
        <f aca="false">IF(AND(ISNUMBER(Amortize_Prod!G31),ISNUMBER(Amortize_Prod!G29)),IF(Amortize_Prod!G31&gt;0,Amortize_Prod!G29*1000000/Amortize_Prod!G31,0),"SLO 不可達")</f>
        <v>0.495974625089274</v>
      </c>
      <c r="H32" s="182" t="n">
        <f aca="false">IF(AND(ISNUMBER(Amortize_Prod!H31),ISNUMBER(Amortize_Prod!H29)),IF(Amortize_Prod!H31&gt;0,Amortize_Prod!H29*1000000/Amortize_Prod!H31,0),"SLO 不可達")</f>
        <v>0.804430971067967</v>
      </c>
      <c r="I32" s="182" t="n">
        <f aca="false">IF(AND(ISNUMBER(Amortize_Prod!I31),ISNUMBER(Amortize_Prod!I29)),IF(Amortize_Prod!I31&gt;0,Amortize_Prod!I29*1000000/Amortize_Prod!I31,0),"SLO 不可達")</f>
        <v>0.318616904679673</v>
      </c>
      <c r="J32" s="182" t="n">
        <f aca="false">IF(AND(ISNUMBER(Amortize_Prod!J31),ISNUMBER(Amortize_Prod!J29)),IF(Amortize_Prod!J31&gt;0,Amortize_Prod!J29*1000000/Amortize_Prod!J31,0),"SLO 不可達")</f>
        <v>0.411512171023732</v>
      </c>
      <c r="K32" s="182" t="n">
        <f aca="false">IF(AND(ISNUMBER(Amortize_Prod!K31),ISNUMBER(Amortize_Prod!K29)),IF(Amortize_Prod!K31&gt;0,Amortize_Prod!K29*1000000/Amortize_Prod!K31,0),"SLO 不可達")</f>
        <v>0.700619534670078</v>
      </c>
      <c r="L32" s="182" t="n">
        <f aca="false">IF(AND(ISNUMBER(Amortize_Prod!L31),ISNUMBER(Amortize_Prod!L29)),IF(Amortize_Prod!L31&gt;0,Amortize_Prod!L29*1000000/Amortize_Prod!L31,0),"SLO 不可達")</f>
        <v>0.133674399624571</v>
      </c>
      <c r="M32" s="182" t="n">
        <f aca="false">IF(AND(ISNUMBER(Amortize_Prod!M31),ISNUMBER(Amortize_Prod!M29)),IF(Amortize_Prod!M31&gt;0,Amortize_Prod!M29*1000000/Amortize_Prod!M31,0),"SLO 不可達")</f>
        <v>0.171806064085917</v>
      </c>
      <c r="N32" s="182" t="n">
        <f aca="false">IF(AND(ISNUMBER(Amortize_Prod!N31),ISNUMBER(Amortize_Prod!N29)),IF(Amortize_Prod!N31&gt;0,Amortize_Prod!N29*1000000/Amortize_Prod!N31,0),"SLO 不可達")</f>
        <v>0.277558016784294</v>
      </c>
      <c r="O32" s="182" t="n">
        <f aca="false">IF(AND(ISNUMBER(Amortize_Prod!O31),ISNUMBER(Amortize_Prod!O29)),IF(Amortize_Prod!O31&gt;0,Amortize_Prod!O29*1000000/Amortize_Prod!O31,0),"SLO 不可達")</f>
        <v>0.0684614561374125</v>
      </c>
      <c r="P32" s="182" t="n">
        <f aca="false">IF(AND(ISNUMBER(Amortize_Prod!P31),ISNUMBER(Amortize_Prod!P29)),IF(Amortize_Prod!P31&gt;0,Amortize_Prod!P29*1000000/Amortize_Prod!P31,0),"SLO 不可達")</f>
        <v>0.104052026168468</v>
      </c>
      <c r="Q32" s="182" t="n">
        <f aca="false">IF(AND(ISNUMBER(Amortize_Prod!Q31),ISNUMBER(Amortize_Prod!Q29)),IF(Amortize_Prod!Q31&gt;0,Amortize_Prod!Q29*1000000/Amortize_Prod!Q31,0),"SLO 不可達")</f>
        <v>0.189951289390897</v>
      </c>
      <c r="S32" s="182" t="n">
        <f aca="false">IF(AND(ISNUMBER(Amortize_Prod!S31),ISNUMBER(Amortize_Prod!S29)),IF(Amortize_Prod!S31&gt;0,Amortize_Prod!S29*1000000/Amortize_Prod!S31,0),"SLO 不可達")</f>
        <v>2.77777469594551</v>
      </c>
      <c r="T32" s="182" t="n">
        <f aca="false">IF(AND(ISNUMBER(Amortize_Prod!T31),ISNUMBER(Amortize_Prod!T29)),IF(Amortize_Prod!T31&gt;0,Amortize_Prod!T29*1000000/Amortize_Prod!T31,0),"SLO 不可達")</f>
        <v>3.96888441256699</v>
      </c>
      <c r="U32" s="182" t="n">
        <f aca="false">IF(AND(ISNUMBER(Amortize_Prod!U31),ISNUMBER(Amortize_Prod!U29)),IF(Amortize_Prod!U31&gt;0,Amortize_Prod!U29*1000000/Amortize_Prod!U31,0),"SLO 不可達")</f>
        <v>6.81603431985413</v>
      </c>
      <c r="V32" s="182" t="n">
        <f aca="false">IF(AND(ISNUMBER(Amortize_Prod!V31),ISNUMBER(Amortize_Prod!V29)),IF(Amortize_Prod!V31&gt;0,Amortize_Prod!V29*1000000/Amortize_Prod!V31,0),"SLO 不可達")</f>
        <v>0.278121580821459</v>
      </c>
      <c r="W32" s="182" t="n">
        <f aca="false">IF(AND(ISNUMBER(Amortize_Prod!W31),ISNUMBER(Amortize_Prod!W29)),IF(Amortize_Prod!W31&gt;0,Amortize_Prod!W29*1000000/Amortize_Prod!W31,0),"SLO 不可達")</f>
        <v>0.371350815023897</v>
      </c>
      <c r="X32" s="182" t="n">
        <f aca="false">IF(AND(ISNUMBER(Amortize_Prod!X31),ISNUMBER(Amortize_Prod!X29)),IF(Amortize_Prod!X31&gt;0,Amortize_Prod!X29*1000000/Amortize_Prod!X31,0),"SLO 不可達")</f>
        <v>0.602301169505969</v>
      </c>
      <c r="Y32" s="182" t="n">
        <f aca="false">IF(AND(ISNUMBER(Amortize_Prod!Y31),ISNUMBER(Amortize_Prod!Y29)),IF(Amortize_Prod!Y31&gt;0,Amortize_Prod!Y29*1000000/Amortize_Prod!Y31,0),"SLO 不可達")</f>
        <v>0.24019799874652</v>
      </c>
      <c r="Z32" s="182" t="n">
        <f aca="false">IF(AND(ISNUMBER(Amortize_Prod!Z31),ISNUMBER(Amortize_Prod!Z29)),IF(Amortize_Prod!Z31&gt;0,Amortize_Prod!Z29*1000000/Amortize_Prod!Z31,0),"SLO 不可達")</f>
        <v>0.310229615842608</v>
      </c>
      <c r="AA32" s="182" t="n">
        <f aca="false">IF(AND(ISNUMBER(Amortize_Prod!AA31),ISNUMBER(Amortize_Prod!AA29)),IF(Amortize_Prod!AA31&gt;0,Amortize_Prod!AA29*1000000/Amortize_Prod!AA31,0),"SLO 不可達")</f>
        <v>0.528181046387546</v>
      </c>
      <c r="AB32" s="182" t="n">
        <f aca="false">IF(AND(ISNUMBER(Amortize_Prod!AB31),ISNUMBER(Amortize_Prod!AB29)),IF(Amortize_Prod!AB31&gt;0,Amortize_Prod!AB29*1000000/Amortize_Prod!AB31,0),"SLO 不可達")</f>
        <v>0.100573347953864</v>
      </c>
      <c r="AC32" s="182" t="n">
        <f aca="false">IF(AND(ISNUMBER(Amortize_Prod!AC31),ISNUMBER(Amortize_Prod!AC29)),IF(Amortize_Prod!AC31&gt;0,Amortize_Prod!AC29*1000000/Amortize_Prod!AC31,0),"SLO 不可達")</f>
        <v>0.129262679409264</v>
      </c>
      <c r="AD32" s="182" t="n">
        <f aca="false">IF(AND(ISNUMBER(Amortize_Prod!AD31),ISNUMBER(Amortize_Prod!AD29)),IF(Amortize_Prod!AD31&gt;0,Amortize_Prod!AD29*1000000/Amortize_Prod!AD31,0),"SLO 不可達")</f>
        <v>0.208827861414237</v>
      </c>
      <c r="AE32" s="182" t="n">
        <f aca="false">IF(AND(ISNUMBER(Amortize_Prod!AE31),ISNUMBER(Amortize_Prod!AE29)),IF(Amortize_Prod!AE31&gt;0,Amortize_Prod!AE29*1000000/Amortize_Prod!AE31,0),"SLO 不可達")</f>
        <v>0.0523766024928945</v>
      </c>
      <c r="AF32" s="182" t="n">
        <f aca="false">IF(AND(ISNUMBER(Amortize_Prod!AF31),ISNUMBER(Amortize_Prod!AF29)),IF(Amortize_Prod!AF31&gt;0,Amortize_Prod!AF29*1000000/Amortize_Prod!AF31,0),"SLO 不可達")</f>
        <v>0.0796052541194475</v>
      </c>
      <c r="AG32" s="182" t="n">
        <f aca="false">IF(AND(ISNUMBER(Amortize_Prod!AG31),ISNUMBER(Amortize_Prod!AG29)),IF(Amortize_Prod!AG31&gt;0,Amortize_Prod!AG29*1000000/Amortize_Prod!AG31,0),"SLO 不可達")</f>
        <v>0.145322693070838</v>
      </c>
    </row>
    <row r="33" customFormat="false" ht="15" hidden="false" customHeight="false" outlineLevel="0" collapsed="false">
      <c r="A33" s="61" t="s">
        <v>2021</v>
      </c>
      <c r="B33" s="59" t="s">
        <v>976</v>
      </c>
      <c r="C33" s="160" t="n">
        <f aca="false">IF(ISNUMBER(INDEX(Interface_Prod!$C$45:$Q$45,1,Amortize!C$7)),(INDEX(B4_ISL,1,3)*((1-B4_CacheHit)*INDEX(Interface_Prod!$C$43:$Q$43,1,Amortize!C$7)+B4_CacheHit*(INDEX(IF_CostCache_Astra,1,Amortize!C$7)+Cache_Store!C29))+INDEX(B4_OSL,1,3)*INDEX(Interface_Prod!$C$45:$Q$45,1,Amortize!C$7))/(INDEX(B4_ISL,1,3)+INDEX(B4_OSL,1,3))/IF_Util,"SLO 不可達")</f>
        <v>2.29984946996563</v>
      </c>
      <c r="D33" s="160" t="n">
        <f aca="false">IF(ISNUMBER(INDEX(Interface_Prod!$C$45:$Q$45,1,Amortize!D$7)),(INDEX(B4_ISL,1,3)*((1-B4_CacheHit)*INDEX(Interface_Prod!$C$43:$Q$43,1,Amortize!D$7)+B4_CacheHit*(INDEX(IF_CostCache_Astra,1,Amortize!D$7)+Cache_Store!D29))+INDEX(B4_OSL,1,3)*INDEX(Interface_Prod!$C$45:$Q$45,1,Amortize!D$7))/(INDEX(B4_ISL,1,3)+INDEX(B4_OSL,1,3))/IF_Util,"SLO 不可達")</f>
        <v>3.28592913825471</v>
      </c>
      <c r="E33" s="160" t="n">
        <f aca="false">IF(ISNUMBER(INDEX(Interface_Prod!$C$45:$Q$45,1,Amortize!E$7)),(INDEX(B4_ISL,1,3)*((1-B4_CacheHit)*INDEX(Interface_Prod!$C$43:$Q$43,1,Amortize!E$7)+B4_CacheHit*(INDEX(IF_CostCache_Astra,1,Amortize!E$7)+Cache_Store!E29))+INDEX(B4_OSL,1,3)*INDEX(Interface_Prod!$C$45:$Q$45,1,Amortize!E$7))/(INDEX(B4_ISL,1,3)+INDEX(B4_OSL,1,3))/IF_Util,"SLO 不可達")</f>
        <v>5.64298877513717</v>
      </c>
      <c r="F33" s="160" t="n">
        <f aca="false">IF(ISNUMBER(INDEX(Interface_Prod!$C$45:$Q$45,1,Amortize!F$7)),(INDEX(B4_ISL,1,3)*((1-B4_CacheHit)*INDEX(Interface_Prod!$C$43:$Q$43,1,Amortize!F$7)+B4_CacheHit*(INDEX(IF_CostCache_Astra,1,Amortize!F$7)+Cache_Store!F29))+INDEX(B4_OSL,1,3)*INDEX(Interface_Prod!$C$45:$Q$45,1,Amortize!F$7))/(INDEX(B4_ISL,1,3)+INDEX(B4_OSL,1,3))/IF_Util,"SLO 不可達")</f>
        <v>0.472236094983344</v>
      </c>
      <c r="G33" s="160" t="n">
        <f aca="false">IF(ISNUMBER(INDEX(Interface_Prod!$C$45:$Q$45,1,Amortize!G$7)),(INDEX(B4_ISL,1,3)*((1-B4_CacheHit)*INDEX(Interface_Prod!$C$43:$Q$43,1,Amortize!G$7)+B4_CacheHit*(INDEX(IF_CostCache_Astra,1,Amortize!G$7)+Cache_Store!G29))+INDEX(B4_OSL,1,3)*INDEX(Interface_Prod!$C$45:$Q$45,1,Amortize!G$7))/(INDEX(B4_ISL,1,3)+INDEX(B4_OSL,1,3))/IF_Util,"SLO 不可達")</f>
        <v>0.630459693308667</v>
      </c>
      <c r="H33" s="160" t="n">
        <f aca="false">IF(ISNUMBER(INDEX(Interface_Prod!$C$45:$Q$45,1,Amortize!H$7)),(INDEX(B4_ISL,1,3)*((1-B4_CacheHit)*INDEX(Interface_Prod!$C$43:$Q$43,1,Amortize!H$7)+B4_CacheHit*(INDEX(IF_CostCache_Astra,1,Amortize!H$7)+Cache_Store!H29))+INDEX(B4_OSL,1,3)*INDEX(Interface_Prod!$C$45:$Q$45,1,Amortize!H$7))/(INDEX(B4_ISL,1,3)+INDEX(B4_OSL,1,3))/IF_Util,"SLO 不可達")</f>
        <v>1.02241610519247</v>
      </c>
      <c r="I33" s="160" t="n">
        <f aca="false">IF(ISNUMBER(INDEX(Interface_Prod!$C$45:$Q$45,1,Amortize!I$7)),(INDEX(B4_ISL,1,3)*((1-B4_CacheHit)*INDEX(Interface_Prod!$C$43:$Q$43,1,Amortize!I$7)+B4_CacheHit*(INDEX(IF_CostCache_Astra,1,Amortize!I$7)+Cache_Store!I29))+INDEX(B4_OSL,1,3)*INDEX(Interface_Prod!$C$45:$Q$45,1,Amortize!I$7))/(INDEX(B4_ISL,1,3)+INDEX(B4_OSL,1,3))/IF_Util,"SLO 不可達")</f>
        <v>0.461560755828161</v>
      </c>
      <c r="J33" s="160" t="n">
        <f aca="false">IF(ISNUMBER(INDEX(Interface_Prod!$C$45:$Q$45,1,Amortize!J$7)),(INDEX(B4_ISL,1,3)*((1-B4_CacheHit)*INDEX(Interface_Prod!$C$43:$Q$43,1,Amortize!J$7)+B4_CacheHit*(INDEX(IF_CostCache_Astra,1,Amortize!J$7)+Cache_Store!J29))+INDEX(B4_OSL,1,3)*INDEX(Interface_Prod!$C$45:$Q$45,1,Amortize!J$7))/(INDEX(B4_ISL,1,3)+INDEX(B4_OSL,1,3))/IF_Util,"SLO 不可達")</f>
        <v>0.596067340578021</v>
      </c>
      <c r="K33" s="160" t="n">
        <f aca="false">IF(ISNUMBER(INDEX(Interface_Prod!$C$45:$Q$45,1,Amortize!K$7)),(INDEX(B4_ISL,1,3)*((1-B4_CacheHit)*INDEX(Interface_Prod!$C$43:$Q$43,1,Amortize!K$7)+B4_CacheHit*(INDEX(IF_CostCache_Astra,1,Amortize!K$7)+Cache_Store!K29))+INDEX(B4_OSL,1,3)*INDEX(Interface_Prod!$C$45:$Q$45,1,Amortize!K$7))/(INDEX(B4_ISL,1,3)+INDEX(B4_OSL,1,3))/IF_Util,"SLO 不可達")</f>
        <v>1.01467687409375</v>
      </c>
      <c r="L33" s="160" t="n">
        <f aca="false">IF(ISNUMBER(INDEX(Interface_Prod!$C$45:$Q$45,1,Amortize!L$7)),(INDEX(B4_ISL,1,3)*((1-B4_CacheHit)*INDEX(Interface_Prod!$C$43:$Q$43,1,Amortize!L$7)+B4_CacheHit*(INDEX(IF_CostCache_Astra,1,Amortize!L$7)+Cache_Store!L29))+INDEX(B4_OSL,1,3)*INDEX(Interface_Prod!$C$45:$Q$45,1,Amortize!L$7))/(INDEX(B4_ISL,1,3)+INDEX(B4_OSL,1,3))/IF_Util,"SLO 不可達")</f>
        <v>0.287047119936529</v>
      </c>
      <c r="M33" s="160" t="n">
        <f aca="false">IF(ISNUMBER(INDEX(Interface_Prod!$C$45:$Q$45,1,Amortize!M$7)),(INDEX(B4_ISL,1,3)*((1-B4_CacheHit)*INDEX(Interface_Prod!$C$43:$Q$43,1,Amortize!M$7)+B4_CacheHit*(INDEX(IF_CostCache_Astra,1,Amortize!M$7)+Cache_Store!M29))+INDEX(B4_OSL,1,3)*INDEX(Interface_Prod!$C$45:$Q$45,1,Amortize!M$7))/(INDEX(B4_ISL,1,3)+INDEX(B4_OSL,1,3))/IF_Util,"SLO 不可達")</f>
        <v>0.36886586830428</v>
      </c>
      <c r="N33" s="160" t="n">
        <f aca="false">IF(ISNUMBER(INDEX(Interface_Prod!$C$45:$Q$45,1,Amortize!N$7)),(INDEX(B4_ISL,1,3)*((1-B4_CacheHit)*INDEX(Interface_Prod!$C$43:$Q$43,1,Amortize!N$7)+B4_CacheHit*(INDEX(IF_CostCache_Astra,1,Amortize!N$7)+Cache_Store!N29))+INDEX(B4_OSL,1,3)*INDEX(Interface_Prod!$C$45:$Q$45,1,Amortize!N$7))/(INDEX(B4_ISL,1,3)+INDEX(B4_OSL,1,3))/IF_Util,"SLO 不可達")</f>
        <v>0.595776823528853</v>
      </c>
      <c r="O33" s="160" t="n">
        <f aca="false">IF(ISNUMBER(INDEX(Interface_Prod!$C$45:$Q$45,1,Amortize!O$7)),(INDEX(B4_ISL,1,3)*((1-B4_CacheHit)*INDEX(Interface_Prod!$C$43:$Q$43,1,Amortize!O$7)+B4_CacheHit*(INDEX(IF_CostCache_Astra,1,Amortize!O$7)+Cache_Store!O29))+INDEX(B4_OSL,1,3)*INDEX(Interface_Prod!$C$45:$Q$45,1,Amortize!O$7))/(INDEX(B4_ISL,1,3)+INDEX(B4_OSL,1,3))/IF_Util,"SLO 不可達")</f>
        <v>0.214838071549376</v>
      </c>
      <c r="P33" s="160" t="n">
        <f aca="false">IF(ISNUMBER(INDEX(Interface_Prod!$C$45:$Q$45,1,Amortize!P$7)),(INDEX(B4_ISL,1,3)*((1-B4_CacheHit)*INDEX(Interface_Prod!$C$43:$Q$43,1,Amortize!P$7)+B4_CacheHit*(INDEX(IF_CostCache_Astra,1,Amortize!P$7)+Cache_Store!P29))+INDEX(B4_OSL,1,3)*INDEX(Interface_Prod!$C$45:$Q$45,1,Amortize!P$7))/(INDEX(B4_ISL,1,3)+INDEX(B4_OSL,1,3))/IF_Util,"SLO 不可達")</f>
        <v>0.326408358422841</v>
      </c>
      <c r="Q33" s="160" t="n">
        <f aca="false">IF(ISNUMBER(INDEX(Interface_Prod!$C$45:$Q$45,1,Amortize!Q$7)),(INDEX(B4_ISL,1,3)*((1-B4_CacheHit)*INDEX(Interface_Prod!$C$43:$Q$43,1,Amortize!Q$7)+B4_CacheHit*(INDEX(IF_CostCache_Astra,1,Amortize!Q$7)+Cache_Store!Q29))+INDEX(B4_OSL,1,3)*INDEX(Interface_Prod!$C$45:$Q$45,1,Amortize!Q$7))/(INDEX(B4_ISL,1,3)+INDEX(B4_OSL,1,3))/IF_Util,"SLO 不可達")</f>
        <v>0.595687704934656</v>
      </c>
      <c r="S33" s="160" t="n">
        <f aca="false">IF(ISNUMBER(INDEX(Interface_Prod!$S$45:$AG$45,1,Amortize!C$7)),(INDEX(B4_ISL,1,3)*((1-B4_CacheHit)*INDEX(Interface_Prod!$S$43:$AG$43,1,Amortize!C$7)+B4_CacheHit*(INDEX(IF_CostCache_Astra,1,Amortize!C$7)+Cache_Store!C29))+INDEX(B4_OSL,1,3)*INDEX(Interface_Prod!$S$45:$AG$45,1,Amortize!C$7))/(INDEX(B4_ISL,1,3)+INDEX(B4_OSL,1,3))/IF_Util,"SLO 不可達")</f>
        <v>1.66263672159069</v>
      </c>
      <c r="T33" s="160" t="n">
        <f aca="false">IF(ISNUMBER(INDEX(Interface_Prod!$S$45:$AG$45,1,Amortize!D$7)),(INDEX(B4_ISL,1,3)*((1-B4_CacheHit)*INDEX(Interface_Prod!$S$43:$AG$43,1,Amortize!D$7)+B4_CacheHit*(INDEX(IF_CostCache_Astra,1,Amortize!D$7)+Cache_Store!D29))+INDEX(B4_OSL,1,3)*INDEX(Interface_Prod!$S$45:$AG$45,1,Amortize!D$7))/(INDEX(B4_ISL,1,3)+INDEX(B4_OSL,1,3))/IF_Util,"SLO 不可達")</f>
        <v>2.37547958012256</v>
      </c>
      <c r="U33" s="160" t="n">
        <f aca="false">IF(ISNUMBER(INDEX(Interface_Prod!$S$45:$AG$45,1,Amortize!E$7)),(INDEX(B4_ISL,1,3)*((1-B4_CacheHit)*INDEX(Interface_Prod!$S$43:$AG$43,1,Amortize!E$7)+B4_CacheHit*(INDEX(IF_CostCache_Astra,1,Amortize!E$7)+Cache_Store!E29))+INDEX(B4_OSL,1,3)*INDEX(Interface_Prod!$S$45:$AG$45,1,Amortize!E$7))/(INDEX(B4_ISL,1,3)+INDEX(B4_OSL,1,3))/IF_Util,"SLO 不可達")</f>
        <v>4.07941201410193</v>
      </c>
      <c r="V33" s="160" t="n">
        <f aca="false">IF(ISNUMBER(INDEX(Interface_Prod!$S$45:$AG$45,1,Amortize!F$7)),(INDEX(B4_ISL,1,3)*((1-B4_CacheHit)*INDEX(Interface_Prod!$S$43:$AG$43,1,Amortize!F$7)+B4_CacheHit*(INDEX(IF_CostCache_Astra,1,Amortize!F$7)+Cache_Store!F29))+INDEX(B4_OSL,1,3)*INDEX(Interface_Prod!$S$45:$AG$45,1,Amortize!F$7))/(INDEX(B4_ISL,1,3)+INDEX(B4_OSL,1,3))/IF_Util,"SLO 不可達")</f>
        <v>0.370608190541235</v>
      </c>
      <c r="W33" s="160" t="n">
        <f aca="false">IF(ISNUMBER(INDEX(Interface_Prod!$S$45:$AG$45,1,Amortize!G$7)),(INDEX(B4_ISL,1,3)*((1-B4_CacheHit)*INDEX(Interface_Prod!$S$43:$AG$43,1,Amortize!G$7)+B4_CacheHit*(INDEX(IF_CostCache_Astra,1,Amortize!G$7)+Cache_Store!G29))+INDEX(B4_OSL,1,3)*INDEX(Interface_Prod!$S$45:$AG$45,1,Amortize!G$7))/(INDEX(B4_ISL,1,3)+INDEX(B4_OSL,1,3))/IF_Util,"SLO 不可達")</f>
        <v>0.494765062808293</v>
      </c>
      <c r="X33" s="160" t="n">
        <f aca="false">IF(ISNUMBER(INDEX(Interface_Prod!$S$45:$AG$45,1,Amortize!H$7)),(INDEX(B4_ISL,1,3)*((1-B4_CacheHit)*INDEX(Interface_Prod!$S$43:$AG$43,1,Amortize!H$7)+B4_CacheHit*(INDEX(IF_CostCache_Astra,1,Amortize!H$7)+Cache_Store!H29))+INDEX(B4_OSL,1,3)*INDEX(Interface_Prod!$S$45:$AG$45,1,Amortize!H$7))/(INDEX(B4_ISL,1,3)+INDEX(B4_OSL,1,3))/IF_Util,"SLO 不可達")</f>
        <v>0.802330322855367</v>
      </c>
      <c r="Y33" s="160" t="n">
        <f aca="false">IF(ISNUMBER(INDEX(Interface_Prod!$S$45:$AG$45,1,Amortize!I$7)),(INDEX(B4_ISL,1,3)*((1-B4_CacheHit)*INDEX(Interface_Prod!$S$43:$AG$43,1,Amortize!I$7)+B4_CacheHit*(INDEX(IF_CostCache_Astra,1,Amortize!I$7)+Cache_Store!I29))+INDEX(B4_OSL,1,3)*INDEX(Interface_Prod!$S$45:$AG$45,1,Amortize!I$7))/(INDEX(B4_ISL,1,3)+INDEX(B4_OSL,1,3))/IF_Util,"SLO 不可達")</f>
        <v>0.358324482905226</v>
      </c>
      <c r="Z33" s="160" t="n">
        <f aca="false">IF(ISNUMBER(INDEX(Interface_Prod!$S$45:$AG$45,1,Amortize!J$7)),(INDEX(B4_ISL,1,3)*((1-B4_CacheHit)*INDEX(Interface_Prod!$S$43:$AG$43,1,Amortize!J$7)+B4_CacheHit*(INDEX(IF_CostCache_Astra,1,Amortize!J$7)+Cache_Store!J29))+INDEX(B4_OSL,1,3)*INDEX(Interface_Prod!$S$45:$AG$45,1,Amortize!J$7))/(INDEX(B4_ISL,1,3)+INDEX(B4_OSL,1,3))/IF_Util,"SLO 不可達")</f>
        <v>0.462731719727564</v>
      </c>
      <c r="AA33" s="160" t="n">
        <f aca="false">IF(ISNUMBER(INDEX(Interface_Prod!$S$45:$AG$45,1,Amortize!K$7)),(INDEX(B4_ISL,1,3)*((1-B4_CacheHit)*INDEX(Interface_Prod!$S$43:$AG$43,1,Amortize!K$7)+B4_CacheHit*(INDEX(IF_CostCache_Astra,1,Amortize!K$7)+Cache_Store!K29))+INDEX(B4_OSL,1,3)*INDEX(Interface_Prod!$S$45:$AG$45,1,Amortize!K$7))/(INDEX(B4_ISL,1,3)+INDEX(B4_OSL,1,3))/IF_Util,"SLO 不可達")</f>
        <v>0.78766647874434</v>
      </c>
      <c r="AB33" s="160" t="n">
        <f aca="false">IF(ISNUMBER(INDEX(Interface_Prod!$S$45:$AG$45,1,Amortize!L$7)),(INDEX(B4_ISL,1,3)*((1-B4_CacheHit)*INDEX(Interface_Prod!$S$43:$AG$43,1,Amortize!L$7)+B4_CacheHit*(INDEX(IF_CostCache_Astra,1,Amortize!L$7)+Cache_Store!L29))+INDEX(B4_OSL,1,3)*INDEX(Interface_Prod!$S$45:$AG$45,1,Amortize!L$7))/(INDEX(B4_ISL,1,3)+INDEX(B4_OSL,1,3))/IF_Util,"SLO 不可達")</f>
        <v>0.228405666106599</v>
      </c>
      <c r="AC33" s="160" t="n">
        <f aca="false">IF(ISNUMBER(INDEX(Interface_Prod!$S$45:$AG$45,1,Amortize!M$7)),(INDEX(B4_ISL,1,3)*((1-B4_CacheHit)*INDEX(Interface_Prod!$S$43:$AG$43,1,Amortize!M$7)+B4_CacheHit*(INDEX(IF_CostCache_Astra,1,Amortize!M$7)+Cache_Store!M29))+INDEX(B4_OSL,1,3)*INDEX(Interface_Prod!$S$45:$AG$45,1,Amortize!M$7))/(INDEX(B4_ISL,1,3)+INDEX(B4_OSL,1,3))/IF_Util,"SLO 不可達")</f>
        <v>0.293496482669542</v>
      </c>
      <c r="AD33" s="160" t="n">
        <f aca="false">IF(ISNUMBER(INDEX(Interface_Prod!$S$45:$AG$45,1,Amortize!N$7)),(INDEX(B4_ISL,1,3)*((1-B4_CacheHit)*INDEX(Interface_Prod!$S$43:$AG$43,1,Amortize!N$7)+B4_CacheHit*(INDEX(IF_CostCache_Astra,1,Amortize!N$7)+Cache_Store!N29))+INDEX(B4_OSL,1,3)*INDEX(Interface_Prod!$S$45:$AG$45,1,Amortize!N$7))/(INDEX(B4_ISL,1,3)+INDEX(B4_OSL,1,3))/IF_Util,"SLO 不可達")</f>
        <v>0.474015247100636</v>
      </c>
      <c r="AE33" s="160" t="n">
        <f aca="false">IF(ISNUMBER(INDEX(Interface_Prod!$S$45:$AG$45,1,Amortize!O$7)),(INDEX(B4_ISL,1,3)*((1-B4_CacheHit)*INDEX(Interface_Prod!$S$43:$AG$43,1,Amortize!O$7)+B4_CacheHit*(INDEX(IF_CostCache_Astra,1,Amortize!O$7)+Cache_Store!O29))+INDEX(B4_OSL,1,3)*INDEX(Interface_Prod!$S$45:$AG$45,1,Amortize!O$7))/(INDEX(B4_ISL,1,3)+INDEX(B4_OSL,1,3))/IF_Util,"SLO 不可達")</f>
        <v>0.171897638404717</v>
      </c>
      <c r="AF33" s="160" t="n">
        <f aca="false">IF(ISNUMBER(INDEX(Interface_Prod!$S$45:$AG$45,1,Amortize!P$7)),(INDEX(B4_ISL,1,3)*((1-B4_CacheHit)*INDEX(Interface_Prod!$S$43:$AG$43,1,Amortize!P$7)+B4_CacheHit*(INDEX(IF_CostCache_Astra,1,Amortize!P$7)+Cache_Store!P29))+INDEX(B4_OSL,1,3)*INDEX(Interface_Prod!$S$45:$AG$45,1,Amortize!P$7))/(INDEX(B4_ISL,1,3)+INDEX(B4_OSL,1,3))/IF_Util,"SLO 不可達")</f>
        <v>0.261144787863002</v>
      </c>
      <c r="AG33" s="160" t="n">
        <f aca="false">IF(ISNUMBER(INDEX(Interface_Prod!$S$45:$AG$45,1,Amortize!Q$7)),(INDEX(B4_ISL,1,3)*((1-B4_CacheHit)*INDEX(Interface_Prod!$S$43:$AG$43,1,Amortize!Q$7)+B4_CacheHit*(INDEX(IF_CostCache_Astra,1,Amortize!Q$7)+Cache_Store!Q29))+INDEX(B4_OSL,1,3)*INDEX(Interface_Prod!$S$45:$AG$45,1,Amortize!Q$7))/(INDEX(B4_ISL,1,3)+INDEX(B4_OSL,1,3))/IF_Util,"SLO 不可達")</f>
        <v>0.476546350031833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1"/>
    <col collapsed="false" customWidth="true" hidden="false" outlineLevel="0" max="17" min="3" style="0" width="12"/>
    <col collapsed="false" customWidth="true" hidden="false" outlineLevel="0" max="33" min="19" style="0" width="12"/>
  </cols>
  <sheetData>
    <row r="1" customFormat="false" ht="20.1" hidden="false" customHeight="false" outlineLevel="0" collapsed="false">
      <c r="A1" s="58" t="s">
        <v>2749</v>
      </c>
    </row>
    <row r="2" customFormat="false" ht="15" hidden="false" customHeight="false" outlineLevel="0" collapsed="false">
      <c r="A2" s="74" t="s">
        <v>2750</v>
      </c>
    </row>
    <row r="3" customFormat="false" ht="15" hidden="false" customHeight="false" outlineLevel="0" collapsed="false">
      <c r="S3" s="60" t="s">
        <v>2722</v>
      </c>
    </row>
    <row r="4" customFormat="false" ht="15" hidden="false" customHeight="false" outlineLevel="0" collapsed="false">
      <c r="A4" s="92" t="str">
        <f aca="false">Theory_Rev!A4</f>
        <v>世代</v>
      </c>
      <c r="C4" s="92" t="str">
        <f aca="false">Theory_Rev!C4</f>
        <v>Hopper H100</v>
      </c>
      <c r="D4" s="92" t="str">
        <f aca="false">Theory_Rev!D4</f>
        <v>Hopper H100</v>
      </c>
      <c r="E4" s="92" t="str">
        <f aca="false">Theory_Rev!E4</f>
        <v>Hopper H100</v>
      </c>
      <c r="F4" s="92" t="str">
        <f aca="false">Theory_Rev!F4</f>
        <v>GB200 NVL72</v>
      </c>
      <c r="G4" s="92" t="str">
        <f aca="false">Theory_Rev!G4</f>
        <v>GB200 NVL72</v>
      </c>
      <c r="H4" s="92" t="str">
        <f aca="false">Theory_Rev!H4</f>
        <v>GB200 NVL72</v>
      </c>
      <c r="I4" s="92" t="str">
        <f aca="false">Theory_Rev!I4</f>
        <v>GB300 NVL72</v>
      </c>
      <c r="J4" s="92" t="str">
        <f aca="false">Theory_Rev!J4</f>
        <v>GB300 NVL72</v>
      </c>
      <c r="K4" s="92" t="str">
        <f aca="false">Theory_Rev!K4</f>
        <v>GB300 NVL72</v>
      </c>
      <c r="L4" s="92" t="str">
        <f aca="false">Theory_Rev!L4</f>
        <v>VR200 NVL72</v>
      </c>
      <c r="M4" s="92" t="str">
        <f aca="false">Theory_Rev!M4</f>
        <v>VR200 NVL72</v>
      </c>
      <c r="N4" s="92" t="str">
        <f aca="false">Theory_Rev!N4</f>
        <v>VR200 NVL72</v>
      </c>
      <c r="O4" s="92" t="str">
        <f aca="false">Theory_Rev!O4</f>
        <v>Rubin Ultra（MGX NVL 單架，72 GPU）</v>
      </c>
      <c r="P4" s="92" t="str">
        <f aca="false">Theory_Rev!P4</f>
        <v>Rubin Ultra（MGX NVL 單架，72 GPU）</v>
      </c>
      <c r="Q4" s="92" t="str">
        <f aca="false">Theory_Rev!Q4</f>
        <v>Rubin Ultra（MGX NVL 單架，72 GPU）</v>
      </c>
      <c r="S4" s="92" t="str">
        <f aca="false">Theory_Rev!C4</f>
        <v>Hopper H100</v>
      </c>
      <c r="T4" s="92" t="str">
        <f aca="false">Theory_Rev!D4</f>
        <v>Hopper H100</v>
      </c>
      <c r="U4" s="92" t="str">
        <f aca="false">Theory_Rev!E4</f>
        <v>Hopper H100</v>
      </c>
      <c r="V4" s="92" t="str">
        <f aca="false">Theory_Rev!F4</f>
        <v>GB200 NVL72</v>
      </c>
      <c r="W4" s="92" t="str">
        <f aca="false">Theory_Rev!G4</f>
        <v>GB200 NVL72</v>
      </c>
      <c r="X4" s="92" t="str">
        <f aca="false">Theory_Rev!H4</f>
        <v>GB200 NVL72</v>
      </c>
      <c r="Y4" s="92" t="str">
        <f aca="false">Theory_Rev!I4</f>
        <v>GB300 NVL72</v>
      </c>
      <c r="Z4" s="92" t="str">
        <f aca="false">Theory_Rev!J4</f>
        <v>GB300 NVL72</v>
      </c>
      <c r="AA4" s="92" t="str">
        <f aca="false">Theory_Rev!K4</f>
        <v>GB300 NVL72</v>
      </c>
      <c r="AB4" s="92" t="str">
        <f aca="false">Theory_Rev!L4</f>
        <v>VR200 NVL72</v>
      </c>
      <c r="AC4" s="92" t="str">
        <f aca="false">Theory_Rev!M4</f>
        <v>VR200 NVL72</v>
      </c>
      <c r="AD4" s="92" t="str">
        <f aca="false">Theory_Rev!N4</f>
        <v>VR200 NVL72</v>
      </c>
      <c r="AE4" s="92" t="str">
        <f aca="false">Theory_Rev!O4</f>
        <v>Rubin Ultra（MGX NVL 單架，72 GPU）</v>
      </c>
      <c r="AF4" s="92" t="str">
        <f aca="false">Theory_Rev!P4</f>
        <v>Rubin Ultra（MGX NVL 單架，72 GPU）</v>
      </c>
      <c r="AG4" s="92" t="str">
        <f aca="false">Theory_Rev!Q4</f>
        <v>Rubin Ultra（MGX NVL 單架，72 GPU）</v>
      </c>
    </row>
    <row r="5" customFormat="false" ht="15" hidden="false" customHeight="false" outlineLevel="0" collapsed="false">
      <c r="A5" s="92" t="str">
        <f aca="false">Theory_Rev!A5</f>
        <v>成本情境</v>
      </c>
      <c r="C5" s="92" t="str">
        <f aca="false">Theory_Rev!C5</f>
        <v>低成本</v>
      </c>
      <c r="D5" s="92" t="str">
        <f aca="false">Theory_Rev!D5</f>
        <v>基準</v>
      </c>
      <c r="E5" s="92" t="str">
        <f aca="false">Theory_Rev!E5</f>
        <v>高成本</v>
      </c>
      <c r="F5" s="92" t="str">
        <f aca="false">Theory_Rev!F5</f>
        <v>低成本</v>
      </c>
      <c r="G5" s="92" t="str">
        <f aca="false">Theory_Rev!G5</f>
        <v>基準</v>
      </c>
      <c r="H5" s="92" t="str">
        <f aca="false">Theory_Rev!H5</f>
        <v>高成本</v>
      </c>
      <c r="I5" s="92" t="str">
        <f aca="false">Theory_Rev!I5</f>
        <v>低成本</v>
      </c>
      <c r="J5" s="92" t="str">
        <f aca="false">Theory_Rev!J5</f>
        <v>基準</v>
      </c>
      <c r="K5" s="92" t="str">
        <f aca="false">Theory_Rev!K5</f>
        <v>高成本</v>
      </c>
      <c r="L5" s="92" t="str">
        <f aca="false">Theory_Rev!L5</f>
        <v>低成本</v>
      </c>
      <c r="M5" s="92" t="str">
        <f aca="false">Theory_Rev!M5</f>
        <v>基準</v>
      </c>
      <c r="N5" s="92" t="str">
        <f aca="false">Theory_Rev!N5</f>
        <v>高成本</v>
      </c>
      <c r="O5" s="92" t="str">
        <f aca="false">Theory_Rev!O5</f>
        <v>低成本</v>
      </c>
      <c r="P5" s="92" t="str">
        <f aca="false">Theory_Rev!P5</f>
        <v>基準</v>
      </c>
      <c r="Q5" s="92" t="str">
        <f aca="false">Theory_Rev!Q5</f>
        <v>高成本</v>
      </c>
      <c r="S5" s="92" t="str">
        <f aca="false">Theory_Rev!C5</f>
        <v>低成本</v>
      </c>
      <c r="T5" s="92" t="str">
        <f aca="false">Theory_Rev!D5</f>
        <v>基準</v>
      </c>
      <c r="U5" s="92" t="str">
        <f aca="false">Theory_Rev!E5</f>
        <v>高成本</v>
      </c>
      <c r="V5" s="92" t="str">
        <f aca="false">Theory_Rev!F5</f>
        <v>低成本</v>
      </c>
      <c r="W5" s="92" t="str">
        <f aca="false">Theory_Rev!G5</f>
        <v>基準</v>
      </c>
      <c r="X5" s="92" t="str">
        <f aca="false">Theory_Rev!H5</f>
        <v>高成本</v>
      </c>
      <c r="Y5" s="92" t="str">
        <f aca="false">Theory_Rev!I5</f>
        <v>低成本</v>
      </c>
      <c r="Z5" s="92" t="str">
        <f aca="false">Theory_Rev!J5</f>
        <v>基準</v>
      </c>
      <c r="AA5" s="92" t="str">
        <f aca="false">Theory_Rev!K5</f>
        <v>高成本</v>
      </c>
      <c r="AB5" s="92" t="str">
        <f aca="false">Theory_Rev!L5</f>
        <v>低成本</v>
      </c>
      <c r="AC5" s="92" t="str">
        <f aca="false">Theory_Rev!M5</f>
        <v>基準</v>
      </c>
      <c r="AD5" s="92" t="str">
        <f aca="false">Theory_Rev!N5</f>
        <v>高成本</v>
      </c>
      <c r="AE5" s="92" t="str">
        <f aca="false">Theory_Rev!O5</f>
        <v>低成本</v>
      </c>
      <c r="AF5" s="92" t="str">
        <f aca="false">Theory_Rev!P5</f>
        <v>基準</v>
      </c>
      <c r="AG5" s="92" t="str">
        <f aca="false">Theory_Rev!Q5</f>
        <v>高成本</v>
      </c>
    </row>
    <row r="6" customFormat="false" ht="15" hidden="false" customHeight="false" outlineLevel="0" collapsed="false">
      <c r="A6" s="92" t="str">
        <f aca="false">Theory_Rev!A6</f>
        <v>世代索引</v>
      </c>
      <c r="C6" s="89" t="n">
        <f aca="false">Theory_Rev!C6</f>
        <v>1</v>
      </c>
      <c r="D6" s="89" t="n">
        <f aca="false">Theory_Rev!D6</f>
        <v>1</v>
      </c>
      <c r="E6" s="89" t="n">
        <f aca="false">Theory_Rev!E6</f>
        <v>1</v>
      </c>
      <c r="F6" s="89" t="n">
        <f aca="false">Theory_Rev!F6</f>
        <v>2</v>
      </c>
      <c r="G6" s="89" t="n">
        <f aca="false">Theory_Rev!G6</f>
        <v>2</v>
      </c>
      <c r="H6" s="89" t="n">
        <f aca="false">Theory_Rev!H6</f>
        <v>2</v>
      </c>
      <c r="I6" s="89" t="n">
        <f aca="false">Theory_Rev!I6</f>
        <v>3</v>
      </c>
      <c r="J6" s="89" t="n">
        <f aca="false">Theory_Rev!J6</f>
        <v>3</v>
      </c>
      <c r="K6" s="89" t="n">
        <f aca="false">Theory_Rev!K6</f>
        <v>3</v>
      </c>
      <c r="L6" s="89" t="n">
        <f aca="false">Theory_Rev!L6</f>
        <v>4</v>
      </c>
      <c r="M6" s="89" t="n">
        <f aca="false">Theory_Rev!M6</f>
        <v>4</v>
      </c>
      <c r="N6" s="89" t="n">
        <f aca="false">Theory_Rev!N6</f>
        <v>4</v>
      </c>
      <c r="O6" s="89" t="n">
        <f aca="false">Theory_Rev!O6</f>
        <v>5</v>
      </c>
      <c r="P6" s="89" t="n">
        <f aca="false">Theory_Rev!P6</f>
        <v>5</v>
      </c>
      <c r="Q6" s="89" t="n">
        <f aca="false">Theory_Rev!Q6</f>
        <v>5</v>
      </c>
      <c r="S6" s="89" t="n">
        <f aca="false">Theory_Rev!C6</f>
        <v>1</v>
      </c>
      <c r="T6" s="89" t="n">
        <f aca="false">Theory_Rev!D6</f>
        <v>1</v>
      </c>
      <c r="U6" s="89" t="n">
        <f aca="false">Theory_Rev!E6</f>
        <v>1</v>
      </c>
      <c r="V6" s="89" t="n">
        <f aca="false">Theory_Rev!F6</f>
        <v>2</v>
      </c>
      <c r="W6" s="89" t="n">
        <f aca="false">Theory_Rev!G6</f>
        <v>2</v>
      </c>
      <c r="X6" s="89" t="n">
        <f aca="false">Theory_Rev!H6</f>
        <v>2</v>
      </c>
      <c r="Y6" s="89" t="n">
        <f aca="false">Theory_Rev!I6</f>
        <v>3</v>
      </c>
      <c r="Z6" s="89" t="n">
        <f aca="false">Theory_Rev!J6</f>
        <v>3</v>
      </c>
      <c r="AA6" s="89" t="n">
        <f aca="false">Theory_Rev!K6</f>
        <v>3</v>
      </c>
      <c r="AB6" s="89" t="n">
        <f aca="false">Theory_Rev!L6</f>
        <v>4</v>
      </c>
      <c r="AC6" s="89" t="n">
        <f aca="false">Theory_Rev!M6</f>
        <v>4</v>
      </c>
      <c r="AD6" s="89" t="n">
        <f aca="false">Theory_Rev!N6</f>
        <v>4</v>
      </c>
      <c r="AE6" s="89" t="n">
        <f aca="false">Theory_Rev!O6</f>
        <v>5</v>
      </c>
      <c r="AF6" s="89" t="n">
        <f aca="false">Theory_Rev!P6</f>
        <v>5</v>
      </c>
      <c r="AG6" s="89" t="n">
        <f aca="false">Theory_Rev!Q6</f>
        <v>5</v>
      </c>
    </row>
    <row r="7" customFormat="false" ht="15" hidden="false" customHeight="false" outlineLevel="0" collapsed="false">
      <c r="A7" s="92" t="str">
        <f aca="false">Theory_Rev!A7</f>
        <v>欄索引</v>
      </c>
      <c r="C7" s="89" t="n">
        <f aca="false">Theory_Rev!C7</f>
        <v>1</v>
      </c>
      <c r="D7" s="89" t="n">
        <f aca="false">Theory_Rev!D7</f>
        <v>2</v>
      </c>
      <c r="E7" s="89" t="n">
        <f aca="false">Theory_Rev!E7</f>
        <v>3</v>
      </c>
      <c r="F7" s="89" t="n">
        <f aca="false">Theory_Rev!F7</f>
        <v>4</v>
      </c>
      <c r="G7" s="89" t="n">
        <f aca="false">Theory_Rev!G7</f>
        <v>5</v>
      </c>
      <c r="H7" s="89" t="n">
        <f aca="false">Theory_Rev!H7</f>
        <v>6</v>
      </c>
      <c r="I7" s="89" t="n">
        <f aca="false">Theory_Rev!I7</f>
        <v>7</v>
      </c>
      <c r="J7" s="89" t="n">
        <f aca="false">Theory_Rev!J7</f>
        <v>8</v>
      </c>
      <c r="K7" s="89" t="n">
        <f aca="false">Theory_Rev!K7</f>
        <v>9</v>
      </c>
      <c r="L7" s="89" t="n">
        <f aca="false">Theory_Rev!L7</f>
        <v>10</v>
      </c>
      <c r="M7" s="89" t="n">
        <f aca="false">Theory_Rev!M7</f>
        <v>11</v>
      </c>
      <c r="N7" s="89" t="n">
        <f aca="false">Theory_Rev!N7</f>
        <v>12</v>
      </c>
      <c r="O7" s="89" t="n">
        <f aca="false">Theory_Rev!O7</f>
        <v>13</v>
      </c>
      <c r="P7" s="89" t="n">
        <f aca="false">Theory_Rev!P7</f>
        <v>14</v>
      </c>
      <c r="Q7" s="89" t="n">
        <f aca="false">Theory_Rev!Q7</f>
        <v>15</v>
      </c>
      <c r="S7" s="89" t="n">
        <f aca="false">Theory_Rev!C7</f>
        <v>1</v>
      </c>
      <c r="T7" s="89" t="n">
        <f aca="false">Theory_Rev!D7</f>
        <v>2</v>
      </c>
      <c r="U7" s="89" t="n">
        <f aca="false">Theory_Rev!E7</f>
        <v>3</v>
      </c>
      <c r="V7" s="89" t="n">
        <f aca="false">Theory_Rev!F7</f>
        <v>4</v>
      </c>
      <c r="W7" s="89" t="n">
        <f aca="false">Theory_Rev!G7</f>
        <v>5</v>
      </c>
      <c r="X7" s="89" t="n">
        <f aca="false">Theory_Rev!H7</f>
        <v>6</v>
      </c>
      <c r="Y7" s="89" t="n">
        <f aca="false">Theory_Rev!I7</f>
        <v>7</v>
      </c>
      <c r="Z7" s="89" t="n">
        <f aca="false">Theory_Rev!J7</f>
        <v>8</v>
      </c>
      <c r="AA7" s="89" t="n">
        <f aca="false">Theory_Rev!K7</f>
        <v>9</v>
      </c>
      <c r="AB7" s="89" t="n">
        <f aca="false">Theory_Rev!L7</f>
        <v>10</v>
      </c>
      <c r="AC7" s="89" t="n">
        <f aca="false">Theory_Rev!M7</f>
        <v>11</v>
      </c>
      <c r="AD7" s="89" t="n">
        <f aca="false">Theory_Rev!N7</f>
        <v>12</v>
      </c>
      <c r="AE7" s="89" t="n">
        <f aca="false">Theory_Rev!O7</f>
        <v>13</v>
      </c>
      <c r="AF7" s="89" t="n">
        <f aca="false">Theory_Rev!P7</f>
        <v>14</v>
      </c>
      <c r="AG7" s="89" t="n">
        <f aca="false">Theory_Rev!Q7</f>
        <v>15</v>
      </c>
    </row>
    <row r="10" customFormat="false" ht="15" hidden="false" customHeight="false" outlineLevel="0" collapsed="false">
      <c r="A10" s="61" t="s">
        <v>2046</v>
      </c>
      <c r="B10" s="59" t="s">
        <v>2724</v>
      </c>
      <c r="C10" s="63" t="n">
        <f aca="false">IF(ISNUMBER(INDEX(Interface_Prod!$C$21:$Q$21,1,Theory_Rev!C$7)),INDEX(Interface_Prod!$C$21:$Q$21,1,Theory_Rev!C$7)*IF_Util,INDEX(Interface_Prod!$C$21:$Q$21,1,Theory_Rev!C$7))</f>
        <v>51844785476.8411</v>
      </c>
      <c r="D10" s="63" t="n">
        <f aca="false">IF(ISNUMBER(INDEX(Interface_Prod!$C$21:$Q$21,1,Theory_Rev!D$7)),INDEX(Interface_Prod!$C$21:$Q$21,1,Theory_Rev!D$7)*IF_Util,INDEX(Interface_Prod!$C$21:$Q$21,1,Theory_Rev!D$7))</f>
        <v>51844785476.8411</v>
      </c>
      <c r="E10" s="63" t="n">
        <f aca="false">IF(ISNUMBER(INDEX(Interface_Prod!$C$21:$Q$21,1,Theory_Rev!E$7)),INDEX(Interface_Prod!$C$21:$Q$21,1,Theory_Rev!E$7)*IF_Util,INDEX(Interface_Prod!$C$21:$Q$21,1,Theory_Rev!E$7))</f>
        <v>51844785476.8411</v>
      </c>
      <c r="F10" s="63" t="n">
        <f aca="false">IF(ISNUMBER(INDEX(Interface_Prod!$C$21:$Q$21,1,Theory_Rev!F$7)),INDEX(Interface_Prod!$C$21:$Q$21,1,Theory_Rev!F$7)*IF_Util,INDEX(Interface_Prod!$C$21:$Q$21,1,Theory_Rev!F$7))</f>
        <v>240159699157.875</v>
      </c>
      <c r="G10" s="63" t="n">
        <f aca="false">IF(ISNUMBER(INDEX(Interface_Prod!$C$21:$Q$21,1,Theory_Rev!G$7)),INDEX(Interface_Prod!$C$21:$Q$21,1,Theory_Rev!G$7)*IF_Util,INDEX(Interface_Prod!$C$21:$Q$21,1,Theory_Rev!G$7))</f>
        <v>240159699157.875</v>
      </c>
      <c r="H10" s="63" t="n">
        <f aca="false">IF(ISNUMBER(INDEX(Interface_Prod!$C$21:$Q$21,1,Theory_Rev!H$7)),INDEX(Interface_Prod!$C$21:$Q$21,1,Theory_Rev!H$7)*IF_Util,INDEX(Interface_Prod!$C$21:$Q$21,1,Theory_Rev!H$7))</f>
        <v>240159699157.875</v>
      </c>
      <c r="I10" s="63" t="n">
        <f aca="false">IF(ISNUMBER(INDEX(Interface_Prod!$C$21:$Q$21,1,Theory_Rev!I$7)),INDEX(Interface_Prod!$C$21:$Q$21,1,Theory_Rev!I$7)*IF_Util,INDEX(Interface_Prod!$C$21:$Q$21,1,Theory_Rev!I$7))</f>
        <v>349642747547.109</v>
      </c>
      <c r="J10" s="63" t="n">
        <f aca="false">IF(ISNUMBER(INDEX(Interface_Prod!$C$21:$Q$21,1,Theory_Rev!J$7)),INDEX(Interface_Prod!$C$21:$Q$21,1,Theory_Rev!J$7)*IF_Util,INDEX(Interface_Prod!$C$21:$Q$21,1,Theory_Rev!J$7))</f>
        <v>349642747547.109</v>
      </c>
      <c r="K10" s="63" t="n">
        <f aca="false">IF(ISNUMBER(INDEX(Interface_Prod!$C$21:$Q$21,1,Theory_Rev!K$7)),INDEX(Interface_Prod!$C$21:$Q$21,1,Theory_Rev!K$7)*IF_Util,INDEX(Interface_Prod!$C$21:$Q$21,1,Theory_Rev!K$7))</f>
        <v>349642747547.109</v>
      </c>
      <c r="L10" s="63" t="n">
        <f aca="false">IF(ISNUMBER(INDEX(Interface_Prod!$C$21:$Q$21,1,Theory_Rev!L$7)),INDEX(Interface_Prod!$C$21:$Q$21,1,Theory_Rev!L$7)*IF_Util,INDEX(Interface_Prod!$C$21:$Q$21,1,Theory_Rev!L$7))</f>
        <v>505589443256.328</v>
      </c>
      <c r="M10" s="63" t="n">
        <f aca="false">IF(ISNUMBER(INDEX(Interface_Prod!$C$21:$Q$21,1,Theory_Rev!M$7)),INDEX(Interface_Prod!$C$21:$Q$21,1,Theory_Rev!M$7)*IF_Util,INDEX(Interface_Prod!$C$21:$Q$21,1,Theory_Rev!M$7))</f>
        <v>505589443256.328</v>
      </c>
      <c r="N10" s="63" t="n">
        <f aca="false">IF(ISNUMBER(INDEX(Interface_Prod!$C$21:$Q$21,1,Theory_Rev!N$7)),INDEX(Interface_Prod!$C$21:$Q$21,1,Theory_Rev!N$7)*IF_Util,INDEX(Interface_Prod!$C$21:$Q$21,1,Theory_Rev!N$7))</f>
        <v>505589443256.328</v>
      </c>
      <c r="O10" s="63" t="n">
        <f aca="false">IF(ISNUMBER(INDEX(Interface_Prod!$C$21:$Q$21,1,Theory_Rev!O$7)),INDEX(Interface_Prod!$C$21:$Q$21,1,Theory_Rev!O$7)*IF_Util,INDEX(Interface_Prod!$C$21:$Q$21,1,Theory_Rev!O$7))</f>
        <v>681106994257.583</v>
      </c>
      <c r="P10" s="63" t="n">
        <f aca="false">IF(ISNUMBER(INDEX(Interface_Prod!$C$21:$Q$21,1,Theory_Rev!P$7)),INDEX(Interface_Prod!$C$21:$Q$21,1,Theory_Rev!P$7)*IF_Util,INDEX(Interface_Prod!$C$21:$Q$21,1,Theory_Rev!P$7))</f>
        <v>681106994257.583</v>
      </c>
      <c r="Q10" s="63" t="n">
        <f aca="false">IF(ISNUMBER(INDEX(Interface_Prod!$C$21:$Q$21,1,Theory_Rev!Q$7)),INDEX(Interface_Prod!$C$21:$Q$21,1,Theory_Rev!Q$7)*IF_Util,INDEX(Interface_Prod!$C$21:$Q$21,1,Theory_Rev!Q$7))</f>
        <v>681106994257.583</v>
      </c>
      <c r="S10" s="63" t="n">
        <f aca="false">IF(ISNUMBER(INDEX(Interface_Prod!$S$21:$AG$21,1,Theory_Rev!C$7)),INDEX(Interface_Prod!$S$21:$AG$21,1,Theory_Rev!C$7)*IF_Util,INDEX(Interface_Prod!$S$21:$AG$21,1,Theory_Rev!C$7))</f>
        <v>67336944306.2829</v>
      </c>
      <c r="T10" s="63" t="n">
        <f aca="false">IF(ISNUMBER(INDEX(Interface_Prod!$S$21:$AG$21,1,Theory_Rev!D$7)),INDEX(Interface_Prod!$S$21:$AG$21,1,Theory_Rev!D$7)*IF_Util,INDEX(Interface_Prod!$S$21:$AG$21,1,Theory_Rev!D$7))</f>
        <v>67336944306.2829</v>
      </c>
      <c r="U10" s="63" t="n">
        <f aca="false">IF(ISNUMBER(INDEX(Interface_Prod!$S$21:$AG$21,1,Theory_Rev!E$7)),INDEX(Interface_Prod!$S$21:$AG$21,1,Theory_Rev!E$7)*IF_Util,INDEX(Interface_Prod!$S$21:$AG$21,1,Theory_Rev!E$7))</f>
        <v>67336944306.2829</v>
      </c>
      <c r="V10" s="63" t="n">
        <f aca="false">IF(ISNUMBER(INDEX(Interface_Prod!$S$21:$AG$21,1,Theory_Rev!F$7)),INDEX(Interface_Prod!$S$21:$AG$21,1,Theory_Rev!F$7)*IF_Util,INDEX(Interface_Prod!$S$21:$AG$21,1,Theory_Rev!F$7))</f>
        <v>298037482955.404</v>
      </c>
      <c r="W10" s="63" t="n">
        <f aca="false">IF(ISNUMBER(INDEX(Interface_Prod!$S$21:$AG$21,1,Theory_Rev!G$7)),INDEX(Interface_Prod!$S$21:$AG$21,1,Theory_Rev!G$7)*IF_Util,INDEX(Interface_Prod!$S$21:$AG$21,1,Theory_Rev!G$7))</f>
        <v>298037482955.404</v>
      </c>
      <c r="X10" s="63" t="n">
        <f aca="false">IF(ISNUMBER(INDEX(Interface_Prod!$S$21:$AG$21,1,Theory_Rev!H$7)),INDEX(Interface_Prod!$S$21:$AG$21,1,Theory_Rev!H$7)*IF_Util,INDEX(Interface_Prod!$S$21:$AG$21,1,Theory_Rev!H$7))</f>
        <v>298037482955.404</v>
      </c>
      <c r="Y10" s="63" t="n">
        <f aca="false">IF(ISNUMBER(INDEX(Interface_Prod!$S$21:$AG$21,1,Theory_Rev!I$7)),INDEX(Interface_Prod!$S$21:$AG$21,1,Theory_Rev!I$7)*IF_Util,INDEX(Interface_Prod!$S$21:$AG$21,1,Theory_Rev!I$7))</f>
        <v>433905625206.705</v>
      </c>
      <c r="Z10" s="63" t="n">
        <f aca="false">IF(ISNUMBER(INDEX(Interface_Prod!$S$21:$AG$21,1,Theory_Rev!J$7)),INDEX(Interface_Prod!$S$21:$AG$21,1,Theory_Rev!J$7)*IF_Util,INDEX(Interface_Prod!$S$21:$AG$21,1,Theory_Rev!J$7))</f>
        <v>433905625206.705</v>
      </c>
      <c r="AA10" s="63" t="n">
        <f aca="false">IF(ISNUMBER(INDEX(Interface_Prod!$S$21:$AG$21,1,Theory_Rev!K$7)),INDEX(Interface_Prod!$S$21:$AG$21,1,Theory_Rev!K$7)*IF_Util,INDEX(Interface_Prod!$S$21:$AG$21,1,Theory_Rev!K$7))</f>
        <v>433905625206.705</v>
      </c>
      <c r="AB10" s="63" t="n">
        <f aca="false">IF(ISNUMBER(INDEX(Interface_Prod!$S$21:$AG$21,1,Theory_Rev!L$7)),INDEX(Interface_Prod!$S$21:$AG$21,1,Theory_Rev!L$7)*IF_Util,INDEX(Interface_Prod!$S$21:$AG$21,1,Theory_Rev!L$7))</f>
        <v>625960623400.238</v>
      </c>
      <c r="AC10" s="63" t="n">
        <f aca="false">IF(ISNUMBER(INDEX(Interface_Prod!$S$21:$AG$21,1,Theory_Rev!M$7)),INDEX(Interface_Prod!$S$21:$AG$21,1,Theory_Rev!M$7)*IF_Util,INDEX(Interface_Prod!$S$21:$AG$21,1,Theory_Rev!M$7))</f>
        <v>625960623400.238</v>
      </c>
      <c r="AD10" s="63" t="n">
        <f aca="false">IF(ISNUMBER(INDEX(Interface_Prod!$S$21:$AG$21,1,Theory_Rev!N$7)),INDEX(Interface_Prod!$S$21:$AG$21,1,Theory_Rev!N$7)*IF_Util,INDEX(Interface_Prod!$S$21:$AG$21,1,Theory_Rev!N$7))</f>
        <v>625960623400.238</v>
      </c>
      <c r="AE10" s="63" t="n">
        <f aca="false">IF(ISNUMBER(INDEX(Interface_Prod!$S$21:$AG$21,1,Theory_Rev!O$7)),INDEX(Interface_Prod!$S$21:$AG$21,1,Theory_Rev!O$7)*IF_Util,INDEX(Interface_Prod!$S$21:$AG$21,1,Theory_Rev!O$7))</f>
        <v>842752789515.931</v>
      </c>
      <c r="AF10" s="63" t="n">
        <f aca="false">IF(ISNUMBER(INDEX(Interface_Prod!$S$21:$AG$21,1,Theory_Rev!P$7)),INDEX(Interface_Prod!$S$21:$AG$21,1,Theory_Rev!P$7)*IF_Util,INDEX(Interface_Prod!$S$21:$AG$21,1,Theory_Rev!P$7))</f>
        <v>842752789515.931</v>
      </c>
      <c r="AG10" s="63" t="n">
        <f aca="false">IF(ISNUMBER(INDEX(Interface_Prod!$S$21:$AG$21,1,Theory_Rev!Q$7)),INDEX(Interface_Prod!$S$21:$AG$21,1,Theory_Rev!Q$7)*IF_Util,INDEX(Interface_Prod!$S$21:$AG$21,1,Theory_Rev!Q$7))</f>
        <v>842752789515.931</v>
      </c>
    </row>
    <row r="11" customFormat="false" ht="15" hidden="false" customHeight="false" outlineLevel="0" collapsed="false">
      <c r="A11" s="61" t="s">
        <v>2047</v>
      </c>
      <c r="B11" s="59" t="s">
        <v>2751</v>
      </c>
      <c r="C11" s="164" t="n">
        <f aca="false">IF(ISNUMBER(Theory_Rev_Prod!C10),Theory_Rev_Prod!C10*INDEX(B4_EffRef,1,1)/1000000000,Theory_Rev_Prod!C10)</f>
        <v>4.16601653965016</v>
      </c>
      <c r="D11" s="164" t="n">
        <f aca="false">IF(ISNUMBER(Theory_Rev_Prod!D10),Theory_Rev_Prod!D10*INDEX(B4_EffRef,1,1)/1000000000,Theory_Rev_Prod!D10)</f>
        <v>4.16601653965016</v>
      </c>
      <c r="E11" s="164" t="n">
        <f aca="false">IF(ISNUMBER(Theory_Rev_Prod!E10),Theory_Rev_Prod!E10*INDEX(B4_EffRef,1,1)/1000000000,Theory_Rev_Prod!E10)</f>
        <v>4.16601653965016</v>
      </c>
      <c r="F11" s="164" t="n">
        <f aca="false">IF(ISNUMBER(Theory_Rev_Prod!F10),Theory_Rev_Prod!F10*INDEX(B4_EffRef,1,1)/1000000000,Theory_Rev_Prod!F10)</f>
        <v>19.2981660478862</v>
      </c>
      <c r="G11" s="164" t="n">
        <f aca="false">IF(ISNUMBER(Theory_Rev_Prod!G10),Theory_Rev_Prod!G10*INDEX(B4_EffRef,1,1)/1000000000,Theory_Rev_Prod!G10)</f>
        <v>19.2981660478862</v>
      </c>
      <c r="H11" s="164" t="n">
        <f aca="false">IF(ISNUMBER(Theory_Rev_Prod!H10),Theory_Rev_Prod!H10*INDEX(B4_EffRef,1,1)/1000000000,Theory_Rev_Prod!H10)</f>
        <v>19.2981660478862</v>
      </c>
      <c r="I11" s="164" t="n">
        <f aca="false">IF(ISNUMBER(Theory_Rev_Prod!I10),Theory_Rev_Prod!I10*INDEX(B4_EffRef,1,1)/1000000000,Theory_Rev_Prod!I10)</f>
        <v>28.0957372251188</v>
      </c>
      <c r="J11" s="164" t="n">
        <f aca="false">IF(ISNUMBER(Theory_Rev_Prod!J10),Theory_Rev_Prod!J10*INDEX(B4_EffRef,1,1)/1000000000,Theory_Rev_Prod!J10)</f>
        <v>28.0957372251188</v>
      </c>
      <c r="K11" s="164" t="n">
        <f aca="false">IF(ISNUMBER(Theory_Rev_Prod!K10),Theory_Rev_Prod!K10*INDEX(B4_EffRef,1,1)/1000000000,Theory_Rev_Prod!K10)</f>
        <v>28.0957372251188</v>
      </c>
      <c r="L11" s="164" t="n">
        <f aca="false">IF(ISNUMBER(Theory_Rev_Prod!L10),Theory_Rev_Prod!L10*INDEX(B4_EffRef,1,1)/1000000000,Theory_Rev_Prod!L10)</f>
        <v>40.6269205958863</v>
      </c>
      <c r="M11" s="164" t="n">
        <f aca="false">IF(ISNUMBER(Theory_Rev_Prod!M10),Theory_Rev_Prod!M10*INDEX(B4_EffRef,1,1)/1000000000,Theory_Rev_Prod!M10)</f>
        <v>40.6269205958863</v>
      </c>
      <c r="N11" s="164" t="n">
        <f aca="false">IF(ISNUMBER(Theory_Rev_Prod!N10),Theory_Rev_Prod!N10*INDEX(B4_EffRef,1,1)/1000000000,Theory_Rev_Prod!N10)</f>
        <v>40.6269205958863</v>
      </c>
      <c r="O11" s="164" t="n">
        <f aca="false">IF(ISNUMBER(Theory_Rev_Prod!O10),Theory_Rev_Prod!O10*INDEX(B4_EffRef,1,1)/1000000000,Theory_Rev_Prod!O10)</f>
        <v>54.7307309163427</v>
      </c>
      <c r="P11" s="164" t="n">
        <f aca="false">IF(ISNUMBER(Theory_Rev_Prod!P10),Theory_Rev_Prod!P10*INDEX(B4_EffRef,1,1)/1000000000,Theory_Rev_Prod!P10)</f>
        <v>54.7307309163427</v>
      </c>
      <c r="Q11" s="164" t="n">
        <f aca="false">IF(ISNUMBER(Theory_Rev_Prod!Q10),Theory_Rev_Prod!Q10*INDEX(B4_EffRef,1,1)/1000000000,Theory_Rev_Prod!Q10)</f>
        <v>54.7307309163427</v>
      </c>
      <c r="S11" s="164" t="n">
        <f aca="false">IF(ISNUMBER(Theory_Rev_Prod!S10),Theory_Rev_Prod!S10*INDEX(B4_EffRef,1,1)/1000000000,Theory_Rev_Prod!S10)</f>
        <v>5.41089756914487</v>
      </c>
      <c r="T11" s="164" t="n">
        <f aca="false">IF(ISNUMBER(Theory_Rev_Prod!T10),Theory_Rev_Prod!T10*INDEX(B4_EffRef,1,1)/1000000000,Theory_Rev_Prod!T10)</f>
        <v>5.41089756914487</v>
      </c>
      <c r="U11" s="164" t="n">
        <f aca="false">IF(ISNUMBER(Theory_Rev_Prod!U10),Theory_Rev_Prod!U10*INDEX(B4_EffRef,1,1)/1000000000,Theory_Rev_Prod!U10)</f>
        <v>5.41089756914487</v>
      </c>
      <c r="V11" s="164" t="n">
        <f aca="false">IF(ISNUMBER(Theory_Rev_Prod!V10),Theory_Rev_Prod!V10*INDEX(B4_EffRef,1,1)/1000000000,Theory_Rev_Prod!V10)</f>
        <v>23.9489675192609</v>
      </c>
      <c r="W11" s="164" t="n">
        <f aca="false">IF(ISNUMBER(Theory_Rev_Prod!W10),Theory_Rev_Prod!W10*INDEX(B4_EffRef,1,1)/1000000000,Theory_Rev_Prod!W10)</f>
        <v>23.9489675192609</v>
      </c>
      <c r="X11" s="164" t="n">
        <f aca="false">IF(ISNUMBER(Theory_Rev_Prod!X10),Theory_Rev_Prod!X10*INDEX(B4_EffRef,1,1)/1000000000,Theory_Rev_Prod!X10)</f>
        <v>23.9489675192609</v>
      </c>
      <c r="Y11" s="164" t="n">
        <f aca="false">IF(ISNUMBER(Theory_Rev_Prod!Y10),Theory_Rev_Prod!Y10*INDEX(B4_EffRef,1,1)/1000000000,Theory_Rev_Prod!Y10)</f>
        <v>34.8667275721655</v>
      </c>
      <c r="Z11" s="164" t="n">
        <f aca="false">IF(ISNUMBER(Theory_Rev_Prod!Z10),Theory_Rev_Prod!Z10*INDEX(B4_EffRef,1,1)/1000000000,Theory_Rev_Prod!Z10)</f>
        <v>34.8667275721655</v>
      </c>
      <c r="AA11" s="164" t="n">
        <f aca="false">IF(ISNUMBER(Theory_Rev_Prod!AA10),Theory_Rev_Prod!AA10*INDEX(B4_EffRef,1,1)/1000000000,Theory_Rev_Prod!AA10)</f>
        <v>34.8667275721655</v>
      </c>
      <c r="AB11" s="164" t="n">
        <f aca="false">IF(ISNUMBER(Theory_Rev_Prod!AB10),Theory_Rev_Prod!AB10*INDEX(B4_EffRef,1,1)/1000000000,Theory_Rev_Prod!AB10)</f>
        <v>50.299413649228</v>
      </c>
      <c r="AC11" s="164" t="n">
        <f aca="false">IF(ISNUMBER(Theory_Rev_Prod!AC10),Theory_Rev_Prod!AC10*INDEX(B4_EffRef,1,1)/1000000000,Theory_Rev_Prod!AC10)</f>
        <v>50.299413649228</v>
      </c>
      <c r="AD11" s="164" t="n">
        <f aca="false">IF(ISNUMBER(Theory_Rev_Prod!AD10),Theory_Rev_Prod!AD10*INDEX(B4_EffRef,1,1)/1000000000,Theory_Rev_Prod!AD10)</f>
        <v>50.299413649228</v>
      </c>
      <c r="AE11" s="164" t="n">
        <f aca="false">IF(ISNUMBER(Theory_Rev_Prod!AE10),Theory_Rev_Prod!AE10*INDEX(B4_EffRef,1,1)/1000000000,Theory_Rev_Prod!AE10)</f>
        <v>67.7198685975468</v>
      </c>
      <c r="AF11" s="164" t="n">
        <f aca="false">IF(ISNUMBER(Theory_Rev_Prod!AF10),Theory_Rev_Prod!AF10*INDEX(B4_EffRef,1,1)/1000000000,Theory_Rev_Prod!AF10)</f>
        <v>67.7198685975468</v>
      </c>
      <c r="AG11" s="164" t="n">
        <f aca="false">IF(ISNUMBER(Theory_Rev_Prod!AG10),Theory_Rev_Prod!AG10*INDEX(B4_EffRef,1,1)/1000000000,Theory_Rev_Prod!AG10)</f>
        <v>67.7198685975468</v>
      </c>
    </row>
    <row r="17" customFormat="false" ht="15" hidden="false" customHeight="false" outlineLevel="0" collapsed="false">
      <c r="A17" s="61" t="s">
        <v>2054</v>
      </c>
      <c r="B17" s="59" t="s">
        <v>976</v>
      </c>
      <c r="C17" s="160" t="n">
        <f aca="false">Amortize_Prod!C14</f>
        <v>0.131006238983588</v>
      </c>
      <c r="D17" s="160" t="n">
        <f aca="false">Amortize_Prod!D14</f>
        <v>0.187177065876663</v>
      </c>
      <c r="E17" s="160" t="n">
        <f aca="false">Amortize_Prod!E14</f>
        <v>0.321444096318229</v>
      </c>
      <c r="F17" s="160" t="n">
        <f aca="false">Amortize_Prod!F14</f>
        <v>0.0275512634137063</v>
      </c>
      <c r="G17" s="160" t="n">
        <f aca="false">Amortize_Prod!G14</f>
        <v>0.0367831011007315</v>
      </c>
      <c r="H17" s="160" t="n">
        <f aca="false">Amortize_Prod!H14</f>
        <v>0.0596524961416669</v>
      </c>
      <c r="I17" s="160" t="n">
        <f aca="false">Amortize_Prod!I14</f>
        <v>0.0241305068577295</v>
      </c>
      <c r="J17" s="160" t="n">
        <f aca="false">Amortize_Prod!J14</f>
        <v>0.0311627877830961</v>
      </c>
      <c r="K17" s="160" t="n">
        <f aca="false">Amortize_Prod!K14</f>
        <v>0.0530485552583003</v>
      </c>
      <c r="L17" s="160" t="n">
        <f aca="false">Amortize_Prod!L14</f>
        <v>0.0188482139955083</v>
      </c>
      <c r="M17" s="160" t="n">
        <f aca="false">Amortize_Prod!M14</f>
        <v>0.0242217239247765</v>
      </c>
      <c r="N17" s="160" t="n">
        <f aca="false">Amortize_Prod!N14</f>
        <v>0.0391242773771781</v>
      </c>
      <c r="O17" s="160" t="n">
        <f aca="false">Amortize_Prod!O14</f>
        <v>0.014880829179871</v>
      </c>
      <c r="P17" s="160" t="n">
        <f aca="false">Amortize_Prod!P14</f>
        <v>0.0226111885820809</v>
      </c>
      <c r="Q17" s="160" t="n">
        <f aca="false">Amortize_Prod!Q14</f>
        <v>0.041268719959493</v>
      </c>
      <c r="S17" s="160" t="n">
        <f aca="false">Amortize_Prod!S14</f>
        <v>0.100869798218528</v>
      </c>
      <c r="T17" s="160" t="n">
        <f aca="false">Amortize_Prod!T14</f>
        <v>0.144118120103531</v>
      </c>
      <c r="U17" s="160" t="n">
        <f aca="false">Amortize_Prod!U14</f>
        <v>0.247496049044011</v>
      </c>
      <c r="V17" s="160" t="n">
        <f aca="false">Amortize_Prod!V14</f>
        <v>0.0222048608965624</v>
      </c>
      <c r="W17" s="160" t="n">
        <f aca="false">Amortize_Prod!W14</f>
        <v>0.0296445290908819</v>
      </c>
      <c r="X17" s="160" t="n">
        <f aca="false">Amortize_Prod!X14</f>
        <v>0.0480743062032436</v>
      </c>
      <c r="Y17" s="160" t="n">
        <f aca="false">Amortize_Prod!Y14</f>
        <v>0.0194489819538409</v>
      </c>
      <c r="Z17" s="160" t="n">
        <f aca="false">Amortize_Prod!Z14</f>
        <v>0.0251163274459156</v>
      </c>
      <c r="AA17" s="160" t="n">
        <f aca="false">Amortize_Prod!AA14</f>
        <v>0.0427541617357521</v>
      </c>
      <c r="AB17" s="160" t="n">
        <f aca="false">Amortize_Prod!AB14</f>
        <v>0.015230344804445</v>
      </c>
      <c r="AC17" s="160" t="n">
        <f aca="false">Amortize_Prod!AC14</f>
        <v>0.0195718293463084</v>
      </c>
      <c r="AD17" s="160" t="n">
        <f aca="false">Amortize_Prod!AD14</f>
        <v>0.0316122286941337</v>
      </c>
      <c r="AE17" s="160" t="n">
        <f aca="false">Amortize_Prod!AE14</f>
        <v>0.0120358463245421</v>
      </c>
      <c r="AF17" s="160" t="n">
        <f aca="false">Amortize_Prod!AF14</f>
        <v>0.0182872047346244</v>
      </c>
      <c r="AG17" s="160" t="n">
        <f aca="false">Amortize_Prod!AG14</f>
        <v>0.0333751081061308</v>
      </c>
    </row>
    <row r="18" customFormat="false" ht="15" hidden="false" customHeight="false" outlineLevel="0" collapsed="false">
      <c r="A18" s="61" t="s">
        <v>2055</v>
      </c>
      <c r="B18" s="59" t="s">
        <v>976</v>
      </c>
      <c r="C18" s="161" t="n">
        <f aca="false">IF(AND(ISNUMBER(Theory_Rev_Prod!C17),ISNUMBER(Amortize_Prod!C13)),Theory_Rev_Prod!C17+Amortize_Prod!C13,"SLO 不可達")</f>
        <v>0.201294741428264</v>
      </c>
      <c r="D18" s="161" t="n">
        <f aca="false">IF(AND(ISNUMBER(Theory_Rev_Prod!D17),ISNUMBER(Amortize_Prod!D13)),Theory_Rev_Prod!D17+Amortize_Prod!D13,"SLO 不可達")</f>
        <v>0.287605276322433</v>
      </c>
      <c r="E18" s="161" t="n">
        <f aca="false">IF(AND(ISNUMBER(Theory_Rev_Prod!E17),ISNUMBER(Amortize_Prod!E13)),Theory_Rev_Prod!E17+Amortize_Prod!E13,"SLO 不可達")</f>
        <v>0.493916271852604</v>
      </c>
      <c r="F18" s="161" t="n">
        <f aca="false">IF(AND(ISNUMBER(Theory_Rev_Prod!F17),ISNUMBER(Amortize_Prod!F13)),Theory_Rev_Prod!F17+Amortize_Prod!F13,"SLO 不可達")</f>
        <v>0.0333371425530108</v>
      </c>
      <c r="G18" s="161" t="n">
        <f aca="false">IF(AND(ISNUMBER(Theory_Rev_Prod!G17),ISNUMBER(Amortize_Prod!G13)),Theory_Rev_Prod!G17+Amortize_Prod!G13,"SLO 不可達")</f>
        <v>0.0445084668478427</v>
      </c>
      <c r="H18" s="161" t="n">
        <f aca="false">IF(AND(ISNUMBER(Theory_Rev_Prod!H17),ISNUMBER(Amortize_Prod!H13)),Theory_Rev_Prod!H17+Amortize_Prod!H13,"SLO 不可達")</f>
        <v>0.0721824183502583</v>
      </c>
      <c r="I18" s="161" t="n">
        <f aca="false">IF(AND(ISNUMBER(Theory_Rev_Prod!I17),ISNUMBER(Amortize_Prod!I13)),Theory_Rev_Prod!I17+Amortize_Prod!I13,"SLO 不可達")</f>
        <v>0.0288026153594239</v>
      </c>
      <c r="J18" s="161" t="n">
        <f aca="false">IF(AND(ISNUMBER(Theory_Rev_Prod!J17),ISNUMBER(Amortize_Prod!J13)),Theory_Rev_Prod!J17+Amortize_Prod!J13,"SLO 不可達")</f>
        <v>0.0371970862919076</v>
      </c>
      <c r="K18" s="161" t="n">
        <f aca="false">IF(AND(ISNUMBER(Theory_Rev_Prod!K17),ISNUMBER(Amortize_Prod!K13)),Theory_Rev_Prod!K17+Amortize_Prod!K13,"SLO 不可達")</f>
        <v>0.0633222426750938</v>
      </c>
      <c r="L18" s="161" t="n">
        <f aca="false">IF(AND(ISNUMBER(Theory_Rev_Prod!L17),ISNUMBER(Amortize_Prod!L13)),Theory_Rev_Prod!L17+Amortize_Prod!L13,"SLO 不可達")</f>
        <v>0.0209826194864454</v>
      </c>
      <c r="M18" s="161" t="n">
        <f aca="false">IF(AND(ISNUMBER(Theory_Rev_Prod!M17),ISNUMBER(Amortize_Prod!M13)),Theory_Rev_Prod!M17+Amortize_Prod!M13,"SLO 不可達")</f>
        <v>0.0269649852193189</v>
      </c>
      <c r="N18" s="161" t="n">
        <f aca="false">IF(AND(ISNUMBER(Theory_Rev_Prod!N17),ISNUMBER(Amortize_Prod!N13)),Theory_Rev_Prod!N17+Amortize_Prod!N13,"SLO 不可達")</f>
        <v>0.0435561009480476</v>
      </c>
      <c r="O18" s="161" t="n">
        <f aca="false">IF(AND(ISNUMBER(Theory_Rev_Prod!O17),ISNUMBER(Amortize_Prod!O13)),Theory_Rev_Prod!O17+Amortize_Prod!O13,"SLO 不可達")</f>
        <v>0.0159209733995654</v>
      </c>
      <c r="P18" s="161" t="n">
        <f aca="false">IF(AND(ISNUMBER(Theory_Rev_Prod!P17),ISNUMBER(Amortize_Prod!P13)),Theory_Rev_Prod!P17+Amortize_Prod!P13,"SLO 不可達")</f>
        <v>0.024192065175611</v>
      </c>
      <c r="Q18" s="161" t="n">
        <f aca="false">IF(AND(ISNUMBER(Theory_Rev_Prod!Q17),ISNUMBER(Amortize_Prod!Q13)),Theory_Rev_Prod!Q17+Amortize_Prod!Q13,"SLO 不可達")</f>
        <v>0.0441546757487897</v>
      </c>
      <c r="S18" s="161" t="n">
        <f aca="false">IF(AND(ISNUMBER(Theory_Rev_Prod!S17),ISNUMBER(Amortize_Prod!S13)),Theory_Rev_Prod!S17+Amortize_Prod!S13,"SLO 不可達")</f>
        <v>0.147064628142164</v>
      </c>
      <c r="T18" s="161" t="n">
        <f aca="false">IF(AND(ISNUMBER(Theory_Rev_Prod!T17),ISNUMBER(Amortize_Prod!T13)),Theory_Rev_Prod!T17+Amortize_Prod!T13,"SLO 不可達")</f>
        <v>0.210121291884421</v>
      </c>
      <c r="U18" s="161" t="n">
        <f aca="false">IF(AND(ISNUMBER(Theory_Rev_Prod!U17),ISNUMBER(Amortize_Prod!U13)),Theory_Rev_Prod!U17+Amortize_Prod!U13,"SLO 不可達")</f>
        <v>0.360847771420528</v>
      </c>
      <c r="V18" s="161" t="n">
        <f aca="false">IF(AND(ISNUMBER(Theory_Rev_Prod!V17),ISNUMBER(Amortize_Prod!V13)),Theory_Rev_Prod!V17+Amortize_Prod!V13,"SLO 不可達")</f>
        <v>0.0264108658693919</v>
      </c>
      <c r="W18" s="161" t="n">
        <f aca="false">IF(AND(ISNUMBER(Theory_Rev_Prod!W17),ISNUMBER(Amortize_Prod!W13)),Theory_Rev_Prod!W17+Amortize_Prod!W13,"SLO 不可達")</f>
        <v>0.0352604304892615</v>
      </c>
      <c r="X18" s="161" t="n">
        <f aca="false">IF(AND(ISNUMBER(Theory_Rev_Prod!X17),ISNUMBER(Amortize_Prod!X13)),Theory_Rev_Prod!X17+Amortize_Prod!X13,"SLO 不可達")</f>
        <v>0.0571828468155931</v>
      </c>
      <c r="Y18" s="161" t="n">
        <f aca="false">IF(AND(ISNUMBER(Theory_Rev_Prod!Y17),ISNUMBER(Amortize_Prod!Y13)),Theory_Rev_Prod!Y17+Amortize_Prod!Y13,"SLO 不可達")</f>
        <v>0.0228779020648233</v>
      </c>
      <c r="Z18" s="161" t="n">
        <f aca="false">IF(AND(ISNUMBER(Theory_Rev_Prod!Z17),ISNUMBER(Amortize_Prod!Z13)),Theory_Rev_Prod!Z17+Amortize_Prod!Z13,"SLO 不可達")</f>
        <v>0.0295449762037583</v>
      </c>
      <c r="AA18" s="161" t="n">
        <f aca="false">IF(AND(ISNUMBER(Theory_Rev_Prod!AA17),ISNUMBER(Amortize_Prod!AA13)),Theory_Rev_Prod!AA17+Amortize_Prod!AA13,"SLO 不可達")</f>
        <v>0.0502941521671846</v>
      </c>
      <c r="AB18" s="161" t="n">
        <f aca="false">IF(AND(ISNUMBER(Theory_Rev_Prod!AB17),ISNUMBER(Amortize_Prod!AB13)),Theory_Rev_Prod!AB17+Amortize_Prod!AB13,"SLO 不可達")</f>
        <v>0.0167884625578468</v>
      </c>
      <c r="AC18" s="161" t="n">
        <f aca="false">IF(AND(ISNUMBER(Theory_Rev_Prod!AC17),ISNUMBER(Amortize_Prod!AC13)),Theory_Rev_Prod!AC17+Amortize_Prod!AC13,"SLO 不可達")</f>
        <v>0.0215744123341219</v>
      </c>
      <c r="AD18" s="161" t="n">
        <f aca="false">IF(AND(ISNUMBER(Theory_Rev_Prod!AD17),ISNUMBER(Amortize_Prod!AD13)),Theory_Rev_Prod!AD17+Amortize_Prod!AD13,"SLO 不可達")</f>
        <v>0.0348474635241773</v>
      </c>
      <c r="AE18" s="161" t="n">
        <f aca="false">IF(AND(ISNUMBER(Theory_Rev_Prod!AE17),ISNUMBER(Amortize_Prod!AE13)),Theory_Rev_Prod!AE17+Amortize_Prod!AE13,"SLO 不可達")</f>
        <v>0.0128091124335383</v>
      </c>
      <c r="AF18" s="161" t="n">
        <f aca="false">IF(AND(ISNUMBER(Theory_Rev_Prod!AF17),ISNUMBER(Amortize_Prod!AF13)),Theory_Rev_Prod!AF17+Amortize_Prod!AF13,"SLO 不可達")</f>
        <v>0.0194624631931499</v>
      </c>
      <c r="AG18" s="161" t="n">
        <f aca="false">IF(AND(ISNUMBER(Theory_Rev_Prod!AG17),ISNUMBER(Amortize_Prod!AG13)),Theory_Rev_Prod!AG17+Amortize_Prod!AG13,"SLO 不可達")</f>
        <v>0.0355205911667204</v>
      </c>
    </row>
    <row r="28" customFormat="false" ht="15" hidden="false" customHeight="false" outlineLevel="0" collapsed="false">
      <c r="A28" s="61" t="s">
        <v>2046</v>
      </c>
      <c r="B28" s="59" t="s">
        <v>2724</v>
      </c>
      <c r="C28" s="63" t="n">
        <f aca="false">IF(ISNUMBER(INDEX(Interface_Prod!$C$31:$Q$31,1,Theory_Rev!C$7)),INDEX(Interface_Prod!$C$31:$Q$31,1,Theory_Rev!C$7)*IF_Util,INDEX(Interface_Prod!$C$31:$Q$31,1,Theory_Rev!C$7))</f>
        <v>16075503951.5655</v>
      </c>
      <c r="D28" s="63" t="n">
        <f aca="false">IF(ISNUMBER(INDEX(Interface_Prod!$C$31:$Q$31,1,Theory_Rev!D$7)),INDEX(Interface_Prod!$C$31:$Q$31,1,Theory_Rev!D$7)*IF_Util,INDEX(Interface_Prod!$C$31:$Q$31,1,Theory_Rev!D$7))</f>
        <v>16075503951.5655</v>
      </c>
      <c r="E28" s="63" t="n">
        <f aca="false">IF(ISNUMBER(INDEX(Interface_Prod!$C$31:$Q$31,1,Theory_Rev!E$7)),INDEX(Interface_Prod!$C$31:$Q$31,1,Theory_Rev!E$7)*IF_Util,INDEX(Interface_Prod!$C$31:$Q$31,1,Theory_Rev!E$7))</f>
        <v>16075503951.5655</v>
      </c>
      <c r="F28" s="63" t="n">
        <f aca="false">IF(ISNUMBER(INDEX(Interface_Prod!$C$31:$Q$31,1,Theory_Rev!F$7)),INDEX(Interface_Prod!$C$31:$Q$31,1,Theory_Rev!F$7)*IF_Util,INDEX(Interface_Prod!$C$31:$Q$31,1,Theory_Rev!F$7))</f>
        <v>71675069815.4084</v>
      </c>
      <c r="G28" s="63" t="n">
        <f aca="false">IF(ISNUMBER(INDEX(Interface_Prod!$C$31:$Q$31,1,Theory_Rev!G$7)),INDEX(Interface_Prod!$C$31:$Q$31,1,Theory_Rev!G$7)*IF_Util,INDEX(Interface_Prod!$C$31:$Q$31,1,Theory_Rev!G$7))</f>
        <v>71675069815.4084</v>
      </c>
      <c r="H28" s="63" t="n">
        <f aca="false">IF(ISNUMBER(INDEX(Interface_Prod!$C$31:$Q$31,1,Theory_Rev!H$7)),INDEX(Interface_Prod!$C$31:$Q$31,1,Theory_Rev!H$7)*IF_Util,INDEX(Interface_Prod!$C$31:$Q$31,1,Theory_Rev!H$7))</f>
        <v>71675069815.4084</v>
      </c>
      <c r="I28" s="63" t="n">
        <f aca="false">IF(ISNUMBER(INDEX(Interface_Prod!$C$31:$Q$31,1,Theory_Rev!I$7)),INDEX(Interface_Prod!$C$31:$Q$31,1,Theory_Rev!I$7)*IF_Util,INDEX(Interface_Prod!$C$31:$Q$31,1,Theory_Rev!I$7))</f>
        <v>104350015547.013</v>
      </c>
      <c r="J28" s="63" t="n">
        <f aca="false">IF(ISNUMBER(INDEX(Interface_Prod!$C$31:$Q$31,1,Theory_Rev!J$7)),INDEX(Interface_Prod!$C$31:$Q$31,1,Theory_Rev!J$7)*IF_Util,INDEX(Interface_Prod!$C$31:$Q$31,1,Theory_Rev!J$7))</f>
        <v>104350015547.013</v>
      </c>
      <c r="K28" s="63" t="n">
        <f aca="false">IF(ISNUMBER(INDEX(Interface_Prod!$C$31:$Q$31,1,Theory_Rev!K$7)),INDEX(Interface_Prod!$C$31:$Q$31,1,Theory_Rev!K$7)*IF_Util,INDEX(Interface_Prod!$C$31:$Q$31,1,Theory_Rev!K$7))</f>
        <v>104350015547.013</v>
      </c>
      <c r="L28" s="63" t="n">
        <f aca="false">IF(ISNUMBER(INDEX(Interface_Prod!$C$31:$Q$31,1,Theory_Rev!L$7)),INDEX(Interface_Prod!$C$31:$Q$31,1,Theory_Rev!L$7)*IF_Util,INDEX(Interface_Prod!$C$31:$Q$31,1,Theory_Rev!L$7))</f>
        <v>157334280428.476</v>
      </c>
      <c r="M28" s="63" t="n">
        <f aca="false">IF(ISNUMBER(INDEX(Interface_Prod!$C$31:$Q$31,1,Theory_Rev!M$7)),INDEX(Interface_Prod!$C$31:$Q$31,1,Theory_Rev!M$7)*IF_Util,INDEX(Interface_Prod!$C$31:$Q$31,1,Theory_Rev!M$7))</f>
        <v>157334280428.476</v>
      </c>
      <c r="N28" s="63" t="n">
        <f aca="false">IF(ISNUMBER(INDEX(Interface_Prod!$C$31:$Q$31,1,Theory_Rev!N$7)),INDEX(Interface_Prod!$C$31:$Q$31,1,Theory_Rev!N$7)*IF_Util,INDEX(Interface_Prod!$C$31:$Q$31,1,Theory_Rev!N$7))</f>
        <v>157334280428.476</v>
      </c>
      <c r="O28" s="63" t="n">
        <f aca="false">IF(ISNUMBER(INDEX(Interface_Prod!$C$31:$Q$31,1,Theory_Rev!O$7)),INDEX(Interface_Prod!$C$31:$Q$31,1,Theory_Rev!O$7)*IF_Util,INDEX(Interface_Prod!$C$31:$Q$31,1,Theory_Rev!O$7))</f>
        <v>214454294764.768</v>
      </c>
      <c r="P28" s="63" t="n">
        <f aca="false">IF(ISNUMBER(INDEX(Interface_Prod!$C$31:$Q$31,1,Theory_Rev!P$7)),INDEX(Interface_Prod!$C$31:$Q$31,1,Theory_Rev!P$7)*IF_Util,INDEX(Interface_Prod!$C$31:$Q$31,1,Theory_Rev!P$7))</f>
        <v>214454294764.768</v>
      </c>
      <c r="Q28" s="63" t="n">
        <f aca="false">IF(ISNUMBER(INDEX(Interface_Prod!$C$31:$Q$31,1,Theory_Rev!Q$7)),INDEX(Interface_Prod!$C$31:$Q$31,1,Theory_Rev!Q$7)*IF_Util,INDEX(Interface_Prod!$C$31:$Q$31,1,Theory_Rev!Q$7))</f>
        <v>214454294764.768</v>
      </c>
      <c r="S28" s="63" t="n">
        <f aca="false">IF(ISNUMBER(INDEX(Interface_Prod!$S$31:$AG$31,1,Theory_Rev!C$7)),INDEX(Interface_Prod!$S$31:$AG$31,1,Theory_Rev!C$7)*IF_Util,INDEX(Interface_Prod!$S$31:$AG$31,1,Theory_Rev!C$7))</f>
        <v>20180949795.0708</v>
      </c>
      <c r="T28" s="63" t="n">
        <f aca="false">IF(ISNUMBER(INDEX(Interface_Prod!$S$31:$AG$31,1,Theory_Rev!D$7)),INDEX(Interface_Prod!$S$31:$AG$31,1,Theory_Rev!D$7)*IF_Util,INDEX(Interface_Prod!$S$31:$AG$31,1,Theory_Rev!D$7))</f>
        <v>20180949795.0708</v>
      </c>
      <c r="U28" s="63" t="n">
        <f aca="false">IF(ISNUMBER(INDEX(Interface_Prod!$S$31:$AG$31,1,Theory_Rev!E$7)),INDEX(Interface_Prod!$S$31:$AG$31,1,Theory_Rev!E$7)*IF_Util,INDEX(Interface_Prod!$S$31:$AG$31,1,Theory_Rev!E$7))</f>
        <v>20180949795.0708</v>
      </c>
      <c r="V28" s="63" t="n">
        <f aca="false">IF(ISNUMBER(INDEX(Interface_Prod!$S$31:$AG$31,1,Theory_Rev!F$7)),INDEX(Interface_Prod!$S$31:$AG$31,1,Theory_Rev!F$7)*IF_Util,INDEX(Interface_Prod!$S$31:$AG$31,1,Theory_Rev!F$7))</f>
        <v>87507858426.3237</v>
      </c>
      <c r="W28" s="63" t="n">
        <f aca="false">IF(ISNUMBER(INDEX(Interface_Prod!$S$31:$AG$31,1,Theory_Rev!G$7)),INDEX(Interface_Prod!$S$31:$AG$31,1,Theory_Rev!G$7)*IF_Util,INDEX(Interface_Prod!$S$31:$AG$31,1,Theory_Rev!G$7))</f>
        <v>87507858426.3237</v>
      </c>
      <c r="X28" s="63" t="n">
        <f aca="false">IF(ISNUMBER(INDEX(Interface_Prod!$S$31:$AG$31,1,Theory_Rev!H$7)),INDEX(Interface_Prod!$S$31:$AG$31,1,Theory_Rev!H$7)*IF_Util,INDEX(Interface_Prod!$S$31:$AG$31,1,Theory_Rev!H$7))</f>
        <v>87507858426.3237</v>
      </c>
      <c r="Y28" s="63" t="n">
        <f aca="false">IF(ISNUMBER(INDEX(Interface_Prod!$S$31:$AG$31,1,Theory_Rev!I$7)),INDEX(Interface_Prod!$S$31:$AG$31,1,Theory_Rev!I$7)*IF_Util,INDEX(Interface_Prod!$S$31:$AG$31,1,Theory_Rev!I$7))</f>
        <v>127400592853.133</v>
      </c>
      <c r="Z28" s="63" t="n">
        <f aca="false">IF(ISNUMBER(INDEX(Interface_Prod!$S$31:$AG$31,1,Theory_Rev!J$7)),INDEX(Interface_Prod!$S$31:$AG$31,1,Theory_Rev!J$7)*IF_Util,INDEX(Interface_Prod!$S$31:$AG$31,1,Theory_Rev!J$7))</f>
        <v>127400592853.133</v>
      </c>
      <c r="AA28" s="63" t="n">
        <f aca="false">IF(ISNUMBER(INDEX(Interface_Prod!$S$31:$AG$31,1,Theory_Rev!K$7)),INDEX(Interface_Prod!$S$31:$AG$31,1,Theory_Rev!K$7)*IF_Util,INDEX(Interface_Prod!$S$31:$AG$31,1,Theory_Rev!K$7))</f>
        <v>127400592853.133</v>
      </c>
      <c r="AB28" s="63" t="n">
        <f aca="false">IF(ISNUMBER(INDEX(Interface_Prod!$S$31:$AG$31,1,Theory_Rev!L$7)),INDEX(Interface_Prod!$S$31:$AG$31,1,Theory_Rev!L$7)*IF_Util,INDEX(Interface_Prod!$S$31:$AG$31,1,Theory_Rev!L$7))</f>
        <v>191390938691.432</v>
      </c>
      <c r="AC28" s="63" t="n">
        <f aca="false">IF(ISNUMBER(INDEX(Interface_Prod!$S$31:$AG$31,1,Theory_Rev!M$7)),INDEX(Interface_Prod!$S$31:$AG$31,1,Theory_Rev!M$7)*IF_Util,INDEX(Interface_Prod!$S$31:$AG$31,1,Theory_Rev!M$7))</f>
        <v>191390938691.432</v>
      </c>
      <c r="AD28" s="63" t="n">
        <f aca="false">IF(ISNUMBER(INDEX(Interface_Prod!$S$31:$AG$31,1,Theory_Rev!N$7)),INDEX(Interface_Prod!$S$31:$AG$31,1,Theory_Rev!N$7)*IF_Util,INDEX(Interface_Prod!$S$31:$AG$31,1,Theory_Rev!N$7))</f>
        <v>191390938691.432</v>
      </c>
      <c r="AE28" s="63" t="n">
        <f aca="false">IF(ISNUMBER(INDEX(Interface_Prod!$S$31:$AG$31,1,Theory_Rev!O$7)),INDEX(Interface_Prod!$S$31:$AG$31,1,Theory_Rev!O$7)*IF_Util,INDEX(Interface_Prod!$S$31:$AG$31,1,Theory_Rev!O$7))</f>
        <v>260628273188.957</v>
      </c>
      <c r="AF28" s="63" t="n">
        <f aca="false">IF(ISNUMBER(INDEX(Interface_Prod!$S$31:$AG$31,1,Theory_Rev!P$7)),INDEX(Interface_Prod!$S$31:$AG$31,1,Theory_Rev!P$7)*IF_Util,INDEX(Interface_Prod!$S$31:$AG$31,1,Theory_Rev!P$7))</f>
        <v>260628273188.957</v>
      </c>
      <c r="AG28" s="63" t="n">
        <f aca="false">IF(ISNUMBER(INDEX(Interface_Prod!$S$31:$AG$31,1,Theory_Rev!Q$7)),INDEX(Interface_Prod!$S$31:$AG$31,1,Theory_Rev!Q$7)*IF_Util,INDEX(Interface_Prod!$S$31:$AG$31,1,Theory_Rev!Q$7))</f>
        <v>260628273188.957</v>
      </c>
    </row>
    <row r="29" customFormat="false" ht="15" hidden="false" customHeight="false" outlineLevel="0" collapsed="false">
      <c r="A29" s="61" t="s">
        <v>2065</v>
      </c>
      <c r="B29" s="59" t="s">
        <v>2751</v>
      </c>
      <c r="C29" s="164" t="n">
        <f aca="false">IF(ISNUMBER(Theory_Rev_Prod!C28),Theory_Rev_Prod!C28*INDEX(B4_EffRef,1,2)/1000000000,Theory_Rev_Prod!C28)</f>
        <v>25.8351210172715</v>
      </c>
      <c r="D29" s="164" t="n">
        <f aca="false">IF(ISNUMBER(Theory_Rev_Prod!D28),Theory_Rev_Prod!D28*INDEX(B4_EffRef,1,2)/1000000000,Theory_Rev_Prod!D28)</f>
        <v>25.8351210172715</v>
      </c>
      <c r="E29" s="164" t="n">
        <f aca="false">IF(ISNUMBER(Theory_Rev_Prod!E28),Theory_Rev_Prod!E28*INDEX(B4_EffRef,1,2)/1000000000,Theory_Rev_Prod!E28)</f>
        <v>25.8351210172715</v>
      </c>
      <c r="F29" s="164" t="n">
        <f aca="false">IF(ISNUMBER(Theory_Rev_Prod!F28),Theory_Rev_Prod!F28*INDEX(B4_EffRef,1,2)/1000000000,Theory_Rev_Prod!F28)</f>
        <v>115.189801090007</v>
      </c>
      <c r="G29" s="164" t="n">
        <f aca="false">IF(ISNUMBER(Theory_Rev_Prod!G28),Theory_Rev_Prod!G28*INDEX(B4_EffRef,1,2)/1000000000,Theory_Rev_Prod!G28)</f>
        <v>115.189801090007</v>
      </c>
      <c r="H29" s="164" t="n">
        <f aca="false">IF(ISNUMBER(Theory_Rev_Prod!H28),Theory_Rev_Prod!H28*INDEX(B4_EffRef,1,2)/1000000000,Theory_Rev_Prod!H28)</f>
        <v>115.189801090007</v>
      </c>
      <c r="I29" s="164" t="n">
        <f aca="false">IF(ISNUMBER(Theory_Rev_Prod!I28),Theory_Rev_Prod!I28*INDEX(B4_EffRef,1,2)/1000000000,Theory_Rev_Prod!I28)</f>
        <v>167.702069430222</v>
      </c>
      <c r="J29" s="164" t="n">
        <f aca="false">IF(ISNUMBER(Theory_Rev_Prod!J28),Theory_Rev_Prod!J28*INDEX(B4_EffRef,1,2)/1000000000,Theory_Rev_Prod!J28)</f>
        <v>167.702069430222</v>
      </c>
      <c r="K29" s="164" t="n">
        <f aca="false">IF(ISNUMBER(Theory_Rev_Prod!K28),Theory_Rev_Prod!K28*INDEX(B4_EffRef,1,2)/1000000000,Theory_Rev_Prod!K28)</f>
        <v>167.702069430222</v>
      </c>
      <c r="L29" s="164" t="n">
        <f aca="false">IF(ISNUMBER(Theory_Rev_Prod!L28),Theory_Rev_Prod!L28*INDEX(B4_EffRef,1,2)/1000000000,Theory_Rev_Prod!L28)</f>
        <v>252.853670235275</v>
      </c>
      <c r="M29" s="164" t="n">
        <f aca="false">IF(ISNUMBER(Theory_Rev_Prod!M28),Theory_Rev_Prod!M28*INDEX(B4_EffRef,1,2)/1000000000,Theory_Rev_Prod!M28)</f>
        <v>252.853670235275</v>
      </c>
      <c r="N29" s="164" t="n">
        <f aca="false">IF(ISNUMBER(Theory_Rev_Prod!N28),Theory_Rev_Prod!N28*INDEX(B4_EffRef,1,2)/1000000000,Theory_Rev_Prod!N28)</f>
        <v>252.853670235275</v>
      </c>
      <c r="O29" s="164" t="n">
        <f aca="false">IF(ISNUMBER(Theory_Rev_Prod!O28),Theory_Rev_Prod!O28*INDEX(B4_EffRef,1,2)/1000000000,Theory_Rev_Prod!O28)</f>
        <v>344.651879941955</v>
      </c>
      <c r="P29" s="164" t="n">
        <f aca="false">IF(ISNUMBER(Theory_Rev_Prod!P28),Theory_Rev_Prod!P28*INDEX(B4_EffRef,1,2)/1000000000,Theory_Rev_Prod!P28)</f>
        <v>344.651879941955</v>
      </c>
      <c r="Q29" s="164" t="n">
        <f aca="false">IF(ISNUMBER(Theory_Rev_Prod!Q28),Theory_Rev_Prod!Q28*INDEX(B4_EffRef,1,2)/1000000000,Theory_Rev_Prod!Q28)</f>
        <v>344.651879941955</v>
      </c>
      <c r="S29" s="164" t="n">
        <f aca="false">IF(ISNUMBER(Theory_Rev_Prod!S28),Theory_Rev_Prod!S28*INDEX(B4_EffRef,1,2)/1000000000,Theory_Rev_Prod!S28)</f>
        <v>32.4330286484338</v>
      </c>
      <c r="T29" s="164" t="n">
        <f aca="false">IF(ISNUMBER(Theory_Rev_Prod!T28),Theory_Rev_Prod!T28*INDEX(B4_EffRef,1,2)/1000000000,Theory_Rev_Prod!T28)</f>
        <v>32.4330286484338</v>
      </c>
      <c r="U29" s="164" t="n">
        <f aca="false">IF(ISNUMBER(Theory_Rev_Prod!U28),Theory_Rev_Prod!U28*INDEX(B4_EffRef,1,2)/1000000000,Theory_Rev_Prod!U28)</f>
        <v>32.4330286484338</v>
      </c>
      <c r="V29" s="164" t="n">
        <f aca="false">IF(ISNUMBER(Theory_Rev_Prod!V28),Theory_Rev_Prod!V28*INDEX(B4_EffRef,1,2)/1000000000,Theory_Rev_Prod!V28)</f>
        <v>140.634851586483</v>
      </c>
      <c r="W29" s="164" t="n">
        <f aca="false">IF(ISNUMBER(Theory_Rev_Prod!W28),Theory_Rev_Prod!W28*INDEX(B4_EffRef,1,2)/1000000000,Theory_Rev_Prod!W28)</f>
        <v>140.634851586483</v>
      </c>
      <c r="X29" s="164" t="n">
        <f aca="false">IF(ISNUMBER(Theory_Rev_Prod!X28),Theory_Rev_Prod!X28*INDEX(B4_EffRef,1,2)/1000000000,Theory_Rev_Prod!X28)</f>
        <v>140.634851586483</v>
      </c>
      <c r="Y29" s="164" t="n">
        <f aca="false">IF(ISNUMBER(Theory_Rev_Prod!Y28),Theory_Rev_Prod!Y28*INDEX(B4_EffRef,1,2)/1000000000,Theory_Rev_Prod!Y28)</f>
        <v>204.746908336412</v>
      </c>
      <c r="Z29" s="164" t="n">
        <f aca="false">IF(ISNUMBER(Theory_Rev_Prod!Z28),Theory_Rev_Prod!Z28*INDEX(B4_EffRef,1,2)/1000000000,Theory_Rev_Prod!Z28)</f>
        <v>204.746908336412</v>
      </c>
      <c r="AA29" s="164" t="n">
        <f aca="false">IF(ISNUMBER(Theory_Rev_Prod!AA28),Theory_Rev_Prod!AA28*INDEX(B4_EffRef,1,2)/1000000000,Theory_Rev_Prod!AA28)</f>
        <v>204.746908336412</v>
      </c>
      <c r="AB29" s="164" t="n">
        <f aca="false">IF(ISNUMBER(Theory_Rev_Prod!AB28),Theory_Rev_Prod!AB28*INDEX(B4_EffRef,1,2)/1000000000,Theory_Rev_Prod!AB28)</f>
        <v>307.586504136986</v>
      </c>
      <c r="AC29" s="164" t="n">
        <f aca="false">IF(ISNUMBER(Theory_Rev_Prod!AC28),Theory_Rev_Prod!AC28*INDEX(B4_EffRef,1,2)/1000000000,Theory_Rev_Prod!AC28)</f>
        <v>307.586504136986</v>
      </c>
      <c r="AD29" s="164" t="n">
        <f aca="false">IF(ISNUMBER(Theory_Rev_Prod!AD28),Theory_Rev_Prod!AD28*INDEX(B4_EffRef,1,2)/1000000000,Theory_Rev_Prod!AD28)</f>
        <v>307.586504136986</v>
      </c>
      <c r="AE29" s="164" t="n">
        <f aca="false">IF(ISNUMBER(Theory_Rev_Prod!AE28),Theory_Rev_Prod!AE28*INDEX(B4_EffRef,1,2)/1000000000,Theory_Rev_Prod!AE28)</f>
        <v>418.858593711675</v>
      </c>
      <c r="AF29" s="164" t="n">
        <f aca="false">IF(ISNUMBER(Theory_Rev_Prod!AF28),Theory_Rev_Prod!AF28*INDEX(B4_EffRef,1,2)/1000000000,Theory_Rev_Prod!AF28)</f>
        <v>418.858593711675</v>
      </c>
      <c r="AG29" s="164" t="n">
        <f aca="false">IF(ISNUMBER(Theory_Rev_Prod!AG28),Theory_Rev_Prod!AG28*INDEX(B4_EffRef,1,2)/1000000000,Theory_Rev_Prod!AG28)</f>
        <v>418.858593711675</v>
      </c>
    </row>
    <row r="35" customFormat="false" ht="15" hidden="false" customHeight="false" outlineLevel="0" collapsed="false">
      <c r="A35" s="61" t="s">
        <v>2054</v>
      </c>
      <c r="B35" s="59" t="s">
        <v>976</v>
      </c>
      <c r="C35" s="160" t="n">
        <f aca="false">Amortize_Prod!C23</f>
        <v>0.422473687965999</v>
      </c>
      <c r="D35" s="160" t="n">
        <f aca="false">Amortize_Prod!D23</f>
        <v>0.603623804929374</v>
      </c>
      <c r="E35" s="160" t="n">
        <f aca="false">Amortize_Prod!E23</f>
        <v>1.03663306639377</v>
      </c>
      <c r="F35" s="160" t="n">
        <f aca="false">Amortize_Prod!F23</f>
        <v>0.0922759515409364</v>
      </c>
      <c r="G35" s="160" t="n">
        <f aca="false">Amortize_Prod!G23</f>
        <v>0.123202654985181</v>
      </c>
      <c r="H35" s="160" t="n">
        <f aca="false">Amortize_Prod!H23</f>
        <v>0.199815245279561</v>
      </c>
      <c r="I35" s="160" t="n">
        <f aca="false">Amortize_Prod!I23</f>
        <v>0.0808083528518619</v>
      </c>
      <c r="J35" s="160" t="n">
        <f aca="false">Amortize_Prod!J23</f>
        <v>0.104364183810196</v>
      </c>
      <c r="K35" s="160" t="n">
        <f aca="false">Amortize_Prod!K23</f>
        <v>0.177674315261241</v>
      </c>
      <c r="L35" s="160" t="n">
        <f aca="false">Amortize_Prod!L23</f>
        <v>0.0605065207166165</v>
      </c>
      <c r="M35" s="160" t="n">
        <f aca="false">Amortize_Prod!M23</f>
        <v>0.0777620938557124</v>
      </c>
      <c r="N35" s="160" t="n">
        <f aca="false">Amortize_Prod!N23</f>
        <v>0.125617611839694</v>
      </c>
      <c r="O35" s="160" t="n">
        <f aca="false">Amortize_Prod!O23</f>
        <v>0.0471766556625985</v>
      </c>
      <c r="P35" s="160" t="n">
        <f aca="false">Amortize_Prod!P23</f>
        <v>0.0716940592431964</v>
      </c>
      <c r="Q35" s="160" t="n">
        <f aca="false">Amortize_Prod!Q23</f>
        <v>0.130867792674906</v>
      </c>
      <c r="S35" s="160" t="n">
        <f aca="false">Amortize_Prod!S23</f>
        <v>0.336534225353718</v>
      </c>
      <c r="T35" s="160" t="n">
        <f aca="false">Amortize_Prod!T23</f>
        <v>0.480833503007437</v>
      </c>
      <c r="U35" s="160" t="n">
        <f aca="false">Amortize_Prod!U23</f>
        <v>0.825756954860989</v>
      </c>
      <c r="V35" s="160" t="n">
        <f aca="false">Amortize_Prod!V23</f>
        <v>0.0755856950640258</v>
      </c>
      <c r="W35" s="160" t="n">
        <f aca="false">Amortize_Prod!W23</f>
        <v>0.100917651687873</v>
      </c>
      <c r="X35" s="160" t="n">
        <f aca="false">Amortize_Prod!X23</f>
        <v>0.163670761396985</v>
      </c>
      <c r="Y35" s="160" t="n">
        <f aca="false">Amortize_Prod!Y23</f>
        <v>0.0661936935368566</v>
      </c>
      <c r="Z35" s="160" t="n">
        <f aca="false">Amortize_Prod!Z23</f>
        <v>0.0854885055421626</v>
      </c>
      <c r="AA35" s="160" t="n">
        <f aca="false">Amortize_Prod!AA23</f>
        <v>0.145537552715842</v>
      </c>
      <c r="AB35" s="160" t="n">
        <f aca="false">Amortize_Prod!AB23</f>
        <v>0.0497484931122575</v>
      </c>
      <c r="AC35" s="160" t="n">
        <f aca="false">Amortize_Prod!AC23</f>
        <v>0.0639352550202769</v>
      </c>
      <c r="AD35" s="160" t="n">
        <f aca="false">Amortize_Prod!AD23</f>
        <v>0.103279925530552</v>
      </c>
      <c r="AE35" s="160" t="n">
        <f aca="false">Amortize_Prod!AE23</f>
        <v>0.0388307820968141</v>
      </c>
      <c r="AF35" s="160" t="n">
        <f aca="false">Amortize_Prod!AF23</f>
        <v>0.0590094757759281</v>
      </c>
      <c r="AG35" s="160" t="n">
        <f aca="false">Amortize_Prod!AG23</f>
        <v>0.10771155945468</v>
      </c>
    </row>
    <row r="36" customFormat="false" ht="15" hidden="false" customHeight="false" outlineLevel="0" collapsed="false">
      <c r="A36" s="61" t="s">
        <v>2068</v>
      </c>
      <c r="B36" s="59" t="s">
        <v>976</v>
      </c>
      <c r="C36" s="161" t="n">
        <f aca="false">IF(AND(ISNUMBER(Theory_Rev_Prod!C35),ISNUMBER(Amortize_Prod!C22)),Theory_Rev_Prod!C35+Amortize_Prod!C22,"SLO 不可達")</f>
        <v>0.592104750515731</v>
      </c>
      <c r="D36" s="161" t="n">
        <f aca="false">IF(AND(ISNUMBER(Theory_Rev_Prod!D35),ISNUMBER(Amortize_Prod!D22)),Theory_Rev_Prod!D35+Amortize_Prod!D22,"SLO 不可達")</f>
        <v>0.845992662642524</v>
      </c>
      <c r="E36" s="161" t="n">
        <f aca="false">IF(AND(ISNUMBER(Theory_Rev_Prod!E35),ISNUMBER(Amortize_Prod!E22)),Theory_Rev_Prod!E35+Amortize_Prod!E22,"SLO 不可達")</f>
        <v>1.45286954005015</v>
      </c>
      <c r="F36" s="161" t="n">
        <f aca="false">IF(AND(ISNUMBER(Theory_Rev_Prod!F35),ISNUMBER(Amortize_Prod!F22)),Theory_Rev_Prod!F35+Amortize_Prod!F22,"SLO 不可達")</f>
        <v>0.107173321088639</v>
      </c>
      <c r="G36" s="161" t="n">
        <f aca="false">IF(AND(ISNUMBER(Theory_Rev_Prod!G35),ISNUMBER(Amortize_Prod!G22)),Theory_Rev_Prod!G35+Amortize_Prod!G22,"SLO 不可達")</f>
        <v>0.143093777086931</v>
      </c>
      <c r="H36" s="161" t="n">
        <f aca="false">IF(AND(ISNUMBER(Theory_Rev_Prod!H35),ISNUMBER(Amortize_Prod!H22)),Theory_Rev_Prod!H35+Amortize_Prod!H22,"SLO 不可達")</f>
        <v>0.232077046304285</v>
      </c>
      <c r="I36" s="161" t="n">
        <f aca="false">IF(AND(ISNUMBER(Theory_Rev_Prod!I35),ISNUMBER(Amortize_Prod!I22)),Theory_Rev_Prod!I35+Amortize_Prod!I22,"SLO 不可達")</f>
        <v>0.0933186786593271</v>
      </c>
      <c r="J36" s="161" t="n">
        <f aca="false">IF(AND(ISNUMBER(Theory_Rev_Prod!J35),ISNUMBER(Amortize_Prod!J22)),Theory_Rev_Prod!J35+Amortize_Prod!J22,"SLO 不可達")</f>
        <v>0.120521993573679</v>
      </c>
      <c r="K36" s="161" t="n">
        <f aca="false">IF(AND(ISNUMBER(Theory_Rev_Prod!K35),ISNUMBER(Amortize_Prod!K22)),Theory_Rev_Prod!K35+Amortize_Prod!K22,"SLO 不可達")</f>
        <v>0.205183774166472</v>
      </c>
      <c r="L36" s="161" t="n">
        <f aca="false">IF(AND(ISNUMBER(Theory_Rev_Prod!L35),ISNUMBER(Amortize_Prod!L22)),Theory_Rev_Prod!L35+Amortize_Prod!L22,"SLO 不可達")</f>
        <v>0.0659173053800908</v>
      </c>
      <c r="M36" s="161" t="n">
        <f aca="false">IF(AND(ISNUMBER(Theory_Rev_Prod!M35),ISNUMBER(Amortize_Prod!M22)),Theory_Rev_Prod!M35+Amortize_Prod!M22,"SLO 不可達")</f>
        <v>0.0847163470205577</v>
      </c>
      <c r="N36" s="161" t="n">
        <f aca="false">IF(AND(ISNUMBER(Theory_Rev_Prod!N35),ISNUMBER(Amortize_Prod!N22)),Theory_Rev_Prod!N35+Amortize_Prod!N22,"SLO 不可達")</f>
        <v>0.136852423177233</v>
      </c>
      <c r="O36" s="161" t="n">
        <f aca="false">IF(AND(ISNUMBER(Theory_Rev_Prod!O35),ISNUMBER(Amortize_Prod!O22)),Theory_Rev_Prod!O35+Amortize_Prod!O22,"SLO 不可達")</f>
        <v>0.0499064918263528</v>
      </c>
      <c r="P36" s="161" t="n">
        <f aca="false">IF(AND(ISNUMBER(Theory_Rev_Prod!P35),ISNUMBER(Amortize_Prod!P22)),Theory_Rev_Prod!P35+Amortize_Prod!P22,"SLO 不可達")</f>
        <v>0.0758430359079122</v>
      </c>
      <c r="Q36" s="161" t="n">
        <f aca="false">IF(AND(ISNUMBER(Theory_Rev_Prod!Q35),ISNUMBER(Amortize_Prod!Q22)),Theory_Rev_Prod!Q35+Amortize_Prod!Q22,"SLO 不可達")</f>
        <v>0.138441921657647</v>
      </c>
      <c r="S36" s="161" t="n">
        <f aca="false">IF(AND(ISNUMBER(Theory_Rev_Prod!S35),ISNUMBER(Amortize_Prod!S22)),Theory_Rev_Prod!S35+Amortize_Prod!S22,"SLO 不可達")</f>
        <v>0.450574665095153</v>
      </c>
      <c r="T36" s="161" t="n">
        <f aca="false">IF(AND(ISNUMBER(Theory_Rev_Prod!T35),ISNUMBER(Amortize_Prod!T22)),Theory_Rev_Prod!T35+Amortize_Prod!T22,"SLO 不可達")</f>
        <v>0.643774480313015</v>
      </c>
      <c r="U36" s="161" t="n">
        <f aca="false">IF(AND(ISNUMBER(Theory_Rev_Prod!U35),ISNUMBER(Amortize_Prod!U22)),Theory_Rev_Prod!U35+Amortize_Prod!U22,"SLO 不可達")</f>
        <v>1.10558654372701</v>
      </c>
      <c r="V36" s="161" t="n">
        <f aca="false">IF(AND(ISNUMBER(Theory_Rev_Prod!V35),ISNUMBER(Amortize_Prod!V22)),Theory_Rev_Prod!V35+Amortize_Prod!V22,"SLO 不可達")</f>
        <v>0.0866453049956676</v>
      </c>
      <c r="W36" s="161" t="n">
        <f aca="false">IF(AND(ISNUMBER(Theory_Rev_Prod!W35),ISNUMBER(Amortize_Prod!W22)),Theory_Rev_Prod!W35+Amortize_Prod!W22,"SLO 不可達")</f>
        <v>0.115684557405262</v>
      </c>
      <c r="X36" s="161" t="n">
        <f aca="false">IF(AND(ISNUMBER(Theory_Rev_Prod!X35),ISNUMBER(Amortize_Prod!X22)),Theory_Rev_Prod!X35+Amortize_Prod!X22,"SLO 不可達")</f>
        <v>0.187621495376107</v>
      </c>
      <c r="Y36" s="161" t="n">
        <f aca="false">IF(AND(ISNUMBER(Theory_Rev_Prod!Y35),ISNUMBER(Amortize_Prod!Y22)),Theory_Rev_Prod!Y35+Amortize_Prod!Y22,"SLO 不可達")</f>
        <v>0.0755575928591388</v>
      </c>
      <c r="Z36" s="161" t="n">
        <f aca="false">IF(AND(ISNUMBER(Theory_Rev_Prod!Z35),ISNUMBER(Amortize_Prod!Z22)),Theory_Rev_Prod!Z35+Amortize_Prod!Z22,"SLO 不可達")</f>
        <v>0.0975825234136689</v>
      </c>
      <c r="AA36" s="161" t="n">
        <f aca="false">IF(AND(ISNUMBER(Theory_Rev_Prod!AA35),ISNUMBER(Amortize_Prod!AA22)),Theory_Rev_Prod!AA35+Amortize_Prod!AA22,"SLO 不可達")</f>
        <v>0.166128207792573</v>
      </c>
      <c r="AB36" s="161" t="n">
        <f aca="false">IF(AND(ISNUMBER(Theory_Rev_Prod!AB35),ISNUMBER(Amortize_Prod!AB22)),Theory_Rev_Prod!AB35+Amortize_Prod!AB22,"SLO 不可達")</f>
        <v>0.0537829036443724</v>
      </c>
      <c r="AC36" s="161" t="n">
        <f aca="false">IF(AND(ISNUMBER(Theory_Rev_Prod!AC35),ISNUMBER(Amortize_Prod!AC22)),Theory_Rev_Prod!AC35+Amortize_Prod!AC22,"SLO 不可達")</f>
        <v>0.0691205126041982</v>
      </c>
      <c r="AD36" s="161" t="n">
        <f aca="false">IF(AND(ISNUMBER(Theory_Rev_Prod!AD35),ISNUMBER(Amortize_Prod!AD22)),Theory_Rev_Prod!AD35+Amortize_Prod!AD22,"SLO 不可達")</f>
        <v>0.11165686972729</v>
      </c>
      <c r="AE36" s="161" t="n">
        <f aca="false">IF(AND(ISNUMBER(Theory_Rev_Prod!AE35),ISNUMBER(Amortize_Prod!AE22)),Theory_Rev_Prod!AE35+Amortize_Prod!AE22,"SLO 不可達")</f>
        <v>0.0409015415330202</v>
      </c>
      <c r="AF36" s="161" t="n">
        <f aca="false">IF(AND(ISNUMBER(Theory_Rev_Prod!AF35),ISNUMBER(Amortize_Prod!AF22)),Theory_Rev_Prod!AF35+Amortize_Prod!AF22,"SLO 不可達")</f>
        <v>0.0621567461847294</v>
      </c>
      <c r="AG36" s="161" t="n">
        <f aca="false">IF(AND(ISNUMBER(Theory_Rev_Prod!AG35),ISNUMBER(Amortize_Prod!AG22)),Theory_Rev_Prod!AG35+Amortize_Prod!AG22,"SLO 不可達")</f>
        <v>0.11345703212088</v>
      </c>
    </row>
    <row r="46" customFormat="false" ht="15" hidden="false" customHeight="false" outlineLevel="0" collapsed="false">
      <c r="A46" s="61" t="s">
        <v>2046</v>
      </c>
      <c r="B46" s="59" t="s">
        <v>2724</v>
      </c>
      <c r="C46" s="63" t="n">
        <f aca="false">IF(ISNUMBER(INDEX(Interface_Prod!$C$41:$Q$41,1,Theory_Rev!C$7)),INDEX(Interface_Prod!$C$41:$Q$41,1,Theory_Rev!C$7)*IF_Util,INDEX(Interface_Prod!$C$41:$Q$41,1,Theory_Rev!C$7))</f>
        <v>2953301820.91162</v>
      </c>
      <c r="D46" s="63" t="n">
        <f aca="false">IF(ISNUMBER(INDEX(Interface_Prod!$C$41:$Q$41,1,Theory_Rev!D$7)),INDEX(Interface_Prod!$C$41:$Q$41,1,Theory_Rev!D$7)*IF_Util,INDEX(Interface_Prod!$C$41:$Q$41,1,Theory_Rev!D$7))</f>
        <v>2953301820.91162</v>
      </c>
      <c r="E46" s="63" t="n">
        <f aca="false">IF(ISNUMBER(INDEX(Interface_Prod!$C$41:$Q$41,1,Theory_Rev!E$7)),INDEX(Interface_Prod!$C$41:$Q$41,1,Theory_Rev!E$7)*IF_Util,INDEX(Interface_Prod!$C$41:$Q$41,1,Theory_Rev!E$7))</f>
        <v>2953301820.91162</v>
      </c>
      <c r="F46" s="63" t="n">
        <f aca="false">IF(ISNUMBER(INDEX(Interface_Prod!$C$41:$Q$41,1,Theory_Rev!F$7)),INDEX(Interface_Prod!$C$41:$Q$41,1,Theory_Rev!F$7)*IF_Util,INDEX(Interface_Prod!$C$41:$Q$41,1,Theory_Rev!F$7))</f>
        <v>14013525926.0136</v>
      </c>
      <c r="G46" s="63" t="n">
        <f aca="false">IF(ISNUMBER(INDEX(Interface_Prod!$C$41:$Q$41,1,Theory_Rev!G$7)),INDEX(Interface_Prod!$C$41:$Q$41,1,Theory_Rev!G$7)*IF_Util,INDEX(Interface_Prod!$C$41:$Q$41,1,Theory_Rev!G$7))</f>
        <v>14013525926.0136</v>
      </c>
      <c r="H46" s="63" t="n">
        <f aca="false">IF(ISNUMBER(INDEX(Interface_Prod!$C$41:$Q$41,1,Theory_Rev!H$7)),INDEX(Interface_Prod!$C$41:$Q$41,1,Theory_Rev!H$7)*IF_Util,INDEX(Interface_Prod!$C$41:$Q$41,1,Theory_Rev!H$7))</f>
        <v>14013525926.0136</v>
      </c>
      <c r="I46" s="63" t="n">
        <f aca="false">IF(ISNUMBER(INDEX(Interface_Prod!$C$41:$Q$41,1,Theory_Rev!I$7)),INDEX(Interface_Prod!$C$41:$Q$41,1,Theory_Rev!I$7)*IF_Util,INDEX(Interface_Prod!$C$41:$Q$41,1,Theory_Rev!I$7))</f>
        <v>18280776025.6767</v>
      </c>
      <c r="J46" s="63" t="n">
        <f aca="false">IF(ISNUMBER(INDEX(Interface_Prod!$C$41:$Q$41,1,Theory_Rev!J$7)),INDEX(Interface_Prod!$C$41:$Q$41,1,Theory_Rev!J$7)*IF_Util,INDEX(Interface_Prod!$C$41:$Q$41,1,Theory_Rev!J$7))</f>
        <v>18280776025.6767</v>
      </c>
      <c r="K46" s="63" t="n">
        <f aca="false">IF(ISNUMBER(INDEX(Interface_Prod!$C$41:$Q$41,1,Theory_Rev!K$7)),INDEX(Interface_Prod!$C$41:$Q$41,1,Theory_Rev!K$7)*IF_Util,INDEX(Interface_Prod!$C$41:$Q$41,1,Theory_Rev!K$7))</f>
        <v>18280776025.6767</v>
      </c>
      <c r="L46" s="63" t="n">
        <f aca="false">IF(ISNUMBER(INDEX(Interface_Prod!$C$41:$Q$41,1,Theory_Rev!L$7)),INDEX(Interface_Prod!$C$41:$Q$41,1,Theory_Rev!L$7)*IF_Util,INDEX(Interface_Prod!$C$41:$Q$41,1,Theory_Rev!L$7))</f>
        <v>33219674815.267</v>
      </c>
      <c r="M46" s="63" t="n">
        <f aca="false">IF(ISNUMBER(INDEX(Interface_Prod!$C$41:$Q$41,1,Theory_Rev!M$7)),INDEX(Interface_Prod!$C$41:$Q$41,1,Theory_Rev!M$7)*IF_Util,INDEX(Interface_Prod!$C$41:$Q$41,1,Theory_Rev!M$7))</f>
        <v>33219674815.267</v>
      </c>
      <c r="N46" s="63" t="n">
        <f aca="false">IF(ISNUMBER(INDEX(Interface_Prod!$C$41:$Q$41,1,Theory_Rev!N$7)),INDEX(Interface_Prod!$C$41:$Q$41,1,Theory_Rev!N$7)*IF_Util,INDEX(Interface_Prod!$C$41:$Q$41,1,Theory_Rev!N$7))</f>
        <v>33219674815.267</v>
      </c>
      <c r="O46" s="63" t="n">
        <f aca="false">IF(ISNUMBER(INDEX(Interface_Prod!$C$41:$Q$41,1,Theory_Rev!O$7)),INDEX(Interface_Prod!$C$41:$Q$41,1,Theory_Rev!O$7)*IF_Util,INDEX(Interface_Prod!$C$41:$Q$41,1,Theory_Rev!O$7))</f>
        <v>47242844211.2415</v>
      </c>
      <c r="P46" s="63" t="n">
        <f aca="false">IF(ISNUMBER(INDEX(Interface_Prod!$C$41:$Q$41,1,Theory_Rev!P$7)),INDEX(Interface_Prod!$C$41:$Q$41,1,Theory_Rev!P$7)*IF_Util,INDEX(Interface_Prod!$C$41:$Q$41,1,Theory_Rev!P$7))</f>
        <v>47242844211.2415</v>
      </c>
      <c r="Q46" s="63" t="n">
        <f aca="false">IF(ISNUMBER(INDEX(Interface_Prod!$C$41:$Q$41,1,Theory_Rev!Q$7)),INDEX(Interface_Prod!$C$41:$Q$41,1,Theory_Rev!Q$7)*IF_Util,INDEX(Interface_Prod!$C$41:$Q$41,1,Theory_Rev!Q$7))</f>
        <v>47242844211.2415</v>
      </c>
      <c r="S46" s="63" t="n">
        <f aca="false">IF(ISNUMBER(INDEX(Interface_Prod!$S$41:$AG$41,1,Theory_Rev!C$7)),INDEX(Interface_Prod!$S$41:$AG$41,1,Theory_Rev!C$7)*IF_Util,INDEX(Interface_Prod!$S$41:$AG$41,1,Theory_Rev!C$7))</f>
        <v>4085415423.5951</v>
      </c>
      <c r="T46" s="63" t="n">
        <f aca="false">IF(ISNUMBER(INDEX(Interface_Prod!$S$41:$AG$41,1,Theory_Rev!D$7)),INDEX(Interface_Prod!$S$41:$AG$41,1,Theory_Rev!D$7)*IF_Util,INDEX(Interface_Prod!$S$41:$AG$41,1,Theory_Rev!D$7))</f>
        <v>4085415423.5951</v>
      </c>
      <c r="U46" s="63" t="n">
        <f aca="false">IF(ISNUMBER(INDEX(Interface_Prod!$S$41:$AG$41,1,Theory_Rev!E$7)),INDEX(Interface_Prod!$S$41:$AG$41,1,Theory_Rev!E$7)*IF_Util,INDEX(Interface_Prod!$S$41:$AG$41,1,Theory_Rev!E$7))</f>
        <v>4085415423.5951</v>
      </c>
      <c r="V46" s="63" t="n">
        <f aca="false">IF(ISNUMBER(INDEX(Interface_Prod!$S$41:$AG$41,1,Theory_Rev!F$7)),INDEX(Interface_Prod!$S$41:$AG$41,1,Theory_Rev!F$7)*IF_Util,INDEX(Interface_Prod!$S$41:$AG$41,1,Theory_Rev!F$7))</f>
        <v>17860657696.5117</v>
      </c>
      <c r="W46" s="63" t="n">
        <f aca="false">IF(ISNUMBER(INDEX(Interface_Prod!$S$41:$AG$41,1,Theory_Rev!G$7)),INDEX(Interface_Prod!$S$41:$AG$41,1,Theory_Rev!G$7)*IF_Util,INDEX(Interface_Prod!$S$41:$AG$41,1,Theory_Rev!G$7))</f>
        <v>17860657696.5117</v>
      </c>
      <c r="X46" s="63" t="n">
        <f aca="false">IF(ISNUMBER(INDEX(Interface_Prod!$S$41:$AG$41,1,Theory_Rev!H$7)),INDEX(Interface_Prod!$S$41:$AG$41,1,Theory_Rev!H$7)*IF_Util,INDEX(Interface_Prod!$S$41:$AG$41,1,Theory_Rev!H$7))</f>
        <v>17860657696.5117</v>
      </c>
      <c r="Y46" s="63" t="n">
        <f aca="false">IF(ISNUMBER(INDEX(Interface_Prod!$S$41:$AG$41,1,Theory_Rev!I$7)),INDEX(Interface_Prod!$S$41:$AG$41,1,Theory_Rev!I$7)*IF_Util,INDEX(Interface_Prod!$S$41:$AG$41,1,Theory_Rev!I$7))</f>
        <v>23554696886.7049</v>
      </c>
      <c r="Z46" s="63" t="n">
        <f aca="false">IF(ISNUMBER(INDEX(Interface_Prod!$S$41:$AG$41,1,Theory_Rev!J$7)),INDEX(Interface_Prod!$S$41:$AG$41,1,Theory_Rev!J$7)*IF_Util,INDEX(Interface_Prod!$S$41:$AG$41,1,Theory_Rev!J$7))</f>
        <v>23554696886.7049</v>
      </c>
      <c r="AA46" s="63" t="n">
        <f aca="false">IF(ISNUMBER(INDEX(Interface_Prod!$S$41:$AG$41,1,Theory_Rev!K$7)),INDEX(Interface_Prod!$S$41:$AG$41,1,Theory_Rev!K$7)*IF_Util,INDEX(Interface_Prod!$S$41:$AG$41,1,Theory_Rev!K$7))</f>
        <v>23554696886.7049</v>
      </c>
      <c r="AB46" s="63" t="n">
        <f aca="false">IF(ISNUMBER(INDEX(Interface_Prod!$S$41:$AG$41,1,Theory_Rev!L$7)),INDEX(Interface_Prod!$S$41:$AG$41,1,Theory_Rev!L$7)*IF_Util,INDEX(Interface_Prod!$S$41:$AG$41,1,Theory_Rev!L$7))</f>
        <v>41775116162.2067</v>
      </c>
      <c r="AC46" s="63" t="n">
        <f aca="false">IF(ISNUMBER(INDEX(Interface_Prod!$S$41:$AG$41,1,Theory_Rev!M$7)),INDEX(Interface_Prod!$S$41:$AG$41,1,Theory_Rev!M$7)*IF_Util,INDEX(Interface_Prod!$S$41:$AG$41,1,Theory_Rev!M$7))</f>
        <v>41775116162.2067</v>
      </c>
      <c r="AD46" s="63" t="n">
        <f aca="false">IF(ISNUMBER(INDEX(Interface_Prod!$S$41:$AG$41,1,Theory_Rev!N$7)),INDEX(Interface_Prod!$S$41:$AG$41,1,Theory_Rev!N$7)*IF_Util,INDEX(Interface_Prod!$S$41:$AG$41,1,Theory_Rev!N$7))</f>
        <v>41775116162.2067</v>
      </c>
      <c r="AE46" s="63" t="n">
        <f aca="false">IF(ISNUMBER(INDEX(Interface_Prod!$S$41:$AG$41,1,Theory_Rev!O$7)),INDEX(Interface_Prod!$S$41:$AG$41,1,Theory_Rev!O$7)*IF_Util,INDEX(Interface_Prod!$S$41:$AG$41,1,Theory_Rev!O$7))</f>
        <v>59112940438.5449</v>
      </c>
      <c r="AF46" s="63" t="n">
        <f aca="false">IF(ISNUMBER(INDEX(Interface_Prod!$S$41:$AG$41,1,Theory_Rev!P$7)),INDEX(Interface_Prod!$S$41:$AG$41,1,Theory_Rev!P$7)*IF_Util,INDEX(Interface_Prod!$S$41:$AG$41,1,Theory_Rev!P$7))</f>
        <v>59112940438.5449</v>
      </c>
      <c r="AG46" s="63" t="n">
        <f aca="false">IF(ISNUMBER(INDEX(Interface_Prod!$S$41:$AG$41,1,Theory_Rev!Q$7)),INDEX(Interface_Prod!$S$41:$AG$41,1,Theory_Rev!Q$7)*IF_Util,INDEX(Interface_Prod!$S$41:$AG$41,1,Theory_Rev!Q$7))</f>
        <v>59112940438.5449</v>
      </c>
    </row>
    <row r="47" customFormat="false" ht="15" hidden="false" customHeight="false" outlineLevel="0" collapsed="false">
      <c r="A47" s="61" t="s">
        <v>2072</v>
      </c>
      <c r="B47" s="59" t="s">
        <v>2751</v>
      </c>
      <c r="C47" s="164" t="n">
        <f aca="false">IF(ISNUMBER(Theory_Rev_Prod!C46),Theory_Rev_Prod!C46*INDEX(B4_EffRef,1,3)/1000000000,Theory_Rev_Prod!C46)</f>
        <v>23.7314208542587</v>
      </c>
      <c r="D47" s="164" t="n">
        <f aca="false">IF(ISNUMBER(Theory_Rev_Prod!D46),Theory_Rev_Prod!D46*INDEX(B4_EffRef,1,3)/1000000000,Theory_Rev_Prod!D46)</f>
        <v>23.7314208542587</v>
      </c>
      <c r="E47" s="164" t="n">
        <f aca="false">IF(ISNUMBER(Theory_Rev_Prod!E46),Theory_Rev_Prod!E46*INDEX(B4_EffRef,1,3)/1000000000,Theory_Rev_Prod!E46)</f>
        <v>23.7314208542587</v>
      </c>
      <c r="F47" s="164" t="n">
        <f aca="false">IF(ISNUMBER(Theory_Rev_Prod!F46),Theory_Rev_Prod!F46*INDEX(B4_EffRef,1,3)/1000000000,Theory_Rev_Prod!F46)</f>
        <v>112.606466107701</v>
      </c>
      <c r="G47" s="164" t="n">
        <f aca="false">IF(ISNUMBER(Theory_Rev_Prod!G46),Theory_Rev_Prod!G46*INDEX(B4_EffRef,1,3)/1000000000,Theory_Rev_Prod!G46)</f>
        <v>112.606466107701</v>
      </c>
      <c r="H47" s="164" t="n">
        <f aca="false">IF(ISNUMBER(Theory_Rev_Prod!H46),Theory_Rev_Prod!H46*INDEX(B4_EffRef,1,3)/1000000000,Theory_Rev_Prod!H46)</f>
        <v>112.606466107701</v>
      </c>
      <c r="I47" s="164" t="n">
        <f aca="false">IF(ISNUMBER(Theory_Rev_Prod!I46),Theory_Rev_Prod!I46*INDEX(B4_EffRef,1,3)/1000000000,Theory_Rev_Prod!I46)</f>
        <v>146.896191352993</v>
      </c>
      <c r="J47" s="164" t="n">
        <f aca="false">IF(ISNUMBER(Theory_Rev_Prod!J46),Theory_Rev_Prod!J46*INDEX(B4_EffRef,1,3)/1000000000,Theory_Rev_Prod!J46)</f>
        <v>146.896191352993</v>
      </c>
      <c r="K47" s="164" t="n">
        <f aca="false">IF(ISNUMBER(Theory_Rev_Prod!K46),Theory_Rev_Prod!K46*INDEX(B4_EffRef,1,3)/1000000000,Theory_Rev_Prod!K46)</f>
        <v>146.896191352993</v>
      </c>
      <c r="L47" s="164" t="n">
        <f aca="false">IF(ISNUMBER(Theory_Rev_Prod!L46),Theory_Rev_Prod!L46*INDEX(B4_EffRef,1,3)/1000000000,Theory_Rev_Prod!L46)</f>
        <v>266.938542515567</v>
      </c>
      <c r="M47" s="164" t="n">
        <f aca="false">IF(ISNUMBER(Theory_Rev_Prod!M46),Theory_Rev_Prod!M46*INDEX(B4_EffRef,1,3)/1000000000,Theory_Rev_Prod!M46)</f>
        <v>266.938542515567</v>
      </c>
      <c r="N47" s="164" t="n">
        <f aca="false">IF(ISNUMBER(Theory_Rev_Prod!N46),Theory_Rev_Prod!N46*INDEX(B4_EffRef,1,3)/1000000000,Theory_Rev_Prod!N46)</f>
        <v>266.938542515567</v>
      </c>
      <c r="O47" s="164" t="n">
        <f aca="false">IF(ISNUMBER(Theory_Rev_Prod!O46),Theory_Rev_Prod!O46*INDEX(B4_EffRef,1,3)/1000000000,Theory_Rev_Prod!O46)</f>
        <v>379.622499261887</v>
      </c>
      <c r="P47" s="164" t="n">
        <f aca="false">IF(ISNUMBER(Theory_Rev_Prod!P46),Theory_Rev_Prod!P46*INDEX(B4_EffRef,1,3)/1000000000,Theory_Rev_Prod!P46)</f>
        <v>379.622499261887</v>
      </c>
      <c r="Q47" s="164" t="n">
        <f aca="false">IF(ISNUMBER(Theory_Rev_Prod!Q46),Theory_Rev_Prod!Q46*INDEX(B4_EffRef,1,3)/1000000000,Theory_Rev_Prod!Q46)</f>
        <v>379.622499261887</v>
      </c>
      <c r="S47" s="164" t="n">
        <f aca="false">IF(ISNUMBER(Theory_Rev_Prod!S46),Theory_Rev_Prod!S46*INDEX(B4_EffRef,1,3)/1000000000,Theory_Rev_Prod!S46)</f>
        <v>32.8285826038219</v>
      </c>
      <c r="T47" s="164" t="n">
        <f aca="false">IF(ISNUMBER(Theory_Rev_Prod!T46),Theory_Rev_Prod!T46*INDEX(B4_EffRef,1,3)/1000000000,Theory_Rev_Prod!T46)</f>
        <v>32.8285826038219</v>
      </c>
      <c r="U47" s="164" t="n">
        <f aca="false">IF(ISNUMBER(Theory_Rev_Prod!U46),Theory_Rev_Prod!U46*INDEX(B4_EffRef,1,3)/1000000000,Theory_Rev_Prod!U46)</f>
        <v>32.8285826038219</v>
      </c>
      <c r="V47" s="164" t="n">
        <f aca="false">IF(ISNUMBER(Theory_Rev_Prod!V46),Theory_Rev_Prod!V46*INDEX(B4_EffRef,1,3)/1000000000,Theory_Rev_Prod!V46)</f>
        <v>143.52030717908</v>
      </c>
      <c r="W47" s="164" t="n">
        <f aca="false">IF(ISNUMBER(Theory_Rev_Prod!W46),Theory_Rev_Prod!W46*INDEX(B4_EffRef,1,3)/1000000000,Theory_Rev_Prod!W46)</f>
        <v>143.52030717908</v>
      </c>
      <c r="X47" s="164" t="n">
        <f aca="false">IF(ISNUMBER(Theory_Rev_Prod!X46),Theory_Rev_Prod!X46*INDEX(B4_EffRef,1,3)/1000000000,Theory_Rev_Prod!X46)</f>
        <v>143.52030717908</v>
      </c>
      <c r="Y47" s="164" t="n">
        <f aca="false">IF(ISNUMBER(Theory_Rev_Prod!Y46),Theory_Rev_Prod!Y46*INDEX(B4_EffRef,1,3)/1000000000,Theory_Rev_Prod!Y46)</f>
        <v>189.275075427389</v>
      </c>
      <c r="Z47" s="164" t="n">
        <f aca="false">IF(ISNUMBER(Theory_Rev_Prod!Z46),Theory_Rev_Prod!Z46*INDEX(B4_EffRef,1,3)/1000000000,Theory_Rev_Prod!Z46)</f>
        <v>189.275075427389</v>
      </c>
      <c r="AA47" s="164" t="n">
        <f aca="false">IF(ISNUMBER(Theory_Rev_Prod!AA46),Theory_Rev_Prod!AA46*INDEX(B4_EffRef,1,3)/1000000000,Theory_Rev_Prod!AA46)</f>
        <v>189.275075427389</v>
      </c>
      <c r="AB47" s="164" t="n">
        <f aca="false">IF(ISNUMBER(Theory_Rev_Prod!AB46),Theory_Rev_Prod!AB46*INDEX(B4_EffRef,1,3)/1000000000,Theory_Rev_Prod!AB46)</f>
        <v>335.686266761199</v>
      </c>
      <c r="AC47" s="164" t="n">
        <f aca="false">IF(ISNUMBER(Theory_Rev_Prod!AC46),Theory_Rev_Prod!AC46*INDEX(B4_EffRef,1,3)/1000000000,Theory_Rev_Prod!AC46)</f>
        <v>335.686266761199</v>
      </c>
      <c r="AD47" s="164" t="n">
        <f aca="false">IF(ISNUMBER(Theory_Rev_Prod!AD46),Theory_Rev_Prod!AD46*INDEX(B4_EffRef,1,3)/1000000000,Theory_Rev_Prod!AD46)</f>
        <v>335.686266761199</v>
      </c>
      <c r="AE47" s="164" t="n">
        <f aca="false">IF(ISNUMBER(Theory_Rev_Prod!AE46),Theory_Rev_Prod!AE46*INDEX(B4_EffRef,1,3)/1000000000,Theory_Rev_Prod!AE46)</f>
        <v>475.005316946174</v>
      </c>
      <c r="AF47" s="164" t="n">
        <f aca="false">IF(ISNUMBER(Theory_Rev_Prod!AF46),Theory_Rev_Prod!AF46*INDEX(B4_EffRef,1,3)/1000000000,Theory_Rev_Prod!AF46)</f>
        <v>475.005316946174</v>
      </c>
      <c r="AG47" s="164" t="n">
        <f aca="false">IF(ISNUMBER(Theory_Rev_Prod!AG46),Theory_Rev_Prod!AG46*INDEX(B4_EffRef,1,3)/1000000000,Theory_Rev_Prod!AG46)</f>
        <v>475.005316946174</v>
      </c>
    </row>
    <row r="53" customFormat="false" ht="15" hidden="false" customHeight="false" outlineLevel="0" collapsed="false">
      <c r="A53" s="61" t="s">
        <v>2054</v>
      </c>
      <c r="B53" s="59" t="s">
        <v>976</v>
      </c>
      <c r="C53" s="160" t="n">
        <f aca="false">Amortize_Prod!C33</f>
        <v>2.29984946996563</v>
      </c>
      <c r="D53" s="160" t="n">
        <f aca="false">Amortize_Prod!D33</f>
        <v>3.28592913825471</v>
      </c>
      <c r="E53" s="160" t="n">
        <f aca="false">Amortize_Prod!E33</f>
        <v>5.64298877513717</v>
      </c>
      <c r="F53" s="160" t="n">
        <f aca="false">Amortize_Prod!F33</f>
        <v>0.472236094983344</v>
      </c>
      <c r="G53" s="160" t="n">
        <f aca="false">Amortize_Prod!G33</f>
        <v>0.630459693308667</v>
      </c>
      <c r="H53" s="160" t="n">
        <f aca="false">Amortize_Prod!H33</f>
        <v>1.02241610519247</v>
      </c>
      <c r="I53" s="160" t="n">
        <f aca="false">Amortize_Prod!I33</f>
        <v>0.461560755828161</v>
      </c>
      <c r="J53" s="160" t="n">
        <f aca="false">Amortize_Prod!J33</f>
        <v>0.596067340578021</v>
      </c>
      <c r="K53" s="160" t="n">
        <f aca="false">Amortize_Prod!K33</f>
        <v>1.01467687409375</v>
      </c>
      <c r="L53" s="160" t="n">
        <f aca="false">Amortize_Prod!L33</f>
        <v>0.287047119936529</v>
      </c>
      <c r="M53" s="160" t="n">
        <f aca="false">Amortize_Prod!M33</f>
        <v>0.36886586830428</v>
      </c>
      <c r="N53" s="160" t="n">
        <f aca="false">Amortize_Prod!N33</f>
        <v>0.595776823528853</v>
      </c>
      <c r="O53" s="160" t="n">
        <f aca="false">Amortize_Prod!O33</f>
        <v>0.214838071549376</v>
      </c>
      <c r="P53" s="160" t="n">
        <f aca="false">Amortize_Prod!P33</f>
        <v>0.326408358422841</v>
      </c>
      <c r="Q53" s="160" t="n">
        <f aca="false">Amortize_Prod!Q33</f>
        <v>0.595687704934656</v>
      </c>
      <c r="S53" s="160" t="n">
        <f aca="false">Amortize_Prod!S33</f>
        <v>1.66263672159069</v>
      </c>
      <c r="T53" s="160" t="n">
        <f aca="false">Amortize_Prod!T33</f>
        <v>2.37547958012256</v>
      </c>
      <c r="U53" s="160" t="n">
        <f aca="false">Amortize_Prod!U33</f>
        <v>4.07941201410193</v>
      </c>
      <c r="V53" s="160" t="n">
        <f aca="false">Amortize_Prod!V33</f>
        <v>0.370608190541235</v>
      </c>
      <c r="W53" s="160" t="n">
        <f aca="false">Amortize_Prod!W33</f>
        <v>0.494765062808293</v>
      </c>
      <c r="X53" s="160" t="n">
        <f aca="false">Amortize_Prod!X33</f>
        <v>0.802330322855367</v>
      </c>
      <c r="Y53" s="160" t="n">
        <f aca="false">Amortize_Prod!Y33</f>
        <v>0.358324482905226</v>
      </c>
      <c r="Z53" s="160" t="n">
        <f aca="false">Amortize_Prod!Z33</f>
        <v>0.462731719727564</v>
      </c>
      <c r="AA53" s="160" t="n">
        <f aca="false">Amortize_Prod!AA33</f>
        <v>0.78766647874434</v>
      </c>
      <c r="AB53" s="160" t="n">
        <f aca="false">Amortize_Prod!AB33</f>
        <v>0.228405666106599</v>
      </c>
      <c r="AC53" s="160" t="n">
        <f aca="false">Amortize_Prod!AC33</f>
        <v>0.293496482669542</v>
      </c>
      <c r="AD53" s="160" t="n">
        <f aca="false">Amortize_Prod!AD33</f>
        <v>0.474015247100636</v>
      </c>
      <c r="AE53" s="160" t="n">
        <f aca="false">Amortize_Prod!AE33</f>
        <v>0.171897638404717</v>
      </c>
      <c r="AF53" s="160" t="n">
        <f aca="false">Amortize_Prod!AF33</f>
        <v>0.261144787863002</v>
      </c>
      <c r="AG53" s="160" t="n">
        <f aca="false">Amortize_Prod!AG33</f>
        <v>0.476546350031833</v>
      </c>
    </row>
    <row r="54" customFormat="false" ht="15" hidden="false" customHeight="false" outlineLevel="0" collapsed="false">
      <c r="A54" s="61" t="s">
        <v>2074</v>
      </c>
      <c r="B54" s="59" t="s">
        <v>976</v>
      </c>
      <c r="C54" s="161" t="n">
        <f aca="false">IF(AND(ISNUMBER(Theory_Rev_Prod!C53),ISNUMBER(Amortize_Prod!C32)),Theory_Rev_Prod!C53+Amortize_Prod!C32,"SLO 不可達")</f>
        <v>6.39656108567329</v>
      </c>
      <c r="D54" s="161" t="n">
        <f aca="false">IF(AND(ISNUMBER(Theory_Rev_Prod!D53),ISNUMBER(Amortize_Prod!D32)),Theory_Rev_Prod!D53+Amortize_Prod!D32,"SLO 不可達")</f>
        <v>9.13931058711618</v>
      </c>
      <c r="E54" s="161" t="n">
        <f aca="false">IF(AND(ISNUMBER(Theory_Rev_Prod!E53),ISNUMBER(Amortize_Prod!E32)),Theory_Rev_Prod!E53+Amortize_Prod!E32,"SLO 不可達")</f>
        <v>15.6953976375139</v>
      </c>
      <c r="F54" s="161" t="n">
        <f aca="false">IF(AND(ISNUMBER(Theory_Rev_Prod!F53),ISNUMBER(Amortize_Prod!F32)),Theory_Rev_Prod!F53+Amortize_Prod!F32,"SLO 不可達")</f>
        <v>0.843694137342246</v>
      </c>
      <c r="G54" s="161" t="n">
        <f aca="false">IF(AND(ISNUMBER(Theory_Rev_Prod!G53),ISNUMBER(Amortize_Prod!G32)),Theory_Rev_Prod!G53+Amortize_Prod!G32,"SLO 不可達")</f>
        <v>1.12643431839794</v>
      </c>
      <c r="H54" s="161" t="n">
        <f aca="false">IF(AND(ISNUMBER(Theory_Rev_Prod!H53),ISNUMBER(Amortize_Prod!H32)),Theory_Rev_Prod!H53+Amortize_Prod!H32,"SLO 不可達")</f>
        <v>1.82684707626044</v>
      </c>
      <c r="I54" s="161" t="n">
        <f aca="false">IF(AND(ISNUMBER(Theory_Rev_Prod!I53),ISNUMBER(Amortize_Prod!I32)),Theory_Rev_Prod!I53+Amortize_Prod!I32,"SLO 不可達")</f>
        <v>0.780177660507834</v>
      </c>
      <c r="J54" s="161" t="n">
        <f aca="false">IF(AND(ISNUMBER(Theory_Rev_Prod!J53),ISNUMBER(Amortize_Prod!J32)),Theory_Rev_Prod!J53+Amortize_Prod!J32,"SLO 不可達")</f>
        <v>1.00757951160175</v>
      </c>
      <c r="K54" s="161" t="n">
        <f aca="false">IF(AND(ISNUMBER(Theory_Rev_Prod!K53),ISNUMBER(Amortize_Prod!K32)),Theory_Rev_Prod!K53+Amortize_Prod!K32,"SLO 不可達")</f>
        <v>1.71529640876383</v>
      </c>
      <c r="L54" s="161" t="n">
        <f aca="false">IF(AND(ISNUMBER(Theory_Rev_Prod!L53),ISNUMBER(Amortize_Prod!L32)),Theory_Rev_Prod!L53+Amortize_Prod!L32,"SLO 不可達")</f>
        <v>0.420721519561101</v>
      </c>
      <c r="M54" s="161" t="n">
        <f aca="false">IF(AND(ISNUMBER(Theory_Rev_Prod!M53),ISNUMBER(Amortize_Prod!M32)),Theory_Rev_Prod!M53+Amortize_Prod!M32,"SLO 不可達")</f>
        <v>0.540671932390196</v>
      </c>
      <c r="N54" s="161" t="n">
        <f aca="false">IF(AND(ISNUMBER(Theory_Rev_Prod!N53),ISNUMBER(Amortize_Prod!N32)),Theory_Rev_Prod!N53+Amortize_Prod!N32,"SLO 不可達")</f>
        <v>0.873334840313147</v>
      </c>
      <c r="O54" s="161" t="n">
        <f aca="false">IF(AND(ISNUMBER(Theory_Rev_Prod!O53),ISNUMBER(Amortize_Prod!O32)),Theory_Rev_Prod!O53+Amortize_Prod!O32,"SLO 不可達")</f>
        <v>0.283299527686788</v>
      </c>
      <c r="P54" s="161" t="n">
        <f aca="false">IF(AND(ISNUMBER(Theory_Rev_Prod!P53),ISNUMBER(Amortize_Prod!P32)),Theory_Rev_Prod!P53+Amortize_Prod!P32,"SLO 不可達")</f>
        <v>0.43046038459131</v>
      </c>
      <c r="Q54" s="161" t="n">
        <f aca="false">IF(AND(ISNUMBER(Theory_Rev_Prod!Q53),ISNUMBER(Amortize_Prod!Q32)),Theory_Rev_Prod!Q53+Amortize_Prod!Q32,"SLO 不可達")</f>
        <v>0.785638994325553</v>
      </c>
      <c r="S54" s="161" t="n">
        <f aca="false">IF(AND(ISNUMBER(Theory_Rev_Prod!S53),ISNUMBER(Amortize_Prod!S32)),Theory_Rev_Prod!S53+Amortize_Prod!S32,"SLO 不可達")</f>
        <v>4.44041141753621</v>
      </c>
      <c r="T54" s="161" t="n">
        <f aca="false">IF(AND(ISNUMBER(Theory_Rev_Prod!T53),ISNUMBER(Amortize_Prod!T32)),Theory_Rev_Prod!T53+Amortize_Prod!T32,"SLO 不可達")</f>
        <v>6.34436399268955</v>
      </c>
      <c r="U54" s="161" t="n">
        <f aca="false">IF(AND(ISNUMBER(Theory_Rev_Prod!U53),ISNUMBER(Amortize_Prod!U32)),Theory_Rev_Prod!U53+Amortize_Prod!U32,"SLO 不可達")</f>
        <v>10.8954463339561</v>
      </c>
      <c r="V54" s="161" t="n">
        <f aca="false">IF(AND(ISNUMBER(Theory_Rev_Prod!V53),ISNUMBER(Amortize_Prod!V32)),Theory_Rev_Prod!V53+Amortize_Prod!V32,"SLO 不可達")</f>
        <v>0.648729771362694</v>
      </c>
      <c r="W54" s="161" t="n">
        <f aca="false">IF(AND(ISNUMBER(Theory_Rev_Prod!W53),ISNUMBER(Amortize_Prod!W32)),Theory_Rev_Prod!W53+Amortize_Prod!W32,"SLO 不可達")</f>
        <v>0.866115877832189</v>
      </c>
      <c r="X54" s="161" t="n">
        <f aca="false">IF(AND(ISNUMBER(Theory_Rev_Prod!X53),ISNUMBER(Amortize_Prod!X32)),Theory_Rev_Prod!X53+Amortize_Prod!X32,"SLO 不可達")</f>
        <v>1.40463149236134</v>
      </c>
      <c r="Y54" s="161" t="n">
        <f aca="false">IF(AND(ISNUMBER(Theory_Rev_Prod!Y53),ISNUMBER(Amortize_Prod!Y32)),Theory_Rev_Prod!Y53+Amortize_Prod!Y32,"SLO 不可達")</f>
        <v>0.598522481651746</v>
      </c>
      <c r="Z54" s="161" t="n">
        <f aca="false">IF(AND(ISNUMBER(Theory_Rev_Prod!Z53),ISNUMBER(Amortize_Prod!Z32)),Theory_Rev_Prod!Z53+Amortize_Prod!Z32,"SLO 不可達")</f>
        <v>0.772961335570172</v>
      </c>
      <c r="AA54" s="161" t="n">
        <f aca="false">IF(AND(ISNUMBER(Theory_Rev_Prod!AA53),ISNUMBER(Amortize_Prod!AA32)),Theory_Rev_Prod!AA53+Amortize_Prod!AA32,"SLO 不可達")</f>
        <v>1.31584752513189</v>
      </c>
      <c r="AB54" s="161" t="n">
        <f aca="false">IF(AND(ISNUMBER(Theory_Rev_Prod!AB53),ISNUMBER(Amortize_Prod!AB32)),Theory_Rev_Prod!AB53+Amortize_Prod!AB32,"SLO 不可達")</f>
        <v>0.328979014060463</v>
      </c>
      <c r="AC54" s="161" t="n">
        <f aca="false">IF(AND(ISNUMBER(Theory_Rev_Prod!AC53),ISNUMBER(Amortize_Prod!AC32)),Theory_Rev_Prod!AC53+Amortize_Prod!AC32,"SLO 不可達")</f>
        <v>0.422759162078806</v>
      </c>
      <c r="AD54" s="161" t="n">
        <f aca="false">IF(AND(ISNUMBER(Theory_Rev_Prod!AD53),ISNUMBER(Amortize_Prod!AD32)),Theory_Rev_Prod!AD53+Amortize_Prod!AD32,"SLO 不可達")</f>
        <v>0.682843108514873</v>
      </c>
      <c r="AE54" s="161" t="n">
        <f aca="false">IF(AND(ISNUMBER(Theory_Rev_Prod!AE53),ISNUMBER(Amortize_Prod!AE32)),Theory_Rev_Prod!AE53+Amortize_Prod!AE32,"SLO 不可達")</f>
        <v>0.224274240897612</v>
      </c>
      <c r="AF54" s="161" t="n">
        <f aca="false">IF(AND(ISNUMBER(Theory_Rev_Prod!AF53),ISNUMBER(Amortize_Prod!AF32)),Theory_Rev_Prod!AF53+Amortize_Prod!AF32,"SLO 不可達")</f>
        <v>0.340750041982449</v>
      </c>
      <c r="AG54" s="161" t="n">
        <f aca="false">IF(AND(ISNUMBER(Theory_Rev_Prod!AG53),ISNUMBER(Amortize_Prod!AG32)),Theory_Rev_Prod!AG53+Amortize_Prod!AG32,"SLO 不可達")</f>
        <v>0.621869043102671</v>
      </c>
    </row>
    <row r="67" customFormat="false" ht="15" hidden="false" customHeight="false" outlineLevel="0" collapsed="false">
      <c r="A67" s="61" t="s">
        <v>2081</v>
      </c>
      <c r="B67" s="59" t="s">
        <v>2751</v>
      </c>
      <c r="C67" s="164" t="n">
        <f aca="false">IF(Fleet_1GW_Prod!C18=1,(IF(ISNUMBER(Fleet_1GW_Prod!C21),Fleet_1GW_Prod!C21*INDEX(B4_EffRef,1,1),0)+IF(ISNUMBER(Fleet_1GW_Prod!C24),Fleet_1GW_Prod!C24*INDEX(B4_EffRef,1,2),0)+IF(ISNUMBER(Fleet_1GW_Prod!C27),Fleet_1GW_Prod!C27*INDEX(B4_EffRef,1,3),0))/1000000000,"SLO 不可達")</f>
        <v>5.01848956376868</v>
      </c>
      <c r="D67" s="164" t="n">
        <f aca="false">IF(Fleet_1GW_Prod!D18=1,(IF(ISNUMBER(Fleet_1GW_Prod!D21),Fleet_1GW_Prod!D21*INDEX(B4_EffRef,1,1),0)+IF(ISNUMBER(Fleet_1GW_Prod!D24),Fleet_1GW_Prod!D24*INDEX(B4_EffRef,1,2),0)+IF(ISNUMBER(Fleet_1GW_Prod!D27),Fleet_1GW_Prod!D27*INDEX(B4_EffRef,1,3),0))/1000000000,"SLO 不可達")</f>
        <v>5.01848956376868</v>
      </c>
      <c r="E67" s="164" t="n">
        <f aca="false">IF(Fleet_1GW_Prod!E18=1,(IF(ISNUMBER(Fleet_1GW_Prod!E21),Fleet_1GW_Prod!E21*INDEX(B4_EffRef,1,1),0)+IF(ISNUMBER(Fleet_1GW_Prod!E24),Fleet_1GW_Prod!E24*INDEX(B4_EffRef,1,2),0)+IF(ISNUMBER(Fleet_1GW_Prod!E27),Fleet_1GW_Prod!E27*INDEX(B4_EffRef,1,3),0))/1000000000,"SLO 不可達")</f>
        <v>5.01848956376868</v>
      </c>
      <c r="F67" s="164" t="n">
        <f aca="false">IF(Fleet_1GW_Prod!F18=1,(IF(ISNUMBER(Fleet_1GW_Prod!F21),Fleet_1GW_Prod!F21*INDEX(B4_EffRef,1,1),0)+IF(ISNUMBER(Fleet_1GW_Prod!F24),Fleet_1GW_Prod!F24*INDEX(B4_EffRef,1,2),0)+IF(ISNUMBER(Fleet_1GW_Prod!F27),Fleet_1GW_Prod!F27*INDEX(B4_EffRef,1,3),0))/1000000000,"SLO 不可達")</f>
        <v>23.2784953027427</v>
      </c>
      <c r="G67" s="164" t="n">
        <f aca="false">IF(Fleet_1GW_Prod!G18=1,(IF(ISNUMBER(Fleet_1GW_Prod!G21),Fleet_1GW_Prod!G21*INDEX(B4_EffRef,1,1),0)+IF(ISNUMBER(Fleet_1GW_Prod!G24),Fleet_1GW_Prod!G24*INDEX(B4_EffRef,1,2),0)+IF(ISNUMBER(Fleet_1GW_Prod!G27),Fleet_1GW_Prod!G27*INDEX(B4_EffRef,1,3),0))/1000000000,"SLO 不可達")</f>
        <v>23.2784953027427</v>
      </c>
      <c r="H67" s="164" t="n">
        <f aca="false">IF(Fleet_1GW_Prod!H18=1,(IF(ISNUMBER(Fleet_1GW_Prod!H21),Fleet_1GW_Prod!H21*INDEX(B4_EffRef,1,1),0)+IF(ISNUMBER(Fleet_1GW_Prod!H24),Fleet_1GW_Prod!H24*INDEX(B4_EffRef,1,2),0)+IF(ISNUMBER(Fleet_1GW_Prod!H27),Fleet_1GW_Prod!H27*INDEX(B4_EffRef,1,3),0))/1000000000,"SLO 不可達")</f>
        <v>23.2784953027427</v>
      </c>
      <c r="I67" s="164" t="n">
        <f aca="false">IF(Fleet_1GW_Prod!I18=1,(IF(ISNUMBER(Fleet_1GW_Prod!I21),Fleet_1GW_Prod!I21*INDEX(B4_EffRef,1,1),0)+IF(ISNUMBER(Fleet_1GW_Prod!I24),Fleet_1GW_Prod!I24*INDEX(B4_EffRef,1,2),0)+IF(ISNUMBER(Fleet_1GW_Prod!I27),Fleet_1GW_Prod!I27*INDEX(B4_EffRef,1,3),0))/1000000000,"SLO 不可達")</f>
        <v>31.7743161074204</v>
      </c>
      <c r="J67" s="164" t="n">
        <f aca="false">IF(Fleet_1GW_Prod!J18=1,(IF(ISNUMBER(Fleet_1GW_Prod!J21),Fleet_1GW_Prod!J21*INDEX(B4_EffRef,1,1),0)+IF(ISNUMBER(Fleet_1GW_Prod!J24),Fleet_1GW_Prod!J24*INDEX(B4_EffRef,1,2),0)+IF(ISNUMBER(Fleet_1GW_Prod!J27),Fleet_1GW_Prod!J27*INDEX(B4_EffRef,1,3),0))/1000000000,"SLO 不可達")</f>
        <v>31.7743161074204</v>
      </c>
      <c r="K67" s="164" t="n">
        <f aca="false">IF(Fleet_1GW_Prod!K18=1,(IF(ISNUMBER(Fleet_1GW_Prod!K21),Fleet_1GW_Prod!K21*INDEX(B4_EffRef,1,1),0)+IF(ISNUMBER(Fleet_1GW_Prod!K24),Fleet_1GW_Prod!K24*INDEX(B4_EffRef,1,2),0)+IF(ISNUMBER(Fleet_1GW_Prod!K27),Fleet_1GW_Prod!K27*INDEX(B4_EffRef,1,3),0))/1000000000,"SLO 不可達")</f>
        <v>31.7743161074204</v>
      </c>
      <c r="L67" s="164" t="n">
        <f aca="false">IF(Fleet_1GW_Prod!L18=1,(IF(ISNUMBER(Fleet_1GW_Prod!L21),Fleet_1GW_Prod!L21*INDEX(B4_EffRef,1,1),0)+IF(ISNUMBER(Fleet_1GW_Prod!L24),Fleet_1GW_Prod!L24*INDEX(B4_EffRef,1,2),0)+IF(ISNUMBER(Fleet_1GW_Prod!L27),Fleet_1GW_Prod!L27*INDEX(B4_EffRef,1,3),0))/1000000000,"SLO 不可達")</f>
        <v>53.1540686485926</v>
      </c>
      <c r="M67" s="164" t="n">
        <f aca="false">IF(Fleet_1GW_Prod!M18=1,(IF(ISNUMBER(Fleet_1GW_Prod!M21),Fleet_1GW_Prod!M21*INDEX(B4_EffRef,1,1),0)+IF(ISNUMBER(Fleet_1GW_Prod!M24),Fleet_1GW_Prod!M24*INDEX(B4_EffRef,1,2),0)+IF(ISNUMBER(Fleet_1GW_Prod!M27),Fleet_1GW_Prod!M27*INDEX(B4_EffRef,1,3),0))/1000000000,"SLO 不可達")</f>
        <v>53.1540686485926</v>
      </c>
      <c r="N67" s="164" t="n">
        <f aca="false">IF(Fleet_1GW_Prod!N18=1,(IF(ISNUMBER(Fleet_1GW_Prod!N21),Fleet_1GW_Prod!N21*INDEX(B4_EffRef,1,1),0)+IF(ISNUMBER(Fleet_1GW_Prod!N24),Fleet_1GW_Prod!N24*INDEX(B4_EffRef,1,2),0)+IF(ISNUMBER(Fleet_1GW_Prod!N27),Fleet_1GW_Prod!N27*INDEX(B4_EffRef,1,3),0))/1000000000,"SLO 不可達")</f>
        <v>53.1540686485926</v>
      </c>
      <c r="O67" s="164" t="n">
        <f aca="false">IF(Fleet_1GW_Prod!O18=1,(IF(ISNUMBER(Fleet_1GW_Prod!O21),Fleet_1GW_Prod!O21*INDEX(B4_EffRef,1,1),0)+IF(ISNUMBER(Fleet_1GW_Prod!O24),Fleet_1GW_Prod!O24*INDEX(B4_EffRef,1,2),0)+IF(ISNUMBER(Fleet_1GW_Prod!O27),Fleet_1GW_Prod!O27*INDEX(B4_EffRef,1,3),0))/1000000000,"SLO 不可達")</f>
        <v>74.0683951910804</v>
      </c>
      <c r="P67" s="164" t="n">
        <f aca="false">IF(Fleet_1GW_Prod!P18=1,(IF(ISNUMBER(Fleet_1GW_Prod!P21),Fleet_1GW_Prod!P21*INDEX(B4_EffRef,1,1),0)+IF(ISNUMBER(Fleet_1GW_Prod!P24),Fleet_1GW_Prod!P24*INDEX(B4_EffRef,1,2),0)+IF(ISNUMBER(Fleet_1GW_Prod!P27),Fleet_1GW_Prod!P27*INDEX(B4_EffRef,1,3),0))/1000000000,"SLO 不可達")</f>
        <v>74.0683951910804</v>
      </c>
      <c r="Q67" s="164" t="n">
        <f aca="false">IF(Fleet_1GW_Prod!Q18=1,(IF(ISNUMBER(Fleet_1GW_Prod!Q21),Fleet_1GW_Prod!Q21*INDEX(B4_EffRef,1,1),0)+IF(ISNUMBER(Fleet_1GW_Prod!Q24),Fleet_1GW_Prod!Q24*INDEX(B4_EffRef,1,2),0)+IF(ISNUMBER(Fleet_1GW_Prod!Q27),Fleet_1GW_Prod!Q27*INDEX(B4_EffRef,1,3),0))/1000000000,"SLO 不可達")</f>
        <v>74.0683951910804</v>
      </c>
      <c r="S67" s="164" t="n">
        <f aca="false">IF(Fleet_1GW_Prod!S18=1,(IF(ISNUMBER(Fleet_1GW_Prod!S21),Fleet_1GW_Prod!S21*INDEX(B4_EffRef,1,1),0)+IF(ISNUMBER(Fleet_1GW_Prod!S24),Fleet_1GW_Prod!S24*INDEX(B4_EffRef,1,2),0)+IF(ISNUMBER(Fleet_1GW_Prod!S27),Fleet_1GW_Prod!S27*INDEX(B4_EffRef,1,3),0))/1000000000,"SLO 不可達")</f>
        <v>6.68304023377571</v>
      </c>
      <c r="T67" s="164" t="n">
        <f aca="false">IF(Fleet_1GW_Prod!T18=1,(IF(ISNUMBER(Fleet_1GW_Prod!T21),Fleet_1GW_Prod!T21*INDEX(B4_EffRef,1,1),0)+IF(ISNUMBER(Fleet_1GW_Prod!T24),Fleet_1GW_Prod!T24*INDEX(B4_EffRef,1,2),0)+IF(ISNUMBER(Fleet_1GW_Prod!T27),Fleet_1GW_Prod!T27*INDEX(B4_EffRef,1,3),0))/1000000000,"SLO 不可達")</f>
        <v>6.68304023377571</v>
      </c>
      <c r="U67" s="164" t="n">
        <f aca="false">IF(Fleet_1GW_Prod!U18=1,(IF(ISNUMBER(Fleet_1GW_Prod!U21),Fleet_1GW_Prod!U21*INDEX(B4_EffRef,1,1),0)+IF(ISNUMBER(Fleet_1GW_Prod!U24),Fleet_1GW_Prod!U24*INDEX(B4_EffRef,1,2),0)+IF(ISNUMBER(Fleet_1GW_Prod!U27),Fleet_1GW_Prod!U27*INDEX(B4_EffRef,1,3),0))/1000000000,"SLO 不可達")</f>
        <v>6.68304023377571</v>
      </c>
      <c r="V67" s="164" t="n">
        <f aca="false">IF(Fleet_1GW_Prod!V18=1,(IF(ISNUMBER(Fleet_1GW_Prod!V21),Fleet_1GW_Prod!V21*INDEX(B4_EffRef,1,1),0)+IF(ISNUMBER(Fleet_1GW_Prod!V24),Fleet_1GW_Prod!V24*INDEX(B4_EffRef,1,2),0)+IF(ISNUMBER(Fleet_1GW_Prod!V27),Fleet_1GW_Prod!V27*INDEX(B4_EffRef,1,3),0))/1000000000,"SLO 不可達")</f>
        <v>29.1673579360666</v>
      </c>
      <c r="W67" s="164" t="n">
        <f aca="false">IF(Fleet_1GW_Prod!W18=1,(IF(ISNUMBER(Fleet_1GW_Prod!W21),Fleet_1GW_Prod!W21*INDEX(B4_EffRef,1,1),0)+IF(ISNUMBER(Fleet_1GW_Prod!W24),Fleet_1GW_Prod!W24*INDEX(B4_EffRef,1,2),0)+IF(ISNUMBER(Fleet_1GW_Prod!W27),Fleet_1GW_Prod!W27*INDEX(B4_EffRef,1,3),0))/1000000000,"SLO 不可達")</f>
        <v>29.1673579360666</v>
      </c>
      <c r="X67" s="164" t="n">
        <f aca="false">IF(Fleet_1GW_Prod!X18=1,(IF(ISNUMBER(Fleet_1GW_Prod!X21),Fleet_1GW_Prod!X21*INDEX(B4_EffRef,1,1),0)+IF(ISNUMBER(Fleet_1GW_Prod!X24),Fleet_1GW_Prod!X24*INDEX(B4_EffRef,1,2),0)+IF(ISNUMBER(Fleet_1GW_Prod!X27),Fleet_1GW_Prod!X27*INDEX(B4_EffRef,1,3),0))/1000000000,"SLO 不可達")</f>
        <v>29.1673579360666</v>
      </c>
      <c r="Y67" s="164" t="n">
        <f aca="false">IF(Fleet_1GW_Prod!Y18=1,(IF(ISNUMBER(Fleet_1GW_Prod!Y21),Fleet_1GW_Prod!Y21*INDEX(B4_EffRef,1,1),0)+IF(ISNUMBER(Fleet_1GW_Prod!Y24),Fleet_1GW_Prod!Y24*INDEX(B4_EffRef,1,2),0)+IF(ISNUMBER(Fleet_1GW_Prod!Y27),Fleet_1GW_Prod!Y27*INDEX(B4_EffRef,1,3),0))/1000000000,"SLO 不可達")</f>
        <v>40.1114652107936</v>
      </c>
      <c r="Z67" s="164" t="n">
        <f aca="false">IF(Fleet_1GW_Prod!Z18=1,(IF(ISNUMBER(Fleet_1GW_Prod!Z21),Fleet_1GW_Prod!Z21*INDEX(B4_EffRef,1,1),0)+IF(ISNUMBER(Fleet_1GW_Prod!Z24),Fleet_1GW_Prod!Z24*INDEX(B4_EffRef,1,2),0)+IF(ISNUMBER(Fleet_1GW_Prod!Z27),Fleet_1GW_Prod!Z27*INDEX(B4_EffRef,1,3),0))/1000000000,"SLO 不可達")</f>
        <v>40.1114652107936</v>
      </c>
      <c r="AA67" s="164" t="n">
        <f aca="false">IF(Fleet_1GW_Prod!AA18=1,(IF(ISNUMBER(Fleet_1GW_Prod!AA21),Fleet_1GW_Prod!AA21*INDEX(B4_EffRef,1,1),0)+IF(ISNUMBER(Fleet_1GW_Prod!AA24),Fleet_1GW_Prod!AA24*INDEX(B4_EffRef,1,2),0)+IF(ISNUMBER(Fleet_1GW_Prod!AA27),Fleet_1GW_Prod!AA27*INDEX(B4_EffRef,1,3),0))/1000000000,"SLO 不可達")</f>
        <v>40.1114652107936</v>
      </c>
      <c r="AB67" s="164" t="n">
        <f aca="false">IF(Fleet_1GW_Prod!AB18=1,(IF(ISNUMBER(Fleet_1GW_Prod!AB21),Fleet_1GW_Prod!AB21*INDEX(B4_EffRef,1,1),0)+IF(ISNUMBER(Fleet_1GW_Prod!AB24),Fleet_1GW_Prod!AB24*INDEX(B4_EffRef,1,2),0)+IF(ISNUMBER(Fleet_1GW_Prod!AB27),Fleet_1GW_Prod!AB27*INDEX(B4_EffRef,1,3),0))/1000000000,"SLO 不可達")</f>
        <v>65.9628389770872</v>
      </c>
      <c r="AC67" s="164" t="n">
        <f aca="false">IF(Fleet_1GW_Prod!AC18=1,(IF(ISNUMBER(Fleet_1GW_Prod!AC21),Fleet_1GW_Prod!AC21*INDEX(B4_EffRef,1,1),0)+IF(ISNUMBER(Fleet_1GW_Prod!AC24),Fleet_1GW_Prod!AC24*INDEX(B4_EffRef,1,2),0)+IF(ISNUMBER(Fleet_1GW_Prod!AC27),Fleet_1GW_Prod!AC27*INDEX(B4_EffRef,1,3),0))/1000000000,"SLO 不可達")</f>
        <v>65.9628389770872</v>
      </c>
      <c r="AD67" s="164" t="n">
        <f aca="false">IF(Fleet_1GW_Prod!AD18=1,(IF(ISNUMBER(Fleet_1GW_Prod!AD21),Fleet_1GW_Prod!AD21*INDEX(B4_EffRef,1,1),0)+IF(ISNUMBER(Fleet_1GW_Prod!AD24),Fleet_1GW_Prod!AD24*INDEX(B4_EffRef,1,2),0)+IF(ISNUMBER(Fleet_1GW_Prod!AD27),Fleet_1GW_Prod!AD27*INDEX(B4_EffRef,1,3),0))/1000000000,"SLO 不可達")</f>
        <v>65.9628389770872</v>
      </c>
      <c r="AE67" s="164" t="n">
        <f aca="false">IF(Fleet_1GW_Prod!AE18=1,(IF(ISNUMBER(Fleet_1GW_Prod!AE21),Fleet_1GW_Prod!AE21*INDEX(B4_EffRef,1,1),0)+IF(ISNUMBER(Fleet_1GW_Prod!AE24),Fleet_1GW_Prod!AE24*INDEX(B4_EffRef,1,2),0)+IF(ISNUMBER(Fleet_1GW_Prod!AE27),Fleet_1GW_Prod!AE27*INDEX(B4_EffRef,1,3),0))/1000000000,"SLO 不可達")</f>
        <v>91.6051270761894</v>
      </c>
      <c r="AF67" s="164" t="n">
        <f aca="false">IF(Fleet_1GW_Prod!AF18=1,(IF(ISNUMBER(Fleet_1GW_Prod!AF21),Fleet_1GW_Prod!AF21*INDEX(B4_EffRef,1,1),0)+IF(ISNUMBER(Fleet_1GW_Prod!AF24),Fleet_1GW_Prod!AF24*INDEX(B4_EffRef,1,2),0)+IF(ISNUMBER(Fleet_1GW_Prod!AF27),Fleet_1GW_Prod!AF27*INDEX(B4_EffRef,1,3),0))/1000000000,"SLO 不可達")</f>
        <v>91.6051270761894</v>
      </c>
      <c r="AG67" s="164" t="n">
        <f aca="false">IF(Fleet_1GW_Prod!AG18=1,(IF(ISNUMBER(Fleet_1GW_Prod!AG21),Fleet_1GW_Prod!AG21*INDEX(B4_EffRef,1,1),0)+IF(ISNUMBER(Fleet_1GW_Prod!AG24),Fleet_1GW_Prod!AG24*INDEX(B4_EffRef,1,2),0)+IF(ISNUMBER(Fleet_1GW_Prod!AG27),Fleet_1GW_Prod!AG27*INDEX(B4_EffRef,1,3),0))/1000000000,"SLO 不可達")</f>
        <v>91.6051270761894</v>
      </c>
    </row>
    <row r="89" customFormat="false" ht="15" hidden="false" customHeight="false" outlineLevel="0" collapsed="false">
      <c r="A89" s="60" t="s">
        <v>2752</v>
      </c>
    </row>
    <row r="90" customFormat="false" ht="15" hidden="false" customHeight="false" outlineLevel="0" collapsed="false">
      <c r="A90" s="59" t="s">
        <v>2753</v>
      </c>
      <c r="C90" s="89" t="n">
        <f aca="false">IF(AND(ISNUMBER(S18),ISNUMBER(Theory_Rev!C18)),IF(ABS(S18-Theory_Rev!C18)&lt;=0.000000000001*MAX(1,ABS(Theory_Rev!C18)),0,1),IF(AND(NOT(ISNUMBER(S18)),NOT(ISNUMBER(Theory_Rev!C18))),0,1))</f>
        <v>0</v>
      </c>
      <c r="D90" s="89" t="n">
        <f aca="false">IF(AND(ISNUMBER(T18),ISNUMBER(Theory_Rev!D18)),IF(ABS(T18-Theory_Rev!D18)&lt;=0.000000000001*MAX(1,ABS(Theory_Rev!D18)),0,1),IF(AND(NOT(ISNUMBER(T18)),NOT(ISNUMBER(Theory_Rev!D18))),0,1))</f>
        <v>0</v>
      </c>
      <c r="E90" s="89" t="n">
        <f aca="false">IF(AND(ISNUMBER(U18),ISNUMBER(Theory_Rev!E18)),IF(ABS(U18-Theory_Rev!E18)&lt;=0.000000000001*MAX(1,ABS(Theory_Rev!E18)),0,1),IF(AND(NOT(ISNUMBER(U18)),NOT(ISNUMBER(Theory_Rev!E18))),0,1))</f>
        <v>0</v>
      </c>
      <c r="F90" s="89" t="n">
        <f aca="false">IF(AND(ISNUMBER(V18),ISNUMBER(Theory_Rev!F18)),IF(ABS(V18-Theory_Rev!F18)&lt;=0.000000000001*MAX(1,ABS(Theory_Rev!F18)),0,1),IF(AND(NOT(ISNUMBER(V18)),NOT(ISNUMBER(Theory_Rev!F18))),0,1))</f>
        <v>0</v>
      </c>
      <c r="G90" s="89" t="n">
        <f aca="false">IF(AND(ISNUMBER(W18),ISNUMBER(Theory_Rev!G18)),IF(ABS(W18-Theory_Rev!G18)&lt;=0.000000000001*MAX(1,ABS(Theory_Rev!G18)),0,1),IF(AND(NOT(ISNUMBER(W18)),NOT(ISNUMBER(Theory_Rev!G18))),0,1))</f>
        <v>0</v>
      </c>
      <c r="H90" s="89" t="n">
        <f aca="false">IF(AND(ISNUMBER(X18),ISNUMBER(Theory_Rev!H18)),IF(ABS(X18-Theory_Rev!H18)&lt;=0.000000000001*MAX(1,ABS(Theory_Rev!H18)),0,1),IF(AND(NOT(ISNUMBER(X18)),NOT(ISNUMBER(Theory_Rev!H18))),0,1))</f>
        <v>0</v>
      </c>
      <c r="I90" s="89" t="n">
        <f aca="false">IF(AND(ISNUMBER(Y18),ISNUMBER(Theory_Rev!I18)),IF(ABS(Y18-Theory_Rev!I18)&lt;=0.000000000001*MAX(1,ABS(Theory_Rev!I18)),0,1),IF(AND(NOT(ISNUMBER(Y18)),NOT(ISNUMBER(Theory_Rev!I18))),0,1))</f>
        <v>0</v>
      </c>
      <c r="J90" s="89" t="n">
        <f aca="false">IF(AND(ISNUMBER(Z18),ISNUMBER(Theory_Rev!J18)),IF(ABS(Z18-Theory_Rev!J18)&lt;=0.000000000001*MAX(1,ABS(Theory_Rev!J18)),0,1),IF(AND(NOT(ISNUMBER(Z18)),NOT(ISNUMBER(Theory_Rev!J18))),0,1))</f>
        <v>0</v>
      </c>
      <c r="K90" s="89" t="n">
        <f aca="false">IF(AND(ISNUMBER(AA18),ISNUMBER(Theory_Rev!K18)),IF(ABS(AA18-Theory_Rev!K18)&lt;=0.000000000001*MAX(1,ABS(Theory_Rev!K18)),0,1),IF(AND(NOT(ISNUMBER(AA18)),NOT(ISNUMBER(Theory_Rev!K18))),0,1))</f>
        <v>0</v>
      </c>
      <c r="L90" s="89" t="n">
        <f aca="false">IF(AND(ISNUMBER(AB18),ISNUMBER(Theory_Rev!L18)),IF(ABS(AB18-Theory_Rev!L18)&lt;=0.000000000001*MAX(1,ABS(Theory_Rev!L18)),0,1),IF(AND(NOT(ISNUMBER(AB18)),NOT(ISNUMBER(Theory_Rev!L18))),0,1))</f>
        <v>0</v>
      </c>
      <c r="M90" s="89" t="n">
        <f aca="false">IF(AND(ISNUMBER(AC18),ISNUMBER(Theory_Rev!M18)),IF(ABS(AC18-Theory_Rev!M18)&lt;=0.000000000001*MAX(1,ABS(Theory_Rev!M18)),0,1),IF(AND(NOT(ISNUMBER(AC18)),NOT(ISNUMBER(Theory_Rev!M18))),0,1))</f>
        <v>0</v>
      </c>
      <c r="N90" s="89" t="n">
        <f aca="false">IF(AND(ISNUMBER(AD18),ISNUMBER(Theory_Rev!N18)),IF(ABS(AD18-Theory_Rev!N18)&lt;=0.000000000001*MAX(1,ABS(Theory_Rev!N18)),0,1),IF(AND(NOT(ISNUMBER(AD18)),NOT(ISNUMBER(Theory_Rev!N18))),0,1))</f>
        <v>0</v>
      </c>
      <c r="O90" s="89" t="n">
        <f aca="false">IF(AND(ISNUMBER(AE18),ISNUMBER(Theory_Rev!O18)),IF(ABS(AE18-Theory_Rev!O18)&lt;=0.000000000001*MAX(1,ABS(Theory_Rev!O18)),0,1),IF(AND(NOT(ISNUMBER(AE18)),NOT(ISNUMBER(Theory_Rev!O18))),0,1))</f>
        <v>0</v>
      </c>
      <c r="P90" s="89" t="n">
        <f aca="false">IF(AND(ISNUMBER(AF18),ISNUMBER(Theory_Rev!P18)),IF(ABS(AF18-Theory_Rev!P18)&lt;=0.000000000001*MAX(1,ABS(Theory_Rev!P18)),0,1),IF(AND(NOT(ISNUMBER(AF18)),NOT(ISNUMBER(Theory_Rev!P18))),0,1))</f>
        <v>0</v>
      </c>
      <c r="Q90" s="89" t="n">
        <f aca="false">IF(AND(ISNUMBER(AG18),ISNUMBER(Theory_Rev!Q18)),IF(ABS(AG18-Theory_Rev!Q18)&lt;=0.000000000001*MAX(1,ABS(Theory_Rev!Q18)),0,1),IF(AND(NOT(ISNUMBER(AG18)),NOT(ISNUMBER(Theory_Rev!Q18))),0,1))</f>
        <v>0</v>
      </c>
    </row>
    <row r="91" customFormat="false" ht="15" hidden="false" customHeight="false" outlineLevel="0" collapsed="false">
      <c r="A91" s="59" t="s">
        <v>2754</v>
      </c>
      <c r="C91" s="89" t="n">
        <f aca="false">IF(AND(ISNUMBER(S36),ISNUMBER(Theory_Rev!C36)),IF(ABS(S36-Theory_Rev!C36)&lt;=0.000000000001*MAX(1,ABS(Theory_Rev!C36)),0,1),IF(AND(NOT(ISNUMBER(S36)),NOT(ISNUMBER(Theory_Rev!C36))),0,1))</f>
        <v>0</v>
      </c>
      <c r="D91" s="89" t="n">
        <f aca="false">IF(AND(ISNUMBER(T36),ISNUMBER(Theory_Rev!D36)),IF(ABS(T36-Theory_Rev!D36)&lt;=0.000000000001*MAX(1,ABS(Theory_Rev!D36)),0,1),IF(AND(NOT(ISNUMBER(T36)),NOT(ISNUMBER(Theory_Rev!D36))),0,1))</f>
        <v>0</v>
      </c>
      <c r="E91" s="89" t="n">
        <f aca="false">IF(AND(ISNUMBER(U36),ISNUMBER(Theory_Rev!E36)),IF(ABS(U36-Theory_Rev!E36)&lt;=0.000000000001*MAX(1,ABS(Theory_Rev!E36)),0,1),IF(AND(NOT(ISNUMBER(U36)),NOT(ISNUMBER(Theory_Rev!E36))),0,1))</f>
        <v>0</v>
      </c>
      <c r="F91" s="89" t="n">
        <f aca="false">IF(AND(ISNUMBER(V36),ISNUMBER(Theory_Rev!F36)),IF(ABS(V36-Theory_Rev!F36)&lt;=0.000000000001*MAX(1,ABS(Theory_Rev!F36)),0,1),IF(AND(NOT(ISNUMBER(V36)),NOT(ISNUMBER(Theory_Rev!F36))),0,1))</f>
        <v>0</v>
      </c>
      <c r="G91" s="89" t="n">
        <f aca="false">IF(AND(ISNUMBER(W36),ISNUMBER(Theory_Rev!G36)),IF(ABS(W36-Theory_Rev!G36)&lt;=0.000000000001*MAX(1,ABS(Theory_Rev!G36)),0,1),IF(AND(NOT(ISNUMBER(W36)),NOT(ISNUMBER(Theory_Rev!G36))),0,1))</f>
        <v>0</v>
      </c>
      <c r="H91" s="89" t="n">
        <f aca="false">IF(AND(ISNUMBER(X36),ISNUMBER(Theory_Rev!H36)),IF(ABS(X36-Theory_Rev!H36)&lt;=0.000000000001*MAX(1,ABS(Theory_Rev!H36)),0,1),IF(AND(NOT(ISNUMBER(X36)),NOT(ISNUMBER(Theory_Rev!H36))),0,1))</f>
        <v>0</v>
      </c>
      <c r="I91" s="89" t="n">
        <f aca="false">IF(AND(ISNUMBER(Y36),ISNUMBER(Theory_Rev!I36)),IF(ABS(Y36-Theory_Rev!I36)&lt;=0.000000000001*MAX(1,ABS(Theory_Rev!I36)),0,1),IF(AND(NOT(ISNUMBER(Y36)),NOT(ISNUMBER(Theory_Rev!I36))),0,1))</f>
        <v>0</v>
      </c>
      <c r="J91" s="89" t="n">
        <f aca="false">IF(AND(ISNUMBER(Z36),ISNUMBER(Theory_Rev!J36)),IF(ABS(Z36-Theory_Rev!J36)&lt;=0.000000000001*MAX(1,ABS(Theory_Rev!J36)),0,1),IF(AND(NOT(ISNUMBER(Z36)),NOT(ISNUMBER(Theory_Rev!J36))),0,1))</f>
        <v>0</v>
      </c>
      <c r="K91" s="89" t="n">
        <f aca="false">IF(AND(ISNUMBER(AA36),ISNUMBER(Theory_Rev!K36)),IF(ABS(AA36-Theory_Rev!K36)&lt;=0.000000000001*MAX(1,ABS(Theory_Rev!K36)),0,1),IF(AND(NOT(ISNUMBER(AA36)),NOT(ISNUMBER(Theory_Rev!K36))),0,1))</f>
        <v>0</v>
      </c>
      <c r="L91" s="89" t="n">
        <f aca="false">IF(AND(ISNUMBER(AB36),ISNUMBER(Theory_Rev!L36)),IF(ABS(AB36-Theory_Rev!L36)&lt;=0.000000000001*MAX(1,ABS(Theory_Rev!L36)),0,1),IF(AND(NOT(ISNUMBER(AB36)),NOT(ISNUMBER(Theory_Rev!L36))),0,1))</f>
        <v>0</v>
      </c>
      <c r="M91" s="89" t="n">
        <f aca="false">IF(AND(ISNUMBER(AC36),ISNUMBER(Theory_Rev!M36)),IF(ABS(AC36-Theory_Rev!M36)&lt;=0.000000000001*MAX(1,ABS(Theory_Rev!M36)),0,1),IF(AND(NOT(ISNUMBER(AC36)),NOT(ISNUMBER(Theory_Rev!M36))),0,1))</f>
        <v>0</v>
      </c>
      <c r="N91" s="89" t="n">
        <f aca="false">IF(AND(ISNUMBER(AD36),ISNUMBER(Theory_Rev!N36)),IF(ABS(AD36-Theory_Rev!N36)&lt;=0.000000000001*MAX(1,ABS(Theory_Rev!N36)),0,1),IF(AND(NOT(ISNUMBER(AD36)),NOT(ISNUMBER(Theory_Rev!N36))),0,1))</f>
        <v>0</v>
      </c>
      <c r="O91" s="89" t="n">
        <f aca="false">IF(AND(ISNUMBER(AE36),ISNUMBER(Theory_Rev!O36)),IF(ABS(AE36-Theory_Rev!O36)&lt;=0.000000000001*MAX(1,ABS(Theory_Rev!O36)),0,1),IF(AND(NOT(ISNUMBER(AE36)),NOT(ISNUMBER(Theory_Rev!O36))),0,1))</f>
        <v>0</v>
      </c>
      <c r="P91" s="89" t="n">
        <f aca="false">IF(AND(ISNUMBER(AF36),ISNUMBER(Theory_Rev!P36)),IF(ABS(AF36-Theory_Rev!P36)&lt;=0.000000000001*MAX(1,ABS(Theory_Rev!P36)),0,1),IF(AND(NOT(ISNUMBER(AF36)),NOT(ISNUMBER(Theory_Rev!P36))),0,1))</f>
        <v>0</v>
      </c>
      <c r="Q91" s="89" t="n">
        <f aca="false">IF(AND(ISNUMBER(AG36),ISNUMBER(Theory_Rev!Q36)),IF(ABS(AG36-Theory_Rev!Q36)&lt;=0.000000000001*MAX(1,ABS(Theory_Rev!Q36)),0,1),IF(AND(NOT(ISNUMBER(AG36)),NOT(ISNUMBER(Theory_Rev!Q36))),0,1))</f>
        <v>0</v>
      </c>
    </row>
    <row r="92" customFormat="false" ht="15" hidden="false" customHeight="false" outlineLevel="0" collapsed="false">
      <c r="A92" s="59" t="s">
        <v>2755</v>
      </c>
      <c r="C92" s="89" t="n">
        <f aca="false">IF(AND(ISNUMBER(S54),ISNUMBER(Theory_Rev!C54)),IF(ABS(S54-Theory_Rev!C54)&lt;=0.000000000001*MAX(1,ABS(Theory_Rev!C54)),0,1),IF(AND(NOT(ISNUMBER(S54)),NOT(ISNUMBER(Theory_Rev!C54))),0,1))</f>
        <v>0</v>
      </c>
      <c r="D92" s="89" t="n">
        <f aca="false">IF(AND(ISNUMBER(T54),ISNUMBER(Theory_Rev!D54)),IF(ABS(T54-Theory_Rev!D54)&lt;=0.000000000001*MAX(1,ABS(Theory_Rev!D54)),0,1),IF(AND(NOT(ISNUMBER(T54)),NOT(ISNUMBER(Theory_Rev!D54))),0,1))</f>
        <v>0</v>
      </c>
      <c r="E92" s="89" t="n">
        <f aca="false">IF(AND(ISNUMBER(U54),ISNUMBER(Theory_Rev!E54)),IF(ABS(U54-Theory_Rev!E54)&lt;=0.000000000001*MAX(1,ABS(Theory_Rev!E54)),0,1),IF(AND(NOT(ISNUMBER(U54)),NOT(ISNUMBER(Theory_Rev!E54))),0,1))</f>
        <v>0</v>
      </c>
      <c r="F92" s="89" t="n">
        <f aca="false">IF(AND(ISNUMBER(V54),ISNUMBER(Theory_Rev!F54)),IF(ABS(V54-Theory_Rev!F54)&lt;=0.000000000001*MAX(1,ABS(Theory_Rev!F54)),0,1),IF(AND(NOT(ISNUMBER(V54)),NOT(ISNUMBER(Theory_Rev!F54))),0,1))</f>
        <v>0</v>
      </c>
      <c r="G92" s="89" t="n">
        <f aca="false">IF(AND(ISNUMBER(W54),ISNUMBER(Theory_Rev!G54)),IF(ABS(W54-Theory_Rev!G54)&lt;=0.000000000001*MAX(1,ABS(Theory_Rev!G54)),0,1),IF(AND(NOT(ISNUMBER(W54)),NOT(ISNUMBER(Theory_Rev!G54))),0,1))</f>
        <v>0</v>
      </c>
      <c r="H92" s="89" t="n">
        <f aca="false">IF(AND(ISNUMBER(X54),ISNUMBER(Theory_Rev!H54)),IF(ABS(X54-Theory_Rev!H54)&lt;=0.000000000001*MAX(1,ABS(Theory_Rev!H54)),0,1),IF(AND(NOT(ISNUMBER(X54)),NOT(ISNUMBER(Theory_Rev!H54))),0,1))</f>
        <v>0</v>
      </c>
      <c r="I92" s="89" t="n">
        <f aca="false">IF(AND(ISNUMBER(Y54),ISNUMBER(Theory_Rev!I54)),IF(ABS(Y54-Theory_Rev!I54)&lt;=0.000000000001*MAX(1,ABS(Theory_Rev!I54)),0,1),IF(AND(NOT(ISNUMBER(Y54)),NOT(ISNUMBER(Theory_Rev!I54))),0,1))</f>
        <v>0</v>
      </c>
      <c r="J92" s="89" t="n">
        <f aca="false">IF(AND(ISNUMBER(Z54),ISNUMBER(Theory_Rev!J54)),IF(ABS(Z54-Theory_Rev!J54)&lt;=0.000000000001*MAX(1,ABS(Theory_Rev!J54)),0,1),IF(AND(NOT(ISNUMBER(Z54)),NOT(ISNUMBER(Theory_Rev!J54))),0,1))</f>
        <v>0</v>
      </c>
      <c r="K92" s="89" t="n">
        <f aca="false">IF(AND(ISNUMBER(AA54),ISNUMBER(Theory_Rev!K54)),IF(ABS(AA54-Theory_Rev!K54)&lt;=0.000000000001*MAX(1,ABS(Theory_Rev!K54)),0,1),IF(AND(NOT(ISNUMBER(AA54)),NOT(ISNUMBER(Theory_Rev!K54))),0,1))</f>
        <v>0</v>
      </c>
      <c r="L92" s="89" t="n">
        <f aca="false">IF(AND(ISNUMBER(AB54),ISNUMBER(Theory_Rev!L54)),IF(ABS(AB54-Theory_Rev!L54)&lt;=0.000000000001*MAX(1,ABS(Theory_Rev!L54)),0,1),IF(AND(NOT(ISNUMBER(AB54)),NOT(ISNUMBER(Theory_Rev!L54))),0,1))</f>
        <v>0</v>
      </c>
      <c r="M92" s="89" t="n">
        <f aca="false">IF(AND(ISNUMBER(AC54),ISNUMBER(Theory_Rev!M54)),IF(ABS(AC54-Theory_Rev!M54)&lt;=0.000000000001*MAX(1,ABS(Theory_Rev!M54)),0,1),IF(AND(NOT(ISNUMBER(AC54)),NOT(ISNUMBER(Theory_Rev!M54))),0,1))</f>
        <v>0</v>
      </c>
      <c r="N92" s="89" t="n">
        <f aca="false">IF(AND(ISNUMBER(AD54),ISNUMBER(Theory_Rev!N54)),IF(ABS(AD54-Theory_Rev!N54)&lt;=0.000000000001*MAX(1,ABS(Theory_Rev!N54)),0,1),IF(AND(NOT(ISNUMBER(AD54)),NOT(ISNUMBER(Theory_Rev!N54))),0,1))</f>
        <v>0</v>
      </c>
      <c r="O92" s="89" t="n">
        <f aca="false">IF(AND(ISNUMBER(AE54),ISNUMBER(Theory_Rev!O54)),IF(ABS(AE54-Theory_Rev!O54)&lt;=0.000000000001*MAX(1,ABS(Theory_Rev!O54)),0,1),IF(AND(NOT(ISNUMBER(AE54)),NOT(ISNUMBER(Theory_Rev!O54))),0,1))</f>
        <v>0</v>
      </c>
      <c r="P92" s="89" t="n">
        <f aca="false">IF(AND(ISNUMBER(AF54),ISNUMBER(Theory_Rev!P54)),IF(ABS(AF54-Theory_Rev!P54)&lt;=0.000000000001*MAX(1,ABS(Theory_Rev!P54)),0,1),IF(AND(NOT(ISNUMBER(AF54)),NOT(ISNUMBER(Theory_Rev!P54))),0,1))</f>
        <v>0</v>
      </c>
      <c r="Q92" s="89" t="n">
        <f aca="false">IF(AND(ISNUMBER(AG54),ISNUMBER(Theory_Rev!Q54)),IF(ABS(AG54-Theory_Rev!Q54)&lt;=0.000000000001*MAX(1,ABS(Theory_Rev!Q54)),0,1),IF(AND(NOT(ISNUMBER(AG54)),NOT(ISNUMBER(Theory_Rev!Q54))),0,1))</f>
        <v>0</v>
      </c>
    </row>
    <row r="93" customFormat="false" ht="15" hidden="false" customHeight="false" outlineLevel="0" collapsed="false">
      <c r="A93" s="59" t="s">
        <v>2756</v>
      </c>
      <c r="C93" s="89" t="n">
        <f aca="false">IF(AND(ISNUMBER(S11),ISNUMBER(Theory_Rev!C11)),IF(ABS(S11-Theory_Rev!C11)&lt;=0.000000000001*MAX(1,ABS(Theory_Rev!C11)),0,1),IF(AND(NOT(ISNUMBER(S11)),NOT(ISNUMBER(Theory_Rev!C11))),0,1))</f>
        <v>0</v>
      </c>
      <c r="D93" s="89" t="n">
        <f aca="false">IF(AND(ISNUMBER(T11),ISNUMBER(Theory_Rev!D11)),IF(ABS(T11-Theory_Rev!D11)&lt;=0.000000000001*MAX(1,ABS(Theory_Rev!D11)),0,1),IF(AND(NOT(ISNUMBER(T11)),NOT(ISNUMBER(Theory_Rev!D11))),0,1))</f>
        <v>0</v>
      </c>
      <c r="E93" s="89" t="n">
        <f aca="false">IF(AND(ISNUMBER(U11),ISNUMBER(Theory_Rev!E11)),IF(ABS(U11-Theory_Rev!E11)&lt;=0.000000000001*MAX(1,ABS(Theory_Rev!E11)),0,1),IF(AND(NOT(ISNUMBER(U11)),NOT(ISNUMBER(Theory_Rev!E11))),0,1))</f>
        <v>0</v>
      </c>
      <c r="F93" s="89" t="n">
        <f aca="false">IF(AND(ISNUMBER(V11),ISNUMBER(Theory_Rev!F11)),IF(ABS(V11-Theory_Rev!F11)&lt;=0.000000000001*MAX(1,ABS(Theory_Rev!F11)),0,1),IF(AND(NOT(ISNUMBER(V11)),NOT(ISNUMBER(Theory_Rev!F11))),0,1))</f>
        <v>0</v>
      </c>
      <c r="G93" s="89" t="n">
        <f aca="false">IF(AND(ISNUMBER(W11),ISNUMBER(Theory_Rev!G11)),IF(ABS(W11-Theory_Rev!G11)&lt;=0.000000000001*MAX(1,ABS(Theory_Rev!G11)),0,1),IF(AND(NOT(ISNUMBER(W11)),NOT(ISNUMBER(Theory_Rev!G11))),0,1))</f>
        <v>0</v>
      </c>
      <c r="H93" s="89" t="n">
        <f aca="false">IF(AND(ISNUMBER(X11),ISNUMBER(Theory_Rev!H11)),IF(ABS(X11-Theory_Rev!H11)&lt;=0.000000000001*MAX(1,ABS(Theory_Rev!H11)),0,1),IF(AND(NOT(ISNUMBER(X11)),NOT(ISNUMBER(Theory_Rev!H11))),0,1))</f>
        <v>0</v>
      </c>
      <c r="I93" s="89" t="n">
        <f aca="false">IF(AND(ISNUMBER(Y11),ISNUMBER(Theory_Rev!I11)),IF(ABS(Y11-Theory_Rev!I11)&lt;=0.000000000001*MAX(1,ABS(Theory_Rev!I11)),0,1),IF(AND(NOT(ISNUMBER(Y11)),NOT(ISNUMBER(Theory_Rev!I11))),0,1))</f>
        <v>0</v>
      </c>
      <c r="J93" s="89" t="n">
        <f aca="false">IF(AND(ISNUMBER(Z11),ISNUMBER(Theory_Rev!J11)),IF(ABS(Z11-Theory_Rev!J11)&lt;=0.000000000001*MAX(1,ABS(Theory_Rev!J11)),0,1),IF(AND(NOT(ISNUMBER(Z11)),NOT(ISNUMBER(Theory_Rev!J11))),0,1))</f>
        <v>0</v>
      </c>
      <c r="K93" s="89" t="n">
        <f aca="false">IF(AND(ISNUMBER(AA11),ISNUMBER(Theory_Rev!K11)),IF(ABS(AA11-Theory_Rev!K11)&lt;=0.000000000001*MAX(1,ABS(Theory_Rev!K11)),0,1),IF(AND(NOT(ISNUMBER(AA11)),NOT(ISNUMBER(Theory_Rev!K11))),0,1))</f>
        <v>0</v>
      </c>
      <c r="L93" s="89" t="n">
        <f aca="false">IF(AND(ISNUMBER(AB11),ISNUMBER(Theory_Rev!L11)),IF(ABS(AB11-Theory_Rev!L11)&lt;=0.000000000001*MAX(1,ABS(Theory_Rev!L11)),0,1),IF(AND(NOT(ISNUMBER(AB11)),NOT(ISNUMBER(Theory_Rev!L11))),0,1))</f>
        <v>0</v>
      </c>
      <c r="M93" s="89" t="n">
        <f aca="false">IF(AND(ISNUMBER(AC11),ISNUMBER(Theory_Rev!M11)),IF(ABS(AC11-Theory_Rev!M11)&lt;=0.000000000001*MAX(1,ABS(Theory_Rev!M11)),0,1),IF(AND(NOT(ISNUMBER(AC11)),NOT(ISNUMBER(Theory_Rev!M11))),0,1))</f>
        <v>0</v>
      </c>
      <c r="N93" s="89" t="n">
        <f aca="false">IF(AND(ISNUMBER(AD11),ISNUMBER(Theory_Rev!N11)),IF(ABS(AD11-Theory_Rev!N11)&lt;=0.000000000001*MAX(1,ABS(Theory_Rev!N11)),0,1),IF(AND(NOT(ISNUMBER(AD11)),NOT(ISNUMBER(Theory_Rev!N11))),0,1))</f>
        <v>0</v>
      </c>
      <c r="O93" s="89" t="n">
        <f aca="false">IF(AND(ISNUMBER(AE11),ISNUMBER(Theory_Rev!O11)),IF(ABS(AE11-Theory_Rev!O11)&lt;=0.000000000001*MAX(1,ABS(Theory_Rev!O11)),0,1),IF(AND(NOT(ISNUMBER(AE11)),NOT(ISNUMBER(Theory_Rev!O11))),0,1))</f>
        <v>0</v>
      </c>
      <c r="P93" s="89" t="n">
        <f aca="false">IF(AND(ISNUMBER(AF11),ISNUMBER(Theory_Rev!P11)),IF(ABS(AF11-Theory_Rev!P11)&lt;=0.000000000001*MAX(1,ABS(Theory_Rev!P11)),0,1),IF(AND(NOT(ISNUMBER(AF11)),NOT(ISNUMBER(Theory_Rev!P11))),0,1))</f>
        <v>0</v>
      </c>
      <c r="Q93" s="89" t="n">
        <f aca="false">IF(AND(ISNUMBER(AG11),ISNUMBER(Theory_Rev!Q11)),IF(ABS(AG11-Theory_Rev!Q11)&lt;=0.000000000001*MAX(1,ABS(Theory_Rev!Q11)),0,1),IF(AND(NOT(ISNUMBER(AG11)),NOT(ISNUMBER(Theory_Rev!Q11))),0,1))</f>
        <v>0</v>
      </c>
    </row>
    <row r="94" customFormat="false" ht="15" hidden="false" customHeight="false" outlineLevel="0" collapsed="false">
      <c r="A94" s="59" t="s">
        <v>2757</v>
      </c>
      <c r="C94" s="89" t="n">
        <f aca="false">IF(AND(ISNUMBER(S29),ISNUMBER(Theory_Rev!C29)),IF(ABS(S29-Theory_Rev!C29)&lt;=0.000000000001*MAX(1,ABS(Theory_Rev!C29)),0,1),IF(AND(NOT(ISNUMBER(S29)),NOT(ISNUMBER(Theory_Rev!C29))),0,1))</f>
        <v>0</v>
      </c>
      <c r="D94" s="89" t="n">
        <f aca="false">IF(AND(ISNUMBER(T29),ISNUMBER(Theory_Rev!D29)),IF(ABS(T29-Theory_Rev!D29)&lt;=0.000000000001*MAX(1,ABS(Theory_Rev!D29)),0,1),IF(AND(NOT(ISNUMBER(T29)),NOT(ISNUMBER(Theory_Rev!D29))),0,1))</f>
        <v>0</v>
      </c>
      <c r="E94" s="89" t="n">
        <f aca="false">IF(AND(ISNUMBER(U29),ISNUMBER(Theory_Rev!E29)),IF(ABS(U29-Theory_Rev!E29)&lt;=0.000000000001*MAX(1,ABS(Theory_Rev!E29)),0,1),IF(AND(NOT(ISNUMBER(U29)),NOT(ISNUMBER(Theory_Rev!E29))),0,1))</f>
        <v>0</v>
      </c>
      <c r="F94" s="89" t="n">
        <f aca="false">IF(AND(ISNUMBER(V29),ISNUMBER(Theory_Rev!F29)),IF(ABS(V29-Theory_Rev!F29)&lt;=0.000000000001*MAX(1,ABS(Theory_Rev!F29)),0,1),IF(AND(NOT(ISNUMBER(V29)),NOT(ISNUMBER(Theory_Rev!F29))),0,1))</f>
        <v>0</v>
      </c>
      <c r="G94" s="89" t="n">
        <f aca="false">IF(AND(ISNUMBER(W29),ISNUMBER(Theory_Rev!G29)),IF(ABS(W29-Theory_Rev!G29)&lt;=0.000000000001*MAX(1,ABS(Theory_Rev!G29)),0,1),IF(AND(NOT(ISNUMBER(W29)),NOT(ISNUMBER(Theory_Rev!G29))),0,1))</f>
        <v>0</v>
      </c>
      <c r="H94" s="89" t="n">
        <f aca="false">IF(AND(ISNUMBER(X29),ISNUMBER(Theory_Rev!H29)),IF(ABS(X29-Theory_Rev!H29)&lt;=0.000000000001*MAX(1,ABS(Theory_Rev!H29)),0,1),IF(AND(NOT(ISNUMBER(X29)),NOT(ISNUMBER(Theory_Rev!H29))),0,1))</f>
        <v>0</v>
      </c>
      <c r="I94" s="89" t="n">
        <f aca="false">IF(AND(ISNUMBER(Y29),ISNUMBER(Theory_Rev!I29)),IF(ABS(Y29-Theory_Rev!I29)&lt;=0.000000000001*MAX(1,ABS(Theory_Rev!I29)),0,1),IF(AND(NOT(ISNUMBER(Y29)),NOT(ISNUMBER(Theory_Rev!I29))),0,1))</f>
        <v>0</v>
      </c>
      <c r="J94" s="89" t="n">
        <f aca="false">IF(AND(ISNUMBER(Z29),ISNUMBER(Theory_Rev!J29)),IF(ABS(Z29-Theory_Rev!J29)&lt;=0.000000000001*MAX(1,ABS(Theory_Rev!J29)),0,1),IF(AND(NOT(ISNUMBER(Z29)),NOT(ISNUMBER(Theory_Rev!J29))),0,1))</f>
        <v>0</v>
      </c>
      <c r="K94" s="89" t="n">
        <f aca="false">IF(AND(ISNUMBER(AA29),ISNUMBER(Theory_Rev!K29)),IF(ABS(AA29-Theory_Rev!K29)&lt;=0.000000000001*MAX(1,ABS(Theory_Rev!K29)),0,1),IF(AND(NOT(ISNUMBER(AA29)),NOT(ISNUMBER(Theory_Rev!K29))),0,1))</f>
        <v>0</v>
      </c>
      <c r="L94" s="89" t="n">
        <f aca="false">IF(AND(ISNUMBER(AB29),ISNUMBER(Theory_Rev!L29)),IF(ABS(AB29-Theory_Rev!L29)&lt;=0.000000000001*MAX(1,ABS(Theory_Rev!L29)),0,1),IF(AND(NOT(ISNUMBER(AB29)),NOT(ISNUMBER(Theory_Rev!L29))),0,1))</f>
        <v>0</v>
      </c>
      <c r="M94" s="89" t="n">
        <f aca="false">IF(AND(ISNUMBER(AC29),ISNUMBER(Theory_Rev!M29)),IF(ABS(AC29-Theory_Rev!M29)&lt;=0.000000000001*MAX(1,ABS(Theory_Rev!M29)),0,1),IF(AND(NOT(ISNUMBER(AC29)),NOT(ISNUMBER(Theory_Rev!M29))),0,1))</f>
        <v>0</v>
      </c>
      <c r="N94" s="89" t="n">
        <f aca="false">IF(AND(ISNUMBER(AD29),ISNUMBER(Theory_Rev!N29)),IF(ABS(AD29-Theory_Rev!N29)&lt;=0.000000000001*MAX(1,ABS(Theory_Rev!N29)),0,1),IF(AND(NOT(ISNUMBER(AD29)),NOT(ISNUMBER(Theory_Rev!N29))),0,1))</f>
        <v>0</v>
      </c>
      <c r="O94" s="89" t="n">
        <f aca="false">IF(AND(ISNUMBER(AE29),ISNUMBER(Theory_Rev!O29)),IF(ABS(AE29-Theory_Rev!O29)&lt;=0.000000000001*MAX(1,ABS(Theory_Rev!O29)),0,1),IF(AND(NOT(ISNUMBER(AE29)),NOT(ISNUMBER(Theory_Rev!O29))),0,1))</f>
        <v>0</v>
      </c>
      <c r="P94" s="89" t="n">
        <f aca="false">IF(AND(ISNUMBER(AF29),ISNUMBER(Theory_Rev!P29)),IF(ABS(AF29-Theory_Rev!P29)&lt;=0.000000000001*MAX(1,ABS(Theory_Rev!P29)),0,1),IF(AND(NOT(ISNUMBER(AF29)),NOT(ISNUMBER(Theory_Rev!P29))),0,1))</f>
        <v>0</v>
      </c>
      <c r="Q94" s="89" t="n">
        <f aca="false">IF(AND(ISNUMBER(AG29),ISNUMBER(Theory_Rev!Q29)),IF(ABS(AG29-Theory_Rev!Q29)&lt;=0.000000000001*MAX(1,ABS(Theory_Rev!Q29)),0,1),IF(AND(NOT(ISNUMBER(AG29)),NOT(ISNUMBER(Theory_Rev!Q29))),0,1))</f>
        <v>0</v>
      </c>
    </row>
    <row r="95" customFormat="false" ht="15" hidden="false" customHeight="false" outlineLevel="0" collapsed="false">
      <c r="A95" s="59" t="s">
        <v>2758</v>
      </c>
      <c r="C95" s="89" t="n">
        <f aca="false">IF(AND(ISNUMBER(S47),ISNUMBER(Theory_Rev!C47)),IF(ABS(S47-Theory_Rev!C47)&lt;=0.000000000001*MAX(1,ABS(Theory_Rev!C47)),0,1),IF(AND(NOT(ISNUMBER(S47)),NOT(ISNUMBER(Theory_Rev!C47))),0,1))</f>
        <v>0</v>
      </c>
      <c r="D95" s="89" t="n">
        <f aca="false">IF(AND(ISNUMBER(T47),ISNUMBER(Theory_Rev!D47)),IF(ABS(T47-Theory_Rev!D47)&lt;=0.000000000001*MAX(1,ABS(Theory_Rev!D47)),0,1),IF(AND(NOT(ISNUMBER(T47)),NOT(ISNUMBER(Theory_Rev!D47))),0,1))</f>
        <v>0</v>
      </c>
      <c r="E95" s="89" t="n">
        <f aca="false">IF(AND(ISNUMBER(U47),ISNUMBER(Theory_Rev!E47)),IF(ABS(U47-Theory_Rev!E47)&lt;=0.000000000001*MAX(1,ABS(Theory_Rev!E47)),0,1),IF(AND(NOT(ISNUMBER(U47)),NOT(ISNUMBER(Theory_Rev!E47))),0,1))</f>
        <v>0</v>
      </c>
      <c r="F95" s="89" t="n">
        <f aca="false">IF(AND(ISNUMBER(V47),ISNUMBER(Theory_Rev!F47)),IF(ABS(V47-Theory_Rev!F47)&lt;=0.000000000001*MAX(1,ABS(Theory_Rev!F47)),0,1),IF(AND(NOT(ISNUMBER(V47)),NOT(ISNUMBER(Theory_Rev!F47))),0,1))</f>
        <v>0</v>
      </c>
      <c r="G95" s="89" t="n">
        <f aca="false">IF(AND(ISNUMBER(W47),ISNUMBER(Theory_Rev!G47)),IF(ABS(W47-Theory_Rev!G47)&lt;=0.000000000001*MAX(1,ABS(Theory_Rev!G47)),0,1),IF(AND(NOT(ISNUMBER(W47)),NOT(ISNUMBER(Theory_Rev!G47))),0,1))</f>
        <v>0</v>
      </c>
      <c r="H95" s="89" t="n">
        <f aca="false">IF(AND(ISNUMBER(X47),ISNUMBER(Theory_Rev!H47)),IF(ABS(X47-Theory_Rev!H47)&lt;=0.000000000001*MAX(1,ABS(Theory_Rev!H47)),0,1),IF(AND(NOT(ISNUMBER(X47)),NOT(ISNUMBER(Theory_Rev!H47))),0,1))</f>
        <v>0</v>
      </c>
      <c r="I95" s="89" t="n">
        <f aca="false">IF(AND(ISNUMBER(Y47),ISNUMBER(Theory_Rev!I47)),IF(ABS(Y47-Theory_Rev!I47)&lt;=0.000000000001*MAX(1,ABS(Theory_Rev!I47)),0,1),IF(AND(NOT(ISNUMBER(Y47)),NOT(ISNUMBER(Theory_Rev!I47))),0,1))</f>
        <v>0</v>
      </c>
      <c r="J95" s="89" t="n">
        <f aca="false">IF(AND(ISNUMBER(Z47),ISNUMBER(Theory_Rev!J47)),IF(ABS(Z47-Theory_Rev!J47)&lt;=0.000000000001*MAX(1,ABS(Theory_Rev!J47)),0,1),IF(AND(NOT(ISNUMBER(Z47)),NOT(ISNUMBER(Theory_Rev!J47))),0,1))</f>
        <v>0</v>
      </c>
      <c r="K95" s="89" t="n">
        <f aca="false">IF(AND(ISNUMBER(AA47),ISNUMBER(Theory_Rev!K47)),IF(ABS(AA47-Theory_Rev!K47)&lt;=0.000000000001*MAX(1,ABS(Theory_Rev!K47)),0,1),IF(AND(NOT(ISNUMBER(AA47)),NOT(ISNUMBER(Theory_Rev!K47))),0,1))</f>
        <v>0</v>
      </c>
      <c r="L95" s="89" t="n">
        <f aca="false">IF(AND(ISNUMBER(AB47),ISNUMBER(Theory_Rev!L47)),IF(ABS(AB47-Theory_Rev!L47)&lt;=0.000000000001*MAX(1,ABS(Theory_Rev!L47)),0,1),IF(AND(NOT(ISNUMBER(AB47)),NOT(ISNUMBER(Theory_Rev!L47))),0,1))</f>
        <v>0</v>
      </c>
      <c r="M95" s="89" t="n">
        <f aca="false">IF(AND(ISNUMBER(AC47),ISNUMBER(Theory_Rev!M47)),IF(ABS(AC47-Theory_Rev!M47)&lt;=0.000000000001*MAX(1,ABS(Theory_Rev!M47)),0,1),IF(AND(NOT(ISNUMBER(AC47)),NOT(ISNUMBER(Theory_Rev!M47))),0,1))</f>
        <v>0</v>
      </c>
      <c r="N95" s="89" t="n">
        <f aca="false">IF(AND(ISNUMBER(AD47),ISNUMBER(Theory_Rev!N47)),IF(ABS(AD47-Theory_Rev!N47)&lt;=0.000000000001*MAX(1,ABS(Theory_Rev!N47)),0,1),IF(AND(NOT(ISNUMBER(AD47)),NOT(ISNUMBER(Theory_Rev!N47))),0,1))</f>
        <v>0</v>
      </c>
      <c r="O95" s="89" t="n">
        <f aca="false">IF(AND(ISNUMBER(AE47),ISNUMBER(Theory_Rev!O47)),IF(ABS(AE47-Theory_Rev!O47)&lt;=0.000000000001*MAX(1,ABS(Theory_Rev!O47)),0,1),IF(AND(NOT(ISNUMBER(AE47)),NOT(ISNUMBER(Theory_Rev!O47))),0,1))</f>
        <v>0</v>
      </c>
      <c r="P95" s="89" t="n">
        <f aca="false">IF(AND(ISNUMBER(AF47),ISNUMBER(Theory_Rev!P47)),IF(ABS(AF47-Theory_Rev!P47)&lt;=0.000000000001*MAX(1,ABS(Theory_Rev!P47)),0,1),IF(AND(NOT(ISNUMBER(AF47)),NOT(ISNUMBER(Theory_Rev!P47))),0,1))</f>
        <v>0</v>
      </c>
      <c r="Q95" s="89" t="n">
        <f aca="false">IF(AND(ISNUMBER(AG47),ISNUMBER(Theory_Rev!Q47)),IF(ABS(AG47-Theory_Rev!Q47)&lt;=0.000000000001*MAX(1,ABS(Theory_Rev!Q47)),0,1),IF(AND(NOT(ISNUMBER(AG47)),NOT(ISNUMBER(Theory_Rev!Q47))),0,1))</f>
        <v>0</v>
      </c>
    </row>
    <row r="96" customFormat="false" ht="15" hidden="false" customHeight="false" outlineLevel="0" collapsed="false">
      <c r="A96" s="59" t="s">
        <v>2759</v>
      </c>
      <c r="C96" s="89" t="n">
        <f aca="false">IF(AND(ISNUMBER(S67),ISNUMBER(Theory_Rev!C67)),IF(ABS(S67-Theory_Rev!C67)&lt;=0.000000000001*MAX(1,ABS(Theory_Rev!C67)),0,1),IF(AND(NOT(ISNUMBER(S67)),NOT(ISNUMBER(Theory_Rev!C67))),0,1))</f>
        <v>0</v>
      </c>
      <c r="D96" s="89" t="n">
        <f aca="false">IF(AND(ISNUMBER(T67),ISNUMBER(Theory_Rev!D67)),IF(ABS(T67-Theory_Rev!D67)&lt;=0.000000000001*MAX(1,ABS(Theory_Rev!D67)),0,1),IF(AND(NOT(ISNUMBER(T67)),NOT(ISNUMBER(Theory_Rev!D67))),0,1))</f>
        <v>0</v>
      </c>
      <c r="E96" s="89" t="n">
        <f aca="false">IF(AND(ISNUMBER(U67),ISNUMBER(Theory_Rev!E67)),IF(ABS(U67-Theory_Rev!E67)&lt;=0.000000000001*MAX(1,ABS(Theory_Rev!E67)),0,1),IF(AND(NOT(ISNUMBER(U67)),NOT(ISNUMBER(Theory_Rev!E67))),0,1))</f>
        <v>0</v>
      </c>
      <c r="F96" s="89" t="n">
        <f aca="false">IF(AND(ISNUMBER(V67),ISNUMBER(Theory_Rev!F67)),IF(ABS(V67-Theory_Rev!F67)&lt;=0.000000000001*MAX(1,ABS(Theory_Rev!F67)),0,1),IF(AND(NOT(ISNUMBER(V67)),NOT(ISNUMBER(Theory_Rev!F67))),0,1))</f>
        <v>0</v>
      </c>
      <c r="G96" s="89" t="n">
        <f aca="false">IF(AND(ISNUMBER(W67),ISNUMBER(Theory_Rev!G67)),IF(ABS(W67-Theory_Rev!G67)&lt;=0.000000000001*MAX(1,ABS(Theory_Rev!G67)),0,1),IF(AND(NOT(ISNUMBER(W67)),NOT(ISNUMBER(Theory_Rev!G67))),0,1))</f>
        <v>0</v>
      </c>
      <c r="H96" s="89" t="n">
        <f aca="false">IF(AND(ISNUMBER(X67),ISNUMBER(Theory_Rev!H67)),IF(ABS(X67-Theory_Rev!H67)&lt;=0.000000000001*MAX(1,ABS(Theory_Rev!H67)),0,1),IF(AND(NOT(ISNUMBER(X67)),NOT(ISNUMBER(Theory_Rev!H67))),0,1))</f>
        <v>0</v>
      </c>
      <c r="I96" s="89" t="n">
        <f aca="false">IF(AND(ISNUMBER(Y67),ISNUMBER(Theory_Rev!I67)),IF(ABS(Y67-Theory_Rev!I67)&lt;=0.000000000001*MAX(1,ABS(Theory_Rev!I67)),0,1),IF(AND(NOT(ISNUMBER(Y67)),NOT(ISNUMBER(Theory_Rev!I67))),0,1))</f>
        <v>0</v>
      </c>
      <c r="J96" s="89" t="n">
        <f aca="false">IF(AND(ISNUMBER(Z67),ISNUMBER(Theory_Rev!J67)),IF(ABS(Z67-Theory_Rev!J67)&lt;=0.000000000001*MAX(1,ABS(Theory_Rev!J67)),0,1),IF(AND(NOT(ISNUMBER(Z67)),NOT(ISNUMBER(Theory_Rev!J67))),0,1))</f>
        <v>0</v>
      </c>
      <c r="K96" s="89" t="n">
        <f aca="false">IF(AND(ISNUMBER(AA67),ISNUMBER(Theory_Rev!K67)),IF(ABS(AA67-Theory_Rev!K67)&lt;=0.000000000001*MAX(1,ABS(Theory_Rev!K67)),0,1),IF(AND(NOT(ISNUMBER(AA67)),NOT(ISNUMBER(Theory_Rev!K67))),0,1))</f>
        <v>0</v>
      </c>
      <c r="L96" s="89" t="n">
        <f aca="false">IF(AND(ISNUMBER(AB67),ISNUMBER(Theory_Rev!L67)),IF(ABS(AB67-Theory_Rev!L67)&lt;=0.000000000001*MAX(1,ABS(Theory_Rev!L67)),0,1),IF(AND(NOT(ISNUMBER(AB67)),NOT(ISNUMBER(Theory_Rev!L67))),0,1))</f>
        <v>0</v>
      </c>
      <c r="M96" s="89" t="n">
        <f aca="false">IF(AND(ISNUMBER(AC67),ISNUMBER(Theory_Rev!M67)),IF(ABS(AC67-Theory_Rev!M67)&lt;=0.000000000001*MAX(1,ABS(Theory_Rev!M67)),0,1),IF(AND(NOT(ISNUMBER(AC67)),NOT(ISNUMBER(Theory_Rev!M67))),0,1))</f>
        <v>0</v>
      </c>
      <c r="N96" s="89" t="n">
        <f aca="false">IF(AND(ISNUMBER(AD67),ISNUMBER(Theory_Rev!N67)),IF(ABS(AD67-Theory_Rev!N67)&lt;=0.000000000001*MAX(1,ABS(Theory_Rev!N67)),0,1),IF(AND(NOT(ISNUMBER(AD67)),NOT(ISNUMBER(Theory_Rev!N67))),0,1))</f>
        <v>0</v>
      </c>
      <c r="O96" s="89" t="n">
        <f aca="false">IF(AND(ISNUMBER(AE67),ISNUMBER(Theory_Rev!O67)),IF(ABS(AE67-Theory_Rev!O67)&lt;=0.000000000001*MAX(1,ABS(Theory_Rev!O67)),0,1),IF(AND(NOT(ISNUMBER(AE67)),NOT(ISNUMBER(Theory_Rev!O67))),0,1))</f>
        <v>0</v>
      </c>
      <c r="P96" s="89" t="n">
        <f aca="false">IF(AND(ISNUMBER(AF67),ISNUMBER(Theory_Rev!P67)),IF(ABS(AF67-Theory_Rev!P67)&lt;=0.000000000001*MAX(1,ABS(Theory_Rev!P67)),0,1),IF(AND(NOT(ISNUMBER(AF67)),NOT(ISNUMBER(Theory_Rev!P67))),0,1))</f>
        <v>0</v>
      </c>
      <c r="Q96" s="89" t="n">
        <f aca="false">IF(AND(ISNUMBER(AG67),ISNUMBER(Theory_Rev!Q67)),IF(ABS(AG67-Theory_Rev!Q67)&lt;=0.000000000001*MAX(1,ABS(Theory_Rev!Q67)),0,1),IF(AND(NOT(ISNUMBER(AG67)),NOT(ISNUMBER(Theory_Rev!Q67))),0,1))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2" min="2" style="1" width="10"/>
    <col collapsed="false" customWidth="true" hidden="false" outlineLevel="0" max="17" min="3" style="1" width="12.5"/>
    <col collapsed="false" customWidth="true" hidden="false" outlineLevel="0" max="18" min="18" style="1" width="10"/>
    <col collapsed="false" customWidth="true" hidden="false" outlineLevel="0" max="19" min="19" style="1" width="24"/>
    <col collapsed="false" customWidth="true" hidden="false" outlineLevel="0" max="21" min="20" style="1" width="12"/>
    <col collapsed="false" customWidth="true" hidden="false" outlineLevel="0" max="22" min="22" style="1" width="9"/>
    <col collapsed="false" customWidth="true" hidden="false" outlineLevel="0" max="23" min="23" style="1" width="30"/>
    <col collapsed="false" customWidth="true" hidden="false" outlineLevel="0" max="25" min="24" style="1" width="7"/>
    <col collapsed="false" customWidth="true" hidden="false" outlineLevel="0" max="26" min="26" style="1" width="46"/>
  </cols>
  <sheetData>
    <row r="1" customFormat="false" ht="19.5" hidden="false" customHeight="true" outlineLevel="0" collapsed="false">
      <c r="A1" s="2" t="s">
        <v>2760</v>
      </c>
    </row>
    <row r="2" customFormat="false" ht="15" hidden="false" customHeight="true" outlineLevel="0" collapsed="false">
      <c r="A2" s="3" t="s">
        <v>2761</v>
      </c>
    </row>
    <row r="3" customFormat="false" ht="15" hidden="false" customHeight="true" outlineLevel="0" collapsed="false">
      <c r="A3" s="45" t="s">
        <v>2762</v>
      </c>
      <c r="Z3" s="13" t="s">
        <v>2</v>
      </c>
    </row>
    <row r="4" customFormat="false" ht="15" hidden="false" customHeight="true" outlineLevel="0" collapsed="false">
      <c r="A4" s="22" t="s">
        <v>2763</v>
      </c>
      <c r="B4" s="22" t="s">
        <v>95</v>
      </c>
      <c r="C4" s="127" t="str">
        <f aca="false">Spec_Rack!C4</f>
        <v>Hopper H100</v>
      </c>
      <c r="D4" s="127" t="str">
        <f aca="false">Spec_Rack!C4</f>
        <v>Hopper H100</v>
      </c>
      <c r="E4" s="127" t="str">
        <f aca="false">Spec_Rack!C4</f>
        <v>Hopper H100</v>
      </c>
      <c r="F4" s="127" t="str">
        <f aca="false">Spec_Rack!D4</f>
        <v>GB200 NVL72</v>
      </c>
      <c r="G4" s="127" t="str">
        <f aca="false">Spec_Rack!D4</f>
        <v>GB200 NVL72</v>
      </c>
      <c r="H4" s="127" t="str">
        <f aca="false">Spec_Rack!D4</f>
        <v>GB200 NVL72</v>
      </c>
      <c r="I4" s="127" t="str">
        <f aca="false">Spec_Rack!E4</f>
        <v>GB300 NVL72</v>
      </c>
      <c r="J4" s="127" t="str">
        <f aca="false">Spec_Rack!E4</f>
        <v>GB300 NVL72</v>
      </c>
      <c r="K4" s="127" t="str">
        <f aca="false">Spec_Rack!E4</f>
        <v>GB300 NVL72</v>
      </c>
      <c r="L4" s="127" t="str">
        <f aca="false">Spec_Rack!F4</f>
        <v>VR200 NVL72</v>
      </c>
      <c r="M4" s="127" t="str">
        <f aca="false">Spec_Rack!F4</f>
        <v>VR200 NVL72</v>
      </c>
      <c r="N4" s="127" t="str">
        <f aca="false">Spec_Rack!F4</f>
        <v>VR200 NVL72</v>
      </c>
      <c r="O4" s="127" t="str">
        <f aca="false">Spec_Rack!G4</f>
        <v>Rubin Ultra（MGX NVL 單架，72 GPU）</v>
      </c>
      <c r="P4" s="127" t="str">
        <f aca="false">Spec_Rack!G4</f>
        <v>Rubin Ultra（MGX NVL 單架，72 GPU）</v>
      </c>
      <c r="Q4" s="127" t="str">
        <f aca="false">Spec_Rack!G4</f>
        <v>Rubin Ultra（MGX NVL 單架，72 GPU）</v>
      </c>
      <c r="R4" s="84" t="s">
        <v>2764</v>
      </c>
      <c r="S4" s="84" t="s">
        <v>2765</v>
      </c>
      <c r="T4" s="83" t="s">
        <v>2766</v>
      </c>
      <c r="U4" s="83" t="s">
        <v>2767</v>
      </c>
      <c r="V4" s="83" t="s">
        <v>2768</v>
      </c>
      <c r="W4" s="83" t="s">
        <v>2769</v>
      </c>
      <c r="X4" s="83" t="s">
        <v>2770</v>
      </c>
      <c r="Y4" s="83" t="s">
        <v>2771</v>
      </c>
    </row>
    <row r="5" customFormat="false" ht="15" hidden="false" customHeight="true" outlineLevel="0" collapsed="false">
      <c r="A5" s="22" t="s">
        <v>28</v>
      </c>
      <c r="C5" s="36" t="s">
        <v>96</v>
      </c>
      <c r="D5" s="36" t="s">
        <v>97</v>
      </c>
      <c r="E5" s="36" t="s">
        <v>98</v>
      </c>
      <c r="F5" s="36" t="s">
        <v>96</v>
      </c>
      <c r="G5" s="36" t="s">
        <v>97</v>
      </c>
      <c r="H5" s="36" t="s">
        <v>98</v>
      </c>
      <c r="I5" s="36" t="s">
        <v>96</v>
      </c>
      <c r="J5" s="36" t="s">
        <v>97</v>
      </c>
      <c r="K5" s="36" t="s">
        <v>98</v>
      </c>
      <c r="L5" s="36" t="s">
        <v>96</v>
      </c>
      <c r="M5" s="36" t="s">
        <v>97</v>
      </c>
      <c r="N5" s="36" t="s">
        <v>98</v>
      </c>
      <c r="O5" s="36" t="s">
        <v>96</v>
      </c>
      <c r="P5" s="36" t="s">
        <v>97</v>
      </c>
      <c r="Q5" s="36" t="s">
        <v>98</v>
      </c>
    </row>
    <row r="6" customFormat="false" ht="15" hidden="false" customHeight="true" outlineLevel="0" collapsed="false">
      <c r="A6" s="22" t="s">
        <v>2772</v>
      </c>
      <c r="B6" s="23" t="s">
        <v>873</v>
      </c>
      <c r="C6" s="29" t="n">
        <f aca="false">(DC_Cost!C12)/CTL_GW</f>
        <v>22439</v>
      </c>
      <c r="D6" s="183" t="n">
        <f aca="false">(DC_Cost!D12)/CTL_GW</f>
        <v>22439</v>
      </c>
      <c r="E6" s="29" t="n">
        <f aca="false">(DC_Cost!E12)/CTL_GW</f>
        <v>22439</v>
      </c>
      <c r="F6" s="29" t="n">
        <f aca="false">(DC_Cost!F12)/CTL_GW</f>
        <v>6969</v>
      </c>
      <c r="G6" s="183" t="n">
        <f aca="false">(DC_Cost!G12)/CTL_GW</f>
        <v>6969</v>
      </c>
      <c r="H6" s="29" t="n">
        <f aca="false">(DC_Cost!H12)/CTL_GW</f>
        <v>6969</v>
      </c>
      <c r="I6" s="29" t="n">
        <f aca="false">(DC_Cost!I12)/CTL_GW</f>
        <v>6764</v>
      </c>
      <c r="J6" s="183" t="n">
        <f aca="false">(DC_Cost!J12)/CTL_GW</f>
        <v>6764</v>
      </c>
      <c r="K6" s="29" t="n">
        <f aca="false">(DC_Cost!K12)/CTL_GW</f>
        <v>6764</v>
      </c>
      <c r="L6" s="29" t="n">
        <f aca="false">(DC_Cost!L12)/CTL_GW</f>
        <v>4052</v>
      </c>
      <c r="M6" s="183" t="n">
        <f aca="false">(DC_Cost!M12)/CTL_GW</f>
        <v>4052</v>
      </c>
      <c r="N6" s="29" t="n">
        <f aca="false">(DC_Cost!N12)/CTL_GW</f>
        <v>4052</v>
      </c>
      <c r="O6" s="29" t="n">
        <f aca="false">(DC_Cost!O12)/CTL_GW</f>
        <v>2705</v>
      </c>
      <c r="P6" s="183" t="n">
        <f aca="false">(DC_Cost!P12)/CTL_GW</f>
        <v>2705</v>
      </c>
      <c r="Q6" s="29" t="n">
        <f aca="false">(DC_Cost!Q12)/CTL_GW</f>
        <v>2705</v>
      </c>
      <c r="R6" s="184" t="str">
        <f aca="false">IF(SUM(Gov_Map!$AG$5:$AG$7,Gov_Map!$AG$74:$AG$88)&gt;0,"C",IF(SUM(Gov_Map!$AH$5:$AH$7,Gov_Map!$AH$74:$AH$88)&gt;0,"B","A"))</f>
        <v>B</v>
      </c>
      <c r="S6" s="44" t="str">
        <f aca="false">IF(R6="—","—",IF(R6="A","基準輸入",IF(R6="B","情境、相對比較、反轉門檻","探索")))</f>
        <v>情境、相對比較、反轉門檻</v>
      </c>
      <c r="T6" s="30" t="s">
        <v>751</v>
      </c>
      <c r="U6" s="44" t="str">
        <f aca="false">IF(V6=0,"—",LEFT(TEXT(V6,"0"),4)&amp;"-"&amp;MID(TEXT(V6,"0"),5,2)&amp;"-"&amp;RIGHT(TEXT(V6,"0"),2))</f>
        <v>2026-10-05</v>
      </c>
      <c r="V6" s="33" t="n">
        <f aca="false">MAX(Gov_Map!$AJ$5:$AJ$7,Gov_Map!$AJ$74:$AJ$88)</f>
        <v>20261005</v>
      </c>
      <c r="W6" s="21" t="s">
        <v>2773</v>
      </c>
      <c r="X6" s="32" t="n">
        <f aca="false">IF(ISNUMBER(FIND("上限",S6)),1,0)</f>
        <v>0</v>
      </c>
      <c r="Y6" s="32" t="n">
        <v>0</v>
      </c>
    </row>
    <row r="7" customFormat="false" ht="15" hidden="false" customHeight="true" outlineLevel="0" collapsed="false">
      <c r="A7" s="22" t="s">
        <v>2774</v>
      </c>
      <c r="B7" s="23" t="s">
        <v>867</v>
      </c>
      <c r="C7" s="29" t="n">
        <f aca="false">(DC_Cost!C14)/CTL_GW</f>
        <v>718048</v>
      </c>
      <c r="D7" s="183" t="n">
        <f aca="false">(DC_Cost!D14)/CTL_GW</f>
        <v>718048</v>
      </c>
      <c r="E7" s="29" t="n">
        <f aca="false">(DC_Cost!E14)/CTL_GW</f>
        <v>718048</v>
      </c>
      <c r="F7" s="29" t="n">
        <f aca="false">(DC_Cost!F14)/CTL_GW</f>
        <v>501768</v>
      </c>
      <c r="G7" s="183" t="n">
        <f aca="false">(DC_Cost!G14)/CTL_GW</f>
        <v>501768</v>
      </c>
      <c r="H7" s="29" t="n">
        <f aca="false">(DC_Cost!H14)/CTL_GW</f>
        <v>501768</v>
      </c>
      <c r="I7" s="29" t="n">
        <f aca="false">(DC_Cost!I14)/CTL_GW</f>
        <v>487008</v>
      </c>
      <c r="J7" s="183" t="n">
        <f aca="false">(DC_Cost!J14)/CTL_GW</f>
        <v>487008</v>
      </c>
      <c r="K7" s="29" t="n">
        <f aca="false">(DC_Cost!K14)/CTL_GW</f>
        <v>487008</v>
      </c>
      <c r="L7" s="29" t="n">
        <f aca="false">(DC_Cost!L14)/CTL_GW</f>
        <v>291744</v>
      </c>
      <c r="M7" s="183" t="n">
        <f aca="false">(DC_Cost!M14)/CTL_GW</f>
        <v>291744</v>
      </c>
      <c r="N7" s="29" t="n">
        <f aca="false">(DC_Cost!N14)/CTL_GW</f>
        <v>291744</v>
      </c>
      <c r="O7" s="29" t="n">
        <f aca="false">(DC_Cost!O14)/CTL_GW</f>
        <v>194760</v>
      </c>
      <c r="P7" s="183" t="n">
        <f aca="false">(DC_Cost!P14)/CTL_GW</f>
        <v>194760</v>
      </c>
      <c r="Q7" s="29" t="n">
        <f aca="false">(DC_Cost!Q14)/CTL_GW</f>
        <v>194760</v>
      </c>
      <c r="R7" s="184" t="str">
        <f aca="false">IF(SUM(Gov_Map!$AG$5:$AG$7,Gov_Map!$AG$69:$AG$88)&gt;0,"C",IF(SUM(Gov_Map!$AH$5:$AH$7,Gov_Map!$AH$69:$AH$88)&gt;0,"B","A"))</f>
        <v>B</v>
      </c>
      <c r="S7" s="44" t="str">
        <f aca="false">IF(R7="—","—",IF(R7="A","基準輸入",IF(R7="B","情境、相對比較、反轉門檻","探索")))</f>
        <v>情境、相對比較、反轉門檻</v>
      </c>
      <c r="T7" s="30" t="s">
        <v>751</v>
      </c>
      <c r="U7" s="44" t="str">
        <f aca="false">IF(V7=0,"—",LEFT(TEXT(V7,"0"),4)&amp;"-"&amp;MID(TEXT(V7,"0"),5,2)&amp;"-"&amp;RIGHT(TEXT(V7,"0"),2))</f>
        <v>2026-10-05</v>
      </c>
      <c r="V7" s="33" t="n">
        <f aca="false">MAX(Gov_Map!$AJ$5:$AJ$7,Gov_Map!$AJ$69:$AJ$88)</f>
        <v>20261005</v>
      </c>
      <c r="W7" s="21" t="s">
        <v>2775</v>
      </c>
      <c r="X7" s="32" t="n">
        <f aca="false">IF(ISNUMBER(FIND("上限",S7)),1,0)</f>
        <v>0</v>
      </c>
      <c r="Y7" s="32" t="n">
        <v>0</v>
      </c>
    </row>
    <row r="8" customFormat="false" ht="15" hidden="false" customHeight="true" outlineLevel="0" collapsed="false">
      <c r="A8" s="22" t="s">
        <v>2776</v>
      </c>
      <c r="B8" s="17" t="s">
        <v>103</v>
      </c>
      <c r="C8" s="130" t="n">
        <f aca="false">(DC_Cost!C16/1000)/CTL_GW</f>
        <v>1.1</v>
      </c>
      <c r="D8" s="185" t="n">
        <f aca="false">(DC_Cost!D16/1000)/CTL_GW</f>
        <v>1.2</v>
      </c>
      <c r="E8" s="130" t="n">
        <f aca="false">(DC_Cost!E16/1000)/CTL_GW</f>
        <v>1.3</v>
      </c>
      <c r="F8" s="130" t="n">
        <f aca="false">(DC_Cost!F16/1000)/CTL_GW</f>
        <v>1.1</v>
      </c>
      <c r="G8" s="185" t="n">
        <f aca="false">(DC_Cost!G16/1000)/CTL_GW</f>
        <v>1.2</v>
      </c>
      <c r="H8" s="130" t="n">
        <f aca="false">(DC_Cost!H16/1000)/CTL_GW</f>
        <v>1.3</v>
      </c>
      <c r="I8" s="130" t="n">
        <f aca="false">(DC_Cost!I16/1000)/CTL_GW</f>
        <v>1.1</v>
      </c>
      <c r="J8" s="185" t="n">
        <f aca="false">(DC_Cost!J16/1000)/CTL_GW</f>
        <v>1.2</v>
      </c>
      <c r="K8" s="130" t="n">
        <f aca="false">(DC_Cost!K16/1000)/CTL_GW</f>
        <v>1.3</v>
      </c>
      <c r="L8" s="130" t="n">
        <f aca="false">(DC_Cost!L16/1000)/CTL_GW</f>
        <v>1.1</v>
      </c>
      <c r="M8" s="185" t="n">
        <f aca="false">(DC_Cost!M16/1000)/CTL_GW</f>
        <v>1.2</v>
      </c>
      <c r="N8" s="130" t="n">
        <f aca="false">(DC_Cost!N16/1000)/CTL_GW</f>
        <v>1.3</v>
      </c>
      <c r="O8" s="130" t="n">
        <f aca="false">(DC_Cost!O16/1000)/CTL_GW</f>
        <v>1.1</v>
      </c>
      <c r="P8" s="185" t="n">
        <f aca="false">(DC_Cost!P16/1000)/CTL_GW</f>
        <v>1.2</v>
      </c>
      <c r="Q8" s="130" t="n">
        <f aca="false">(DC_Cost!Q16/1000)/CTL_GW</f>
        <v>1.3</v>
      </c>
      <c r="R8" s="184" t="str">
        <f aca="false">IF(SUM(Gov_Map!$AG$5,Gov_Map!$AG$8:$AG$10)&gt;0,"C",IF(SUM(Gov_Map!$AH$5,Gov_Map!$AH$8:$AH$10)&gt;0,"B","A"))</f>
        <v>A</v>
      </c>
      <c r="S8" s="44" t="str">
        <f aca="false">IF(R8="—","—",IF(R8="A","基準輸入",IF(R8="B","情境、相對比較、反轉門檻","探索")))</f>
        <v>基準輸入</v>
      </c>
      <c r="T8" s="30" t="s">
        <v>751</v>
      </c>
      <c r="U8" s="44" t="str">
        <f aca="false">IF(V8=0,"—",LEFT(TEXT(V8,"0"),4)&amp;"-"&amp;MID(TEXT(V8,"0"),5,2)&amp;"-"&amp;RIGHT(TEXT(V8,"0"),2))</f>
        <v>—</v>
      </c>
      <c r="V8" s="33" t="n">
        <f aca="false">MAX(Gov_Map!$AJ$5,Gov_Map!$AJ$8:$AJ$10)</f>
        <v>0</v>
      </c>
      <c r="W8" s="21" t="s">
        <v>2777</v>
      </c>
      <c r="X8" s="32" t="n">
        <f aca="false">IF(ISNUMBER(FIND("上限",S8)),1,0)</f>
        <v>0</v>
      </c>
      <c r="Y8" s="32" t="n">
        <v>0</v>
      </c>
    </row>
    <row r="9" customFormat="false" ht="15" hidden="false" customHeight="true" outlineLevel="0" collapsed="false">
      <c r="A9" s="22" t="s">
        <v>2778</v>
      </c>
      <c r="B9" s="17" t="s">
        <v>1023</v>
      </c>
      <c r="C9" s="38" t="n">
        <f aca="false">(DC_Cost!C24)/CTL_GW</f>
        <v>21.4202694</v>
      </c>
      <c r="D9" s="186" t="n">
        <f aca="false">(DC_Cost!D24)/CTL_GW</f>
        <v>27.510214</v>
      </c>
      <c r="E9" s="38" t="n">
        <f aca="false">(DC_Cost!E24)/CTL_GW</f>
        <v>34.1207434</v>
      </c>
      <c r="F9" s="38" t="n">
        <f aca="false">(DC_Cost!F24)/CTL_GW</f>
        <v>20.6393904</v>
      </c>
      <c r="G9" s="186" t="n">
        <f aca="false">(DC_Cost!G24)/CTL_GW</f>
        <v>24.015174</v>
      </c>
      <c r="H9" s="38" t="n">
        <f aca="false">(DC_Cost!H24)/CTL_GW</f>
        <v>27.6502044</v>
      </c>
      <c r="I9" s="38" t="n">
        <f aca="false">(DC_Cost!I24)/CTL_GW</f>
        <v>28.5549024</v>
      </c>
      <c r="J9" s="186" t="n">
        <f aca="false">(DC_Cost!J24)/CTL_GW</f>
        <v>32.237224</v>
      </c>
      <c r="K9" s="38" t="n">
        <f aca="false">(DC_Cost!K24)/CTL_GW</f>
        <v>39.2826064</v>
      </c>
      <c r="L9" s="38" t="n">
        <f aca="false">(DC_Cost!L24)/CTL_GW</f>
        <v>33.2734032</v>
      </c>
      <c r="M9" s="186" t="n">
        <f aca="false">(DC_Cost!M24)/CTL_GW</f>
        <v>37.586352</v>
      </c>
      <c r="N9" s="38" t="n">
        <f aca="false">(DC_Cost!N24)/CTL_GW</f>
        <v>42.6375752</v>
      </c>
      <c r="O9" s="38" t="n">
        <f aca="false">(DC_Cost!O24)/CTL_GW</f>
        <v>35.845578</v>
      </c>
      <c r="P9" s="186" t="n">
        <f aca="false">(DC_Cost!P24)/CTL_GW</f>
        <v>50.08578</v>
      </c>
      <c r="Q9" s="38" t="n">
        <f aca="false">(DC_Cost!Q24)/CTL_GW</f>
        <v>65.481558</v>
      </c>
      <c r="R9" s="184" t="str">
        <f aca="false">IF(SUM(Gov_Map!$AG$5:$AG$7,Gov_Map!$AG$17:$AG$22,Gov_Map!$AG$69:$AG$103)&gt;0,"C",IF(SUM(Gov_Map!$AH$5:$AH$7,Gov_Map!$AH$17:$AH$22,Gov_Map!$AH$69:$AH$103)&gt;0,"B","A"))</f>
        <v>B</v>
      </c>
      <c r="S9" s="44" t="str">
        <f aca="false">IF(R9="—","—",IF(R9="A","基準輸入",IF(R9="B","情境、相對比較、反轉門檻","探索")))</f>
        <v>情境、相對比較、反轉門檻</v>
      </c>
      <c r="T9" s="30" t="s">
        <v>751</v>
      </c>
      <c r="U9" s="44" t="str">
        <f aca="false">IF(V9=0,"—",LEFT(TEXT(V9,"0"),4)&amp;"-"&amp;MID(TEXT(V9,"0"),5,2)&amp;"-"&amp;RIGHT(TEXT(V9,"0"),2))</f>
        <v>2026-10-08</v>
      </c>
      <c r="V9" s="33" t="n">
        <f aca="false">MAX(Gov_Map!$AJ$5:$AJ$7,Gov_Map!$AJ$17:$AJ$22,Gov_Map!$AJ$69:$AJ$103)</f>
        <v>20261008</v>
      </c>
      <c r="W9" s="21" t="s">
        <v>2779</v>
      </c>
      <c r="X9" s="32" t="n">
        <f aca="false">IF(ISNUMBER(FIND("上限",S9)),1,0)</f>
        <v>0</v>
      </c>
      <c r="Y9" s="32" t="n">
        <v>0</v>
      </c>
    </row>
    <row r="10" customFormat="false" ht="15" hidden="false" customHeight="true" outlineLevel="0" collapsed="false">
      <c r="A10" s="22" t="s">
        <v>2780</v>
      </c>
      <c r="B10" s="17" t="s">
        <v>1023</v>
      </c>
      <c r="C10" s="38" t="n">
        <f aca="false">(DC_Cost!C32)/CTL_GW</f>
        <v>10.212</v>
      </c>
      <c r="D10" s="186" t="n">
        <f aca="false">(DC_Cost!D32)/CTL_GW</f>
        <v>12.67</v>
      </c>
      <c r="E10" s="38" t="n">
        <f aca="false">(DC_Cost!E32)/CTL_GW</f>
        <v>16.186</v>
      </c>
      <c r="F10" s="38" t="n">
        <f aca="false">(DC_Cost!F32)/CTL_GW</f>
        <v>10.212</v>
      </c>
      <c r="G10" s="186" t="n">
        <f aca="false">(DC_Cost!G32)/CTL_GW</f>
        <v>12.67</v>
      </c>
      <c r="H10" s="38" t="n">
        <f aca="false">(DC_Cost!H32)/CTL_GW</f>
        <v>16.186</v>
      </c>
      <c r="I10" s="38" t="n">
        <f aca="false">(DC_Cost!I32)/CTL_GW</f>
        <v>10.212</v>
      </c>
      <c r="J10" s="186" t="n">
        <f aca="false">(DC_Cost!J32)/CTL_GW</f>
        <v>12.67</v>
      </c>
      <c r="K10" s="38" t="n">
        <f aca="false">(DC_Cost!K32)/CTL_GW</f>
        <v>16.186</v>
      </c>
      <c r="L10" s="38" t="n">
        <f aca="false">(DC_Cost!L32)/CTL_GW</f>
        <v>10.212</v>
      </c>
      <c r="M10" s="186" t="n">
        <f aca="false">(DC_Cost!M32)/CTL_GW</f>
        <v>12.67</v>
      </c>
      <c r="N10" s="38" t="n">
        <f aca="false">(DC_Cost!N32)/CTL_GW</f>
        <v>16.186</v>
      </c>
      <c r="O10" s="38" t="n">
        <f aca="false">(DC_Cost!O32)/CTL_GW</f>
        <v>10.212</v>
      </c>
      <c r="P10" s="186" t="n">
        <f aca="false">(DC_Cost!P32)/CTL_GW</f>
        <v>12.67</v>
      </c>
      <c r="Q10" s="38" t="n">
        <f aca="false">(DC_Cost!Q32)/CTL_GW</f>
        <v>16.186</v>
      </c>
      <c r="R10" s="184" t="str">
        <f aca="false">IF(SUM(Gov_Map!$AG$5,Gov_Map!$AG$23:$AG$40)&gt;0,"C",IF(SUM(Gov_Map!$AH$5,Gov_Map!$AH$23:$AH$40)&gt;0,"B","A"))</f>
        <v>A</v>
      </c>
      <c r="S10" s="44" t="str">
        <f aca="false">IF(R10="—","—",IF(R10="A","基準輸入",IF(R10="B","情境、相對比較、反轉門檻","探索")))</f>
        <v>基準輸入</v>
      </c>
      <c r="T10" s="30" t="s">
        <v>751</v>
      </c>
      <c r="U10" s="44" t="str">
        <f aca="false">IF(V10=0,"—",LEFT(TEXT(V10,"0"),4)&amp;"-"&amp;MID(TEXT(V10,"0"),5,2)&amp;"-"&amp;RIGHT(TEXT(V10,"0"),2))</f>
        <v>—</v>
      </c>
      <c r="V10" s="33" t="n">
        <f aca="false">MAX(Gov_Map!$AJ$5,Gov_Map!$AJ$23:$AJ$40)</f>
        <v>0</v>
      </c>
      <c r="W10" s="21" t="s">
        <v>2781</v>
      </c>
      <c r="X10" s="32" t="n">
        <f aca="false">IF(ISNUMBER(FIND("上限",S10)),1,0)</f>
        <v>0</v>
      </c>
      <c r="Y10" s="32" t="n">
        <v>0</v>
      </c>
    </row>
    <row r="11" customFormat="false" ht="15" hidden="false" customHeight="true" outlineLevel="0" collapsed="false">
      <c r="A11" s="22" t="s">
        <v>2782</v>
      </c>
      <c r="B11" s="17" t="s">
        <v>1023</v>
      </c>
      <c r="C11" s="38" t="n">
        <f aca="false">(DC_Cost!C33)/CTL_GW</f>
        <v>31.6322694</v>
      </c>
      <c r="D11" s="186" t="n">
        <f aca="false">(DC_Cost!D33)/CTL_GW</f>
        <v>40.180214</v>
      </c>
      <c r="E11" s="38" t="n">
        <f aca="false">(DC_Cost!E33)/CTL_GW</f>
        <v>50.3067434</v>
      </c>
      <c r="F11" s="38" t="n">
        <f aca="false">(DC_Cost!F33)/CTL_GW</f>
        <v>30.8513904</v>
      </c>
      <c r="G11" s="186" t="n">
        <f aca="false">(DC_Cost!G33)/CTL_GW</f>
        <v>36.685174</v>
      </c>
      <c r="H11" s="38" t="n">
        <f aca="false">(DC_Cost!H33)/CTL_GW</f>
        <v>43.8362044</v>
      </c>
      <c r="I11" s="38" t="n">
        <f aca="false">(DC_Cost!I33)/CTL_GW</f>
        <v>38.7669024</v>
      </c>
      <c r="J11" s="186" t="n">
        <f aca="false">(DC_Cost!J33)/CTL_GW</f>
        <v>44.907224</v>
      </c>
      <c r="K11" s="38" t="n">
        <f aca="false">(DC_Cost!K33)/CTL_GW</f>
        <v>55.4686064</v>
      </c>
      <c r="L11" s="38" t="n">
        <f aca="false">(DC_Cost!L33)/CTL_GW</f>
        <v>43.4854032</v>
      </c>
      <c r="M11" s="186" t="n">
        <f aca="false">(DC_Cost!M33)/CTL_GW</f>
        <v>50.256352</v>
      </c>
      <c r="N11" s="38" t="n">
        <f aca="false">(DC_Cost!N33)/CTL_GW</f>
        <v>58.8235752</v>
      </c>
      <c r="O11" s="38" t="n">
        <f aca="false">(DC_Cost!O33)/CTL_GW</f>
        <v>46.057578</v>
      </c>
      <c r="P11" s="186" t="n">
        <f aca="false">(DC_Cost!P33)/CTL_GW</f>
        <v>62.75578</v>
      </c>
      <c r="Q11" s="38" t="n">
        <f aca="false">(DC_Cost!Q33)/CTL_GW</f>
        <v>81.667558</v>
      </c>
      <c r="R11" s="184" t="str">
        <f aca="false">IF(SUM(Gov_Map!$AG$5:$AG$7,Gov_Map!$AG$17:$AG$40,Gov_Map!$AG$69:$AG$103)&gt;0,"C",IF(SUM(Gov_Map!$AH$5:$AH$7,Gov_Map!$AH$17:$AH$40,Gov_Map!$AH$69:$AH$103)&gt;0,"B","A"))</f>
        <v>B</v>
      </c>
      <c r="S11" s="44" t="str">
        <f aca="false">IF(R11="—","—",IF(R11="A","基準輸入",IF(R11="B","情境、相對比較、反轉門檻","探索")))</f>
        <v>情境、相對比較、反轉門檻</v>
      </c>
      <c r="T11" s="30" t="s">
        <v>751</v>
      </c>
      <c r="U11" s="44" t="str">
        <f aca="false">IF(V11=0,"—",LEFT(TEXT(V11,"0"),4)&amp;"-"&amp;MID(TEXT(V11,"0"),5,2)&amp;"-"&amp;RIGHT(TEXT(V11,"0"),2))</f>
        <v>2026-10-08</v>
      </c>
      <c r="V11" s="33" t="n">
        <f aca="false">MAX(Gov_Map!$AJ$5:$AJ$7,Gov_Map!$AJ$17:$AJ$40,Gov_Map!$AJ$69:$AJ$103)</f>
        <v>20261008</v>
      </c>
      <c r="W11" s="21" t="s">
        <v>2783</v>
      </c>
      <c r="X11" s="32" t="n">
        <f aca="false">IF(ISNUMBER(FIND("上限",S11)),1,0)</f>
        <v>0</v>
      </c>
      <c r="Y11" s="32" t="n">
        <v>0</v>
      </c>
    </row>
    <row r="12" customFormat="false" ht="15" hidden="false" customHeight="true" outlineLevel="0" collapsed="false">
      <c r="A12" s="22" t="s">
        <v>2784</v>
      </c>
      <c r="B12" s="17" t="s">
        <v>2785</v>
      </c>
      <c r="C12" s="187" t="n">
        <f aca="false">(DC_Cost!C49)/CTL_GW</f>
        <v>5.19000377241587</v>
      </c>
      <c r="D12" s="188" t="n">
        <f aca="false">(DC_Cost!D49)/CTL_GW</f>
        <v>7.10411981353067</v>
      </c>
      <c r="E12" s="187" t="n">
        <f aca="false">(DC_Cost!E49)/CTL_GW</f>
        <v>12.2070705365445</v>
      </c>
      <c r="F12" s="187" t="n">
        <f aca="false">(DC_Cost!F49)/CTL_GW</f>
        <v>5.04951503784896</v>
      </c>
      <c r="G12" s="188" t="n">
        <f aca="false">(DC_Cost!G49)/CTL_GW</f>
        <v>6.44917840537967</v>
      </c>
      <c r="H12" s="187" t="n">
        <f aca="false">(DC_Cost!H49)/CTL_GW</f>
        <v>10.4195985807088</v>
      </c>
      <c r="I12" s="187" t="n">
        <f aca="false">(DC_Cost!I49)/CTL_GW</f>
        <v>6.47360284700915</v>
      </c>
      <c r="J12" s="188" t="n">
        <f aca="false">(DC_Cost!J49)/CTL_GW</f>
        <v>7.98992214647791</v>
      </c>
      <c r="K12" s="187" t="n">
        <f aca="false">(DC_Cost!K49)/CTL_GW</f>
        <v>13.6330236684808</v>
      </c>
      <c r="L12" s="187" t="n">
        <f aca="false">(DC_Cost!L49)/CTL_GW</f>
        <v>7.32251312176997</v>
      </c>
      <c r="M12" s="188" t="n">
        <f aca="false">(DC_Cost!M49)/CTL_GW</f>
        <v>8.9923042149807</v>
      </c>
      <c r="N12" s="187" t="n">
        <f aca="false">(DC_Cost!N49)/CTL_GW</f>
        <v>14.5598263108425</v>
      </c>
      <c r="O12" s="187" t="n">
        <f aca="false">(DC_Cost!O49)/CTL_GW</f>
        <v>7.78527570436843</v>
      </c>
      <c r="P12" s="188" t="n">
        <f aca="false">(DC_Cost!P49)/CTL_GW</f>
        <v>11.3345929943372</v>
      </c>
      <c r="Q12" s="187" t="n">
        <f aca="false">(DC_Cost!Q49)/CTL_GW</f>
        <v>20.8704255692031</v>
      </c>
      <c r="R12" s="184" t="str">
        <f aca="false">IF(SUM(Gov_Map!$AG$5:$AG$103,Gov_Map!$AG$605:$AG$611)&gt;0,"C",IF(SUM(Gov_Map!$AH$5:$AH$103,Gov_Map!$AH$605:$AH$611)&gt;0,"B","A"))</f>
        <v>B</v>
      </c>
      <c r="S12" s="44" t="str">
        <f aca="false">IF(R12="—","—",IF(R12="A","基準輸入",IF(R12="B","情境、相對比較、反轉門檻","探索")))</f>
        <v>情境、相對比較、反轉門檻</v>
      </c>
      <c r="T12" s="30" t="s">
        <v>751</v>
      </c>
      <c r="U12" s="44" t="str">
        <f aca="false">IF(V12=0,"—",LEFT(TEXT(V12,"0"),4)&amp;"-"&amp;MID(TEXT(V12,"0"),5,2)&amp;"-"&amp;RIGHT(TEXT(V12,"0"),2))</f>
        <v>2026-10-08</v>
      </c>
      <c r="V12" s="33" t="n">
        <f aca="false">MAX(Gov_Map!$AJ$5:$AJ$103,Gov_Map!$AJ$605:$AJ$611)</f>
        <v>20261008</v>
      </c>
      <c r="W12" s="21" t="s">
        <v>2786</v>
      </c>
      <c r="X12" s="32" t="n">
        <f aca="false">IF(ISNUMBER(FIND("上限",S12)),1,0)</f>
        <v>0</v>
      </c>
      <c r="Y12" s="32" t="n">
        <v>0</v>
      </c>
    </row>
    <row r="13" customFormat="false" ht="15" hidden="false" customHeight="true" outlineLevel="0" collapsed="false">
      <c r="A13" s="22" t="s">
        <v>2787</v>
      </c>
      <c r="B13" s="17" t="s">
        <v>2785</v>
      </c>
      <c r="C13" s="187" t="n">
        <f aca="false">(DC_Cost!C55)/CTL_GW</f>
        <v>6.79107465326444</v>
      </c>
      <c r="D13" s="188" t="n">
        <f aca="false">(DC_Cost!D55)/CTL_GW</f>
        <v>9.70308728611469</v>
      </c>
      <c r="E13" s="187" t="n">
        <f aca="false">(DC_Cost!E55)/CTL_GW</f>
        <v>16.6637697337026</v>
      </c>
      <c r="F13" s="187" t="n">
        <f aca="false">(DC_Cost!F55)/CTL_GW</f>
        <v>6.6118162762144</v>
      </c>
      <c r="G13" s="188" t="n">
        <f aca="false">(DC_Cost!G55)/CTL_GW</f>
        <v>8.82816556596761</v>
      </c>
      <c r="H13" s="187" t="n">
        <f aca="false">(DC_Cost!H55)/CTL_GW</f>
        <v>14.3185748619737</v>
      </c>
      <c r="I13" s="187" t="n">
        <f aca="false">(DC_Cost!I55)/CTL_GW</f>
        <v>8.42889912085495</v>
      </c>
      <c r="J13" s="188" t="n">
        <f aca="false">(DC_Cost!J55)/CTL_GW</f>
        <v>10.8864110021101</v>
      </c>
      <c r="K13" s="187" t="n">
        <f aca="false">(DC_Cost!K55)/CTL_GW</f>
        <v>18.5346455040469</v>
      </c>
      <c r="L13" s="187" t="n">
        <f aca="false">(DC_Cost!L55)/CTL_GW</f>
        <v>9.51207691858967</v>
      </c>
      <c r="M13" s="188" t="n">
        <f aca="false">(DC_Cost!M55)/CTL_GW</f>
        <v>12.2254710045841</v>
      </c>
      <c r="N13" s="187" t="n">
        <f aca="false">(DC_Cost!N55)/CTL_GW</f>
        <v>19.7506269894487</v>
      </c>
      <c r="O13" s="187" t="n">
        <f aca="false">(DC_Cost!O55)/CTL_GW</f>
        <v>10.1025446864987</v>
      </c>
      <c r="P13" s="188" t="n">
        <f aca="false">(DC_Cost!P55)/CTL_GW</f>
        <v>15.3544827030524</v>
      </c>
      <c r="Q13" s="187" t="n">
        <f aca="false">(DC_Cost!Q55)/CTL_GW</f>
        <v>28.0302450108258</v>
      </c>
      <c r="R13" s="184" t="str">
        <f aca="false">IF(SUM(Gov_Map!$AG$5:$AG$103,Gov_Map!$AG$605:$AG$611)&gt;0,"C",IF(SUM(Gov_Map!$AH$5:$AH$103,Gov_Map!$AH$605:$AH$611)&gt;0,"B","A"))</f>
        <v>B</v>
      </c>
      <c r="S13" s="44" t="str">
        <f aca="false">IF(R13="—","—",IF(R13="A","基準輸入",IF(R13="B","情境、相對比較、反轉門檻","探索")))</f>
        <v>情境、相對比較、反轉門檻</v>
      </c>
      <c r="T13" s="30" t="s">
        <v>751</v>
      </c>
      <c r="U13" s="44" t="str">
        <f aca="false">IF(V13=0,"—",LEFT(TEXT(V13,"0"),4)&amp;"-"&amp;MID(TEXT(V13,"0"),5,2)&amp;"-"&amp;RIGHT(TEXT(V13,"0"),2))</f>
        <v>2026-10-08</v>
      </c>
      <c r="V13" s="33" t="n">
        <f aca="false">MAX(Gov_Map!$AJ$5:$AJ$103,Gov_Map!$AJ$605:$AJ$611)</f>
        <v>20261008</v>
      </c>
      <c r="W13" s="21" t="s">
        <v>2786</v>
      </c>
      <c r="X13" s="32" t="n">
        <f aca="false">IF(ISNUMBER(FIND("上限",S13)),1,0)</f>
        <v>0</v>
      </c>
      <c r="Y13" s="32" t="n">
        <v>0</v>
      </c>
    </row>
    <row r="14" customFormat="false" ht="15" hidden="false" customHeight="true" outlineLevel="0" collapsed="false">
      <c r="A14" s="22" t="s">
        <v>1056</v>
      </c>
      <c r="B14" s="17" t="s">
        <v>985</v>
      </c>
      <c r="C14" s="187" t="n">
        <f aca="false">DC_Cost!C58</f>
        <v>1.07964486018265</v>
      </c>
      <c r="D14" s="188" t="n">
        <f aca="false">DC_Cost!D58</f>
        <v>1.54259654785589</v>
      </c>
      <c r="E14" s="187" t="n">
        <f aca="false">DC_Cost!E58</f>
        <v>2.64920565047995</v>
      </c>
      <c r="F14" s="187" t="n">
        <f aca="false">DC_Cost!F58</f>
        <v>1.50422814430785</v>
      </c>
      <c r="G14" s="188" t="n">
        <f aca="false">DC_Cost!G58</f>
        <v>2.00846099652078</v>
      </c>
      <c r="H14" s="187" t="n">
        <f aca="false">DC_Cost!H58</f>
        <v>3.25756227849869</v>
      </c>
      <c r="I14" s="187" t="n">
        <f aca="false">DC_Cost!I58</f>
        <v>1.97574392204647</v>
      </c>
      <c r="J14" s="188" t="n">
        <f aca="false">DC_Cost!J58</f>
        <v>2.55178761329595</v>
      </c>
      <c r="K14" s="187" t="n">
        <f aca="false">DC_Cost!K58</f>
        <v>4.34454282544458</v>
      </c>
      <c r="L14" s="187" t="n">
        <f aca="false">DC_Cost!L58</f>
        <v>3.72193954123947</v>
      </c>
      <c r="M14" s="188" t="n">
        <f aca="false">DC_Cost!M58</f>
        <v>4.78365180724219</v>
      </c>
      <c r="N14" s="187" t="n">
        <f aca="false">DC_Cost!N58</f>
        <v>7.72813762813851</v>
      </c>
      <c r="O14" s="187" t="n">
        <f aca="false">DC_Cost!O58</f>
        <v>5.92143420546319</v>
      </c>
      <c r="P14" s="188" t="n">
        <f aca="false">DC_Cost!P58</f>
        <v>8.99976806898525</v>
      </c>
      <c r="Q14" s="187" t="n">
        <f aca="false">DC_Cost!Q58</f>
        <v>16.4294498807254</v>
      </c>
      <c r="R14" s="184" t="str">
        <f aca="false">IF(SUM(Gov_Map!$AG$5:$AG$103,Gov_Map!$AG$605:$AG$611)&gt;0,"C",IF(SUM(Gov_Map!$AH$5:$AH$103,Gov_Map!$AH$605:$AH$611)&gt;0,"B","A"))</f>
        <v>B</v>
      </c>
      <c r="S14" s="44" t="str">
        <f aca="false">IF(R14="—","—",IF(R14="A","基準輸入",IF(R14="B","情境、相對比較、反轉門檻","探索")))</f>
        <v>情境、相對比較、反轉門檻</v>
      </c>
      <c r="T14" s="30" t="s">
        <v>751</v>
      </c>
      <c r="U14" s="44" t="str">
        <f aca="false">IF(V14=0,"—",LEFT(TEXT(V14,"0"),4)&amp;"-"&amp;MID(TEXT(V14,"0"),5,2)&amp;"-"&amp;RIGHT(TEXT(V14,"0"),2))</f>
        <v>2026-10-08</v>
      </c>
      <c r="V14" s="33" t="n">
        <f aca="false">MAX(Gov_Map!$AJ$5:$AJ$103,Gov_Map!$AJ$605:$AJ$611)</f>
        <v>20261008</v>
      </c>
      <c r="W14" s="21" t="s">
        <v>2786</v>
      </c>
      <c r="X14" s="32" t="n">
        <f aca="false">IF(ISNUMBER(FIND("上限",S14)),1,0)</f>
        <v>0</v>
      </c>
      <c r="Y14" s="32" t="n">
        <v>0</v>
      </c>
    </row>
    <row r="15" customFormat="false" ht="15" hidden="false" customHeight="true" outlineLevel="0" collapsed="false">
      <c r="A15" s="22" t="s">
        <v>2788</v>
      </c>
      <c r="B15" s="17" t="s">
        <v>2785</v>
      </c>
      <c r="C15" s="187" t="n">
        <f aca="false">(DC_Cost!C43)/CTL_GW</f>
        <v>0.404712</v>
      </c>
      <c r="D15" s="188" t="n">
        <f aca="false">(DC_Cost!D43)/CTL_GW</f>
        <v>0.672768</v>
      </c>
      <c r="E15" s="187" t="n">
        <f aca="false">(DC_Cost!E43)/CTL_GW</f>
        <v>1.02492</v>
      </c>
      <c r="F15" s="187" t="n">
        <f aca="false">(DC_Cost!F43)/CTL_GW</f>
        <v>0.404712</v>
      </c>
      <c r="G15" s="188" t="n">
        <f aca="false">(DC_Cost!G43)/CTL_GW</f>
        <v>0.672768</v>
      </c>
      <c r="H15" s="187" t="n">
        <f aca="false">(DC_Cost!H43)/CTL_GW</f>
        <v>1.02492</v>
      </c>
      <c r="I15" s="187" t="n">
        <f aca="false">(DC_Cost!I43)/CTL_GW</f>
        <v>0.404712</v>
      </c>
      <c r="J15" s="188" t="n">
        <f aca="false">(DC_Cost!J43)/CTL_GW</f>
        <v>0.672768</v>
      </c>
      <c r="K15" s="187" t="n">
        <f aca="false">(DC_Cost!K43)/CTL_GW</f>
        <v>1.02492</v>
      </c>
      <c r="L15" s="187" t="n">
        <f aca="false">(DC_Cost!L43)/CTL_GW</f>
        <v>0.404712</v>
      </c>
      <c r="M15" s="188" t="n">
        <f aca="false">(DC_Cost!M43)/CTL_GW</f>
        <v>0.672768</v>
      </c>
      <c r="N15" s="187" t="n">
        <f aca="false">(DC_Cost!N43)/CTL_GW</f>
        <v>1.02492</v>
      </c>
      <c r="O15" s="187" t="n">
        <f aca="false">(DC_Cost!O43)/CTL_GW</f>
        <v>0.404712</v>
      </c>
      <c r="P15" s="188" t="n">
        <f aca="false">(DC_Cost!P43)/CTL_GW</f>
        <v>0.672768</v>
      </c>
      <c r="Q15" s="187" t="n">
        <f aca="false">(DC_Cost!Q43)/CTL_GW</f>
        <v>1.02492</v>
      </c>
      <c r="R15" s="184" t="str">
        <f aca="false">IF(SUM(Gov_Map!$AG$5,Gov_Map!$AG$8:$AG$16)&gt;0,"C",IF(SUM(Gov_Map!$AH$5,Gov_Map!$AH$8:$AH$16)&gt;0,"B","A"))</f>
        <v>A</v>
      </c>
      <c r="S15" s="44" t="str">
        <f aca="false">IF(R15="—","—",IF(R15="A","基準輸入",IF(R15="B","情境、相對比較、反轉門檻","探索")))</f>
        <v>基準輸入</v>
      </c>
      <c r="T15" s="30" t="s">
        <v>751</v>
      </c>
      <c r="U15" s="44" t="str">
        <f aca="false">IF(V15=0,"—",LEFT(TEXT(V15,"0"),4)&amp;"-"&amp;MID(TEXT(V15,"0"),5,2)&amp;"-"&amp;RIGHT(TEXT(V15,"0"),2))</f>
        <v>—</v>
      </c>
      <c r="V15" s="33" t="n">
        <f aca="false">MAX(Gov_Map!$AJ$5,Gov_Map!$AJ$8:$AJ$16)</f>
        <v>0</v>
      </c>
      <c r="W15" s="21" t="s">
        <v>2789</v>
      </c>
      <c r="X15" s="32" t="n">
        <f aca="false">IF(ISNUMBER(FIND("上限",S15)),1,0)</f>
        <v>0</v>
      </c>
      <c r="Y15" s="32" t="n">
        <v>0</v>
      </c>
    </row>
    <row r="17" customFormat="false" ht="15" hidden="false" customHeight="true" outlineLevel="0" collapsed="false">
      <c r="A17" s="189" t="s">
        <v>2790</v>
      </c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</row>
    <row r="18" customFormat="false" ht="15" hidden="false" customHeight="true" outlineLevel="0" collapsed="false">
      <c r="A18" s="7" t="s">
        <v>278</v>
      </c>
      <c r="C18" s="11"/>
    </row>
    <row r="19" customFormat="false" ht="15" hidden="false" customHeight="true" outlineLevel="0" collapsed="false">
      <c r="A19" s="190" t="s">
        <v>2791</v>
      </c>
      <c r="B19" s="30" t="s">
        <v>389</v>
      </c>
      <c r="C19" s="29" t="n">
        <f aca="false">INDEX(Perf!$C$95:$Q$95,3*(Unit_Cost!C$6-1)+1)</f>
        <v>158595.933922677</v>
      </c>
      <c r="D19" s="49" t="n">
        <f aca="false">INDEX(Perf!$C$95:$Q$95,3*(Unit_Cost!D$6-1)+1)</f>
        <v>158595.933922677</v>
      </c>
      <c r="E19" s="49" t="n">
        <f aca="false">INDEX(Perf!$C$95:$Q$95,3*(Unit_Cost!E$6-1)+1)</f>
        <v>158595.933922677</v>
      </c>
      <c r="F19" s="49" t="n">
        <f aca="false">INDEX(Perf!$C$95:$Q$95,3*(Unit_Cost!F$6-1)+1)</f>
        <v>2260177.59312208</v>
      </c>
      <c r="G19" s="49" t="n">
        <f aca="false">INDEX(Perf!$C$95:$Q$95,3*(Unit_Cost!G$6-1)+1)</f>
        <v>2260177.59312208</v>
      </c>
      <c r="H19" s="49" t="n">
        <f aca="false">INDEX(Perf!$C$95:$Q$95,3*(Unit_Cost!H$6-1)+1)</f>
        <v>2260177.59312208</v>
      </c>
      <c r="I19" s="49" t="n">
        <f aca="false">INDEX(Perf!$C$95:$Q$95,3*(Unit_Cost!I$6-1)+1)</f>
        <v>3390266.38968311</v>
      </c>
      <c r="J19" s="49" t="n">
        <f aca="false">INDEX(Perf!$C$95:$Q$95,3*(Unit_Cost!J$6-1)+1)</f>
        <v>3390266.38968311</v>
      </c>
      <c r="K19" s="49" t="n">
        <f aca="false">INDEX(Perf!$C$95:$Q$95,3*(Unit_Cost!K$6-1)+1)</f>
        <v>3390266.38968311</v>
      </c>
      <c r="L19" s="49" t="n">
        <f aca="false">INDEX(Perf!$C$95:$Q$95,3*(Unit_Cost!L$6-1)+1)</f>
        <v>8164314.39538053</v>
      </c>
      <c r="M19" s="49" t="n">
        <f aca="false">INDEX(Perf!$C$95:$Q$95,3*(Unit_Cost!M$6-1)+1)</f>
        <v>8164314.39538053</v>
      </c>
      <c r="N19" s="49" t="n">
        <f aca="false">INDEX(Perf!$C$95:$Q$95,3*(Unit_Cost!N$6-1)+1)</f>
        <v>8164314.39538053</v>
      </c>
      <c r="O19" s="49" t="n">
        <f aca="false">INDEX(Perf!$C$95:$Q$95,3*(Unit_Cost!O$6-1)+1)</f>
        <v>16465505.637269</v>
      </c>
      <c r="P19" s="49" t="n">
        <f aca="false">INDEX(Perf!$C$95:$Q$95,3*(Unit_Cost!P$6-1)+1)</f>
        <v>16465505.637269</v>
      </c>
      <c r="Q19" s="49" t="n">
        <f aca="false">INDEX(Perf!$C$95:$Q$95,3*(Unit_Cost!Q$6-1)+1)</f>
        <v>16465505.637269</v>
      </c>
      <c r="R19" s="184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19" s="44" t="str">
        <f aca="false">IF(R19="—","—",IF(R19="A","基準輸入",IF(R19="B","情境、相對比較、反轉門檻","探索")))&amp;"；上限，不得作預測"</f>
        <v>情境、相對比較、反轉門檻；上限，不得作預測</v>
      </c>
      <c r="T19" s="30" t="s">
        <v>2792</v>
      </c>
      <c r="U19" s="44" t="str">
        <f aca="false">IF(V19=0,"—",LEFT(TEXT(V19,"0"),4)&amp;"-"&amp;MID(TEXT(V19,"0"),5,2)&amp;"-"&amp;RIGHT(TEXT(V19,"0"),2))</f>
        <v>2026-10-05</v>
      </c>
      <c r="V1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19" s="21" t="s">
        <v>2793</v>
      </c>
      <c r="X19" s="32" t="n">
        <f aca="false">IF(ISNUMBER(FIND("上限",S19)),1,0)</f>
        <v>1</v>
      </c>
      <c r="Y19" s="32" t="n">
        <v>1</v>
      </c>
    </row>
    <row r="20" customFormat="false" ht="15" hidden="false" customHeight="true" outlineLevel="0" collapsed="false">
      <c r="A20" s="190" t="s">
        <v>2794</v>
      </c>
      <c r="B20" s="30" t="s">
        <v>389</v>
      </c>
      <c r="C20" s="29" t="n">
        <f aca="false">INDEX(Perf!$C$96:$Q$96,3*(Unit_Cost!C$6-1)+1)</f>
        <v>17621.770435853</v>
      </c>
      <c r="D20" s="49" t="n">
        <f aca="false">INDEX(Perf!$C$96:$Q$96,3*(Unit_Cost!D$6-1)+1)</f>
        <v>17621.770435853</v>
      </c>
      <c r="E20" s="49" t="n">
        <f aca="false">INDEX(Perf!$C$96:$Q$96,3*(Unit_Cost!E$6-1)+1)</f>
        <v>17621.770435853</v>
      </c>
      <c r="F20" s="49" t="n">
        <f aca="false">INDEX(Perf!$C$96:$Q$96,3*(Unit_Cost!F$6-1)+1)</f>
        <v>251130.843680231</v>
      </c>
      <c r="G20" s="49" t="n">
        <f aca="false">INDEX(Perf!$C$96:$Q$96,3*(Unit_Cost!G$6-1)+1)</f>
        <v>251130.843680231</v>
      </c>
      <c r="H20" s="49" t="n">
        <f aca="false">INDEX(Perf!$C$96:$Q$96,3*(Unit_Cost!H$6-1)+1)</f>
        <v>251130.843680231</v>
      </c>
      <c r="I20" s="49" t="n">
        <f aca="false">INDEX(Perf!$C$96:$Q$96,3*(Unit_Cost!I$6-1)+1)</f>
        <v>376696.265520346</v>
      </c>
      <c r="J20" s="49" t="n">
        <f aca="false">INDEX(Perf!$C$96:$Q$96,3*(Unit_Cost!J$6-1)+1)</f>
        <v>376696.265520346</v>
      </c>
      <c r="K20" s="49" t="n">
        <f aca="false">INDEX(Perf!$C$96:$Q$96,3*(Unit_Cost!K$6-1)+1)</f>
        <v>376696.265520346</v>
      </c>
      <c r="L20" s="49" t="n">
        <f aca="false">INDEX(Perf!$C$96:$Q$96,3*(Unit_Cost!L$6-1)+1)</f>
        <v>907146.04393117</v>
      </c>
      <c r="M20" s="49" t="n">
        <f aca="false">INDEX(Perf!$C$96:$Q$96,3*(Unit_Cost!M$6-1)+1)</f>
        <v>907146.04393117</v>
      </c>
      <c r="N20" s="49" t="n">
        <f aca="false">INDEX(Perf!$C$96:$Q$96,3*(Unit_Cost!N$6-1)+1)</f>
        <v>907146.04393117</v>
      </c>
      <c r="O20" s="49" t="n">
        <f aca="false">INDEX(Perf!$C$96:$Q$96,3*(Unit_Cost!O$6-1)+1)</f>
        <v>1829500.62636322</v>
      </c>
      <c r="P20" s="49" t="n">
        <f aca="false">INDEX(Perf!$C$96:$Q$96,3*(Unit_Cost!P$6-1)+1)</f>
        <v>1829500.62636322</v>
      </c>
      <c r="Q20" s="49" t="n">
        <f aca="false">INDEX(Perf!$C$96:$Q$96,3*(Unit_Cost!Q$6-1)+1)</f>
        <v>1829500.62636322</v>
      </c>
      <c r="R20" s="184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0" s="44" t="str">
        <f aca="false">IF(R20="—","—",IF(R20="A","基準輸入",IF(R20="B","情境、相對比較、反轉門檻","探索")))&amp;"；上限，不得作預測"</f>
        <v>情境、相對比較、反轉門檻；上限，不得作預測</v>
      </c>
      <c r="T20" s="30" t="s">
        <v>2792</v>
      </c>
      <c r="U20" s="44" t="str">
        <f aca="false">IF(V20=0,"—",LEFT(TEXT(V20,"0"),4)&amp;"-"&amp;MID(TEXT(V20,"0"),5,2)&amp;"-"&amp;RIGHT(TEXT(V20,"0"),2))</f>
        <v>2026-10-05</v>
      </c>
      <c r="V2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0" s="21" t="s">
        <v>2793</v>
      </c>
      <c r="X20" s="32" t="n">
        <f aca="false">IF(ISNUMBER(FIND("上限",S20)),1,0)</f>
        <v>1</v>
      </c>
      <c r="Y20" s="32" t="n">
        <v>1</v>
      </c>
    </row>
    <row r="21" customFormat="false" ht="15" hidden="false" customHeight="true" outlineLevel="0" collapsed="false">
      <c r="A21" s="190" t="s">
        <v>2733</v>
      </c>
      <c r="B21" s="30" t="s">
        <v>931</v>
      </c>
      <c r="C21" s="183" t="n">
        <f aca="false">INDEX(Perf!$C$98:$Q$98,3*(Unit_Cost!C$6-1)+1)</f>
        <v>112228240510.472</v>
      </c>
      <c r="D21" s="191" t="n">
        <f aca="false">INDEX(Perf!$C$98:$Q$98,3*(Unit_Cost!D$6-1)+1)</f>
        <v>112228240510.472</v>
      </c>
      <c r="E21" s="191" t="n">
        <f aca="false">INDEX(Perf!$C$98:$Q$98,3*(Unit_Cost!E$6-1)+1)</f>
        <v>112228240510.472</v>
      </c>
      <c r="F21" s="191" t="n">
        <f aca="false">INDEX(Perf!$C$98:$Q$98,3*(Unit_Cost!F$6-1)+1)</f>
        <v>496729138259.007</v>
      </c>
      <c r="G21" s="191" t="n">
        <f aca="false">INDEX(Perf!$C$98:$Q$98,3*(Unit_Cost!G$6-1)+1)</f>
        <v>496729138259.007</v>
      </c>
      <c r="H21" s="191" t="n">
        <f aca="false">INDEX(Perf!$C$98:$Q$98,3*(Unit_Cost!H$6-1)+1)</f>
        <v>496729138259.007</v>
      </c>
      <c r="I21" s="191" t="n">
        <f aca="false">INDEX(Perf!$C$98:$Q$98,3*(Unit_Cost!I$6-1)+1)</f>
        <v>723176042011.176</v>
      </c>
      <c r="J21" s="191" t="n">
        <f aca="false">INDEX(Perf!$C$98:$Q$98,3*(Unit_Cost!J$6-1)+1)</f>
        <v>723176042011.176</v>
      </c>
      <c r="K21" s="191" t="n">
        <f aca="false">INDEX(Perf!$C$98:$Q$98,3*(Unit_Cost!K$6-1)+1)</f>
        <v>723176042011.176</v>
      </c>
      <c r="L21" s="191" t="n">
        <f aca="false">INDEX(Perf!$C$98:$Q$98,3*(Unit_Cost!L$6-1)+1)</f>
        <v>1043267705667.06</v>
      </c>
      <c r="M21" s="191" t="n">
        <f aca="false">INDEX(Perf!$C$98:$Q$98,3*(Unit_Cost!M$6-1)+1)</f>
        <v>1043267705667.06</v>
      </c>
      <c r="N21" s="191" t="n">
        <f aca="false">INDEX(Perf!$C$98:$Q$98,3*(Unit_Cost!N$6-1)+1)</f>
        <v>1043267705667.06</v>
      </c>
      <c r="O21" s="191" t="n">
        <f aca="false">INDEX(Perf!$C$98:$Q$98,3*(Unit_Cost!O$6-1)+1)</f>
        <v>1404587982526.55</v>
      </c>
      <c r="P21" s="191" t="n">
        <f aca="false">INDEX(Perf!$C$98:$Q$98,3*(Unit_Cost!P$6-1)+1)</f>
        <v>1404587982526.55</v>
      </c>
      <c r="Q21" s="191" t="n">
        <f aca="false">INDEX(Perf!$C$98:$Q$98,3*(Unit_Cost!Q$6-1)+1)</f>
        <v>1404587982526.55</v>
      </c>
      <c r="R21" s="184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1" s="44" t="str">
        <f aca="false">IF(R21="—","—",IF(R21="A","基準輸入",IF(R21="B","情境、相對比較、反轉門檻","探索")))&amp;"；上限，不得作預測"</f>
        <v>情境、相對比較、反轉門檻；上限，不得作預測</v>
      </c>
      <c r="T21" s="30" t="s">
        <v>2792</v>
      </c>
      <c r="U21" s="44" t="str">
        <f aca="false">IF(V21=0,"—",LEFT(TEXT(V21,"0"),4)&amp;"-"&amp;MID(TEXT(V21,"0"),5,2)&amp;"-"&amp;RIGHT(TEXT(V21,"0"),2))</f>
        <v>2026-10-05</v>
      </c>
      <c r="V2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1" s="21" t="s">
        <v>2795</v>
      </c>
      <c r="X21" s="32" t="n">
        <f aca="false">IF(ISNUMBER(FIND("上限",S21)),1,0)</f>
        <v>1</v>
      </c>
      <c r="Y21" s="32" t="n">
        <v>1</v>
      </c>
    </row>
    <row r="22" customFormat="false" ht="15" hidden="false" customHeight="true" outlineLevel="0" collapsed="false">
      <c r="A22" s="16" t="s">
        <v>2796</v>
      </c>
      <c r="B22" s="30" t="s">
        <v>118</v>
      </c>
      <c r="C22" s="130" t="n">
        <f aca="false">INDEX(Perf!$C$120:$Q$120,3*(Unit_Cost!C$6-1)+1)</f>
        <v>0.10757377028048</v>
      </c>
      <c r="D22" s="192" t="n">
        <f aca="false">INDEX(Perf!$C$120:$Q$120,3*(Unit_Cost!D$6-1)+1)</f>
        <v>0.10757377028048</v>
      </c>
      <c r="E22" s="192" t="n">
        <f aca="false">INDEX(Perf!$C$120:$Q$120,3*(Unit_Cost!E$6-1)+1)</f>
        <v>0.10757377028048</v>
      </c>
      <c r="F22" s="192" t="n">
        <f aca="false">INDEX(Perf!$C$120:$Q$120,3*(Unit_Cost!F$6-1)+1)</f>
        <v>0.476128164957813</v>
      </c>
      <c r="G22" s="192" t="n">
        <f aca="false">INDEX(Perf!$C$120:$Q$120,3*(Unit_Cost!G$6-1)+1)</f>
        <v>0.476128164957813</v>
      </c>
      <c r="H22" s="192" t="n">
        <f aca="false">INDEX(Perf!$C$120:$Q$120,3*(Unit_Cost!H$6-1)+1)</f>
        <v>0.476128164957813</v>
      </c>
      <c r="I22" s="192" t="n">
        <f aca="false">INDEX(Perf!$C$120:$Q$120,3*(Unit_Cost!I$6-1)+1)</f>
        <v>0.693183578944178</v>
      </c>
      <c r="J22" s="192" t="n">
        <f aca="false">INDEX(Perf!$C$120:$Q$120,3*(Unit_Cost!J$6-1)+1)</f>
        <v>0.693183578944178</v>
      </c>
      <c r="K22" s="192" t="n">
        <f aca="false">INDEX(Perf!$C$120:$Q$120,3*(Unit_Cost!K$6-1)+1)</f>
        <v>0.693183578944178</v>
      </c>
      <c r="L22" s="192" t="n">
        <f aca="false">INDEX(Perf!$C$120:$Q$120,3*(Unit_Cost!L$6-1)+1)</f>
        <v>1</v>
      </c>
      <c r="M22" s="192" t="n">
        <f aca="false">INDEX(Perf!$C$120:$Q$120,3*(Unit_Cost!M$6-1)+1)</f>
        <v>1</v>
      </c>
      <c r="N22" s="192" t="n">
        <f aca="false">INDEX(Perf!$C$120:$Q$120,3*(Unit_Cost!N$6-1)+1)</f>
        <v>1</v>
      </c>
      <c r="O22" s="192" t="n">
        <f aca="false">INDEX(Perf!$C$120:$Q$120,3*(Unit_Cost!O$6-1)+1)</f>
        <v>1.34633514954674</v>
      </c>
      <c r="P22" s="192" t="n">
        <f aca="false">INDEX(Perf!$C$120:$Q$120,3*(Unit_Cost!P$6-1)+1)</f>
        <v>1.34633514954674</v>
      </c>
      <c r="Q22" s="192" t="n">
        <f aca="false">INDEX(Perf!$C$120:$Q$120,3*(Unit_Cost!Q$6-1)+1)</f>
        <v>1.34633514954674</v>
      </c>
      <c r="R22" s="184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2" s="44" t="str">
        <f aca="false">IF(R22="—","—",IF(R22="A","基準輸入",IF(R22="B","情境、相對比較、反轉門檻","探索")))&amp;"；上限，不得作預測"</f>
        <v>情境、相對比較、反轉門檻；上限，不得作預測</v>
      </c>
      <c r="T22" s="30" t="s">
        <v>2792</v>
      </c>
      <c r="U22" s="44" t="str">
        <f aca="false">IF(V22=0,"—",LEFT(TEXT(V22,"0"),4)&amp;"-"&amp;MID(TEXT(V22,"0"),5,2)&amp;"-"&amp;RIGHT(TEXT(V22,"0"),2))</f>
        <v>2026-10-05</v>
      </c>
      <c r="V2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2" s="21" t="s">
        <v>2795</v>
      </c>
      <c r="X22" s="32" t="n">
        <f aca="false">IF(ISNUMBER(FIND("上限",S22)),1,0)</f>
        <v>1</v>
      </c>
      <c r="Y22" s="32" t="n">
        <v>1</v>
      </c>
    </row>
    <row r="23" customFormat="false" ht="15" hidden="false" customHeight="true" outlineLevel="0" collapsed="false">
      <c r="A23" s="44" t="s">
        <v>2734</v>
      </c>
      <c r="B23" s="30" t="s">
        <v>976</v>
      </c>
      <c r="C23" s="46" t="n">
        <f aca="false">Unit_Cost!C16</f>
        <v>0.0386726342545921</v>
      </c>
      <c r="D23" s="46" t="n">
        <f aca="false">Unit_Cost!D16</f>
        <v>0.0552554588066438</v>
      </c>
      <c r="E23" s="46" t="n">
        <f aca="false">Unit_Cost!E16</f>
        <v>0.0948939461156487</v>
      </c>
      <c r="F23" s="46" t="n">
        <f aca="false">Unit_Cost!F16</f>
        <v>0.00532884190613242</v>
      </c>
      <c r="G23" s="46" t="n">
        <f aca="false">Unit_Cost!G16</f>
        <v>0.00711512490016412</v>
      </c>
      <c r="H23" s="46" t="n">
        <f aca="false">Unit_Cost!H16</f>
        <v>0.0115401606113995</v>
      </c>
      <c r="I23" s="46" t="n">
        <f aca="false">Unit_Cost!I16</f>
        <v>0.00466614812716556</v>
      </c>
      <c r="J23" s="46" t="n">
        <f aca="false">Unit_Cost!J16</f>
        <v>0.00602660034017561</v>
      </c>
      <c r="K23" s="46" t="n">
        <f aca="false">Unit_Cost!K16</f>
        <v>0.0102605809093624</v>
      </c>
      <c r="L23" s="46" t="n">
        <f aca="false">Unit_Cost!L16</f>
        <v>0.00376721490486678</v>
      </c>
      <c r="M23" s="46" t="n">
        <f aca="false">Unit_Cost!M16</f>
        <v>0.00484184232125769</v>
      </c>
      <c r="N23" s="46" t="n">
        <f aca="false">Unit_Cost!N16</f>
        <v>0.00782214620549421</v>
      </c>
      <c r="O23" s="46" t="n">
        <f aca="false">Unit_Cost!O16</f>
        <v>0.00299673261075866</v>
      </c>
      <c r="P23" s="46" t="n">
        <f aca="false">Unit_Cost!P16</f>
        <v>0.0045546226683917</v>
      </c>
      <c r="Q23" s="46" t="n">
        <f aca="false">Unit_Cost!Q16</f>
        <v>0.00831465258686319</v>
      </c>
      <c r="R23" s="18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23" s="44" t="str">
        <f aca="false">IF(R23="—","—",IF(R23="A","基準輸入",IF(R23="B","情境、相對比較、反轉門檻","探索")))&amp;"；上限，不得作預測"</f>
        <v>情境、相對比較、反轉門檻；上限，不得作預測</v>
      </c>
      <c r="T23" s="30" t="s">
        <v>2792</v>
      </c>
      <c r="U23" s="44" t="str">
        <f aca="false">IF(V23=0,"—",LEFT(TEXT(V23,"0"),4)&amp;"-"&amp;MID(TEXT(V23,"0"),5,2)&amp;"-"&amp;RIGHT(TEXT(V23,"0"),2))</f>
        <v>2026-10-08</v>
      </c>
      <c r="V2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23" s="21" t="s">
        <v>2797</v>
      </c>
      <c r="X23" s="32" t="n">
        <f aca="false">IF(ISNUMBER(FIND("上限",S23)),1,0)</f>
        <v>1</v>
      </c>
      <c r="Y23" s="32" t="n">
        <v>1</v>
      </c>
    </row>
    <row r="24" customFormat="false" ht="15" hidden="false" customHeight="true" outlineLevel="0" collapsed="false">
      <c r="A24" s="44" t="s">
        <v>2798</v>
      </c>
      <c r="B24" s="30" t="s">
        <v>976</v>
      </c>
      <c r="C24" s="193" t="n">
        <f aca="false">Unit_Cost!C17</f>
        <v>8.3822427339181E-006</v>
      </c>
      <c r="D24" s="193" t="n">
        <f aca="false">Unit_Cost!D17</f>
        <v>1.19765481979367E-005</v>
      </c>
      <c r="E24" s="193" t="n">
        <f aca="false">Unit_Cost!E17</f>
        <v>2.05681383141429E-005</v>
      </c>
      <c r="F24" s="193" t="n">
        <f aca="false">Unit_Cost!F17</f>
        <v>1.16786601759456E-005</v>
      </c>
      <c r="G24" s="193" t="n">
        <f aca="false">Unit_Cost!G17</f>
        <v>1.55934680146544E-005</v>
      </c>
      <c r="H24" s="193" t="n">
        <f aca="false">Unit_Cost!H17</f>
        <v>2.52913515788996E-005</v>
      </c>
      <c r="I24" s="193" t="n">
        <f aca="false">Unit_Cost!I17</f>
        <v>1.53394562836664E-005</v>
      </c>
      <c r="J24" s="193" t="n">
        <f aca="false">Unit_Cost!J17</f>
        <v>1.98117954976727E-005</v>
      </c>
      <c r="K24" s="193" t="n">
        <f aca="false">Unit_Cost!K17</f>
        <v>3.37305477697711E-005</v>
      </c>
      <c r="L24" s="193" t="n">
        <f aca="false">Unit_Cost!L17</f>
        <v>2.88967250493453E-005</v>
      </c>
      <c r="M24" s="193" t="n">
        <f aca="false">Unit_Cost!M17</f>
        <v>3.71397411145609E-005</v>
      </c>
      <c r="N24" s="193" t="n">
        <f aca="false">Unit_Cost!N17</f>
        <v>6.00004018629087E-005</v>
      </c>
      <c r="O24" s="193" t="n">
        <f aca="false">Unit_Cost!O17</f>
        <v>4.59733572340822E-005</v>
      </c>
      <c r="P24" s="193" t="n">
        <f aca="false">Unit_Cost!P17</f>
        <v>6.98731993133716E-005</v>
      </c>
      <c r="Q24" s="193" t="n">
        <f aca="false">Unit_Cost!Q17</f>
        <v>0.000127556423379521</v>
      </c>
      <c r="R24" s="18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24" s="44" t="str">
        <f aca="false">IF(R24="—","—",IF(R24="A","基準輸入",IF(R24="B","情境、相對比較、反轉門檻","探索")))&amp;"；上限，不得作預測"</f>
        <v>情境、相對比較、反轉門檻；上限，不得作預測</v>
      </c>
      <c r="T24" s="30" t="s">
        <v>2792</v>
      </c>
      <c r="U24" s="44" t="str">
        <f aca="false">IF(V24=0,"—",LEFT(TEXT(V24,"0"),4)&amp;"-"&amp;MID(TEXT(V24,"0"),5,2)&amp;"-"&amp;RIGHT(TEXT(V24,"0"),2))</f>
        <v>2026-10-08</v>
      </c>
      <c r="V2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24" s="21" t="s">
        <v>2799</v>
      </c>
      <c r="X24" s="32" t="n">
        <f aca="false">IF(ISNUMBER(FIND("上限",S24)),1,0)</f>
        <v>1</v>
      </c>
      <c r="Y24" s="32" t="n">
        <v>1</v>
      </c>
    </row>
    <row r="25" customFormat="false" ht="15" hidden="false" customHeight="true" outlineLevel="0" collapsed="false">
      <c r="A25" s="30" t="s">
        <v>2735</v>
      </c>
      <c r="B25" s="30" t="s">
        <v>976</v>
      </c>
      <c r="C25" s="55" t="n">
        <f aca="false">Unit_Cost!C18</f>
        <v>0.405380050142216</v>
      </c>
      <c r="D25" s="55" t="n">
        <f aca="false">Unit_Cost!D18</f>
        <v>0.579207004989805</v>
      </c>
      <c r="E25" s="55" t="n">
        <f aca="false">Unit_Cost!E18</f>
        <v>0.99471146395947</v>
      </c>
      <c r="F25" s="55" t="n">
        <f aca="false">Unit_Cost!F18</f>
        <v>0.100612536821314</v>
      </c>
      <c r="G25" s="55" t="n">
        <f aca="false">Unit_Cost!G18</f>
        <v>0.134338901137635</v>
      </c>
      <c r="H25" s="55" t="n">
        <f aca="false">Unit_Cost!H18</f>
        <v>0.217886898296258</v>
      </c>
      <c r="I25" s="55" t="n">
        <f aca="false">Unit_Cost!I18</f>
        <v>0.0881003806320243</v>
      </c>
      <c r="J25" s="55" t="n">
        <f aca="false">Unit_Cost!J18</f>
        <v>0.11378674002985</v>
      </c>
      <c r="K25" s="55" t="n">
        <f aca="false">Unit_Cost!K18</f>
        <v>0.193727472635897</v>
      </c>
      <c r="L25" s="55" t="n">
        <f aca="false">Unit_Cost!L18</f>
        <v>0.0684962476429933</v>
      </c>
      <c r="M25" s="55" t="n">
        <f aca="false">Unit_Cost!M18</f>
        <v>0.0880353361993613</v>
      </c>
      <c r="N25" s="55" t="n">
        <f aca="false">Unit_Cost!N18</f>
        <v>0.142223811787074</v>
      </c>
      <c r="O25" s="55" t="n">
        <f aca="false">Unit_Cost!O18</f>
        <v>0.0539445549286936</v>
      </c>
      <c r="P25" s="55" t="n">
        <f aca="false">Unit_Cost!P18</f>
        <v>0.0819883268305102</v>
      </c>
      <c r="Q25" s="55" t="n">
        <f aca="false">Unit_Cost!Q18</f>
        <v>0.149673091144256</v>
      </c>
      <c r="R25" s="184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25" s="44" t="str">
        <f aca="false">IF(R25="—","—",IF(R25="A","基準輸入",IF(R25="B","情境、相對比較、反轉門檻","探索")))&amp;"；上限，不得作預測"</f>
        <v>情境、相對比較、反轉門檻；上限，不得作預測</v>
      </c>
      <c r="T25" s="30" t="s">
        <v>2792</v>
      </c>
      <c r="U25" s="44" t="str">
        <f aca="false">IF(V25=0,"—",LEFT(TEXT(V25,"0"),4)&amp;"-"&amp;MID(TEXT(V25,"0"),5,2)&amp;"-"&amp;RIGHT(TEXT(V25,"0"),2))</f>
        <v>2026-10-08</v>
      </c>
      <c r="V2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25" s="21" t="s">
        <v>2800</v>
      </c>
      <c r="X25" s="32" t="n">
        <f aca="false">IF(ISNUMBER(FIND("上限",S25)),1,0)</f>
        <v>1</v>
      </c>
      <c r="Y25" s="32" t="n">
        <v>1</v>
      </c>
    </row>
    <row r="26" customFormat="false" ht="15" hidden="false" customHeight="true" outlineLevel="0" collapsed="false">
      <c r="A26" s="30" t="s">
        <v>2801</v>
      </c>
      <c r="B26" s="30" t="s">
        <v>976</v>
      </c>
      <c r="C26" s="46" t="n">
        <f aca="false">Unit_Cost!C22</f>
        <v>0.309807224470561</v>
      </c>
      <c r="D26" s="46" t="n">
        <f aca="false">Unit_Cost!D22</f>
        <v>0.424066674755377</v>
      </c>
      <c r="E26" s="46" t="n">
        <f aca="false">Unit_Cost!E22</f>
        <v>0.728677436024838</v>
      </c>
      <c r="F26" s="46" t="n">
        <f aca="false">Unit_Cost!F22</f>
        <v>0.0768388739873208</v>
      </c>
      <c r="G26" s="46" t="n">
        <f aca="false">Unit_Cost!G22</f>
        <v>0.09813766333961</v>
      </c>
      <c r="H26" s="46" t="n">
        <f aca="false">Unit_Cost!H22</f>
        <v>0.158555864541521</v>
      </c>
      <c r="I26" s="46" t="n">
        <f aca="false">Unit_Cost!I22</f>
        <v>0.0676632697466918</v>
      </c>
      <c r="J26" s="46" t="n">
        <f aca="false">Unit_Cost!J22</f>
        <v>0.0835121137686063</v>
      </c>
      <c r="K26" s="46" t="n">
        <f aca="false">Unit_Cost!K22</f>
        <v>0.142494833208626</v>
      </c>
      <c r="L26" s="46" t="n">
        <f aca="false">Unit_Cost!L22</f>
        <v>0.0527292489800629</v>
      </c>
      <c r="M26" s="46" t="n">
        <f aca="false">Unit_Cost!M22</f>
        <v>0.0647533763301163</v>
      </c>
      <c r="N26" s="46" t="n">
        <f aca="false">Unit_Cost!N22</f>
        <v>0.104844975199622</v>
      </c>
      <c r="O26" s="46" t="n">
        <f aca="false">Unit_Cost!O22</f>
        <v>0.0415710344177534</v>
      </c>
      <c r="P26" s="46" t="n">
        <f aca="false">Unit_Cost!P22</f>
        <v>0.0605233229202693</v>
      </c>
      <c r="Q26" s="46" t="n">
        <f aca="false">Unit_Cost!Q22</f>
        <v>0.111441805351052</v>
      </c>
      <c r="R26" s="184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26" s="44" t="str">
        <f aca="false">IF(R26="—","—",IF(R26="A","基準輸入",IF(R26="B","情境、相對比較、反轉門檻","探索")))&amp;"；上限，不得作預測"</f>
        <v>情境、相對比較、反轉門檻；上限，不得作預測</v>
      </c>
      <c r="T26" s="30" t="s">
        <v>2792</v>
      </c>
      <c r="U26" s="44" t="str">
        <f aca="false">IF(V26=0,"—",LEFT(TEXT(V26,"0"),4)&amp;"-"&amp;MID(TEXT(V26,"0"),5,2)&amp;"-"&amp;RIGHT(TEXT(V26,"0"),2))</f>
        <v>2026-10-08</v>
      </c>
      <c r="V2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26" s="21" t="s">
        <v>2800</v>
      </c>
      <c r="X26" s="32" t="n">
        <f aca="false">IF(ISNUMBER(FIND("上限",S26)),1,0)</f>
        <v>1</v>
      </c>
      <c r="Y26" s="32" t="n">
        <v>1</v>
      </c>
    </row>
    <row r="27" customFormat="false" ht="15" hidden="false" customHeight="true" outlineLevel="0" collapsed="false">
      <c r="A27" s="30" t="s">
        <v>2802</v>
      </c>
      <c r="B27" s="30" t="s">
        <v>953</v>
      </c>
      <c r="C27" s="51" t="n">
        <f aca="false">INDEX(Perf!$C$117:$Q$117,3*(Unit_Cost!C$6-1)+1)</f>
        <v>4.8352418878865</v>
      </c>
      <c r="D27" s="51" t="n">
        <f aca="false">INDEX(Perf!$C$117:$Q$117,3*(Unit_Cost!D$6-1)+1)</f>
        <v>4.8352418878865</v>
      </c>
      <c r="E27" s="51" t="n">
        <f aca="false">INDEX(Perf!$C$117:$Q$117,3*(Unit_Cost!E$6-1)+1)</f>
        <v>4.8352418878865</v>
      </c>
      <c r="F27" s="51" t="n">
        <f aca="false">INDEX(Perf!$C$117:$Q$117,3*(Unit_Cost!F$6-1)+1)</f>
        <v>21.4031969045651</v>
      </c>
      <c r="G27" s="51" t="n">
        <f aca="false">INDEX(Perf!$C$117:$Q$117,3*(Unit_Cost!G$6-1)+1)</f>
        <v>21.4031969045651</v>
      </c>
      <c r="H27" s="51" t="n">
        <f aca="false">INDEX(Perf!$C$117:$Q$117,3*(Unit_Cost!H$6-1)+1)</f>
        <v>21.4031969045651</v>
      </c>
      <c r="I27" s="51" t="n">
        <f aca="false">INDEX(Perf!$C$117:$Q$117,3*(Unit_Cost!I$6-1)+1)</f>
        <v>31.1605366698815</v>
      </c>
      <c r="J27" s="51" t="n">
        <f aca="false">INDEX(Perf!$C$117:$Q$117,3*(Unit_Cost!J$6-1)+1)</f>
        <v>31.1605366698815</v>
      </c>
      <c r="K27" s="51" t="n">
        <f aca="false">INDEX(Perf!$C$117:$Q$117,3*(Unit_Cost!K$6-1)+1)</f>
        <v>31.1605366698815</v>
      </c>
      <c r="L27" s="51" t="n">
        <f aca="false">INDEX(Perf!$C$117:$Q$117,3*(Unit_Cost!L$6-1)+1)</f>
        <v>44.9576783886593</v>
      </c>
      <c r="M27" s="51" t="n">
        <f aca="false">INDEX(Perf!$C$117:$Q$117,3*(Unit_Cost!M$6-1)+1)</f>
        <v>44.9576783886593</v>
      </c>
      <c r="N27" s="51" t="n">
        <f aca="false">INDEX(Perf!$C$117:$Q$117,3*(Unit_Cost!N$6-1)+1)</f>
        <v>44.9576783886593</v>
      </c>
      <c r="O27" s="51" t="n">
        <f aca="false">INDEX(Perf!$C$117:$Q$117,3*(Unit_Cost!O$6-1)+1)</f>
        <v>60.5349471958417</v>
      </c>
      <c r="P27" s="51" t="n">
        <f aca="false">INDEX(Perf!$C$117:$Q$117,3*(Unit_Cost!P$6-1)+1)</f>
        <v>60.5349471958417</v>
      </c>
      <c r="Q27" s="51" t="n">
        <f aca="false">INDEX(Perf!$C$117:$Q$117,3*(Unit_Cost!Q$6-1)+1)</f>
        <v>60.5349471958417</v>
      </c>
      <c r="R27" s="184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" s="44" t="str">
        <f aca="false">IF(R27="—","—",IF(R27="A","基準輸入",IF(R27="B","情境、相對比較、反轉門檻","探索")))&amp;"；上限，不得作預測"</f>
        <v>情境、相對比較、反轉門檻；上限，不得作預測</v>
      </c>
      <c r="T27" s="30" t="s">
        <v>2792</v>
      </c>
      <c r="U27" s="44" t="str">
        <f aca="false">IF(V27=0,"—",LEFT(TEXT(V27,"0"),4)&amp;"-"&amp;MID(TEXT(V27,"0"),5,2)&amp;"-"&amp;RIGHT(TEXT(V27,"0"),2))</f>
        <v>2026-10-05</v>
      </c>
      <c r="V2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" s="21" t="s">
        <v>2803</v>
      </c>
      <c r="X27" s="32" t="n">
        <f aca="false">IF(ISNUMBER(FIND("上限",S27)),1,0)</f>
        <v>1</v>
      </c>
      <c r="Y27" s="32" t="n">
        <v>1</v>
      </c>
    </row>
    <row r="28" customFormat="false" ht="15" hidden="false" customHeight="true" outlineLevel="0" collapsed="false">
      <c r="A28" s="8" t="s">
        <v>279</v>
      </c>
    </row>
    <row r="29" customFormat="false" ht="15" hidden="false" customHeight="true" outlineLevel="0" collapsed="false">
      <c r="A29" s="44" t="s">
        <v>2804</v>
      </c>
      <c r="B29" s="30" t="s">
        <v>389</v>
      </c>
      <c r="C29" s="49" t="n">
        <f aca="false">INDEX(Perf!$C$95:$Q$95,3*(Unit_Cost!C$6-1)+2)</f>
        <v>47531.3605802762</v>
      </c>
      <c r="D29" s="49" t="n">
        <f aca="false">INDEX(Perf!$C$95:$Q$95,3*(Unit_Cost!D$6-1)+2)</f>
        <v>47531.3605802762</v>
      </c>
      <c r="E29" s="49" t="n">
        <f aca="false">INDEX(Perf!$C$95:$Q$95,3*(Unit_Cost!E$6-1)+2)</f>
        <v>47531.3605802762</v>
      </c>
      <c r="F29" s="49" t="n">
        <f aca="false">INDEX(Perf!$C$95:$Q$95,3*(Unit_Cost!F$6-1)+2)</f>
        <v>663618.88067237</v>
      </c>
      <c r="G29" s="49" t="n">
        <f aca="false">INDEX(Perf!$C$95:$Q$95,3*(Unit_Cost!G$6-1)+2)</f>
        <v>663618.88067237</v>
      </c>
      <c r="H29" s="49" t="n">
        <f aca="false">INDEX(Perf!$C$95:$Q$95,3*(Unit_Cost!H$6-1)+2)</f>
        <v>663618.88067237</v>
      </c>
      <c r="I29" s="49" t="n">
        <f aca="false">INDEX(Perf!$C$95:$Q$95,3*(Unit_Cost!I$6-1)+2)</f>
        <v>995428.321008554</v>
      </c>
      <c r="J29" s="49" t="n">
        <f aca="false">INDEX(Perf!$C$95:$Q$95,3*(Unit_Cost!J$6-1)+2)</f>
        <v>995428.321008554</v>
      </c>
      <c r="K29" s="49" t="n">
        <f aca="false">INDEX(Perf!$C$95:$Q$95,3*(Unit_Cost!K$6-1)+2)</f>
        <v>995428.321008554</v>
      </c>
      <c r="L29" s="49" t="n">
        <f aca="false">INDEX(Perf!$C$95:$Q$95,3*(Unit_Cost!L$6-1)+2)</f>
        <v>2496284.49057369</v>
      </c>
      <c r="M29" s="49" t="n">
        <f aca="false">INDEX(Perf!$C$95:$Q$95,3*(Unit_Cost!M$6-1)+2)</f>
        <v>2496284.49057369</v>
      </c>
      <c r="N29" s="49" t="n">
        <f aca="false">INDEX(Perf!$C$95:$Q$95,3*(Unit_Cost!N$6-1)+2)</f>
        <v>2496284.49057369</v>
      </c>
      <c r="O29" s="49" t="n">
        <f aca="false">INDEX(Perf!$C$95:$Q$95,3*(Unit_Cost!O$6-1)+2)</f>
        <v>5092093.85576685</v>
      </c>
      <c r="P29" s="49" t="n">
        <f aca="false">INDEX(Perf!$C$95:$Q$95,3*(Unit_Cost!P$6-1)+2)</f>
        <v>5092093.85576685</v>
      </c>
      <c r="Q29" s="49" t="n">
        <f aca="false">INDEX(Perf!$C$95:$Q$95,3*(Unit_Cost!Q$6-1)+2)</f>
        <v>5092093.85576685</v>
      </c>
      <c r="R29" s="184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9" s="44" t="str">
        <f aca="false">IF(R29="—","—",IF(R29="A","基準輸入",IF(R29="B","情境、相對比較、反轉門檻","探索")))&amp;"；上限，不得作預測"</f>
        <v>情境、相對比較、反轉門檻；上限，不得作預測</v>
      </c>
      <c r="T29" s="30" t="s">
        <v>2792</v>
      </c>
      <c r="U29" s="44" t="str">
        <f aca="false">IF(V29=0,"—",LEFT(TEXT(V29,"0"),4)&amp;"-"&amp;MID(TEXT(V29,"0"),5,2)&amp;"-"&amp;RIGHT(TEXT(V29,"0"),2))</f>
        <v>2026-10-05</v>
      </c>
      <c r="V2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9" s="21" t="s">
        <v>2793</v>
      </c>
      <c r="X29" s="32" t="n">
        <f aca="false">IF(ISNUMBER(FIND("上限",S29)),1,0)</f>
        <v>1</v>
      </c>
      <c r="Y29" s="32" t="n">
        <v>1</v>
      </c>
    </row>
    <row r="30" customFormat="false" ht="15" hidden="false" customHeight="true" outlineLevel="0" collapsed="false">
      <c r="A30" s="44" t="s">
        <v>2805</v>
      </c>
      <c r="B30" s="30" t="s">
        <v>389</v>
      </c>
      <c r="C30" s="49" t="n">
        <f aca="false">INDEX(Perf!$C$96:$Q$96,3*(Unit_Cost!C$6-1)+2)</f>
        <v>5281.26228669736</v>
      </c>
      <c r="D30" s="49" t="n">
        <f aca="false">INDEX(Perf!$C$96:$Q$96,3*(Unit_Cost!D$6-1)+2)</f>
        <v>5281.26228669736</v>
      </c>
      <c r="E30" s="49" t="n">
        <f aca="false">INDEX(Perf!$C$96:$Q$96,3*(Unit_Cost!E$6-1)+2)</f>
        <v>5281.26228669736</v>
      </c>
      <c r="F30" s="49" t="n">
        <f aca="false">INDEX(Perf!$C$96:$Q$96,3*(Unit_Cost!F$6-1)+2)</f>
        <v>73735.4311858188</v>
      </c>
      <c r="G30" s="49" t="n">
        <f aca="false">INDEX(Perf!$C$96:$Q$96,3*(Unit_Cost!G$6-1)+2)</f>
        <v>73735.4311858188</v>
      </c>
      <c r="H30" s="49" t="n">
        <f aca="false">INDEX(Perf!$C$96:$Q$96,3*(Unit_Cost!H$6-1)+2)</f>
        <v>73735.4311858188</v>
      </c>
      <c r="I30" s="49" t="n">
        <f aca="false">INDEX(Perf!$C$96:$Q$96,3*(Unit_Cost!I$6-1)+2)</f>
        <v>110603.146778728</v>
      </c>
      <c r="J30" s="49" t="n">
        <f aca="false">INDEX(Perf!$C$96:$Q$96,3*(Unit_Cost!J$6-1)+2)</f>
        <v>110603.146778728</v>
      </c>
      <c r="K30" s="49" t="n">
        <f aca="false">INDEX(Perf!$C$96:$Q$96,3*(Unit_Cost!K$6-1)+2)</f>
        <v>110603.146778728</v>
      </c>
      <c r="L30" s="49" t="n">
        <f aca="false">INDEX(Perf!$C$96:$Q$96,3*(Unit_Cost!L$6-1)+2)</f>
        <v>277364.943397077</v>
      </c>
      <c r="M30" s="49" t="n">
        <f aca="false">INDEX(Perf!$C$96:$Q$96,3*(Unit_Cost!M$6-1)+2)</f>
        <v>277364.943397077</v>
      </c>
      <c r="N30" s="49" t="n">
        <f aca="false">INDEX(Perf!$C$96:$Q$96,3*(Unit_Cost!N$6-1)+2)</f>
        <v>277364.943397077</v>
      </c>
      <c r="O30" s="49" t="n">
        <f aca="false">INDEX(Perf!$C$96:$Q$96,3*(Unit_Cost!O$6-1)+2)</f>
        <v>565788.206196316</v>
      </c>
      <c r="P30" s="49" t="n">
        <f aca="false">INDEX(Perf!$C$96:$Q$96,3*(Unit_Cost!P$6-1)+2)</f>
        <v>565788.206196316</v>
      </c>
      <c r="Q30" s="49" t="n">
        <f aca="false">INDEX(Perf!$C$96:$Q$96,3*(Unit_Cost!Q$6-1)+2)</f>
        <v>565788.206196316</v>
      </c>
      <c r="R30" s="184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0" s="44" t="str">
        <f aca="false">IF(R30="—","—",IF(R30="A","基準輸入",IF(R30="B","情境、相對比較、反轉門檻","探索")))&amp;"；上限，不得作預測"</f>
        <v>情境、相對比較、反轉門檻；上限，不得作預測</v>
      </c>
      <c r="T30" s="30" t="s">
        <v>2792</v>
      </c>
      <c r="U30" s="44" t="str">
        <f aca="false">IF(V30=0,"—",LEFT(TEXT(V30,"0"),4)&amp;"-"&amp;MID(TEXT(V30,"0"),5,2)&amp;"-"&amp;RIGHT(TEXT(V30,"0"),2))</f>
        <v>2026-10-05</v>
      </c>
      <c r="V3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0" s="21" t="s">
        <v>2793</v>
      </c>
      <c r="X30" s="32" t="n">
        <f aca="false">IF(ISNUMBER(FIND("上限",S30)),1,0)</f>
        <v>1</v>
      </c>
      <c r="Y30" s="32" t="n">
        <v>1</v>
      </c>
    </row>
    <row r="31" customFormat="false" ht="15" hidden="false" customHeight="true" outlineLevel="0" collapsed="false">
      <c r="A31" s="44" t="s">
        <v>2736</v>
      </c>
      <c r="B31" s="30" t="s">
        <v>931</v>
      </c>
      <c r="C31" s="191" t="n">
        <f aca="false">INDEX(Perf!$C$98:$Q$98,3*(Unit_Cost!C$6-1)+2)</f>
        <v>33634916325.118</v>
      </c>
      <c r="D31" s="191" t="n">
        <f aca="false">INDEX(Perf!$C$98:$Q$98,3*(Unit_Cost!D$6-1)+2)</f>
        <v>33634916325.118</v>
      </c>
      <c r="E31" s="191" t="n">
        <f aca="false">INDEX(Perf!$C$98:$Q$98,3*(Unit_Cost!E$6-1)+2)</f>
        <v>33634916325.118</v>
      </c>
      <c r="F31" s="191" t="n">
        <f aca="false">INDEX(Perf!$C$98:$Q$98,3*(Unit_Cost!F$6-1)+2)</f>
        <v>145846430710.54</v>
      </c>
      <c r="G31" s="191" t="n">
        <f aca="false">INDEX(Perf!$C$98:$Q$98,3*(Unit_Cost!G$6-1)+2)</f>
        <v>145846430710.54</v>
      </c>
      <c r="H31" s="191" t="n">
        <f aca="false">INDEX(Perf!$C$98:$Q$98,3*(Unit_Cost!H$6-1)+2)</f>
        <v>145846430710.54</v>
      </c>
      <c r="I31" s="191" t="n">
        <f aca="false">INDEX(Perf!$C$98:$Q$98,3*(Unit_Cost!I$6-1)+2)</f>
        <v>212334321421.888</v>
      </c>
      <c r="J31" s="191" t="n">
        <f aca="false">INDEX(Perf!$C$98:$Q$98,3*(Unit_Cost!J$6-1)+2)</f>
        <v>212334321421.888</v>
      </c>
      <c r="K31" s="191" t="n">
        <f aca="false">INDEX(Perf!$C$98:$Q$98,3*(Unit_Cost!K$6-1)+2)</f>
        <v>212334321421.888</v>
      </c>
      <c r="L31" s="191" t="n">
        <f aca="false">INDEX(Perf!$C$98:$Q$98,3*(Unit_Cost!L$6-1)+2)</f>
        <v>318984897819.054</v>
      </c>
      <c r="M31" s="191" t="n">
        <f aca="false">INDEX(Perf!$C$98:$Q$98,3*(Unit_Cost!M$6-1)+2)</f>
        <v>318984897819.054</v>
      </c>
      <c r="N31" s="191" t="n">
        <f aca="false">INDEX(Perf!$C$98:$Q$98,3*(Unit_Cost!N$6-1)+2)</f>
        <v>318984897819.054</v>
      </c>
      <c r="O31" s="191" t="n">
        <f aca="false">INDEX(Perf!$C$98:$Q$98,3*(Unit_Cost!O$6-1)+2)</f>
        <v>434380455314.928</v>
      </c>
      <c r="P31" s="191" t="n">
        <f aca="false">INDEX(Perf!$C$98:$Q$98,3*(Unit_Cost!P$6-1)+2)</f>
        <v>434380455314.928</v>
      </c>
      <c r="Q31" s="191" t="n">
        <f aca="false">INDEX(Perf!$C$98:$Q$98,3*(Unit_Cost!Q$6-1)+2)</f>
        <v>434380455314.928</v>
      </c>
      <c r="R31" s="184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1" s="44" t="str">
        <f aca="false">IF(R31="—","—",IF(R31="A","基準輸入",IF(R31="B","情境、相對比較、反轉門檻","探索")))&amp;"；上限，不得作預測"</f>
        <v>情境、相對比較、反轉門檻；上限，不得作預測</v>
      </c>
      <c r="T31" s="30" t="s">
        <v>2792</v>
      </c>
      <c r="U31" s="44" t="str">
        <f aca="false">IF(V31=0,"—",LEFT(TEXT(V31,"0"),4)&amp;"-"&amp;MID(TEXT(V31,"0"),5,2)&amp;"-"&amp;RIGHT(TEXT(V31,"0"),2))</f>
        <v>2026-10-05</v>
      </c>
      <c r="V3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1" s="21" t="s">
        <v>2795</v>
      </c>
      <c r="X31" s="32" t="n">
        <f aca="false">IF(ISNUMBER(FIND("上限",S31)),1,0)</f>
        <v>1</v>
      </c>
      <c r="Y31" s="32" t="n">
        <v>1</v>
      </c>
    </row>
    <row r="32" customFormat="false" ht="15" hidden="false" customHeight="true" outlineLevel="0" collapsed="false">
      <c r="A32" s="30" t="s">
        <v>2806</v>
      </c>
      <c r="B32" s="30" t="s">
        <v>118</v>
      </c>
      <c r="C32" s="192" t="n">
        <f aca="false">INDEX(Perf!$C$120:$Q$120,3*(Unit_Cost!C$6-1)+2)</f>
        <v>0.10544360110803</v>
      </c>
      <c r="D32" s="192" t="n">
        <f aca="false">INDEX(Perf!$C$120:$Q$120,3*(Unit_Cost!D$6-1)+2)</f>
        <v>0.10544360110803</v>
      </c>
      <c r="E32" s="192" t="n">
        <f aca="false">INDEX(Perf!$C$120:$Q$120,3*(Unit_Cost!E$6-1)+2)</f>
        <v>0.10544360110803</v>
      </c>
      <c r="F32" s="192" t="n">
        <f aca="false">INDEX(Perf!$C$120:$Q$120,3*(Unit_Cost!F$6-1)+2)</f>
        <v>0.457220488204027</v>
      </c>
      <c r="G32" s="192" t="n">
        <f aca="false">INDEX(Perf!$C$120:$Q$120,3*(Unit_Cost!G$6-1)+2)</f>
        <v>0.457220488204027</v>
      </c>
      <c r="H32" s="192" t="n">
        <f aca="false">INDEX(Perf!$C$120:$Q$120,3*(Unit_Cost!H$6-1)+2)</f>
        <v>0.457220488204027</v>
      </c>
      <c r="I32" s="192" t="n">
        <f aca="false">INDEX(Perf!$C$120:$Q$120,3*(Unit_Cost!I$6-1)+2)</f>
        <v>0.665656345719338</v>
      </c>
      <c r="J32" s="192" t="n">
        <f aca="false">INDEX(Perf!$C$120:$Q$120,3*(Unit_Cost!J$6-1)+2)</f>
        <v>0.665656345719338</v>
      </c>
      <c r="K32" s="192" t="n">
        <f aca="false">INDEX(Perf!$C$120:$Q$120,3*(Unit_Cost!K$6-1)+2)</f>
        <v>0.665656345719338</v>
      </c>
      <c r="L32" s="192" t="n">
        <f aca="false">INDEX(Perf!$C$120:$Q$120,3*(Unit_Cost!L$6-1)+2)</f>
        <v>1</v>
      </c>
      <c r="M32" s="192" t="n">
        <f aca="false">INDEX(Perf!$C$120:$Q$120,3*(Unit_Cost!M$6-1)+2)</f>
        <v>1</v>
      </c>
      <c r="N32" s="192" t="n">
        <f aca="false">INDEX(Perf!$C$120:$Q$120,3*(Unit_Cost!N$6-1)+2)</f>
        <v>1</v>
      </c>
      <c r="O32" s="192" t="n">
        <f aca="false">INDEX(Perf!$C$120:$Q$120,3*(Unit_Cost!O$6-1)+2)</f>
        <v>1.36175868602197</v>
      </c>
      <c r="P32" s="192" t="n">
        <f aca="false">INDEX(Perf!$C$120:$Q$120,3*(Unit_Cost!P$6-1)+2)</f>
        <v>1.36175868602197</v>
      </c>
      <c r="Q32" s="192" t="n">
        <f aca="false">INDEX(Perf!$C$120:$Q$120,3*(Unit_Cost!Q$6-1)+2)</f>
        <v>1.36175868602197</v>
      </c>
      <c r="R32" s="184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2" s="44" t="str">
        <f aca="false">IF(R32="—","—",IF(R32="A","基準輸入",IF(R32="B","情境、相對比較、反轉門檻","探索")))&amp;"；上限，不得作預測"</f>
        <v>情境、相對比較、反轉門檻；上限，不得作預測</v>
      </c>
      <c r="T32" s="30" t="s">
        <v>2792</v>
      </c>
      <c r="U32" s="44" t="str">
        <f aca="false">IF(V32=0,"—",LEFT(TEXT(V32,"0"),4)&amp;"-"&amp;MID(TEXT(V32,"0"),5,2)&amp;"-"&amp;RIGHT(TEXT(V32,"0"),2))</f>
        <v>2026-10-05</v>
      </c>
      <c r="V3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2" s="21" t="s">
        <v>2795</v>
      </c>
      <c r="X32" s="32" t="n">
        <f aca="false">IF(ISNUMBER(FIND("上限",S32)),1,0)</f>
        <v>1</v>
      </c>
      <c r="Y32" s="32" t="n">
        <v>1</v>
      </c>
    </row>
    <row r="33" customFormat="false" ht="15" hidden="false" customHeight="true" outlineLevel="0" collapsed="false">
      <c r="A33" s="44" t="s">
        <v>2737</v>
      </c>
      <c r="B33" s="30" t="s">
        <v>976</v>
      </c>
      <c r="C33" s="46" t="n">
        <f aca="false">Unit_Cost!C29</f>
        <v>0.134224657207592</v>
      </c>
      <c r="D33" s="46" t="n">
        <f aca="false">Unit_Cost!D29</f>
        <v>0.191780186690782</v>
      </c>
      <c r="E33" s="46" t="n">
        <f aca="false">Unit_Cost!E29</f>
        <v>0.32935711864356</v>
      </c>
      <c r="F33" s="46" t="n">
        <f aca="false">Unit_Cost!F29</f>
        <v>0.018495300150885</v>
      </c>
      <c r="G33" s="46" t="n">
        <f aca="false">Unit_Cost!G29</f>
        <v>0.0246951163043756</v>
      </c>
      <c r="H33" s="46" t="n">
        <f aca="false">Unit_Cost!H29</f>
        <v>0.0400534934338416</v>
      </c>
      <c r="I33" s="46" t="n">
        <f aca="false">Unit_Cost!I29</f>
        <v>0.0161952280965778</v>
      </c>
      <c r="J33" s="46" t="n">
        <f aca="false">Unit_Cost!J29</f>
        <v>0.0209170743182869</v>
      </c>
      <c r="K33" s="46" t="n">
        <f aca="false">Unit_Cost!K29</f>
        <v>0.0356123388503434</v>
      </c>
      <c r="L33" s="46" t="n">
        <f aca="false">Unit_Cost!L29</f>
        <v>0.0130752181479087</v>
      </c>
      <c r="M33" s="46" t="n">
        <f aca="false">Unit_Cost!M29</f>
        <v>0.0168050260436256</v>
      </c>
      <c r="N33" s="46" t="n">
        <f aca="false">Unit_Cost!N29</f>
        <v>0.0271490399683714</v>
      </c>
      <c r="O33" s="46" t="n">
        <f aca="false">Unit_Cost!O29</f>
        <v>0.0104010346120689</v>
      </c>
      <c r="P33" s="46" t="n">
        <f aca="false">Unit_Cost!P29</f>
        <v>0.0158081464621773</v>
      </c>
      <c r="Q33" s="46" t="n">
        <f aca="false">Unit_Cost!Q29</f>
        <v>0.0288584270190855</v>
      </c>
      <c r="R33" s="18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33" s="44" t="str">
        <f aca="false">IF(R33="—","—",IF(R33="A","基準輸入",IF(R33="B","情境、相對比較、反轉門檻","探索")))&amp;"；上限，不得作預測"</f>
        <v>情境、相對比較、反轉門檻；上限，不得作預測</v>
      </c>
      <c r="T33" s="30" t="s">
        <v>2792</v>
      </c>
      <c r="U33" s="44" t="str">
        <f aca="false">IF(V33=0,"—",LEFT(TEXT(V33,"0"),4)&amp;"-"&amp;MID(TEXT(V33,"0"),5,2)&amp;"-"&amp;RIGHT(TEXT(V33,"0"),2))</f>
        <v>2026-10-08</v>
      </c>
      <c r="V3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33" s="21" t="s">
        <v>2797</v>
      </c>
      <c r="X33" s="32" t="n">
        <f aca="false">IF(ISNUMBER(FIND("上限",S33)),1,0)</f>
        <v>1</v>
      </c>
      <c r="Y33" s="32" t="n">
        <v>1</v>
      </c>
    </row>
    <row r="34" customFormat="false" ht="15" hidden="false" customHeight="true" outlineLevel="0" collapsed="false">
      <c r="A34" s="44" t="s">
        <v>2807</v>
      </c>
      <c r="B34" s="30" t="s">
        <v>976</v>
      </c>
      <c r="C34" s="193" t="n">
        <f aca="false">Unit_Cost!C30</f>
        <v>1.18910885295117E-005</v>
      </c>
      <c r="D34" s="193" t="n">
        <f aca="false">Unit_Cost!D30</f>
        <v>1.69899869784684E-005</v>
      </c>
      <c r="E34" s="193" t="n">
        <f aca="false">Unit_Cost!E30</f>
        <v>2.91780566782028E-005</v>
      </c>
      <c r="F34" s="193" t="n">
        <f aca="false">Unit_Cost!F30</f>
        <v>1.65674016449461E-005</v>
      </c>
      <c r="G34" s="193" t="n">
        <f aca="false">Unit_Cost!G30</f>
        <v>2.21209662533469E-005</v>
      </c>
      <c r="H34" s="193" t="n">
        <f aca="false">Unit_Cost!H30</f>
        <v>3.58784289840203E-005</v>
      </c>
      <c r="I34" s="193" t="n">
        <f aca="false">Unit_Cost!I30</f>
        <v>2.17606240303174E-005</v>
      </c>
      <c r="J34" s="193" t="n">
        <f aca="false">Unit_Cost!J30</f>
        <v>2.81051052408846E-005</v>
      </c>
      <c r="K34" s="193" t="n">
        <f aca="false">Unit_Cost!K30</f>
        <v>4.7850311952466E-005</v>
      </c>
      <c r="L34" s="193" t="n">
        <f aca="false">Unit_Cost!L30</f>
        <v>4.09930285583736E-005</v>
      </c>
      <c r="M34" s="193" t="n">
        <f aca="false">Unit_Cost!M30</f>
        <v>5.2686609488098E-005</v>
      </c>
      <c r="N34" s="193" t="n">
        <f aca="false">Unit_Cost!N30</f>
        <v>8.51168491543588E-005</v>
      </c>
      <c r="O34" s="193" t="n">
        <f aca="false">Unit_Cost!O30</f>
        <v>6.52180184018376E-005</v>
      </c>
      <c r="P34" s="193" t="n">
        <f aca="false">Unit_Cost!P30</f>
        <v>9.91224455375737E-005</v>
      </c>
      <c r="Q34" s="193" t="n">
        <f aca="false">Unit_Cost!Q30</f>
        <v>0.000180952135491878</v>
      </c>
      <c r="R34" s="18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34" s="44" t="str">
        <f aca="false">IF(R34="—","—",IF(R34="A","基準輸入",IF(R34="B","情境、相對比較、反轉門檻","探索")))&amp;"；上限，不得作預測"</f>
        <v>情境、相對比較、反轉門檻；上限，不得作預測</v>
      </c>
      <c r="T34" s="30" t="s">
        <v>2792</v>
      </c>
      <c r="U34" s="44" t="str">
        <f aca="false">IF(V34=0,"—",LEFT(TEXT(V34,"0"),4)&amp;"-"&amp;MID(TEXT(V34,"0"),5,2)&amp;"-"&amp;RIGHT(TEXT(V34,"0"),2))</f>
        <v>2026-10-08</v>
      </c>
      <c r="V3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34" s="21" t="s">
        <v>2799</v>
      </c>
      <c r="X34" s="32" t="n">
        <f aca="false">IF(ISNUMBER(FIND("上限",S34)),1,0)</f>
        <v>1</v>
      </c>
      <c r="Y34" s="32" t="n">
        <v>1</v>
      </c>
    </row>
    <row r="35" customFormat="false" ht="15" hidden="false" customHeight="true" outlineLevel="0" collapsed="false">
      <c r="A35" s="30" t="s">
        <v>2738</v>
      </c>
      <c r="B35" s="30" t="s">
        <v>976</v>
      </c>
      <c r="C35" s="55" t="n">
        <f aca="false">Unit_Cost!C31</f>
        <v>1.33394074881857</v>
      </c>
      <c r="D35" s="55" t="n">
        <f aca="false">Unit_Cost!D31</f>
        <v>1.905934506856</v>
      </c>
      <c r="E35" s="55" t="n">
        <f aca="false">Unit_Cost!E31</f>
        <v>3.2731905643285</v>
      </c>
      <c r="F35" s="55" t="n">
        <f aca="false">Unit_Cost!F31</f>
        <v>0.341423794880673</v>
      </c>
      <c r="G35" s="55" t="n">
        <f aca="false">Unit_Cost!G31</f>
        <v>0.455872586812606</v>
      </c>
      <c r="H35" s="55" t="n">
        <f aca="false">Unit_Cost!H31</f>
        <v>0.739388688739717</v>
      </c>
      <c r="I35" s="55" t="n">
        <f aca="false">Unit_Cost!I31</f>
        <v>0.29896439585097</v>
      </c>
      <c r="J35" s="55" t="n">
        <f aca="false">Unit_Cost!J31</f>
        <v>0.386129818564143</v>
      </c>
      <c r="K35" s="55" t="n">
        <f aca="false">Unit_Cost!K31</f>
        <v>0.657404842077077</v>
      </c>
      <c r="L35" s="55" t="n">
        <f aca="false">Unit_Cost!L31</f>
        <v>0.22130772679342</v>
      </c>
      <c r="M35" s="55" t="n">
        <f aca="false">Unit_Cost!M31</f>
        <v>0.284437480916053</v>
      </c>
      <c r="N35" s="55" t="n">
        <f aca="false">Unit_Cost!N31</f>
        <v>0.459517558487924</v>
      </c>
      <c r="O35" s="55" t="n">
        <f aca="false">Unit_Cost!O31</f>
        <v>0.171872558083737</v>
      </c>
      <c r="P35" s="55" t="n">
        <f aca="false">Unit_Cost!P31</f>
        <v>0.261222721811166</v>
      </c>
      <c r="Q35" s="55" t="n">
        <f aca="false">Unit_Cost!Q31</f>
        <v>0.47687291303576</v>
      </c>
      <c r="R35" s="184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35" s="44" t="str">
        <f aca="false">IF(R35="—","—",IF(R35="A","基準輸入",IF(R35="B","情境、相對比較、反轉門檻","探索")))&amp;"；上限，不得作預測"</f>
        <v>情境、相對比較、反轉門檻；上限，不得作預測</v>
      </c>
      <c r="T35" s="30" t="s">
        <v>2792</v>
      </c>
      <c r="U35" s="44" t="str">
        <f aca="false">IF(V35=0,"—",LEFT(TEXT(V35,"0"),4)&amp;"-"&amp;MID(TEXT(V35,"0"),5,2)&amp;"-"&amp;RIGHT(TEXT(V35,"0"),2))</f>
        <v>2026-10-08</v>
      </c>
      <c r="V3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35" s="21" t="s">
        <v>2800</v>
      </c>
      <c r="X35" s="32" t="n">
        <f aca="false">IF(ISNUMBER(FIND("上限",S35)),1,0)</f>
        <v>1</v>
      </c>
      <c r="Y35" s="32" t="n">
        <v>1</v>
      </c>
    </row>
    <row r="36" customFormat="false" ht="15" hidden="false" customHeight="true" outlineLevel="0" collapsed="false">
      <c r="A36" s="30" t="s">
        <v>2808</v>
      </c>
      <c r="B36" s="30" t="s">
        <v>976</v>
      </c>
      <c r="C36" s="46" t="n">
        <f aca="false">Unit_Cost!C35</f>
        <v>1.01944947921014</v>
      </c>
      <c r="D36" s="46" t="n">
        <f aca="false">Unit_Cost!D35</f>
        <v>1.39543082466376</v>
      </c>
      <c r="E36" s="46" t="n">
        <f aca="false">Unit_Cost!E35</f>
        <v>2.39778085852317</v>
      </c>
      <c r="F36" s="46" t="n">
        <f aca="false">Unit_Cost!F35</f>
        <v>0.260749015778235</v>
      </c>
      <c r="G36" s="46" t="n">
        <f aca="false">Unit_Cost!G35</f>
        <v>0.33302543099215</v>
      </c>
      <c r="H36" s="46" t="n">
        <f aca="false">Unit_Cost!H35</f>
        <v>0.538051685034982</v>
      </c>
      <c r="I36" s="46" t="n">
        <f aca="false">Unit_Cost!I35</f>
        <v>0.22961204498778</v>
      </c>
      <c r="J36" s="46" t="n">
        <f aca="false">Unit_Cost!J35</f>
        <v>0.283394333372419</v>
      </c>
      <c r="K36" s="46" t="n">
        <f aca="false">Unit_Cost!K35</f>
        <v>0.48354934923648</v>
      </c>
      <c r="L36" s="46" t="n">
        <f aca="false">Unit_Cost!L35</f>
        <v>0.170365394147188</v>
      </c>
      <c r="M36" s="46" t="n">
        <f aca="false">Unit_Cost!M35</f>
        <v>0.209214708994104</v>
      </c>
      <c r="N36" s="46" t="n">
        <f aca="false">Unit_Cost!N35</f>
        <v>0.338748528942438</v>
      </c>
      <c r="O36" s="46" t="n">
        <f aca="false">Unit_Cost!O35</f>
        <v>0.132449327592207</v>
      </c>
      <c r="P36" s="46" t="n">
        <f aca="false">Unit_Cost!P35</f>
        <v>0.192833147808616</v>
      </c>
      <c r="Q36" s="46" t="n">
        <f aca="false">Unit_Cost!Q35</f>
        <v>0.355064346873816</v>
      </c>
      <c r="R36" s="184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36" s="44" t="str">
        <f aca="false">IF(R36="—","—",IF(R36="A","基準輸入",IF(R36="B","情境、相對比較、反轉門檻","探索")))&amp;"；上限，不得作預測"</f>
        <v>情境、相對比較、反轉門檻；上限，不得作預測</v>
      </c>
      <c r="T36" s="30" t="s">
        <v>2792</v>
      </c>
      <c r="U36" s="44" t="str">
        <f aca="false">IF(V36=0,"—",LEFT(TEXT(V36,"0"),4)&amp;"-"&amp;MID(TEXT(V36,"0"),5,2)&amp;"-"&amp;RIGHT(TEXT(V36,"0"),2))</f>
        <v>2026-10-08</v>
      </c>
      <c r="V3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36" s="21" t="s">
        <v>2800</v>
      </c>
      <c r="X36" s="32" t="n">
        <f aca="false">IF(ISNUMBER(FIND("上限",S36)),1,0)</f>
        <v>1</v>
      </c>
      <c r="Y36" s="32" t="n">
        <v>1</v>
      </c>
    </row>
    <row r="37" customFormat="false" ht="15" hidden="false" customHeight="true" outlineLevel="0" collapsed="false">
      <c r="A37" s="30" t="s">
        <v>2809</v>
      </c>
      <c r="B37" s="30" t="s">
        <v>953</v>
      </c>
      <c r="C37" s="51" t="n">
        <f aca="false">INDEX(Perf!$C$117:$Q$117,3*(Unit_Cost!C$6-1)+2)</f>
        <v>1.44912684695964</v>
      </c>
      <c r="D37" s="51" t="n">
        <f aca="false">INDEX(Perf!$C$117:$Q$117,3*(Unit_Cost!D$6-1)+2)</f>
        <v>1.44912684695964</v>
      </c>
      <c r="E37" s="51" t="n">
        <f aca="false">INDEX(Perf!$C$117:$Q$117,3*(Unit_Cost!E$6-1)+2)</f>
        <v>1.44912684695964</v>
      </c>
      <c r="F37" s="51" t="n">
        <f aca="false">INDEX(Perf!$C$117:$Q$117,3*(Unit_Cost!F$6-1)+2)</f>
        <v>6.28426970333683</v>
      </c>
      <c r="G37" s="51" t="n">
        <f aca="false">INDEX(Perf!$C$117:$Q$117,3*(Unit_Cost!G$6-1)+2)</f>
        <v>6.28426970333683</v>
      </c>
      <c r="H37" s="51" t="n">
        <f aca="false">INDEX(Perf!$C$117:$Q$117,3*(Unit_Cost!H$6-1)+2)</f>
        <v>6.28426970333683</v>
      </c>
      <c r="I37" s="51" t="n">
        <f aca="false">INDEX(Perf!$C$117:$Q$117,3*(Unit_Cost!I$6-1)+2)</f>
        <v>9.14915736221098</v>
      </c>
      <c r="J37" s="51" t="n">
        <f aca="false">INDEX(Perf!$C$117:$Q$117,3*(Unit_Cost!J$6-1)+2)</f>
        <v>9.14915736221098</v>
      </c>
      <c r="K37" s="51" t="n">
        <f aca="false">INDEX(Perf!$C$117:$Q$117,3*(Unit_Cost!K$6-1)+2)</f>
        <v>9.14915736221098</v>
      </c>
      <c r="L37" s="51" t="n">
        <f aca="false">INDEX(Perf!$C$117:$Q$117,3*(Unit_Cost!L$6-1)+2)</f>
        <v>13.7460599701194</v>
      </c>
      <c r="M37" s="51" t="n">
        <f aca="false">INDEX(Perf!$C$117:$Q$117,3*(Unit_Cost!M$6-1)+2)</f>
        <v>13.7460599701194</v>
      </c>
      <c r="N37" s="51" t="n">
        <f aca="false">INDEX(Perf!$C$117:$Q$117,3*(Unit_Cost!N$6-1)+2)</f>
        <v>13.7460599701194</v>
      </c>
      <c r="O37" s="51" t="n">
        <f aca="false">INDEX(Perf!$C$117:$Q$117,3*(Unit_Cost!O$6-1)+2)</f>
        <v>18.7209332932605</v>
      </c>
      <c r="P37" s="51" t="n">
        <f aca="false">INDEX(Perf!$C$117:$Q$117,3*(Unit_Cost!P$6-1)+2)</f>
        <v>18.7209332932605</v>
      </c>
      <c r="Q37" s="51" t="n">
        <f aca="false">INDEX(Perf!$C$117:$Q$117,3*(Unit_Cost!Q$6-1)+2)</f>
        <v>18.7209332932605</v>
      </c>
      <c r="R37" s="184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7" s="44" t="str">
        <f aca="false">IF(R37="—","—",IF(R37="A","基準輸入",IF(R37="B","情境、相對比較、反轉門檻","探索")))&amp;"；上限，不得作預測"</f>
        <v>情境、相對比較、反轉門檻；上限，不得作預測</v>
      </c>
      <c r="T37" s="30" t="s">
        <v>2792</v>
      </c>
      <c r="U37" s="44" t="str">
        <f aca="false">IF(V37=0,"—",LEFT(TEXT(V37,"0"),4)&amp;"-"&amp;MID(TEXT(V37,"0"),5,2)&amp;"-"&amp;RIGHT(TEXT(V37,"0"),2))</f>
        <v>2026-10-05</v>
      </c>
      <c r="V3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7" s="21" t="s">
        <v>2803</v>
      </c>
      <c r="X37" s="32" t="n">
        <f aca="false">IF(ISNUMBER(FIND("上限",S37)),1,0)</f>
        <v>1</v>
      </c>
      <c r="Y37" s="32" t="n">
        <v>1</v>
      </c>
    </row>
    <row r="38" customFormat="false" ht="15" hidden="false" customHeight="true" outlineLevel="0" collapsed="false">
      <c r="A38" s="8" t="s">
        <v>280</v>
      </c>
    </row>
    <row r="39" customFormat="false" ht="15" hidden="false" customHeight="true" outlineLevel="0" collapsed="false">
      <c r="A39" s="44" t="s">
        <v>2810</v>
      </c>
      <c r="B39" s="30" t="s">
        <v>389</v>
      </c>
      <c r="C39" s="49" t="n">
        <f aca="false">INDEX(Perf!$C$95:$Q$95,3*(Unit_Cost!C$6-1)+3)</f>
        <v>9622.21082709152</v>
      </c>
      <c r="D39" s="49" t="n">
        <f aca="false">INDEX(Perf!$C$95:$Q$95,3*(Unit_Cost!D$6-1)+3)</f>
        <v>9622.21082709152</v>
      </c>
      <c r="E39" s="49" t="n">
        <f aca="false">INDEX(Perf!$C$95:$Q$95,3*(Unit_Cost!E$6-1)+3)</f>
        <v>9622.21082709152</v>
      </c>
      <c r="F39" s="49" t="n">
        <f aca="false">INDEX(Perf!$C$95:$Q$95,3*(Unit_Cost!F$6-1)+3)</f>
        <v>135446.917360121</v>
      </c>
      <c r="G39" s="49" t="n">
        <f aca="false">INDEX(Perf!$C$95:$Q$95,3*(Unit_Cost!G$6-1)+3)</f>
        <v>135446.917360121</v>
      </c>
      <c r="H39" s="49" t="n">
        <f aca="false">INDEX(Perf!$C$95:$Q$95,3*(Unit_Cost!H$6-1)+3)</f>
        <v>135446.917360121</v>
      </c>
      <c r="I39" s="49" t="n">
        <f aca="false">INDEX(Perf!$C$95:$Q$95,3*(Unit_Cost!I$6-1)+3)</f>
        <v>184041.626877104</v>
      </c>
      <c r="J39" s="49" t="n">
        <f aca="false">INDEX(Perf!$C$95:$Q$95,3*(Unit_Cost!J$6-1)+3)</f>
        <v>184041.626877104</v>
      </c>
      <c r="K39" s="49" t="n">
        <f aca="false">INDEX(Perf!$C$95:$Q$95,3*(Unit_Cost!K$6-1)+3)</f>
        <v>184041.626877104</v>
      </c>
      <c r="L39" s="49" t="n">
        <f aca="false">INDEX(Perf!$C$95:$Q$95,3*(Unit_Cost!L$6-1)+3)</f>
        <v>544866.832675706</v>
      </c>
      <c r="M39" s="49" t="n">
        <f aca="false">INDEX(Perf!$C$95:$Q$95,3*(Unit_Cost!M$6-1)+3)</f>
        <v>544866.832675706</v>
      </c>
      <c r="N39" s="49" t="n">
        <f aca="false">INDEX(Perf!$C$95:$Q$95,3*(Unit_Cost!N$6-1)+3)</f>
        <v>544866.832675706</v>
      </c>
      <c r="O39" s="49" t="n">
        <f aca="false">INDEX(Perf!$C$95:$Q$95,3*(Unit_Cost!O$6-1)+3)</f>
        <v>1154934.71648486</v>
      </c>
      <c r="P39" s="49" t="n">
        <f aca="false">INDEX(Perf!$C$95:$Q$95,3*(Unit_Cost!P$6-1)+3)</f>
        <v>1154934.71648486</v>
      </c>
      <c r="Q39" s="49" t="n">
        <f aca="false">INDEX(Perf!$C$95:$Q$95,3*(Unit_Cost!Q$6-1)+3)</f>
        <v>1154934.71648486</v>
      </c>
      <c r="R39" s="184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39" s="44" t="str">
        <f aca="false">IF(R39="—","—",IF(R39="A","基準輸入",IF(R39="B","情境、相對比較、反轉門檻","探索")))&amp;"；上限，不得作預測"</f>
        <v>情境、相對比較、反轉門檻；上限，不得作預測</v>
      </c>
      <c r="T39" s="30" t="s">
        <v>2792</v>
      </c>
      <c r="U39" s="44" t="str">
        <f aca="false">IF(V39=0,"—",LEFT(TEXT(V39,"0"),4)&amp;"-"&amp;MID(TEXT(V39,"0"),5,2)&amp;"-"&amp;RIGHT(TEXT(V39,"0"),2))</f>
        <v>2026-10-05</v>
      </c>
      <c r="V39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39" s="21" t="s">
        <v>2793</v>
      </c>
      <c r="X39" s="32" t="n">
        <f aca="false">IF(ISNUMBER(FIND("上限",S39)),1,0)</f>
        <v>1</v>
      </c>
      <c r="Y39" s="32" t="n">
        <v>1</v>
      </c>
    </row>
    <row r="40" customFormat="false" ht="15" hidden="false" customHeight="true" outlineLevel="0" collapsed="false">
      <c r="A40" s="44" t="s">
        <v>2811</v>
      </c>
      <c r="B40" s="30" t="s">
        <v>389</v>
      </c>
      <c r="C40" s="49" t="n">
        <f aca="false">INDEX(Perf!$C$96:$Q$96,3*(Unit_Cost!C$6-1)+3)</f>
        <v>1069.1345363435</v>
      </c>
      <c r="D40" s="49" t="n">
        <f aca="false">INDEX(Perf!$C$96:$Q$96,3*(Unit_Cost!D$6-1)+3)</f>
        <v>1069.1345363435</v>
      </c>
      <c r="E40" s="49" t="n">
        <f aca="false">INDEX(Perf!$C$96:$Q$96,3*(Unit_Cost!E$6-1)+3)</f>
        <v>1069.1345363435</v>
      </c>
      <c r="F40" s="49" t="n">
        <f aca="false">INDEX(Perf!$C$96:$Q$96,3*(Unit_Cost!F$6-1)+3)</f>
        <v>15049.6574844579</v>
      </c>
      <c r="G40" s="49" t="n">
        <f aca="false">INDEX(Perf!$C$96:$Q$96,3*(Unit_Cost!G$6-1)+3)</f>
        <v>15049.6574844579</v>
      </c>
      <c r="H40" s="49" t="n">
        <f aca="false">INDEX(Perf!$C$96:$Q$96,3*(Unit_Cost!H$6-1)+3)</f>
        <v>15049.6574844579</v>
      </c>
      <c r="I40" s="49" t="n">
        <f aca="false">INDEX(Perf!$C$96:$Q$96,3*(Unit_Cost!I$6-1)+3)</f>
        <v>20449.0696530116</v>
      </c>
      <c r="J40" s="49" t="n">
        <f aca="false">INDEX(Perf!$C$96:$Q$96,3*(Unit_Cost!J$6-1)+3)</f>
        <v>20449.0696530116</v>
      </c>
      <c r="K40" s="49" t="n">
        <f aca="false">INDEX(Perf!$C$96:$Q$96,3*(Unit_Cost!K$6-1)+3)</f>
        <v>20449.0696530116</v>
      </c>
      <c r="L40" s="49" t="n">
        <f aca="false">INDEX(Perf!$C$96:$Q$96,3*(Unit_Cost!L$6-1)+3)</f>
        <v>60540.7591861895</v>
      </c>
      <c r="M40" s="49" t="n">
        <f aca="false">INDEX(Perf!$C$96:$Q$96,3*(Unit_Cost!M$6-1)+3)</f>
        <v>60540.7591861895</v>
      </c>
      <c r="N40" s="49" t="n">
        <f aca="false">INDEX(Perf!$C$96:$Q$96,3*(Unit_Cost!N$6-1)+3)</f>
        <v>60540.7591861895</v>
      </c>
      <c r="O40" s="49" t="n">
        <f aca="false">INDEX(Perf!$C$96:$Q$96,3*(Unit_Cost!O$6-1)+3)</f>
        <v>128326.079609429</v>
      </c>
      <c r="P40" s="49" t="n">
        <f aca="false">INDEX(Perf!$C$96:$Q$96,3*(Unit_Cost!P$6-1)+3)</f>
        <v>128326.079609429</v>
      </c>
      <c r="Q40" s="49" t="n">
        <f aca="false">INDEX(Perf!$C$96:$Q$96,3*(Unit_Cost!Q$6-1)+3)</f>
        <v>128326.079609429</v>
      </c>
      <c r="R40" s="184" t="str">
        <f aca="false">IF(SUM(Gov_Map!$AG$69:$AG$73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$69:$AH$73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0" s="44" t="str">
        <f aca="false">IF(R40="—","—",IF(R40="A","基準輸入",IF(R40="B","情境、相對比較、反轉門檻","探索")))&amp;"；上限，不得作預測"</f>
        <v>情境、相對比較、反轉門檻；上限，不得作預測</v>
      </c>
      <c r="T40" s="30" t="s">
        <v>2792</v>
      </c>
      <c r="U40" s="44" t="str">
        <f aca="false">IF(V40=0,"—",LEFT(TEXT(V40,"0"),4)&amp;"-"&amp;MID(TEXT(V40,"0"),5,2)&amp;"-"&amp;RIGHT(TEXT(V40,"0"),2))</f>
        <v>2026-10-05</v>
      </c>
      <c r="V40" s="33" t="n">
        <f aca="false">MAX(Gov_Map!$AJ$69:$AJ$73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0" s="21" t="s">
        <v>2793</v>
      </c>
      <c r="X40" s="32" t="n">
        <f aca="false">IF(ISNUMBER(FIND("上限",S40)),1,0)</f>
        <v>1</v>
      </c>
      <c r="Y40" s="32" t="n">
        <v>1</v>
      </c>
    </row>
    <row r="41" customFormat="false" ht="15" hidden="false" customHeight="true" outlineLevel="0" collapsed="false">
      <c r="A41" s="44" t="s">
        <v>2739</v>
      </c>
      <c r="B41" s="30" t="s">
        <v>931</v>
      </c>
      <c r="C41" s="191" t="n">
        <f aca="false">INDEX(Perf!$C$98:$Q$98,3*(Unit_Cost!C$6-1)+3)</f>
        <v>6809025705.99183</v>
      </c>
      <c r="D41" s="191" t="n">
        <f aca="false">INDEX(Perf!$C$98:$Q$98,3*(Unit_Cost!D$6-1)+3)</f>
        <v>6809025705.99183</v>
      </c>
      <c r="E41" s="191" t="n">
        <f aca="false">INDEX(Perf!$C$98:$Q$98,3*(Unit_Cost!E$6-1)+3)</f>
        <v>6809025705.99183</v>
      </c>
      <c r="F41" s="191" t="n">
        <f aca="false">INDEX(Perf!$C$98:$Q$98,3*(Unit_Cost!F$6-1)+3)</f>
        <v>29767762827.5194</v>
      </c>
      <c r="G41" s="191" t="n">
        <f aca="false">INDEX(Perf!$C$98:$Q$98,3*(Unit_Cost!G$6-1)+3)</f>
        <v>29767762827.5194</v>
      </c>
      <c r="H41" s="191" t="n">
        <f aca="false">INDEX(Perf!$C$98:$Q$98,3*(Unit_Cost!H$6-1)+3)</f>
        <v>29767762827.5194</v>
      </c>
      <c r="I41" s="191" t="n">
        <f aca="false">INDEX(Perf!$C$98:$Q$98,3*(Unit_Cost!I$6-1)+3)</f>
        <v>39257828144.5082</v>
      </c>
      <c r="J41" s="191" t="n">
        <f aca="false">INDEX(Perf!$C$98:$Q$98,3*(Unit_Cost!J$6-1)+3)</f>
        <v>39257828144.5082</v>
      </c>
      <c r="K41" s="191" t="n">
        <f aca="false">INDEX(Perf!$C$98:$Q$98,3*(Unit_Cost!K$6-1)+3)</f>
        <v>39257828144.5082</v>
      </c>
      <c r="L41" s="191" t="n">
        <f aca="false">INDEX(Perf!$C$98:$Q$98,3*(Unit_Cost!L$6-1)+3)</f>
        <v>69625193603.6778</v>
      </c>
      <c r="M41" s="191" t="n">
        <f aca="false">INDEX(Perf!$C$98:$Q$98,3*(Unit_Cost!M$6-1)+3)</f>
        <v>69625193603.6778</v>
      </c>
      <c r="N41" s="191" t="n">
        <f aca="false">INDEX(Perf!$C$98:$Q$98,3*(Unit_Cost!N$6-1)+3)</f>
        <v>69625193603.6778</v>
      </c>
      <c r="O41" s="191" t="n">
        <f aca="false">INDEX(Perf!$C$98:$Q$98,3*(Unit_Cost!O$6-1)+3)</f>
        <v>98521567397.5749</v>
      </c>
      <c r="P41" s="191" t="n">
        <f aca="false">INDEX(Perf!$C$98:$Q$98,3*(Unit_Cost!P$6-1)+3)</f>
        <v>98521567397.5749</v>
      </c>
      <c r="Q41" s="191" t="n">
        <f aca="false">INDEX(Perf!$C$98:$Q$98,3*(Unit_Cost!Q$6-1)+3)</f>
        <v>98521567397.5749</v>
      </c>
      <c r="R41" s="184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1" s="44" t="str">
        <f aca="false">IF(R41="—","—",IF(R41="A","基準輸入",IF(R41="B","情境、相對比較、反轉門檻","探索")))&amp;"；上限，不得作預測"</f>
        <v>情境、相對比較、反轉門檻；上限，不得作預測</v>
      </c>
      <c r="T41" s="30" t="s">
        <v>2792</v>
      </c>
      <c r="U41" s="44" t="str">
        <f aca="false">IF(V41=0,"—",LEFT(TEXT(V41,"0"),4)&amp;"-"&amp;MID(TEXT(V41,"0"),5,2)&amp;"-"&amp;RIGHT(TEXT(V41,"0"),2))</f>
        <v>2026-10-05</v>
      </c>
      <c r="V41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1" s="21" t="s">
        <v>2795</v>
      </c>
      <c r="X41" s="32" t="n">
        <f aca="false">IF(ISNUMBER(FIND("上限",S41)),1,0)</f>
        <v>1</v>
      </c>
      <c r="Y41" s="32" t="n">
        <v>1</v>
      </c>
    </row>
    <row r="42" customFormat="false" ht="15" hidden="false" customHeight="true" outlineLevel="0" collapsed="false">
      <c r="A42" s="30" t="s">
        <v>2812</v>
      </c>
      <c r="B42" s="30" t="s">
        <v>118</v>
      </c>
      <c r="C42" s="192" t="n">
        <f aca="false">INDEX(Perf!$C$120:$Q$120,3*(Unit_Cost!C$6-1)+3)</f>
        <v>0.0977954294066359</v>
      </c>
      <c r="D42" s="192" t="n">
        <f aca="false">INDEX(Perf!$C$120:$Q$120,3*(Unit_Cost!D$6-1)+3)</f>
        <v>0.0977954294066359</v>
      </c>
      <c r="E42" s="192" t="n">
        <f aca="false">INDEX(Perf!$C$120:$Q$120,3*(Unit_Cost!E$6-1)+3)</f>
        <v>0.0977954294066359</v>
      </c>
      <c r="F42" s="192" t="n">
        <f aca="false">INDEX(Perf!$C$120:$Q$120,3*(Unit_Cost!F$6-1)+3)</f>
        <v>0.427542981021557</v>
      </c>
      <c r="G42" s="192" t="n">
        <f aca="false">INDEX(Perf!$C$120:$Q$120,3*(Unit_Cost!G$6-1)+3)</f>
        <v>0.427542981021557</v>
      </c>
      <c r="H42" s="192" t="n">
        <f aca="false">INDEX(Perf!$C$120:$Q$120,3*(Unit_Cost!H$6-1)+3)</f>
        <v>0.427542981021557</v>
      </c>
      <c r="I42" s="192" t="n">
        <f aca="false">INDEX(Perf!$C$120:$Q$120,3*(Unit_Cost!I$6-1)+3)</f>
        <v>0.563845155935545</v>
      </c>
      <c r="J42" s="192" t="n">
        <f aca="false">INDEX(Perf!$C$120:$Q$120,3*(Unit_Cost!J$6-1)+3)</f>
        <v>0.563845155935545</v>
      </c>
      <c r="K42" s="192" t="n">
        <f aca="false">INDEX(Perf!$C$120:$Q$120,3*(Unit_Cost!K$6-1)+3)</f>
        <v>0.563845155935545</v>
      </c>
      <c r="L42" s="192" t="n">
        <f aca="false">INDEX(Perf!$C$120:$Q$120,3*(Unit_Cost!L$6-1)+3)</f>
        <v>1</v>
      </c>
      <c r="M42" s="192" t="n">
        <f aca="false">INDEX(Perf!$C$120:$Q$120,3*(Unit_Cost!M$6-1)+3)</f>
        <v>1</v>
      </c>
      <c r="N42" s="192" t="n">
        <f aca="false">INDEX(Perf!$C$120:$Q$120,3*(Unit_Cost!N$6-1)+3)</f>
        <v>1</v>
      </c>
      <c r="O42" s="192" t="n">
        <f aca="false">INDEX(Perf!$C$120:$Q$120,3*(Unit_Cost!O$6-1)+3)</f>
        <v>1.41502755393948</v>
      </c>
      <c r="P42" s="192" t="n">
        <f aca="false">INDEX(Perf!$C$120:$Q$120,3*(Unit_Cost!P$6-1)+3)</f>
        <v>1.41502755393948</v>
      </c>
      <c r="Q42" s="192" t="n">
        <f aca="false">INDEX(Perf!$C$120:$Q$120,3*(Unit_Cost!Q$6-1)+3)</f>
        <v>1.41502755393948</v>
      </c>
      <c r="R42" s="184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2" s="44" t="str">
        <f aca="false">IF(R42="—","—",IF(R42="A","基準輸入",IF(R42="B","情境、相對比較、反轉門檻","探索")))&amp;"；上限，不得作預測"</f>
        <v>情境、相對比較、反轉門檻；上限，不得作預測</v>
      </c>
      <c r="T42" s="30" t="s">
        <v>2792</v>
      </c>
      <c r="U42" s="44" t="str">
        <f aca="false">IF(V42=0,"—",LEFT(TEXT(V42,"0"),4)&amp;"-"&amp;MID(TEXT(V42,"0"),5,2)&amp;"-"&amp;RIGHT(TEXT(V42,"0"),2))</f>
        <v>2026-10-05</v>
      </c>
      <c r="V42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2" s="21" t="s">
        <v>2795</v>
      </c>
      <c r="X42" s="32" t="n">
        <f aca="false">IF(ISNUMBER(FIND("上限",S42)),1,0)</f>
        <v>1</v>
      </c>
      <c r="Y42" s="32" t="n">
        <v>1</v>
      </c>
    </row>
    <row r="43" customFormat="false" ht="15" hidden="false" customHeight="true" outlineLevel="0" collapsed="false">
      <c r="A43" s="44" t="s">
        <v>2740</v>
      </c>
      <c r="B43" s="30" t="s">
        <v>976</v>
      </c>
      <c r="C43" s="46" t="n">
        <f aca="false">Unit_Cost!C42</f>
        <v>0.445283898601385</v>
      </c>
      <c r="D43" s="46" t="n">
        <f aca="false">Unit_Cost!D42</f>
        <v>0.636221622619591</v>
      </c>
      <c r="E43" s="46" t="n">
        <f aca="false">Unit_Cost!E42</f>
        <v>1.09262653280539</v>
      </c>
      <c r="F43" s="46" t="n">
        <f aca="false">Unit_Cost!F42</f>
        <v>0.061357276139298</v>
      </c>
      <c r="G43" s="46" t="n">
        <f aca="false">Unit_Cost!G42</f>
        <v>0.0819248705356724</v>
      </c>
      <c r="H43" s="46" t="n">
        <f aca="false">Unit_Cost!H42</f>
        <v>0.132875554163212</v>
      </c>
      <c r="I43" s="46" t="n">
        <f aca="false">Unit_Cost!I42</f>
        <v>0.0537268967983248</v>
      </c>
      <c r="J43" s="46" t="n">
        <f aca="false">Unit_Cost!J42</f>
        <v>0.0693913964360257</v>
      </c>
      <c r="K43" s="46" t="n">
        <f aca="false">Unit_Cost!K42</f>
        <v>0.118142235648023</v>
      </c>
      <c r="L43" s="46" t="n">
        <f aca="false">Unit_Cost!L42</f>
        <v>0.0433764125987652</v>
      </c>
      <c r="M43" s="46" t="n">
        <f aca="false">Unit_Cost!M42</f>
        <v>0.0557498724040708</v>
      </c>
      <c r="N43" s="46" t="n">
        <f aca="false">Unit_Cost!N42</f>
        <v>0.0900656452540185</v>
      </c>
      <c r="O43" s="46" t="n">
        <f aca="false">Unit_Cost!O42</f>
        <v>0.0345049362606085</v>
      </c>
      <c r="P43" s="46" t="n">
        <f aca="false">Unit_Cost!P42</f>
        <v>0.0524427719375976</v>
      </c>
      <c r="Q43" s="46" t="n">
        <f aca="false">Unit_Cost!Q42</f>
        <v>0.0957364552675877</v>
      </c>
      <c r="R43" s="184" t="str">
        <f aca="false">IF(SUM(Gov_Map!$AG$5:$AG$113,Gov_Map!$AG$181:$AG$186,Gov_Map!$AG$195:$AG$200,Gov_Map!$AG$202,Gov_Map!$AG$204:$AG$206,Gov_Map!$AG$208:$AG$209,Gov_Map!$AG$211:$AG$212,Gov_Map!$AG$217:$AG$220,Gov_Map!$AG$241:$AG$242,Gov_Map!$AG$249:$AG$251,Gov_Map!$AG$308,Gov_Map!$AG$355:$AG$359,Gov_Map!$AG$419:$AG$420,Gov_Map!$AG$430,Gov_Map!$AG$510:$AG$518,Gov_Map!$AG$521:$AG$522,Gov_Map!$AG$605:$AG$611,Gov_Map!$AG$660)&gt;0,"C",IF(SUM(Gov_Map!$AH$5:$AH$113,Gov_Map!$AH$181:$AH$186,Gov_Map!$AH$195:$AH$200,Gov_Map!$AH$202,Gov_Map!$AH$204:$AH$206,Gov_Map!$AH$208:$AH$209,Gov_Map!$AH$211:$AH$212,Gov_Map!$AH$217:$AH$220,Gov_Map!$AH$241:$AH$242,Gov_Map!$AH$249:$AH$251,Gov_Map!$AH$308,Gov_Map!$AH$355:$AH$359,Gov_Map!$AH$419:$AH$420,Gov_Map!$AH$430,Gov_Map!$AH$510:$AH$518,Gov_Map!$AH$521:$AH$522,Gov_Map!$AH$605:$AH$611,Gov_Map!$AH$660)&gt;0,"B","A"))</f>
        <v>B</v>
      </c>
      <c r="S43" s="44" t="str">
        <f aca="false">IF(R43="—","—",IF(R43="A","基準輸入",IF(R43="B","情境、相對比較、反轉門檻","探索")))&amp;"；上限，不得作預測"</f>
        <v>情境、相對比較、反轉門檻；上限，不得作預測</v>
      </c>
      <c r="T43" s="30" t="s">
        <v>2792</v>
      </c>
      <c r="U43" s="44" t="str">
        <f aca="false">IF(V43=0,"—",LEFT(TEXT(V43,"0"),4)&amp;"-"&amp;MID(TEXT(V43,"0"),5,2)&amp;"-"&amp;RIGHT(TEXT(V43,"0"),2))</f>
        <v>2026-10-08</v>
      </c>
      <c r="V43" s="33" t="n">
        <f aca="false">MAX(Gov_Map!$AJ$5:$AJ$113,Gov_Map!$AJ$181:$AJ$186,Gov_Map!$AJ$195:$AJ$200,Gov_Map!$AJ$202,Gov_Map!$AJ$204:$AJ$206,Gov_Map!$AJ$208:$AJ$209,Gov_Map!$AJ$211:$AJ$212,Gov_Map!$AJ$217:$AJ$220,Gov_Map!$AJ$241:$AJ$242,Gov_Map!$AJ$249:$AJ$251,Gov_Map!$AJ$308,Gov_Map!$AJ$355:$AJ$359,Gov_Map!$AJ$419:$AJ$420,Gov_Map!$AJ$430,Gov_Map!$AJ$510:$AJ$518,Gov_Map!$AJ$521:$AJ$522,Gov_Map!$AJ$605:$AJ$611,Gov_Map!$AJ$660)</f>
        <v>20261008</v>
      </c>
      <c r="W43" s="21" t="s">
        <v>2797</v>
      </c>
      <c r="X43" s="32" t="n">
        <f aca="false">IF(ISNUMBER(FIND("上限",S43)),1,0)</f>
        <v>1</v>
      </c>
      <c r="Y43" s="32" t="n">
        <v>1</v>
      </c>
    </row>
    <row r="44" customFormat="false" ht="15" hidden="false" customHeight="true" outlineLevel="0" collapsed="false">
      <c r="A44" s="44" t="s">
        <v>2813</v>
      </c>
      <c r="B44" s="30" t="s">
        <v>976</v>
      </c>
      <c r="C44" s="193" t="n">
        <f aca="false">Unit_Cost!C43</f>
        <v>0.000172743177629224</v>
      </c>
      <c r="D44" s="193" t="n">
        <f aca="false">Unit_Cost!D43</f>
        <v>0.000246815447656943</v>
      </c>
      <c r="E44" s="193" t="n">
        <f aca="false">Unit_Cost!E43</f>
        <v>0.000423872904076792</v>
      </c>
      <c r="F44" s="193" t="n">
        <f aca="false">Unit_Cost!F43</f>
        <v>0.000240676503089255</v>
      </c>
      <c r="G44" s="193" t="n">
        <f aca="false">Unit_Cost!G43</f>
        <v>0.000321353759443325</v>
      </c>
      <c r="H44" s="193" t="n">
        <f aca="false">Unit_Cost!H43</f>
        <v>0.000521209964559791</v>
      </c>
      <c r="I44" s="193" t="n">
        <f aca="false">Unit_Cost!I43</f>
        <v>0.000316119027527436</v>
      </c>
      <c r="J44" s="193" t="n">
        <f aca="false">Unit_Cost!J43</f>
        <v>0.000408286018127352</v>
      </c>
      <c r="K44" s="193" t="n">
        <f aca="false">Unit_Cost!K43</f>
        <v>0.000695126852071133</v>
      </c>
      <c r="L44" s="193" t="n">
        <f aca="false">Unit_Cost!L43</f>
        <v>0.000595510326598316</v>
      </c>
      <c r="M44" s="193" t="n">
        <f aca="false">Unit_Cost!M43</f>
        <v>0.000765384289158751</v>
      </c>
      <c r="N44" s="193" t="n">
        <f aca="false">Unit_Cost!N43</f>
        <v>0.00123650202050216</v>
      </c>
      <c r="O44" s="193" t="n">
        <f aca="false">Unit_Cost!O43</f>
        <v>0.00094742947287411</v>
      </c>
      <c r="P44" s="193" t="n">
        <f aca="false">Unit_Cost!P43</f>
        <v>0.00143996289103764</v>
      </c>
      <c r="Q44" s="193" t="n">
        <f aca="false">Unit_Cost!Q43</f>
        <v>0.00262871198091606</v>
      </c>
      <c r="R44" s="184" t="str">
        <f aca="false">IF(SUM(Gov_Map!$AG$5:$AG$103,Gov_Map!$AG$183:$AG$184,Gov_Map!$AG$209,Gov_Map!$AG$212,Gov_Map!$AG$221:$AG$230,Gov_Map!$AG$239,Gov_Map!$AG$420,Gov_Map!$AG$430,Gov_Map!$AG$510:$AG$518,Gov_Map!$AG$521:$AG$522,Gov_Map!$AG$574:$AG$578,Gov_Map!$AG$605:$AG$611)&gt;0,"C",IF(SUM(Gov_Map!$AH$5:$AH$103,Gov_Map!$AH$183:$AH$184,Gov_Map!$AH$209,Gov_Map!$AH$212,Gov_Map!$AH$221:$AH$230,Gov_Map!$AH$239,Gov_Map!$AH$420,Gov_Map!$AH$430,Gov_Map!$AH$510:$AH$518,Gov_Map!$AH$521:$AH$522,Gov_Map!$AH$574:$AH$578,Gov_Map!$AH$605:$AH$611)&gt;0,"B","A"))</f>
        <v>B</v>
      </c>
      <c r="S44" s="44" t="str">
        <f aca="false">IF(R44="—","—",IF(R44="A","基準輸入",IF(R44="B","情境、相對比較、反轉門檻","探索")))&amp;"；上限，不得作預測"</f>
        <v>情境、相對比較、反轉門檻；上限，不得作預測</v>
      </c>
      <c r="T44" s="30" t="s">
        <v>2792</v>
      </c>
      <c r="U44" s="44" t="str">
        <f aca="false">IF(V44=0,"—",LEFT(TEXT(V44,"0"),4)&amp;"-"&amp;MID(TEXT(V44,"0"),5,2)&amp;"-"&amp;RIGHT(TEXT(V44,"0"),2))</f>
        <v>2026-10-08</v>
      </c>
      <c r="V44" s="33" t="n">
        <f aca="false">MAX(Gov_Map!$AJ$5:$AJ$103,Gov_Map!$AJ$183:$AJ$184,Gov_Map!$AJ$209,Gov_Map!$AJ$212,Gov_Map!$AJ$221:$AJ$230,Gov_Map!$AJ$239,Gov_Map!$AJ$420,Gov_Map!$AJ$430,Gov_Map!$AJ$510:$AJ$518,Gov_Map!$AJ$521:$AJ$522,Gov_Map!$AJ$574:$AJ$578,Gov_Map!$AJ$605:$AJ$611)</f>
        <v>20261008</v>
      </c>
      <c r="W44" s="21" t="s">
        <v>2799</v>
      </c>
      <c r="X44" s="32" t="n">
        <f aca="false">IF(ISNUMBER(FIND("上限",S44)),1,0)</f>
        <v>1</v>
      </c>
      <c r="Y44" s="32" t="n">
        <v>1</v>
      </c>
    </row>
    <row r="45" customFormat="false" ht="15" hidden="false" customHeight="true" outlineLevel="0" collapsed="false">
      <c r="A45" s="30" t="s">
        <v>2741</v>
      </c>
      <c r="B45" s="30" t="s">
        <v>976</v>
      </c>
      <c r="C45" s="55" t="n">
        <f aca="false">Unit_Cost!C44</f>
        <v>7.37325071219114</v>
      </c>
      <c r="D45" s="55" t="n">
        <f aca="false">Unit_Cost!D44</f>
        <v>10.5349004238096</v>
      </c>
      <c r="E45" s="55" t="n">
        <f aca="false">Unit_Cost!E44</f>
        <v>18.0922988378211</v>
      </c>
      <c r="F45" s="55" t="n">
        <f aca="false">Unit_Cost!F44</f>
        <v>1.77813357875555</v>
      </c>
      <c r="G45" s="55" t="n">
        <f aca="false">Unit_Cost!G44</f>
        <v>2.37418236924275</v>
      </c>
      <c r="H45" s="55" t="n">
        <f aca="false">Unit_Cost!H44</f>
        <v>3.8507329451353</v>
      </c>
      <c r="I45" s="55" t="n">
        <f aca="false">Unit_Cost!I44</f>
        <v>1.73893897604108</v>
      </c>
      <c r="J45" s="55" t="n">
        <f aca="false">Unit_Cost!J44</f>
        <v>2.24594032142734</v>
      </c>
      <c r="K45" s="55" t="n">
        <f aca="false">Unit_Cost!K44</f>
        <v>3.82382289928538</v>
      </c>
      <c r="L45" s="55" t="n">
        <f aca="false">Unit_Cost!L44</f>
        <v>1.07340978673099</v>
      </c>
      <c r="M45" s="55" t="n">
        <f aca="false">Unit_Cost!M44</f>
        <v>1.37960829543652</v>
      </c>
      <c r="N45" s="55" t="n">
        <f aca="false">Unit_Cost!N44</f>
        <v>2.2287999230867</v>
      </c>
      <c r="O45" s="55" t="n">
        <f aca="false">Unit_Cost!O44</f>
        <v>0.798655307714581</v>
      </c>
      <c r="P45" s="55" t="n">
        <f aca="false">Unit_Cost!P44</f>
        <v>1.21384655931224</v>
      </c>
      <c r="Q45" s="55" t="n">
        <f aca="false">Unit_Cost!Q44</f>
        <v>2.2159272390405</v>
      </c>
      <c r="R45" s="184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45" s="44" t="str">
        <f aca="false">IF(R45="—","—",IF(R45="A","基準輸入",IF(R45="B","情境、相對比較、反轉門檻","探索")))&amp;"；上限，不得作預測"</f>
        <v>情境、相對比較、反轉門檻；上限，不得作預測</v>
      </c>
      <c r="T45" s="30" t="s">
        <v>2792</v>
      </c>
      <c r="U45" s="44" t="str">
        <f aca="false">IF(V45=0,"—",LEFT(TEXT(V45,"0"),4)&amp;"-"&amp;MID(TEXT(V45,"0"),5,2)&amp;"-"&amp;RIGHT(TEXT(V45,"0"),2))</f>
        <v>2026-10-08</v>
      </c>
      <c r="V45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45" s="21" t="s">
        <v>2800</v>
      </c>
      <c r="X45" s="32" t="n">
        <f aca="false">IF(ISNUMBER(FIND("上限",S45)),1,0)</f>
        <v>1</v>
      </c>
      <c r="Y45" s="32" t="n">
        <v>1</v>
      </c>
    </row>
    <row r="46" customFormat="false" ht="15" hidden="false" customHeight="true" outlineLevel="0" collapsed="false">
      <c r="A46" s="30" t="s">
        <v>2814</v>
      </c>
      <c r="B46" s="30" t="s">
        <v>976</v>
      </c>
      <c r="C46" s="46" t="n">
        <f aca="false">Unit_Cost!C48</f>
        <v>5.63492539326528</v>
      </c>
      <c r="D46" s="46" t="n">
        <f aca="false">Unit_Cost!D48</f>
        <v>7.7131321843778</v>
      </c>
      <c r="E46" s="46" t="n">
        <f aca="false">Unit_Cost!E48</f>
        <v>13.2535417622127</v>
      </c>
      <c r="F46" s="46" t="n">
        <f aca="false">Unit_Cost!F48</f>
        <v>1.35797969425295</v>
      </c>
      <c r="G46" s="46" t="n">
        <f aca="false">Unit_Cost!G48</f>
        <v>1.73439493762771</v>
      </c>
      <c r="H46" s="46" t="n">
        <f aca="false">Unit_Cost!H48</f>
        <v>2.80217074091476</v>
      </c>
      <c r="I46" s="46" t="n">
        <f aca="false">Unit_Cost!I48</f>
        <v>1.3355481118788</v>
      </c>
      <c r="J46" s="46" t="n">
        <f aca="false">Unit_Cost!J48</f>
        <v>1.64837505311547</v>
      </c>
      <c r="K46" s="46" t="n">
        <f aca="false">Unit_Cost!K48</f>
        <v>2.81258511681028</v>
      </c>
      <c r="L46" s="46" t="n">
        <f aca="false">Unit_Cost!L48</f>
        <v>0.826323979047403</v>
      </c>
      <c r="M46" s="46" t="n">
        <f aca="false">Unit_Cost!M48</f>
        <v>1.01475497225623</v>
      </c>
      <c r="N46" s="46" t="n">
        <f aca="false">Unit_Cost!N48</f>
        <v>1.64303339732443</v>
      </c>
      <c r="O46" s="46" t="n">
        <f aca="false">Unit_Cost!O48</f>
        <v>0.615463920850042</v>
      </c>
      <c r="P46" s="46" t="n">
        <f aca="false">Unit_Cost!P48</f>
        <v>0.896054720530943</v>
      </c>
      <c r="Q46" s="46" t="n">
        <f aca="false">Unit_Cost!Q48</f>
        <v>1.64990867868985</v>
      </c>
      <c r="R46" s="184" t="str">
        <f aca="false">IF(SUM(Gov_Map!$AG$5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$605:$AG$611,Gov_Map!$AG$660)&gt;0,"C",IF(SUM(Gov_Map!$AH$5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$605:$AH$611,Gov_Map!$AH$660)&gt;0,"B","A"))</f>
        <v>B</v>
      </c>
      <c r="S46" s="44" t="str">
        <f aca="false">IF(R46="—","—",IF(R46="A","基準輸入",IF(R46="B","情境、相對比較、反轉門檻","探索")))&amp;"；上限，不得作預測"</f>
        <v>情境、相對比較、反轉門檻；上限，不得作預測</v>
      </c>
      <c r="T46" s="30" t="s">
        <v>2792</v>
      </c>
      <c r="U46" s="44" t="str">
        <f aca="false">IF(V46=0,"—",LEFT(TEXT(V46,"0"),4)&amp;"-"&amp;MID(TEXT(V46,"0"),5,2)&amp;"-"&amp;RIGHT(TEXT(V46,"0"),2))</f>
        <v>2026-10-08</v>
      </c>
      <c r="V46" s="33" t="n">
        <f aca="false">MAX(Gov_Map!$AJ$5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$605:$AJ$611,Gov_Map!$AJ$660)</f>
        <v>20261008</v>
      </c>
      <c r="W46" s="21" t="s">
        <v>2800</v>
      </c>
      <c r="X46" s="32" t="n">
        <f aca="false">IF(ISNUMBER(FIND("上限",S46)),1,0)</f>
        <v>1</v>
      </c>
      <c r="Y46" s="32" t="n">
        <v>1</v>
      </c>
    </row>
    <row r="47" customFormat="false" ht="15" hidden="false" customHeight="true" outlineLevel="0" collapsed="false">
      <c r="A47" s="30" t="s">
        <v>2815</v>
      </c>
      <c r="B47" s="30" t="s">
        <v>953</v>
      </c>
      <c r="C47" s="51" t="n">
        <f aca="false">INDEX(Perf!$C$117:$Q$117,3*(Unit_Cost!C$6-1)+3)</f>
        <v>0.293360086191815</v>
      </c>
      <c r="D47" s="51" t="n">
        <f aca="false">INDEX(Perf!$C$117:$Q$117,3*(Unit_Cost!D$6-1)+3)</f>
        <v>0.293360086191815</v>
      </c>
      <c r="E47" s="51" t="n">
        <f aca="false">INDEX(Perf!$C$117:$Q$117,3*(Unit_Cost!E$6-1)+3)</f>
        <v>0.293360086191815</v>
      </c>
      <c r="F47" s="51" t="n">
        <f aca="false">INDEX(Perf!$C$117:$Q$117,3*(Unit_Cost!F$6-1)+3)</f>
        <v>1.28264126287993</v>
      </c>
      <c r="G47" s="51" t="n">
        <f aca="false">INDEX(Perf!$C$117:$Q$117,3*(Unit_Cost!G$6-1)+3)</f>
        <v>1.28264126287993</v>
      </c>
      <c r="H47" s="51" t="n">
        <f aca="false">INDEX(Perf!$C$117:$Q$117,3*(Unit_Cost!H$6-1)+3)</f>
        <v>1.28264126287993</v>
      </c>
      <c r="I47" s="51" t="n">
        <f aca="false">INDEX(Perf!$C$117:$Q$117,3*(Unit_Cost!I$6-1)+3)</f>
        <v>1.69155907056162</v>
      </c>
      <c r="J47" s="51" t="n">
        <f aca="false">INDEX(Perf!$C$117:$Q$117,3*(Unit_Cost!J$6-1)+3)</f>
        <v>1.69155907056162</v>
      </c>
      <c r="K47" s="51" t="n">
        <f aca="false">INDEX(Perf!$C$117:$Q$117,3*(Unit_Cost!K$6-1)+3)</f>
        <v>1.69155907056162</v>
      </c>
      <c r="L47" s="51" t="n">
        <f aca="false">INDEX(Perf!$C$117:$Q$117,3*(Unit_Cost!L$6-1)+3)</f>
        <v>3.00036802134199</v>
      </c>
      <c r="M47" s="51" t="n">
        <f aca="false">INDEX(Perf!$C$117:$Q$117,3*(Unit_Cost!M$6-1)+3)</f>
        <v>3.00036802134199</v>
      </c>
      <c r="N47" s="51" t="n">
        <f aca="false">INDEX(Perf!$C$117:$Q$117,3*(Unit_Cost!N$6-1)+3)</f>
        <v>3.00036802134199</v>
      </c>
      <c r="O47" s="51" t="n">
        <f aca="false">INDEX(Perf!$C$117:$Q$117,3*(Unit_Cost!O$6-1)+3)</f>
        <v>4.24608351648845</v>
      </c>
      <c r="P47" s="51" t="n">
        <f aca="false">INDEX(Perf!$C$117:$Q$117,3*(Unit_Cost!P$6-1)+3)</f>
        <v>4.24608351648845</v>
      </c>
      <c r="Q47" s="51" t="n">
        <f aca="false">INDEX(Perf!$C$117:$Q$117,3*(Unit_Cost!Q$6-1)+3)</f>
        <v>4.24608351648845</v>
      </c>
      <c r="R47" s="184" t="str">
        <f aca="false">IF(SUM(Gov_Map!$AG$6,Gov_Map!$AG$11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$6,Gov_Map!$AH$11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47" s="44" t="str">
        <f aca="false">IF(R47="—","—",IF(R47="A","基準輸入",IF(R47="B","情境、相對比較、反轉門檻","探索")))&amp;"；上限，不得作預測"</f>
        <v>情境、相對比較、反轉門檻；上限，不得作預測</v>
      </c>
      <c r="T47" s="30" t="s">
        <v>2792</v>
      </c>
      <c r="U47" s="44" t="str">
        <f aca="false">IF(V47=0,"—",LEFT(TEXT(V47,"0"),4)&amp;"-"&amp;MID(TEXT(V47,"0"),5,2)&amp;"-"&amp;RIGHT(TEXT(V47,"0"),2))</f>
        <v>2026-10-05</v>
      </c>
      <c r="V47" s="33" t="n">
        <f aca="false">MAX(Gov_Map!$AJ$6,Gov_Map!$AJ$11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47" s="21" t="s">
        <v>2803</v>
      </c>
      <c r="X47" s="32" t="n">
        <f aca="false">IF(ISNUMBER(FIND("上限",S47)),1,0)</f>
        <v>1</v>
      </c>
      <c r="Y47" s="32" t="n">
        <v>1</v>
      </c>
    </row>
    <row r="48" customFormat="false" ht="15" hidden="false" customHeight="true" outlineLevel="0" collapsed="false">
      <c r="A48" s="44" t="s">
        <v>2816</v>
      </c>
      <c r="B48" s="30" t="s">
        <v>113</v>
      </c>
      <c r="C48" s="194" t="n">
        <f aca="false">Serving!$C$17</f>
        <v>0.6</v>
      </c>
      <c r="R48" s="184" t="str">
        <f aca="false">IF(SUM(Gov_Map!$AG$240)&gt;0,"C",IF(SUM(Gov_Map!$AH$240)&gt;0,"B","A"))</f>
        <v>B</v>
      </c>
      <c r="S48" s="44" t="str">
        <f aca="false">IF(R48="—","—",IF(R48="A","基準輸入",IF(R48="B","情境、相對比較、反轉門檻","探索")))</f>
        <v>情境、相對比較、反轉門檻</v>
      </c>
      <c r="T48" s="30" t="s">
        <v>2817</v>
      </c>
      <c r="U48" s="44" t="str">
        <f aca="false">IF(V48=0,"—",LEFT(TEXT(V48,"0"),4)&amp;"-"&amp;MID(TEXT(V48,"0"),5,2)&amp;"-"&amp;RIGHT(TEXT(V48,"0"),2))</f>
        <v>—</v>
      </c>
      <c r="V48" s="33" t="n">
        <f aca="false">MAX(Gov_Map!$AJ$240)</f>
        <v>0</v>
      </c>
      <c r="W48" s="21" t="s">
        <v>2818</v>
      </c>
      <c r="X48" s="32" t="n">
        <f aca="false">IF(ISNUMBER(FIND("上限",S48)),1,0)</f>
        <v>0</v>
      </c>
      <c r="Y48" s="32" t="n">
        <v>0</v>
      </c>
    </row>
    <row r="50" customFormat="false" ht="15" hidden="false" customHeight="true" outlineLevel="0" collapsed="false">
      <c r="A50" s="44" t="s">
        <v>2819</v>
      </c>
      <c r="C50" s="21" t="s">
        <v>2820</v>
      </c>
    </row>
    <row r="52" customFormat="false" ht="15" hidden="false" customHeight="true" outlineLevel="0" collapsed="false">
      <c r="A52" s="43" t="s">
        <v>2821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</row>
    <row r="53" customFormat="false" ht="15" hidden="false" customHeight="true" outlineLevel="0" collapsed="false">
      <c r="A53" s="8" t="s">
        <v>278</v>
      </c>
    </row>
    <row r="54" customFormat="false" ht="15" hidden="false" customHeight="true" outlineLevel="0" collapsed="false">
      <c r="A54" s="44" t="s">
        <v>2822</v>
      </c>
      <c r="B54" s="30" t="s">
        <v>1180</v>
      </c>
      <c r="C54" s="49" t="n">
        <f aca="false">INDEX(Training!$C$106:$Q$106,3*(Unit_Cost!C$6-1)+1)</f>
        <v>7292069.45600863</v>
      </c>
      <c r="D54" s="49" t="n">
        <f aca="false">INDEX(Training!$C$106:$Q$106,3*(Unit_Cost!D$6-1)+1)</f>
        <v>7292069.45600863</v>
      </c>
      <c r="E54" s="49" t="n">
        <f aca="false">INDEX(Training!$C$106:$Q$106,3*(Unit_Cost!E$6-1)+1)</f>
        <v>7292069.45600863</v>
      </c>
      <c r="F54" s="49" t="n">
        <f aca="false">INDEX(Training!$C$106:$Q$106,3*(Unit_Cost!F$6-1)+1)</f>
        <v>2079780.169416</v>
      </c>
      <c r="G54" s="49" t="n">
        <f aca="false">INDEX(Training!$C$106:$Q$106,3*(Unit_Cost!G$6-1)+1)</f>
        <v>2079780.169416</v>
      </c>
      <c r="H54" s="49" t="n">
        <f aca="false">INDEX(Training!$C$106:$Q$106,3*(Unit_Cost!H$6-1)+1)</f>
        <v>2079780.169416</v>
      </c>
      <c r="I54" s="49" t="n">
        <f aca="false">INDEX(Training!$C$106:$Q$106,3*(Unit_Cost!I$6-1)+1)</f>
        <v>1775249.94775683</v>
      </c>
      <c r="J54" s="49" t="n">
        <f aca="false">INDEX(Training!$C$106:$Q$106,3*(Unit_Cost!J$6-1)+1)</f>
        <v>1775249.94775683</v>
      </c>
      <c r="K54" s="49" t="n">
        <f aca="false">INDEX(Training!$C$106:$Q$106,3*(Unit_Cost!K$6-1)+1)</f>
        <v>1775249.94775683</v>
      </c>
      <c r="L54" s="49" t="n">
        <f aca="false">INDEX(Training!$C$106:$Q$106,3*(Unit_Cost!L$6-1)+1)</f>
        <v>704197.648874947</v>
      </c>
      <c r="M54" s="49" t="n">
        <f aca="false">INDEX(Training!$C$106:$Q$106,3*(Unit_Cost!M$6-1)+1)</f>
        <v>704197.648874947</v>
      </c>
      <c r="N54" s="49" t="n">
        <f aca="false">INDEX(Training!$C$106:$Q$106,3*(Unit_Cost!N$6-1)+1)</f>
        <v>704197.648874947</v>
      </c>
      <c r="O54" s="49" t="n">
        <f aca="false">INDEX(Training!$C$106:$Q$106,3*(Unit_Cost!O$6-1)+1)</f>
        <v>305060.599619606</v>
      </c>
      <c r="P54" s="49" t="n">
        <f aca="false">INDEX(Training!$C$106:$Q$106,3*(Unit_Cost!P$6-1)+1)</f>
        <v>305060.599619606</v>
      </c>
      <c r="Q54" s="49" t="n">
        <f aca="false">INDEX(Training!$C$106:$Q$106,3*(Unit_Cost!Q$6-1)+1)</f>
        <v>305060.599619606</v>
      </c>
      <c r="R54" s="184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54" s="44" t="str">
        <f aca="false">IF(R54="—","—",IF(R54="A","基準輸入",IF(R54="B","情境、相對比較、反轉門檻","探索")))</f>
        <v>情境、相對比較、反轉門檻</v>
      </c>
      <c r="T54" s="30" t="s">
        <v>751</v>
      </c>
      <c r="U54" s="44" t="str">
        <f aca="false">IF(V54=0,"—",LEFT(TEXT(V54,"0"),4)&amp;"-"&amp;MID(TEXT(V54,"0"),5,2)&amp;"-"&amp;RIGHT(TEXT(V54,"0"),2))</f>
        <v>2026-10-05</v>
      </c>
      <c r="V54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54" s="21" t="s">
        <v>2823</v>
      </c>
      <c r="X54" s="32" t="n">
        <f aca="false">IF(ISNUMBER(FIND("上限",S54)),1,0)</f>
        <v>0</v>
      </c>
      <c r="Y54" s="32" t="n">
        <v>0</v>
      </c>
    </row>
    <row r="55" customFormat="false" ht="15" hidden="false" customHeight="true" outlineLevel="0" collapsed="false">
      <c r="A55" s="44" t="s">
        <v>2824</v>
      </c>
      <c r="B55" s="30" t="s">
        <v>1021</v>
      </c>
      <c r="C55" s="195" t="n">
        <f aca="false">IF(ISNUMBER(INDEX(Training!$C$106:$Q$106,3*(Unit_Cost!C$6-1)+1)),INDEX(Training!$C$106:$Q$106,3*(Unit_Cost!C$6-1)+1)*Unit_Cost!C$8/1000000,INDEX(Training!$C$106:$Q$106,3*(Unit_Cost!C$6-1)+1))</f>
        <v>7.87284530827463</v>
      </c>
      <c r="D55" s="195" t="n">
        <f aca="false">IF(ISNUMBER(INDEX(Training!$C$106:$Q$106,3*(Unit_Cost!D$6-1)+1)),INDEX(Training!$C$106:$Q$106,3*(Unit_Cost!D$6-1)+1)*Unit_Cost!D$8/1000000,INDEX(Training!$C$106:$Q$106,3*(Unit_Cost!D$6-1)+1))</f>
        <v>11.2487211695643</v>
      </c>
      <c r="E55" s="195" t="n">
        <f aca="false">IF(ISNUMBER(INDEX(Training!$C$106:$Q$106,3*(Unit_Cost!E$6-1)+1)),INDEX(Training!$C$106:$Q$106,3*(Unit_Cost!E$6-1)+1)*Unit_Cost!E$8/1000000,INDEX(Training!$C$106:$Q$106,3*(Unit_Cost!E$6-1)+1))</f>
        <v>19.3181916065503</v>
      </c>
      <c r="F55" s="195" t="n">
        <f aca="false">IF(ISNUMBER(INDEX(Training!$C$106:$Q$106,3*(Unit_Cost!F$6-1)+1)),INDEX(Training!$C$106:$Q$106,3*(Unit_Cost!F$6-1)+1)*Unit_Cost!F$8/1000000,INDEX(Training!$C$106:$Q$106,3*(Unit_Cost!F$6-1)+1))</f>
        <v>3.12846386480889</v>
      </c>
      <c r="G55" s="195" t="n">
        <f aca="false">IF(ISNUMBER(INDEX(Training!$C$106:$Q$106,3*(Unit_Cost!G$6-1)+1)),INDEX(Training!$C$106:$Q$106,3*(Unit_Cost!G$6-1)+1)*Unit_Cost!G$8/1000000,INDEX(Training!$C$106:$Q$106,3*(Unit_Cost!G$6-1)+1))</f>
        <v>4.17715735160942</v>
      </c>
      <c r="H55" s="195" t="n">
        <f aca="false">IF(ISNUMBER(INDEX(Training!$C$106:$Q$106,3*(Unit_Cost!H$6-1)+1)),INDEX(Training!$C$106:$Q$106,3*(Unit_Cost!H$6-1)+1)*Unit_Cost!H$8/1000000,INDEX(Training!$C$106:$Q$106,3*(Unit_Cost!H$6-1)+1))</f>
        <v>6.77501342745918</v>
      </c>
      <c r="I55" s="195" t="n">
        <f aca="false">IF(ISNUMBER(INDEX(Training!$C$106:$Q$106,3*(Unit_Cost!I$6-1)+1)),INDEX(Training!$C$106:$Q$106,3*(Unit_Cost!I$6-1)+1)*Unit_Cost!I$8/1000000,INDEX(Training!$C$106:$Q$106,3*(Unit_Cost!I$6-1)+1))</f>
        <v>3.50743929439388</v>
      </c>
      <c r="J55" s="195" t="n">
        <f aca="false">IF(ISNUMBER(INDEX(Training!$C$106:$Q$106,3*(Unit_Cost!J$6-1)+1)),INDEX(Training!$C$106:$Q$106,3*(Unit_Cost!J$6-1)+1)*Unit_Cost!J$8/1000000,INDEX(Training!$C$106:$Q$106,3*(Unit_Cost!J$6-1)+1))</f>
        <v>4.53006082719016</v>
      </c>
      <c r="K55" s="195" t="n">
        <f aca="false">IF(ISNUMBER(INDEX(Training!$C$106:$Q$106,3*(Unit_Cost!K$6-1)+1)),INDEX(Training!$C$106:$Q$106,3*(Unit_Cost!K$6-1)+1)*Unit_Cost!K$8/1000000,INDEX(Training!$C$106:$Q$106,3*(Unit_Cost!K$6-1)+1))</f>
        <v>7.71264942389781</v>
      </c>
      <c r="L55" s="195" t="n">
        <f aca="false">IF(ISNUMBER(INDEX(Training!$C$106:$Q$106,3*(Unit_Cost!L$6-1)+1)),INDEX(Training!$C$106:$Q$106,3*(Unit_Cost!L$6-1)+1)*Unit_Cost!L$8/1000000,INDEX(Training!$C$106:$Q$106,3*(Unit_Cost!L$6-1)+1))</f>
        <v>2.62098107419554</v>
      </c>
      <c r="M55" s="195" t="n">
        <f aca="false">IF(ISNUMBER(INDEX(Training!$C$106:$Q$106,3*(Unit_Cost!M$6-1)+1)),INDEX(Training!$C$106:$Q$106,3*(Unit_Cost!M$6-1)+1)*Unit_Cost!M$8/1000000,INDEX(Training!$C$106:$Q$106,3*(Unit_Cost!M$6-1)+1))</f>
        <v>3.36863635569634</v>
      </c>
      <c r="N55" s="195" t="n">
        <f aca="false">IF(ISNUMBER(INDEX(Training!$C$106:$Q$106,3*(Unit_Cost!N$6-1)+1)),INDEX(Training!$C$106:$Q$106,3*(Unit_Cost!N$6-1)+1)*Unit_Cost!N$8/1000000,INDEX(Training!$C$106:$Q$106,3*(Unit_Cost!N$6-1)+1))</f>
        <v>5.44213634791714</v>
      </c>
      <c r="O55" s="195" t="n">
        <f aca="false">IF(ISNUMBER(INDEX(Training!$C$106:$Q$106,3*(Unit_Cost!O$6-1)+1)),INDEX(Training!$C$106:$Q$106,3*(Unit_Cost!O$6-1)+1)*Unit_Cost!O$8/1000000,INDEX(Training!$C$106:$Q$106,3*(Unit_Cost!O$6-1)+1))</f>
        <v>1.80639626932665</v>
      </c>
      <c r="P55" s="195" t="n">
        <f aca="false">IF(ISNUMBER(INDEX(Training!$C$106:$Q$106,3*(Unit_Cost!P$6-1)+1)),INDEX(Training!$C$106:$Q$106,3*(Unit_Cost!P$6-1)+1)*Unit_Cost!P$8/1000000,INDEX(Training!$C$106:$Q$106,3*(Unit_Cost!P$6-1)+1))</f>
        <v>2.74547464356203</v>
      </c>
      <c r="Q55" s="195" t="n">
        <f aca="false">IF(ISNUMBER(INDEX(Training!$C$106:$Q$106,3*(Unit_Cost!Q$6-1)+1)),INDEX(Training!$C$106:$Q$106,3*(Unit_Cost!Q$6-1)+1)*Unit_Cost!Q$8/1000000,INDEX(Training!$C$106:$Q$106,3*(Unit_Cost!Q$6-1)+1))</f>
        <v>5.01197783203435</v>
      </c>
      <c r="R55" s="184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55" s="44" t="str">
        <f aca="false">IF(R55="—","—",IF(R55="A","基準輸入",IF(R55="B","情境、相對比較、反轉門檻","探索")))</f>
        <v>情境、相對比較、反轉門檻</v>
      </c>
      <c r="T55" s="30" t="s">
        <v>751</v>
      </c>
      <c r="U55" s="44" t="str">
        <f aca="false">IF(V55=0,"—",LEFT(TEXT(V55,"0"),4)&amp;"-"&amp;MID(TEXT(V55,"0"),5,2)&amp;"-"&amp;RIGHT(TEXT(V55,"0"),2))</f>
        <v>2026-10-08</v>
      </c>
      <c r="V55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55" s="21" t="s">
        <v>2825</v>
      </c>
      <c r="X55" s="32" t="n">
        <f aca="false">IF(ISNUMBER(FIND("上限",S55)),1,0)</f>
        <v>0</v>
      </c>
      <c r="Y55" s="32" t="n">
        <v>0</v>
      </c>
    </row>
    <row r="56" customFormat="false" ht="15" hidden="false" customHeight="true" outlineLevel="0" collapsed="false">
      <c r="A56" s="44" t="s">
        <v>2826</v>
      </c>
      <c r="B56" s="30" t="s">
        <v>113</v>
      </c>
      <c r="C56" s="196" t="n">
        <f aca="false">INDEX(Training!$C$110:$Q$110,3*(Unit_Cost!C$6-1)+1)</f>
        <v>0.131230136086418</v>
      </c>
      <c r="D56" s="196" t="n">
        <f aca="false">INDEX(Training!$C$110:$Q$110,3*(Unit_Cost!D$6-1)+1)</f>
        <v>0.131230136086418</v>
      </c>
      <c r="E56" s="196" t="n">
        <f aca="false">INDEX(Training!$C$110:$Q$110,3*(Unit_Cost!E$6-1)+1)</f>
        <v>0.131230136086418</v>
      </c>
      <c r="F56" s="196" t="n">
        <f aca="false">INDEX(Training!$C$110:$Q$110,3*(Unit_Cost!F$6-1)+1)</f>
        <v>0.131230136086418</v>
      </c>
      <c r="G56" s="196" t="n">
        <f aca="false">INDEX(Training!$C$110:$Q$110,3*(Unit_Cost!G$6-1)+1)</f>
        <v>0.131230136086418</v>
      </c>
      <c r="H56" s="196" t="n">
        <f aca="false">INDEX(Training!$C$110:$Q$110,3*(Unit_Cost!H$6-1)+1)</f>
        <v>0.131230136086418</v>
      </c>
      <c r="I56" s="196" t="n">
        <f aca="false">INDEX(Training!$C$110:$Q$110,3*(Unit_Cost!I$6-1)+1)</f>
        <v>0.131230136086418</v>
      </c>
      <c r="J56" s="196" t="n">
        <f aca="false">INDEX(Training!$C$110:$Q$110,3*(Unit_Cost!J$6-1)+1)</f>
        <v>0.131230136086418</v>
      </c>
      <c r="K56" s="196" t="n">
        <f aca="false">INDEX(Training!$C$110:$Q$110,3*(Unit_Cost!K$6-1)+1)</f>
        <v>0.131230136086418</v>
      </c>
      <c r="L56" s="196" t="n">
        <f aca="false">INDEX(Training!$C$110:$Q$110,3*(Unit_Cost!L$6-1)+1)</f>
        <v>0.131230136086418</v>
      </c>
      <c r="M56" s="196" t="n">
        <f aca="false">INDEX(Training!$C$110:$Q$110,3*(Unit_Cost!M$6-1)+1)</f>
        <v>0.131230136086418</v>
      </c>
      <c r="N56" s="196" t="n">
        <f aca="false">INDEX(Training!$C$110:$Q$110,3*(Unit_Cost!N$6-1)+1)</f>
        <v>0.131230136086418</v>
      </c>
      <c r="O56" s="196" t="n">
        <f aca="false">INDEX(Training!$C$110:$Q$110,3*(Unit_Cost!O$6-1)+1)</f>
        <v>0.131230136086418</v>
      </c>
      <c r="P56" s="196" t="n">
        <f aca="false">INDEX(Training!$C$110:$Q$110,3*(Unit_Cost!P$6-1)+1)</f>
        <v>0.131230136086418</v>
      </c>
      <c r="Q56" s="196" t="n">
        <f aca="false">INDEX(Training!$C$110:$Q$110,3*(Unit_Cost!Q$6-1)+1)</f>
        <v>0.131230136086418</v>
      </c>
      <c r="R56" s="18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56" s="44" t="str">
        <f aca="false">IF(R56="—","—",IF(R56="A","基準輸入",IF(R56="B","情境、相對比較、反轉門檻","探索")))</f>
        <v>情境、相對比較、反轉門檻</v>
      </c>
      <c r="T56" s="30" t="s">
        <v>751</v>
      </c>
      <c r="U56" s="44" t="str">
        <f aca="false">IF(V56=0,"—",LEFT(TEXT(V56,"0"),4)&amp;"-"&amp;MID(TEXT(V56,"0"),5,2)&amp;"-"&amp;RIGHT(TEXT(V56,"0"),2))</f>
        <v>2026-10-05</v>
      </c>
      <c r="V56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56" s="21" t="s">
        <v>2827</v>
      </c>
      <c r="X56" s="32" t="n">
        <f aca="false">IF(ISNUMBER(FIND("上限",S56)),1,0)</f>
        <v>0</v>
      </c>
      <c r="Y56" s="32" t="n">
        <v>0</v>
      </c>
    </row>
    <row r="57" customFormat="false" ht="15" hidden="false" customHeight="true" outlineLevel="0" collapsed="false">
      <c r="A57" s="44" t="s">
        <v>2828</v>
      </c>
      <c r="B57" s="30" t="s">
        <v>113</v>
      </c>
      <c r="C57" s="197" t="n">
        <f aca="false">INDEX(Training!$C$111:$Q$111,3*(Unit_Cost!C$6-1)+1)</f>
        <v>0.332444236058156</v>
      </c>
      <c r="D57" s="197" t="n">
        <f aca="false">INDEX(Training!$C$111:$Q$111,3*(Unit_Cost!D$6-1)+1)</f>
        <v>0.332444236058156</v>
      </c>
      <c r="E57" s="197" t="n">
        <f aca="false">INDEX(Training!$C$111:$Q$111,3*(Unit_Cost!E$6-1)+1)</f>
        <v>0.332444236058156</v>
      </c>
      <c r="F57" s="197" t="n">
        <f aca="false">INDEX(Training!$C$111:$Q$111,3*(Unit_Cost!F$6-1)+1)</f>
        <v>0.269893093641953</v>
      </c>
      <c r="G57" s="197" t="n">
        <f aca="false">INDEX(Training!$C$111:$Q$111,3*(Unit_Cost!G$6-1)+1)</f>
        <v>0.269893093641953</v>
      </c>
      <c r="H57" s="197" t="n">
        <f aca="false">INDEX(Training!$C$111:$Q$111,3*(Unit_Cost!H$6-1)+1)</f>
        <v>0.269893093641953</v>
      </c>
      <c r="I57" s="197" t="n">
        <f aca="false">INDEX(Training!$C$111:$Q$111,3*(Unit_Cost!I$6-1)+1)</f>
        <v>0.238707389111481</v>
      </c>
      <c r="J57" s="197" t="n">
        <f aca="false">INDEX(Training!$C$111:$Q$111,3*(Unit_Cost!J$6-1)+1)</f>
        <v>0.238707389111481</v>
      </c>
      <c r="K57" s="197" t="n">
        <f aca="false">INDEX(Training!$C$111:$Q$111,3*(Unit_Cost!K$6-1)+1)</f>
        <v>0.238707389111481</v>
      </c>
      <c r="L57" s="197" t="n">
        <f aca="false">INDEX(Training!$C$111:$Q$111,3*(Unit_Cost!L$6-1)+1)</f>
        <v>0.286511860627156</v>
      </c>
      <c r="M57" s="197" t="n">
        <f aca="false">INDEX(Training!$C$111:$Q$111,3*(Unit_Cost!M$6-1)+1)</f>
        <v>0.286511860627156</v>
      </c>
      <c r="N57" s="197" t="n">
        <f aca="false">INDEX(Training!$C$111:$Q$111,3*(Unit_Cost!N$6-1)+1)</f>
        <v>0.286511860627156</v>
      </c>
      <c r="O57" s="197" t="n">
        <f aca="false">INDEX(Training!$C$111:$Q$111,3*(Unit_Cost!O$6-1)+1)</f>
        <v>0.26008816948871</v>
      </c>
      <c r="P57" s="197" t="n">
        <f aca="false">INDEX(Training!$C$111:$Q$111,3*(Unit_Cost!P$6-1)+1)</f>
        <v>0.26008816948871</v>
      </c>
      <c r="Q57" s="197" t="n">
        <f aca="false">INDEX(Training!$C$111:$Q$111,3*(Unit_Cost!Q$6-1)+1)</f>
        <v>0.26008816948871</v>
      </c>
      <c r="R57" s="184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57" s="44" t="str">
        <f aca="false">IF(R57="—","—",IF(R57="A","基準輸入",IF(R57="B","情境、相對比較、反轉門檻","探索")))</f>
        <v>情境、相對比較、反轉門檻</v>
      </c>
      <c r="T57" s="30" t="s">
        <v>751</v>
      </c>
      <c r="U57" s="44" t="str">
        <f aca="false">IF(V57=0,"—",LEFT(TEXT(V57,"0"),4)&amp;"-"&amp;MID(TEXT(V57,"0"),5,2)&amp;"-"&amp;RIGHT(TEXT(V57,"0"),2))</f>
        <v>2026-10-05</v>
      </c>
      <c r="V5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57" s="21" t="s">
        <v>2829</v>
      </c>
      <c r="X57" s="32" t="n">
        <f aca="false">IF(ISNUMBER(FIND("上限",S57)),1,0)</f>
        <v>0</v>
      </c>
      <c r="Y57" s="32" t="n">
        <v>0</v>
      </c>
    </row>
    <row r="58" customFormat="false" ht="15" hidden="false" customHeight="true" outlineLevel="0" collapsed="false">
      <c r="A58" s="30" t="s">
        <v>2830</v>
      </c>
      <c r="B58" s="30" t="s">
        <v>113</v>
      </c>
      <c r="C58" s="196" t="n">
        <f aca="false">INDEX(Training!$C$77:$Q$77,3*(Unit_Cost!C$6-1)+1)</f>
        <v>0.0671673042766739</v>
      </c>
      <c r="D58" s="196" t="n">
        <f aca="false">INDEX(Training!$C$77:$Q$77,3*(Unit_Cost!D$6-1)+1)</f>
        <v>0.0671673042766739</v>
      </c>
      <c r="E58" s="196" t="n">
        <f aca="false">INDEX(Training!$C$77:$Q$77,3*(Unit_Cost!E$6-1)+1)</f>
        <v>0.0671673042766739</v>
      </c>
      <c r="F58" s="196" t="n">
        <f aca="false">INDEX(Training!$C$77:$Q$77,3*(Unit_Cost!F$6-1)+1)</f>
        <v>0.0901475818714053</v>
      </c>
      <c r="G58" s="196" t="n">
        <f aca="false">INDEX(Training!$C$77:$Q$77,3*(Unit_Cost!G$6-1)+1)</f>
        <v>0.0901475818714053</v>
      </c>
      <c r="H58" s="196" t="n">
        <f aca="false">INDEX(Training!$C$77:$Q$77,3*(Unit_Cost!H$6-1)+1)</f>
        <v>0.0901475818714053</v>
      </c>
      <c r="I58" s="196" t="n">
        <f aca="false">INDEX(Training!$C$77:$Q$77,3*(Unit_Cost!I$6-1)+1)</f>
        <v>0.106320482312473</v>
      </c>
      <c r="J58" s="196" t="n">
        <f aca="false">INDEX(Training!$C$77:$Q$77,3*(Unit_Cost!J$6-1)+1)</f>
        <v>0.106320482312473</v>
      </c>
      <c r="K58" s="196" t="n">
        <f aca="false">INDEX(Training!$C$77:$Q$77,3*(Unit_Cost!K$6-1)+1)</f>
        <v>0.106320482312473</v>
      </c>
      <c r="L58" s="196" t="n">
        <f aca="false">INDEX(Training!$C$77:$Q$77,3*(Unit_Cost!L$6-1)+1)</f>
        <v>0.0746224482738129</v>
      </c>
      <c r="M58" s="196" t="n">
        <f aca="false">INDEX(Training!$C$77:$Q$77,3*(Unit_Cost!M$6-1)+1)</f>
        <v>0.0746224482738129</v>
      </c>
      <c r="N58" s="196" t="n">
        <f aca="false">INDEX(Training!$C$77:$Q$77,3*(Unit_Cost!N$6-1)+1)</f>
        <v>0.0746224482738129</v>
      </c>
      <c r="O58" s="196" t="n">
        <f aca="false">INDEX(Training!$C$77:$Q$77,3*(Unit_Cost!O$6-1)+1)</f>
        <v>0.0853336117258793</v>
      </c>
      <c r="P58" s="196" t="n">
        <f aca="false">INDEX(Training!$C$77:$Q$77,3*(Unit_Cost!P$6-1)+1)</f>
        <v>0.0853336117258793</v>
      </c>
      <c r="Q58" s="196" t="n">
        <f aca="false">INDEX(Training!$C$77:$Q$77,3*(Unit_Cost!Q$6-1)+1)</f>
        <v>0.0853336117258793</v>
      </c>
      <c r="R58" s="184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58" s="44" t="str">
        <f aca="false">IF(R58="—","—",IF(R58="A","基準輸入",IF(R58="B","情境、相對比較、反轉門檻","探索")))</f>
        <v>情境、相對比較、反轉門檻</v>
      </c>
      <c r="T58" s="30" t="s">
        <v>751</v>
      </c>
      <c r="U58" s="44" t="str">
        <f aca="false">IF(V58=0,"—",LEFT(TEXT(V58,"0"),4)&amp;"-"&amp;MID(TEXT(V58,"0"),5,2)&amp;"-"&amp;RIGHT(TEXT(V58,"0"),2))</f>
        <v>2026-10-05</v>
      </c>
      <c r="V5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58" s="21" t="s">
        <v>2831</v>
      </c>
      <c r="X58" s="32" t="n">
        <f aca="false">IF(ISNUMBER(FIND("上限",S58)),1,0)</f>
        <v>0</v>
      </c>
      <c r="Y58" s="32" t="n">
        <v>0</v>
      </c>
    </row>
    <row r="59" customFormat="false" ht="15" hidden="false" customHeight="true" outlineLevel="0" collapsed="false">
      <c r="A59" s="44" t="s">
        <v>2832</v>
      </c>
      <c r="B59" s="30" t="s">
        <v>1180</v>
      </c>
      <c r="C59" s="191" t="n">
        <f aca="false">INDEX(Training!$C$120:$Q$120,3*(Unit_Cost!C$6-1)+1)</f>
        <v>58336555.6480691</v>
      </c>
      <c r="D59" s="191" t="n">
        <f aca="false">INDEX(Training!$C$120:$Q$120,3*(Unit_Cost!D$6-1)+1)</f>
        <v>58336555.6480691</v>
      </c>
      <c r="E59" s="191" t="n">
        <f aca="false">INDEX(Training!$C$120:$Q$120,3*(Unit_Cost!E$6-1)+1)</f>
        <v>58336555.6480691</v>
      </c>
      <c r="F59" s="191" t="n">
        <f aca="false">INDEX(Training!$C$120:$Q$120,3*(Unit_Cost!F$6-1)+1)</f>
        <v>16638241.355328</v>
      </c>
      <c r="G59" s="191" t="n">
        <f aca="false">INDEX(Training!$C$120:$Q$120,3*(Unit_Cost!G$6-1)+1)</f>
        <v>16638241.355328</v>
      </c>
      <c r="H59" s="191" t="n">
        <f aca="false">INDEX(Training!$C$120:$Q$120,3*(Unit_Cost!H$6-1)+1)</f>
        <v>16638241.355328</v>
      </c>
      <c r="I59" s="191" t="n">
        <f aca="false">INDEX(Training!$C$120:$Q$120,3*(Unit_Cost!I$6-1)+1)</f>
        <v>14201999.5820546</v>
      </c>
      <c r="J59" s="191" t="n">
        <f aca="false">INDEX(Training!$C$120:$Q$120,3*(Unit_Cost!J$6-1)+1)</f>
        <v>14201999.5820546</v>
      </c>
      <c r="K59" s="191" t="n">
        <f aca="false">INDEX(Training!$C$120:$Q$120,3*(Unit_Cost!K$6-1)+1)</f>
        <v>14201999.5820546</v>
      </c>
      <c r="L59" s="191" t="n">
        <f aca="false">INDEX(Training!$C$120:$Q$120,3*(Unit_Cost!L$6-1)+1)</f>
        <v>5633581.19099958</v>
      </c>
      <c r="M59" s="191" t="n">
        <f aca="false">INDEX(Training!$C$120:$Q$120,3*(Unit_Cost!M$6-1)+1)</f>
        <v>5633581.19099958</v>
      </c>
      <c r="N59" s="191" t="n">
        <f aca="false">INDEX(Training!$C$120:$Q$120,3*(Unit_Cost!N$6-1)+1)</f>
        <v>5633581.19099958</v>
      </c>
      <c r="O59" s="191" t="n">
        <f aca="false">INDEX(Training!$C$120:$Q$120,3*(Unit_Cost!O$6-1)+1)</f>
        <v>2440484.79695685</v>
      </c>
      <c r="P59" s="191" t="n">
        <f aca="false">INDEX(Training!$C$120:$Q$120,3*(Unit_Cost!P$6-1)+1)</f>
        <v>2440484.79695685</v>
      </c>
      <c r="Q59" s="191" t="n">
        <f aca="false">INDEX(Training!$C$120:$Q$120,3*(Unit_Cost!Q$6-1)+1)</f>
        <v>2440484.79695685</v>
      </c>
      <c r="R59" s="184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59" s="44" t="str">
        <f aca="false">IF(R59="—","—",IF(R59="A","基準輸入",IF(R59="B","情境、相對比較、反轉門檻","探索")))</f>
        <v>情境、相對比較、反轉門檻</v>
      </c>
      <c r="T59" s="30" t="s">
        <v>751</v>
      </c>
      <c r="U59" s="44" t="str">
        <f aca="false">IF(V59=0,"—",LEFT(TEXT(V59,"0"),4)&amp;"-"&amp;MID(TEXT(V59,"0"),5,2)&amp;"-"&amp;RIGHT(TEXT(V59,"0"),2))</f>
        <v>2026-10-05</v>
      </c>
      <c r="V59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59" s="21" t="s">
        <v>2833</v>
      </c>
      <c r="X59" s="32" t="n">
        <f aca="false">IF(ISNUMBER(FIND("上限",S59)),1,0)</f>
        <v>0</v>
      </c>
      <c r="Y59" s="32" t="n">
        <v>0</v>
      </c>
    </row>
    <row r="60" customFormat="false" ht="15" hidden="false" customHeight="true" outlineLevel="0" collapsed="false">
      <c r="A60" s="44" t="s">
        <v>2742</v>
      </c>
      <c r="B60" s="30" t="s">
        <v>1021</v>
      </c>
      <c r="C60" s="191" t="n">
        <f aca="false">IF(ISNUMBER(INDEX(Training!$C$120:$Q$120,3*(Unit_Cost!C$6-1)+1)),INDEX(Training!$C$120:$Q$120,3*(Unit_Cost!C$6-1)+1)*Unit_Cost!C$8/1000000,INDEX(Training!$C$120:$Q$120,3*(Unit_Cost!C$6-1)+1))</f>
        <v>62.9827624661971</v>
      </c>
      <c r="D60" s="191" t="n">
        <f aca="false">IF(ISNUMBER(INDEX(Training!$C$120:$Q$120,3*(Unit_Cost!D$6-1)+1)),INDEX(Training!$C$120:$Q$120,3*(Unit_Cost!D$6-1)+1)*Unit_Cost!D$8/1000000,INDEX(Training!$C$120:$Q$120,3*(Unit_Cost!D$6-1)+1))</f>
        <v>89.9897693565145</v>
      </c>
      <c r="E60" s="191" t="n">
        <f aca="false">IF(ISNUMBER(INDEX(Training!$C$120:$Q$120,3*(Unit_Cost!E$6-1)+1)),INDEX(Training!$C$120:$Q$120,3*(Unit_Cost!E$6-1)+1)*Unit_Cost!E$8/1000000,INDEX(Training!$C$120:$Q$120,3*(Unit_Cost!E$6-1)+1))</f>
        <v>154.545532852403</v>
      </c>
      <c r="F60" s="191" t="n">
        <f aca="false">IF(ISNUMBER(INDEX(Training!$C$120:$Q$120,3*(Unit_Cost!F$6-1)+1)),INDEX(Training!$C$120:$Q$120,3*(Unit_Cost!F$6-1)+1)*Unit_Cost!F$8/1000000,INDEX(Training!$C$120:$Q$120,3*(Unit_Cost!F$6-1)+1))</f>
        <v>25.0277109184711</v>
      </c>
      <c r="G60" s="191" t="n">
        <f aca="false">IF(ISNUMBER(INDEX(Training!$C$120:$Q$120,3*(Unit_Cost!G$6-1)+1)),INDEX(Training!$C$120:$Q$120,3*(Unit_Cost!G$6-1)+1)*Unit_Cost!G$8/1000000,INDEX(Training!$C$120:$Q$120,3*(Unit_Cost!G$6-1)+1))</f>
        <v>33.4172588128753</v>
      </c>
      <c r="H60" s="191" t="n">
        <f aca="false">IF(ISNUMBER(INDEX(Training!$C$120:$Q$120,3*(Unit_Cost!H$6-1)+1)),INDEX(Training!$C$120:$Q$120,3*(Unit_Cost!H$6-1)+1)*Unit_Cost!H$8/1000000,INDEX(Training!$C$120:$Q$120,3*(Unit_Cost!H$6-1)+1))</f>
        <v>54.2001074196734</v>
      </c>
      <c r="I60" s="191" t="n">
        <f aca="false">IF(ISNUMBER(INDEX(Training!$C$120:$Q$120,3*(Unit_Cost!I$6-1)+1)),INDEX(Training!$C$120:$Q$120,3*(Unit_Cost!I$6-1)+1)*Unit_Cost!I$8/1000000,INDEX(Training!$C$120:$Q$120,3*(Unit_Cost!I$6-1)+1))</f>
        <v>28.059514355151</v>
      </c>
      <c r="J60" s="191" t="n">
        <f aca="false">IF(ISNUMBER(INDEX(Training!$C$120:$Q$120,3*(Unit_Cost!J$6-1)+1)),INDEX(Training!$C$120:$Q$120,3*(Unit_Cost!J$6-1)+1)*Unit_Cost!J$8/1000000,INDEX(Training!$C$120:$Q$120,3*(Unit_Cost!J$6-1)+1))</f>
        <v>36.2404866175213</v>
      </c>
      <c r="K60" s="191" t="n">
        <f aca="false">IF(ISNUMBER(INDEX(Training!$C$120:$Q$120,3*(Unit_Cost!K$6-1)+1)),INDEX(Training!$C$120:$Q$120,3*(Unit_Cost!K$6-1)+1)*Unit_Cost!K$8/1000000,INDEX(Training!$C$120:$Q$120,3*(Unit_Cost!K$6-1)+1))</f>
        <v>61.7011953911825</v>
      </c>
      <c r="L60" s="191" t="n">
        <f aca="false">IF(ISNUMBER(INDEX(Training!$C$120:$Q$120,3*(Unit_Cost!L$6-1)+1)),INDEX(Training!$C$120:$Q$120,3*(Unit_Cost!L$6-1)+1)*Unit_Cost!L$8/1000000,INDEX(Training!$C$120:$Q$120,3*(Unit_Cost!L$6-1)+1))</f>
        <v>20.9678485935643</v>
      </c>
      <c r="M60" s="191" t="n">
        <f aca="false">IF(ISNUMBER(INDEX(Training!$C$120:$Q$120,3*(Unit_Cost!M$6-1)+1)),INDEX(Training!$C$120:$Q$120,3*(Unit_Cost!M$6-1)+1)*Unit_Cost!M$8/1000000,INDEX(Training!$C$120:$Q$120,3*(Unit_Cost!M$6-1)+1))</f>
        <v>26.9490908455707</v>
      </c>
      <c r="N60" s="191" t="n">
        <f aca="false">IF(ISNUMBER(INDEX(Training!$C$120:$Q$120,3*(Unit_Cost!N$6-1)+1)),INDEX(Training!$C$120:$Q$120,3*(Unit_Cost!N$6-1)+1)*Unit_Cost!N$8/1000000,INDEX(Training!$C$120:$Q$120,3*(Unit_Cost!N$6-1)+1))</f>
        <v>43.5370907833372</v>
      </c>
      <c r="O60" s="191" t="n">
        <f aca="false">IF(ISNUMBER(INDEX(Training!$C$120:$Q$120,3*(Unit_Cost!O$6-1)+1)),INDEX(Training!$C$120:$Q$120,3*(Unit_Cost!O$6-1)+1)*Unit_Cost!O$8/1000000,INDEX(Training!$C$120:$Q$120,3*(Unit_Cost!O$6-1)+1))</f>
        <v>14.4511701546132</v>
      </c>
      <c r="P60" s="191" t="n">
        <f aca="false">IF(ISNUMBER(INDEX(Training!$C$120:$Q$120,3*(Unit_Cost!P$6-1)+1)),INDEX(Training!$C$120:$Q$120,3*(Unit_Cost!P$6-1)+1)*Unit_Cost!P$8/1000000,INDEX(Training!$C$120:$Q$120,3*(Unit_Cost!P$6-1)+1))</f>
        <v>21.9637971484962</v>
      </c>
      <c r="Q60" s="191" t="n">
        <f aca="false">IF(ISNUMBER(INDEX(Training!$C$120:$Q$120,3*(Unit_Cost!Q$6-1)+1)),INDEX(Training!$C$120:$Q$120,3*(Unit_Cost!Q$6-1)+1)*Unit_Cost!Q$8/1000000,INDEX(Training!$C$120:$Q$120,3*(Unit_Cost!Q$6-1)+1))</f>
        <v>40.0958226562748</v>
      </c>
      <c r="R60" s="184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0" s="44" t="str">
        <f aca="false">IF(R60="—","—",IF(R60="A","基準輸入",IF(R60="B","情境、相對比較、反轉門檻","探索")))</f>
        <v>情境、相對比較、反轉門檻</v>
      </c>
      <c r="T60" s="30" t="s">
        <v>751</v>
      </c>
      <c r="U60" s="44" t="str">
        <f aca="false">IF(V60=0,"—",LEFT(TEXT(V60,"0"),4)&amp;"-"&amp;MID(TEXT(V60,"0"),5,2)&amp;"-"&amp;RIGHT(TEXT(V60,"0"),2))</f>
        <v>2026-10-08</v>
      </c>
      <c r="V60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0" s="21" t="s">
        <v>2834</v>
      </c>
      <c r="X60" s="32" t="n">
        <f aca="false">IF(ISNUMBER(FIND("上限",S60)),1,0)</f>
        <v>0</v>
      </c>
      <c r="Y60" s="32" t="n">
        <v>0</v>
      </c>
    </row>
    <row r="61" customFormat="false" ht="15" hidden="false" customHeight="true" outlineLevel="0" collapsed="false">
      <c r="A61" s="44" t="s">
        <v>2835</v>
      </c>
      <c r="B61" s="30" t="s">
        <v>113</v>
      </c>
      <c r="C61" s="198" t="n">
        <f aca="false">INDEX(Training!$C$123:$Q$123,3*(Unit_Cost!C$6-1)+1)</f>
        <v>0.00927434400031541</v>
      </c>
      <c r="D61" s="198" t="n">
        <f aca="false">INDEX(Training!$C$123:$Q$123,3*(Unit_Cost!D$6-1)+1)</f>
        <v>0.00927434400031541</v>
      </c>
      <c r="E61" s="198" t="n">
        <f aca="false">INDEX(Training!$C$123:$Q$123,3*(Unit_Cost!E$6-1)+1)</f>
        <v>0.00927434400031541</v>
      </c>
      <c r="F61" s="198" t="n">
        <f aca="false">INDEX(Training!$C$123:$Q$123,3*(Unit_Cost!F$6-1)+1)</f>
        <v>0.00378530041866208</v>
      </c>
      <c r="G61" s="198" t="n">
        <f aca="false">INDEX(Training!$C$123:$Q$123,3*(Unit_Cost!G$6-1)+1)</f>
        <v>0.00378530041866208</v>
      </c>
      <c r="H61" s="198" t="n">
        <f aca="false">INDEX(Training!$C$123:$Q$123,3*(Unit_Cost!H$6-1)+1)</f>
        <v>0.00378530041866208</v>
      </c>
      <c r="I61" s="198" t="n">
        <f aca="false">INDEX(Training!$C$123:$Q$123,3*(Unit_Cost!I$6-1)+1)</f>
        <v>0.00332896549749013</v>
      </c>
      <c r="J61" s="198" t="n">
        <f aca="false">INDEX(Training!$C$123:$Q$123,3*(Unit_Cost!J$6-1)+1)</f>
        <v>0.00332896549749013</v>
      </c>
      <c r="K61" s="198" t="n">
        <f aca="false">INDEX(Training!$C$123:$Q$123,3*(Unit_Cost!K$6-1)+1)</f>
        <v>0.00332896549749013</v>
      </c>
      <c r="L61" s="198" t="n">
        <f aca="false">INDEX(Training!$C$123:$Q$123,3*(Unit_Cost!L$6-1)+1)</f>
        <v>0.00220433968028437</v>
      </c>
      <c r="M61" s="198" t="n">
        <f aca="false">INDEX(Training!$C$123:$Q$123,3*(Unit_Cost!M$6-1)+1)</f>
        <v>0.00220433968028437</v>
      </c>
      <c r="N61" s="198" t="n">
        <f aca="false">INDEX(Training!$C$123:$Q$123,3*(Unit_Cost!N$6-1)+1)</f>
        <v>0.00220433968028437</v>
      </c>
      <c r="O61" s="198" t="n">
        <f aca="false">INDEX(Training!$C$123:$Q$123,3*(Unit_Cost!O$6-1)+1)</f>
        <v>0.00143044852589726</v>
      </c>
      <c r="P61" s="198" t="n">
        <f aca="false">INDEX(Training!$C$123:$Q$123,3*(Unit_Cost!P$6-1)+1)</f>
        <v>0.00143044852589726</v>
      </c>
      <c r="Q61" s="198" t="n">
        <f aca="false">INDEX(Training!$C$123:$Q$123,3*(Unit_Cost!Q$6-1)+1)</f>
        <v>0.00143044852589726</v>
      </c>
      <c r="R61" s="184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1" s="44" t="str">
        <f aca="false">IF(R61="—","—",IF(R61="A","基準輸入",IF(R61="B","情境、相對比較、反轉門檻","探索")))</f>
        <v>情境、相對比較、反轉門檻</v>
      </c>
      <c r="T61" s="30" t="s">
        <v>751</v>
      </c>
      <c r="U61" s="44" t="str">
        <f aca="false">IF(V61=0,"—",LEFT(TEXT(V61,"0"),4)&amp;"-"&amp;MID(TEXT(V61,"0"),5,2)&amp;"-"&amp;RIGHT(TEXT(V61,"0"),2))</f>
        <v>2026-10-05</v>
      </c>
      <c r="V61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1" s="21" t="s">
        <v>2836</v>
      </c>
      <c r="X61" s="32" t="n">
        <f aca="false">IF(ISNUMBER(FIND("上限",S61)),1,0)</f>
        <v>0</v>
      </c>
      <c r="Y61" s="32" t="n">
        <v>0</v>
      </c>
    </row>
    <row r="62" customFormat="false" ht="15" hidden="false" customHeight="true" outlineLevel="0" collapsed="false">
      <c r="A62" s="8" t="s">
        <v>279</v>
      </c>
    </row>
    <row r="63" customFormat="false" ht="15" hidden="false" customHeight="true" outlineLevel="0" collapsed="false">
      <c r="A63" s="44" t="s">
        <v>2837</v>
      </c>
      <c r="B63" s="30" t="s">
        <v>1180</v>
      </c>
      <c r="C63" s="49" t="n">
        <f aca="false">INDEX(Training!$C$106:$Q$106,3*(Unit_Cost!C$6-1)+2)</f>
        <v>20252042.4874034</v>
      </c>
      <c r="D63" s="49" t="n">
        <f aca="false">INDEX(Training!$C$106:$Q$106,3*(Unit_Cost!D$6-1)+2)</f>
        <v>20252042.4874034</v>
      </c>
      <c r="E63" s="49" t="n">
        <f aca="false">INDEX(Training!$C$106:$Q$106,3*(Unit_Cost!E$6-1)+2)</f>
        <v>20252042.4874034</v>
      </c>
      <c r="F63" s="49" t="n">
        <f aca="false">INDEX(Training!$C$106:$Q$106,3*(Unit_Cost!F$6-1)+2)</f>
        <v>6152335.11648947</v>
      </c>
      <c r="G63" s="49" t="n">
        <f aca="false">INDEX(Training!$C$106:$Q$106,3*(Unit_Cost!G$6-1)+2)</f>
        <v>6152335.11648947</v>
      </c>
      <c r="H63" s="49" t="n">
        <f aca="false">INDEX(Training!$C$106:$Q$106,3*(Unit_Cost!H$6-1)+2)</f>
        <v>6152335.11648947</v>
      </c>
      <c r="I63" s="49" t="n">
        <f aca="false">INDEX(Training!$C$106:$Q$106,3*(Unit_Cost!I$6-1)+2)</f>
        <v>5453953.11066573</v>
      </c>
      <c r="J63" s="49" t="n">
        <f aca="false">INDEX(Training!$C$106:$Q$106,3*(Unit_Cost!J$6-1)+2)</f>
        <v>5453953.11066573</v>
      </c>
      <c r="K63" s="49" t="n">
        <f aca="false">INDEX(Training!$C$106:$Q$106,3*(Unit_Cost!K$6-1)+2)</f>
        <v>5453953.11066573</v>
      </c>
      <c r="L63" s="49" t="n">
        <f aca="false">INDEX(Training!$C$106:$Q$106,3*(Unit_Cost!L$6-1)+2)</f>
        <v>2051289.25958755</v>
      </c>
      <c r="M63" s="49" t="n">
        <f aca="false">INDEX(Training!$C$106:$Q$106,3*(Unit_Cost!M$6-1)+2)</f>
        <v>2051289.25958755</v>
      </c>
      <c r="N63" s="49" t="n">
        <f aca="false">INDEX(Training!$C$106:$Q$106,3*(Unit_Cost!N$6-1)+2)</f>
        <v>2051289.25958755</v>
      </c>
      <c r="O63" s="49" t="n">
        <f aca="false">INDEX(Training!$C$106:$Q$106,3*(Unit_Cost!O$6-1)+2)</f>
        <v>919050.37142924</v>
      </c>
      <c r="P63" s="49" t="n">
        <f aca="false">INDEX(Training!$C$106:$Q$106,3*(Unit_Cost!P$6-1)+2)</f>
        <v>919050.37142924</v>
      </c>
      <c r="Q63" s="49" t="n">
        <f aca="false">INDEX(Training!$C$106:$Q$106,3*(Unit_Cost!Q$6-1)+2)</f>
        <v>919050.37142924</v>
      </c>
      <c r="R63" s="184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63" s="44" t="str">
        <f aca="false">IF(R63="—","—",IF(R63="A","基準輸入",IF(R63="B","情境、相對比較、反轉門檻","探索")))</f>
        <v>情境、相對比較、反轉門檻</v>
      </c>
      <c r="T63" s="30" t="s">
        <v>751</v>
      </c>
      <c r="U63" s="44" t="str">
        <f aca="false">IF(V63=0,"—",LEFT(TEXT(V63,"0"),4)&amp;"-"&amp;MID(TEXT(V63,"0"),5,2)&amp;"-"&amp;RIGHT(TEXT(V63,"0"),2))</f>
        <v>2026-10-05</v>
      </c>
      <c r="V63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63" s="21" t="s">
        <v>2823</v>
      </c>
      <c r="X63" s="32" t="n">
        <f aca="false">IF(ISNUMBER(FIND("上限",S63)),1,0)</f>
        <v>0</v>
      </c>
      <c r="Y63" s="32" t="n">
        <v>0</v>
      </c>
    </row>
    <row r="64" customFormat="false" ht="15" hidden="false" customHeight="true" outlineLevel="0" collapsed="false">
      <c r="A64" s="44" t="s">
        <v>2838</v>
      </c>
      <c r="B64" s="30" t="s">
        <v>1021</v>
      </c>
      <c r="C64" s="195" t="n">
        <f aca="false">IF(ISNUMBER(INDEX(Training!$C$106:$Q$106,3*(Unit_Cost!C$6-1)+2)),INDEX(Training!$C$106:$Q$106,3*(Unit_Cost!C$6-1)+2)*Unit_Cost!C$8/1000000,INDEX(Training!$C$106:$Q$106,3*(Unit_Cost!C$6-1)+2))</f>
        <v>21.8650135797258</v>
      </c>
      <c r="D64" s="195" t="n">
        <f aca="false">IF(ISNUMBER(INDEX(Training!$C$106:$Q$106,3*(Unit_Cost!D$6-1)+2)),INDEX(Training!$C$106:$Q$106,3*(Unit_Cost!D$6-1)+2)*Unit_Cost!D$8/1000000,INDEX(Training!$C$106:$Q$106,3*(Unit_Cost!D$6-1)+2))</f>
        <v>31.2407308280994</v>
      </c>
      <c r="E64" s="195" t="n">
        <f aca="false">IF(ISNUMBER(INDEX(Training!$C$106:$Q$106,3*(Unit_Cost!E$6-1)+2)),INDEX(Training!$C$106:$Q$106,3*(Unit_Cost!E$6-1)+2)*Unit_Cost!E$8/1000000,INDEX(Training!$C$106:$Q$106,3*(Unit_Cost!E$6-1)+2))</f>
        <v>53.6518253913892</v>
      </c>
      <c r="F64" s="195" t="n">
        <f aca="false">IF(ISNUMBER(INDEX(Training!$C$106:$Q$106,3*(Unit_Cost!F$6-1)+2)),INDEX(Training!$C$106:$Q$106,3*(Unit_Cost!F$6-1)+2)*Unit_Cost!F$8/1000000,INDEX(Training!$C$106:$Q$106,3*(Unit_Cost!F$6-1)+2))</f>
        <v>9.25451563543696</v>
      </c>
      <c r="G64" s="195" t="n">
        <f aca="false">IF(ISNUMBER(INDEX(Training!$C$106:$Q$106,3*(Unit_Cost!G$6-1)+2)),INDEX(Training!$C$106:$Q$106,3*(Unit_Cost!G$6-1)+2)*Unit_Cost!G$8/1000000,INDEX(Training!$C$106:$Q$106,3*(Unit_Cost!G$6-1)+2))</f>
        <v>12.3567251189942</v>
      </c>
      <c r="H64" s="195" t="n">
        <f aca="false">IF(ISNUMBER(INDEX(Training!$C$106:$Q$106,3*(Unit_Cost!H$6-1)+2)),INDEX(Training!$C$106:$Q$106,3*(Unit_Cost!H$6-1)+2)*Unit_Cost!H$8/1000000,INDEX(Training!$C$106:$Q$106,3*(Unit_Cost!H$6-1)+2))</f>
        <v>20.041614800159</v>
      </c>
      <c r="I64" s="195" t="n">
        <f aca="false">IF(ISNUMBER(INDEX(Training!$C$106:$Q$106,3*(Unit_Cost!I$6-1)+2)),INDEX(Training!$C$106:$Q$106,3*(Unit_Cost!I$6-1)+2)*Unit_Cost!I$8/1000000,INDEX(Training!$C$106:$Q$106,3*(Unit_Cost!I$6-1)+2))</f>
        <v>10.7756147095243</v>
      </c>
      <c r="J64" s="195" t="n">
        <f aca="false">IF(ISNUMBER(INDEX(Training!$C$106:$Q$106,3*(Unit_Cost!J$6-1)+2)),INDEX(Training!$C$106:$Q$106,3*(Unit_Cost!J$6-1)+2)*Unit_Cost!J$8/1000000,INDEX(Training!$C$106:$Q$106,3*(Unit_Cost!J$6-1)+2))</f>
        <v>13.9173299912937</v>
      </c>
      <c r="K64" s="195" t="n">
        <f aca="false">IF(ISNUMBER(INDEX(Training!$C$106:$Q$106,3*(Unit_Cost!K$6-1)+2)),INDEX(Training!$C$106:$Q$106,3*(Unit_Cost!K$6-1)+2)*Unit_Cost!K$8/1000000,INDEX(Training!$C$106:$Q$106,3*(Unit_Cost!K$6-1)+2))</f>
        <v>23.6949328572539</v>
      </c>
      <c r="L64" s="195" t="n">
        <f aca="false">IF(ISNUMBER(INDEX(Training!$C$106:$Q$106,3*(Unit_Cost!L$6-1)+2)),INDEX(Training!$C$106:$Q$106,3*(Unit_Cost!L$6-1)+2)*Unit_Cost!L$8/1000000,INDEX(Training!$C$106:$Q$106,3*(Unit_Cost!L$6-1)+2))</f>
        <v>7.63477460577875</v>
      </c>
      <c r="M64" s="195" t="n">
        <f aca="false">IF(ISNUMBER(INDEX(Training!$C$106:$Q$106,3*(Unit_Cost!M$6-1)+2)),INDEX(Training!$C$106:$Q$106,3*(Unit_Cost!M$6-1)+2)*Unit_Cost!M$8/1000000,INDEX(Training!$C$106:$Q$106,3*(Unit_Cost!M$6-1)+2))</f>
        <v>9.8126535738025</v>
      </c>
      <c r="N64" s="195" t="n">
        <f aca="false">IF(ISNUMBER(INDEX(Training!$C$106:$Q$106,3*(Unit_Cost!N$6-1)+2)),INDEX(Training!$C$106:$Q$106,3*(Unit_Cost!N$6-1)+2)*Unit_Cost!N$8/1000000,INDEX(Training!$C$106:$Q$106,3*(Unit_Cost!N$6-1)+2))</f>
        <v>15.8526457132149</v>
      </c>
      <c r="O64" s="195" t="n">
        <f aca="false">IF(ISNUMBER(INDEX(Training!$C$106:$Q$106,3*(Unit_Cost!O$6-1)+2)),INDEX(Training!$C$106:$Q$106,3*(Unit_Cost!O$6-1)+2)*Unit_Cost!O$8/1000000,INDEX(Training!$C$106:$Q$106,3*(Unit_Cost!O$6-1)+2))</f>
        <v>5.44209630592475</v>
      </c>
      <c r="P64" s="195" t="n">
        <f aca="false">IF(ISNUMBER(INDEX(Training!$C$106:$Q$106,3*(Unit_Cost!P$6-1)+2)),INDEX(Training!$C$106:$Q$106,3*(Unit_Cost!P$6-1)+2)*Unit_Cost!P$8/1000000,INDEX(Training!$C$106:$Q$106,3*(Unit_Cost!P$6-1)+2))</f>
        <v>8.27124018657791</v>
      </c>
      <c r="Q64" s="195" t="n">
        <f aca="false">IF(ISNUMBER(INDEX(Training!$C$106:$Q$106,3*(Unit_Cost!Q$6-1)+2)),INDEX(Training!$C$106:$Q$106,3*(Unit_Cost!Q$6-1)+2)*Unit_Cost!Q$8/1000000,INDEX(Training!$C$106:$Q$106,3*(Unit_Cost!Q$6-1)+2))</f>
        <v>15.0994920152587</v>
      </c>
      <c r="R64" s="184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64" s="44" t="str">
        <f aca="false">IF(R64="—","—",IF(R64="A","基準輸入",IF(R64="B","情境、相對比較、反轉門檻","探索")))</f>
        <v>情境、相對比較、反轉門檻</v>
      </c>
      <c r="T64" s="30" t="s">
        <v>751</v>
      </c>
      <c r="U64" s="44" t="str">
        <f aca="false">IF(V64=0,"—",LEFT(TEXT(V64,"0"),4)&amp;"-"&amp;MID(TEXT(V64,"0"),5,2)&amp;"-"&amp;RIGHT(TEXT(V64,"0"),2))</f>
        <v>2026-10-08</v>
      </c>
      <c r="V64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64" s="21" t="s">
        <v>2825</v>
      </c>
      <c r="X64" s="32" t="n">
        <f aca="false">IF(ISNUMBER(FIND("上限",S64)),1,0)</f>
        <v>0</v>
      </c>
      <c r="Y64" s="32" t="n">
        <v>0</v>
      </c>
    </row>
    <row r="65" customFormat="false" ht="15" hidden="false" customHeight="true" outlineLevel="0" collapsed="false">
      <c r="A65" s="44" t="s">
        <v>2839</v>
      </c>
      <c r="B65" s="30" t="s">
        <v>113</v>
      </c>
      <c r="C65" s="196" t="n">
        <f aca="false">INDEX(Training!$C$110:$Q$110,3*(Unit_Cost!C$6-1)+2)</f>
        <v>0.127029214627552</v>
      </c>
      <c r="D65" s="196" t="n">
        <f aca="false">INDEX(Training!$C$110:$Q$110,3*(Unit_Cost!D$6-1)+2)</f>
        <v>0.127029214627552</v>
      </c>
      <c r="E65" s="196" t="n">
        <f aca="false">INDEX(Training!$C$110:$Q$110,3*(Unit_Cost!E$6-1)+2)</f>
        <v>0.127029214627552</v>
      </c>
      <c r="F65" s="196" t="n">
        <f aca="false">INDEX(Training!$C$110:$Q$110,3*(Unit_Cost!F$6-1)+2)</f>
        <v>0.127029214627552</v>
      </c>
      <c r="G65" s="196" t="n">
        <f aca="false">INDEX(Training!$C$110:$Q$110,3*(Unit_Cost!G$6-1)+2)</f>
        <v>0.127029214627552</v>
      </c>
      <c r="H65" s="196" t="n">
        <f aca="false">INDEX(Training!$C$110:$Q$110,3*(Unit_Cost!H$6-1)+2)</f>
        <v>0.127029214627552</v>
      </c>
      <c r="I65" s="196" t="n">
        <f aca="false">INDEX(Training!$C$110:$Q$110,3*(Unit_Cost!I$6-1)+2)</f>
        <v>0.127029214627552</v>
      </c>
      <c r="J65" s="196" t="n">
        <f aca="false">INDEX(Training!$C$110:$Q$110,3*(Unit_Cost!J$6-1)+2)</f>
        <v>0.127029214627552</v>
      </c>
      <c r="K65" s="196" t="n">
        <f aca="false">INDEX(Training!$C$110:$Q$110,3*(Unit_Cost!K$6-1)+2)</f>
        <v>0.127029214627552</v>
      </c>
      <c r="L65" s="196" t="n">
        <f aca="false">INDEX(Training!$C$110:$Q$110,3*(Unit_Cost!L$6-1)+2)</f>
        <v>0.127029214627552</v>
      </c>
      <c r="M65" s="196" t="n">
        <f aca="false">INDEX(Training!$C$110:$Q$110,3*(Unit_Cost!M$6-1)+2)</f>
        <v>0.127029214627552</v>
      </c>
      <c r="N65" s="196" t="n">
        <f aca="false">INDEX(Training!$C$110:$Q$110,3*(Unit_Cost!N$6-1)+2)</f>
        <v>0.127029214627552</v>
      </c>
      <c r="O65" s="196" t="n">
        <f aca="false">INDEX(Training!$C$110:$Q$110,3*(Unit_Cost!O$6-1)+2)</f>
        <v>0.127029214627552</v>
      </c>
      <c r="P65" s="196" t="n">
        <f aca="false">INDEX(Training!$C$110:$Q$110,3*(Unit_Cost!P$6-1)+2)</f>
        <v>0.127029214627552</v>
      </c>
      <c r="Q65" s="196" t="n">
        <f aca="false">INDEX(Training!$C$110:$Q$110,3*(Unit_Cost!Q$6-1)+2)</f>
        <v>0.127029214627552</v>
      </c>
      <c r="R65" s="18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65" s="44" t="str">
        <f aca="false">IF(R65="—","—",IF(R65="A","基準輸入",IF(R65="B","情境、相對比較、反轉門檻","探索")))</f>
        <v>情境、相對比較、反轉門檻</v>
      </c>
      <c r="T65" s="30" t="s">
        <v>751</v>
      </c>
      <c r="U65" s="44" t="str">
        <f aca="false">IF(V65=0,"—",LEFT(TEXT(V65,"0"),4)&amp;"-"&amp;MID(TEXT(V65,"0"),5,2)&amp;"-"&amp;RIGHT(TEXT(V65,"0"),2))</f>
        <v>2026-10-05</v>
      </c>
      <c r="V65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65" s="21" t="s">
        <v>2827</v>
      </c>
      <c r="X65" s="32" t="n">
        <f aca="false">IF(ISNUMBER(FIND("上限",S65)),1,0)</f>
        <v>0</v>
      </c>
      <c r="Y65" s="32" t="n">
        <v>0</v>
      </c>
    </row>
    <row r="66" customFormat="false" ht="15" hidden="false" customHeight="true" outlineLevel="0" collapsed="false">
      <c r="A66" s="44" t="s">
        <v>2840</v>
      </c>
      <c r="B66" s="30" t="s">
        <v>113</v>
      </c>
      <c r="C66" s="197" t="n">
        <f aca="false">INDEX(Training!$C$111:$Q$111,3*(Unit_Cost!C$6-1)+2)</f>
        <v>0.338532361439256</v>
      </c>
      <c r="D66" s="197" t="n">
        <f aca="false">INDEX(Training!$C$111:$Q$111,3*(Unit_Cost!D$6-1)+2)</f>
        <v>0.338532361439256</v>
      </c>
      <c r="E66" s="197" t="n">
        <f aca="false">INDEX(Training!$C$111:$Q$111,3*(Unit_Cost!E$6-1)+2)</f>
        <v>0.338532361439256</v>
      </c>
      <c r="F66" s="197" t="n">
        <f aca="false">INDEX(Training!$C$111:$Q$111,3*(Unit_Cost!F$6-1)+2)</f>
        <v>0.267986465704979</v>
      </c>
      <c r="G66" s="197" t="n">
        <f aca="false">INDEX(Training!$C$111:$Q$111,3*(Unit_Cost!G$6-1)+2)</f>
        <v>0.267986465704979</v>
      </c>
      <c r="H66" s="197" t="n">
        <f aca="false">INDEX(Training!$C$111:$Q$111,3*(Unit_Cost!H$6-1)+2)</f>
        <v>0.267986465704979</v>
      </c>
      <c r="I66" s="197" t="n">
        <f aca="false">INDEX(Training!$C$111:$Q$111,3*(Unit_Cost!I$6-1)+2)</f>
        <v>0.235738956226448</v>
      </c>
      <c r="J66" s="197" t="n">
        <f aca="false">INDEX(Training!$C$111:$Q$111,3*(Unit_Cost!J$6-1)+2)</f>
        <v>0.235738956226448</v>
      </c>
      <c r="K66" s="197" t="n">
        <f aca="false">INDEX(Training!$C$111:$Q$111,3*(Unit_Cost!K$6-1)+2)</f>
        <v>0.235738956226448</v>
      </c>
      <c r="L66" s="197" t="n">
        <f aca="false">INDEX(Training!$C$111:$Q$111,3*(Unit_Cost!L$6-1)+2)</f>
        <v>0.282310936548276</v>
      </c>
      <c r="M66" s="197" t="n">
        <f aca="false">INDEX(Training!$C$111:$Q$111,3*(Unit_Cost!M$6-1)+2)</f>
        <v>0.282310936548276</v>
      </c>
      <c r="N66" s="197" t="n">
        <f aca="false">INDEX(Training!$C$111:$Q$111,3*(Unit_Cost!N$6-1)+2)</f>
        <v>0.282310936548276</v>
      </c>
      <c r="O66" s="197" t="n">
        <f aca="false">INDEX(Training!$C$111:$Q$111,3*(Unit_Cost!O$6-1)+2)</f>
        <v>0.254949018157508</v>
      </c>
      <c r="P66" s="197" t="n">
        <f aca="false">INDEX(Training!$C$111:$Q$111,3*(Unit_Cost!P$6-1)+2)</f>
        <v>0.254949018157508</v>
      </c>
      <c r="Q66" s="197" t="n">
        <f aca="false">INDEX(Training!$C$111:$Q$111,3*(Unit_Cost!Q$6-1)+2)</f>
        <v>0.254949018157508</v>
      </c>
      <c r="R66" s="184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66" s="44" t="str">
        <f aca="false">IF(R66="—","—",IF(R66="A","基準輸入",IF(R66="B","情境、相對比較、反轉門檻","探索")))</f>
        <v>情境、相對比較、反轉門檻</v>
      </c>
      <c r="T66" s="30" t="s">
        <v>751</v>
      </c>
      <c r="U66" s="44" t="str">
        <f aca="false">IF(V66=0,"—",LEFT(TEXT(V66,"0"),4)&amp;"-"&amp;MID(TEXT(V66,"0"),5,2)&amp;"-"&amp;RIGHT(TEXT(V66,"0"),2))</f>
        <v>2026-10-05</v>
      </c>
      <c r="V6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66" s="21" t="s">
        <v>2829</v>
      </c>
      <c r="X66" s="32" t="n">
        <f aca="false">IF(ISNUMBER(FIND("上限",S66)),1,0)</f>
        <v>0</v>
      </c>
      <c r="Y66" s="32" t="n">
        <v>0</v>
      </c>
    </row>
    <row r="67" customFormat="false" ht="15" hidden="false" customHeight="true" outlineLevel="0" collapsed="false">
      <c r="A67" s="30" t="s">
        <v>2841</v>
      </c>
      <c r="B67" s="30" t="s">
        <v>113</v>
      </c>
      <c r="C67" s="196" t="n">
        <f aca="false">INDEX(Training!$C$77:$Q$77,3*(Unit_Cost!C$6-1)+2)</f>
        <v>0.062804610455095</v>
      </c>
      <c r="D67" s="196" t="n">
        <f aca="false">INDEX(Training!$C$77:$Q$77,3*(Unit_Cost!D$6-1)+2)</f>
        <v>0.062804610455095</v>
      </c>
      <c r="E67" s="196" t="n">
        <f aca="false">INDEX(Training!$C$77:$Q$77,3*(Unit_Cost!E$6-1)+2)</f>
        <v>0.062804610455095</v>
      </c>
      <c r="F67" s="196" t="n">
        <f aca="false">INDEX(Training!$C$77:$Q$77,3*(Unit_Cost!F$6-1)+2)</f>
        <v>0.0874404965486068</v>
      </c>
      <c r="G67" s="196" t="n">
        <f aca="false">INDEX(Training!$C$77:$Q$77,3*(Unit_Cost!G$6-1)+2)</f>
        <v>0.0874404965486068</v>
      </c>
      <c r="H67" s="196" t="n">
        <f aca="false">INDEX(Training!$C$77:$Q$77,3*(Unit_Cost!H$6-1)+2)</f>
        <v>0.0874404965486068</v>
      </c>
      <c r="I67" s="196" t="n">
        <f aca="false">INDEX(Training!$C$77:$Q$77,3*(Unit_Cost!I$6-1)+2)</f>
        <v>0.103815837007901</v>
      </c>
      <c r="J67" s="196" t="n">
        <f aca="false">INDEX(Training!$C$77:$Q$77,3*(Unit_Cost!J$6-1)+2)</f>
        <v>0.103815837007901</v>
      </c>
      <c r="K67" s="196" t="n">
        <f aca="false">INDEX(Training!$C$77:$Q$77,3*(Unit_Cost!K$6-1)+2)</f>
        <v>0.103815837007901</v>
      </c>
      <c r="L67" s="196" t="n">
        <f aca="false">INDEX(Training!$C$77:$Q$77,3*(Unit_Cost!L$6-1)+2)</f>
        <v>0.0731801304364245</v>
      </c>
      <c r="M67" s="196" t="n">
        <f aca="false">INDEX(Training!$C$77:$Q$77,3*(Unit_Cost!M$6-1)+2)</f>
        <v>0.0731801304364245</v>
      </c>
      <c r="N67" s="196" t="n">
        <f aca="false">INDEX(Training!$C$77:$Q$77,3*(Unit_Cost!N$6-1)+2)</f>
        <v>0.0731801304364245</v>
      </c>
      <c r="O67" s="196" t="n">
        <f aca="false">INDEX(Training!$C$77:$Q$77,3*(Unit_Cost!O$6-1)+2)</f>
        <v>0.0842149737466073</v>
      </c>
      <c r="P67" s="196" t="n">
        <f aca="false">INDEX(Training!$C$77:$Q$77,3*(Unit_Cost!P$6-1)+2)</f>
        <v>0.0842149737466073</v>
      </c>
      <c r="Q67" s="196" t="n">
        <f aca="false">INDEX(Training!$C$77:$Q$77,3*(Unit_Cost!Q$6-1)+2)</f>
        <v>0.0842149737466073</v>
      </c>
      <c r="R67" s="184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67" s="44" t="str">
        <f aca="false">IF(R67="—","—",IF(R67="A","基準輸入",IF(R67="B","情境、相對比較、反轉門檻","探索")))</f>
        <v>情境、相對比較、反轉門檻</v>
      </c>
      <c r="T67" s="30" t="s">
        <v>751</v>
      </c>
      <c r="U67" s="44" t="str">
        <f aca="false">IF(V67=0,"—",LEFT(TEXT(V67,"0"),4)&amp;"-"&amp;MID(TEXT(V67,"0"),5,2)&amp;"-"&amp;RIGHT(TEXT(V67,"0"),2))</f>
        <v>2026-10-05</v>
      </c>
      <c r="V6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67" s="21" t="s">
        <v>2831</v>
      </c>
      <c r="X67" s="32" t="n">
        <f aca="false">IF(ISNUMBER(FIND("上限",S67)),1,0)</f>
        <v>0</v>
      </c>
      <c r="Y67" s="32" t="n">
        <v>0</v>
      </c>
    </row>
    <row r="68" customFormat="false" ht="15" hidden="false" customHeight="true" outlineLevel="0" collapsed="false">
      <c r="A68" s="44" t="s">
        <v>2842</v>
      </c>
      <c r="B68" s="30" t="s">
        <v>1180</v>
      </c>
      <c r="C68" s="191" t="n">
        <f aca="false">INDEX(Training!$C$120:$Q$120,3*(Unit_Cost!C$6-1)+2)</f>
        <v>162016339.899227</v>
      </c>
      <c r="D68" s="191" t="n">
        <f aca="false">INDEX(Training!$C$120:$Q$120,3*(Unit_Cost!D$6-1)+2)</f>
        <v>162016339.899227</v>
      </c>
      <c r="E68" s="191" t="n">
        <f aca="false">INDEX(Training!$C$120:$Q$120,3*(Unit_Cost!E$6-1)+2)</f>
        <v>162016339.899227</v>
      </c>
      <c r="F68" s="191" t="n">
        <f aca="false">INDEX(Training!$C$120:$Q$120,3*(Unit_Cost!F$6-1)+2)</f>
        <v>49218680.9319158</v>
      </c>
      <c r="G68" s="191" t="n">
        <f aca="false">INDEX(Training!$C$120:$Q$120,3*(Unit_Cost!G$6-1)+2)</f>
        <v>49218680.9319158</v>
      </c>
      <c r="H68" s="191" t="n">
        <f aca="false">INDEX(Training!$C$120:$Q$120,3*(Unit_Cost!H$6-1)+2)</f>
        <v>49218680.9319158</v>
      </c>
      <c r="I68" s="191" t="n">
        <f aca="false">INDEX(Training!$C$120:$Q$120,3*(Unit_Cost!I$6-1)+2)</f>
        <v>43631624.8853258</v>
      </c>
      <c r="J68" s="191" t="n">
        <f aca="false">INDEX(Training!$C$120:$Q$120,3*(Unit_Cost!J$6-1)+2)</f>
        <v>43631624.8853258</v>
      </c>
      <c r="K68" s="191" t="n">
        <f aca="false">INDEX(Training!$C$120:$Q$120,3*(Unit_Cost!K$6-1)+2)</f>
        <v>43631624.8853258</v>
      </c>
      <c r="L68" s="191" t="n">
        <f aca="false">INDEX(Training!$C$120:$Q$120,3*(Unit_Cost!L$6-1)+2)</f>
        <v>16410314.0767004</v>
      </c>
      <c r="M68" s="191" t="n">
        <f aca="false">INDEX(Training!$C$120:$Q$120,3*(Unit_Cost!M$6-1)+2)</f>
        <v>16410314.0767004</v>
      </c>
      <c r="N68" s="191" t="n">
        <f aca="false">INDEX(Training!$C$120:$Q$120,3*(Unit_Cost!N$6-1)+2)</f>
        <v>16410314.0767004</v>
      </c>
      <c r="O68" s="191" t="n">
        <f aca="false">INDEX(Training!$C$120:$Q$120,3*(Unit_Cost!O$6-1)+2)</f>
        <v>7352402.97143392</v>
      </c>
      <c r="P68" s="191" t="n">
        <f aca="false">INDEX(Training!$C$120:$Q$120,3*(Unit_Cost!P$6-1)+2)</f>
        <v>7352402.97143392</v>
      </c>
      <c r="Q68" s="191" t="n">
        <f aca="false">INDEX(Training!$C$120:$Q$120,3*(Unit_Cost!Q$6-1)+2)</f>
        <v>7352402.97143392</v>
      </c>
      <c r="R68" s="184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68" s="44" t="str">
        <f aca="false">IF(R68="—","—",IF(R68="A","基準輸入",IF(R68="B","情境、相對比較、反轉門檻","探索")))</f>
        <v>情境、相對比較、反轉門檻</v>
      </c>
      <c r="T68" s="30" t="s">
        <v>751</v>
      </c>
      <c r="U68" s="44" t="str">
        <f aca="false">IF(V68=0,"—",LEFT(TEXT(V68,"0"),4)&amp;"-"&amp;MID(TEXT(V68,"0"),5,2)&amp;"-"&amp;RIGHT(TEXT(V68,"0"),2))</f>
        <v>2026-10-05</v>
      </c>
      <c r="V68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68" s="21" t="s">
        <v>2833</v>
      </c>
      <c r="X68" s="32" t="n">
        <f aca="false">IF(ISNUMBER(FIND("上限",S68)),1,0)</f>
        <v>0</v>
      </c>
      <c r="Y68" s="32" t="n">
        <v>0</v>
      </c>
    </row>
    <row r="69" customFormat="false" ht="15" hidden="false" customHeight="true" outlineLevel="0" collapsed="false">
      <c r="A69" s="44" t="s">
        <v>2743</v>
      </c>
      <c r="B69" s="30" t="s">
        <v>1021</v>
      </c>
      <c r="C69" s="191" t="n">
        <f aca="false">IF(ISNUMBER(INDEX(Training!$C$120:$Q$120,3*(Unit_Cost!C$6-1)+2)),INDEX(Training!$C$120:$Q$120,3*(Unit_Cost!C$6-1)+2)*Unit_Cost!C$8/1000000,INDEX(Training!$C$120:$Q$120,3*(Unit_Cost!C$6-1)+2))</f>
        <v>174.920108637806</v>
      </c>
      <c r="D69" s="191" t="n">
        <f aca="false">IF(ISNUMBER(INDEX(Training!$C$120:$Q$120,3*(Unit_Cost!D$6-1)+2)),INDEX(Training!$C$120:$Q$120,3*(Unit_Cost!D$6-1)+2)*Unit_Cost!D$8/1000000,INDEX(Training!$C$120:$Q$120,3*(Unit_Cost!D$6-1)+2))</f>
        <v>249.925846624795</v>
      </c>
      <c r="E69" s="191" t="n">
        <f aca="false">IF(ISNUMBER(INDEX(Training!$C$120:$Q$120,3*(Unit_Cost!E$6-1)+2)),INDEX(Training!$C$120:$Q$120,3*(Unit_Cost!E$6-1)+2)*Unit_Cost!E$8/1000000,INDEX(Training!$C$120:$Q$120,3*(Unit_Cost!E$6-1)+2))</f>
        <v>429.214603131113</v>
      </c>
      <c r="F69" s="191" t="n">
        <f aca="false">IF(ISNUMBER(INDEX(Training!$C$120:$Q$120,3*(Unit_Cost!F$6-1)+2)),INDEX(Training!$C$120:$Q$120,3*(Unit_Cost!F$6-1)+2)*Unit_Cost!F$8/1000000,INDEX(Training!$C$120:$Q$120,3*(Unit_Cost!F$6-1)+2))</f>
        <v>74.0361250834957</v>
      </c>
      <c r="G69" s="191" t="n">
        <f aca="false">IF(ISNUMBER(INDEX(Training!$C$120:$Q$120,3*(Unit_Cost!G$6-1)+2)),INDEX(Training!$C$120:$Q$120,3*(Unit_Cost!G$6-1)+2)*Unit_Cost!G$8/1000000,INDEX(Training!$C$120:$Q$120,3*(Unit_Cost!G$6-1)+2))</f>
        <v>98.8538009519539</v>
      </c>
      <c r="H69" s="191" t="n">
        <f aca="false">IF(ISNUMBER(INDEX(Training!$C$120:$Q$120,3*(Unit_Cost!H$6-1)+2)),INDEX(Training!$C$120:$Q$120,3*(Unit_Cost!H$6-1)+2)*Unit_Cost!H$8/1000000,INDEX(Training!$C$120:$Q$120,3*(Unit_Cost!H$6-1)+2))</f>
        <v>160.332918401272</v>
      </c>
      <c r="I69" s="191" t="n">
        <f aca="false">IF(ISNUMBER(INDEX(Training!$C$120:$Q$120,3*(Unit_Cost!I$6-1)+2)),INDEX(Training!$C$120:$Q$120,3*(Unit_Cost!I$6-1)+2)*Unit_Cost!I$8/1000000,INDEX(Training!$C$120:$Q$120,3*(Unit_Cost!I$6-1)+2))</f>
        <v>86.2049176761941</v>
      </c>
      <c r="J69" s="191" t="n">
        <f aca="false">IF(ISNUMBER(INDEX(Training!$C$120:$Q$120,3*(Unit_Cost!J$6-1)+2)),INDEX(Training!$C$120:$Q$120,3*(Unit_Cost!J$6-1)+2)*Unit_Cost!J$8/1000000,INDEX(Training!$C$120:$Q$120,3*(Unit_Cost!J$6-1)+2))</f>
        <v>111.33863993035</v>
      </c>
      <c r="K69" s="191" t="n">
        <f aca="false">IF(ISNUMBER(INDEX(Training!$C$120:$Q$120,3*(Unit_Cost!K$6-1)+2)),INDEX(Training!$C$120:$Q$120,3*(Unit_Cost!K$6-1)+2)*Unit_Cost!K$8/1000000,INDEX(Training!$C$120:$Q$120,3*(Unit_Cost!K$6-1)+2))</f>
        <v>189.559462858032</v>
      </c>
      <c r="L69" s="191" t="n">
        <f aca="false">IF(ISNUMBER(INDEX(Training!$C$120:$Q$120,3*(Unit_Cost!L$6-1)+2)),INDEX(Training!$C$120:$Q$120,3*(Unit_Cost!L$6-1)+2)*Unit_Cost!L$8/1000000,INDEX(Training!$C$120:$Q$120,3*(Unit_Cost!L$6-1)+2))</f>
        <v>61.07819684623</v>
      </c>
      <c r="M69" s="191" t="n">
        <f aca="false">IF(ISNUMBER(INDEX(Training!$C$120:$Q$120,3*(Unit_Cost!M$6-1)+2)),INDEX(Training!$C$120:$Q$120,3*(Unit_Cost!M$6-1)+2)*Unit_Cost!M$8/1000000,INDEX(Training!$C$120:$Q$120,3*(Unit_Cost!M$6-1)+2))</f>
        <v>78.50122859042</v>
      </c>
      <c r="N69" s="191" t="n">
        <f aca="false">IF(ISNUMBER(INDEX(Training!$C$120:$Q$120,3*(Unit_Cost!N$6-1)+2)),INDEX(Training!$C$120:$Q$120,3*(Unit_Cost!N$6-1)+2)*Unit_Cost!N$8/1000000,INDEX(Training!$C$120:$Q$120,3*(Unit_Cost!N$6-1)+2))</f>
        <v>126.821165705719</v>
      </c>
      <c r="O69" s="191" t="n">
        <f aca="false">IF(ISNUMBER(INDEX(Training!$C$120:$Q$120,3*(Unit_Cost!O$6-1)+2)),INDEX(Training!$C$120:$Q$120,3*(Unit_Cost!O$6-1)+2)*Unit_Cost!O$8/1000000,INDEX(Training!$C$120:$Q$120,3*(Unit_Cost!O$6-1)+2))</f>
        <v>43.536770447398</v>
      </c>
      <c r="P69" s="191" t="n">
        <f aca="false">IF(ISNUMBER(INDEX(Training!$C$120:$Q$120,3*(Unit_Cost!P$6-1)+2)),INDEX(Training!$C$120:$Q$120,3*(Unit_Cost!P$6-1)+2)*Unit_Cost!P$8/1000000,INDEX(Training!$C$120:$Q$120,3*(Unit_Cost!P$6-1)+2))</f>
        <v>66.1699214926233</v>
      </c>
      <c r="Q69" s="191" t="n">
        <f aca="false">IF(ISNUMBER(INDEX(Training!$C$120:$Q$120,3*(Unit_Cost!Q$6-1)+2)),INDEX(Training!$C$120:$Q$120,3*(Unit_Cost!Q$6-1)+2)*Unit_Cost!Q$8/1000000,INDEX(Training!$C$120:$Q$120,3*(Unit_Cost!Q$6-1)+2))</f>
        <v>120.79593612207</v>
      </c>
      <c r="R69" s="184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69" s="44" t="str">
        <f aca="false">IF(R69="—","—",IF(R69="A","基準輸入",IF(R69="B","情境、相對比較、反轉門檻","探索")))</f>
        <v>情境、相對比較、反轉門檻</v>
      </c>
      <c r="T69" s="30" t="s">
        <v>751</v>
      </c>
      <c r="U69" s="44" t="str">
        <f aca="false">IF(V69=0,"—",LEFT(TEXT(V69,"0"),4)&amp;"-"&amp;MID(TEXT(V69,"0"),5,2)&amp;"-"&amp;RIGHT(TEXT(V69,"0"),2))</f>
        <v>2026-10-08</v>
      </c>
      <c r="V69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69" s="21" t="s">
        <v>2834</v>
      </c>
      <c r="X69" s="32" t="n">
        <f aca="false">IF(ISNUMBER(FIND("上限",S69)),1,0)</f>
        <v>0</v>
      </c>
      <c r="Y69" s="32" t="n">
        <v>0</v>
      </c>
    </row>
    <row r="70" customFormat="false" ht="15" hidden="false" customHeight="true" outlineLevel="0" collapsed="false">
      <c r="A70" s="44" t="s">
        <v>2843</v>
      </c>
      <c r="B70" s="30" t="s">
        <v>113</v>
      </c>
      <c r="C70" s="198" t="n">
        <f aca="false">INDEX(Training!$C$123:$Q$123,3*(Unit_Cost!C$6-1)+2)</f>
        <v>0.0257573532274046</v>
      </c>
      <c r="D70" s="198" t="n">
        <f aca="false">INDEX(Training!$C$123:$Q$123,3*(Unit_Cost!D$6-1)+2)</f>
        <v>0.0257573532274046</v>
      </c>
      <c r="E70" s="198" t="n">
        <f aca="false">INDEX(Training!$C$123:$Q$123,3*(Unit_Cost!E$6-1)+2)</f>
        <v>0.0257573532274046</v>
      </c>
      <c r="F70" s="198" t="n">
        <f aca="false">INDEX(Training!$C$123:$Q$123,3*(Unit_Cost!F$6-1)+2)</f>
        <v>0.0111975472382432</v>
      </c>
      <c r="G70" s="198" t="n">
        <f aca="false">INDEX(Training!$C$123:$Q$123,3*(Unit_Cost!G$6-1)+2)</f>
        <v>0.0111975472382432</v>
      </c>
      <c r="H70" s="198" t="n">
        <f aca="false">INDEX(Training!$C$123:$Q$123,3*(Unit_Cost!H$6-1)+2)</f>
        <v>0.0111975472382432</v>
      </c>
      <c r="I70" s="198" t="n">
        <f aca="false">INDEX(Training!$C$123:$Q$123,3*(Unit_Cost!I$6-1)+2)</f>
        <v>0.0102273044724078</v>
      </c>
      <c r="J70" s="198" t="n">
        <f aca="false">INDEX(Training!$C$123:$Q$123,3*(Unit_Cost!J$6-1)+2)</f>
        <v>0.0102273044724078</v>
      </c>
      <c r="K70" s="198" t="n">
        <f aca="false">INDEX(Training!$C$123:$Q$123,3*(Unit_Cost!K$6-1)+2)</f>
        <v>0.0102273044724078</v>
      </c>
      <c r="L70" s="198" t="n">
        <f aca="false">INDEX(Training!$C$123:$Q$123,3*(Unit_Cost!L$6-1)+2)</f>
        <v>0.00642112099901794</v>
      </c>
      <c r="M70" s="198" t="n">
        <f aca="false">INDEX(Training!$C$123:$Q$123,3*(Unit_Cost!M$6-1)+2)</f>
        <v>0.00642112099901794</v>
      </c>
      <c r="N70" s="198" t="n">
        <f aca="false">INDEX(Training!$C$123:$Q$123,3*(Unit_Cost!N$6-1)+2)</f>
        <v>0.00642112099901794</v>
      </c>
      <c r="O70" s="198" t="n">
        <f aca="false">INDEX(Training!$C$123:$Q$123,3*(Unit_Cost!O$6-1)+2)</f>
        <v>0.00430948556016603</v>
      </c>
      <c r="P70" s="198" t="n">
        <f aca="false">INDEX(Training!$C$123:$Q$123,3*(Unit_Cost!P$6-1)+2)</f>
        <v>0.00430948556016603</v>
      </c>
      <c r="Q70" s="198" t="n">
        <f aca="false">INDEX(Training!$C$123:$Q$123,3*(Unit_Cost!Q$6-1)+2)</f>
        <v>0.00430948556016603</v>
      </c>
      <c r="R70" s="184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0" s="44" t="str">
        <f aca="false">IF(R70="—","—",IF(R70="A","基準輸入",IF(R70="B","情境、相對比較、反轉門檻","探索")))</f>
        <v>情境、相對比較、反轉門檻</v>
      </c>
      <c r="T70" s="30" t="s">
        <v>751</v>
      </c>
      <c r="U70" s="44" t="str">
        <f aca="false">IF(V70=0,"—",LEFT(TEXT(V70,"0"),4)&amp;"-"&amp;MID(TEXT(V70,"0"),5,2)&amp;"-"&amp;RIGHT(TEXT(V70,"0"),2))</f>
        <v>2026-10-05</v>
      </c>
      <c r="V70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0" s="21" t="s">
        <v>2836</v>
      </c>
      <c r="X70" s="32" t="n">
        <f aca="false">IF(ISNUMBER(FIND("上限",S70)),1,0)</f>
        <v>0</v>
      </c>
      <c r="Y70" s="32" t="n">
        <v>0</v>
      </c>
    </row>
    <row r="71" customFormat="false" ht="15" hidden="false" customHeight="true" outlineLevel="0" collapsed="false">
      <c r="A71" s="8" t="s">
        <v>280</v>
      </c>
    </row>
    <row r="72" customFormat="false" ht="15" hidden="false" customHeight="true" outlineLevel="0" collapsed="false">
      <c r="A72" s="44" t="s">
        <v>2844</v>
      </c>
      <c r="B72" s="30" t="s">
        <v>1180</v>
      </c>
      <c r="C72" s="49" t="n">
        <f aca="false">INDEX(Training!$C$106:$Q$106,3*(Unit_Cost!C$6-1)+3)</f>
        <v>123323821.116157</v>
      </c>
      <c r="D72" s="49" t="n">
        <f aca="false">INDEX(Training!$C$106:$Q$106,3*(Unit_Cost!D$6-1)+3)</f>
        <v>123323821.116157</v>
      </c>
      <c r="E72" s="49" t="n">
        <f aca="false">INDEX(Training!$C$106:$Q$106,3*(Unit_Cost!E$6-1)+3)</f>
        <v>123323821.116157</v>
      </c>
      <c r="F72" s="49" t="n">
        <f aca="false">INDEX(Training!$C$106:$Q$106,3*(Unit_Cost!F$6-1)+3)</f>
        <v>38678967.4074746</v>
      </c>
      <c r="G72" s="49" t="n">
        <f aca="false">INDEX(Training!$C$106:$Q$106,3*(Unit_Cost!G$6-1)+3)</f>
        <v>38678967.4074746</v>
      </c>
      <c r="H72" s="49" t="n">
        <f aca="false">INDEX(Training!$C$106:$Q$106,3*(Unit_Cost!H$6-1)+3)</f>
        <v>38678967.4074746</v>
      </c>
      <c r="I72" s="49" t="n">
        <f aca="false">INDEX(Training!$C$106:$Q$106,3*(Unit_Cost!I$6-1)+3)</f>
        <v>34975510.1307514</v>
      </c>
      <c r="J72" s="49" t="n">
        <f aca="false">INDEX(Training!$C$106:$Q$106,3*(Unit_Cost!J$6-1)+3)</f>
        <v>34975510.1307514</v>
      </c>
      <c r="K72" s="49" t="n">
        <f aca="false">INDEX(Training!$C$106:$Q$106,3*(Unit_Cost!K$6-1)+3)</f>
        <v>34975510.1307514</v>
      </c>
      <c r="L72" s="49" t="n">
        <f aca="false">INDEX(Training!$C$106:$Q$106,3*(Unit_Cost!L$6-1)+3)</f>
        <v>12784087.465584</v>
      </c>
      <c r="M72" s="49" t="n">
        <f aca="false">INDEX(Training!$C$106:$Q$106,3*(Unit_Cost!M$6-1)+3)</f>
        <v>12784087.465584</v>
      </c>
      <c r="N72" s="49" t="n">
        <f aca="false">INDEX(Training!$C$106:$Q$106,3*(Unit_Cost!N$6-1)+3)</f>
        <v>12784087.465584</v>
      </c>
      <c r="O72" s="49" t="n">
        <f aca="false">INDEX(Training!$C$106:$Q$106,3*(Unit_Cost!O$6-1)+3)</f>
        <v>5811483.35408388</v>
      </c>
      <c r="P72" s="49" t="n">
        <f aca="false">INDEX(Training!$C$106:$Q$106,3*(Unit_Cost!P$6-1)+3)</f>
        <v>5811483.35408388</v>
      </c>
      <c r="Q72" s="49" t="n">
        <f aca="false">INDEX(Training!$C$106:$Q$106,3*(Unit_Cost!Q$6-1)+3)</f>
        <v>5811483.35408388</v>
      </c>
      <c r="R72" s="184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$656:$AH$658,Gov_Map!$AH$660)&gt;0,"B","A"))</f>
        <v>B</v>
      </c>
      <c r="S72" s="44" t="str">
        <f aca="false">IF(R72="—","—",IF(R72="A","基準輸入",IF(R72="B","情境、相對比較、反轉門檻","探索")))</f>
        <v>情境、相對比較、反轉門檻</v>
      </c>
      <c r="T72" s="30" t="s">
        <v>751</v>
      </c>
      <c r="U72" s="44" t="str">
        <f aca="false">IF(V72=0,"—",LEFT(TEXT(V72,"0"),4)&amp;"-"&amp;MID(TEXT(V72,"0"),5,2)&amp;"-"&amp;RIGHT(TEXT(V72,"0"),2))</f>
        <v>2026-10-05</v>
      </c>
      <c r="V72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$656:$AJ$658,Gov_Map!$AJ$660)</f>
        <v>20261005</v>
      </c>
      <c r="W72" s="21" t="s">
        <v>2823</v>
      </c>
      <c r="X72" s="32" t="n">
        <f aca="false">IF(ISNUMBER(FIND("上限",S72)),1,0)</f>
        <v>0</v>
      </c>
      <c r="Y72" s="32" t="n">
        <v>0</v>
      </c>
    </row>
    <row r="73" customFormat="false" ht="15" hidden="false" customHeight="true" outlineLevel="0" collapsed="false">
      <c r="A73" s="44" t="s">
        <v>2845</v>
      </c>
      <c r="B73" s="30" t="s">
        <v>1021</v>
      </c>
      <c r="C73" s="195" t="n">
        <f aca="false">IF(ISNUMBER(INDEX(Training!$C$106:$Q$106,3*(Unit_Cost!C$6-1)+3)),INDEX(Training!$C$106:$Q$106,3*(Unit_Cost!C$6-1)+3)*Unit_Cost!C$8/1000000,INDEX(Training!$C$106:$Q$106,3*(Unit_Cost!C$6-1)+3))</f>
        <v>133.145929606144</v>
      </c>
      <c r="D73" s="195" t="n">
        <f aca="false">IF(ISNUMBER(INDEX(Training!$C$106:$Q$106,3*(Unit_Cost!D$6-1)+3)),INDEX(Training!$C$106:$Q$106,3*(Unit_Cost!D$6-1)+3)*Unit_Cost!D$8/1000000,INDEX(Training!$C$106:$Q$106,3*(Unit_Cost!D$6-1)+3))</f>
        <v>190.238900722181</v>
      </c>
      <c r="E73" s="195" t="n">
        <f aca="false">IF(ISNUMBER(INDEX(Training!$C$106:$Q$106,3*(Unit_Cost!E$6-1)+3)),INDEX(Training!$C$106:$Q$106,3*(Unit_Cost!E$6-1)+3)*Unit_Cost!E$8/1000000,INDEX(Training!$C$106:$Q$106,3*(Unit_Cost!E$6-1)+3))</f>
        <v>326.710163739702</v>
      </c>
      <c r="F73" s="195" t="n">
        <f aca="false">IF(ISNUMBER(INDEX(Training!$C$106:$Q$106,3*(Unit_Cost!F$6-1)+3)),INDEX(Training!$C$106:$Q$106,3*(Unit_Cost!F$6-1)+3)*Unit_Cost!F$8/1000000,INDEX(Training!$C$106:$Q$106,3*(Unit_Cost!F$6-1)+3))</f>
        <v>58.1819913670892</v>
      </c>
      <c r="G73" s="195" t="n">
        <f aca="false">IF(ISNUMBER(INDEX(Training!$C$106:$Q$106,3*(Unit_Cost!G$6-1)+3)),INDEX(Training!$C$106:$Q$106,3*(Unit_Cost!G$6-1)+3)*Unit_Cost!G$8/1000000,INDEX(Training!$C$106:$Q$106,3*(Unit_Cost!G$6-1)+3))</f>
        <v>77.6851974236113</v>
      </c>
      <c r="H73" s="195" t="n">
        <f aca="false">IF(ISNUMBER(INDEX(Training!$C$106:$Q$106,3*(Unit_Cost!H$6-1)+3)),INDEX(Training!$C$106:$Q$106,3*(Unit_Cost!H$6-1)+3)*Unit_Cost!H$8/1000000,INDEX(Training!$C$106:$Q$106,3*(Unit_Cost!H$6-1)+3))</f>
        <v>125.99914519787</v>
      </c>
      <c r="I73" s="195" t="n">
        <f aca="false">IF(ISNUMBER(INDEX(Training!$C$106:$Q$106,3*(Unit_Cost!I$6-1)+3)),INDEX(Training!$C$106:$Q$106,3*(Unit_Cost!I$6-1)+3)*Unit_Cost!I$8/1000000,INDEX(Training!$C$106:$Q$106,3*(Unit_Cost!I$6-1)+3))</f>
        <v>69.1026515613069</v>
      </c>
      <c r="J73" s="195" t="n">
        <f aca="false">IF(ISNUMBER(INDEX(Training!$C$106:$Q$106,3*(Unit_Cost!J$6-1)+3)),INDEX(Training!$C$106:$Q$106,3*(Unit_Cost!J$6-1)+3)*Unit_Cost!J$8/1000000,INDEX(Training!$C$106:$Q$106,3*(Unit_Cost!J$6-1)+3))</f>
        <v>89.2500735203584</v>
      </c>
      <c r="K73" s="195" t="n">
        <f aca="false">IF(ISNUMBER(INDEX(Training!$C$106:$Q$106,3*(Unit_Cost!K$6-1)+3)),INDEX(Training!$C$106:$Q$106,3*(Unit_Cost!K$6-1)+3)*Unit_Cost!K$8/1000000,INDEX(Training!$C$106:$Q$106,3*(Unit_Cost!K$6-1)+3))</f>
        <v>151.95260160482</v>
      </c>
      <c r="L73" s="195" t="n">
        <f aca="false">IF(ISNUMBER(INDEX(Training!$C$106:$Q$106,3*(Unit_Cost!L$6-1)+3)),INDEX(Training!$C$106:$Q$106,3*(Unit_Cost!L$6-1)+3)*Unit_Cost!L$8/1000000,INDEX(Training!$C$106:$Q$106,3*(Unit_Cost!L$6-1)+3))</f>
        <v>47.581600636821</v>
      </c>
      <c r="M73" s="195" t="n">
        <f aca="false">IF(ISNUMBER(INDEX(Training!$C$106:$Q$106,3*(Unit_Cost!M$6-1)+3)),INDEX(Training!$C$106:$Q$106,3*(Unit_Cost!M$6-1)+3)*Unit_Cost!M$8/1000000,INDEX(Training!$C$106:$Q$106,3*(Unit_Cost!M$6-1)+3))</f>
        <v>61.1546231086832</v>
      </c>
      <c r="N73" s="195" t="n">
        <f aca="false">IF(ISNUMBER(INDEX(Training!$C$106:$Q$106,3*(Unit_Cost!N$6-1)+3)),INDEX(Training!$C$106:$Q$106,3*(Unit_Cost!N$6-1)+3)*Unit_Cost!N$8/1000000,INDEX(Training!$C$106:$Q$106,3*(Unit_Cost!N$6-1)+3))</f>
        <v>98.7971873841935</v>
      </c>
      <c r="O73" s="195" t="n">
        <f aca="false">IF(ISNUMBER(INDEX(Training!$C$106:$Q$106,3*(Unit_Cost!O$6-1)+3)),INDEX(Training!$C$106:$Q$106,3*(Unit_Cost!O$6-1)+3)*Unit_Cost!O$8/1000000,INDEX(Training!$C$106:$Q$106,3*(Unit_Cost!O$6-1)+3))</f>
        <v>34.4123163173522</v>
      </c>
      <c r="P73" s="195" t="n">
        <f aca="false">IF(ISNUMBER(INDEX(Training!$C$106:$Q$106,3*(Unit_Cost!P$6-1)+3)),INDEX(Training!$C$106:$Q$106,3*(Unit_Cost!P$6-1)+3)*Unit_Cost!P$8/1000000,INDEX(Training!$C$106:$Q$106,3*(Unit_Cost!P$6-1)+3))</f>
        <v>52.3020023235234</v>
      </c>
      <c r="Q73" s="195" t="n">
        <f aca="false">IF(ISNUMBER(INDEX(Training!$C$106:$Q$106,3*(Unit_Cost!Q$6-1)+3)),INDEX(Training!$C$106:$Q$106,3*(Unit_Cost!Q$6-1)+3)*Unit_Cost!Q$8/1000000,INDEX(Training!$C$106:$Q$106,3*(Unit_Cost!Q$6-1)+3))</f>
        <v>95.4794744985908</v>
      </c>
      <c r="R73" s="184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$531,Gov_Map!$AH$534:$AH$548,Gov_Map!$AH$560:$AH$561,Gov_Map!$AH$563:$AH$564,Gov_Map!$AH$574:$AH$578,Gov_Map!$AH$599,Gov_Map!$AH$605:$AH$611,Gov_Map!$AH$656:$AH$658,Gov_Map!$AH$660)&gt;0,"B","A"))</f>
        <v>B</v>
      </c>
      <c r="S73" s="44" t="str">
        <f aca="false">IF(R73="—","—",IF(R73="A","基準輸入",IF(R73="B","情境、相對比較、反轉門檻","探索")))</f>
        <v>情境、相對比較、反轉門檻</v>
      </c>
      <c r="T73" s="30" t="s">
        <v>751</v>
      </c>
      <c r="U73" s="44" t="str">
        <f aca="false">IF(V73=0,"—",LEFT(TEXT(V73,"0"),4)&amp;"-"&amp;MID(TEXT(V73,"0"),5,2)&amp;"-"&amp;RIGHT(TEXT(V73,"0"),2))</f>
        <v>2026-10-08</v>
      </c>
      <c r="V73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$531,Gov_Map!$AJ$534:$AJ$548,Gov_Map!$AJ$560:$AJ$561,Gov_Map!$AJ$563:$AJ$564,Gov_Map!$AJ$574:$AJ$578,Gov_Map!$AJ$599,Gov_Map!$AJ$605:$AJ$611,Gov_Map!$AJ$656:$AJ$658,Gov_Map!$AJ$660)</f>
        <v>20261008</v>
      </c>
      <c r="W73" s="21" t="s">
        <v>2825</v>
      </c>
      <c r="X73" s="32" t="n">
        <f aca="false">IF(ISNUMBER(FIND("上限",S73)),1,0)</f>
        <v>0</v>
      </c>
      <c r="Y73" s="32" t="n">
        <v>0</v>
      </c>
    </row>
    <row r="74" customFormat="false" ht="15" hidden="false" customHeight="true" outlineLevel="0" collapsed="false">
      <c r="A74" s="44" t="s">
        <v>2846</v>
      </c>
      <c r="B74" s="30" t="s">
        <v>113</v>
      </c>
      <c r="C74" s="196" t="n">
        <f aca="false">INDEX(Training!$C$110:$Q$110,3*(Unit_Cost!C$6-1)+3)</f>
        <v>0.268885180199482</v>
      </c>
      <c r="D74" s="196" t="n">
        <f aca="false">INDEX(Training!$C$110:$Q$110,3*(Unit_Cost!D$6-1)+3)</f>
        <v>0.268885180199482</v>
      </c>
      <c r="E74" s="196" t="n">
        <f aca="false">INDEX(Training!$C$110:$Q$110,3*(Unit_Cost!E$6-1)+3)</f>
        <v>0.268885180199482</v>
      </c>
      <c r="F74" s="196" t="n">
        <f aca="false">INDEX(Training!$C$110:$Q$110,3*(Unit_Cost!F$6-1)+3)</f>
        <v>0.268885180199482</v>
      </c>
      <c r="G74" s="196" t="n">
        <f aca="false">INDEX(Training!$C$110:$Q$110,3*(Unit_Cost!G$6-1)+3)</f>
        <v>0.268885180199482</v>
      </c>
      <c r="H74" s="196" t="n">
        <f aca="false">INDEX(Training!$C$110:$Q$110,3*(Unit_Cost!H$6-1)+3)</f>
        <v>0.268885180199482</v>
      </c>
      <c r="I74" s="196" t="n">
        <f aca="false">INDEX(Training!$C$110:$Q$110,3*(Unit_Cost!I$6-1)+3)</f>
        <v>0.268885180199482</v>
      </c>
      <c r="J74" s="196" t="n">
        <f aca="false">INDEX(Training!$C$110:$Q$110,3*(Unit_Cost!J$6-1)+3)</f>
        <v>0.268885180199482</v>
      </c>
      <c r="K74" s="196" t="n">
        <f aca="false">INDEX(Training!$C$110:$Q$110,3*(Unit_Cost!K$6-1)+3)</f>
        <v>0.268885180199482</v>
      </c>
      <c r="L74" s="196" t="n">
        <f aca="false">INDEX(Training!$C$110:$Q$110,3*(Unit_Cost!L$6-1)+3)</f>
        <v>0.268885180199482</v>
      </c>
      <c r="M74" s="196" t="n">
        <f aca="false">INDEX(Training!$C$110:$Q$110,3*(Unit_Cost!M$6-1)+3)</f>
        <v>0.268885180199482</v>
      </c>
      <c r="N74" s="196" t="n">
        <f aca="false">INDEX(Training!$C$110:$Q$110,3*(Unit_Cost!N$6-1)+3)</f>
        <v>0.268885180199482</v>
      </c>
      <c r="O74" s="196" t="n">
        <f aca="false">INDEX(Training!$C$110:$Q$110,3*(Unit_Cost!O$6-1)+3)</f>
        <v>0.268885180199482</v>
      </c>
      <c r="P74" s="196" t="n">
        <f aca="false">INDEX(Training!$C$110:$Q$110,3*(Unit_Cost!P$6-1)+3)</f>
        <v>0.268885180199482</v>
      </c>
      <c r="Q74" s="196" t="n">
        <f aca="false">INDEX(Training!$C$110:$Q$110,3*(Unit_Cost!Q$6-1)+3)</f>
        <v>0.268885180199482</v>
      </c>
      <c r="R74" s="184" t="str">
        <f aca="false">IF(SUM(Gov_Map!$AG$181:$AG$186,Gov_Map!$AG$195:$AG$200,Gov_Map!$AG$202,Gov_Map!$AG$204:$AG$206,Gov_Map!$AG$208:$AG$209,Gov_Map!$AG$211:$AG$212,Gov_Map!$AG$217:$AG$220,Gov_Map!$AG$430:$AG$434,Gov_Map!$AG$510:$AG$518,Gov_Map!$AG$521:$AG$522,Gov_Map!$AG$527,Gov_Map!$AG$529,Gov_Map!$AG$535:$AG$540,Gov_Map!$AG$542:$AG$546,Gov_Map!$AG$560:$AG$561,Gov_Map!$AG$563:$AG$564,Gov_Map!$AG$656:$AG$658,Gov_Map!$AG$660)&gt;0,"C",IF(SUM(Gov_Map!$AH$181:$AH$186,Gov_Map!$AH$195:$AH$200,Gov_Map!$AH$202,Gov_Map!$AH$204:$AH$206,Gov_Map!$AH$208:$AH$209,Gov_Map!$AH$211:$AH$212,Gov_Map!$AH$217:$AH$220,Gov_Map!$AH$430:$AH$434,Gov_Map!$AH$510:$AH$518,Gov_Map!$AH$521:$AH$522,Gov_Map!$AH$527,Gov_Map!$AH$529,Gov_Map!$AH$535:$AH$540,Gov_Map!$AH$542:$AH$546,Gov_Map!$AH$560:$AH$561,Gov_Map!$AH$563:$AH$564,Gov_Map!$AH$656:$AH$658,Gov_Map!$AH$660)&gt;0,"B","A"))</f>
        <v>B</v>
      </c>
      <c r="S74" s="44" t="str">
        <f aca="false">IF(R74="—","—",IF(R74="A","基準輸入",IF(R74="B","情境、相對比較、反轉門檻","探索")))</f>
        <v>情境、相對比較、反轉門檻</v>
      </c>
      <c r="T74" s="30" t="s">
        <v>751</v>
      </c>
      <c r="U74" s="44" t="str">
        <f aca="false">IF(V74=0,"—",LEFT(TEXT(V74,"0"),4)&amp;"-"&amp;MID(TEXT(V74,"0"),5,2)&amp;"-"&amp;RIGHT(TEXT(V74,"0"),2))</f>
        <v>2026-10-05</v>
      </c>
      <c r="V74" s="33" t="n">
        <f aca="false">MAX(Gov_Map!$AJ$181:$AJ$186,Gov_Map!$AJ$195:$AJ$200,Gov_Map!$AJ$202,Gov_Map!$AJ$204:$AJ$206,Gov_Map!$AJ$208:$AJ$209,Gov_Map!$AJ$211:$AJ$212,Gov_Map!$AJ$217:$AJ$220,Gov_Map!$AJ$430:$AJ$434,Gov_Map!$AJ$510:$AJ$518,Gov_Map!$AJ$521:$AJ$522,Gov_Map!$AJ$527,Gov_Map!$AJ$529,Gov_Map!$AJ$535:$AJ$540,Gov_Map!$AJ$542:$AJ$546,Gov_Map!$AJ$560:$AJ$561,Gov_Map!$AJ$563:$AJ$564,Gov_Map!$AJ$656:$AJ$658,Gov_Map!$AJ$660)</f>
        <v>20261005</v>
      </c>
      <c r="W74" s="21" t="s">
        <v>2827</v>
      </c>
      <c r="X74" s="32" t="n">
        <f aca="false">IF(ISNUMBER(FIND("上限",S74)),1,0)</f>
        <v>0</v>
      </c>
      <c r="Y74" s="32" t="n">
        <v>0</v>
      </c>
    </row>
    <row r="75" customFormat="false" ht="15" hidden="false" customHeight="true" outlineLevel="0" collapsed="false">
      <c r="A75" s="44" t="s">
        <v>2847</v>
      </c>
      <c r="B75" s="30" t="s">
        <v>113</v>
      </c>
      <c r="C75" s="197" t="n">
        <f aca="false">INDEX(Training!$C$111:$Q$111,3*(Unit_Cost!C$6-1)+3)</f>
        <v>0.594349541651907</v>
      </c>
      <c r="D75" s="197" t="n">
        <f aca="false">INDEX(Training!$C$111:$Q$111,3*(Unit_Cost!D$6-1)+3)</f>
        <v>0.594349541651907</v>
      </c>
      <c r="E75" s="197" t="n">
        <f aca="false">INDEX(Training!$C$111:$Q$111,3*(Unit_Cost!E$6-1)+3)</f>
        <v>0.594349541651907</v>
      </c>
      <c r="F75" s="197" t="n">
        <f aca="false">INDEX(Training!$C$111:$Q$111,3*(Unit_Cost!F$6-1)+3)</f>
        <v>0.504541712883535</v>
      </c>
      <c r="G75" s="197" t="n">
        <f aca="false">INDEX(Training!$C$111:$Q$111,3*(Unit_Cost!G$6-1)+3)</f>
        <v>0.504541712883535</v>
      </c>
      <c r="H75" s="197" t="n">
        <f aca="false">INDEX(Training!$C$111:$Q$111,3*(Unit_Cost!H$6-1)+3)</f>
        <v>0.504541712883535</v>
      </c>
      <c r="I75" s="197" t="n">
        <f aca="false">INDEX(Training!$C$111:$Q$111,3*(Unit_Cost!I$6-1)+3)</f>
        <v>0.460983664042966</v>
      </c>
      <c r="J75" s="197" t="n">
        <f aca="false">INDEX(Training!$C$111:$Q$111,3*(Unit_Cost!J$6-1)+3)</f>
        <v>0.460983664042966</v>
      </c>
      <c r="K75" s="197" t="n">
        <f aca="false">INDEX(Training!$C$111:$Q$111,3*(Unit_Cost!K$6-1)+3)</f>
        <v>0.460983664042966</v>
      </c>
      <c r="L75" s="197" t="n">
        <f aca="false">INDEX(Training!$C$111:$Q$111,3*(Unit_Cost!L$6-1)+3)</f>
        <v>0.521148040333377</v>
      </c>
      <c r="M75" s="197" t="n">
        <f aca="false">INDEX(Training!$C$111:$Q$111,3*(Unit_Cost!M$6-1)+3)</f>
        <v>0.521148040333377</v>
      </c>
      <c r="N75" s="197" t="n">
        <f aca="false">INDEX(Training!$C$111:$Q$111,3*(Unit_Cost!N$6-1)+3)</f>
        <v>0.521148040333377</v>
      </c>
      <c r="O75" s="197" t="n">
        <f aca="false">INDEX(Training!$C$111:$Q$111,3*(Unit_Cost!O$6-1)+3)</f>
        <v>0.481150986813593</v>
      </c>
      <c r="P75" s="197" t="n">
        <f aca="false">INDEX(Training!$C$111:$Q$111,3*(Unit_Cost!P$6-1)+3)</f>
        <v>0.481150986813593</v>
      </c>
      <c r="Q75" s="197" t="n">
        <f aca="false">INDEX(Training!$C$111:$Q$111,3*(Unit_Cost!Q$6-1)+3)</f>
        <v>0.481150986813593</v>
      </c>
      <c r="R75" s="184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$529,Gov_Map!$AG$534:$AG$546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$529,Gov_Map!$AH$534:$AH$546,Gov_Map!$AH$560:$AH$561,Gov_Map!$AH$563:$AH$564,Gov_Map!$AH$574:$AH$578,Gov_Map!$AH$599,Gov_Map!$AH$656:$AH$658,Gov_Map!$AH$660)&gt;0,"B","A"))</f>
        <v>B</v>
      </c>
      <c r="S75" s="44" t="str">
        <f aca="false">IF(R75="—","—",IF(R75="A","基準輸入",IF(R75="B","情境、相對比較、反轉門檻","探索")))</f>
        <v>情境、相對比較、反轉門檻</v>
      </c>
      <c r="T75" s="30" t="s">
        <v>751</v>
      </c>
      <c r="U75" s="44" t="str">
        <f aca="false">IF(V75=0,"—",LEFT(TEXT(V75,"0"),4)&amp;"-"&amp;MID(TEXT(V75,"0"),5,2)&amp;"-"&amp;RIGHT(TEXT(V75,"0"),2))</f>
        <v>2026-10-05</v>
      </c>
      <c r="V75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$529,Gov_Map!$AJ$534:$AJ$546,Gov_Map!$AJ$560:$AJ$561,Gov_Map!$AJ$563:$AJ$564,Gov_Map!$AJ$574:$AJ$578,Gov_Map!$AJ$599,Gov_Map!$AJ$656:$AJ$658,Gov_Map!$AJ$660)</f>
        <v>20261005</v>
      </c>
      <c r="W75" s="21" t="s">
        <v>2829</v>
      </c>
      <c r="X75" s="32" t="n">
        <f aca="false">IF(ISNUMBER(FIND("上限",S75)),1,0)</f>
        <v>0</v>
      </c>
      <c r="Y75" s="32" t="n">
        <v>0</v>
      </c>
    </row>
    <row r="76" customFormat="false" ht="15" hidden="false" customHeight="true" outlineLevel="0" collapsed="false">
      <c r="A76" s="30" t="s">
        <v>2848</v>
      </c>
      <c r="B76" s="30" t="s">
        <v>113</v>
      </c>
      <c r="C76" s="196" t="n">
        <f aca="false">INDEX(Training!$C$77:$Q$77,3*(Unit_Cost!C$6-1)+3)</f>
        <v>0.0561462257017422</v>
      </c>
      <c r="D76" s="196" t="n">
        <f aca="false">INDEX(Training!$C$77:$Q$77,3*(Unit_Cost!D$6-1)+3)</f>
        <v>0.0561462257017422</v>
      </c>
      <c r="E76" s="196" t="n">
        <f aca="false">INDEX(Training!$C$77:$Q$77,3*(Unit_Cost!E$6-1)+3)</f>
        <v>0.0561462257017422</v>
      </c>
      <c r="F76" s="196" t="n">
        <f aca="false">INDEX(Training!$C$77:$Q$77,3*(Unit_Cost!F$6-1)+3)</f>
        <v>0.0807474836755068</v>
      </c>
      <c r="G76" s="196" t="n">
        <f aca="false">INDEX(Training!$C$77:$Q$77,3*(Unit_Cost!G$6-1)+3)</f>
        <v>0.0807474836755068</v>
      </c>
      <c r="H76" s="196" t="n">
        <f aca="false">INDEX(Training!$C$77:$Q$77,3*(Unit_Cost!H$6-1)+3)</f>
        <v>0.0807474836755068</v>
      </c>
      <c r="I76" s="196" t="n">
        <f aca="false">INDEX(Training!$C$77:$Q$77,3*(Unit_Cost!I$6-1)+3)</f>
        <v>0.0961724702603611</v>
      </c>
      <c r="J76" s="196" t="n">
        <f aca="false">INDEX(Training!$C$77:$Q$77,3*(Unit_Cost!J$6-1)+3)</f>
        <v>0.0961724702603611</v>
      </c>
      <c r="K76" s="196" t="n">
        <f aca="false">INDEX(Training!$C$77:$Q$77,3*(Unit_Cost!K$6-1)+3)</f>
        <v>0.0961724702603611</v>
      </c>
      <c r="L76" s="196" t="n">
        <f aca="false">INDEX(Training!$C$77:$Q$77,3*(Unit_Cost!L$6-1)+3)</f>
        <v>0.0679835504547044</v>
      </c>
      <c r="M76" s="196" t="n">
        <f aca="false">INDEX(Training!$C$77:$Q$77,3*(Unit_Cost!M$6-1)+3)</f>
        <v>0.0679835504547044</v>
      </c>
      <c r="N76" s="196" t="n">
        <f aca="false">INDEX(Training!$C$77:$Q$77,3*(Unit_Cost!N$6-1)+3)</f>
        <v>0.0679835504547044</v>
      </c>
      <c r="O76" s="196" t="n">
        <f aca="false">INDEX(Training!$C$77:$Q$77,3*(Unit_Cost!O$6-1)+3)</f>
        <v>0.0798187502820238</v>
      </c>
      <c r="P76" s="196" t="n">
        <f aca="false">INDEX(Training!$C$77:$Q$77,3*(Unit_Cost!P$6-1)+3)</f>
        <v>0.0798187502820238</v>
      </c>
      <c r="Q76" s="196" t="n">
        <f aca="false">INDEX(Training!$C$77:$Q$77,3*(Unit_Cost!Q$6-1)+3)</f>
        <v>0.0798187502820238</v>
      </c>
      <c r="R76" s="184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,Gov_Map!$AG$510:$AG$518,Gov_Map!$AG$521:$AG$524,Gov_Map!$AG$526:$AG$529,Gov_Map!$AG$534,Gov_Map!$AG$541:$AG$544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,Gov_Map!$AH$510:$AH$518,Gov_Map!$AH$521:$AH$524,Gov_Map!$AH$526:$AH$529,Gov_Map!$AH$534,Gov_Map!$AH$541:$AH$544,Gov_Map!$AH$560:$AH$561,Gov_Map!$AH$563:$AH$564,Gov_Map!$AH$574:$AH$578,Gov_Map!$AH$599,Gov_Map!$AH$656:$AH$658,Gov_Map!$AH$660)&gt;0,"B","A"))</f>
        <v>B</v>
      </c>
      <c r="S76" s="44" t="str">
        <f aca="false">IF(R76="—","—",IF(R76="A","基準輸入",IF(R76="B","情境、相對比較、反轉門檻","探索")))</f>
        <v>情境、相對比較、反轉門檻</v>
      </c>
      <c r="T76" s="30" t="s">
        <v>751</v>
      </c>
      <c r="U76" s="44" t="str">
        <f aca="false">IF(V76=0,"—",LEFT(TEXT(V76,"0"),4)&amp;"-"&amp;MID(TEXT(V76,"0"),5,2)&amp;"-"&amp;RIGHT(TEXT(V76,"0"),2))</f>
        <v>2026-10-05</v>
      </c>
      <c r="V76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,Gov_Map!$AJ$510:$AJ$518,Gov_Map!$AJ$521:$AJ$524,Gov_Map!$AJ$526:$AJ$529,Gov_Map!$AJ$534,Gov_Map!$AJ$541:$AJ$544,Gov_Map!$AJ$560:$AJ$561,Gov_Map!$AJ$563:$AJ$564,Gov_Map!$AJ$574:$AJ$578,Gov_Map!$AJ$599,Gov_Map!$AJ$656:$AJ$658,Gov_Map!$AJ$660)</f>
        <v>20261005</v>
      </c>
      <c r="W76" s="21" t="s">
        <v>2831</v>
      </c>
      <c r="X76" s="32" t="n">
        <f aca="false">IF(ISNUMBER(FIND("上限",S76)),1,0)</f>
        <v>0</v>
      </c>
      <c r="Y76" s="32" t="n">
        <v>0</v>
      </c>
    </row>
    <row r="77" customFormat="false" ht="15" hidden="false" customHeight="true" outlineLevel="0" collapsed="false">
      <c r="A77" s="44" t="s">
        <v>2849</v>
      </c>
      <c r="B77" s="30" t="s">
        <v>1180</v>
      </c>
      <c r="C77" s="191" t="n">
        <f aca="false">INDEX(Training!$C$120:$Q$120,3*(Unit_Cost!C$6-1)+3)</f>
        <v>986590568.929256</v>
      </c>
      <c r="D77" s="191" t="n">
        <f aca="false">INDEX(Training!$C$120:$Q$120,3*(Unit_Cost!D$6-1)+3)</f>
        <v>986590568.929256</v>
      </c>
      <c r="E77" s="191" t="n">
        <f aca="false">INDEX(Training!$C$120:$Q$120,3*(Unit_Cost!E$6-1)+3)</f>
        <v>986590568.929256</v>
      </c>
      <c r="F77" s="191" t="n">
        <f aca="false">INDEX(Training!$C$120:$Q$120,3*(Unit_Cost!F$6-1)+3)</f>
        <v>309431739.259797</v>
      </c>
      <c r="G77" s="191" t="n">
        <f aca="false">INDEX(Training!$C$120:$Q$120,3*(Unit_Cost!G$6-1)+3)</f>
        <v>309431739.259797</v>
      </c>
      <c r="H77" s="191" t="n">
        <f aca="false">INDEX(Training!$C$120:$Q$120,3*(Unit_Cost!H$6-1)+3)</f>
        <v>309431739.259797</v>
      </c>
      <c r="I77" s="191" t="n">
        <f aca="false">INDEX(Training!$C$120:$Q$120,3*(Unit_Cost!I$6-1)+3)</f>
        <v>279804081.046011</v>
      </c>
      <c r="J77" s="191" t="n">
        <f aca="false">INDEX(Training!$C$120:$Q$120,3*(Unit_Cost!J$6-1)+3)</f>
        <v>279804081.046011</v>
      </c>
      <c r="K77" s="191" t="n">
        <f aca="false">INDEX(Training!$C$120:$Q$120,3*(Unit_Cost!K$6-1)+3)</f>
        <v>279804081.046011</v>
      </c>
      <c r="L77" s="191" t="n">
        <f aca="false">INDEX(Training!$C$120:$Q$120,3*(Unit_Cost!L$6-1)+3)</f>
        <v>102272699.724672</v>
      </c>
      <c r="M77" s="191" t="n">
        <f aca="false">INDEX(Training!$C$120:$Q$120,3*(Unit_Cost!M$6-1)+3)</f>
        <v>102272699.724672</v>
      </c>
      <c r="N77" s="191" t="n">
        <f aca="false">INDEX(Training!$C$120:$Q$120,3*(Unit_Cost!N$6-1)+3)</f>
        <v>102272699.724672</v>
      </c>
      <c r="O77" s="191" t="n">
        <f aca="false">INDEX(Training!$C$120:$Q$120,3*(Unit_Cost!O$6-1)+3)</f>
        <v>46491866.832671</v>
      </c>
      <c r="P77" s="191" t="n">
        <f aca="false">INDEX(Training!$C$120:$Q$120,3*(Unit_Cost!P$6-1)+3)</f>
        <v>46491866.832671</v>
      </c>
      <c r="Q77" s="191" t="n">
        <f aca="false">INDEX(Training!$C$120:$Q$120,3*(Unit_Cost!Q$6-1)+3)</f>
        <v>46491866.832671</v>
      </c>
      <c r="R77" s="184" t="str">
        <f aca="false">IF(SUM(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7" s="44" t="str">
        <f aca="false">IF(R77="—","—",IF(R77="A","基準輸入",IF(R77="B","情境、相對比較、反轉門檻","探索")))</f>
        <v>情境、相對比較、反轉門檻</v>
      </c>
      <c r="T77" s="30" t="s">
        <v>751</v>
      </c>
      <c r="U77" s="44" t="str">
        <f aca="false">IF(V77=0,"—",LEFT(TEXT(V77,"0"),4)&amp;"-"&amp;MID(TEXT(V77,"0"),5,2)&amp;"-"&amp;RIGHT(TEXT(V77,"0"),2))</f>
        <v>2026-10-05</v>
      </c>
      <c r="V77" s="33" t="n">
        <f aca="false">MAX(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7" s="21" t="s">
        <v>2833</v>
      </c>
      <c r="X77" s="32" t="n">
        <f aca="false">IF(ISNUMBER(FIND("上限",S77)),1,0)</f>
        <v>0</v>
      </c>
      <c r="Y77" s="32" t="n">
        <v>0</v>
      </c>
    </row>
    <row r="78" customFormat="false" ht="15" hidden="false" customHeight="true" outlineLevel="0" collapsed="false">
      <c r="A78" s="44" t="s">
        <v>2744</v>
      </c>
      <c r="B78" s="30" t="s">
        <v>1021</v>
      </c>
      <c r="C78" s="191" t="n">
        <f aca="false">IF(ISNUMBER(INDEX(Training!$C$120:$Q$120,3*(Unit_Cost!C$6-1)+3)),INDEX(Training!$C$120:$Q$120,3*(Unit_Cost!C$6-1)+3)*Unit_Cost!C$8/1000000,INDEX(Training!$C$120:$Q$120,3*(Unit_Cost!C$6-1)+3))</f>
        <v>1065.16743684915</v>
      </c>
      <c r="D78" s="191" t="n">
        <f aca="false">IF(ISNUMBER(INDEX(Training!$C$120:$Q$120,3*(Unit_Cost!D$6-1)+3)),INDEX(Training!$C$120:$Q$120,3*(Unit_Cost!D$6-1)+3)*Unit_Cost!D$8/1000000,INDEX(Training!$C$120:$Q$120,3*(Unit_Cost!D$6-1)+3))</f>
        <v>1521.91120577745</v>
      </c>
      <c r="E78" s="191" t="n">
        <f aca="false">IF(ISNUMBER(INDEX(Training!$C$120:$Q$120,3*(Unit_Cost!E$6-1)+3)),INDEX(Training!$C$120:$Q$120,3*(Unit_Cost!E$6-1)+3)*Unit_Cost!E$8/1000000,INDEX(Training!$C$120:$Q$120,3*(Unit_Cost!E$6-1)+3))</f>
        <v>2613.68130991761</v>
      </c>
      <c r="F78" s="191" t="n">
        <f aca="false">IF(ISNUMBER(INDEX(Training!$C$120:$Q$120,3*(Unit_Cost!F$6-1)+3)),INDEX(Training!$C$120:$Q$120,3*(Unit_Cost!F$6-1)+3)*Unit_Cost!F$8/1000000,INDEX(Training!$C$120:$Q$120,3*(Unit_Cost!F$6-1)+3))</f>
        <v>465.455930936714</v>
      </c>
      <c r="G78" s="191" t="n">
        <f aca="false">IF(ISNUMBER(INDEX(Training!$C$120:$Q$120,3*(Unit_Cost!G$6-1)+3)),INDEX(Training!$C$120:$Q$120,3*(Unit_Cost!G$6-1)+3)*Unit_Cost!G$8/1000000,INDEX(Training!$C$120:$Q$120,3*(Unit_Cost!G$6-1)+3))</f>
        <v>621.48157938889</v>
      </c>
      <c r="H78" s="191" t="n">
        <f aca="false">IF(ISNUMBER(INDEX(Training!$C$120:$Q$120,3*(Unit_Cost!H$6-1)+3)),INDEX(Training!$C$120:$Q$120,3*(Unit_Cost!H$6-1)+3)*Unit_Cost!H$8/1000000,INDEX(Training!$C$120:$Q$120,3*(Unit_Cost!H$6-1)+3))</f>
        <v>1007.99316158296</v>
      </c>
      <c r="I78" s="191" t="n">
        <f aca="false">IF(ISNUMBER(INDEX(Training!$C$120:$Q$120,3*(Unit_Cost!I$6-1)+3)),INDEX(Training!$C$120:$Q$120,3*(Unit_Cost!I$6-1)+3)*Unit_Cost!I$8/1000000,INDEX(Training!$C$120:$Q$120,3*(Unit_Cost!I$6-1)+3))</f>
        <v>552.821212490455</v>
      </c>
      <c r="J78" s="191" t="n">
        <f aca="false">IF(ISNUMBER(INDEX(Training!$C$120:$Q$120,3*(Unit_Cost!J$6-1)+3)),INDEX(Training!$C$120:$Q$120,3*(Unit_Cost!J$6-1)+3)*Unit_Cost!J$8/1000000,INDEX(Training!$C$120:$Q$120,3*(Unit_Cost!J$6-1)+3))</f>
        <v>714.000588162868</v>
      </c>
      <c r="K78" s="191" t="n">
        <f aca="false">IF(ISNUMBER(INDEX(Training!$C$120:$Q$120,3*(Unit_Cost!K$6-1)+3)),INDEX(Training!$C$120:$Q$120,3*(Unit_Cost!K$6-1)+3)*Unit_Cost!K$8/1000000,INDEX(Training!$C$120:$Q$120,3*(Unit_Cost!K$6-1)+3))</f>
        <v>1215.62081283856</v>
      </c>
      <c r="L78" s="191" t="n">
        <f aca="false">IF(ISNUMBER(INDEX(Training!$C$120:$Q$120,3*(Unit_Cost!L$6-1)+3)),INDEX(Training!$C$120:$Q$120,3*(Unit_Cost!L$6-1)+3)*Unit_Cost!L$8/1000000,INDEX(Training!$C$120:$Q$120,3*(Unit_Cost!L$6-1)+3))</f>
        <v>380.652805094568</v>
      </c>
      <c r="M78" s="191" t="n">
        <f aca="false">IF(ISNUMBER(INDEX(Training!$C$120:$Q$120,3*(Unit_Cost!M$6-1)+3)),INDEX(Training!$C$120:$Q$120,3*(Unit_Cost!M$6-1)+3)*Unit_Cost!M$8/1000000,INDEX(Training!$C$120:$Q$120,3*(Unit_Cost!M$6-1)+3))</f>
        <v>489.236984869465</v>
      </c>
      <c r="N78" s="191" t="n">
        <f aca="false">IF(ISNUMBER(INDEX(Training!$C$120:$Q$120,3*(Unit_Cost!N$6-1)+3)),INDEX(Training!$C$120:$Q$120,3*(Unit_Cost!N$6-1)+3)*Unit_Cost!N$8/1000000,INDEX(Training!$C$120:$Q$120,3*(Unit_Cost!N$6-1)+3))</f>
        <v>790.377499073548</v>
      </c>
      <c r="O78" s="191" t="n">
        <f aca="false">IF(ISNUMBER(INDEX(Training!$C$120:$Q$120,3*(Unit_Cost!O$6-1)+3)),INDEX(Training!$C$120:$Q$120,3*(Unit_Cost!O$6-1)+3)*Unit_Cost!O$8/1000000,INDEX(Training!$C$120:$Q$120,3*(Unit_Cost!O$6-1)+3))</f>
        <v>275.298530538818</v>
      </c>
      <c r="P78" s="191" t="n">
        <f aca="false">IF(ISNUMBER(INDEX(Training!$C$120:$Q$120,3*(Unit_Cost!P$6-1)+3)),INDEX(Training!$C$120:$Q$120,3*(Unit_Cost!P$6-1)+3)*Unit_Cost!P$8/1000000,INDEX(Training!$C$120:$Q$120,3*(Unit_Cost!P$6-1)+3))</f>
        <v>418.416018588187</v>
      </c>
      <c r="Q78" s="191" t="n">
        <f aca="false">IF(ISNUMBER(INDEX(Training!$C$120:$Q$120,3*(Unit_Cost!Q$6-1)+3)),INDEX(Training!$C$120:$Q$120,3*(Unit_Cost!Q$6-1)+3)*Unit_Cost!Q$8/1000000,INDEX(Training!$C$120:$Q$120,3*(Unit_Cost!Q$6-1)+3))</f>
        <v>763.835795988727</v>
      </c>
      <c r="R78" s="184" t="str">
        <f aca="false">IF(SUM(Gov_Map!$AG$5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78" s="44" t="str">
        <f aca="false">IF(R78="—","—",IF(R78="A","基準輸入",IF(R78="B","情境、相對比較、反轉門檻","探索")))</f>
        <v>情境、相對比較、反轉門檻</v>
      </c>
      <c r="T78" s="30" t="s">
        <v>751</v>
      </c>
      <c r="U78" s="44" t="str">
        <f aca="false">IF(V78=0,"—",LEFT(TEXT(V78,"0"),4)&amp;"-"&amp;MID(TEXT(V78,"0"),5,2)&amp;"-"&amp;RIGHT(TEXT(V78,"0"),2))</f>
        <v>2026-10-08</v>
      </c>
      <c r="V78" s="33" t="n">
        <f aca="false">MAX(Gov_Map!$AJ$5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$605:$AJ$611,Gov_Map!$AJ$656:$AJ$658,Gov_Map!$AJ$660)</f>
        <v>20261008</v>
      </c>
      <c r="W78" s="21" t="s">
        <v>2834</v>
      </c>
      <c r="X78" s="32" t="n">
        <f aca="false">IF(ISNUMBER(FIND("上限",S78)),1,0)</f>
        <v>0</v>
      </c>
      <c r="Y78" s="32" t="n">
        <v>0</v>
      </c>
    </row>
    <row r="79" customFormat="false" ht="15" hidden="false" customHeight="true" outlineLevel="0" collapsed="false">
      <c r="A79" s="44" t="s">
        <v>2850</v>
      </c>
      <c r="B79" s="30" t="s">
        <v>113</v>
      </c>
      <c r="C79" s="198" t="n">
        <f aca="false">INDEX(Training!$C$123:$Q$123,3*(Unit_Cost!C$6-1)+3)</f>
        <v>0.156848141308111</v>
      </c>
      <c r="D79" s="198" t="n">
        <f aca="false">INDEX(Training!$C$123:$Q$123,3*(Unit_Cost!D$6-1)+3)</f>
        <v>0.156848141308111</v>
      </c>
      <c r="E79" s="198" t="n">
        <f aca="false">INDEX(Training!$C$123:$Q$123,3*(Unit_Cost!E$6-1)+3)</f>
        <v>0.156848141308111</v>
      </c>
      <c r="F79" s="198" t="n">
        <f aca="false">INDEX(Training!$C$123:$Q$123,3*(Unit_Cost!F$6-1)+3)</f>
        <v>0.0703975899347298</v>
      </c>
      <c r="G79" s="198" t="n">
        <f aca="false">INDEX(Training!$C$123:$Q$123,3*(Unit_Cost!G$6-1)+3)</f>
        <v>0.0703975899347298</v>
      </c>
      <c r="H79" s="198" t="n">
        <f aca="false">INDEX(Training!$C$123:$Q$123,3*(Unit_Cost!H$6-1)+3)</f>
        <v>0.0703975899347298</v>
      </c>
      <c r="I79" s="198" t="n">
        <f aca="false">INDEX(Training!$C$123:$Q$123,3*(Unit_Cost!I$6-1)+3)</f>
        <v>0.0655864074968763</v>
      </c>
      <c r="J79" s="198" t="n">
        <f aca="false">INDEX(Training!$C$123:$Q$123,3*(Unit_Cost!J$6-1)+3)</f>
        <v>0.0655864074968763</v>
      </c>
      <c r="K79" s="198" t="n">
        <f aca="false">INDEX(Training!$C$123:$Q$123,3*(Unit_Cost!K$6-1)+3)</f>
        <v>0.0655864074968763</v>
      </c>
      <c r="L79" s="198" t="n">
        <f aca="false">INDEX(Training!$C$123:$Q$123,3*(Unit_Cost!L$6-1)+3)</f>
        <v>0.0400178434586299</v>
      </c>
      <c r="M79" s="198" t="n">
        <f aca="false">INDEX(Training!$C$123:$Q$123,3*(Unit_Cost!M$6-1)+3)</f>
        <v>0.0400178434586299</v>
      </c>
      <c r="N79" s="198" t="n">
        <f aca="false">INDEX(Training!$C$123:$Q$123,3*(Unit_Cost!N$6-1)+3)</f>
        <v>0.0400178434586299</v>
      </c>
      <c r="O79" s="198" t="n">
        <f aca="false">INDEX(Training!$C$123:$Q$123,3*(Unit_Cost!O$6-1)+3)</f>
        <v>0.0272504145323638</v>
      </c>
      <c r="P79" s="198" t="n">
        <f aca="false">INDEX(Training!$C$123:$Q$123,3*(Unit_Cost!P$6-1)+3)</f>
        <v>0.0272504145323638</v>
      </c>
      <c r="Q79" s="198" t="n">
        <f aca="false">INDEX(Training!$C$123:$Q$123,3*(Unit_Cost!Q$6-1)+3)</f>
        <v>0.0272504145323638</v>
      </c>
      <c r="R79" s="184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$599,Gov_Map!$AG$656:$AG$658,Gov_Map!$AG$660)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$599,Gov_Map!$AH$656:$AH$658,Gov_Map!$AH$660)&gt;0,"B","A"))</f>
        <v>B</v>
      </c>
      <c r="S79" s="44" t="str">
        <f aca="false">IF(R79="—","—",IF(R79="A","基準輸入",IF(R79="B","情境、相對比較、反轉門檻","探索")))</f>
        <v>情境、相對比較、反轉門檻</v>
      </c>
      <c r="T79" s="30" t="s">
        <v>751</v>
      </c>
      <c r="U79" s="44" t="str">
        <f aca="false">IF(V79=0,"—",LEFT(TEXT(V79,"0"),4)&amp;"-"&amp;MID(TEXT(V79,"0"),5,2)&amp;"-"&amp;RIGHT(TEXT(V79,"0"),2))</f>
        <v>2026-10-05</v>
      </c>
      <c r="V7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$599,Gov_Map!$AJ$656:$AJ$658,Gov_Map!$AJ$660)</f>
        <v>20261005</v>
      </c>
      <c r="W79" s="21" t="s">
        <v>2836</v>
      </c>
      <c r="X79" s="32" t="n">
        <f aca="false">IF(ISNUMBER(FIND("上限",S79)),1,0)</f>
        <v>0</v>
      </c>
      <c r="Y79" s="32" t="n">
        <v>0</v>
      </c>
    </row>
    <row r="80" customFormat="false" ht="15" hidden="false" customHeight="true" outlineLevel="0" collapsed="false">
      <c r="A80" s="44" t="s">
        <v>2851</v>
      </c>
      <c r="B80" s="30" t="s">
        <v>118</v>
      </c>
      <c r="C80" s="199" t="n">
        <f aca="false">Train_In!$C$13</f>
        <v>8</v>
      </c>
      <c r="R80" s="184" t="str">
        <f aca="false">IF(SUM(Gov_Map!$AG$530)&gt;0,"C",IF(SUM(Gov_Map!$AH$530)&gt;0,"B","A"))</f>
        <v>B</v>
      </c>
      <c r="S80" s="44" t="str">
        <f aca="false">IF(R80="—","—",IF(R80="A","基準輸入",IF(R80="B","情境、相對比較、反轉門檻","探索")))</f>
        <v>情境、相對比較、反轉門檻</v>
      </c>
      <c r="T80" s="30" t="s">
        <v>751</v>
      </c>
      <c r="U80" s="44" t="str">
        <f aca="false">IF(V80=0,"—",LEFT(TEXT(V80,"0"),4)&amp;"-"&amp;MID(TEXT(V80,"0"),5,2)&amp;"-"&amp;RIGHT(TEXT(V80,"0"),2))</f>
        <v>—</v>
      </c>
      <c r="V80" s="33" t="n">
        <f aca="false">MAX(Gov_Map!$AJ$530)</f>
        <v>0</v>
      </c>
      <c r="W80" s="21" t="s">
        <v>2852</v>
      </c>
      <c r="X80" s="32" t="n">
        <f aca="false">IF(ISNUMBER(FIND("上限",S80)),1,0)</f>
        <v>0</v>
      </c>
      <c r="Y80" s="32" t="n">
        <v>0</v>
      </c>
    </row>
    <row r="81" customFormat="false" ht="15" hidden="false" customHeight="true" outlineLevel="0" collapsed="false">
      <c r="A81" s="44" t="s">
        <v>2853</v>
      </c>
      <c r="B81" s="44" t="s">
        <v>1090</v>
      </c>
      <c r="C81" s="33" t="n">
        <f aca="false">Train_In!$C$16</f>
        <v>4</v>
      </c>
      <c r="D81" s="200" t="str">
        <f aca="false">INDEX(Spec_Rack!$C$4:$G$4,C81)</f>
        <v>VR200 NVL72</v>
      </c>
      <c r="R81" s="184" t="str">
        <f aca="false">IF(SUM(Gov_Map!$AG$532)&gt;0,"C",IF(SUM(Gov_Map!$AH$532)&gt;0,"B","A"))</f>
        <v>A</v>
      </c>
      <c r="S81" s="44" t="str">
        <f aca="false">IF(R81="—","—",IF(R81="A","基準輸入",IF(R81="B","情境、相對比較、反轉門檻","探索")))</f>
        <v>基準輸入</v>
      </c>
      <c r="T81" s="30" t="s">
        <v>751</v>
      </c>
      <c r="U81" s="44" t="str">
        <f aca="false">IF(V81=0,"—",LEFT(TEXT(V81,"0"),4)&amp;"-"&amp;MID(TEXT(V81,"0"),5,2)&amp;"-"&amp;RIGHT(TEXT(V81,"0"),2))</f>
        <v>—</v>
      </c>
      <c r="V81" s="33" t="n">
        <f aca="false">MAX(Gov_Map!$AJ$532)</f>
        <v>0</v>
      </c>
      <c r="W81" s="21" t="s">
        <v>2854</v>
      </c>
      <c r="X81" s="32" t="n">
        <f aca="false">IF(ISNUMBER(FIND("上限",S81)),1,0)</f>
        <v>0</v>
      </c>
      <c r="Y81" s="32" t="n">
        <v>0</v>
      </c>
    </row>
    <row r="82" customFormat="false" ht="15" hidden="false" customHeight="true" outlineLevel="0" collapsed="false">
      <c r="A82" s="44" t="s">
        <v>2855</v>
      </c>
      <c r="B82" s="44" t="s">
        <v>1090</v>
      </c>
      <c r="C82" s="33" t="n">
        <f aca="false">Train_In!$C$17</f>
        <v>3</v>
      </c>
      <c r="D82" s="200" t="str">
        <f aca="false">INDEX(Spec_Rack!$C$4:$G$4,C82)</f>
        <v>GB300 NVL72</v>
      </c>
      <c r="R82" s="184" t="str">
        <f aca="false">IF(SUM(Gov_Map!$AG$533)&gt;0,"C",IF(SUM(Gov_Map!$AH$533)&gt;0,"B","A"))</f>
        <v>A</v>
      </c>
      <c r="S82" s="44" t="str">
        <f aca="false">IF(R82="—","—",IF(R82="A","基準輸入",IF(R82="B","情境、相對比較、反轉門檻","探索")))</f>
        <v>基準輸入</v>
      </c>
      <c r="T82" s="30" t="s">
        <v>751</v>
      </c>
      <c r="U82" s="44" t="str">
        <f aca="false">IF(V82=0,"—",LEFT(TEXT(V82,"0"),4)&amp;"-"&amp;MID(TEXT(V82,"0"),5,2)&amp;"-"&amp;RIGHT(TEXT(V82,"0"),2))</f>
        <v>—</v>
      </c>
      <c r="V82" s="33" t="n">
        <f aca="false">MAX(Gov_Map!$AJ$533)</f>
        <v>0</v>
      </c>
      <c r="W82" s="21" t="s">
        <v>2854</v>
      </c>
      <c r="X82" s="32" t="n">
        <f aca="false">IF(ISNUMBER(FIND("上限",S82)),1,0)</f>
        <v>0</v>
      </c>
      <c r="Y82" s="32" t="n">
        <v>0</v>
      </c>
    </row>
    <row r="84" customFormat="false" ht="15" hidden="false" customHeight="true" outlineLevel="0" collapsed="false">
      <c r="A84" s="43" t="s">
        <v>2856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</row>
    <row r="85" customFormat="false" ht="15" hidden="false" customHeight="true" outlineLevel="0" collapsed="false">
      <c r="A85" s="8" t="s">
        <v>278</v>
      </c>
    </row>
    <row r="86" customFormat="false" ht="15" hidden="false" customHeight="true" outlineLevel="0" collapsed="false">
      <c r="A86" s="44" t="s">
        <v>2857</v>
      </c>
      <c r="B86" s="30" t="s">
        <v>976</v>
      </c>
      <c r="C86" s="46" t="n">
        <f aca="false">Price_Frontier!C41</f>
        <v>0.08</v>
      </c>
      <c r="R86" s="18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6" s="44" t="str">
        <f aca="false">IF(R86="—","—",IF(R86="A","基準輸入",IF(R86="B","情境、相對比較、反轉門檻","探索")))</f>
        <v>基準輸入</v>
      </c>
      <c r="T86" s="30" t="s">
        <v>751</v>
      </c>
      <c r="U86" s="44" t="str">
        <f aca="false">IF(V86=0,"—",LEFT(TEXT(V86,"0"),4)&amp;"-"&amp;MID(TEXT(V86,"0"),5,2)&amp;"-"&amp;RIGHT(TEXT(V86,"0"),2))</f>
        <v>—</v>
      </c>
      <c r="V86" s="33" t="n">
        <f aca="false">MAX(Gov_Map!$AJ$445,Gov_Map!$AJ$449,Gov_Map!$AJ$451,Gov_Map!$AJ$510:$AJ$518,Gov_Map!$AJ$521:$AJ$522)</f>
        <v>0</v>
      </c>
      <c r="W86" s="21" t="s">
        <v>2858</v>
      </c>
      <c r="X86" s="32" t="n">
        <f aca="false">IF(ISNUMBER(FIND("上限",S86)),1,0)</f>
        <v>0</v>
      </c>
      <c r="Y86" s="32" t="n">
        <v>0</v>
      </c>
    </row>
    <row r="87" customFormat="false" ht="15" hidden="false" customHeight="true" outlineLevel="0" collapsed="false">
      <c r="A87" s="44" t="s">
        <v>2859</v>
      </c>
      <c r="B87" s="30" t="s">
        <v>976</v>
      </c>
      <c r="C87" s="46" t="n">
        <f aca="false">Price_Frontier!C42</f>
        <v>0.008</v>
      </c>
      <c r="R87" s="18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7" s="44" t="str">
        <f aca="false">IF(R87="—","—",IF(R87="A","基準輸入",IF(R87="B","情境、相對比較、反轉門檻","探索")))</f>
        <v>基準輸入</v>
      </c>
      <c r="T87" s="30" t="s">
        <v>751</v>
      </c>
      <c r="U87" s="44" t="str">
        <f aca="false">IF(V87=0,"—",LEFT(TEXT(V87,"0"),4)&amp;"-"&amp;MID(TEXT(V87,"0"),5,2)&amp;"-"&amp;RIGHT(TEXT(V87,"0"),2))</f>
        <v>—</v>
      </c>
      <c r="V87" s="33" t="n">
        <f aca="false">MAX(Gov_Map!$AJ$445,Gov_Map!$AJ$449,Gov_Map!$AJ$451,Gov_Map!$AJ$510:$AJ$518,Gov_Map!$AJ$521:$AJ$522)</f>
        <v>0</v>
      </c>
      <c r="W87" s="21" t="s">
        <v>2858</v>
      </c>
      <c r="X87" s="32" t="n">
        <f aca="false">IF(ISNUMBER(FIND("上限",S87)),1,0)</f>
        <v>0</v>
      </c>
      <c r="Y87" s="32" t="n">
        <v>0</v>
      </c>
    </row>
    <row r="88" customFormat="false" ht="15" hidden="false" customHeight="true" outlineLevel="0" collapsed="false">
      <c r="A88" s="44" t="s">
        <v>2860</v>
      </c>
      <c r="B88" s="30" t="s">
        <v>976</v>
      </c>
      <c r="C88" s="46" t="n">
        <f aca="false">Price_Frontier!C43</f>
        <v>0.4</v>
      </c>
      <c r="R88" s="18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8" s="44" t="str">
        <f aca="false">IF(R88="—","—",IF(R88="A","基準輸入",IF(R88="B","情境、相對比較、反轉門檻","探索")))</f>
        <v>基準輸入</v>
      </c>
      <c r="T88" s="30" t="s">
        <v>751</v>
      </c>
      <c r="U88" s="44" t="str">
        <f aca="false">IF(V88=0,"—",LEFT(TEXT(V88,"0"),4)&amp;"-"&amp;MID(TEXT(V88,"0"),5,2)&amp;"-"&amp;RIGHT(TEXT(V88,"0"),2))</f>
        <v>—</v>
      </c>
      <c r="V88" s="33" t="n">
        <f aca="false">MAX(Gov_Map!$AJ$445,Gov_Map!$AJ$449,Gov_Map!$AJ$451,Gov_Map!$AJ$510:$AJ$518,Gov_Map!$AJ$521:$AJ$522)</f>
        <v>0</v>
      </c>
      <c r="W88" s="21" t="s">
        <v>2858</v>
      </c>
      <c r="X88" s="32" t="n">
        <f aca="false">IF(ISNUMBER(FIND("上限",S88)),1,0)</f>
        <v>0</v>
      </c>
      <c r="Y88" s="32" t="n">
        <v>0</v>
      </c>
    </row>
    <row r="89" customFormat="false" ht="15" hidden="false" customHeight="true" outlineLevel="0" collapsed="false">
      <c r="A89" s="44" t="s">
        <v>2861</v>
      </c>
      <c r="B89" s="30" t="s">
        <v>976</v>
      </c>
      <c r="C89" s="46" t="n">
        <f aca="false">Price_Frontier!C44</f>
        <v>0.4</v>
      </c>
      <c r="R89" s="18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89" s="44" t="str">
        <f aca="false">IF(R89="—","—",IF(R89="A","基準輸入",IF(R89="B","情境、相對比較、反轉門檻","探索")))</f>
        <v>基準輸入</v>
      </c>
      <c r="T89" s="30" t="s">
        <v>751</v>
      </c>
      <c r="U89" s="44" t="str">
        <f aca="false">IF(V89=0,"—",LEFT(TEXT(V89,"0"),4)&amp;"-"&amp;MID(TEXT(V89,"0"),5,2)&amp;"-"&amp;RIGHT(TEXT(V89,"0"),2))</f>
        <v>—</v>
      </c>
      <c r="V89" s="33" t="n">
        <f aca="false">MAX(Gov_Map!$AJ$445,Gov_Map!$AJ$449,Gov_Map!$AJ$451,Gov_Map!$AJ$510:$AJ$518,Gov_Map!$AJ$521:$AJ$522)</f>
        <v>0</v>
      </c>
      <c r="W89" s="21" t="s">
        <v>2858</v>
      </c>
      <c r="X89" s="32" t="n">
        <f aca="false">IF(ISNUMBER(FIND("上限",S89)),1,0)</f>
        <v>0</v>
      </c>
      <c r="Y89" s="32" t="n">
        <v>0</v>
      </c>
    </row>
    <row r="90" customFormat="false" ht="15" hidden="false" customHeight="true" outlineLevel="0" collapsed="false">
      <c r="A90" s="44" t="s">
        <v>2862</v>
      </c>
      <c r="B90" s="30" t="s">
        <v>976</v>
      </c>
      <c r="C90" s="55" t="n">
        <f aca="false">Price_Frontier!C45</f>
        <v>0.0803555555555556</v>
      </c>
      <c r="R90" s="18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90" s="44" t="str">
        <f aca="false">IF(R90="—","—",IF(R90="A","基準輸入",IF(R90="B","情境、相對比較、反轉門檻","探索")))</f>
        <v>情境、相對比較、反轉門檻</v>
      </c>
      <c r="T90" s="30" t="s">
        <v>751</v>
      </c>
      <c r="U90" s="44" t="str">
        <f aca="false">IF(V90=0,"—",LEFT(TEXT(V90,"0"),4)&amp;"-"&amp;MID(TEXT(V90,"0"),5,2)&amp;"-"&amp;RIGHT(TEXT(V90,"0"),2))</f>
        <v>—</v>
      </c>
      <c r="V90" s="33" t="n">
        <f aca="false">MAX(Gov_Map!$AJ$249:$AJ$254,Gov_Map!$AJ$445,Gov_Map!$AJ$447,Gov_Map!$AJ$449,Gov_Map!$AJ$451,Gov_Map!$AJ$510:$AJ$518,Gov_Map!$AJ$521:$AJ$522)</f>
        <v>0</v>
      </c>
      <c r="W90" s="21" t="s">
        <v>2863</v>
      </c>
      <c r="X90" s="32" t="n">
        <f aca="false">IF(ISNUMBER(FIND("上限",S90)),1,0)</f>
        <v>0</v>
      </c>
      <c r="Y90" s="32" t="n">
        <v>0</v>
      </c>
    </row>
    <row r="91" customFormat="false" ht="15" hidden="false" customHeight="true" outlineLevel="0" collapsed="false">
      <c r="A91" s="44" t="s">
        <v>2864</v>
      </c>
      <c r="B91" s="30" t="s">
        <v>976</v>
      </c>
      <c r="C91" s="46" t="n">
        <f aca="false">Price_Frontier!C46</f>
        <v>0.0803555555555556</v>
      </c>
      <c r="R91" s="18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91" s="44" t="str">
        <f aca="false">IF(R91="—","—",IF(R91="A","基準輸入",IF(R91="B","情境、相對比較、反轉門檻","探索")))</f>
        <v>情境、相對比較、反轉門檻</v>
      </c>
      <c r="T91" s="30" t="s">
        <v>751</v>
      </c>
      <c r="U91" s="44" t="str">
        <f aca="false">IF(V91=0,"—",LEFT(TEXT(V91,"0"),4)&amp;"-"&amp;MID(TEXT(V91,"0"),5,2)&amp;"-"&amp;RIGHT(TEXT(V91,"0"),2))</f>
        <v>—</v>
      </c>
      <c r="V91" s="33" t="n">
        <f aca="false">MAX(Gov_Map!$AJ$249:$AJ$254,Gov_Map!$AJ$445,Gov_Map!$AJ$447,Gov_Map!$AJ$453,Gov_Map!$AJ$477,Gov_Map!$AJ$479:$AJ$482)</f>
        <v>0</v>
      </c>
      <c r="W91" s="21" t="s">
        <v>2865</v>
      </c>
      <c r="X91" s="32" t="n">
        <f aca="false">IF(ISNUMBER(FIND("上限",S91)),1,0)</f>
        <v>0</v>
      </c>
      <c r="Y91" s="32" t="n">
        <v>0</v>
      </c>
    </row>
    <row r="92" customFormat="false" ht="15" hidden="false" customHeight="true" outlineLevel="0" collapsed="false">
      <c r="A92" s="44" t="s">
        <v>2866</v>
      </c>
      <c r="C92" s="184" t="str">
        <f aca="false">Price_Frontier!C26</f>
        <v>GPT-6 Luna</v>
      </c>
      <c r="R92" s="18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92" s="44" t="str">
        <f aca="false">IF(R92="—","—",IF(R92="A","基準輸入",IF(R92="B","情境、相對比較、反轉門檻","探索")))</f>
        <v>情境、相對比較、反轉門檻</v>
      </c>
      <c r="T92" s="30" t="s">
        <v>751</v>
      </c>
      <c r="U92" s="44" t="str">
        <f aca="false">IF(V92=0,"—",LEFT(TEXT(V92,"0"),4)&amp;"-"&amp;MID(TEXT(V92,"0"),5,2)&amp;"-"&amp;RIGHT(TEXT(V92,"0"),2))</f>
        <v>—</v>
      </c>
      <c r="V92" s="33" t="n">
        <f aca="false">MAX(Gov_Map!$AJ$249:$AJ$254,Gov_Map!$AJ$447,Gov_Map!$AJ$453,Gov_Map!$AJ$477,Gov_Map!$AJ$479:$AJ$482)</f>
        <v>0</v>
      </c>
      <c r="W92" s="21" t="s">
        <v>2867</v>
      </c>
      <c r="X92" s="32" t="n">
        <f aca="false">IF(ISNUMBER(FIND("上限",S92)),1,0)</f>
        <v>0</v>
      </c>
      <c r="Y92" s="32" t="n">
        <v>0</v>
      </c>
    </row>
    <row r="93" customFormat="false" ht="15" hidden="false" customHeight="true" outlineLevel="0" collapsed="false">
      <c r="A93" s="44" t="s">
        <v>2868</v>
      </c>
      <c r="B93" s="44" t="s">
        <v>1327</v>
      </c>
      <c r="C93" s="32" t="n">
        <f aca="false">INDEX(B4_Life,1,1)</f>
        <v>12</v>
      </c>
      <c r="R93" s="184" t="str">
        <f aca="false">IF(SUM(Gov_Map!$AG$454)&gt;0,"C",IF(SUM(Gov_Map!$AH$454)&gt;0,"B","A"))</f>
        <v>A</v>
      </c>
      <c r="S93" s="44" t="str">
        <f aca="false">IF(R93="—","—",IF(R93="A","基準輸入",IF(R93="B","情境、相對比較、反轉門檻","探索")))</f>
        <v>基準輸入</v>
      </c>
      <c r="T93" s="30" t="s">
        <v>751</v>
      </c>
      <c r="U93" s="44" t="str">
        <f aca="false">IF(V93=0,"—",LEFT(TEXT(V93,"0"),4)&amp;"-"&amp;MID(TEXT(V93,"0"),5,2)&amp;"-"&amp;RIGHT(TEXT(V93,"0"),2))</f>
        <v>—</v>
      </c>
      <c r="V93" s="33" t="n">
        <f aca="false">MAX(Gov_Map!$AJ$454)</f>
        <v>0</v>
      </c>
      <c r="W93" s="21" t="s">
        <v>2854</v>
      </c>
      <c r="X93" s="32" t="n">
        <f aca="false">IF(ISNUMBER(FIND("上限",S93)),1,0)</f>
        <v>0</v>
      </c>
      <c r="Y93" s="32" t="n">
        <v>0</v>
      </c>
    </row>
    <row r="94" customFormat="false" ht="15" hidden="false" customHeight="true" outlineLevel="0" collapsed="false">
      <c r="A94" s="44" t="s">
        <v>2869</v>
      </c>
      <c r="B94" s="30" t="s">
        <v>976</v>
      </c>
      <c r="C94" s="201" t="n">
        <f aca="false">Cache_Store!C17</f>
        <v>1.32943302891933E-005</v>
      </c>
      <c r="D94" s="201" t="n">
        <f aca="false">Cache_Store!D17</f>
        <v>1.32943302891933E-005</v>
      </c>
      <c r="E94" s="201" t="n">
        <f aca="false">Cache_Store!E17</f>
        <v>1.32943302891933E-005</v>
      </c>
      <c r="F94" s="201" t="n">
        <f aca="false">Cache_Store!F17</f>
        <v>1.32943302891933E-005</v>
      </c>
      <c r="G94" s="201" t="n">
        <f aca="false">Cache_Store!G17</f>
        <v>1.32943302891933E-005</v>
      </c>
      <c r="H94" s="201" t="n">
        <f aca="false">Cache_Store!H17</f>
        <v>1.32943302891933E-005</v>
      </c>
      <c r="I94" s="201" t="n">
        <f aca="false">Cache_Store!I17</f>
        <v>1.32943302891933E-005</v>
      </c>
      <c r="J94" s="201" t="n">
        <f aca="false">Cache_Store!J17</f>
        <v>1.32943302891933E-005</v>
      </c>
      <c r="K94" s="201" t="n">
        <f aca="false">Cache_Store!K17</f>
        <v>1.32943302891933E-005</v>
      </c>
      <c r="L94" s="201" t="n">
        <f aca="false">Cache_Store!L17</f>
        <v>1.32943302891933E-005</v>
      </c>
      <c r="M94" s="201" t="n">
        <f aca="false">Cache_Store!M17</f>
        <v>1.32943302891933E-005</v>
      </c>
      <c r="N94" s="201" t="n">
        <f aca="false">Cache_Store!N17</f>
        <v>1.32943302891933E-005</v>
      </c>
      <c r="O94" s="201" t="n">
        <f aca="false">Cache_Store!O17</f>
        <v>1.32943302891933E-005</v>
      </c>
      <c r="P94" s="201" t="n">
        <f aca="false">Cache_Store!P17</f>
        <v>1.32943302891933E-005</v>
      </c>
      <c r="Q94" s="201" t="n">
        <f aca="false">Cache_Store!Q17</f>
        <v>1.32943302891933E-005</v>
      </c>
      <c r="R94" s="184" t="str">
        <f aca="false">IF(SUM(Gov_Map!$AG$5:$AG$103,Gov_Map!$AG$114:$AG$118,Gov_Map!$AG$183,Gov_Map!$AG$222,Gov_Map!$AG$225,Gov_Map!$AG$228,Gov_Map!$AG$463,Gov_Map!$AG$465,Gov_Map!$AG$467,Gov_Map!$AG$469,Gov_Map!$AG$471,Gov_Map!$AG$473,Gov_Map!$AG$475,Gov_Map!$AG$574,Gov_Map!$AG$605:$AG$611)&gt;0,"C",IF(SUM(Gov_Map!$AH$5:$AH$103,Gov_Map!$AH$114:$AH$118,Gov_Map!$AH$183,Gov_Map!$AH$222,Gov_Map!$AH$225,Gov_Map!$AH$228,Gov_Map!$AH$463,Gov_Map!$AH$465,Gov_Map!$AH$467,Gov_Map!$AH$469,Gov_Map!$AH$471,Gov_Map!$AH$473,Gov_Map!$AH$475,Gov_Map!$AH$574,Gov_Map!$AH$605:$AH$611)&gt;0,"B","A"))</f>
        <v>B</v>
      </c>
      <c r="S94" s="44" t="str">
        <f aca="false">IF(R94="—","—",IF(R94="A","基準輸入",IF(R94="B","情境、相對比較、反轉門檻","探索")))</f>
        <v>情境、相對比較、反轉門檻</v>
      </c>
      <c r="T94" s="30" t="s">
        <v>751</v>
      </c>
      <c r="U94" s="44" t="str">
        <f aca="false">IF(V94=0,"—",LEFT(TEXT(V94,"0"),4)&amp;"-"&amp;MID(TEXT(V94,"0"),5,2)&amp;"-"&amp;RIGHT(TEXT(V94,"0"),2))</f>
        <v>2026-10-08</v>
      </c>
      <c r="V94" s="33" t="n">
        <f aca="false">MAX(Gov_Map!$AJ$5:$AJ$103,Gov_Map!$AJ$114:$AJ$118,Gov_Map!$AJ$183,Gov_Map!$AJ$222,Gov_Map!$AJ$225,Gov_Map!$AJ$228,Gov_Map!$AJ$463,Gov_Map!$AJ$465,Gov_Map!$AJ$467,Gov_Map!$AJ$469,Gov_Map!$AJ$471,Gov_Map!$AJ$473,Gov_Map!$AJ$475,Gov_Map!$AJ$574,Gov_Map!$AJ$605:$AJ$611)</f>
        <v>20261008</v>
      </c>
      <c r="W94" s="21" t="s">
        <v>2870</v>
      </c>
      <c r="X94" s="32" t="n">
        <f aca="false">IF(ISNUMBER(FIND("上限",S94)),1,0)</f>
        <v>0</v>
      </c>
      <c r="Y94" s="32" t="n">
        <v>0</v>
      </c>
    </row>
    <row r="95" customFormat="false" ht="15" hidden="false" customHeight="true" outlineLevel="0" collapsed="false">
      <c r="A95" s="44" t="s">
        <v>2871</v>
      </c>
      <c r="B95" s="30" t="s">
        <v>976</v>
      </c>
      <c r="C95" s="201" t="n">
        <f aca="false">Amortize!C13</f>
        <v>0.0461948299236361</v>
      </c>
      <c r="D95" s="201" t="n">
        <f aca="false">Amortize!D13</f>
        <v>0.0660031717808905</v>
      </c>
      <c r="E95" s="201" t="n">
        <f aca="false">Amortize!E13</f>
        <v>0.113351722376516</v>
      </c>
      <c r="F95" s="201" t="n">
        <f aca="false">Amortize!F13</f>
        <v>0.00420600497282946</v>
      </c>
      <c r="G95" s="201" t="n">
        <f aca="false">Amortize!G13</f>
        <v>0.00561590139837962</v>
      </c>
      <c r="H95" s="201" t="n">
        <f aca="false">Amortize!H13</f>
        <v>0.0091085406123495</v>
      </c>
      <c r="I95" s="201" t="n">
        <f aca="false">Amortize!I13</f>
        <v>0.00342892011098242</v>
      </c>
      <c r="J95" s="201" t="n">
        <f aca="false">Amortize!J13</f>
        <v>0.00442864875784267</v>
      </c>
      <c r="K95" s="201" t="n">
        <f aca="false">Amortize!K13</f>
        <v>0.0075399904314325</v>
      </c>
      <c r="L95" s="201" t="n">
        <f aca="false">Amortize!L13</f>
        <v>0.00155811775340172</v>
      </c>
      <c r="M95" s="201" t="n">
        <f aca="false">Amortize!M13</f>
        <v>0.00200258298781343</v>
      </c>
      <c r="N95" s="201" t="n">
        <f aca="false">Amortize!N13</f>
        <v>0.00323523483004361</v>
      </c>
      <c r="O95" s="201" t="n">
        <f aca="false">Amortize!O13</f>
        <v>0.000773266108996229</v>
      </c>
      <c r="P95" s="201" t="n">
        <f aca="false">Amortize!P13</f>
        <v>0.00117525845852548</v>
      </c>
      <c r="Q95" s="201" t="n">
        <f aca="false">Amortize!Q13</f>
        <v>0.00214548306058959</v>
      </c>
      <c r="R95" s="184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5" s="44" t="str">
        <f aca="false">IF(R95="—","—",IF(R95="A","基準輸入",IF(R95="B","情境、相對比較、反轉門檻","探索")))</f>
        <v>情境、相對比較、反轉門檻</v>
      </c>
      <c r="T95" s="30" t="s">
        <v>751</v>
      </c>
      <c r="U95" s="44" t="str">
        <f aca="false">IF(V95=0,"—",LEFT(TEXT(V95,"0"),4)&amp;"-"&amp;MID(TEXT(V95,"0"),5,2)&amp;"-"&amp;RIGHT(TEXT(V95,"0"),2))</f>
        <v>2026-10-08</v>
      </c>
      <c r="V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95" s="21" t="s">
        <v>2872</v>
      </c>
      <c r="X95" s="32" t="n">
        <f aca="false">IF(ISNUMBER(FIND("上限",S95)),1,0)</f>
        <v>0</v>
      </c>
      <c r="Y95" s="32" t="n">
        <v>0</v>
      </c>
    </row>
    <row r="96" customFormat="false" ht="15" hidden="false" customHeight="true" outlineLevel="0" collapsed="false">
      <c r="A96" s="44" t="s">
        <v>2873</v>
      </c>
      <c r="B96" s="30" t="s">
        <v>976</v>
      </c>
      <c r="C96" s="193" t="n">
        <f aca="false">Amortize!C15</f>
        <v>0.145154099875442</v>
      </c>
      <c r="D96" s="193" t="n">
        <f aca="false">Amortize!D15</f>
        <v>0.207389489905081</v>
      </c>
      <c r="E96" s="193" t="n">
        <f aca="false">Amortize!E15</f>
        <v>0.356152851063333</v>
      </c>
      <c r="F96" s="193" t="n">
        <f aca="false">Amortize!F15</f>
        <v>0.0319533364121264</v>
      </c>
      <c r="G96" s="193" t="n">
        <f aca="false">Amortize!G15</f>
        <v>0.042659200399074</v>
      </c>
      <c r="H96" s="193" t="n">
        <f aca="false">Amortize!H15</f>
        <v>0.0691800991705213</v>
      </c>
      <c r="I96" s="193" t="n">
        <f aca="false">Amortize!I15</f>
        <v>0.0279875593969906</v>
      </c>
      <c r="J96" s="193" t="n">
        <f aca="false">Amortize!J15</f>
        <v>0.0361430077880249</v>
      </c>
      <c r="K96" s="193" t="n">
        <f aca="false">Amortize!K15</f>
        <v>0.0615242815221799</v>
      </c>
      <c r="L96" s="193" t="n">
        <f aca="false">Amortize!L15</f>
        <v>0.0219168376454209</v>
      </c>
      <c r="M96" s="193" t="n">
        <f aca="false">Amortize!M15</f>
        <v>0.0281643397910292</v>
      </c>
      <c r="N96" s="193" t="n">
        <f aca="false">Amortize!N15</f>
        <v>0.0454907681208266</v>
      </c>
      <c r="O96" s="193" t="n">
        <f aca="false">Amortize!O15</f>
        <v>0.0173198764182435</v>
      </c>
      <c r="P96" s="193" t="n">
        <f aca="false">Amortize!P15</f>
        <v>0.0263157336425082</v>
      </c>
      <c r="Q96" s="193" t="n">
        <f aca="false">Amortize!Q15</f>
        <v>0.0480275945917492</v>
      </c>
      <c r="R96" s="184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96" s="44" t="str">
        <f aca="false">IF(R96="—","—",IF(R96="A","基準輸入",IF(R96="B","情境、相對比較、反轉門檻","探索")))</f>
        <v>情境、相對比較、反轉門檻</v>
      </c>
      <c r="T96" s="30" t="s">
        <v>751</v>
      </c>
      <c r="U96" s="44" t="str">
        <f aca="false">IF(V96=0,"—",LEFT(TEXT(V96,"0"),4)&amp;"-"&amp;MID(TEXT(V96,"0"),5,2)&amp;"-"&amp;RIGHT(TEXT(V96,"0"),2))</f>
        <v>2026-10-08</v>
      </c>
      <c r="V96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96" s="21" t="s">
        <v>2874</v>
      </c>
      <c r="X96" s="32" t="n">
        <f aca="false">IF(ISNUMBER(FIND("上限",S96)),1,0)</f>
        <v>0</v>
      </c>
      <c r="Y96" s="32" t="n">
        <v>0</v>
      </c>
    </row>
    <row r="97" customFormat="false" ht="15" hidden="false" customHeight="true" outlineLevel="0" collapsed="false">
      <c r="A97" s="44" t="s">
        <v>2875</v>
      </c>
      <c r="B97" s="30" t="s">
        <v>976</v>
      </c>
      <c r="C97" s="193" t="n">
        <f aca="false">Theory_Rev!C18</f>
        <v>0.147064628142164</v>
      </c>
      <c r="D97" s="193" t="n">
        <f aca="false">Theory_Rev!D18</f>
        <v>0.210121291884421</v>
      </c>
      <c r="E97" s="193" t="n">
        <f aca="false">Theory_Rev!E18</f>
        <v>0.360847771420528</v>
      </c>
      <c r="F97" s="193" t="n">
        <f aca="false">Theory_Rev!F18</f>
        <v>0.0264108658693919</v>
      </c>
      <c r="G97" s="193" t="n">
        <f aca="false">Theory_Rev!G18</f>
        <v>0.0352604304892615</v>
      </c>
      <c r="H97" s="193" t="n">
        <f aca="false">Theory_Rev!H18</f>
        <v>0.0571828468155931</v>
      </c>
      <c r="I97" s="193" t="n">
        <f aca="false">Theory_Rev!I18</f>
        <v>0.0228779020648233</v>
      </c>
      <c r="J97" s="193" t="n">
        <f aca="false">Theory_Rev!J18</f>
        <v>0.0295449762037583</v>
      </c>
      <c r="K97" s="193" t="n">
        <f aca="false">Theory_Rev!K18</f>
        <v>0.0502941521671846</v>
      </c>
      <c r="L97" s="193" t="n">
        <f aca="false">Theory_Rev!L18</f>
        <v>0.0167884625578468</v>
      </c>
      <c r="M97" s="193" t="n">
        <f aca="false">Theory_Rev!M18</f>
        <v>0.0215744123341219</v>
      </c>
      <c r="N97" s="193" t="n">
        <f aca="false">Theory_Rev!N18</f>
        <v>0.0348474635241773</v>
      </c>
      <c r="O97" s="193" t="n">
        <f aca="false">Theory_Rev!O18</f>
        <v>0.0128091124335383</v>
      </c>
      <c r="P97" s="193" t="n">
        <f aca="false">Theory_Rev!P18</f>
        <v>0.0194624631931499</v>
      </c>
      <c r="Q97" s="193" t="n">
        <f aca="false">Theory_Rev!Q18</f>
        <v>0.0355205911667204</v>
      </c>
      <c r="R97" s="184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7" s="44" t="str">
        <f aca="false">IF(R97="—","—",IF(R97="A","基準輸入",IF(R97="B","情境、相對比較、反轉門檻","探索")))</f>
        <v>情境、相對比較、反轉門檻</v>
      </c>
      <c r="T97" s="30" t="s">
        <v>2817</v>
      </c>
      <c r="U97" s="44" t="str">
        <f aca="false">IF(V97=0,"—",LEFT(TEXT(V97,"0"),4)&amp;"-"&amp;MID(TEXT(V97,"0"),5,2)&amp;"-"&amp;RIGHT(TEXT(V97,"0"),2))</f>
        <v>2026-10-08</v>
      </c>
      <c r="V9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7" s="21" t="s">
        <v>2876</v>
      </c>
      <c r="X97" s="32" t="n">
        <f aca="false">IF(ISNUMBER(FIND("上限",S97)),1,0)</f>
        <v>0</v>
      </c>
      <c r="Y97" s="32" t="n">
        <v>0</v>
      </c>
    </row>
    <row r="98" customFormat="false" ht="15" hidden="false" customHeight="true" outlineLevel="0" collapsed="false">
      <c r="A98" s="44" t="s">
        <v>2877</v>
      </c>
      <c r="B98" s="30" t="s">
        <v>976</v>
      </c>
      <c r="C98" s="202" t="n">
        <f aca="false">Amortize!C43</f>
        <v>0.111643809823497</v>
      </c>
      <c r="D98" s="202" t="n">
        <f aca="false">Amortize!D43</f>
        <v>0.159512054091793</v>
      </c>
      <c r="E98" s="202" t="n">
        <f aca="false">Amortize!E43</f>
        <v>0.273933140015809</v>
      </c>
      <c r="F98" s="202" t="n">
        <f aca="false">Amortize!F43</f>
        <v>0.0228171884807974</v>
      </c>
      <c r="G98" s="202" t="n">
        <f aca="false">Amortize!G43</f>
        <v>0.0304624287110172</v>
      </c>
      <c r="H98" s="202" t="n">
        <f aca="false">Amortize!H43</f>
        <v>0.0494014552553722</v>
      </c>
      <c r="I98" s="202" t="n">
        <f aca="false">Amortize!I43</f>
        <v>0.020050088283311</v>
      </c>
      <c r="J98" s="202" t="n">
        <f aca="false">Amortize!J43</f>
        <v>0.0258930448820136</v>
      </c>
      <c r="K98" s="202" t="n">
        <f aca="false">Amortize!K43</f>
        <v>0.0440774136300878</v>
      </c>
      <c r="L98" s="202" t="n">
        <f aca="false">Amortize!L43</f>
        <v>0.0148626841575213</v>
      </c>
      <c r="M98" s="202" t="n">
        <f aca="false">Amortize!M43</f>
        <v>0.0190995701031786</v>
      </c>
      <c r="N98" s="202" t="n">
        <f aca="false">Amortize!N43</f>
        <v>0.0308498823028407</v>
      </c>
      <c r="O98" s="202" t="n">
        <f aca="false">Amortize!O43</f>
        <v>0.0108849945073861</v>
      </c>
      <c r="P98" s="202" t="n">
        <f aca="false">Amortize!P43</f>
        <v>0.0165388591664826</v>
      </c>
      <c r="Q98" s="202" t="n">
        <f aca="false">Amortize!Q43</f>
        <v>0.0301846874898821</v>
      </c>
      <c r="R98" s="184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8" s="44" t="str">
        <f aca="false">IF(R98="—","—",IF(R98="A","基準輸入",IF(R98="B","情境、相對比較、反轉門檻","探索")))</f>
        <v>情境、相對比較、反轉門檻</v>
      </c>
      <c r="T98" s="30" t="s">
        <v>751</v>
      </c>
      <c r="U98" s="44" t="str">
        <f aca="false">IF(V98=0,"—",LEFT(TEXT(V98,"0"),4)&amp;"-"&amp;MID(TEXT(V98,"0"),5,2)&amp;"-"&amp;RIGHT(TEXT(V98,"0"),2))</f>
        <v>2026-10-08</v>
      </c>
      <c r="V9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8" s="21" t="s">
        <v>2876</v>
      </c>
      <c r="X98" s="32" t="n">
        <f aca="false">IF(ISNUMBER(FIND("上限",S98)),1,0)</f>
        <v>0</v>
      </c>
      <c r="Y98" s="32" t="n">
        <v>0</v>
      </c>
    </row>
    <row r="99" customFormat="false" ht="15" hidden="false" customHeight="true" outlineLevel="0" collapsed="false">
      <c r="A99" s="44" t="s">
        <v>2878</v>
      </c>
      <c r="B99" s="30" t="s">
        <v>976</v>
      </c>
      <c r="C99" s="201" t="n">
        <f aca="false">Amortize!C44</f>
        <v>0.0481837579884481</v>
      </c>
      <c r="D99" s="201" t="n">
        <f aca="false">Amortize!D44</f>
        <v>0.0688429588953491</v>
      </c>
      <c r="E99" s="201" t="n">
        <f aca="false">Amortize!E44</f>
        <v>0.118225346702199</v>
      </c>
      <c r="F99" s="201" t="n">
        <f aca="false">Amortize!F44</f>
        <v>0.0107558717803451</v>
      </c>
      <c r="G99" s="201" t="n">
        <f aca="false">Amortize!G44</f>
        <v>0.0143597874737876</v>
      </c>
      <c r="H99" s="201" t="n">
        <f aca="false">Amortize!H44</f>
        <v>0.0232875193600833</v>
      </c>
      <c r="I99" s="201" t="n">
        <f aca="false">Amortize!I44</f>
        <v>0.00997284870203028</v>
      </c>
      <c r="J99" s="201" t="n">
        <f aca="false">Amortize!J44</f>
        <v>0.0128791163108314</v>
      </c>
      <c r="K99" s="201" t="n">
        <f aca="false">Amortize!K44</f>
        <v>0.021923962184025</v>
      </c>
      <c r="L99" s="201" t="n">
        <f aca="false">Amortize!L44</f>
        <v>0.00685107279468222</v>
      </c>
      <c r="M99" s="201" t="n">
        <f aca="false">Amortize!M44</f>
        <v>0.00880409916117299</v>
      </c>
      <c r="N99" s="201" t="n">
        <f aca="false">Amortize!N44</f>
        <v>0.014220499280218</v>
      </c>
      <c r="O99" s="201" t="n">
        <f aca="false">Amortize!O44</f>
        <v>0.00524853491548195</v>
      </c>
      <c r="P99" s="201" t="n">
        <f aca="false">Amortize!P44</f>
        <v>0.00797471966923092</v>
      </c>
      <c r="Q99" s="201" t="n">
        <f aca="false">Amortize!Q44</f>
        <v>0.014554475530149</v>
      </c>
      <c r="R99" s="184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99" s="44" t="str">
        <f aca="false">IF(R99="—","—",IF(R99="A","基準輸入",IF(R99="B","情境、相對比較、反轉門檻","探索")))</f>
        <v>情境、相對比較、反轉門檻</v>
      </c>
      <c r="T99" s="30" t="s">
        <v>751</v>
      </c>
      <c r="U99" s="44" t="str">
        <f aca="false">IF(V99=0,"—",LEFT(TEXT(V99,"0"),4)&amp;"-"&amp;MID(TEXT(V99,"0"),5,2)&amp;"-"&amp;RIGHT(TEXT(V99,"0"),2))</f>
        <v>2026-10-08</v>
      </c>
      <c r="V99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99" s="21" t="s">
        <v>2879</v>
      </c>
      <c r="X99" s="32" t="n">
        <f aca="false">IF(ISNUMBER(FIND("上限",S99)),1,0)</f>
        <v>0</v>
      </c>
      <c r="Y99" s="32" t="n">
        <v>0</v>
      </c>
    </row>
    <row r="100" customFormat="false" ht="15" hidden="false" customHeight="true" outlineLevel="0" collapsed="false">
      <c r="A100" s="44" t="s">
        <v>2880</v>
      </c>
      <c r="B100" s="30" t="s">
        <v>976</v>
      </c>
      <c r="C100" s="203" t="n">
        <f aca="false">Theory_Rev!C20</f>
        <v>0.212513608042025</v>
      </c>
      <c r="D100" s="203" t="n">
        <f aca="false">Theory_Rev!D20</f>
        <v>0.303630174195324</v>
      </c>
      <c r="E100" s="203" t="n">
        <f aca="false">Theory_Rev!E20</f>
        <v>0.52142918905982</v>
      </c>
      <c r="F100" s="203" t="n">
        <f aca="false">Theory_Rev!F20</f>
        <v>0.0450220493773598</v>
      </c>
      <c r="G100" s="203" t="n">
        <f aca="false">Theory_Rev!G20</f>
        <v>0.0601069578018991</v>
      </c>
      <c r="H100" s="203" t="n">
        <f aca="false">Theory_Rev!H20</f>
        <v>0.0974757614586159</v>
      </c>
      <c r="I100" s="203" t="n">
        <f aca="false">Theory_Rev!I20</f>
        <v>0.0394990702371519</v>
      </c>
      <c r="J100" s="203" t="n">
        <f aca="false">Theory_Rev!J20</f>
        <v>0.0510093723279292</v>
      </c>
      <c r="K100" s="203" t="n">
        <f aca="false">Theory_Rev!K20</f>
        <v>0.0868315753658399</v>
      </c>
      <c r="L100" s="203" t="n">
        <f aca="false">Theory_Rev!L20</f>
        <v>0.0300930289619664</v>
      </c>
      <c r="M100" s="203" t="n">
        <f aca="false">Theory_Rev!M20</f>
        <v>0.038671399449487</v>
      </c>
      <c r="N100" s="203" t="n">
        <f aca="false">Theory_Rev!N20</f>
        <v>0.0624621109969744</v>
      </c>
      <c r="O100" s="203" t="n">
        <f aca="false">Theory_Rev!O20</f>
        <v>0.0229208408319282</v>
      </c>
      <c r="P100" s="203" t="n">
        <f aca="false">Theory_Rev!P20</f>
        <v>0.034826063901107</v>
      </c>
      <c r="Q100" s="203" t="n">
        <f aca="false">Theory_Rev!Q20</f>
        <v>0.0635597955960129</v>
      </c>
      <c r="R100" s="184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00" s="44" t="str">
        <f aca="false">IF(R100="—","—",IF(R100="A","基準輸入",IF(R100="B","情境、相對比較、反轉門檻","探索")))</f>
        <v>情境、相對比較、反轉門檻</v>
      </c>
      <c r="T100" s="30" t="s">
        <v>2817</v>
      </c>
      <c r="U100" s="44" t="str">
        <f aca="false">IF(V100=0,"—",LEFT(TEXT(V100,"0"),4)&amp;"-"&amp;MID(TEXT(V100,"0"),5,2)&amp;"-"&amp;RIGHT(TEXT(V100,"0"),2))</f>
        <v>2026-10-08</v>
      </c>
      <c r="V100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00" s="21" t="s">
        <v>2876</v>
      </c>
      <c r="X100" s="32" t="n">
        <f aca="false">IF(ISNUMBER(FIND("上限",S100)),1,0)</f>
        <v>0</v>
      </c>
      <c r="Y100" s="32" t="n">
        <v>0</v>
      </c>
    </row>
    <row r="101" customFormat="false" ht="15" hidden="false" customHeight="true" outlineLevel="0" collapsed="false">
      <c r="A101" s="44" t="s">
        <v>2881</v>
      </c>
      <c r="B101" s="30" t="s">
        <v>2048</v>
      </c>
      <c r="C101" s="204" t="n">
        <f aca="false">Theory_Rev!C11</f>
        <v>5.41089756914487</v>
      </c>
      <c r="D101" s="204" t="n">
        <f aca="false">Theory_Rev!D11</f>
        <v>5.41089756914487</v>
      </c>
      <c r="E101" s="204" t="n">
        <f aca="false">Theory_Rev!E11</f>
        <v>5.41089756914487</v>
      </c>
      <c r="F101" s="204" t="n">
        <f aca="false">Theory_Rev!F11</f>
        <v>23.9489675192609</v>
      </c>
      <c r="G101" s="204" t="n">
        <f aca="false">Theory_Rev!G11</f>
        <v>23.9489675192609</v>
      </c>
      <c r="H101" s="204" t="n">
        <f aca="false">Theory_Rev!H11</f>
        <v>23.9489675192609</v>
      </c>
      <c r="I101" s="204" t="n">
        <f aca="false">Theory_Rev!I11</f>
        <v>34.8667275721655</v>
      </c>
      <c r="J101" s="204" t="n">
        <f aca="false">Theory_Rev!J11</f>
        <v>34.8667275721655</v>
      </c>
      <c r="K101" s="204" t="n">
        <f aca="false">Theory_Rev!K11</f>
        <v>34.8667275721655</v>
      </c>
      <c r="L101" s="204" t="n">
        <f aca="false">Theory_Rev!L11</f>
        <v>50.299413649228</v>
      </c>
      <c r="M101" s="204" t="n">
        <f aca="false">Theory_Rev!M11</f>
        <v>50.299413649228</v>
      </c>
      <c r="N101" s="204" t="n">
        <f aca="false">Theory_Rev!N11</f>
        <v>50.299413649228</v>
      </c>
      <c r="O101" s="204" t="n">
        <f aca="false">Theory_Rev!O11</f>
        <v>67.7198685975468</v>
      </c>
      <c r="P101" s="204" t="n">
        <f aca="false">Theory_Rev!P11</f>
        <v>67.7198685975468</v>
      </c>
      <c r="Q101" s="204" t="n">
        <f aca="false">Theory_Rev!Q11</f>
        <v>67.7198685975468</v>
      </c>
      <c r="R101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01" s="44" t="str">
        <f aca="false">IF(R101="—","—",IF(R101="A","基準輸入",IF(R101="B","情境、相對比較、反轉門檻","探索")))&amp;"；上限，不得作預測"</f>
        <v>情境、相對比較、反轉門檻；上限，不得作預測</v>
      </c>
      <c r="T101" s="30" t="s">
        <v>2817</v>
      </c>
      <c r="U101" s="44" t="str">
        <f aca="false">IF(V101=0,"—",LEFT(TEXT(V101,"0"),4)&amp;"-"&amp;MID(TEXT(V101,"0"),5,2)&amp;"-"&amp;RIGHT(TEXT(V101,"0"),2))</f>
        <v>2026-10-05</v>
      </c>
      <c r="V10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01" s="21" t="s">
        <v>2882</v>
      </c>
      <c r="X101" s="32" t="n">
        <f aca="false">IF(ISNUMBER(FIND("上限",S101)),1,0)</f>
        <v>1</v>
      </c>
      <c r="Y101" s="32" t="n">
        <v>1</v>
      </c>
    </row>
    <row r="102" customFormat="false" ht="15" hidden="false" customHeight="true" outlineLevel="0" collapsed="false">
      <c r="A102" s="44" t="s">
        <v>2883</v>
      </c>
      <c r="B102" s="30" t="s">
        <v>2048</v>
      </c>
      <c r="C102" s="195" t="n">
        <f aca="false">Theory_Rev!C12</f>
        <v>5.41089756914487</v>
      </c>
      <c r="D102" s="195" t="n">
        <f aca="false">Theory_Rev!D12</f>
        <v>5.41089756914487</v>
      </c>
      <c r="E102" s="195" t="n">
        <f aca="false">Theory_Rev!E12</f>
        <v>5.41089756914487</v>
      </c>
      <c r="F102" s="195" t="n">
        <f aca="false">Theory_Rev!F12</f>
        <v>23.9489675192609</v>
      </c>
      <c r="G102" s="195" t="n">
        <f aca="false">Theory_Rev!G12</f>
        <v>23.9489675192609</v>
      </c>
      <c r="H102" s="195" t="n">
        <f aca="false">Theory_Rev!H12</f>
        <v>23.9489675192609</v>
      </c>
      <c r="I102" s="195" t="n">
        <f aca="false">Theory_Rev!I12</f>
        <v>34.8667275721655</v>
      </c>
      <c r="J102" s="195" t="n">
        <f aca="false">Theory_Rev!J12</f>
        <v>34.8667275721655</v>
      </c>
      <c r="K102" s="195" t="n">
        <f aca="false">Theory_Rev!K12</f>
        <v>34.8667275721655</v>
      </c>
      <c r="L102" s="195" t="n">
        <f aca="false">Theory_Rev!L12</f>
        <v>50.299413649228</v>
      </c>
      <c r="M102" s="195" t="n">
        <f aca="false">Theory_Rev!M12</f>
        <v>50.299413649228</v>
      </c>
      <c r="N102" s="195" t="n">
        <f aca="false">Theory_Rev!N12</f>
        <v>50.299413649228</v>
      </c>
      <c r="O102" s="195" t="n">
        <f aca="false">Theory_Rev!O12</f>
        <v>67.7198685975468</v>
      </c>
      <c r="P102" s="195" t="n">
        <f aca="false">Theory_Rev!P12</f>
        <v>67.7198685975468</v>
      </c>
      <c r="Q102" s="195" t="n">
        <f aca="false">Theory_Rev!Q12</f>
        <v>67.7198685975468</v>
      </c>
      <c r="R102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02" s="44" t="str">
        <f aca="false">IF(R102="—","—",IF(R102="A","基準輸入",IF(R102="B","情境、相對比較、反轉門檻","探索")))&amp;"；上限，不得作預測"</f>
        <v>情境、相對比較、反轉門檻；上限，不得作預測</v>
      </c>
      <c r="T102" s="30" t="s">
        <v>2817</v>
      </c>
      <c r="U102" s="44" t="str">
        <f aca="false">IF(V102=0,"—",LEFT(TEXT(V102,"0"),4)&amp;"-"&amp;MID(TEXT(V102,"0"),5,2)&amp;"-"&amp;RIGHT(TEXT(V102,"0"),2))</f>
        <v>2026-10-05</v>
      </c>
      <c r="V10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02" s="21" t="s">
        <v>2884</v>
      </c>
      <c r="X102" s="32" t="n">
        <f aca="false">IF(ISNUMBER(FIND("上限",S102)),1,0)</f>
        <v>1</v>
      </c>
      <c r="Y102" s="32" t="n">
        <v>1</v>
      </c>
    </row>
    <row r="103" customFormat="false" ht="15" hidden="false" customHeight="true" outlineLevel="0" collapsed="false">
      <c r="A103" s="8" t="s">
        <v>279</v>
      </c>
      <c r="B103" s="205"/>
      <c r="C103" s="46"/>
    </row>
    <row r="104" customFormat="false" ht="15" hidden="false" customHeight="true" outlineLevel="0" collapsed="false">
      <c r="A104" s="44" t="s">
        <v>2885</v>
      </c>
      <c r="B104" s="30" t="s">
        <v>976</v>
      </c>
      <c r="C104" s="46" t="n">
        <f aca="false">Price_Frontier!D41</f>
        <v>1.6</v>
      </c>
      <c r="R104" s="18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4" s="44" t="str">
        <f aca="false">IF(R104="—","—",IF(R104="A","基準輸入",IF(R104="B","情境、相對比較、反轉門檻","探索")))</f>
        <v>基準輸入</v>
      </c>
      <c r="T104" s="30" t="s">
        <v>751</v>
      </c>
      <c r="U104" s="44" t="str">
        <f aca="false">IF(V104=0,"—",LEFT(TEXT(V104,"0"),4)&amp;"-"&amp;MID(TEXT(V104,"0"),5,2)&amp;"-"&amp;RIGHT(TEXT(V104,"0"),2))</f>
        <v>—</v>
      </c>
      <c r="V104" s="33" t="n">
        <f aca="false">MAX(Gov_Map!$AJ$445,Gov_Map!$AJ$449,Gov_Map!$AJ$451,Gov_Map!$AJ$510:$AJ$518,Gov_Map!$AJ$521:$AJ$522)</f>
        <v>0</v>
      </c>
      <c r="W104" s="21" t="s">
        <v>2858</v>
      </c>
      <c r="X104" s="32" t="n">
        <f aca="false">IF(ISNUMBER(FIND("上限",S104)),1,0)</f>
        <v>0</v>
      </c>
      <c r="Y104" s="32" t="n">
        <v>0</v>
      </c>
    </row>
    <row r="105" customFormat="false" ht="15" hidden="false" customHeight="true" outlineLevel="0" collapsed="false">
      <c r="A105" s="44" t="s">
        <v>2886</v>
      </c>
      <c r="B105" s="30" t="s">
        <v>976</v>
      </c>
      <c r="C105" s="46" t="n">
        <f aca="false">Price_Frontier!D42</f>
        <v>0.16</v>
      </c>
      <c r="R105" s="18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5" s="44" t="str">
        <f aca="false">IF(R105="—","—",IF(R105="A","基準輸入",IF(R105="B","情境、相對比較、反轉門檻","探索")))</f>
        <v>基準輸入</v>
      </c>
      <c r="T105" s="30" t="s">
        <v>751</v>
      </c>
      <c r="U105" s="44" t="str">
        <f aca="false">IF(V105=0,"—",LEFT(TEXT(V105,"0"),4)&amp;"-"&amp;MID(TEXT(V105,"0"),5,2)&amp;"-"&amp;RIGHT(TEXT(V105,"0"),2))</f>
        <v>—</v>
      </c>
      <c r="V105" s="33" t="n">
        <f aca="false">MAX(Gov_Map!$AJ$445,Gov_Map!$AJ$449,Gov_Map!$AJ$451,Gov_Map!$AJ$510:$AJ$518,Gov_Map!$AJ$521:$AJ$522)</f>
        <v>0</v>
      </c>
      <c r="W105" s="21" t="s">
        <v>2858</v>
      </c>
      <c r="X105" s="32" t="n">
        <f aca="false">IF(ISNUMBER(FIND("上限",S105)),1,0)</f>
        <v>0</v>
      </c>
      <c r="Y105" s="32" t="n">
        <v>0</v>
      </c>
    </row>
    <row r="106" customFormat="false" ht="15" hidden="false" customHeight="true" outlineLevel="0" collapsed="false">
      <c r="A106" s="44" t="s">
        <v>2887</v>
      </c>
      <c r="B106" s="30" t="s">
        <v>976</v>
      </c>
      <c r="C106" s="46" t="n">
        <f aca="false">Price_Frontier!D43</f>
        <v>8</v>
      </c>
      <c r="R106" s="18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6" s="44" t="str">
        <f aca="false">IF(R106="—","—",IF(R106="A","基準輸入",IF(R106="B","情境、相對比較、反轉門檻","探索")))</f>
        <v>基準輸入</v>
      </c>
      <c r="T106" s="30" t="s">
        <v>751</v>
      </c>
      <c r="U106" s="44" t="str">
        <f aca="false">IF(V106=0,"—",LEFT(TEXT(V106,"0"),4)&amp;"-"&amp;MID(TEXT(V106,"0"),5,2)&amp;"-"&amp;RIGHT(TEXT(V106,"0"),2))</f>
        <v>—</v>
      </c>
      <c r="V106" s="33" t="n">
        <f aca="false">MAX(Gov_Map!$AJ$445,Gov_Map!$AJ$449,Gov_Map!$AJ$451,Gov_Map!$AJ$510:$AJ$518,Gov_Map!$AJ$521:$AJ$522)</f>
        <v>0</v>
      </c>
      <c r="W106" s="21" t="s">
        <v>2858</v>
      </c>
      <c r="X106" s="32" t="n">
        <f aca="false">IF(ISNUMBER(FIND("上限",S106)),1,0)</f>
        <v>0</v>
      </c>
      <c r="Y106" s="32" t="n">
        <v>0</v>
      </c>
    </row>
    <row r="107" customFormat="false" ht="15" hidden="false" customHeight="true" outlineLevel="0" collapsed="false">
      <c r="A107" s="44" t="s">
        <v>2888</v>
      </c>
      <c r="B107" s="30" t="s">
        <v>976</v>
      </c>
      <c r="C107" s="46" t="n">
        <f aca="false">Price_Frontier!D44</f>
        <v>8</v>
      </c>
      <c r="R107" s="18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07" s="44" t="str">
        <f aca="false">IF(R107="—","—",IF(R107="A","基準輸入",IF(R107="B","情境、相對比較、反轉門檻","探索")))</f>
        <v>基準輸入</v>
      </c>
      <c r="T107" s="30" t="s">
        <v>751</v>
      </c>
      <c r="U107" s="44" t="str">
        <f aca="false">IF(V107=0,"—",LEFT(TEXT(V107,"0"),4)&amp;"-"&amp;MID(TEXT(V107,"0"),5,2)&amp;"-"&amp;RIGHT(TEXT(V107,"0"),2))</f>
        <v>—</v>
      </c>
      <c r="V107" s="33" t="n">
        <f aca="false">MAX(Gov_Map!$AJ$445,Gov_Map!$AJ$449,Gov_Map!$AJ$451,Gov_Map!$AJ$510:$AJ$518,Gov_Map!$AJ$521:$AJ$522)</f>
        <v>0</v>
      </c>
      <c r="W107" s="21" t="s">
        <v>2858</v>
      </c>
      <c r="X107" s="32" t="n">
        <f aca="false">IF(ISNUMBER(FIND("上限",S107)),1,0)</f>
        <v>0</v>
      </c>
      <c r="Y107" s="32" t="n">
        <v>0</v>
      </c>
    </row>
    <row r="108" customFormat="false" ht="15" hidden="false" customHeight="true" outlineLevel="0" collapsed="false">
      <c r="A108" s="44" t="s">
        <v>2889</v>
      </c>
      <c r="B108" s="30" t="s">
        <v>976</v>
      </c>
      <c r="C108" s="55" t="n">
        <f aca="false">Price_Frontier!D45</f>
        <v>1.60711111111111</v>
      </c>
      <c r="R108" s="18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08" s="44" t="str">
        <f aca="false">IF(R108="—","—",IF(R108="A","基準輸入",IF(R108="B","情境、相對比較、反轉門檻","探索")))</f>
        <v>情境、相對比較、反轉門檻</v>
      </c>
      <c r="T108" s="30" t="s">
        <v>751</v>
      </c>
      <c r="U108" s="44" t="str">
        <f aca="false">IF(V108=0,"—",LEFT(TEXT(V108,"0"),4)&amp;"-"&amp;MID(TEXT(V108,"0"),5,2)&amp;"-"&amp;RIGHT(TEXT(V108,"0"),2))</f>
        <v>—</v>
      </c>
      <c r="V108" s="33" t="n">
        <f aca="false">MAX(Gov_Map!$AJ$249:$AJ$254,Gov_Map!$AJ$445,Gov_Map!$AJ$447,Gov_Map!$AJ$449,Gov_Map!$AJ$451,Gov_Map!$AJ$510:$AJ$518,Gov_Map!$AJ$521:$AJ$522)</f>
        <v>0</v>
      </c>
      <c r="W108" s="21" t="s">
        <v>2863</v>
      </c>
      <c r="X108" s="32" t="n">
        <f aca="false">IF(ISNUMBER(FIND("上限",S108)),1,0)</f>
        <v>0</v>
      </c>
      <c r="Y108" s="32" t="n">
        <v>0</v>
      </c>
    </row>
    <row r="109" customFormat="false" ht="15" hidden="false" customHeight="true" outlineLevel="0" collapsed="false">
      <c r="A109" s="44" t="s">
        <v>2890</v>
      </c>
      <c r="B109" s="30" t="s">
        <v>976</v>
      </c>
      <c r="C109" s="46" t="n">
        <f aca="false">Price_Frontier!D46</f>
        <v>1.60711111111111</v>
      </c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18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09" s="44" t="str">
        <f aca="false">IF(R109="—","—",IF(R109="A","基準輸入",IF(R109="B","情境、相對比較、反轉門檻","探索")))</f>
        <v>情境、相對比較、反轉門檻</v>
      </c>
      <c r="T109" s="30" t="s">
        <v>751</v>
      </c>
      <c r="U109" s="44" t="str">
        <f aca="false">IF(V109=0,"—",LEFT(TEXT(V109,"0"),4)&amp;"-"&amp;MID(TEXT(V109,"0"),5,2)&amp;"-"&amp;RIGHT(TEXT(V109,"0"),2))</f>
        <v>—</v>
      </c>
      <c r="V109" s="33" t="n">
        <f aca="false">MAX(Gov_Map!$AJ$249:$AJ$254,Gov_Map!$AJ$445,Gov_Map!$AJ$447,Gov_Map!$AJ$453,Gov_Map!$AJ$477,Gov_Map!$AJ$479:$AJ$482)</f>
        <v>0</v>
      </c>
      <c r="W109" s="21" t="s">
        <v>2865</v>
      </c>
      <c r="X109" s="32" t="n">
        <f aca="false">IF(ISNUMBER(FIND("上限",S109)),1,0)</f>
        <v>0</v>
      </c>
      <c r="Y109" s="32" t="n">
        <v>0</v>
      </c>
    </row>
    <row r="110" customFormat="false" ht="15" hidden="false" customHeight="true" outlineLevel="0" collapsed="false">
      <c r="A110" s="44" t="s">
        <v>2891</v>
      </c>
      <c r="B110" s="205"/>
      <c r="C110" s="201" t="str">
        <f aca="false">Price_Frontier!D26</f>
        <v>GPT-6 Sol</v>
      </c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18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10" s="44" t="str">
        <f aca="false">IF(R110="—","—",IF(R110="A","基準輸入",IF(R110="B","情境、相對比較、反轉門檻","探索")))</f>
        <v>情境、相對比較、反轉門檻</v>
      </c>
      <c r="T110" s="30" t="s">
        <v>751</v>
      </c>
      <c r="U110" s="44" t="str">
        <f aca="false">IF(V110=0,"—",LEFT(TEXT(V110,"0"),4)&amp;"-"&amp;MID(TEXT(V110,"0"),5,2)&amp;"-"&amp;RIGHT(TEXT(V110,"0"),2))</f>
        <v>—</v>
      </c>
      <c r="V110" s="33" t="n">
        <f aca="false">MAX(Gov_Map!$AJ$249:$AJ$254,Gov_Map!$AJ$447,Gov_Map!$AJ$453,Gov_Map!$AJ$477,Gov_Map!$AJ$479:$AJ$482)</f>
        <v>0</v>
      </c>
      <c r="W110" s="21" t="s">
        <v>2867</v>
      </c>
      <c r="X110" s="32" t="n">
        <f aca="false">IF(ISNUMBER(FIND("上限",S110)),1,0)</f>
        <v>0</v>
      </c>
      <c r="Y110" s="32" t="n">
        <v>0</v>
      </c>
    </row>
    <row r="111" customFormat="false" ht="15" hidden="false" customHeight="true" outlineLevel="0" collapsed="false">
      <c r="A111" s="44" t="s">
        <v>2892</v>
      </c>
      <c r="B111" s="44" t="s">
        <v>1327</v>
      </c>
      <c r="C111" s="32" t="n">
        <f aca="false">INDEX(B4_Life,1,2)</f>
        <v>12</v>
      </c>
      <c r="D111" s="193"/>
      <c r="E111" s="193"/>
      <c r="F111" s="193"/>
      <c r="G111" s="193"/>
      <c r="H111" s="193"/>
      <c r="I111" s="193"/>
      <c r="J111" s="193"/>
      <c r="K111" s="193"/>
      <c r="L111" s="193"/>
      <c r="M111" s="193"/>
      <c r="N111" s="193"/>
      <c r="O111" s="193"/>
      <c r="P111" s="193"/>
      <c r="Q111" s="193"/>
      <c r="R111" s="184" t="str">
        <f aca="false">IF(SUM(Gov_Map!$AG$454)&gt;0,"C",IF(SUM(Gov_Map!$AH$454)&gt;0,"B","A"))</f>
        <v>A</v>
      </c>
      <c r="S111" s="44" t="str">
        <f aca="false">IF(R111="—","—",IF(R111="A","基準輸入",IF(R111="B","情境、相對比較、反轉門檻","探索")))</f>
        <v>基準輸入</v>
      </c>
      <c r="T111" s="30" t="s">
        <v>751</v>
      </c>
      <c r="U111" s="44" t="str">
        <f aca="false">IF(V111=0,"—",LEFT(TEXT(V111,"0"),4)&amp;"-"&amp;MID(TEXT(V111,"0"),5,2)&amp;"-"&amp;RIGHT(TEXT(V111,"0"),2))</f>
        <v>—</v>
      </c>
      <c r="V111" s="33" t="n">
        <f aca="false">MAX(Gov_Map!$AJ$454)</f>
        <v>0</v>
      </c>
      <c r="W111" s="21" t="s">
        <v>2854</v>
      </c>
      <c r="X111" s="32" t="n">
        <f aca="false">IF(ISNUMBER(FIND("上限",S111)),1,0)</f>
        <v>0</v>
      </c>
      <c r="Y111" s="32" t="n">
        <v>0</v>
      </c>
    </row>
    <row r="112" customFormat="false" ht="15" hidden="false" customHeight="true" outlineLevel="0" collapsed="false">
      <c r="A112" s="44" t="s">
        <v>2893</v>
      </c>
      <c r="B112" s="30" t="s">
        <v>976</v>
      </c>
      <c r="C112" s="201" t="n">
        <f aca="false">Cache_Store!C23</f>
        <v>1.8859398782344E-005</v>
      </c>
      <c r="D112" s="201" t="n">
        <f aca="false">Cache_Store!D23</f>
        <v>1.8859398782344E-005</v>
      </c>
      <c r="E112" s="201" t="n">
        <f aca="false">Cache_Store!E23</f>
        <v>1.8859398782344E-005</v>
      </c>
      <c r="F112" s="201" t="n">
        <f aca="false">Cache_Store!F23</f>
        <v>1.8859398782344E-005</v>
      </c>
      <c r="G112" s="201" t="n">
        <f aca="false">Cache_Store!G23</f>
        <v>1.8859398782344E-005</v>
      </c>
      <c r="H112" s="201" t="n">
        <f aca="false">Cache_Store!H23</f>
        <v>1.8859398782344E-005</v>
      </c>
      <c r="I112" s="201" t="n">
        <f aca="false">Cache_Store!I23</f>
        <v>1.8859398782344E-005</v>
      </c>
      <c r="J112" s="201" t="n">
        <f aca="false">Cache_Store!J23</f>
        <v>1.8859398782344E-005</v>
      </c>
      <c r="K112" s="201" t="n">
        <f aca="false">Cache_Store!K23</f>
        <v>1.8859398782344E-005</v>
      </c>
      <c r="L112" s="201" t="n">
        <f aca="false">Cache_Store!L23</f>
        <v>1.8859398782344E-005</v>
      </c>
      <c r="M112" s="201" t="n">
        <f aca="false">Cache_Store!M23</f>
        <v>1.8859398782344E-005</v>
      </c>
      <c r="N112" s="201" t="n">
        <f aca="false">Cache_Store!N23</f>
        <v>1.8859398782344E-005</v>
      </c>
      <c r="O112" s="201" t="n">
        <f aca="false">Cache_Store!O23</f>
        <v>1.8859398782344E-005</v>
      </c>
      <c r="P112" s="201" t="n">
        <f aca="false">Cache_Store!P23</f>
        <v>1.8859398782344E-005</v>
      </c>
      <c r="Q112" s="201" t="n">
        <f aca="false">Cache_Store!Q23</f>
        <v>1.8859398782344E-005</v>
      </c>
      <c r="R112" s="184" t="str">
        <f aca="false">IF(SUM(Gov_Map!$AG$5:$AG$103,Gov_Map!$AG$114:$AG$118,Gov_Map!$AG$184,Gov_Map!$AG$223,Gov_Map!$AG$226,Gov_Map!$AG$229,Gov_Map!$AG$463,Gov_Map!$AG$465,Gov_Map!$AG$467,Gov_Map!$AG$469,Gov_Map!$AG$471,Gov_Map!$AG$473,Gov_Map!$AG$475,Gov_Map!$AG$574,Gov_Map!$AG$605:$AG$611)&gt;0,"C",IF(SUM(Gov_Map!$AH$5:$AH$103,Gov_Map!$AH$114:$AH$118,Gov_Map!$AH$184,Gov_Map!$AH$223,Gov_Map!$AH$226,Gov_Map!$AH$229,Gov_Map!$AH$463,Gov_Map!$AH$465,Gov_Map!$AH$467,Gov_Map!$AH$469,Gov_Map!$AH$471,Gov_Map!$AH$473,Gov_Map!$AH$475,Gov_Map!$AH$574,Gov_Map!$AH$605:$AH$611)&gt;0,"B","A"))</f>
        <v>B</v>
      </c>
      <c r="S112" s="44" t="str">
        <f aca="false">IF(R112="—","—",IF(R112="A","基準輸入",IF(R112="B","情境、相對比較、反轉門檻","探索")))</f>
        <v>情境、相對比較、反轉門檻</v>
      </c>
      <c r="T112" s="30" t="s">
        <v>751</v>
      </c>
      <c r="U112" s="44" t="str">
        <f aca="false">IF(V112=0,"—",LEFT(TEXT(V112,"0"),4)&amp;"-"&amp;MID(TEXT(V112,"0"),5,2)&amp;"-"&amp;RIGHT(TEXT(V112,"0"),2))</f>
        <v>2026-10-08</v>
      </c>
      <c r="V112" s="33" t="n">
        <f aca="false">MAX(Gov_Map!$AJ$5:$AJ$103,Gov_Map!$AJ$114:$AJ$118,Gov_Map!$AJ$184,Gov_Map!$AJ$223,Gov_Map!$AJ$226,Gov_Map!$AJ$229,Gov_Map!$AJ$463,Gov_Map!$AJ$465,Gov_Map!$AJ$467,Gov_Map!$AJ$469,Gov_Map!$AJ$471,Gov_Map!$AJ$473,Gov_Map!$AJ$475,Gov_Map!$AJ$574,Gov_Map!$AJ$605:$AJ$611)</f>
        <v>20261008</v>
      </c>
      <c r="W112" s="21" t="s">
        <v>2870</v>
      </c>
      <c r="X112" s="32" t="n">
        <f aca="false">IF(ISNUMBER(FIND("上限",S112)),1,0)</f>
        <v>0</v>
      </c>
      <c r="Y112" s="32" t="n">
        <v>0</v>
      </c>
    </row>
    <row r="113" customFormat="false" ht="15" hidden="false" customHeight="true" outlineLevel="0" collapsed="false">
      <c r="A113" s="44" t="s">
        <v>2894</v>
      </c>
      <c r="B113" s="30" t="s">
        <v>976</v>
      </c>
      <c r="C113" s="201" t="n">
        <f aca="false">Amortize!C22</f>
        <v>0.114040439741435</v>
      </c>
      <c r="D113" s="201" t="n">
        <f aca="false">Amortize!D22</f>
        <v>0.162940977305579</v>
      </c>
      <c r="E113" s="201" t="n">
        <f aca="false">Amortize!E22</f>
        <v>0.279829588866025</v>
      </c>
      <c r="F113" s="201" t="n">
        <f aca="false">Amortize!F22</f>
        <v>0.0110596099316418</v>
      </c>
      <c r="G113" s="201" t="n">
        <f aca="false">Amortize!G22</f>
        <v>0.0147669057173887</v>
      </c>
      <c r="H113" s="201" t="n">
        <f aca="false">Amortize!H22</f>
        <v>0.0239507339791222</v>
      </c>
      <c r="I113" s="201" t="n">
        <f aca="false">Amortize!I22</f>
        <v>0.00936389932228216</v>
      </c>
      <c r="J113" s="201" t="n">
        <f aca="false">Amortize!J22</f>
        <v>0.0120940178715063</v>
      </c>
      <c r="K113" s="201" t="n">
        <f aca="false">Amortize!K22</f>
        <v>0.0205906550767309</v>
      </c>
      <c r="L113" s="201" t="n">
        <f aca="false">Amortize!L22</f>
        <v>0.00403441053211496</v>
      </c>
      <c r="M113" s="201" t="n">
        <f aca="false">Amortize!M22</f>
        <v>0.00518525758392133</v>
      </c>
      <c r="N113" s="201" t="n">
        <f aca="false">Amortize!N22</f>
        <v>0.00837694419673806</v>
      </c>
      <c r="O113" s="201" t="n">
        <f aca="false">Amortize!O22</f>
        <v>0.00207075943620614</v>
      </c>
      <c r="P113" s="201" t="n">
        <f aca="false">Amortize!P22</f>
        <v>0.00314727040880126</v>
      </c>
      <c r="Q113" s="201" t="n">
        <f aca="false">Amortize!Q22</f>
        <v>0.00574547266619956</v>
      </c>
      <c r="R113" s="184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3" s="44" t="str">
        <f aca="false">IF(R113="—","—",IF(R113="A","基準輸入",IF(R113="B","情境、相對比較、反轉門檻","探索")))</f>
        <v>情境、相對比較、反轉門檻</v>
      </c>
      <c r="T113" s="30" t="s">
        <v>751</v>
      </c>
      <c r="U113" s="44" t="str">
        <f aca="false">IF(V113=0,"—",LEFT(TEXT(V113,"0"),4)&amp;"-"&amp;MID(TEXT(V113,"0"),5,2)&amp;"-"&amp;RIGHT(TEXT(V113,"0"),2))</f>
        <v>2026-10-08</v>
      </c>
      <c r="V113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3" s="21" t="s">
        <v>2872</v>
      </c>
      <c r="X113" s="32" t="n">
        <f aca="false">IF(ISNUMBER(FIND("上限",S113)),1,0)</f>
        <v>0</v>
      </c>
      <c r="Y113" s="32" t="n">
        <v>0</v>
      </c>
    </row>
    <row r="114" customFormat="false" ht="15" hidden="false" customHeight="true" outlineLevel="0" collapsed="false">
      <c r="A114" s="44" t="s">
        <v>2895</v>
      </c>
      <c r="B114" s="30" t="s">
        <v>976</v>
      </c>
      <c r="C114" s="193" t="n">
        <f aca="false">Amortize!C24</f>
        <v>0.484280958435838</v>
      </c>
      <c r="D114" s="193" t="n">
        <f aca="false">Amortize!D24</f>
        <v>0.691931138474116</v>
      </c>
      <c r="E114" s="193" t="n">
        <f aca="false">Amortize!E24</f>
        <v>1.1882843984585</v>
      </c>
      <c r="F114" s="193" t="n">
        <f aca="false">Amortize!F24</f>
        <v>0.108769658750671</v>
      </c>
      <c r="G114" s="193" t="n">
        <f aca="false">Amortize!G24</f>
        <v>0.145222962184988</v>
      </c>
      <c r="H114" s="193" t="n">
        <f aca="false">Amortize!H24</f>
        <v>0.235526217620051</v>
      </c>
      <c r="I114" s="193" t="n">
        <f aca="false">Amortize!I24</f>
        <v>0.0952543394798669</v>
      </c>
      <c r="J114" s="193" t="n">
        <f aca="false">Amortize!J24</f>
        <v>0.123020044560673</v>
      </c>
      <c r="K114" s="193" t="n">
        <f aca="false">Amortize!K24</f>
        <v>0.209432088054504</v>
      </c>
      <c r="L114" s="193" t="n">
        <f aca="false">Amortize!L24</f>
        <v>0.0715892949664193</v>
      </c>
      <c r="M114" s="193" t="n">
        <f aca="false">Amortize!M24</f>
        <v>0.0920043913706423</v>
      </c>
      <c r="N114" s="193" t="n">
        <f aca="false">Amortize!N24</f>
        <v>0.148622331861039</v>
      </c>
      <c r="O114" s="193" t="n">
        <f aca="false">Amortize!O24</f>
        <v>0.0558784425295617</v>
      </c>
      <c r="P114" s="193" t="n">
        <f aca="false">Amortize!P24</f>
        <v>0.0849160748970673</v>
      </c>
      <c r="Q114" s="193" t="n">
        <f aca="false">Amortize!Q24</f>
        <v>0.154999561166491</v>
      </c>
      <c r="R114" s="184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14" s="44" t="str">
        <f aca="false">IF(R114="—","—",IF(R114="A","基準輸入",IF(R114="B","情境、相對比較、反轉門檻","探索")))</f>
        <v>情境、相對比較、反轉門檻</v>
      </c>
      <c r="T114" s="30" t="s">
        <v>751</v>
      </c>
      <c r="U114" s="44" t="str">
        <f aca="false">IF(V114=0,"—",LEFT(TEXT(V114,"0"),4)&amp;"-"&amp;MID(TEXT(V114,"0"),5,2)&amp;"-"&amp;RIGHT(TEXT(V114,"0"),2))</f>
        <v>2026-10-08</v>
      </c>
      <c r="V114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14" s="21" t="s">
        <v>2874</v>
      </c>
      <c r="X114" s="32" t="n">
        <f aca="false">IF(ISNUMBER(FIND("上限",S114)),1,0)</f>
        <v>0</v>
      </c>
      <c r="Y114" s="32" t="n">
        <v>0</v>
      </c>
    </row>
    <row r="115" customFormat="false" ht="15" hidden="false" customHeight="true" outlineLevel="0" collapsed="false">
      <c r="A115" s="44" t="s">
        <v>2896</v>
      </c>
      <c r="B115" s="30" t="s">
        <v>976</v>
      </c>
      <c r="C115" s="193" t="n">
        <f aca="false">Theory_Rev!C36</f>
        <v>0.450574665095153</v>
      </c>
      <c r="D115" s="193" t="n">
        <f aca="false">Theory_Rev!D36</f>
        <v>0.643774480313015</v>
      </c>
      <c r="E115" s="193" t="n">
        <f aca="false">Theory_Rev!E36</f>
        <v>1.10558654372701</v>
      </c>
      <c r="F115" s="193" t="n">
        <f aca="false">Theory_Rev!F36</f>
        <v>0.0866453049956676</v>
      </c>
      <c r="G115" s="193" t="n">
        <f aca="false">Theory_Rev!G36</f>
        <v>0.115684557405262</v>
      </c>
      <c r="H115" s="193" t="n">
        <f aca="false">Theory_Rev!H36</f>
        <v>0.187621495376107</v>
      </c>
      <c r="I115" s="193" t="n">
        <f aca="false">Theory_Rev!I36</f>
        <v>0.0755575928591388</v>
      </c>
      <c r="J115" s="193" t="n">
        <f aca="false">Theory_Rev!J36</f>
        <v>0.0975825234136689</v>
      </c>
      <c r="K115" s="193" t="n">
        <f aca="false">Theory_Rev!K36</f>
        <v>0.166128207792573</v>
      </c>
      <c r="L115" s="193" t="n">
        <f aca="false">Theory_Rev!L36</f>
        <v>0.0537829036443724</v>
      </c>
      <c r="M115" s="193" t="n">
        <f aca="false">Theory_Rev!M36</f>
        <v>0.0691205126041982</v>
      </c>
      <c r="N115" s="193" t="n">
        <f aca="false">Theory_Rev!N36</f>
        <v>0.11165686972729</v>
      </c>
      <c r="O115" s="193" t="n">
        <f aca="false">Theory_Rev!O36</f>
        <v>0.0409015415330202</v>
      </c>
      <c r="P115" s="193" t="n">
        <f aca="false">Theory_Rev!P36</f>
        <v>0.0621567461847294</v>
      </c>
      <c r="Q115" s="193" t="n">
        <f aca="false">Theory_Rev!Q36</f>
        <v>0.11345703212088</v>
      </c>
      <c r="R115" s="184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5" s="44" t="str">
        <f aca="false">IF(R115="—","—",IF(R115="A","基準輸入",IF(R115="B","情境、相對比較、反轉門檻","探索")))</f>
        <v>情境、相對比較、反轉門檻</v>
      </c>
      <c r="T115" s="30" t="s">
        <v>2817</v>
      </c>
      <c r="U115" s="44" t="str">
        <f aca="false">IF(V115=0,"—",LEFT(TEXT(V115,"0"),4)&amp;"-"&amp;MID(TEXT(V115,"0"),5,2)&amp;"-"&amp;RIGHT(TEXT(V115,"0"),2))</f>
        <v>2026-10-08</v>
      </c>
      <c r="V11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5" s="21" t="s">
        <v>2876</v>
      </c>
      <c r="X115" s="32" t="n">
        <f aca="false">IF(ISNUMBER(FIND("上限",S115)),1,0)</f>
        <v>0</v>
      </c>
      <c r="Y115" s="32" t="n">
        <v>0</v>
      </c>
    </row>
    <row r="116" customFormat="false" ht="15" hidden="false" customHeight="true" outlineLevel="0" collapsed="false">
      <c r="A116" s="44" t="s">
        <v>2897</v>
      </c>
      <c r="B116" s="30" t="s">
        <v>976</v>
      </c>
      <c r="C116" s="202" t="n">
        <f aca="false">Amortize!C45</f>
        <v>0.275613292390679</v>
      </c>
      <c r="D116" s="202" t="n">
        <f aca="false">Amortize!D45</f>
        <v>0.393784863430792</v>
      </c>
      <c r="E116" s="202" t="n">
        <f aca="false">Amortize!E45</f>
        <v>0.676254373028246</v>
      </c>
      <c r="F116" s="202" t="n">
        <f aca="false">Amortize!F45</f>
        <v>0.0599973623342177</v>
      </c>
      <c r="G116" s="202" t="n">
        <f aca="false">Amortize!G45</f>
        <v>0.0801003758413667</v>
      </c>
      <c r="H116" s="202" t="n">
        <f aca="false">Amortize!H45</f>
        <v>0.129900185261152</v>
      </c>
      <c r="I116" s="202" t="n">
        <f aca="false">Amortize!I45</f>
        <v>0.0547539755990414</v>
      </c>
      <c r="J116" s="202" t="n">
        <f aca="false">Amortize!J45</f>
        <v>0.0707102695819418</v>
      </c>
      <c r="K116" s="202" t="n">
        <f aca="false">Amortize!K45</f>
        <v>0.120369227121036</v>
      </c>
      <c r="L116" s="202" t="n">
        <f aca="false">Amortize!L45</f>
        <v>0.0384837213809363</v>
      </c>
      <c r="M116" s="202" t="n">
        <f aca="false">Amortize!M45</f>
        <v>0.0494542255326352</v>
      </c>
      <c r="N116" s="202" t="n">
        <f aca="false">Amortize!N45</f>
        <v>0.0798791296776901</v>
      </c>
      <c r="O116" s="202" t="n">
        <f aca="false">Amortize!O45</f>
        <v>0.0291493508211308</v>
      </c>
      <c r="P116" s="202" t="n">
        <f aca="false">Amortize!P45</f>
        <v>0.0442900552405372</v>
      </c>
      <c r="Q116" s="202" t="n">
        <f aca="false">Amortize!Q45</f>
        <v>0.0808327504870792</v>
      </c>
      <c r="R116" s="184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6" s="44" t="str">
        <f aca="false">IF(R116="—","—",IF(R116="A","基準輸入",IF(R116="B","情境、相對比較、反轉門檻","探索")))</f>
        <v>情境、相對比較、反轉門檻</v>
      </c>
      <c r="T116" s="30" t="s">
        <v>751</v>
      </c>
      <c r="U116" s="44" t="str">
        <f aca="false">IF(V116=0,"—",LEFT(TEXT(V116,"0"),4)&amp;"-"&amp;MID(TEXT(V116,"0"),5,2)&amp;"-"&amp;RIGHT(TEXT(V116,"0"),2))</f>
        <v>2026-10-08</v>
      </c>
      <c r="V11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6" s="21" t="s">
        <v>2876</v>
      </c>
      <c r="X116" s="32" t="n">
        <f aca="false">IF(ISNUMBER(FIND("上限",S116)),1,0)</f>
        <v>0</v>
      </c>
      <c r="Y116" s="32" t="n">
        <v>0</v>
      </c>
    </row>
    <row r="117" customFormat="false" ht="15" hidden="false" customHeight="true" outlineLevel="0" collapsed="false">
      <c r="A117" s="44" t="s">
        <v>2898</v>
      </c>
      <c r="B117" s="30" t="s">
        <v>976</v>
      </c>
      <c r="C117" s="201" t="n">
        <f aca="false">Amortize!C46</f>
        <v>0.963675159768962</v>
      </c>
      <c r="D117" s="201" t="n">
        <f aca="false">Amortize!D46</f>
        <v>1.37685917790698</v>
      </c>
      <c r="E117" s="201" t="n">
        <f aca="false">Amortize!E46</f>
        <v>2.36450693404399</v>
      </c>
      <c r="F117" s="201" t="n">
        <f aca="false">Amortize!F46</f>
        <v>0.215117435606902</v>
      </c>
      <c r="G117" s="201" t="n">
        <f aca="false">Amortize!G46</f>
        <v>0.287195749475751</v>
      </c>
      <c r="H117" s="201" t="n">
        <f aca="false">Amortize!H46</f>
        <v>0.465750387201666</v>
      </c>
      <c r="I117" s="201" t="n">
        <f aca="false">Amortize!I46</f>
        <v>0.199456974040606</v>
      </c>
      <c r="J117" s="201" t="n">
        <f aca="false">Amortize!J46</f>
        <v>0.257582326216629</v>
      </c>
      <c r="K117" s="201" t="n">
        <f aca="false">Amortize!K46</f>
        <v>0.438479243680499</v>
      </c>
      <c r="L117" s="201" t="n">
        <f aca="false">Amortize!L46</f>
        <v>0.137021455893644</v>
      </c>
      <c r="M117" s="201" t="n">
        <f aca="false">Amortize!M46</f>
        <v>0.17608198322346</v>
      </c>
      <c r="N117" s="201" t="n">
        <f aca="false">Amortize!N46</f>
        <v>0.284409985604361</v>
      </c>
      <c r="O117" s="201" t="n">
        <f aca="false">Amortize!O46</f>
        <v>0.104970698309639</v>
      </c>
      <c r="P117" s="201" t="n">
        <f aca="false">Amortize!P46</f>
        <v>0.159494393384618</v>
      </c>
      <c r="Q117" s="201" t="n">
        <f aca="false">Amortize!Q46</f>
        <v>0.29108951060298</v>
      </c>
      <c r="R117" s="184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7" s="44" t="str">
        <f aca="false">IF(R117="—","—",IF(R117="A","基準輸入",IF(R117="B","情境、相對比較、反轉門檻","探索")))</f>
        <v>情境、相對比較、反轉門檻</v>
      </c>
      <c r="T117" s="30" t="s">
        <v>751</v>
      </c>
      <c r="U117" s="44" t="str">
        <f aca="false">IF(V117=0,"—",LEFT(TEXT(V117,"0"),4)&amp;"-"&amp;MID(TEXT(V117,"0"),5,2)&amp;"-"&amp;RIGHT(TEXT(V117,"0"),2))</f>
        <v>2026-10-08</v>
      </c>
      <c r="V117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7" s="21" t="s">
        <v>2879</v>
      </c>
      <c r="X117" s="32" t="n">
        <f aca="false">IF(ISNUMBER(FIND("上限",S117)),1,0)</f>
        <v>0</v>
      </c>
      <c r="Y117" s="32" t="n">
        <v>0</v>
      </c>
    </row>
    <row r="118" customFormat="false" ht="15" hidden="false" customHeight="true" outlineLevel="0" collapsed="false">
      <c r="A118" s="44" t="s">
        <v>2899</v>
      </c>
      <c r="B118" s="30" t="s">
        <v>976</v>
      </c>
      <c r="C118" s="203" t="n">
        <f aca="false">Theory_Rev!C38</f>
        <v>0.612147517744397</v>
      </c>
      <c r="D118" s="203" t="n">
        <f aca="false">Theory_Rev!D38</f>
        <v>0.874618366438229</v>
      </c>
      <c r="E118" s="203" t="n">
        <f aca="false">Theory_Rev!E38</f>
        <v>1.50201132788924</v>
      </c>
      <c r="F118" s="203" t="n">
        <f aca="false">Theory_Rev!F38</f>
        <v>0.135583057398244</v>
      </c>
      <c r="G118" s="203" t="n">
        <f aca="false">Theory_Rev!G38</f>
        <v>0.18101802752924</v>
      </c>
      <c r="H118" s="203" t="n">
        <f aca="false">Theory_Rev!H38</f>
        <v>0.293570946658137</v>
      </c>
      <c r="I118" s="203" t="n">
        <f aca="false">Theory_Rev!I38</f>
        <v>0.120947669135898</v>
      </c>
      <c r="J118" s="203" t="n">
        <f aca="false">Theory_Rev!J38</f>
        <v>0.156198775124104</v>
      </c>
      <c r="K118" s="203" t="n">
        <f aca="false">Theory_Rev!K38</f>
        <v>0.265906779836878</v>
      </c>
      <c r="L118" s="203" t="n">
        <f aca="false">Theory_Rev!L38</f>
        <v>0.0882322144931937</v>
      </c>
      <c r="M118" s="203" t="n">
        <f aca="false">Theory_Rev!M38</f>
        <v>0.113389480552912</v>
      </c>
      <c r="N118" s="203" t="n">
        <f aca="false">Theory_Rev!N38</f>
        <v>0.183159055208242</v>
      </c>
      <c r="O118" s="203" t="n">
        <f aca="false">Theory_Rev!O38</f>
        <v>0.0679801329179448</v>
      </c>
      <c r="P118" s="203" t="n">
        <f aca="false">Theory_Rev!P38</f>
        <v>0.103299531016465</v>
      </c>
      <c r="Q118" s="203" t="n">
        <f aca="false">Theory_Rev!Q38</f>
        <v>0.18854430994176</v>
      </c>
      <c r="R118" s="184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18" s="44" t="str">
        <f aca="false">IF(R118="—","—",IF(R118="A","基準輸入",IF(R118="B","情境、相對比較、反轉門檻","探索")))</f>
        <v>情境、相對比較、反轉門檻</v>
      </c>
      <c r="T118" s="30" t="s">
        <v>2817</v>
      </c>
      <c r="U118" s="44" t="str">
        <f aca="false">IF(V118=0,"—",LEFT(TEXT(V118,"0"),4)&amp;"-"&amp;MID(TEXT(V118,"0"),5,2)&amp;"-"&amp;RIGHT(TEXT(V118,"0"),2))</f>
        <v>2026-10-08</v>
      </c>
      <c r="V118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18" s="21" t="s">
        <v>2876</v>
      </c>
      <c r="X118" s="32" t="n">
        <f aca="false">IF(ISNUMBER(FIND("上限",S118)),1,0)</f>
        <v>0</v>
      </c>
      <c r="Y118" s="32" t="n">
        <v>0</v>
      </c>
    </row>
    <row r="119" customFormat="false" ht="15" hidden="false" customHeight="true" outlineLevel="0" collapsed="false">
      <c r="A119" s="44" t="s">
        <v>2900</v>
      </c>
      <c r="B119" s="30" t="s">
        <v>2048</v>
      </c>
      <c r="C119" s="204" t="n">
        <f aca="false">Theory_Rev!C29</f>
        <v>32.4330286484338</v>
      </c>
      <c r="D119" s="204" t="n">
        <f aca="false">Theory_Rev!D29</f>
        <v>32.4330286484338</v>
      </c>
      <c r="E119" s="204" t="n">
        <f aca="false">Theory_Rev!E29</f>
        <v>32.4330286484338</v>
      </c>
      <c r="F119" s="204" t="n">
        <f aca="false">Theory_Rev!F29</f>
        <v>140.634851586483</v>
      </c>
      <c r="G119" s="204" t="n">
        <f aca="false">Theory_Rev!G29</f>
        <v>140.634851586483</v>
      </c>
      <c r="H119" s="204" t="n">
        <f aca="false">Theory_Rev!H29</f>
        <v>140.634851586483</v>
      </c>
      <c r="I119" s="204" t="n">
        <f aca="false">Theory_Rev!I29</f>
        <v>204.746908336412</v>
      </c>
      <c r="J119" s="204" t="n">
        <f aca="false">Theory_Rev!J29</f>
        <v>204.746908336412</v>
      </c>
      <c r="K119" s="204" t="n">
        <f aca="false">Theory_Rev!K29</f>
        <v>204.746908336412</v>
      </c>
      <c r="L119" s="204" t="n">
        <f aca="false">Theory_Rev!L29</f>
        <v>307.586504136986</v>
      </c>
      <c r="M119" s="204" t="n">
        <f aca="false">Theory_Rev!M29</f>
        <v>307.586504136986</v>
      </c>
      <c r="N119" s="204" t="n">
        <f aca="false">Theory_Rev!N29</f>
        <v>307.586504136986</v>
      </c>
      <c r="O119" s="204" t="n">
        <f aca="false">Theory_Rev!O29</f>
        <v>418.858593711675</v>
      </c>
      <c r="P119" s="204" t="n">
        <f aca="false">Theory_Rev!P29</f>
        <v>418.858593711675</v>
      </c>
      <c r="Q119" s="204" t="n">
        <f aca="false">Theory_Rev!Q29</f>
        <v>418.858593711675</v>
      </c>
      <c r="R119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19" s="44" t="str">
        <f aca="false">IF(R119="—","—",IF(R119="A","基準輸入",IF(R119="B","情境、相對比較、反轉門檻","探索")))&amp;"；上限，不得作預測"</f>
        <v>情境、相對比較、反轉門檻；上限，不得作預測</v>
      </c>
      <c r="T119" s="30" t="s">
        <v>2817</v>
      </c>
      <c r="U119" s="44" t="str">
        <f aca="false">IF(V119=0,"—",LEFT(TEXT(V119,"0"),4)&amp;"-"&amp;MID(TEXT(V119,"0"),5,2)&amp;"-"&amp;RIGHT(TEXT(V119,"0"),2))</f>
        <v>2026-10-05</v>
      </c>
      <c r="V11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19" s="21" t="s">
        <v>2882</v>
      </c>
      <c r="X119" s="32" t="n">
        <f aca="false">IF(ISNUMBER(FIND("上限",S119)),1,0)</f>
        <v>1</v>
      </c>
      <c r="Y119" s="32" t="n">
        <v>1</v>
      </c>
    </row>
    <row r="120" customFormat="false" ht="15" hidden="false" customHeight="true" outlineLevel="0" collapsed="false">
      <c r="A120" s="44" t="s">
        <v>2901</v>
      </c>
      <c r="B120" s="30" t="s">
        <v>2048</v>
      </c>
      <c r="C120" s="195" t="n">
        <f aca="false">Theory_Rev!C30</f>
        <v>32.4330286484338</v>
      </c>
      <c r="D120" s="195" t="n">
        <f aca="false">Theory_Rev!D30</f>
        <v>32.4330286484338</v>
      </c>
      <c r="E120" s="195" t="n">
        <f aca="false">Theory_Rev!E30</f>
        <v>32.4330286484338</v>
      </c>
      <c r="F120" s="195" t="n">
        <f aca="false">Theory_Rev!F30</f>
        <v>140.634851586483</v>
      </c>
      <c r="G120" s="195" t="n">
        <f aca="false">Theory_Rev!G30</f>
        <v>140.634851586483</v>
      </c>
      <c r="H120" s="195" t="n">
        <f aca="false">Theory_Rev!H30</f>
        <v>140.634851586483</v>
      </c>
      <c r="I120" s="195" t="n">
        <f aca="false">Theory_Rev!I30</f>
        <v>204.746908336412</v>
      </c>
      <c r="J120" s="195" t="n">
        <f aca="false">Theory_Rev!J30</f>
        <v>204.746908336412</v>
      </c>
      <c r="K120" s="195" t="n">
        <f aca="false">Theory_Rev!K30</f>
        <v>204.746908336412</v>
      </c>
      <c r="L120" s="195" t="n">
        <f aca="false">Theory_Rev!L30</f>
        <v>307.586504136986</v>
      </c>
      <c r="M120" s="195" t="n">
        <f aca="false">Theory_Rev!M30</f>
        <v>307.586504136986</v>
      </c>
      <c r="N120" s="195" t="n">
        <f aca="false">Theory_Rev!N30</f>
        <v>307.586504136986</v>
      </c>
      <c r="O120" s="195" t="n">
        <f aca="false">Theory_Rev!O30</f>
        <v>418.858593711675</v>
      </c>
      <c r="P120" s="195" t="n">
        <f aca="false">Theory_Rev!P30</f>
        <v>418.858593711675</v>
      </c>
      <c r="Q120" s="195" t="n">
        <f aca="false">Theory_Rev!Q30</f>
        <v>418.858593711675</v>
      </c>
      <c r="R120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20" s="44" t="str">
        <f aca="false">IF(R120="—","—",IF(R120="A","基準輸入",IF(R120="B","情境、相對比較、反轉門檻","探索")))&amp;"；上限，不得作預測"</f>
        <v>情境、相對比較、反轉門檻；上限，不得作預測</v>
      </c>
      <c r="T120" s="30" t="s">
        <v>2817</v>
      </c>
      <c r="U120" s="44" t="str">
        <f aca="false">IF(V120=0,"—",LEFT(TEXT(V120,"0"),4)&amp;"-"&amp;MID(TEXT(V120,"0"),5,2)&amp;"-"&amp;RIGHT(TEXT(V120,"0"),2))</f>
        <v>2026-10-05</v>
      </c>
      <c r="V12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20" s="21" t="s">
        <v>2884</v>
      </c>
      <c r="X120" s="32" t="n">
        <f aca="false">IF(ISNUMBER(FIND("上限",S120)),1,0)</f>
        <v>1</v>
      </c>
      <c r="Y120" s="32" t="n">
        <v>1</v>
      </c>
    </row>
    <row r="121" customFormat="false" ht="15" hidden="false" customHeight="true" outlineLevel="0" collapsed="false">
      <c r="A121" s="8" t="s">
        <v>280</v>
      </c>
      <c r="B121" s="205"/>
      <c r="C121" s="46"/>
    </row>
    <row r="122" customFormat="false" ht="15" hidden="false" customHeight="true" outlineLevel="0" collapsed="false">
      <c r="A122" s="44" t="s">
        <v>2902</v>
      </c>
      <c r="B122" s="30" t="s">
        <v>976</v>
      </c>
      <c r="C122" s="46" t="n">
        <f aca="false">Price_Frontier!E41</f>
        <v>8</v>
      </c>
      <c r="R122" s="18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2" s="44" t="str">
        <f aca="false">IF(R122="—","—",IF(R122="A","基準輸入",IF(R122="B","情境、相對比較、反轉門檻","探索")))</f>
        <v>基準輸入</v>
      </c>
      <c r="T122" s="30" t="s">
        <v>751</v>
      </c>
      <c r="U122" s="44" t="str">
        <f aca="false">IF(V122=0,"—",LEFT(TEXT(V122,"0"),4)&amp;"-"&amp;MID(TEXT(V122,"0"),5,2)&amp;"-"&amp;RIGHT(TEXT(V122,"0"),2))</f>
        <v>—</v>
      </c>
      <c r="V122" s="33" t="n">
        <f aca="false">MAX(Gov_Map!$AJ$445,Gov_Map!$AJ$449,Gov_Map!$AJ$451,Gov_Map!$AJ$510:$AJ$518,Gov_Map!$AJ$521:$AJ$522)</f>
        <v>0</v>
      </c>
      <c r="W122" s="21" t="s">
        <v>2858</v>
      </c>
      <c r="X122" s="32" t="n">
        <f aca="false">IF(ISNUMBER(FIND("上限",S122)),1,0)</f>
        <v>0</v>
      </c>
      <c r="Y122" s="32" t="n">
        <v>0</v>
      </c>
    </row>
    <row r="123" customFormat="false" ht="15" hidden="false" customHeight="true" outlineLevel="0" collapsed="false">
      <c r="A123" s="44" t="s">
        <v>2903</v>
      </c>
      <c r="B123" s="30" t="s">
        <v>976</v>
      </c>
      <c r="C123" s="46" t="n">
        <f aca="false">Price_Frontier!E42</f>
        <v>0.8</v>
      </c>
      <c r="R123" s="18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3" s="44" t="str">
        <f aca="false">IF(R123="—","—",IF(R123="A","基準輸入",IF(R123="B","情境、相對比較、反轉門檻","探索")))</f>
        <v>基準輸入</v>
      </c>
      <c r="T123" s="30" t="s">
        <v>751</v>
      </c>
      <c r="U123" s="44" t="str">
        <f aca="false">IF(V123=0,"—",LEFT(TEXT(V123,"0"),4)&amp;"-"&amp;MID(TEXT(V123,"0"),5,2)&amp;"-"&amp;RIGHT(TEXT(V123,"0"),2))</f>
        <v>—</v>
      </c>
      <c r="V123" s="33" t="n">
        <f aca="false">MAX(Gov_Map!$AJ$445,Gov_Map!$AJ$449,Gov_Map!$AJ$451,Gov_Map!$AJ$510:$AJ$518,Gov_Map!$AJ$521:$AJ$522)</f>
        <v>0</v>
      </c>
      <c r="W123" s="21" t="s">
        <v>2858</v>
      </c>
      <c r="X123" s="32" t="n">
        <f aca="false">IF(ISNUMBER(FIND("上限",S123)),1,0)</f>
        <v>0</v>
      </c>
      <c r="Y123" s="32" t="n">
        <v>0</v>
      </c>
    </row>
    <row r="124" customFormat="false" ht="15" hidden="false" customHeight="true" outlineLevel="0" collapsed="false">
      <c r="A124" s="44" t="s">
        <v>2904</v>
      </c>
      <c r="B124" s="30" t="s">
        <v>976</v>
      </c>
      <c r="C124" s="46" t="n">
        <f aca="false">Price_Frontier!E43</f>
        <v>40</v>
      </c>
      <c r="D124" s="201"/>
      <c r="E124" s="201"/>
      <c r="F124" s="201"/>
      <c r="G124" s="201"/>
      <c r="H124" s="201"/>
      <c r="I124" s="201"/>
      <c r="J124" s="201"/>
      <c r="K124" s="201"/>
      <c r="L124" s="201"/>
      <c r="M124" s="201"/>
      <c r="N124" s="201"/>
      <c r="O124" s="201"/>
      <c r="P124" s="201"/>
      <c r="Q124" s="201"/>
      <c r="R124" s="18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4" s="44" t="str">
        <f aca="false">IF(R124="—","—",IF(R124="A","基準輸入",IF(R124="B","情境、相對比較、反轉門檻","探索")))</f>
        <v>基準輸入</v>
      </c>
      <c r="T124" s="30" t="s">
        <v>751</v>
      </c>
      <c r="U124" s="44" t="str">
        <f aca="false">IF(V124=0,"—",LEFT(TEXT(V124,"0"),4)&amp;"-"&amp;MID(TEXT(V124,"0"),5,2)&amp;"-"&amp;RIGHT(TEXT(V124,"0"),2))</f>
        <v>—</v>
      </c>
      <c r="V124" s="33" t="n">
        <f aca="false">MAX(Gov_Map!$AJ$445,Gov_Map!$AJ$449,Gov_Map!$AJ$451,Gov_Map!$AJ$510:$AJ$518,Gov_Map!$AJ$521:$AJ$522)</f>
        <v>0</v>
      </c>
      <c r="W124" s="21" t="s">
        <v>2858</v>
      </c>
      <c r="X124" s="32" t="n">
        <f aca="false">IF(ISNUMBER(FIND("上限",S124)),1,0)</f>
        <v>0</v>
      </c>
      <c r="Y124" s="32" t="n">
        <v>0</v>
      </c>
    </row>
    <row r="125" customFormat="false" ht="15" hidden="false" customHeight="true" outlineLevel="0" collapsed="false">
      <c r="A125" s="44" t="s">
        <v>2905</v>
      </c>
      <c r="B125" s="30" t="s">
        <v>976</v>
      </c>
      <c r="C125" s="46" t="n">
        <f aca="false">Price_Frontier!E44</f>
        <v>40</v>
      </c>
      <c r="D125" s="201"/>
      <c r="E125" s="201"/>
      <c r="F125" s="201"/>
      <c r="G125" s="201"/>
      <c r="H125" s="201"/>
      <c r="I125" s="201"/>
      <c r="J125" s="201"/>
      <c r="K125" s="201"/>
      <c r="L125" s="201"/>
      <c r="M125" s="201"/>
      <c r="N125" s="201"/>
      <c r="O125" s="201"/>
      <c r="P125" s="201"/>
      <c r="Q125" s="201"/>
      <c r="R125" s="184" t="str">
        <f aca="false">IF(SUM(Gov_Map!$AG$445,Gov_Map!$AG$449,Gov_Map!$AG$451,Gov_Map!$AG$510:$AG$518,Gov_Map!$AG$521:$AG$522)&gt;0,"C",IF(SUM(Gov_Map!$AH$445,Gov_Map!$AH$449,Gov_Map!$AH$451,Gov_Map!$AH$510:$AH$518,Gov_Map!$AH$521:$AH$522)&gt;0,"B","A"))</f>
        <v>A</v>
      </c>
      <c r="S125" s="44" t="str">
        <f aca="false">IF(R125="—","—",IF(R125="A","基準輸入",IF(R125="B","情境、相對比較、反轉門檻","探索")))</f>
        <v>基準輸入</v>
      </c>
      <c r="T125" s="30" t="s">
        <v>751</v>
      </c>
      <c r="U125" s="44" t="str">
        <f aca="false">IF(V125=0,"—",LEFT(TEXT(V125,"0"),4)&amp;"-"&amp;MID(TEXT(V125,"0"),5,2)&amp;"-"&amp;RIGHT(TEXT(V125,"0"),2))</f>
        <v>—</v>
      </c>
      <c r="V125" s="33" t="n">
        <f aca="false">MAX(Gov_Map!$AJ$445,Gov_Map!$AJ$449,Gov_Map!$AJ$451,Gov_Map!$AJ$510:$AJ$518,Gov_Map!$AJ$521:$AJ$522)</f>
        <v>0</v>
      </c>
      <c r="W125" s="21" t="s">
        <v>2858</v>
      </c>
      <c r="X125" s="32" t="n">
        <f aca="false">IF(ISNUMBER(FIND("上限",S125)),1,0)</f>
        <v>0</v>
      </c>
      <c r="Y125" s="32" t="n">
        <v>0</v>
      </c>
    </row>
    <row r="126" customFormat="false" ht="15" hidden="false" customHeight="true" outlineLevel="0" collapsed="false">
      <c r="A126" s="44" t="s">
        <v>2906</v>
      </c>
      <c r="B126" s="30" t="s">
        <v>976</v>
      </c>
      <c r="C126" s="55" t="n">
        <f aca="false">Price_Frontier!E45</f>
        <v>8.03555555555555</v>
      </c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84" t="str">
        <f aca="false">IF(SUM(Gov_Map!$AG$249:$AG$254,Gov_Map!$AG$445,Gov_Map!$AG$447,Gov_Map!$AG$449,Gov_Map!$AG$451,Gov_Map!$AG$510:$AG$518,Gov_Map!$AG$521:$AG$522)&gt;0,"C",IF(SUM(Gov_Map!$AH$249:$AH$254,Gov_Map!$AH$445,Gov_Map!$AH$447,Gov_Map!$AH$449,Gov_Map!$AH$451,Gov_Map!$AH$510:$AH$518,Gov_Map!$AH$521:$AH$522)&gt;0,"B","A"))</f>
        <v>B</v>
      </c>
      <c r="S126" s="44" t="str">
        <f aca="false">IF(R126="—","—",IF(R126="A","基準輸入",IF(R126="B","情境、相對比較、反轉門檻","探索")))</f>
        <v>情境、相對比較、反轉門檻</v>
      </c>
      <c r="T126" s="30" t="s">
        <v>751</v>
      </c>
      <c r="U126" s="44" t="str">
        <f aca="false">IF(V126=0,"—",LEFT(TEXT(V126,"0"),4)&amp;"-"&amp;MID(TEXT(V126,"0"),5,2)&amp;"-"&amp;RIGHT(TEXT(V126,"0"),2))</f>
        <v>—</v>
      </c>
      <c r="V126" s="33" t="n">
        <f aca="false">MAX(Gov_Map!$AJ$249:$AJ$254,Gov_Map!$AJ$445,Gov_Map!$AJ$447,Gov_Map!$AJ$449,Gov_Map!$AJ$451,Gov_Map!$AJ$510:$AJ$518,Gov_Map!$AJ$521:$AJ$522)</f>
        <v>0</v>
      </c>
      <c r="W126" s="21" t="s">
        <v>2863</v>
      </c>
      <c r="X126" s="32" t="n">
        <f aca="false">IF(ISNUMBER(FIND("上限",S126)),1,0)</f>
        <v>0</v>
      </c>
      <c r="Y126" s="32" t="n">
        <v>0</v>
      </c>
    </row>
    <row r="127" customFormat="false" ht="15" hidden="false" customHeight="true" outlineLevel="0" collapsed="false">
      <c r="A127" s="44" t="s">
        <v>2907</v>
      </c>
      <c r="B127" s="30" t="s">
        <v>976</v>
      </c>
      <c r="C127" s="46" t="n">
        <f aca="false">Price_Frontier!E46</f>
        <v>7.74222222222222</v>
      </c>
      <c r="D127" s="193"/>
      <c r="E127" s="193"/>
      <c r="F127" s="193"/>
      <c r="G127" s="193"/>
      <c r="H127" s="193"/>
      <c r="I127" s="193"/>
      <c r="J127" s="193"/>
      <c r="K127" s="193"/>
      <c r="L127" s="193"/>
      <c r="M127" s="193"/>
      <c r="N127" s="193"/>
      <c r="O127" s="193"/>
      <c r="P127" s="193"/>
      <c r="Q127" s="193"/>
      <c r="R127" s="184" t="str">
        <f aca="false">IF(SUM(Gov_Map!$AG$249:$AG$254,Gov_Map!$AG$445,Gov_Map!$AG$447,Gov_Map!$AG$453,Gov_Map!$AG$477,Gov_Map!$AG$479:$AG$482)&gt;0,"C",IF(SUM(Gov_Map!$AH$249:$AH$254,Gov_Map!$AH$445,Gov_Map!$AH$447,Gov_Map!$AH$453,Gov_Map!$AH$477,Gov_Map!$AH$479:$AH$482)&gt;0,"B","A"))</f>
        <v>B</v>
      </c>
      <c r="S127" s="44" t="str">
        <f aca="false">IF(R127="—","—",IF(R127="A","基準輸入",IF(R127="B","情境、相對比較、反轉門檻","探索")))</f>
        <v>情境、相對比較、反轉門檻</v>
      </c>
      <c r="T127" s="30" t="s">
        <v>751</v>
      </c>
      <c r="U127" s="44" t="str">
        <f aca="false">IF(V127=0,"—",LEFT(TEXT(V127,"0"),4)&amp;"-"&amp;MID(TEXT(V127,"0"),5,2)&amp;"-"&amp;RIGHT(TEXT(V127,"0"),2))</f>
        <v>—</v>
      </c>
      <c r="V127" s="33" t="n">
        <f aca="false">MAX(Gov_Map!$AJ$249:$AJ$254,Gov_Map!$AJ$445,Gov_Map!$AJ$447,Gov_Map!$AJ$453,Gov_Map!$AJ$477,Gov_Map!$AJ$479:$AJ$482)</f>
        <v>0</v>
      </c>
      <c r="W127" s="21" t="s">
        <v>2865</v>
      </c>
      <c r="X127" s="32" t="n">
        <f aca="false">IF(ISNUMBER(FIND("上限",S127)),1,0)</f>
        <v>0</v>
      </c>
      <c r="Y127" s="32" t="n">
        <v>0</v>
      </c>
    </row>
    <row r="128" customFormat="false" ht="15" hidden="false" customHeight="true" outlineLevel="0" collapsed="false">
      <c r="A128" s="44" t="s">
        <v>2908</v>
      </c>
      <c r="B128" s="205"/>
      <c r="C128" s="195" t="str">
        <f aca="false">Price_Frontier!E26</f>
        <v>Claude Fable 5.1</v>
      </c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84" t="str">
        <f aca="false">IF(SUM(Gov_Map!$AG$249:$AG$254,Gov_Map!$AG$447,Gov_Map!$AG$453,Gov_Map!$AG$477,Gov_Map!$AG$479:$AG$482)&gt;0,"C",IF(SUM(Gov_Map!$AH$249:$AH$254,Gov_Map!$AH$447,Gov_Map!$AH$453,Gov_Map!$AH$477,Gov_Map!$AH$479:$AH$482)&gt;0,"B","A"))</f>
        <v>B</v>
      </c>
      <c r="S128" s="44" t="str">
        <f aca="false">IF(R128="—","—",IF(R128="A","基準輸入",IF(R128="B","情境、相對比較、反轉門檻","探索")))</f>
        <v>情境、相對比較、反轉門檻</v>
      </c>
      <c r="T128" s="30" t="s">
        <v>751</v>
      </c>
      <c r="U128" s="44" t="str">
        <f aca="false">IF(V128=0,"—",LEFT(TEXT(V128,"0"),4)&amp;"-"&amp;MID(TEXT(V128,"0"),5,2)&amp;"-"&amp;RIGHT(TEXT(V128,"0"),2))</f>
        <v>—</v>
      </c>
      <c r="V128" s="33" t="n">
        <f aca="false">MAX(Gov_Map!$AJ$249:$AJ$254,Gov_Map!$AJ$447,Gov_Map!$AJ$453,Gov_Map!$AJ$477,Gov_Map!$AJ$479:$AJ$482)</f>
        <v>0</v>
      </c>
      <c r="W128" s="21" t="s">
        <v>2867</v>
      </c>
      <c r="X128" s="32" t="n">
        <f aca="false">IF(ISNUMBER(FIND("上限",S128)),1,0)</f>
        <v>0</v>
      </c>
      <c r="Y128" s="32" t="n">
        <v>0</v>
      </c>
    </row>
    <row r="129" customFormat="false" ht="15" hidden="false" customHeight="true" outlineLevel="0" collapsed="false">
      <c r="A129" s="44" t="s">
        <v>2909</v>
      </c>
      <c r="B129" s="44" t="s">
        <v>1327</v>
      </c>
      <c r="C129" s="32" t="n">
        <f aca="false">INDEX(B4_Life,1,3)</f>
        <v>9</v>
      </c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84" t="str">
        <f aca="false">IF(SUM(Gov_Map!$AG$454)&gt;0,"C",IF(SUM(Gov_Map!$AH$454)&gt;0,"B","A"))</f>
        <v>A</v>
      </c>
      <c r="S129" s="44" t="str">
        <f aca="false">IF(R129="—","—",IF(R129="A","基準輸入",IF(R129="B","情境、相對比較、反轉門檻","探索")))</f>
        <v>基準輸入</v>
      </c>
      <c r="T129" s="30" t="s">
        <v>751</v>
      </c>
      <c r="U129" s="44" t="str">
        <f aca="false">IF(V129=0,"—",LEFT(TEXT(V129,"0"),4)&amp;"-"&amp;MID(TEXT(V129,"0"),5,2)&amp;"-"&amp;RIGHT(TEXT(V129,"0"),2))</f>
        <v>—</v>
      </c>
      <c r="V129" s="33" t="n">
        <f aca="false">MAX(Gov_Map!$AJ$454)</f>
        <v>0</v>
      </c>
      <c r="W129" s="21" t="s">
        <v>2854</v>
      </c>
      <c r="X129" s="32" t="n">
        <f aca="false">IF(ISNUMBER(FIND("上限",S129)),1,0)</f>
        <v>0</v>
      </c>
      <c r="Y129" s="32" t="n">
        <v>0</v>
      </c>
    </row>
    <row r="130" customFormat="false" ht="15" hidden="false" customHeight="true" outlineLevel="0" collapsed="false">
      <c r="A130" s="44" t="s">
        <v>2910</v>
      </c>
      <c r="B130" s="30" t="s">
        <v>976</v>
      </c>
      <c r="C130" s="201" t="n">
        <f aca="false">Cache_Store!C29</f>
        <v>0.000273972602739726</v>
      </c>
      <c r="D130" s="201" t="n">
        <f aca="false">Cache_Store!D29</f>
        <v>0.000273972602739726</v>
      </c>
      <c r="E130" s="201" t="n">
        <f aca="false">Cache_Store!E29</f>
        <v>0.000273972602739726</v>
      </c>
      <c r="F130" s="201" t="n">
        <f aca="false">Cache_Store!F29</f>
        <v>0.000273972602739726</v>
      </c>
      <c r="G130" s="201" t="n">
        <f aca="false">Cache_Store!G29</f>
        <v>0.000273972602739726</v>
      </c>
      <c r="H130" s="201" t="n">
        <f aca="false">Cache_Store!H29</f>
        <v>0.000273972602739726</v>
      </c>
      <c r="I130" s="201" t="n">
        <f aca="false">Cache_Store!I29</f>
        <v>0.000273972602739726</v>
      </c>
      <c r="J130" s="201" t="n">
        <f aca="false">Cache_Store!J29</f>
        <v>0.000273972602739726</v>
      </c>
      <c r="K130" s="201" t="n">
        <f aca="false">Cache_Store!K29</f>
        <v>0.000273972602739726</v>
      </c>
      <c r="L130" s="201" t="n">
        <f aca="false">Cache_Store!L29</f>
        <v>0.000273972602739726</v>
      </c>
      <c r="M130" s="201" t="n">
        <f aca="false">Cache_Store!M29</f>
        <v>0.000273972602739726</v>
      </c>
      <c r="N130" s="201" t="n">
        <f aca="false">Cache_Store!N29</f>
        <v>0.000273972602739726</v>
      </c>
      <c r="O130" s="201" t="n">
        <f aca="false">Cache_Store!O29</f>
        <v>0.000273972602739726</v>
      </c>
      <c r="P130" s="201" t="n">
        <f aca="false">Cache_Store!P29</f>
        <v>0.000273972602739726</v>
      </c>
      <c r="Q130" s="201" t="n">
        <f aca="false">Cache_Store!Q29</f>
        <v>0.000273972602739726</v>
      </c>
      <c r="R130" s="184" t="str">
        <f aca="false">IF(SUM(Gov_Map!$AG$5:$AG$103,Gov_Map!$AG$114:$AG$118,Gov_Map!$AG$209,Gov_Map!$AG$212,Gov_Map!$AG$221,Gov_Map!$AG$224,Gov_Map!$AG$227,Gov_Map!$AG$230,Gov_Map!$AG$463,Gov_Map!$AG$465,Gov_Map!$AG$467,Gov_Map!$AG$469,Gov_Map!$AG$471,Gov_Map!$AG$473,Gov_Map!$AG$475,Gov_Map!$AG$575:$AG$578,Gov_Map!$AG$605:$AG$611)&gt;0,"C",IF(SUM(Gov_Map!$AH$5:$AH$103,Gov_Map!$AH$114:$AH$118,Gov_Map!$AH$209,Gov_Map!$AH$212,Gov_Map!$AH$221,Gov_Map!$AH$224,Gov_Map!$AH$227,Gov_Map!$AH$230,Gov_Map!$AH$463,Gov_Map!$AH$465,Gov_Map!$AH$467,Gov_Map!$AH$469,Gov_Map!$AH$471,Gov_Map!$AH$473,Gov_Map!$AH$475,Gov_Map!$AH$575:$AH$578,Gov_Map!$AH$605:$AH$611)&gt;0,"B","A"))</f>
        <v>B</v>
      </c>
      <c r="S130" s="44" t="str">
        <f aca="false">IF(R130="—","—",IF(R130="A","基準輸入",IF(R130="B","情境、相對比較、反轉門檻","探索")))</f>
        <v>情境、相對比較、反轉門檻</v>
      </c>
      <c r="T130" s="30" t="s">
        <v>751</v>
      </c>
      <c r="U130" s="44" t="str">
        <f aca="false">IF(V130=0,"—",LEFT(TEXT(V130,"0"),4)&amp;"-"&amp;MID(TEXT(V130,"0"),5,2)&amp;"-"&amp;RIGHT(TEXT(V130,"0"),2))</f>
        <v>2026-10-08</v>
      </c>
      <c r="V130" s="33" t="n">
        <f aca="false">MAX(Gov_Map!$AJ$5:$AJ$103,Gov_Map!$AJ$114:$AJ$118,Gov_Map!$AJ$209,Gov_Map!$AJ$212,Gov_Map!$AJ$221,Gov_Map!$AJ$224,Gov_Map!$AJ$227,Gov_Map!$AJ$230,Gov_Map!$AJ$463,Gov_Map!$AJ$465,Gov_Map!$AJ$467,Gov_Map!$AJ$469,Gov_Map!$AJ$471,Gov_Map!$AJ$473,Gov_Map!$AJ$475,Gov_Map!$AJ$575:$AJ$578,Gov_Map!$AJ$605:$AJ$611)</f>
        <v>20261008</v>
      </c>
      <c r="W130" s="21" t="s">
        <v>2911</v>
      </c>
      <c r="X130" s="32" t="n">
        <f aca="false">IF(ISNUMBER(FIND("上限",S130)),1,0)</f>
        <v>0</v>
      </c>
      <c r="Y130" s="32" t="n">
        <v>0</v>
      </c>
    </row>
    <row r="131" customFormat="false" ht="15" hidden="false" customHeight="true" outlineLevel="0" collapsed="false">
      <c r="A131" s="44" t="s">
        <v>2912</v>
      </c>
      <c r="B131" s="30" t="s">
        <v>976</v>
      </c>
      <c r="C131" s="201" t="n">
        <f aca="false">Amortize!C32</f>
        <v>2.77777469594551</v>
      </c>
      <c r="D131" s="201" t="n">
        <f aca="false">Amortize!D32</f>
        <v>3.96888441256699</v>
      </c>
      <c r="E131" s="201" t="n">
        <f aca="false">Amortize!E32</f>
        <v>6.81603431985413</v>
      </c>
      <c r="F131" s="201" t="n">
        <f aca="false">Amortize!F32</f>
        <v>0.278121580821459</v>
      </c>
      <c r="G131" s="201" t="n">
        <f aca="false">Amortize!G32</f>
        <v>0.371350815023897</v>
      </c>
      <c r="H131" s="201" t="n">
        <f aca="false">Amortize!H32</f>
        <v>0.602301169505969</v>
      </c>
      <c r="I131" s="201" t="n">
        <f aca="false">Amortize!I32</f>
        <v>0.24019799874652</v>
      </c>
      <c r="J131" s="201" t="n">
        <f aca="false">Amortize!J32</f>
        <v>0.310229615842608</v>
      </c>
      <c r="K131" s="201" t="n">
        <f aca="false">Amortize!K32</f>
        <v>0.528181046387546</v>
      </c>
      <c r="L131" s="201" t="n">
        <f aca="false">Amortize!L32</f>
        <v>0.100573347953864</v>
      </c>
      <c r="M131" s="201" t="n">
        <f aca="false">Amortize!M32</f>
        <v>0.129262679409264</v>
      </c>
      <c r="N131" s="201" t="n">
        <f aca="false">Amortize!N32</f>
        <v>0.208827861414237</v>
      </c>
      <c r="O131" s="201" t="n">
        <f aca="false">Amortize!O32</f>
        <v>0.0523766024928945</v>
      </c>
      <c r="P131" s="201" t="n">
        <f aca="false">Amortize!P32</f>
        <v>0.0796052541194475</v>
      </c>
      <c r="Q131" s="201" t="n">
        <f aca="false">Amortize!Q32</f>
        <v>0.145322693070838</v>
      </c>
      <c r="R131" s="184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$454,Gov_Map!$AG$457,Gov_Map!$AG$459,Gov_Map!$AG$461:$AG$462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$454,Gov_Map!$AH$457,Gov_Map!$AH$459,Gov_Map!$AH$461:$AH$462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1" s="44" t="str">
        <f aca="false">IF(R131="—","—",IF(R131="A","基準輸入",IF(R131="B","情境、相對比較、反轉門檻","探索")))</f>
        <v>情境、相對比較、反轉門檻</v>
      </c>
      <c r="T131" s="30" t="s">
        <v>751</v>
      </c>
      <c r="U131" s="44" t="str">
        <f aca="false">IF(V131=0,"—",LEFT(TEXT(V131,"0"),4)&amp;"-"&amp;MID(TEXT(V131,"0"),5,2)&amp;"-"&amp;RIGHT(TEXT(V131,"0"),2))</f>
        <v>2026-10-08</v>
      </c>
      <c r="V13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$454,Gov_Map!$AJ$457,Gov_Map!$AJ$459,Gov_Map!$AJ$461:$AJ$462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1" s="21" t="s">
        <v>2872</v>
      </c>
      <c r="X131" s="32" t="n">
        <f aca="false">IF(ISNUMBER(FIND("上限",S131)),1,0)</f>
        <v>0</v>
      </c>
      <c r="Y131" s="32" t="n">
        <v>0</v>
      </c>
    </row>
    <row r="132" customFormat="false" ht="15" hidden="false" customHeight="true" outlineLevel="0" collapsed="false">
      <c r="A132" s="44" t="s">
        <v>2913</v>
      </c>
      <c r="B132" s="30" t="s">
        <v>976</v>
      </c>
      <c r="C132" s="193" t="n">
        <f aca="false">Amortize!C34</f>
        <v>2.39257479448417</v>
      </c>
      <c r="D132" s="193" t="n">
        <f aca="false">Amortize!D34</f>
        <v>3.41837305432272</v>
      </c>
      <c r="E132" s="193" t="n">
        <f aca="false">Amortize!E34</f>
        <v>5.87037338614669</v>
      </c>
      <c r="F132" s="193" t="n">
        <f aca="false">Amortize!F34</f>
        <v>0.533314225412997</v>
      </c>
      <c r="G132" s="193" t="n">
        <f aca="false">Amortize!G34</f>
        <v>0.711978992821689</v>
      </c>
      <c r="H132" s="193" t="n">
        <f aca="false">Amortize!H34</f>
        <v>1.15457290362114</v>
      </c>
      <c r="I132" s="193" t="n">
        <f aca="false">Amortize!I34</f>
        <v>0.515637670522155</v>
      </c>
      <c r="J132" s="193" t="n">
        <f aca="false">Amortize!J34</f>
        <v>0.66588223082747</v>
      </c>
      <c r="K132" s="193" t="n">
        <f aca="false">Amortize!K34</f>
        <v>1.13347127429064</v>
      </c>
      <c r="L132" s="193" t="n">
        <f aca="false">Amortize!L34</f>
        <v>0.3286813243973</v>
      </c>
      <c r="M132" s="193" t="n">
        <f aca="false">Amortize!M34</f>
        <v>0.422348597012267</v>
      </c>
      <c r="N132" s="193" t="n">
        <f aca="false">Amortize!N34</f>
        <v>0.682119501925305</v>
      </c>
      <c r="O132" s="193" t="n">
        <f aca="false">Amortize!O34</f>
        <v>0.247364894289715</v>
      </c>
      <c r="P132" s="193" t="n">
        <f aca="false">Amortize!P34</f>
        <v>0.375793719119929</v>
      </c>
      <c r="Q132" s="193" t="n">
        <f aca="false">Amortize!Q34</f>
        <v>0.685761820777516</v>
      </c>
      <c r="R132" s="184" t="str">
        <f aca="false">IF(SUM(Gov_Map!$AG$5:$AG$128,Gov_Map!$AG$134:$AG$153,Gov_Map!$AG$179:$AG$192,Gov_Map!$AG$195:$AG$214,Gov_Map!$AG$216:$AG$254,Gov_Map!$AG$308:$AG$319,Gov_Map!$AG$345:$AG$359,Gov_Map!$AG$419:$AG$420,Gov_Map!$AG$430,Gov_Map!$AG$447,Gov_Map!$AG$457,Gov_Map!$AG$463,Gov_Map!$AG$465,Gov_Map!$AG$467,Gov_Map!$AG$469,Gov_Map!$AG$471,Gov_Map!$AG$473,Gov_Map!$AG$475,Gov_Map!$AG$510:$AG$518,Gov_Map!$AG$521:$AG$522,Gov_Map!$AG$574:$AG$578,Gov_Map!$AG$605:$AG$611,Gov_Map!$AG$660)&gt;0,"C",IF(SUM(Gov_Map!$AH$5:$AH$128,Gov_Map!$AH$134:$AH$153,Gov_Map!$AH$179:$AH$192,Gov_Map!$AH$195:$AH$214,Gov_Map!$AH$216:$AH$254,Gov_Map!$AH$308:$AH$319,Gov_Map!$AH$345:$AH$359,Gov_Map!$AH$419:$AH$420,Gov_Map!$AH$430,Gov_Map!$AH$447,Gov_Map!$AH$457,Gov_Map!$AH$463,Gov_Map!$AH$465,Gov_Map!$AH$467,Gov_Map!$AH$469,Gov_Map!$AH$471,Gov_Map!$AH$473,Gov_Map!$AH$475,Gov_Map!$AH$510:$AH$518,Gov_Map!$AH$521:$AH$522,Gov_Map!$AH$574:$AH$578,Gov_Map!$AH$605:$AH$611,Gov_Map!$AH$660)&gt;0,"B","A"))</f>
        <v>B</v>
      </c>
      <c r="S132" s="44" t="str">
        <f aca="false">IF(R132="—","—",IF(R132="A","基準輸入",IF(R132="B","情境、相對比較、反轉門檻","探索")))</f>
        <v>情境、相對比較、反轉門檻</v>
      </c>
      <c r="T132" s="30" t="s">
        <v>751</v>
      </c>
      <c r="U132" s="44" t="str">
        <f aca="false">IF(V132=0,"—",LEFT(TEXT(V132,"0"),4)&amp;"-"&amp;MID(TEXT(V132,"0"),5,2)&amp;"-"&amp;RIGHT(TEXT(V132,"0"),2))</f>
        <v>2026-10-08</v>
      </c>
      <c r="V132" s="33" t="n">
        <f aca="false">MAX(Gov_Map!$AJ$5:$AJ$128,Gov_Map!$AJ$134:$AJ$153,Gov_Map!$AJ$179:$AJ$192,Gov_Map!$AJ$195:$AJ$214,Gov_Map!$AJ$216:$AJ$254,Gov_Map!$AJ$308:$AJ$319,Gov_Map!$AJ$345:$AJ$359,Gov_Map!$AJ$419:$AJ$420,Gov_Map!$AJ$430,Gov_Map!$AJ$447,Gov_Map!$AJ$457,Gov_Map!$AJ$463,Gov_Map!$AJ$465,Gov_Map!$AJ$467,Gov_Map!$AJ$469,Gov_Map!$AJ$471,Gov_Map!$AJ$473,Gov_Map!$AJ$475,Gov_Map!$AJ$510:$AJ$518,Gov_Map!$AJ$521:$AJ$522,Gov_Map!$AJ$574:$AJ$578,Gov_Map!$AJ$605:$AJ$611,Gov_Map!$AJ$660)</f>
        <v>20261008</v>
      </c>
      <c r="W132" s="21" t="s">
        <v>2874</v>
      </c>
      <c r="X132" s="32" t="n">
        <f aca="false">IF(ISNUMBER(FIND("上限",S132)),1,0)</f>
        <v>0</v>
      </c>
      <c r="Y132" s="32" t="n">
        <v>0</v>
      </c>
    </row>
    <row r="133" customFormat="false" ht="15" hidden="false" customHeight="true" outlineLevel="0" collapsed="false">
      <c r="A133" s="44" t="s">
        <v>2914</v>
      </c>
      <c r="B133" s="30" t="s">
        <v>976</v>
      </c>
      <c r="C133" s="193" t="n">
        <f aca="false">Theory_Rev!C54</f>
        <v>4.44041141753621</v>
      </c>
      <c r="D133" s="193" t="n">
        <f aca="false">Theory_Rev!D54</f>
        <v>6.34436399268955</v>
      </c>
      <c r="E133" s="193" t="n">
        <f aca="false">Theory_Rev!E54</f>
        <v>10.8954463339561</v>
      </c>
      <c r="F133" s="193" t="n">
        <f aca="false">Theory_Rev!F54</f>
        <v>0.648729771362694</v>
      </c>
      <c r="G133" s="193" t="n">
        <f aca="false">Theory_Rev!G54</f>
        <v>0.866115877832189</v>
      </c>
      <c r="H133" s="193" t="n">
        <f aca="false">Theory_Rev!H54</f>
        <v>1.40463149236134</v>
      </c>
      <c r="I133" s="193" t="n">
        <f aca="false">Theory_Rev!I54</f>
        <v>0.598522481651746</v>
      </c>
      <c r="J133" s="193" t="n">
        <f aca="false">Theory_Rev!J54</f>
        <v>0.772961335570172</v>
      </c>
      <c r="K133" s="193" t="n">
        <f aca="false">Theory_Rev!K54</f>
        <v>1.31584752513189</v>
      </c>
      <c r="L133" s="193" t="n">
        <f aca="false">Theory_Rev!L54</f>
        <v>0.328979014060463</v>
      </c>
      <c r="M133" s="193" t="n">
        <f aca="false">Theory_Rev!M54</f>
        <v>0.422759162078806</v>
      </c>
      <c r="N133" s="193" t="n">
        <f aca="false">Theory_Rev!N54</f>
        <v>0.682843108514873</v>
      </c>
      <c r="O133" s="193" t="n">
        <f aca="false">Theory_Rev!O54</f>
        <v>0.224274240897612</v>
      </c>
      <c r="P133" s="193" t="n">
        <f aca="false">Theory_Rev!P54</f>
        <v>0.340750041982449</v>
      </c>
      <c r="Q133" s="193" t="n">
        <f aca="false">Theory_Rev!Q54</f>
        <v>0.621869043102671</v>
      </c>
      <c r="R133" s="184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3" s="44" t="str">
        <f aca="false">IF(R133="—","—",IF(R133="A","基準輸入",IF(R133="B","情境、相對比較、反轉門檻","探索")))</f>
        <v>情境、相對比較、反轉門檻</v>
      </c>
      <c r="T133" s="30" t="s">
        <v>2817</v>
      </c>
      <c r="U133" s="44" t="str">
        <f aca="false">IF(V133=0,"—",LEFT(TEXT(V133,"0"),4)&amp;"-"&amp;MID(TEXT(V133,"0"),5,2)&amp;"-"&amp;RIGHT(TEXT(V133,"0"),2))</f>
        <v>2026-10-08</v>
      </c>
      <c r="V133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3" s="21" t="s">
        <v>2876</v>
      </c>
      <c r="X133" s="32" t="n">
        <f aca="false">IF(ISNUMBER(FIND("上限",S133)),1,0)</f>
        <v>0</v>
      </c>
      <c r="Y133" s="32" t="n">
        <v>0</v>
      </c>
    </row>
    <row r="134" customFormat="false" ht="15" hidden="false" customHeight="true" outlineLevel="0" collapsed="false">
      <c r="A134" s="44" t="s">
        <v>2915</v>
      </c>
      <c r="B134" s="30" t="s">
        <v>976</v>
      </c>
      <c r="C134" s="202" t="n">
        <f aca="false">Amortize!C47</f>
        <v>6.71333459608619</v>
      </c>
      <c r="D134" s="202" t="n">
        <f aca="false">Amortize!D47</f>
        <v>9.59173457910629</v>
      </c>
      <c r="E134" s="202" t="n">
        <f aca="false">Amortize!E47</f>
        <v>16.4720715710975</v>
      </c>
      <c r="F134" s="202" t="n">
        <f aca="false">Amortize!F47</f>
        <v>1.50878388665136</v>
      </c>
      <c r="G134" s="202" t="n">
        <f aca="false">Amortize!G47</f>
        <v>2.0143244916493</v>
      </c>
      <c r="H134" s="202" t="n">
        <f aca="false">Amortize!H47</f>
        <v>3.26666537944243</v>
      </c>
      <c r="I134" s="202" t="n">
        <f aca="false">Amortize!I47</f>
        <v>1.4045212266443</v>
      </c>
      <c r="J134" s="202" t="n">
        <f aca="false">Amortize!J47</f>
        <v>1.81382399146405</v>
      </c>
      <c r="K134" s="202" t="n">
        <f aca="false">Amortize!K47</f>
        <v>3.08765039755805</v>
      </c>
      <c r="L134" s="202" t="n">
        <f aca="false">Amortize!L47</f>
        <v>0.959356186038775</v>
      </c>
      <c r="M134" s="202" t="n">
        <f aca="false">Amortize!M47</f>
        <v>1.23283860001109</v>
      </c>
      <c r="N134" s="202" t="n">
        <f aca="false">Amortize!N47</f>
        <v>1.99129747440816</v>
      </c>
      <c r="O134" s="202" t="n">
        <f aca="false">Amortize!O47</f>
        <v>0.737286975101976</v>
      </c>
      <c r="P134" s="202" t="n">
        <f aca="false">Amortize!P47</f>
        <v>1.12024727602933</v>
      </c>
      <c r="Q134" s="202" t="n">
        <f aca="false">Amortize!Q47</f>
        <v>2.04453726813664</v>
      </c>
      <c r="R134" s="184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4" s="44" t="str">
        <f aca="false">IF(R134="—","—",IF(R134="A","基準輸入",IF(R134="B","情境、相對比較、反轉門檻","探索")))</f>
        <v>情境、相對比較、反轉門檻</v>
      </c>
      <c r="T134" s="30" t="s">
        <v>751</v>
      </c>
      <c r="U134" s="44" t="str">
        <f aca="false">IF(V134=0,"—",LEFT(TEXT(V134,"0"),4)&amp;"-"&amp;MID(TEXT(V134,"0"),5,2)&amp;"-"&amp;RIGHT(TEXT(V134,"0"),2))</f>
        <v>2026-10-08</v>
      </c>
      <c r="V134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4" s="21" t="s">
        <v>2876</v>
      </c>
      <c r="X134" s="32" t="n">
        <f aca="false">IF(ISNUMBER(FIND("上限",S134)),1,0)</f>
        <v>0</v>
      </c>
      <c r="Y134" s="32" t="n">
        <v>0</v>
      </c>
    </row>
    <row r="135" customFormat="false" ht="15" hidden="false" customHeight="true" outlineLevel="0" collapsed="false">
      <c r="A135" s="44" t="s">
        <v>2916</v>
      </c>
      <c r="B135" s="30" t="s">
        <v>976</v>
      </c>
      <c r="C135" s="201" t="n">
        <f aca="false">Amortize!C48</f>
        <v>4.81837579884481</v>
      </c>
      <c r="D135" s="201" t="n">
        <f aca="false">Amortize!D48</f>
        <v>6.8842958895349</v>
      </c>
      <c r="E135" s="201" t="n">
        <f aca="false">Amortize!E48</f>
        <v>11.8225346702199</v>
      </c>
      <c r="F135" s="201" t="n">
        <f aca="false">Amortize!F48</f>
        <v>1.07558717803451</v>
      </c>
      <c r="G135" s="201" t="n">
        <f aca="false">Amortize!G48</f>
        <v>1.43597874737875</v>
      </c>
      <c r="H135" s="201" t="n">
        <f aca="false">Amortize!H48</f>
        <v>2.32875193600833</v>
      </c>
      <c r="I135" s="201" t="n">
        <f aca="false">Amortize!I48</f>
        <v>0.997284870203028</v>
      </c>
      <c r="J135" s="201" t="n">
        <f aca="false">Amortize!J48</f>
        <v>1.28791163108314</v>
      </c>
      <c r="K135" s="201" t="n">
        <f aca="false">Amortize!K48</f>
        <v>2.19239621840249</v>
      </c>
      <c r="L135" s="201" t="n">
        <f aca="false">Amortize!L48</f>
        <v>0.685107279468222</v>
      </c>
      <c r="M135" s="201" t="n">
        <f aca="false">Amortize!M48</f>
        <v>0.880409916117299</v>
      </c>
      <c r="N135" s="201" t="n">
        <f aca="false">Amortize!N48</f>
        <v>1.4220499280218</v>
      </c>
      <c r="O135" s="201" t="n">
        <f aca="false">Amortize!O48</f>
        <v>0.524853491548195</v>
      </c>
      <c r="P135" s="201" t="n">
        <f aca="false">Amortize!P48</f>
        <v>0.797471966923091</v>
      </c>
      <c r="Q135" s="201" t="n">
        <f aca="false">Amortize!Q48</f>
        <v>1.4554475530149</v>
      </c>
      <c r="R135" s="184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$445,Gov_Map!$AG$447,Gov_Map!$AG$449,Gov_Map!$AG$451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$445,Gov_Map!$AH$447,Gov_Map!$AH$449,Gov_Map!$AH$451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5" s="44" t="str">
        <f aca="false">IF(R135="—","—",IF(R135="A","基準輸入",IF(R135="B","情境、相對比較、反轉門檻","探索")))</f>
        <v>情境、相對比較、反轉門檻</v>
      </c>
      <c r="T135" s="30" t="s">
        <v>751</v>
      </c>
      <c r="U135" s="44" t="str">
        <f aca="false">IF(V135=0,"—",LEFT(TEXT(V135,"0"),4)&amp;"-"&amp;MID(TEXT(V135,"0"),5,2)&amp;"-"&amp;RIGHT(TEXT(V135,"0"),2))</f>
        <v>2026-10-08</v>
      </c>
      <c r="V135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$445,Gov_Map!$AJ$447,Gov_Map!$AJ$449,Gov_Map!$AJ$451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5" s="21" t="s">
        <v>2879</v>
      </c>
      <c r="X135" s="32" t="n">
        <f aca="false">IF(ISNUMBER(FIND("上限",S135)),1,0)</f>
        <v>0</v>
      </c>
      <c r="Y135" s="32" t="n">
        <v>0</v>
      </c>
    </row>
    <row r="136" customFormat="false" ht="15" hidden="false" customHeight="true" outlineLevel="0" collapsed="false">
      <c r="A136" s="44" t="s">
        <v>2917</v>
      </c>
      <c r="B136" s="30" t="s">
        <v>976</v>
      </c>
      <c r="C136" s="203" t="n">
        <f aca="false">Theory_Rev!C56</f>
        <v>8.37597131767689</v>
      </c>
      <c r="D136" s="203" t="n">
        <f aca="false">Theory_Rev!D56</f>
        <v>11.9672141592289</v>
      </c>
      <c r="E136" s="203" t="n">
        <f aca="false">Theory_Rev!E56</f>
        <v>20.5514835851995</v>
      </c>
      <c r="F136" s="203" t="n">
        <f aca="false">Theory_Rev!F56</f>
        <v>1.87939207719259</v>
      </c>
      <c r="G136" s="203" t="n">
        <f aca="false">Theory_Rev!G56</f>
        <v>2.50908955445759</v>
      </c>
      <c r="H136" s="203" t="n">
        <f aca="false">Theory_Rev!H56</f>
        <v>4.0689957022978</v>
      </c>
      <c r="I136" s="203" t="n">
        <f aca="false">Theory_Rev!I56</f>
        <v>1.76284570954953</v>
      </c>
      <c r="J136" s="203" t="n">
        <f aca="false">Theory_Rev!J56</f>
        <v>2.27655571119161</v>
      </c>
      <c r="K136" s="203" t="n">
        <f aca="false">Theory_Rev!K56</f>
        <v>3.87531687630239</v>
      </c>
      <c r="L136" s="203" t="n">
        <f aca="false">Theory_Rev!L56</f>
        <v>1.18776185214537</v>
      </c>
      <c r="M136" s="203" t="n">
        <f aca="false">Theory_Rev!M56</f>
        <v>1.52633508268063</v>
      </c>
      <c r="N136" s="203" t="n">
        <f aca="false">Theory_Rev!N56</f>
        <v>2.46531272150879</v>
      </c>
      <c r="O136" s="203" t="n">
        <f aca="false">Theory_Rev!O56</f>
        <v>0.909184613506693</v>
      </c>
      <c r="P136" s="203" t="n">
        <f aca="false">Theory_Rev!P56</f>
        <v>1.38139206389233</v>
      </c>
      <c r="Q136" s="203" t="n">
        <f aca="false">Theory_Rev!Q56</f>
        <v>2.52108361816848</v>
      </c>
      <c r="R136" s="184" t="str">
        <f aca="false">IF(SUM(Gov_Map!$AG$5:$AG$128,Gov_Map!$AG$134:$AG$153,Gov_Map!$AG$169:$AG$173,Gov_Map!$AG$179:$AG$192,Gov_Map!$AG$195:$AG$214,Gov_Map!$AG$216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$599,Gov_Map!$AG$605:$AG$611,Gov_Map!$AG$656:$AG$658,Gov_Map!$AG$660)&gt;0,"C",IF(SUM(Gov_Map!$AH$5:$AH$128,Gov_Map!$AH$134:$AH$153,Gov_Map!$AH$169:$AH$173,Gov_Map!$AH$179:$AH$192,Gov_Map!$AH$195:$AH$214,Gov_Map!$AH$216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$599,Gov_Map!$AH$605:$AH$611,Gov_Map!$AH$656:$AH$658,Gov_Map!$AH$660)&gt;0,"B","A"))</f>
        <v>B</v>
      </c>
      <c r="S136" s="44" t="str">
        <f aca="false">IF(R136="—","—",IF(R136="A","基準輸入",IF(R136="B","情境、相對比較、反轉門檻","探索")))</f>
        <v>情境、相對比較、反轉門檻</v>
      </c>
      <c r="T136" s="30" t="s">
        <v>2817</v>
      </c>
      <c r="U136" s="44" t="str">
        <f aca="false">IF(V136=0,"—",LEFT(TEXT(V136,"0"),4)&amp;"-"&amp;MID(TEXT(V136,"0"),5,2)&amp;"-"&amp;RIGHT(TEXT(V136,"0"),2))</f>
        <v>2026-10-08</v>
      </c>
      <c r="V136" s="33" t="n">
        <f aca="false">MAX(Gov_Map!$AJ$5:$AJ$128,Gov_Map!$AJ$134:$AJ$153,Gov_Map!$AJ$169:$AJ$173,Gov_Map!$AJ$179:$AJ$192,Gov_Map!$AJ$195:$AJ$214,Gov_Map!$AJ$216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$599,Gov_Map!$AJ$605:$AJ$611,Gov_Map!$AJ$656:$AJ$658,Gov_Map!$AJ$660)</f>
        <v>20261008</v>
      </c>
      <c r="W136" s="21" t="s">
        <v>2876</v>
      </c>
      <c r="X136" s="32" t="n">
        <f aca="false">IF(ISNUMBER(FIND("上限",S136)),1,0)</f>
        <v>0</v>
      </c>
      <c r="Y136" s="32" t="n">
        <v>0</v>
      </c>
    </row>
    <row r="137" customFormat="false" ht="15" hidden="false" customHeight="true" outlineLevel="0" collapsed="false">
      <c r="A137" s="44" t="s">
        <v>2918</v>
      </c>
      <c r="B137" s="30" t="s">
        <v>2048</v>
      </c>
      <c r="C137" s="204" t="n">
        <f aca="false">Theory_Rev!C47</f>
        <v>32.8285826038219</v>
      </c>
      <c r="D137" s="204" t="n">
        <f aca="false">Theory_Rev!D47</f>
        <v>32.8285826038219</v>
      </c>
      <c r="E137" s="204" t="n">
        <f aca="false">Theory_Rev!E47</f>
        <v>32.8285826038219</v>
      </c>
      <c r="F137" s="204" t="n">
        <f aca="false">Theory_Rev!F47</f>
        <v>143.52030717908</v>
      </c>
      <c r="G137" s="204" t="n">
        <f aca="false">Theory_Rev!G47</f>
        <v>143.52030717908</v>
      </c>
      <c r="H137" s="204" t="n">
        <f aca="false">Theory_Rev!H47</f>
        <v>143.52030717908</v>
      </c>
      <c r="I137" s="204" t="n">
        <f aca="false">Theory_Rev!I47</f>
        <v>189.275075427389</v>
      </c>
      <c r="J137" s="204" t="n">
        <f aca="false">Theory_Rev!J47</f>
        <v>189.275075427389</v>
      </c>
      <c r="K137" s="204" t="n">
        <f aca="false">Theory_Rev!K47</f>
        <v>189.275075427389</v>
      </c>
      <c r="L137" s="204" t="n">
        <f aca="false">Theory_Rev!L47</f>
        <v>335.686266761199</v>
      </c>
      <c r="M137" s="204" t="n">
        <f aca="false">Theory_Rev!M47</f>
        <v>335.686266761199</v>
      </c>
      <c r="N137" s="204" t="n">
        <f aca="false">Theory_Rev!N47</f>
        <v>335.686266761199</v>
      </c>
      <c r="O137" s="204" t="n">
        <f aca="false">Theory_Rev!O47</f>
        <v>475.005316946174</v>
      </c>
      <c r="P137" s="204" t="n">
        <f aca="false">Theory_Rev!P47</f>
        <v>475.005316946174</v>
      </c>
      <c r="Q137" s="204" t="n">
        <f aca="false">Theory_Rev!Q47</f>
        <v>475.005316946174</v>
      </c>
      <c r="R137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137" s="44" t="str">
        <f aca="false">IF(R137="—","—",IF(R137="A","基準輸入",IF(R137="B","情境、相對比較、反轉門檻","探索")))&amp;"；上限，不得作預測"</f>
        <v>情境、相對比較、反轉門檻；上限，不得作預測</v>
      </c>
      <c r="T137" s="30" t="s">
        <v>2817</v>
      </c>
      <c r="U137" s="44" t="str">
        <f aca="false">IF(V137=0,"—",LEFT(TEXT(V137,"0"),4)&amp;"-"&amp;MID(TEXT(V137,"0"),5,2)&amp;"-"&amp;RIGHT(TEXT(V137,"0"),2))</f>
        <v>2026-10-05</v>
      </c>
      <c r="V13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137" s="21" t="s">
        <v>2882</v>
      </c>
      <c r="X137" s="32" t="n">
        <f aca="false">IF(ISNUMBER(FIND("上限",S137)),1,0)</f>
        <v>1</v>
      </c>
      <c r="Y137" s="32" t="n">
        <v>1</v>
      </c>
    </row>
    <row r="138" customFormat="false" ht="15" hidden="false" customHeight="true" outlineLevel="0" collapsed="false">
      <c r="A138" s="44" t="s">
        <v>2919</v>
      </c>
      <c r="B138" s="30" t="s">
        <v>2048</v>
      </c>
      <c r="C138" s="195" t="n">
        <f aca="false">Theory_Rev!C48</f>
        <v>31.6301940795674</v>
      </c>
      <c r="D138" s="195" t="n">
        <f aca="false">Theory_Rev!D48</f>
        <v>31.6301940795674</v>
      </c>
      <c r="E138" s="195" t="n">
        <f aca="false">Theory_Rev!E48</f>
        <v>31.6301940795674</v>
      </c>
      <c r="F138" s="195" t="n">
        <f aca="false">Theory_Rev!F48</f>
        <v>138.281180921437</v>
      </c>
      <c r="G138" s="195" t="n">
        <f aca="false">Theory_Rev!G48</f>
        <v>138.281180921437</v>
      </c>
      <c r="H138" s="195" t="n">
        <f aca="false">Theory_Rev!H48</f>
        <v>138.281180921437</v>
      </c>
      <c r="I138" s="195" t="n">
        <f aca="false">Theory_Rev!I48</f>
        <v>182.365697673955</v>
      </c>
      <c r="J138" s="195" t="n">
        <f aca="false">Theory_Rev!J48</f>
        <v>182.365697673955</v>
      </c>
      <c r="K138" s="195" t="n">
        <f aca="false">Theory_Rev!K48</f>
        <v>182.365697673955</v>
      </c>
      <c r="L138" s="195" t="n">
        <f aca="false">Theory_Rev!L48</f>
        <v>323.432232686951</v>
      </c>
      <c r="M138" s="195" t="n">
        <f aca="false">Theory_Rev!M48</f>
        <v>323.432232686951</v>
      </c>
      <c r="N138" s="195" t="n">
        <f aca="false">Theory_Rev!N48</f>
        <v>323.432232686951</v>
      </c>
      <c r="O138" s="195" t="n">
        <f aca="false">Theory_Rev!O48</f>
        <v>457.665521084201</v>
      </c>
      <c r="P138" s="195" t="n">
        <f aca="false">Theory_Rev!P48</f>
        <v>457.665521084201</v>
      </c>
      <c r="Q138" s="195" t="n">
        <f aca="false">Theory_Rev!Q48</f>
        <v>457.665521084201</v>
      </c>
      <c r="R138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138" s="44" t="str">
        <f aca="false">IF(R138="—","—",IF(R138="A","基準輸入",IF(R138="B","情境、相對比較、反轉門檻","探索")))&amp;"；上限，不得作預測"</f>
        <v>情境、相對比較、反轉門檻；上限，不得作預測</v>
      </c>
      <c r="T138" s="30" t="s">
        <v>2817</v>
      </c>
      <c r="U138" s="44" t="str">
        <f aca="false">IF(V138=0,"—",LEFT(TEXT(V138,"0"),4)&amp;"-"&amp;MID(TEXT(V138,"0"),5,2)&amp;"-"&amp;RIGHT(TEXT(V138,"0"),2))</f>
        <v>2026-10-05</v>
      </c>
      <c r="V1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138" s="21" t="s">
        <v>2884</v>
      </c>
      <c r="X138" s="32" t="n">
        <f aca="false">IF(ISNUMBER(FIND("上限",S138)),1,0)</f>
        <v>1</v>
      </c>
      <c r="Y138" s="32" t="n">
        <v>1</v>
      </c>
    </row>
    <row r="139" customFormat="false" ht="15" hidden="false" customHeight="true" outlineLevel="0" collapsed="false">
      <c r="A139" s="8" t="s">
        <v>2920</v>
      </c>
    </row>
    <row r="140" customFormat="false" ht="15" hidden="false" customHeight="true" outlineLevel="0" collapsed="false">
      <c r="A140" s="44" t="s">
        <v>2921</v>
      </c>
      <c r="B140" s="30" t="s">
        <v>2048</v>
      </c>
      <c r="C140" s="206" t="n">
        <f aca="false">Theory_Rev!C64</f>
        <v>0.109558036619274</v>
      </c>
      <c r="D140" s="206" t="n">
        <f aca="false">Theory_Rev!D64</f>
        <v>0.109558036619274</v>
      </c>
      <c r="E140" s="206" t="n">
        <f aca="false">Theory_Rev!E64</f>
        <v>0.109558036619274</v>
      </c>
      <c r="F140" s="206" t="n">
        <f aca="false">Theory_Rev!F64</f>
        <v>0.478153408787978</v>
      </c>
      <c r="G140" s="206" t="n">
        <f aca="false">Theory_Rev!G64</f>
        <v>0.478153408787978</v>
      </c>
      <c r="H140" s="206" t="n">
        <f aca="false">Theory_Rev!H64</f>
        <v>0.478153408787978</v>
      </c>
      <c r="I140" s="206" t="n">
        <f aca="false">Theory_Rev!I64</f>
        <v>0.657565003455634</v>
      </c>
      <c r="J140" s="206" t="n">
        <f aca="false">Theory_Rev!J64</f>
        <v>0.657565003455634</v>
      </c>
      <c r="K140" s="206" t="n">
        <f aca="false">Theory_Rev!K64</f>
        <v>0.657565003455634</v>
      </c>
      <c r="L140" s="206" t="n">
        <f aca="false">Theory_Rev!L64</f>
        <v>1.08135801601782</v>
      </c>
      <c r="M140" s="206" t="n">
        <f aca="false">Theory_Rev!M64</f>
        <v>1.08135801601782</v>
      </c>
      <c r="N140" s="206" t="n">
        <f aca="false">Theory_Rev!N64</f>
        <v>1.08135801601782</v>
      </c>
      <c r="O140" s="206" t="n">
        <f aca="false">Theory_Rev!O64</f>
        <v>1.50172339469163</v>
      </c>
      <c r="P140" s="206" t="n">
        <f aca="false">Theory_Rev!P64</f>
        <v>1.50172339469163</v>
      </c>
      <c r="Q140" s="206" t="n">
        <f aca="false">Theory_Rev!Q64</f>
        <v>1.50172339469163</v>
      </c>
      <c r="R140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0" s="44" t="str">
        <f aca="false">IF(R140="—","—",IF(R140="A","基準輸入",IF(R140="B","情境、相對比較、反轉門檻","探索")))&amp;"；上限，不得作預測"</f>
        <v>情境、相對比較、反轉門檻；上限，不得作預測</v>
      </c>
      <c r="T140" s="30" t="s">
        <v>2817</v>
      </c>
      <c r="U140" s="44" t="str">
        <f aca="false">IF(V140=0,"—",LEFT(TEXT(V140,"0"),4)&amp;"-"&amp;MID(TEXT(V140,"0"),5,2)&amp;"-"&amp;RIGHT(TEXT(V140,"0"),2))</f>
        <v>2026-10-05</v>
      </c>
      <c r="V140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0" s="21" t="s">
        <v>2922</v>
      </c>
      <c r="X140" s="32" t="n">
        <f aca="false">IF(ISNUMBER(FIND("上限",S140)),1,0)</f>
        <v>1</v>
      </c>
      <c r="Y140" s="32" t="n">
        <v>1</v>
      </c>
    </row>
    <row r="141" customFormat="false" ht="15" hidden="false" customHeight="true" outlineLevel="0" collapsed="false">
      <c r="A141" s="44" t="s">
        <v>2923</v>
      </c>
      <c r="B141" s="30" t="s">
        <v>2048</v>
      </c>
      <c r="C141" s="206" t="n">
        <f aca="false">Theory_Rev!C65</f>
        <v>2.46505582393367</v>
      </c>
      <c r="D141" s="206" t="n">
        <f aca="false">Theory_Rev!D65</f>
        <v>2.46505582393367</v>
      </c>
      <c r="E141" s="206" t="n">
        <f aca="false">Theory_Rev!E65</f>
        <v>2.46505582393367</v>
      </c>
      <c r="F141" s="206" t="n">
        <f aca="false">Theory_Rev!F65</f>
        <v>10.7584516977295</v>
      </c>
      <c r="G141" s="206" t="n">
        <f aca="false">Theory_Rev!G65</f>
        <v>10.7584516977295</v>
      </c>
      <c r="H141" s="206" t="n">
        <f aca="false">Theory_Rev!H65</f>
        <v>10.7584516977295</v>
      </c>
      <c r="I141" s="206" t="n">
        <f aca="false">Theory_Rev!I65</f>
        <v>14.7952125777518</v>
      </c>
      <c r="J141" s="206" t="n">
        <f aca="false">Theory_Rev!J65</f>
        <v>14.7952125777518</v>
      </c>
      <c r="K141" s="206" t="n">
        <f aca="false">Theory_Rev!K65</f>
        <v>14.7952125777518</v>
      </c>
      <c r="L141" s="206" t="n">
        <f aca="false">Theory_Rev!L65</f>
        <v>24.330555360401</v>
      </c>
      <c r="M141" s="206" t="n">
        <f aca="false">Theory_Rev!M65</f>
        <v>24.330555360401</v>
      </c>
      <c r="N141" s="206" t="n">
        <f aca="false">Theory_Rev!N65</f>
        <v>24.330555360401</v>
      </c>
      <c r="O141" s="206" t="n">
        <f aca="false">Theory_Rev!O65</f>
        <v>33.7887763805617</v>
      </c>
      <c r="P141" s="206" t="n">
        <f aca="false">Theory_Rev!P65</f>
        <v>33.7887763805617</v>
      </c>
      <c r="Q141" s="206" t="n">
        <f aca="false">Theory_Rev!Q65</f>
        <v>33.7887763805617</v>
      </c>
      <c r="R141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1" s="44" t="str">
        <f aca="false">IF(R141="—","—",IF(R141="A","基準輸入",IF(R141="B","情境、相對比較、反轉門檻","探索")))&amp;"；上限，不得作預測"</f>
        <v>情境、相對比較、反轉門檻；上限，不得作預測</v>
      </c>
      <c r="T141" s="30" t="s">
        <v>2817</v>
      </c>
      <c r="U141" s="44" t="str">
        <f aca="false">IF(V141=0,"—",LEFT(TEXT(V141,"0"),4)&amp;"-"&amp;MID(TEXT(V141,"0"),5,2)&amp;"-"&amp;RIGHT(TEXT(V141,"0"),2))</f>
        <v>2026-10-05</v>
      </c>
      <c r="V141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1" s="21" t="s">
        <v>2922</v>
      </c>
      <c r="X141" s="32" t="n">
        <f aca="false">IF(ISNUMBER(FIND("上限",S141)),1,0)</f>
        <v>1</v>
      </c>
      <c r="Y141" s="32" t="n">
        <v>1</v>
      </c>
    </row>
    <row r="142" customFormat="false" ht="15" hidden="false" customHeight="true" outlineLevel="0" collapsed="false">
      <c r="A142" s="44" t="s">
        <v>2924</v>
      </c>
      <c r="B142" s="30" t="s">
        <v>2048</v>
      </c>
      <c r="C142" s="206" t="n">
        <f aca="false">Theory_Rev!C66</f>
        <v>4.10842637322278</v>
      </c>
      <c r="D142" s="206" t="n">
        <f aca="false">Theory_Rev!D66</f>
        <v>4.10842637322278</v>
      </c>
      <c r="E142" s="206" t="n">
        <f aca="false">Theory_Rev!E66</f>
        <v>4.10842637322278</v>
      </c>
      <c r="F142" s="206" t="n">
        <f aca="false">Theory_Rev!F66</f>
        <v>17.9307528295491</v>
      </c>
      <c r="G142" s="206" t="n">
        <f aca="false">Theory_Rev!G66</f>
        <v>17.9307528295491</v>
      </c>
      <c r="H142" s="206" t="n">
        <f aca="false">Theory_Rev!H66</f>
        <v>17.9307528295491</v>
      </c>
      <c r="I142" s="206" t="n">
        <f aca="false">Theory_Rev!I66</f>
        <v>24.6586876295863</v>
      </c>
      <c r="J142" s="206" t="n">
        <f aca="false">Theory_Rev!J66</f>
        <v>24.6586876295863</v>
      </c>
      <c r="K142" s="206" t="n">
        <f aca="false">Theory_Rev!K66</f>
        <v>24.6586876295863</v>
      </c>
      <c r="L142" s="206" t="n">
        <f aca="false">Theory_Rev!L66</f>
        <v>40.5509256006683</v>
      </c>
      <c r="M142" s="206" t="n">
        <f aca="false">Theory_Rev!M66</f>
        <v>40.5509256006683</v>
      </c>
      <c r="N142" s="206" t="n">
        <f aca="false">Theory_Rev!N66</f>
        <v>40.5509256006683</v>
      </c>
      <c r="O142" s="206" t="n">
        <f aca="false">Theory_Rev!O66</f>
        <v>56.3146273009361</v>
      </c>
      <c r="P142" s="206" t="n">
        <f aca="false">Theory_Rev!P66</f>
        <v>56.3146273009361</v>
      </c>
      <c r="Q142" s="206" t="n">
        <f aca="false">Theory_Rev!Q66</f>
        <v>56.3146273009361</v>
      </c>
      <c r="R142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2" s="44" t="str">
        <f aca="false">IF(R142="—","—",IF(R142="A","基準輸入",IF(R142="B","情境、相對比較、反轉門檻","探索")))&amp;"；上限，不得作預測"</f>
        <v>情境、相對比較、反轉門檻；上限，不得作預測</v>
      </c>
      <c r="T142" s="30" t="s">
        <v>2817</v>
      </c>
      <c r="U142" s="44" t="str">
        <f aca="false">IF(V142=0,"—",LEFT(TEXT(V142,"0"),4)&amp;"-"&amp;MID(TEXT(V142,"0"),5,2)&amp;"-"&amp;RIGHT(TEXT(V142,"0"),2))</f>
        <v>2026-10-05</v>
      </c>
      <c r="V142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2" s="21" t="s">
        <v>2922</v>
      </c>
      <c r="X142" s="32" t="n">
        <f aca="false">IF(ISNUMBER(FIND("上限",S142)),1,0)</f>
        <v>1</v>
      </c>
      <c r="Y142" s="32" t="n">
        <v>1</v>
      </c>
    </row>
    <row r="143" customFormat="false" ht="15" hidden="false" customHeight="true" outlineLevel="0" collapsed="false">
      <c r="A143" s="44" t="s">
        <v>2925</v>
      </c>
      <c r="B143" s="30" t="s">
        <v>2048</v>
      </c>
      <c r="C143" s="204" t="n">
        <f aca="false">Theory_Rev!C67</f>
        <v>6.68304023377571</v>
      </c>
      <c r="D143" s="204" t="n">
        <f aca="false">Theory_Rev!D67</f>
        <v>6.68304023377571</v>
      </c>
      <c r="E143" s="204" t="n">
        <f aca="false">Theory_Rev!E67</f>
        <v>6.68304023377571</v>
      </c>
      <c r="F143" s="204" t="n">
        <f aca="false">Theory_Rev!F67</f>
        <v>29.1673579360666</v>
      </c>
      <c r="G143" s="204" t="n">
        <f aca="false">Theory_Rev!G67</f>
        <v>29.1673579360666</v>
      </c>
      <c r="H143" s="204" t="n">
        <f aca="false">Theory_Rev!H67</f>
        <v>29.1673579360666</v>
      </c>
      <c r="I143" s="204" t="n">
        <f aca="false">Theory_Rev!I67</f>
        <v>40.1114652107936</v>
      </c>
      <c r="J143" s="204" t="n">
        <f aca="false">Theory_Rev!J67</f>
        <v>40.1114652107936</v>
      </c>
      <c r="K143" s="204" t="n">
        <f aca="false">Theory_Rev!K67</f>
        <v>40.1114652107936</v>
      </c>
      <c r="L143" s="204" t="n">
        <f aca="false">Theory_Rev!L67</f>
        <v>65.9628389770872</v>
      </c>
      <c r="M143" s="204" t="n">
        <f aca="false">Theory_Rev!M67</f>
        <v>65.9628389770872</v>
      </c>
      <c r="N143" s="204" t="n">
        <f aca="false">Theory_Rev!N67</f>
        <v>65.9628389770872</v>
      </c>
      <c r="O143" s="204" t="n">
        <f aca="false">Theory_Rev!O67</f>
        <v>91.6051270761894</v>
      </c>
      <c r="P143" s="204" t="n">
        <f aca="false">Theory_Rev!P67</f>
        <v>91.6051270761894</v>
      </c>
      <c r="Q143" s="204" t="n">
        <f aca="false">Theory_Rev!Q67</f>
        <v>91.6051270761894</v>
      </c>
      <c r="R143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143" s="44" t="str">
        <f aca="false">IF(R143="—","—",IF(R143="A","基準輸入",IF(R143="B","情境、相對比較、反轉門檻","探索")))&amp;"；上限，不得作預測"</f>
        <v>情境、相對比較、反轉門檻；上限，不得作預測</v>
      </c>
      <c r="T143" s="30" t="s">
        <v>2817</v>
      </c>
      <c r="U143" s="44" t="str">
        <f aca="false">IF(V143=0,"—",LEFT(TEXT(V143,"0"),4)&amp;"-"&amp;MID(TEXT(V143,"0"),5,2)&amp;"-"&amp;RIGHT(TEXT(V143,"0"),2))</f>
        <v>2026-10-05</v>
      </c>
      <c r="V1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143" s="21" t="s">
        <v>2922</v>
      </c>
      <c r="X143" s="32" t="n">
        <f aca="false">IF(ISNUMBER(FIND("上限",S143)),1,0)</f>
        <v>1</v>
      </c>
      <c r="Y143" s="32" t="n">
        <v>1</v>
      </c>
    </row>
    <row r="144" customFormat="false" ht="15" hidden="false" customHeight="true" outlineLevel="0" collapsed="false">
      <c r="A144" s="44" t="s">
        <v>2926</v>
      </c>
      <c r="B144" s="30" t="s">
        <v>2048</v>
      </c>
      <c r="C144" s="206" t="n">
        <f aca="false">Theory_Rev!C68</f>
        <v>0.109558036619274</v>
      </c>
      <c r="D144" s="206" t="n">
        <f aca="false">Theory_Rev!D68</f>
        <v>0.109558036619274</v>
      </c>
      <c r="E144" s="206" t="n">
        <f aca="false">Theory_Rev!E68</f>
        <v>0.109558036619274</v>
      </c>
      <c r="F144" s="206" t="n">
        <f aca="false">Theory_Rev!F68</f>
        <v>0.478153408787977</v>
      </c>
      <c r="G144" s="206" t="n">
        <f aca="false">Theory_Rev!G68</f>
        <v>0.478153408787977</v>
      </c>
      <c r="H144" s="206" t="n">
        <f aca="false">Theory_Rev!H68</f>
        <v>0.478153408787977</v>
      </c>
      <c r="I144" s="206" t="n">
        <f aca="false">Theory_Rev!I68</f>
        <v>0.657565003455634</v>
      </c>
      <c r="J144" s="206" t="n">
        <f aca="false">Theory_Rev!J68</f>
        <v>0.657565003455634</v>
      </c>
      <c r="K144" s="206" t="n">
        <f aca="false">Theory_Rev!K68</f>
        <v>0.657565003455634</v>
      </c>
      <c r="L144" s="206" t="n">
        <f aca="false">Theory_Rev!L68</f>
        <v>1.08135801601782</v>
      </c>
      <c r="M144" s="206" t="n">
        <f aca="false">Theory_Rev!M68</f>
        <v>1.08135801601782</v>
      </c>
      <c r="N144" s="206" t="n">
        <f aca="false">Theory_Rev!N68</f>
        <v>1.08135801601782</v>
      </c>
      <c r="O144" s="206" t="n">
        <f aca="false">Theory_Rev!O68</f>
        <v>1.50172339469163</v>
      </c>
      <c r="P144" s="206" t="n">
        <f aca="false">Theory_Rev!P68</f>
        <v>1.50172339469163</v>
      </c>
      <c r="Q144" s="206" t="n">
        <f aca="false">Theory_Rev!Q68</f>
        <v>1.50172339469163</v>
      </c>
      <c r="R144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4" s="44" t="str">
        <f aca="false">IF(R144="—","—",IF(R144="A","基準輸入",IF(R144="B","情境、相對比較、反轉門檻","探索")))&amp;"；上限，不得作預測"</f>
        <v>情境、相對比較、反轉門檻；上限，不得作預測</v>
      </c>
      <c r="T144" s="30" t="s">
        <v>2817</v>
      </c>
      <c r="U144" s="44" t="str">
        <f aca="false">IF(V144=0,"—",LEFT(TEXT(V144,"0"),4)&amp;"-"&amp;MID(TEXT(V144,"0"),5,2)&amp;"-"&amp;RIGHT(TEXT(V144,"0"),2))</f>
        <v>2026-10-05</v>
      </c>
      <c r="V1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4" s="21" t="s">
        <v>2927</v>
      </c>
      <c r="X144" s="32" t="n">
        <f aca="false">IF(ISNUMBER(FIND("上限",S144)),1,0)</f>
        <v>1</v>
      </c>
      <c r="Y144" s="32" t="n">
        <v>1</v>
      </c>
    </row>
    <row r="145" customFormat="false" ht="15" hidden="false" customHeight="true" outlineLevel="0" collapsed="false">
      <c r="A145" s="44" t="s">
        <v>2928</v>
      </c>
      <c r="B145" s="30" t="s">
        <v>2048</v>
      </c>
      <c r="C145" s="206" t="n">
        <f aca="false">Theory_Rev!C69</f>
        <v>2.46505582393367</v>
      </c>
      <c r="D145" s="206" t="n">
        <f aca="false">Theory_Rev!D69</f>
        <v>2.46505582393367</v>
      </c>
      <c r="E145" s="206" t="n">
        <f aca="false">Theory_Rev!E69</f>
        <v>2.46505582393367</v>
      </c>
      <c r="F145" s="206" t="n">
        <f aca="false">Theory_Rev!F69</f>
        <v>10.7584516977295</v>
      </c>
      <c r="G145" s="206" t="n">
        <f aca="false">Theory_Rev!G69</f>
        <v>10.7584516977295</v>
      </c>
      <c r="H145" s="206" t="n">
        <f aca="false">Theory_Rev!H69</f>
        <v>10.7584516977295</v>
      </c>
      <c r="I145" s="206" t="n">
        <f aca="false">Theory_Rev!I69</f>
        <v>14.7952125777518</v>
      </c>
      <c r="J145" s="206" t="n">
        <f aca="false">Theory_Rev!J69</f>
        <v>14.7952125777518</v>
      </c>
      <c r="K145" s="206" t="n">
        <f aca="false">Theory_Rev!K69</f>
        <v>14.7952125777518</v>
      </c>
      <c r="L145" s="206" t="n">
        <f aca="false">Theory_Rev!L69</f>
        <v>24.330555360401</v>
      </c>
      <c r="M145" s="206" t="n">
        <f aca="false">Theory_Rev!M69</f>
        <v>24.330555360401</v>
      </c>
      <c r="N145" s="206" t="n">
        <f aca="false">Theory_Rev!N69</f>
        <v>24.330555360401</v>
      </c>
      <c r="O145" s="206" t="n">
        <f aca="false">Theory_Rev!O69</f>
        <v>33.7887763805617</v>
      </c>
      <c r="P145" s="206" t="n">
        <f aca="false">Theory_Rev!P69</f>
        <v>33.7887763805617</v>
      </c>
      <c r="Q145" s="206" t="n">
        <f aca="false">Theory_Rev!Q69</f>
        <v>33.7887763805617</v>
      </c>
      <c r="R145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5" s="44" t="str">
        <f aca="false">IF(R145="—","—",IF(R145="A","基準輸入",IF(R145="B","情境、相對比較、反轉門檻","探索")))&amp;"；上限，不得作預測"</f>
        <v>情境、相對比較、反轉門檻；上限，不得作預測</v>
      </c>
      <c r="T145" s="30" t="s">
        <v>2817</v>
      </c>
      <c r="U145" s="44" t="str">
        <f aca="false">IF(V145=0,"—",LEFT(TEXT(V145,"0"),4)&amp;"-"&amp;MID(TEXT(V145,"0"),5,2)&amp;"-"&amp;RIGHT(TEXT(V145,"0"),2))</f>
        <v>2026-10-05</v>
      </c>
      <c r="V145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5" s="21" t="s">
        <v>2927</v>
      </c>
      <c r="X145" s="32" t="n">
        <f aca="false">IF(ISNUMBER(FIND("上限",S145)),1,0)</f>
        <v>1</v>
      </c>
      <c r="Y145" s="32" t="n">
        <v>1</v>
      </c>
    </row>
    <row r="146" customFormat="false" ht="15" hidden="false" customHeight="true" outlineLevel="0" collapsed="false">
      <c r="A146" s="44" t="s">
        <v>2929</v>
      </c>
      <c r="B146" s="30" t="s">
        <v>2048</v>
      </c>
      <c r="C146" s="206" t="n">
        <f aca="false">Theory_Rev!C70</f>
        <v>3.95845063172239</v>
      </c>
      <c r="D146" s="206" t="n">
        <f aca="false">Theory_Rev!D70</f>
        <v>3.95845063172239</v>
      </c>
      <c r="E146" s="206" t="n">
        <f aca="false">Theory_Rev!E70</f>
        <v>3.95845063172239</v>
      </c>
      <c r="F146" s="206" t="n">
        <f aca="false">Theory_Rev!F70</f>
        <v>17.2762010116563</v>
      </c>
      <c r="G146" s="206" t="n">
        <f aca="false">Theory_Rev!G70</f>
        <v>17.2762010116563</v>
      </c>
      <c r="H146" s="206" t="n">
        <f aca="false">Theory_Rev!H70</f>
        <v>17.2762010116563</v>
      </c>
      <c r="I146" s="206" t="n">
        <f aca="false">Theory_Rev!I70</f>
        <v>23.7585364218691</v>
      </c>
      <c r="J146" s="206" t="n">
        <f aca="false">Theory_Rev!J70</f>
        <v>23.7585364218691</v>
      </c>
      <c r="K146" s="206" t="n">
        <f aca="false">Theory_Rev!K70</f>
        <v>23.7585364218691</v>
      </c>
      <c r="L146" s="206" t="n">
        <f aca="false">Theory_Rev!L70</f>
        <v>39.0706373873696</v>
      </c>
      <c r="M146" s="206" t="n">
        <f aca="false">Theory_Rev!M70</f>
        <v>39.0706373873696</v>
      </c>
      <c r="N146" s="206" t="n">
        <f aca="false">Theory_Rev!N70</f>
        <v>39.0706373873696</v>
      </c>
      <c r="O146" s="206" t="n">
        <f aca="false">Theory_Rev!O70</f>
        <v>54.2588942246851</v>
      </c>
      <c r="P146" s="206" t="n">
        <f aca="false">Theory_Rev!P70</f>
        <v>54.2588942246851</v>
      </c>
      <c r="Q146" s="206" t="n">
        <f aca="false">Theory_Rev!Q70</f>
        <v>54.2588942246851</v>
      </c>
      <c r="R146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6" s="44" t="str">
        <f aca="false">IF(R146="—","—",IF(R146="A","基準輸入",IF(R146="B","情境、相對比較、反轉門檻","探索")))&amp;"；上限，不得作預測"</f>
        <v>情境、相對比較、反轉門檻；上限，不得作預測</v>
      </c>
      <c r="T146" s="30" t="s">
        <v>2817</v>
      </c>
      <c r="U146" s="44" t="str">
        <f aca="false">IF(V146=0,"—",LEFT(TEXT(V146,"0"),4)&amp;"-"&amp;MID(TEXT(V146,"0"),5,2)&amp;"-"&amp;RIGHT(TEXT(V146,"0"),2))</f>
        <v>2026-10-05</v>
      </c>
      <c r="V146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6" s="21" t="s">
        <v>2927</v>
      </c>
      <c r="X146" s="32" t="n">
        <f aca="false">IF(ISNUMBER(FIND("上限",S146)),1,0)</f>
        <v>1</v>
      </c>
      <c r="Y146" s="32" t="n">
        <v>1</v>
      </c>
    </row>
    <row r="147" customFormat="false" ht="15" hidden="false" customHeight="true" outlineLevel="0" collapsed="false">
      <c r="A147" s="44" t="s">
        <v>2930</v>
      </c>
      <c r="B147" s="30" t="s">
        <v>2048</v>
      </c>
      <c r="C147" s="204" t="n">
        <f aca="false">Theory_Rev!C71</f>
        <v>6.53306449227533</v>
      </c>
      <c r="D147" s="204" t="n">
        <f aca="false">Theory_Rev!D71</f>
        <v>6.53306449227533</v>
      </c>
      <c r="E147" s="204" t="n">
        <f aca="false">Theory_Rev!E71</f>
        <v>6.53306449227533</v>
      </c>
      <c r="F147" s="204" t="n">
        <f aca="false">Theory_Rev!F71</f>
        <v>28.5128061181738</v>
      </c>
      <c r="G147" s="204" t="n">
        <f aca="false">Theory_Rev!G71</f>
        <v>28.5128061181738</v>
      </c>
      <c r="H147" s="204" t="n">
        <f aca="false">Theory_Rev!H71</f>
        <v>28.5128061181738</v>
      </c>
      <c r="I147" s="204" t="n">
        <f aca="false">Theory_Rev!I71</f>
        <v>39.2113140030764</v>
      </c>
      <c r="J147" s="204" t="n">
        <f aca="false">Theory_Rev!J71</f>
        <v>39.2113140030764</v>
      </c>
      <c r="K147" s="204" t="n">
        <f aca="false">Theory_Rev!K71</f>
        <v>39.2113140030764</v>
      </c>
      <c r="L147" s="204" t="n">
        <f aca="false">Theory_Rev!L71</f>
        <v>64.4825507637884</v>
      </c>
      <c r="M147" s="204" t="n">
        <f aca="false">Theory_Rev!M71</f>
        <v>64.4825507637884</v>
      </c>
      <c r="N147" s="204" t="n">
        <f aca="false">Theory_Rev!N71</f>
        <v>64.4825507637884</v>
      </c>
      <c r="O147" s="204" t="n">
        <f aca="false">Theory_Rev!O71</f>
        <v>89.5493939999384</v>
      </c>
      <c r="P147" s="204" t="n">
        <f aca="false">Theory_Rev!P71</f>
        <v>89.5493939999384</v>
      </c>
      <c r="Q147" s="204" t="n">
        <f aca="false">Theory_Rev!Q71</f>
        <v>89.5493939999384</v>
      </c>
      <c r="R147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147" s="44" t="str">
        <f aca="false">IF(R147="—","—",IF(R147="A","基準輸入",IF(R147="B","情境、相對比較、反轉門檻","探索")))&amp;"；上限，不得作預測"</f>
        <v>情境、相對比較、反轉門檻；上限，不得作預測</v>
      </c>
      <c r="T147" s="30" t="s">
        <v>2817</v>
      </c>
      <c r="U147" s="44" t="str">
        <f aca="false">IF(V147=0,"—",LEFT(TEXT(V147,"0"),4)&amp;"-"&amp;MID(TEXT(V147,"0"),5,2)&amp;"-"&amp;RIGHT(TEXT(V147,"0"),2))</f>
        <v>2026-10-05</v>
      </c>
      <c r="V147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147" s="21" t="s">
        <v>2927</v>
      </c>
      <c r="X147" s="32" t="n">
        <f aca="false">IF(ISNUMBER(FIND("上限",S147)),1,0)</f>
        <v>1</v>
      </c>
      <c r="Y147" s="32" t="n">
        <v>1</v>
      </c>
    </row>
    <row r="148" customFormat="false" ht="15" hidden="false" customHeight="true" outlineLevel="0" collapsed="false">
      <c r="A148" s="44" t="s">
        <v>2931</v>
      </c>
      <c r="B148" s="30" t="s">
        <v>113</v>
      </c>
      <c r="C148" s="207" t="n">
        <f aca="false">B4_Serve</f>
        <v>0.41</v>
      </c>
      <c r="R148" s="184" t="str">
        <f aca="false">IF(SUM(Gov_Map!$AG$457)&gt;0,"C",IF(SUM(Gov_Map!$AH$457)&gt;0,"B","A"))</f>
        <v>B</v>
      </c>
      <c r="S148" s="44" t="str">
        <f aca="false">IF(R148="—","—",IF(R148="A","基準輸入",IF(R148="B","情境、相對比較、反轉門檻","探索")))</f>
        <v>情境、相對比較、反轉門檻</v>
      </c>
      <c r="T148" s="30" t="s">
        <v>751</v>
      </c>
      <c r="U148" s="44" t="str">
        <f aca="false">IF(V148=0,"—",LEFT(TEXT(V148,"0"),4)&amp;"-"&amp;MID(TEXT(V148,"0"),5,2)&amp;"-"&amp;RIGHT(TEXT(V148,"0"),2))</f>
        <v>—</v>
      </c>
      <c r="V148" s="33" t="n">
        <f aca="false">MAX(Gov_Map!$AJ$457)</f>
        <v>0</v>
      </c>
      <c r="W148" s="21" t="s">
        <v>2932</v>
      </c>
      <c r="X148" s="32" t="n">
        <f aca="false">IF(ISNUMBER(FIND("上限",S148)),1,0)</f>
        <v>0</v>
      </c>
      <c r="Y148" s="32" t="n">
        <v>0</v>
      </c>
    </row>
    <row r="149" customFormat="false" ht="15" hidden="false" customHeight="true" outlineLevel="0" collapsed="false">
      <c r="A149" s="44" t="s">
        <v>2933</v>
      </c>
      <c r="B149" s="30" t="s">
        <v>113</v>
      </c>
      <c r="C149" s="207" t="n">
        <f aca="false">B4_Free</f>
        <v>0.46</v>
      </c>
      <c r="R149" s="184" t="str">
        <f aca="false">IF(SUM(Gov_Map!$AG$459)&gt;0,"C",IF(SUM(Gov_Map!$AH$459)&gt;0,"B","A"))</f>
        <v>B</v>
      </c>
      <c r="S149" s="44" t="str">
        <f aca="false">IF(R149="—","—",IF(R149="A","基準輸入",IF(R149="B","情境、相對比較、反轉門檻","探索")))</f>
        <v>情境、相對比較、反轉門檻</v>
      </c>
      <c r="T149" s="30" t="s">
        <v>751</v>
      </c>
      <c r="U149" s="44" t="str">
        <f aca="false">IF(V149=0,"—",LEFT(TEXT(V149,"0"),4)&amp;"-"&amp;MID(TEXT(V149,"0"),5,2)&amp;"-"&amp;RIGHT(TEXT(V149,"0"),2))</f>
        <v>—</v>
      </c>
      <c r="V149" s="33" t="n">
        <f aca="false">MAX(Gov_Map!$AJ$459)</f>
        <v>0</v>
      </c>
      <c r="W149" s="21" t="s">
        <v>2934</v>
      </c>
      <c r="X149" s="32" t="n">
        <f aca="false">IF(ISNUMBER(FIND("上限",S149)),1,0)</f>
        <v>0</v>
      </c>
      <c r="Y149" s="32" t="n">
        <v>0</v>
      </c>
    </row>
    <row r="151" customFormat="false" ht="15" hidden="false" customHeight="true" outlineLevel="0" collapsed="false">
      <c r="A151" s="43" t="s">
        <v>2935</v>
      </c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</row>
    <row r="152" customFormat="false" ht="40.5" hidden="false" customHeight="true" outlineLevel="0" collapsed="false">
      <c r="A152" s="9" t="s">
        <v>2936</v>
      </c>
      <c r="C152" s="170" t="str">
        <f aca="false">Workload!C4</f>
        <v>一般聊天</v>
      </c>
      <c r="D152" s="170" t="str">
        <f aca="false">Workload!D4</f>
        <v>推理聊天</v>
      </c>
      <c r="E152" s="170" t="str">
        <f aca="false">Workload!E4</f>
        <v>單代理（工具迴圈）</v>
      </c>
      <c r="F152" s="170" t="str">
        <f aca="false">Workload!F4</f>
        <v>多代理研究</v>
      </c>
      <c r="G152" s="170" t="str">
        <f aca="false">Workload!G4</f>
        <v>Coding agent（長程）</v>
      </c>
      <c r="R152" s="21" t="s">
        <v>2937</v>
      </c>
      <c r="S152" s="30" t="s">
        <v>751</v>
      </c>
      <c r="T152" s="30" t="s">
        <v>751</v>
      </c>
      <c r="U152" s="30" t="s">
        <v>751</v>
      </c>
    </row>
    <row r="153" customFormat="false" ht="15" hidden="false" customHeight="true" outlineLevel="0" collapsed="false">
      <c r="A153" s="30" t="s">
        <v>2938</v>
      </c>
      <c r="B153" s="30" t="s">
        <v>118</v>
      </c>
      <c r="C153" s="208" t="n">
        <f aca="false">B5_W</f>
        <v>0</v>
      </c>
      <c r="R153" s="184" t="str">
        <f aca="false">IF(SUM(Gov_Map!$AG$521:$AG$522)&gt;0,"C",IF(SUM(Gov_Map!$AH$521:$AH$522)&gt;0,"B","A"))</f>
        <v>A</v>
      </c>
      <c r="S153" s="44" t="str">
        <f aca="false">IF(R153="—","—",IF(R153="A","基準輸入",IF(R153="B","情境、相對比較、反轉門檻","探索")))</f>
        <v>基準輸入</v>
      </c>
      <c r="T153" s="30" t="s">
        <v>751</v>
      </c>
      <c r="U153" s="44" t="str">
        <f aca="false">IF(V153=0,"—",LEFT(TEXT(V153,"0"),4)&amp;"-"&amp;MID(TEXT(V153,"0"),5,2)&amp;"-"&amp;RIGHT(TEXT(V153,"0"),2))</f>
        <v>—</v>
      </c>
      <c r="V153" s="33" t="n">
        <f aca="false">MAX(Gov_Map!$AJ$521:$AJ$522)</f>
        <v>0</v>
      </c>
      <c r="W153" s="21" t="s">
        <v>2939</v>
      </c>
      <c r="X153" s="32" t="n">
        <f aca="false">IF(ISNUMBER(FIND("上限",S153)),1,0)</f>
        <v>0</v>
      </c>
      <c r="Y153" s="32" t="n">
        <v>0</v>
      </c>
    </row>
    <row r="154" customFormat="false" ht="15" hidden="false" customHeight="true" outlineLevel="0" collapsed="false">
      <c r="A154" s="44" t="s">
        <v>2940</v>
      </c>
      <c r="B154" s="44"/>
      <c r="C154" s="44" t="str">
        <f aca="false">B5_ProfileName</f>
        <v>供應商原生增強（保留推理狀態＋上下文壓縮）</v>
      </c>
      <c r="R154" s="184" t="str">
        <f aca="false">IF(SUM(Gov_Map!$AG$483)&gt;0,"C",IF(SUM(Gov_Map!$AH$483)&gt;0,"B","A"))</f>
        <v>A</v>
      </c>
      <c r="S154" s="44" t="str">
        <f aca="false">IF(R154="—","—",IF(R154="A","基準輸入",IF(R154="B","情境、相對比較、反轉門檻","探索")))</f>
        <v>基準輸入</v>
      </c>
      <c r="T154" s="30" t="s">
        <v>751</v>
      </c>
      <c r="U154" s="44" t="str">
        <f aca="false">IF(V154=0,"—",LEFT(TEXT(V154,"0"),4)&amp;"-"&amp;MID(TEXT(V154,"0"),5,2)&amp;"-"&amp;RIGHT(TEXT(V154,"0"),2))</f>
        <v>—</v>
      </c>
      <c r="V154" s="33" t="n">
        <f aca="false">MAX(Gov_Map!$AJ$483)</f>
        <v>0</v>
      </c>
      <c r="W154" s="21" t="s">
        <v>2854</v>
      </c>
      <c r="X154" s="32" t="n">
        <f aca="false">IF(ISNUMBER(FIND("上限",S154)),1,0)</f>
        <v>0</v>
      </c>
      <c r="Y154" s="32" t="n">
        <v>0</v>
      </c>
    </row>
    <row r="155" customFormat="false" ht="15" hidden="false" customHeight="true" outlineLevel="0" collapsed="false">
      <c r="A155" s="44" t="s">
        <v>2941</v>
      </c>
      <c r="B155" s="30" t="s">
        <v>1321</v>
      </c>
      <c r="C155" s="208" t="n">
        <f aca="false">INDEX(B5_TaskLen,1,1)</f>
        <v>0.02</v>
      </c>
      <c r="D155" s="208" t="n">
        <f aca="false">INDEX(B5_TaskLen,1,2)</f>
        <v>0.1</v>
      </c>
      <c r="E155" s="208" t="n">
        <f aca="false">INDEX(B5_TaskLen,1,3)</f>
        <v>0.5</v>
      </c>
      <c r="F155" s="208" t="n">
        <f aca="false">INDEX(B5_TaskLen,1,4)</f>
        <v>2</v>
      </c>
      <c r="G155" s="208" t="n">
        <f aca="false">INDEX(B5_TaskLen,1,5)</f>
        <v>8</v>
      </c>
      <c r="R155" s="184" t="str">
        <f aca="false">IF(SUM(Gov_Map!$AG$508)&gt;0,"C",IF(SUM(Gov_Map!$AH$508)&gt;0,"B","A"))</f>
        <v>A</v>
      </c>
      <c r="S155" s="44" t="str">
        <f aca="false">IF(R155="—","—",IF(R155="A","基準輸入",IF(R155="B","情境、相對比較、反轉門檻","探索")))</f>
        <v>基準輸入</v>
      </c>
      <c r="T155" s="30" t="s">
        <v>751</v>
      </c>
      <c r="U155" s="44" t="str">
        <f aca="false">IF(V155=0,"—",LEFT(TEXT(V155,"0"),4)&amp;"-"&amp;MID(TEXT(V155,"0"),5,2)&amp;"-"&amp;RIGHT(TEXT(V155,"0"),2))</f>
        <v>—</v>
      </c>
      <c r="V155" s="33" t="n">
        <f aca="false">MAX(Gov_Map!$AJ$508)</f>
        <v>0</v>
      </c>
      <c r="W155" s="21" t="s">
        <v>2854</v>
      </c>
      <c r="X155" s="32" t="n">
        <f aca="false">IF(ISNUMBER(FIND("上限",S155)),1,0)</f>
        <v>0</v>
      </c>
      <c r="Y155" s="32" t="n">
        <v>0</v>
      </c>
    </row>
    <row r="156" customFormat="false" ht="15" hidden="false" customHeight="true" outlineLevel="0" collapsed="false">
      <c r="A156" s="44" t="s">
        <v>2942</v>
      </c>
      <c r="B156" s="30" t="s">
        <v>308</v>
      </c>
      <c r="C156" s="49" t="n">
        <f aca="false">Harness!C41</f>
        <v>1500</v>
      </c>
      <c r="D156" s="49" t="n">
        <f aca="false">Harness!D41</f>
        <v>1500</v>
      </c>
      <c r="E156" s="49" t="n">
        <f aca="false">Harness!E41</f>
        <v>6840</v>
      </c>
      <c r="F156" s="49" t="n">
        <f aca="false">Harness!F41</f>
        <v>27360</v>
      </c>
      <c r="G156" s="49" t="n">
        <f aca="false">Harness!G41</f>
        <v>200400</v>
      </c>
      <c r="R156" s="184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6" s="44" t="str">
        <f aca="false">IF(R156="—","—",IF(R156="A","基準輸入",IF(R156="B","情境、相對比較、反轉門檻","探索")))</f>
        <v>情境、相對比較、反轉門檻</v>
      </c>
      <c r="T156" s="30" t="s">
        <v>751</v>
      </c>
      <c r="U156" s="44" t="str">
        <f aca="false">IF(V156=0,"—",LEFT(TEXT(V156,"0"),4)&amp;"-"&amp;MID(TEXT(V156,"0"),5,2)&amp;"-"&amp;RIGHT(TEXT(V156,"0"),2))</f>
        <v>—</v>
      </c>
      <c r="V156" s="33" t="n">
        <f aca="false">MAX(Gov_Map!$AJ$255:$AJ$304,Gov_Map!$AJ$483,Gov_Map!$AJ$485:$AJ$490,Gov_Map!$AJ$494:$AJ$498,Gov_Map!$AJ$502,Gov_Map!$AJ$521:$AJ$522,Gov_Map!$AJ$659)</f>
        <v>0</v>
      </c>
      <c r="W156" s="21" t="s">
        <v>2943</v>
      </c>
      <c r="X156" s="32" t="n">
        <f aca="false">IF(ISNUMBER(FIND("上限",S156)),1,0)</f>
        <v>0</v>
      </c>
      <c r="Y156" s="32" t="n">
        <v>0</v>
      </c>
    </row>
    <row r="157" customFormat="false" ht="15" hidden="false" customHeight="true" outlineLevel="0" collapsed="false">
      <c r="A157" s="44" t="s">
        <v>2944</v>
      </c>
      <c r="B157" s="30" t="s">
        <v>308</v>
      </c>
      <c r="C157" s="49" t="n">
        <f aca="false">Harness!C42</f>
        <v>1000</v>
      </c>
      <c r="D157" s="49" t="n">
        <f aca="false">Harness!D42</f>
        <v>1000</v>
      </c>
      <c r="E157" s="49" t="n">
        <f aca="false">Harness!E42</f>
        <v>18360</v>
      </c>
      <c r="F157" s="49" t="n">
        <f aca="false">Harness!F42</f>
        <v>73440</v>
      </c>
      <c r="G157" s="49" t="n">
        <f aca="false">Harness!G42</f>
        <v>1263600</v>
      </c>
      <c r="R157" s="184" t="str">
        <f aca="false">IF(SUM(Gov_Map!$AG$255:$AG$304,Gov_Map!$AG$483,Gov_Map!$AG$485:$AG$490,Gov_Map!$AG$494:$AG$498,Gov_Map!$AG$502,Gov_Map!$AG$521:$AG$522,Gov_Map!$AG$659)&gt;0,"C",IF(SUM(Gov_Map!$AH$255:$AH$304,Gov_Map!$AH$483,Gov_Map!$AH$485:$AH$490,Gov_Map!$AH$494:$AH$498,Gov_Map!$AH$502,Gov_Map!$AH$521:$AH$522,Gov_Map!$AH$659)&gt;0,"B","A"))</f>
        <v>B</v>
      </c>
      <c r="S157" s="44" t="str">
        <f aca="false">IF(R157="—","—",IF(R157="A","基準輸入",IF(R157="B","情境、相對比較、反轉門檻","探索")))</f>
        <v>情境、相對比較、反轉門檻</v>
      </c>
      <c r="T157" s="30" t="s">
        <v>751</v>
      </c>
      <c r="U157" s="44" t="str">
        <f aca="false">IF(V157=0,"—",LEFT(TEXT(V157,"0"),4)&amp;"-"&amp;MID(TEXT(V157,"0"),5,2)&amp;"-"&amp;RIGHT(TEXT(V157,"0"),2))</f>
        <v>—</v>
      </c>
      <c r="V157" s="33" t="n">
        <f aca="false">MAX(Gov_Map!$AJ$255:$AJ$304,Gov_Map!$AJ$483,Gov_Map!$AJ$485:$AJ$490,Gov_Map!$AJ$494:$AJ$498,Gov_Map!$AJ$502,Gov_Map!$AJ$521:$AJ$522,Gov_Map!$AJ$659)</f>
        <v>0</v>
      </c>
      <c r="W157" s="21" t="s">
        <v>2943</v>
      </c>
      <c r="X157" s="32" t="n">
        <f aca="false">IF(ISNUMBER(FIND("上限",S157)),1,0)</f>
        <v>0</v>
      </c>
      <c r="Y157" s="32" t="n">
        <v>0</v>
      </c>
    </row>
    <row r="158" customFormat="false" ht="15" hidden="false" customHeight="true" outlineLevel="0" collapsed="false">
      <c r="A158" s="44" t="s">
        <v>2945</v>
      </c>
      <c r="B158" s="30" t="s">
        <v>308</v>
      </c>
      <c r="C158" s="49" t="n">
        <f aca="false">Harness!C43</f>
        <v>500</v>
      </c>
      <c r="D158" s="49" t="n">
        <f aca="false">Harness!D43</f>
        <v>3700</v>
      </c>
      <c r="E158" s="49" t="n">
        <f aca="false">Harness!E43</f>
        <v>2400</v>
      </c>
      <c r="F158" s="49" t="n">
        <f aca="false">Harness!F43</f>
        <v>9600</v>
      </c>
      <c r="G158" s="49" t="n">
        <f aca="false">Harness!G43</f>
        <v>30000</v>
      </c>
      <c r="R158" s="184" t="str">
        <f aca="false">IF(SUM(Gov_Map!$AG$255:$AG$259,Gov_Map!$AG$270:$AG$279,Gov_Map!$AG$290:$AG$295,Gov_Map!$AG$297,Gov_Map!$AG$299,Gov_Map!$AG$301,Gov_Map!$AG$303,Gov_Map!$AG$483,Gov_Map!$AG$485,Gov_Map!$AG$487,Gov_Map!$AG$490,Gov_Map!$AG$494,Gov_Map!$AG$496,Gov_Map!$AG$502,Gov_Map!$AG$521:$AG$522,Gov_Map!$AG$659)&gt;0,"C",IF(SUM(Gov_Map!$AH$255:$AH$259,Gov_Map!$AH$270:$AH$279,Gov_Map!$AH$290:$AH$295,Gov_Map!$AH$297,Gov_Map!$AH$299,Gov_Map!$AH$301,Gov_Map!$AH$303,Gov_Map!$AH$483,Gov_Map!$AH$485,Gov_Map!$AH$487,Gov_Map!$AH$490,Gov_Map!$AH$494,Gov_Map!$AH$496,Gov_Map!$AH$502,Gov_Map!$AH$521:$AH$522,Gov_Map!$AH$659)&gt;0,"B","A"))</f>
        <v>B</v>
      </c>
      <c r="S158" s="44" t="str">
        <f aca="false">IF(R158="—","—",IF(R158="A","基準輸入",IF(R158="B","情境、相對比較、反轉門檻","探索")))</f>
        <v>情境、相對比較、反轉門檻</v>
      </c>
      <c r="T158" s="30" t="s">
        <v>751</v>
      </c>
      <c r="U158" s="44" t="str">
        <f aca="false">IF(V158=0,"—",LEFT(TEXT(V158,"0"),4)&amp;"-"&amp;MID(TEXT(V158,"0"),5,2)&amp;"-"&amp;RIGHT(TEXT(V158,"0"),2))</f>
        <v>—</v>
      </c>
      <c r="V158" s="33" t="n">
        <f aca="false">MAX(Gov_Map!$AJ$255:$AJ$259,Gov_Map!$AJ$270:$AJ$279,Gov_Map!$AJ$290:$AJ$295,Gov_Map!$AJ$297,Gov_Map!$AJ$299,Gov_Map!$AJ$301,Gov_Map!$AJ$303,Gov_Map!$AJ$483,Gov_Map!$AJ$485,Gov_Map!$AJ$487,Gov_Map!$AJ$490,Gov_Map!$AJ$494,Gov_Map!$AJ$496,Gov_Map!$AJ$502,Gov_Map!$AJ$521:$AJ$522,Gov_Map!$AJ$659)</f>
        <v>0</v>
      </c>
      <c r="W158" s="21" t="s">
        <v>2946</v>
      </c>
      <c r="X158" s="32" t="n">
        <f aca="false">IF(ISNUMBER(FIND("上限",S158)),1,0)</f>
        <v>0</v>
      </c>
      <c r="Y158" s="32" t="n">
        <v>0</v>
      </c>
    </row>
    <row r="159" customFormat="false" ht="15" hidden="false" customHeight="true" outlineLevel="0" collapsed="false">
      <c r="A159" s="44" t="s">
        <v>2947</v>
      </c>
      <c r="B159" s="30" t="s">
        <v>308</v>
      </c>
      <c r="C159" s="49" t="n">
        <f aca="false">Harness!C38</f>
        <v>3000</v>
      </c>
      <c r="D159" s="49" t="n">
        <f aca="false">Harness!D38</f>
        <v>6200</v>
      </c>
      <c r="E159" s="49" t="n">
        <f aca="false">Harness!E38</f>
        <v>16250.08</v>
      </c>
      <c r="F159" s="49" t="n">
        <f aca="false">Harness!F38</f>
        <v>65000.32</v>
      </c>
      <c r="G159" s="49" t="n">
        <f aca="false">Harness!G38</f>
        <v>735840</v>
      </c>
      <c r="R159" s="184" t="str">
        <f aca="false">IF(SUM(Gov_Map!$AG$255:$AG$279,Gov_Map!$AG$285:$AG$295,Gov_Map!$AG$297,Gov_Map!$AG$299,Gov_Map!$AG$301,Gov_Map!$AG$303,Gov_Map!$AG$483,Gov_Map!$AG$485:$AG$490,Gov_Map!$AG$494:$AG$498,Gov_Map!$AG$502,Gov_Map!$AG$659)&gt;0,"C",IF(SUM(Gov_Map!$AH$255:$AH$279,Gov_Map!$AH$285:$AH$295,Gov_Map!$AH$297,Gov_Map!$AH$299,Gov_Map!$AH$301,Gov_Map!$AH$303,Gov_Map!$AH$483,Gov_Map!$AH$485:$AH$490,Gov_Map!$AH$494:$AH$498,Gov_Map!$AH$502,Gov_Map!$AH$659)&gt;0,"B","A"))</f>
        <v>B</v>
      </c>
      <c r="S159" s="44" t="str">
        <f aca="false">IF(R159="—","—",IF(R159="A","基準輸入",IF(R159="B","情境、相對比較、反轉門檻","探索")))</f>
        <v>情境、相對比較、反轉門檻</v>
      </c>
      <c r="T159" s="30" t="s">
        <v>751</v>
      </c>
      <c r="U159" s="44" t="str">
        <f aca="false">IF(V159=0,"—",LEFT(TEXT(V159,"0"),4)&amp;"-"&amp;MID(TEXT(V159,"0"),5,2)&amp;"-"&amp;RIGHT(TEXT(V159,"0"),2))</f>
        <v>—</v>
      </c>
      <c r="V159" s="33" t="n">
        <f aca="false">MAX(Gov_Map!$AJ$255:$AJ$279,Gov_Map!$AJ$285:$AJ$295,Gov_Map!$AJ$297,Gov_Map!$AJ$299,Gov_Map!$AJ$301,Gov_Map!$AJ$303,Gov_Map!$AJ$483,Gov_Map!$AJ$485:$AJ$490,Gov_Map!$AJ$494:$AJ$498,Gov_Map!$AJ$502,Gov_Map!$AJ$659)</f>
        <v>0</v>
      </c>
      <c r="W159" s="21" t="s">
        <v>2948</v>
      </c>
      <c r="X159" s="32" t="n">
        <f aca="false">IF(ISNUMBER(FIND("上限",S159)),1,0)</f>
        <v>0</v>
      </c>
      <c r="Y159" s="32" t="n">
        <v>0</v>
      </c>
    </row>
    <row r="160" customFormat="false" ht="15" hidden="false" customHeight="true" outlineLevel="0" collapsed="false">
      <c r="A160" s="44" t="s">
        <v>2949</v>
      </c>
      <c r="B160" s="30" t="s">
        <v>118</v>
      </c>
      <c r="C160" s="192" t="n">
        <f aca="false">Harness!C45</f>
        <v>1</v>
      </c>
      <c r="D160" s="192" t="n">
        <f aca="false">Harness!D45</f>
        <v>1</v>
      </c>
      <c r="E160" s="192" t="n">
        <f aca="false">Harness!E45</f>
        <v>0.588771014492754</v>
      </c>
      <c r="F160" s="192" t="n">
        <f aca="false">Harness!F45</f>
        <v>0.588771014492754</v>
      </c>
      <c r="G160" s="192" t="n">
        <f aca="false">Harness!G45</f>
        <v>0.492530120481928</v>
      </c>
      <c r="R160" s="184" t="str">
        <f aca="false">IF(SUM(Gov_Map!$AG$255:$AG$304,Gov_Map!$AG$483,Gov_Map!$AG$485:$AG$490,Gov_Map!$AG$494:$AG$498,Gov_Map!$AG$502,Gov_Map!$AG$659)&gt;0,"C",IF(SUM(Gov_Map!$AH$255:$AH$304,Gov_Map!$AH$483,Gov_Map!$AH$485:$AH$490,Gov_Map!$AH$494:$AH$498,Gov_Map!$AH$502,Gov_Map!$AH$659)&gt;0,"B","A"))</f>
        <v>B</v>
      </c>
      <c r="S160" s="44" t="str">
        <f aca="false">IF(R160="—","—",IF(R160="A","基準輸入",IF(R160="B","情境、相對比較、反轉門檻","探索")))</f>
        <v>情境、相對比較、反轉門檻</v>
      </c>
      <c r="T160" s="30" t="s">
        <v>751</v>
      </c>
      <c r="U160" s="44" t="str">
        <f aca="false">IF(V160=0,"—",LEFT(TEXT(V160,"0"),4)&amp;"-"&amp;MID(TEXT(V160,"0"),5,2)&amp;"-"&amp;RIGHT(TEXT(V160,"0"),2))</f>
        <v>—</v>
      </c>
      <c r="V160" s="33" t="n">
        <f aca="false">MAX(Gov_Map!$AJ$255:$AJ$304,Gov_Map!$AJ$483,Gov_Map!$AJ$485:$AJ$490,Gov_Map!$AJ$494:$AJ$498,Gov_Map!$AJ$502,Gov_Map!$AJ$659)</f>
        <v>0</v>
      </c>
      <c r="W160" s="21" t="s">
        <v>2950</v>
      </c>
      <c r="X160" s="32" t="n">
        <f aca="false">IF(ISNUMBER(FIND("上限",S160)),1,0)</f>
        <v>0</v>
      </c>
      <c r="Y160" s="32" t="n">
        <v>0</v>
      </c>
    </row>
    <row r="161" customFormat="false" ht="15" hidden="false" customHeight="true" outlineLevel="0" collapsed="false">
      <c r="A161" s="8" t="s">
        <v>278</v>
      </c>
    </row>
    <row r="162" customFormat="false" ht="15" hidden="false" customHeight="true" outlineLevel="0" collapsed="false">
      <c r="A162" s="44" t="s">
        <v>2951</v>
      </c>
      <c r="B162" s="30" t="s">
        <v>113</v>
      </c>
      <c r="C162" s="196" t="n">
        <f aca="false">Harness!C57</f>
        <v>0.962243725044712</v>
      </c>
      <c r="D162" s="196" t="n">
        <f aca="false">Harness!D57</f>
        <v>0.884017511243649</v>
      </c>
      <c r="E162" s="196" t="n">
        <f aca="false">Harness!E57</f>
        <v>0.695076124968439</v>
      </c>
      <c r="F162" s="196" t="n">
        <f aca="false">Harness!F57</f>
        <v>0.446267899285204</v>
      </c>
      <c r="G162" s="196" t="n">
        <f aca="false">Harness!G57</f>
        <v>0.221752565013566</v>
      </c>
      <c r="R162" s="18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2" s="44" t="str">
        <f aca="false">IF(R162="—","—",IF(R162="A","基準輸入",IF(R162="B","情境、相對比較、反轉門檻","探索")))</f>
        <v>基準輸入</v>
      </c>
      <c r="T162" s="30" t="s">
        <v>751</v>
      </c>
      <c r="U162" s="44" t="str">
        <f aca="false">IF(V162=0,"—",LEFT(TEXT(V162,"0"),4)&amp;"-"&amp;MID(TEXT(V162,"0"),5,2)&amp;"-"&amp;RIGHT(TEXT(V162,"0"),2))</f>
        <v>—</v>
      </c>
      <c r="V162" s="33" t="n">
        <f aca="false">MAX(Gov_Map!$AJ$483,Gov_Map!$AJ$491,Gov_Map!$AJ$500,Gov_Map!$AJ$503,Gov_Map!$AJ$506,Gov_Map!$AJ$508,Gov_Map!$AJ$521:$AJ$522)</f>
        <v>0</v>
      </c>
      <c r="W162" s="21" t="s">
        <v>2952</v>
      </c>
      <c r="X162" s="32" t="n">
        <f aca="false">IF(ISNUMBER(FIND("上限",S162)),1,0)</f>
        <v>0</v>
      </c>
      <c r="Y162" s="32" t="n">
        <v>0</v>
      </c>
    </row>
    <row r="163" customFormat="false" ht="15" hidden="false" customHeight="true" outlineLevel="0" collapsed="false">
      <c r="A163" s="44" t="s">
        <v>2953</v>
      </c>
      <c r="B163" s="30" t="s">
        <v>113</v>
      </c>
      <c r="C163" s="196" t="n">
        <f aca="false">Harness!C58</f>
        <v>0.962243725044712</v>
      </c>
      <c r="D163" s="196" t="n">
        <f aca="false">Harness!D58</f>
        <v>0.884017511243649</v>
      </c>
      <c r="E163" s="196" t="n">
        <f aca="false">Harness!E58</f>
        <v>0.723262011773013</v>
      </c>
      <c r="F163" s="196" t="n">
        <f aca="false">Harness!F58</f>
        <v>0.575444203093429</v>
      </c>
      <c r="G163" s="196" t="n">
        <f aca="false">Harness!G58</f>
        <v>0.323962245896112</v>
      </c>
      <c r="R163" s="18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63" s="44" t="str">
        <f aca="false">IF(R163="—","—",IF(R163="A","基準輸入",IF(R163="B","情境、相對比較、反轉門檻","探索")))</f>
        <v>基準輸入</v>
      </c>
      <c r="T163" s="30" t="s">
        <v>751</v>
      </c>
      <c r="U163" s="44" t="str">
        <f aca="false">IF(V163=0,"—",LEFT(TEXT(V163,"0"),4)&amp;"-"&amp;MID(TEXT(V163,"0"),5,2)&amp;"-"&amp;RIGHT(TEXT(V163,"0"),2))</f>
        <v>—</v>
      </c>
      <c r="V163" s="33" t="n">
        <f aca="false">MAX(Gov_Map!$AJ$483,Gov_Map!$AJ$491,Gov_Map!$AJ$500,Gov_Map!$AJ$503,Gov_Map!$AJ$506,Gov_Map!$AJ$508)</f>
        <v>0</v>
      </c>
      <c r="W163" s="21" t="s">
        <v>2954</v>
      </c>
      <c r="X163" s="32" t="n">
        <f aca="false">IF(ISNUMBER(FIND("上限",S163)),1,0)</f>
        <v>0</v>
      </c>
      <c r="Y163" s="32" t="n">
        <v>0</v>
      </c>
    </row>
    <row r="164" customFormat="false" ht="15" hidden="false" customHeight="true" outlineLevel="0" collapsed="false">
      <c r="A164" s="44" t="s">
        <v>2955</v>
      </c>
      <c r="B164" s="30" t="s">
        <v>452</v>
      </c>
      <c r="C164" s="209" t="n">
        <f aca="false">Harness!C88</f>
        <v>8.8899077896421E-005</v>
      </c>
      <c r="D164" s="209" t="n">
        <f aca="false">Harness!D88</f>
        <v>0.000627888436452441</v>
      </c>
      <c r="E164" s="209" t="n">
        <f aca="false">Harness!E88</f>
        <v>0.000588020351383176</v>
      </c>
      <c r="F164" s="209" t="n">
        <f aca="false">Harness!F88</f>
        <v>0.00366343990142828</v>
      </c>
      <c r="G164" s="209" t="n">
        <f aca="false">Harness!G88</f>
        <v>0.027571077499982</v>
      </c>
      <c r="R164" s="18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4" s="44" t="str">
        <f aca="false">IF(R164="—","—",IF(R164="A","基準輸入",IF(R164="B","情境、相對比較、反轉門檻","探索")))</f>
        <v>情境、相對比較、反轉門檻</v>
      </c>
      <c r="T164" s="30" t="s">
        <v>2817</v>
      </c>
      <c r="U164" s="44" t="str">
        <f aca="false">IF(V164=0,"—",LEFT(TEXT(V164,"0"),4)&amp;"-"&amp;MID(TEXT(V164,"0"),5,2)&amp;"-"&amp;RIGHT(TEXT(V164,"0"),2))</f>
        <v>2026-10-05</v>
      </c>
      <c r="V16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4" s="21" t="s">
        <v>2956</v>
      </c>
      <c r="X164" s="32" t="n">
        <f aca="false">IF(ISNUMBER(FIND("上限",S164)),1,0)</f>
        <v>0</v>
      </c>
      <c r="Y164" s="32" t="n">
        <v>0</v>
      </c>
    </row>
    <row r="165" customFormat="false" ht="15" hidden="false" customHeight="true" outlineLevel="0" collapsed="false">
      <c r="A165" s="44" t="s">
        <v>2957</v>
      </c>
      <c r="B165" s="30" t="s">
        <v>452</v>
      </c>
      <c r="C165" s="210" t="n">
        <f aca="false">Harness!C97</f>
        <v>0.000114248703667037</v>
      </c>
      <c r="D165" s="210" t="n">
        <f aca="false">Harness!D97</f>
        <v>0.000810841077890223</v>
      </c>
      <c r="E165" s="210" t="n">
        <f aca="false">Harness!E97</f>
        <v>0.000754882105708299</v>
      </c>
      <c r="F165" s="210" t="n">
        <f aca="false">Harness!F97</f>
        <v>0.00470300937785723</v>
      </c>
      <c r="G165" s="210" t="n">
        <f aca="false">Harness!G97</f>
        <v>0.0349973127558091</v>
      </c>
      <c r="R165" s="18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5" s="44" t="str">
        <f aca="false">IF(R165="—","—",IF(R165="A","基準輸入",IF(R165="B","情境、相對比較、反轉門檻","探索")))</f>
        <v>情境、相對比較、反轉門檻</v>
      </c>
      <c r="T165" s="30" t="s">
        <v>751</v>
      </c>
      <c r="U165" s="44" t="str">
        <f aca="false">IF(V165=0,"—",LEFT(TEXT(V165,"0"),4)&amp;"-"&amp;MID(TEXT(V165,"0"),5,2)&amp;"-"&amp;RIGHT(TEXT(V165,"0"),2))</f>
        <v>2026-10-08</v>
      </c>
      <c r="V16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65" s="21" t="s">
        <v>2958</v>
      </c>
      <c r="X165" s="32" t="n">
        <f aca="false">IF(ISNUMBER(FIND("上限",S165)),1,0)</f>
        <v>0</v>
      </c>
      <c r="Y165" s="32" t="n">
        <v>0</v>
      </c>
    </row>
    <row r="166" customFormat="false" ht="15" hidden="false" customHeight="true" outlineLevel="0" collapsed="false">
      <c r="A166" s="44" t="s">
        <v>2959</v>
      </c>
      <c r="B166" s="30" t="s">
        <v>452</v>
      </c>
      <c r="C166" s="210" t="n">
        <f aca="false">Harness!C126</f>
        <v>0.000340869980715914</v>
      </c>
      <c r="D166" s="210" t="n">
        <f aca="false">Harness!D126</f>
        <v>0.00181896849275965</v>
      </c>
      <c r="E166" s="210" t="n">
        <f aca="false">Harness!E126</f>
        <v>0.00237971056778149</v>
      </c>
      <c r="F166" s="210" t="n">
        <f aca="false">Harness!F126</f>
        <v>0.0148258927218325</v>
      </c>
      <c r="G166" s="210" t="n">
        <f aca="false">Harness!G126</f>
        <v>0.171997108568582</v>
      </c>
      <c r="R166" s="18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66" s="44" t="str">
        <f aca="false">IF(R166="—","—",IF(R166="A","基準輸入",IF(R166="B","情境、相對比較、反轉門檻","探索")))</f>
        <v>情境、相對比較、反轉門檻</v>
      </c>
      <c r="T166" s="30" t="s">
        <v>751</v>
      </c>
      <c r="U166" s="44" t="str">
        <f aca="false">IF(V166=0,"—",LEFT(TEXT(V166,"0"),4)&amp;"-"&amp;MID(TEXT(V166,"0"),5,2)&amp;"-"&amp;RIGHT(TEXT(V166,"0"),2))</f>
        <v>—</v>
      </c>
      <c r="V166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66" s="21" t="s">
        <v>2960</v>
      </c>
      <c r="X166" s="32" t="n">
        <f aca="false">IF(ISNUMBER(FIND("上限",S166)),1,0)</f>
        <v>0</v>
      </c>
      <c r="Y166" s="32" t="n">
        <v>0</v>
      </c>
    </row>
    <row r="167" customFormat="false" ht="15" hidden="false" customHeight="true" outlineLevel="0" collapsed="false">
      <c r="A167" s="30" t="s">
        <v>2961</v>
      </c>
      <c r="B167" s="30" t="s">
        <v>118</v>
      </c>
      <c r="C167" s="192" t="n">
        <f aca="false">Harness!C136</f>
        <v>1</v>
      </c>
      <c r="D167" s="192" t="n">
        <f aca="false">Harness!D136</f>
        <v>1</v>
      </c>
      <c r="E167" s="192" t="n">
        <f aca="false">Harness!E136</f>
        <v>0.591852640323466</v>
      </c>
      <c r="F167" s="192" t="n">
        <f aca="false">Harness!F136</f>
        <v>0.477605481152274</v>
      </c>
      <c r="G167" s="192" t="n">
        <f aca="false">Harness!G136</f>
        <v>0.414018377875692</v>
      </c>
      <c r="R167" s="18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67" s="44" t="str">
        <f aca="false">IF(R167="—","—",IF(R167="A","基準輸入",IF(R167="B","情境、相對比較、反轉門檻","探索")))</f>
        <v>情境、相對比較、反轉門檻</v>
      </c>
      <c r="T167" s="30" t="s">
        <v>751</v>
      </c>
      <c r="U167" s="44" t="str">
        <f aca="false">IF(V167=0,"—",LEFT(TEXT(V167,"0"),4)&amp;"-"&amp;MID(TEXT(V167,"0"),5,2)&amp;"-"&amp;RIGHT(TEXT(V167,"0"),2))</f>
        <v>2026-10-05</v>
      </c>
      <c r="V16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67" s="21" t="s">
        <v>2956</v>
      </c>
      <c r="X167" s="32" t="n">
        <f aca="false">IF(ISNUMBER(FIND("上限",S167)),1,0)</f>
        <v>0</v>
      </c>
      <c r="Y167" s="32" t="n">
        <v>0</v>
      </c>
    </row>
    <row r="168" customFormat="false" ht="15" hidden="false" customHeight="true" outlineLevel="0" collapsed="false">
      <c r="A168" s="8" t="s">
        <v>279</v>
      </c>
    </row>
    <row r="169" customFormat="false" ht="15" hidden="false" customHeight="true" outlineLevel="0" collapsed="false">
      <c r="A169" s="44" t="s">
        <v>2962</v>
      </c>
      <c r="B169" s="30" t="s">
        <v>113</v>
      </c>
      <c r="C169" s="196" t="n">
        <f aca="false">Harness!C60</f>
        <v>0.988943278022254</v>
      </c>
      <c r="D169" s="196" t="n">
        <f aca="false">Harness!D60</f>
        <v>0.963963460360214</v>
      </c>
      <c r="E169" s="196" t="n">
        <f aca="false">Harness!E60</f>
        <v>0.888888888888889</v>
      </c>
      <c r="F169" s="196" t="n">
        <f aca="false">Harness!F60</f>
        <v>0.738796125036259</v>
      </c>
      <c r="G169" s="196" t="n">
        <f aca="false">Harness!G60</f>
        <v>0.5</v>
      </c>
      <c r="R169" s="18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69" s="44" t="str">
        <f aca="false">IF(R169="—","—",IF(R169="A","基準輸入",IF(R169="B","情境、相對比較、反轉門檻","探索")))</f>
        <v>基準輸入</v>
      </c>
      <c r="T169" s="30" t="s">
        <v>751</v>
      </c>
      <c r="U169" s="44" t="str">
        <f aca="false">IF(V169=0,"—",LEFT(TEXT(V169,"0"),4)&amp;"-"&amp;MID(TEXT(V169,"0"),5,2)&amp;"-"&amp;RIGHT(TEXT(V169,"0"),2))</f>
        <v>—</v>
      </c>
      <c r="V169" s="33" t="n">
        <f aca="false">MAX(Gov_Map!$AJ$483,Gov_Map!$AJ$491,Gov_Map!$AJ$500,Gov_Map!$AJ$503,Gov_Map!$AJ$506,Gov_Map!$AJ$508,Gov_Map!$AJ$521:$AJ$522)</f>
        <v>0</v>
      </c>
      <c r="W169" s="21" t="s">
        <v>2952</v>
      </c>
      <c r="X169" s="32" t="n">
        <f aca="false">IF(ISNUMBER(FIND("上限",S169)),1,0)</f>
        <v>0</v>
      </c>
      <c r="Y169" s="32" t="n">
        <v>0</v>
      </c>
    </row>
    <row r="170" customFormat="false" ht="15" hidden="false" customHeight="true" outlineLevel="0" collapsed="false">
      <c r="A170" s="44" t="s">
        <v>2963</v>
      </c>
      <c r="B170" s="30" t="s">
        <v>113</v>
      </c>
      <c r="C170" s="196" t="n">
        <f aca="false">Harness!C61</f>
        <v>0.988943278022254</v>
      </c>
      <c r="D170" s="196" t="n">
        <f aca="false">Harness!D61</f>
        <v>0.963963460360214</v>
      </c>
      <c r="E170" s="196" t="n">
        <f aca="false">Harness!E61</f>
        <v>0.901693340131513</v>
      </c>
      <c r="F170" s="196" t="n">
        <f aca="false">Harness!F61</f>
        <v>0.826293243415818</v>
      </c>
      <c r="G170" s="196" t="n">
        <f aca="false">Harness!G61</f>
        <v>0.627115119175411</v>
      </c>
      <c r="R170" s="18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0" s="44" t="str">
        <f aca="false">IF(R170="—","—",IF(R170="A","基準輸入",IF(R170="B","情境、相對比較、反轉門檻","探索")))</f>
        <v>基準輸入</v>
      </c>
      <c r="T170" s="30" t="s">
        <v>751</v>
      </c>
      <c r="U170" s="44" t="str">
        <f aca="false">IF(V170=0,"—",LEFT(TEXT(V170,"0"),4)&amp;"-"&amp;MID(TEXT(V170,"0"),5,2)&amp;"-"&amp;RIGHT(TEXT(V170,"0"),2))</f>
        <v>—</v>
      </c>
      <c r="V170" s="33" t="n">
        <f aca="false">MAX(Gov_Map!$AJ$483,Gov_Map!$AJ$491,Gov_Map!$AJ$500,Gov_Map!$AJ$503,Gov_Map!$AJ$506,Gov_Map!$AJ$508)</f>
        <v>0</v>
      </c>
      <c r="W170" s="21" t="s">
        <v>2954</v>
      </c>
      <c r="X170" s="32" t="n">
        <f aca="false">IF(ISNUMBER(FIND("上限",S170)),1,0)</f>
        <v>0</v>
      </c>
      <c r="Y170" s="32" t="n">
        <v>0</v>
      </c>
    </row>
    <row r="171" customFormat="false" ht="15" hidden="false" customHeight="true" outlineLevel="0" collapsed="false">
      <c r="A171" s="44" t="s">
        <v>2964</v>
      </c>
      <c r="B171" s="30" t="s">
        <v>452</v>
      </c>
      <c r="C171" s="209" t="n">
        <f aca="false">Harness!C91</f>
        <v>0.000282271466750481</v>
      </c>
      <c r="D171" s="209" t="n">
        <f aca="false">Harness!D91</f>
        <v>0.00186329714942528</v>
      </c>
      <c r="E171" s="209" t="n">
        <f aca="false">Harness!E91</f>
        <v>0.00149769640054521</v>
      </c>
      <c r="F171" s="209" t="n">
        <f aca="false">Harness!F91</f>
        <v>0.00720786503479934</v>
      </c>
      <c r="G171" s="209" t="n">
        <f aca="false">Harness!G91</f>
        <v>0.0399390829605138</v>
      </c>
      <c r="R171" s="18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1" s="44" t="str">
        <f aca="false">IF(R171="—","—",IF(R171="A","基準輸入",IF(R171="B","情境、相對比較、反轉門檻","探索")))</f>
        <v>情境、相對比較、反轉門檻</v>
      </c>
      <c r="T171" s="30" t="s">
        <v>2817</v>
      </c>
      <c r="U171" s="44" t="str">
        <f aca="false">IF(V171=0,"—",LEFT(TEXT(V171,"0"),4)&amp;"-"&amp;MID(TEXT(V171,"0"),5,2)&amp;"-"&amp;RIGHT(TEXT(V171,"0"),2))</f>
        <v>2026-10-05</v>
      </c>
      <c r="V17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1" s="21" t="s">
        <v>2956</v>
      </c>
      <c r="X171" s="32" t="n">
        <f aca="false">IF(ISNUMBER(FIND("上限",S171)),1,0)</f>
        <v>0</v>
      </c>
      <c r="Y171" s="32" t="n">
        <v>0</v>
      </c>
    </row>
    <row r="172" customFormat="false" ht="15" hidden="false" customHeight="true" outlineLevel="0" collapsed="false">
      <c r="A172" s="44" t="s">
        <v>2965</v>
      </c>
      <c r="B172" s="30" t="s">
        <v>452</v>
      </c>
      <c r="C172" s="210" t="n">
        <f aca="false">Harness!C100</f>
        <v>0.000378316172579921</v>
      </c>
      <c r="D172" s="210" t="n">
        <f aca="false">Harness!D100</f>
        <v>0.00252446526061555</v>
      </c>
      <c r="E172" s="210" t="n">
        <f aca="false">Harness!E100</f>
        <v>0.00200720272080044</v>
      </c>
      <c r="F172" s="210" t="n">
        <f aca="false">Harness!F100</f>
        <v>0.00965993261634659</v>
      </c>
      <c r="G172" s="210" t="n">
        <f aca="false">Harness!G100</f>
        <v>0.0527516276769073</v>
      </c>
      <c r="R172" s="18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2" s="44" t="str">
        <f aca="false">IF(R172="—","—",IF(R172="A","基準輸入",IF(R172="B","情境、相對比較、反轉門檻","探索")))</f>
        <v>情境、相對比較、反轉門檻</v>
      </c>
      <c r="T172" s="30" t="s">
        <v>751</v>
      </c>
      <c r="U172" s="44" t="str">
        <f aca="false">IF(V172=0,"—",LEFT(TEXT(V172,"0"),4)&amp;"-"&amp;MID(TEXT(V172,"0"),5,2)&amp;"-"&amp;RIGHT(TEXT(V172,"0"),2))</f>
        <v>2026-10-08</v>
      </c>
      <c r="V17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2" s="21" t="s">
        <v>2958</v>
      </c>
      <c r="X172" s="32" t="n">
        <f aca="false">IF(ISNUMBER(FIND("上限",S172)),1,0)</f>
        <v>0</v>
      </c>
      <c r="Y172" s="32" t="n">
        <v>0</v>
      </c>
    </row>
    <row r="173" customFormat="false" ht="15" hidden="false" customHeight="true" outlineLevel="0" collapsed="false">
      <c r="A173" s="44" t="s">
        <v>2966</v>
      </c>
      <c r="B173" s="30" t="s">
        <v>452</v>
      </c>
      <c r="C173" s="210" t="n">
        <f aca="false">Harness!C129</f>
        <v>0.00663334302966199</v>
      </c>
      <c r="D173" s="210" t="n">
        <f aca="false">Harness!D129</f>
        <v>0.0333622604201019</v>
      </c>
      <c r="E173" s="210" t="n">
        <f aca="false">Harness!E129</f>
        <v>0.0372168</v>
      </c>
      <c r="F173" s="210" t="n">
        <f aca="false">Harness!F129</f>
        <v>0.179110847385002</v>
      </c>
      <c r="G173" s="210" t="n">
        <f aca="false">Harness!G129</f>
        <v>1.525632</v>
      </c>
      <c r="R173" s="18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73" s="44" t="str">
        <f aca="false">IF(R173="—","—",IF(R173="A","基準輸入",IF(R173="B","情境、相對比較、反轉門檻","探索")))</f>
        <v>情境、相對比較、反轉門檻</v>
      </c>
      <c r="T173" s="30" t="s">
        <v>751</v>
      </c>
      <c r="U173" s="44" t="str">
        <f aca="false">IF(V173=0,"—",LEFT(TEXT(V173,"0"),4)&amp;"-"&amp;MID(TEXT(V173,"0"),5,2)&amp;"-"&amp;RIGHT(TEXT(V173,"0"),2))</f>
        <v>—</v>
      </c>
      <c r="V173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73" s="21" t="s">
        <v>2960</v>
      </c>
      <c r="X173" s="32" t="n">
        <f aca="false">IF(ISNUMBER(FIND("上限",S173)),1,0)</f>
        <v>0</v>
      </c>
      <c r="Y173" s="32" t="n">
        <v>0</v>
      </c>
    </row>
    <row r="174" customFormat="false" ht="15" hidden="false" customHeight="true" outlineLevel="0" collapsed="false">
      <c r="A174" s="30" t="s">
        <v>2967</v>
      </c>
      <c r="B174" s="30" t="s">
        <v>118</v>
      </c>
      <c r="C174" s="192" t="n">
        <f aca="false">Harness!C137</f>
        <v>1</v>
      </c>
      <c r="D174" s="192" t="n">
        <f aca="false">Harness!D137</f>
        <v>1</v>
      </c>
      <c r="E174" s="192" t="n">
        <f aca="false">Harness!E137</f>
        <v>0.606334408966066</v>
      </c>
      <c r="F174" s="192" t="n">
        <f aca="false">Harness!F137</f>
        <v>0.549938350367623</v>
      </c>
      <c r="G174" s="192" t="n">
        <f aca="false">Harness!G137</f>
        <v>0.478078141949835</v>
      </c>
      <c r="R174" s="18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4" s="44" t="str">
        <f aca="false">IF(R174="—","—",IF(R174="A","基準輸入",IF(R174="B","情境、相對比較、反轉門檻","探索")))</f>
        <v>情境、相對比較、反轉門檻</v>
      </c>
      <c r="T174" s="30" t="s">
        <v>751</v>
      </c>
      <c r="U174" s="44" t="str">
        <f aca="false">IF(V174=0,"—",LEFT(TEXT(V174,"0"),4)&amp;"-"&amp;MID(TEXT(V174,"0"),5,2)&amp;"-"&amp;RIGHT(TEXT(V174,"0"),2))</f>
        <v>2026-10-05</v>
      </c>
      <c r="V174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4" s="21" t="s">
        <v>2956</v>
      </c>
      <c r="X174" s="32" t="n">
        <f aca="false">IF(ISNUMBER(FIND("上限",S174)),1,0)</f>
        <v>0</v>
      </c>
      <c r="Y174" s="32" t="n">
        <v>0</v>
      </c>
    </row>
    <row r="175" customFormat="false" ht="15" hidden="false" customHeight="true" outlineLevel="0" collapsed="false">
      <c r="A175" s="8" t="s">
        <v>280</v>
      </c>
    </row>
    <row r="176" customFormat="false" ht="15" hidden="false" customHeight="true" outlineLevel="0" collapsed="false">
      <c r="A176" s="44" t="s">
        <v>2968</v>
      </c>
      <c r="B176" s="30" t="s">
        <v>113</v>
      </c>
      <c r="C176" s="196" t="n">
        <f aca="false">Harness!C63</f>
        <v>0.993396032445753</v>
      </c>
      <c r="D176" s="196" t="n">
        <f aca="false">Harness!D63</f>
        <v>0.978254868861662</v>
      </c>
      <c r="E176" s="196" t="n">
        <f aca="false">Harness!E63</f>
        <v>0.930816639357101</v>
      </c>
      <c r="F176" s="196" t="n">
        <f aca="false">Harness!F63</f>
        <v>0.826293243415818</v>
      </c>
      <c r="G176" s="196" t="n">
        <f aca="false">Harness!G63</f>
        <v>0.627115119175411</v>
      </c>
      <c r="R176" s="184" t="str">
        <f aca="false">IF(SUM(Gov_Map!$AG$483,Gov_Map!$AG$491,Gov_Map!$AG$500,Gov_Map!$AG$503,Gov_Map!$AG$506,Gov_Map!$AG$508,Gov_Map!$AG$521:$AG$522)&gt;0,"C",IF(SUM(Gov_Map!$AH$483,Gov_Map!$AH$491,Gov_Map!$AH$500,Gov_Map!$AH$503,Gov_Map!$AH$506,Gov_Map!$AH$508,Gov_Map!$AH$521:$AH$522)&gt;0,"B","A"))</f>
        <v>A</v>
      </c>
      <c r="S176" s="44" t="str">
        <f aca="false">IF(R176="—","—",IF(R176="A","基準輸入",IF(R176="B","情境、相對比較、反轉門檻","探索")))</f>
        <v>基準輸入</v>
      </c>
      <c r="T176" s="30" t="s">
        <v>751</v>
      </c>
      <c r="U176" s="44" t="str">
        <f aca="false">IF(V176=0,"—",LEFT(TEXT(V176,"0"),4)&amp;"-"&amp;MID(TEXT(V176,"0"),5,2)&amp;"-"&amp;RIGHT(TEXT(V176,"0"),2))</f>
        <v>—</v>
      </c>
      <c r="V176" s="33" t="n">
        <f aca="false">MAX(Gov_Map!$AJ$483,Gov_Map!$AJ$491,Gov_Map!$AJ$500,Gov_Map!$AJ$503,Gov_Map!$AJ$506,Gov_Map!$AJ$508,Gov_Map!$AJ$521:$AJ$522)</f>
        <v>0</v>
      </c>
      <c r="W176" s="21" t="s">
        <v>2952</v>
      </c>
      <c r="X176" s="32" t="n">
        <f aca="false">IF(ISNUMBER(FIND("上限",S176)),1,0)</f>
        <v>0</v>
      </c>
      <c r="Y176" s="32" t="n">
        <v>0</v>
      </c>
    </row>
    <row r="177" customFormat="false" ht="15" hidden="false" customHeight="true" outlineLevel="0" collapsed="false">
      <c r="A177" s="44" t="s">
        <v>2969</v>
      </c>
      <c r="B177" s="30" t="s">
        <v>113</v>
      </c>
      <c r="C177" s="196" t="n">
        <f aca="false">Harness!C64</f>
        <v>0.993396032445753</v>
      </c>
      <c r="D177" s="196" t="n">
        <f aca="false">Harness!D64</f>
        <v>0.978254868861662</v>
      </c>
      <c r="E177" s="196" t="n">
        <f aca="false">Harness!E64</f>
        <v>0.939120259663704</v>
      </c>
      <c r="F177" s="196" t="n">
        <f aca="false">Harness!F64</f>
        <v>0.888888888888889</v>
      </c>
      <c r="G177" s="196" t="n">
        <f aca="false">Harness!G64</f>
        <v>0.738796125036259</v>
      </c>
      <c r="R177" s="184" t="str">
        <f aca="false">IF(SUM(Gov_Map!$AG$483,Gov_Map!$AG$491,Gov_Map!$AG$500,Gov_Map!$AG$503,Gov_Map!$AG$506,Gov_Map!$AG$508)&gt;0,"C",IF(SUM(Gov_Map!$AH$483,Gov_Map!$AH$491,Gov_Map!$AH$500,Gov_Map!$AH$503,Gov_Map!$AH$506,Gov_Map!$AH$508)&gt;0,"B","A"))</f>
        <v>A</v>
      </c>
      <c r="S177" s="44" t="str">
        <f aca="false">IF(R177="—","—",IF(R177="A","基準輸入",IF(R177="B","情境、相對比較、反轉門檻","探索")))</f>
        <v>基準輸入</v>
      </c>
      <c r="T177" s="30" t="s">
        <v>751</v>
      </c>
      <c r="U177" s="44" t="str">
        <f aca="false">IF(V177=0,"—",LEFT(TEXT(V177,"0"),4)&amp;"-"&amp;MID(TEXT(V177,"0"),5,2)&amp;"-"&amp;RIGHT(TEXT(V177,"0"),2))</f>
        <v>—</v>
      </c>
      <c r="V177" s="33" t="n">
        <f aca="false">MAX(Gov_Map!$AJ$483,Gov_Map!$AJ$491,Gov_Map!$AJ$500,Gov_Map!$AJ$503,Gov_Map!$AJ$506,Gov_Map!$AJ$508)</f>
        <v>0</v>
      </c>
      <c r="W177" s="21" t="s">
        <v>2954</v>
      </c>
      <c r="X177" s="32" t="n">
        <f aca="false">IF(ISNUMBER(FIND("上限",S177)),1,0)</f>
        <v>0</v>
      </c>
      <c r="Y177" s="32" t="n">
        <v>0</v>
      </c>
    </row>
    <row r="178" customFormat="false" ht="15" hidden="false" customHeight="true" outlineLevel="0" collapsed="false">
      <c r="A178" s="44" t="s">
        <v>2970</v>
      </c>
      <c r="B178" s="30" t="s">
        <v>452</v>
      </c>
      <c r="C178" s="209" t="n">
        <f aca="false">Harness!C94</f>
        <v>0.00129917760034516</v>
      </c>
      <c r="D178" s="209" t="n">
        <f aca="false">Harness!D94</f>
        <v>0.00884075209631596</v>
      </c>
      <c r="E178" s="209" t="n">
        <f aca="false">Harness!E94</f>
        <v>0.00664194467737183</v>
      </c>
      <c r="F178" s="209" t="n">
        <f aca="false">Harness!F94</f>
        <v>0.0299285159241019</v>
      </c>
      <c r="G178" s="209" t="n">
        <f aca="false">Harness!G94</f>
        <v>0.142811041402312</v>
      </c>
      <c r="R178" s="18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8" s="44" t="str">
        <f aca="false">IF(R178="—","—",IF(R178="A","基準輸入",IF(R178="B","情境、相對比較、反轉門檻","探索")))</f>
        <v>情境、相對比較、反轉門檻</v>
      </c>
      <c r="T178" s="30" t="s">
        <v>2817</v>
      </c>
      <c r="U178" s="44" t="str">
        <f aca="false">IF(V178=0,"—",LEFT(TEXT(V178,"0"),4)&amp;"-"&amp;MID(TEXT(V178,"0"),5,2)&amp;"-"&amp;RIGHT(TEXT(V178,"0"),2))</f>
        <v>2026-10-05</v>
      </c>
      <c r="V178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78" s="21" t="s">
        <v>2956</v>
      </c>
      <c r="X178" s="32" t="n">
        <f aca="false">IF(ISNUMBER(FIND("上限",S178)),1,0)</f>
        <v>0</v>
      </c>
      <c r="Y178" s="32" t="n">
        <v>0</v>
      </c>
    </row>
    <row r="179" customFormat="false" ht="15" hidden="false" customHeight="true" outlineLevel="0" collapsed="false">
      <c r="A179" s="44" t="s">
        <v>2971</v>
      </c>
      <c r="B179" s="30" t="s">
        <v>452</v>
      </c>
      <c r="C179" s="210" t="n">
        <f aca="false">Harness!C103</f>
        <v>0.00205965174823083</v>
      </c>
      <c r="D179" s="210" t="n">
        <f aca="false">Harness!D103</f>
        <v>0.0143361394890655</v>
      </c>
      <c r="E179" s="210" t="n">
        <f aca="false">Harness!E103</f>
        <v>0.0105201674316699</v>
      </c>
      <c r="F179" s="210" t="n">
        <f aca="false">Harness!F103</f>
        <v>0.0474037369771555</v>
      </c>
      <c r="G179" s="210" t="n">
        <f aca="false">Harness!G103</f>
        <v>0.21795007078719</v>
      </c>
      <c r="R179" s="18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$71,Gov_Map!$AG$76,Gov_Map!$AG$81,Gov_Map!$AG$86,Gov_Map!$AG$96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$71,Gov_Map!$AH$76,Gov_Map!$AH$81,Gov_Map!$AH$86,Gov_Map!$AH$96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79" s="44" t="str">
        <f aca="false">IF(R179="—","—",IF(R179="A","基準輸入",IF(R179="B","情境、相對比較、反轉門檻","探索")))</f>
        <v>情境、相對比較、反轉門檻</v>
      </c>
      <c r="T179" s="30" t="s">
        <v>751</v>
      </c>
      <c r="U179" s="44" t="str">
        <f aca="false">IF(V179=0,"—",LEFT(TEXT(V179,"0"),4)&amp;"-"&amp;MID(TEXT(V179,"0"),5,2)&amp;"-"&amp;RIGHT(TEXT(V179,"0"),2))</f>
        <v>2026-10-08</v>
      </c>
      <c r="V179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$71,Gov_Map!$AJ$76,Gov_Map!$AJ$81,Gov_Map!$AJ$86,Gov_Map!$AJ$96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20261008</v>
      </c>
      <c r="W179" s="21" t="s">
        <v>2958</v>
      </c>
      <c r="X179" s="32" t="n">
        <f aca="false">IF(ISNUMBER(FIND("上限",S179)),1,0)</f>
        <v>0</v>
      </c>
      <c r="Y179" s="32" t="n">
        <v>0</v>
      </c>
    </row>
    <row r="180" customFormat="false" ht="15" hidden="false" customHeight="true" outlineLevel="0" collapsed="false">
      <c r="A180" s="44" t="s">
        <v>2972</v>
      </c>
      <c r="B180" s="30" t="s">
        <v>452</v>
      </c>
      <c r="C180" s="210" t="n">
        <f aca="false">Harness!C132</f>
        <v>0.0330180501317747</v>
      </c>
      <c r="D180" s="210" t="n">
        <f aca="false">Harness!D132</f>
        <v>0.164374341614178</v>
      </c>
      <c r="E180" s="210" t="n">
        <f aca="false">Harness!E132</f>
        <v>0.177702023154898</v>
      </c>
      <c r="F180" s="210" t="n">
        <f aca="false">Harness!F132</f>
        <v>0.800722994254286</v>
      </c>
      <c r="G180" s="210" t="n">
        <f aca="false">Harness!G132</f>
        <v>6.08194553659479</v>
      </c>
      <c r="R180" s="184" t="str">
        <f aca="false">IF(SUM(Gov_Map!$AG$255:$AG$304,Gov_Map!$AG$445,Gov_Map!$AG$449,Gov_Map!$AG$451,Gov_Map!$AG$483,Gov_Map!$AG$485:$AG$491,Gov_Map!$AG$494:$AG$498,Gov_Map!$AG$500,Gov_Map!$AG$502:$AG$503,Gov_Map!$AG$506,Gov_Map!$AG$508,Gov_Map!$AG$510:$AG$518,Gov_Map!$AG$521:$AG$522,Gov_Map!$AG$659)&gt;0,"C",IF(SUM(Gov_Map!$AH$255:$AH$304,Gov_Map!$AH$445,Gov_Map!$AH$449,Gov_Map!$AH$451,Gov_Map!$AH$483,Gov_Map!$AH$485:$AH$491,Gov_Map!$AH$494:$AH$498,Gov_Map!$AH$500,Gov_Map!$AH$502:$AH$503,Gov_Map!$AH$506,Gov_Map!$AH$508,Gov_Map!$AH$510:$AH$518,Gov_Map!$AH$521:$AH$522,Gov_Map!$AH$659)&gt;0,"B","A"))</f>
        <v>B</v>
      </c>
      <c r="S180" s="44" t="str">
        <f aca="false">IF(R180="—","—",IF(R180="A","基準輸入",IF(R180="B","情境、相對比較、反轉門檻","探索")))</f>
        <v>情境、相對比較、反轉門檻</v>
      </c>
      <c r="T180" s="30" t="s">
        <v>751</v>
      </c>
      <c r="U180" s="44" t="str">
        <f aca="false">IF(V180=0,"—",LEFT(TEXT(V180,"0"),4)&amp;"-"&amp;MID(TEXT(V180,"0"),5,2)&amp;"-"&amp;RIGHT(TEXT(V180,"0"),2))</f>
        <v>—</v>
      </c>
      <c r="V180" s="33" t="n">
        <f aca="false">MAX(Gov_Map!$AJ$255:$AJ$304,Gov_Map!$AJ$445,Gov_Map!$AJ$449,Gov_Map!$AJ$451,Gov_Map!$AJ$483,Gov_Map!$AJ$485:$AJ$491,Gov_Map!$AJ$494:$AJ$498,Gov_Map!$AJ$500,Gov_Map!$AJ$502:$AJ$503,Gov_Map!$AJ$506,Gov_Map!$AJ$508,Gov_Map!$AJ$510:$AJ$518,Gov_Map!$AJ$521:$AJ$522,Gov_Map!$AJ$659)</f>
        <v>0</v>
      </c>
      <c r="W180" s="21" t="s">
        <v>2960</v>
      </c>
      <c r="X180" s="32" t="n">
        <f aca="false">IF(ISNUMBER(FIND("上限",S180)),1,0)</f>
        <v>0</v>
      </c>
      <c r="Y180" s="32" t="n">
        <v>0</v>
      </c>
    </row>
    <row r="181" customFormat="false" ht="15" hidden="false" customHeight="true" outlineLevel="0" collapsed="false">
      <c r="A181" s="30" t="s">
        <v>2973</v>
      </c>
      <c r="B181" s="30" t="s">
        <v>118</v>
      </c>
      <c r="C181" s="192" t="n">
        <f aca="false">Harness!C138</f>
        <v>1</v>
      </c>
      <c r="D181" s="192" t="n">
        <f aca="false">Harness!D138</f>
        <v>1</v>
      </c>
      <c r="E181" s="192" t="n">
        <f aca="false">Harness!E138</f>
        <v>0.609544423277789</v>
      </c>
      <c r="F181" s="192" t="n">
        <f aca="false">Harness!F138</f>
        <v>0.571674943858998</v>
      </c>
      <c r="G181" s="192" t="n">
        <f aca="false">Harness!G138</f>
        <v>0.519237863316496</v>
      </c>
      <c r="R181" s="18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81" s="44" t="str">
        <f aca="false">IF(R181="—","—",IF(R181="A","基準輸入",IF(R181="B","情境、相對比較、反轉門檻","探索")))</f>
        <v>情境、相對比較、反轉門檻</v>
      </c>
      <c r="T181" s="30" t="s">
        <v>751</v>
      </c>
      <c r="U181" s="44" t="str">
        <f aca="false">IF(V181=0,"—",LEFT(TEXT(V181,"0"),4)&amp;"-"&amp;MID(TEXT(V181,"0"),5,2)&amp;"-"&amp;RIGHT(TEXT(V181,"0"),2))</f>
        <v>2026-10-05</v>
      </c>
      <c r="V18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$492,Gov_Map!$AJ$494:$AJ$500,Gov_Map!$AJ$502:$AJ$503,Gov_Map!$AJ$506,Gov_Map!$AJ$508,Gov_Map!$AJ$510:$AJ$518,Gov_Map!$AJ$521:$AJ$522,Gov_Map!$AJ$574:$AJ$578,Gov_Map!$AJ$605:$AJ$606,Gov_Map!$AJ$609,Gov_Map!$AJ$659:$AJ$660)</f>
        <v>20261005</v>
      </c>
      <c r="W181" s="21" t="s">
        <v>2956</v>
      </c>
      <c r="X181" s="32" t="n">
        <f aca="false">IF(ISNUMBER(FIND("上限",S181)),1,0)</f>
        <v>0</v>
      </c>
      <c r="Y181" s="32" t="n">
        <v>0</v>
      </c>
    </row>
    <row r="182" customFormat="false" ht="15" hidden="false" customHeight="true" outlineLevel="0" collapsed="false">
      <c r="A182" s="8" t="s">
        <v>2974</v>
      </c>
    </row>
    <row r="183" customFormat="false" ht="15" hidden="false" customHeight="true" outlineLevel="0" collapsed="false">
      <c r="A183" s="30" t="s">
        <v>2975</v>
      </c>
      <c r="B183" s="30" t="s">
        <v>452</v>
      </c>
      <c r="C183" s="210" t="n">
        <f aca="false">Harness!C68</f>
        <v>8.55425798680921E-005</v>
      </c>
      <c r="D183" s="210" t="n">
        <f aca="false">Harness!D68</f>
        <v>0.000555064372931353</v>
      </c>
      <c r="E183" s="210" t="n">
        <f aca="false">Harness!E68</f>
        <v>0.000408718907241998</v>
      </c>
      <c r="F183" s="210" t="n">
        <f aca="false">Harness!F68</f>
        <v>0.00163487562896799</v>
      </c>
      <c r="G183" s="210" t="n">
        <f aca="false">Harness!G68</f>
        <v>0.00611395715580883</v>
      </c>
      <c r="R183" s="18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3" s="44" t="str">
        <f aca="false">IF(R183="—","—",IF(R183="A","基準輸入",IF(R183="B","情境、相對比較、反轉門檻","探索")))</f>
        <v>情境、相對比較、反轉門檻</v>
      </c>
      <c r="T183" s="30" t="s">
        <v>2817</v>
      </c>
      <c r="U183" s="44" t="str">
        <f aca="false">IF(V183=0,"—",LEFT(TEXT(V183,"0"),4)&amp;"-"&amp;MID(TEXT(V183,"0"),5,2)&amp;"-"&amp;RIGHT(TEXT(V183,"0"),2))</f>
        <v>2026-10-05</v>
      </c>
      <c r="V183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3" s="21" t="s">
        <v>2976</v>
      </c>
      <c r="X183" s="32" t="n">
        <f aca="false">IF(ISNUMBER(FIND("上限",S183)),1,0)</f>
        <v>0</v>
      </c>
      <c r="Y183" s="32" t="n">
        <v>0</v>
      </c>
    </row>
    <row r="184" customFormat="false" ht="15" hidden="false" customHeight="true" outlineLevel="0" collapsed="false">
      <c r="A184" s="30" t="s">
        <v>2977</v>
      </c>
      <c r="B184" s="30" t="s">
        <v>1321</v>
      </c>
      <c r="C184" s="192" t="n">
        <f aca="false">Harness!C160</f>
        <v>1.5</v>
      </c>
      <c r="D184" s="192" t="n">
        <f aca="false">Harness!D160</f>
        <v>1.5</v>
      </c>
      <c r="E184" s="192" t="n">
        <f aca="false">Harness!E160</f>
        <v>1.5</v>
      </c>
      <c r="F184" s="192" t="n">
        <f aca="false">Harness!F160</f>
        <v>1.5</v>
      </c>
      <c r="G184" s="192" t="n">
        <f aca="false">Harness!G160</f>
        <v>1.5</v>
      </c>
      <c r="R184" s="18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4" s="44" t="str">
        <f aca="false">IF(R184="—","—",IF(R184="A","基準輸入",IF(R184="B","情境、相對比較、反轉門檻","探索")))</f>
        <v>基準輸入</v>
      </c>
      <c r="T184" s="30" t="s">
        <v>751</v>
      </c>
      <c r="U184" s="44" t="str">
        <f aca="false">IF(V184=0,"—",LEFT(TEXT(V184,"0"),4)&amp;"-"&amp;MID(TEXT(V184,"0"),5,2)&amp;"-"&amp;RIGHT(TEXT(V184,"0"),2))</f>
        <v>—</v>
      </c>
      <c r="V184" s="33" t="n">
        <f aca="false">MAX(Gov_Map!$AJ$483,Gov_Map!$AJ$491,Gov_Map!$AJ$500,Gov_Map!$AJ$503,Gov_Map!$AJ$521:$AJ$522)</f>
        <v>0</v>
      </c>
      <c r="W184" s="21" t="s">
        <v>2954</v>
      </c>
      <c r="X184" s="32" t="n">
        <f aca="false">IF(ISNUMBER(FIND("上限",S184)),1,0)</f>
        <v>0</v>
      </c>
      <c r="Y184" s="32" t="n">
        <v>0</v>
      </c>
    </row>
    <row r="185" customFormat="false" ht="15" hidden="false" customHeight="true" outlineLevel="0" collapsed="false">
      <c r="A185" s="30" t="s">
        <v>2978</v>
      </c>
      <c r="B185" s="30" t="s">
        <v>452</v>
      </c>
      <c r="C185" s="210" t="n">
        <f aca="false">Harness!C71</f>
        <v>0.000279150469620371</v>
      </c>
      <c r="D185" s="210" t="n">
        <f aca="false">Harness!D71</f>
        <v>0.00179615036783932</v>
      </c>
      <c r="E185" s="210" t="n">
        <f aca="false">Harness!E71</f>
        <v>0.00133128568937352</v>
      </c>
      <c r="F185" s="210" t="n">
        <f aca="false">Harness!F71</f>
        <v>0.00532514275749409</v>
      </c>
      <c r="G185" s="210" t="n">
        <f aca="false">Harness!G71</f>
        <v>0.0199695414802569</v>
      </c>
      <c r="R185" s="18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5" s="44" t="str">
        <f aca="false">IF(R185="—","—",IF(R185="A","基準輸入",IF(R185="B","情境、相對比較、反轉門檻","探索")))</f>
        <v>情境、相對比較、反轉門檻</v>
      </c>
      <c r="T185" s="30" t="s">
        <v>2817</v>
      </c>
      <c r="U185" s="44" t="str">
        <f aca="false">IF(V185=0,"—",LEFT(TEXT(V185,"0"),4)&amp;"-"&amp;MID(TEXT(V185,"0"),5,2)&amp;"-"&amp;RIGHT(TEXT(V185,"0"),2))</f>
        <v>2026-10-05</v>
      </c>
      <c r="V185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5" s="21" t="s">
        <v>2976</v>
      </c>
      <c r="X185" s="32" t="n">
        <f aca="false">IF(ISNUMBER(FIND("上限",S185)),1,0)</f>
        <v>0</v>
      </c>
      <c r="Y185" s="32" t="n">
        <v>0</v>
      </c>
    </row>
    <row r="186" customFormat="false" ht="15" hidden="false" customHeight="true" outlineLevel="0" collapsed="false">
      <c r="A186" s="30" t="s">
        <v>2979</v>
      </c>
      <c r="B186" s="30" t="s">
        <v>1321</v>
      </c>
      <c r="C186" s="192" t="n">
        <f aca="false">Harness!C161</f>
        <v>8</v>
      </c>
      <c r="D186" s="192" t="n">
        <f aca="false">Harness!D161</f>
        <v>8</v>
      </c>
      <c r="E186" s="192" t="n">
        <f aca="false">Harness!E161</f>
        <v>8</v>
      </c>
      <c r="F186" s="192" t="n">
        <f aca="false">Harness!F161</f>
        <v>8</v>
      </c>
      <c r="G186" s="192" t="n">
        <f aca="false">Harness!G161</f>
        <v>8</v>
      </c>
      <c r="R186" s="18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6" s="44" t="str">
        <f aca="false">IF(R186="—","—",IF(R186="A","基準輸入",IF(R186="B","情境、相對比較、反轉門檻","探索")))</f>
        <v>基準輸入</v>
      </c>
      <c r="T186" s="30" t="s">
        <v>751</v>
      </c>
      <c r="U186" s="44" t="str">
        <f aca="false">IF(V186=0,"—",LEFT(TEXT(V186,"0"),4)&amp;"-"&amp;MID(TEXT(V186,"0"),5,2)&amp;"-"&amp;RIGHT(TEXT(V186,"0"),2))</f>
        <v>—</v>
      </c>
      <c r="V186" s="33" t="n">
        <f aca="false">MAX(Gov_Map!$AJ$483,Gov_Map!$AJ$491,Gov_Map!$AJ$500,Gov_Map!$AJ$503,Gov_Map!$AJ$521:$AJ$522)</f>
        <v>0</v>
      </c>
      <c r="W186" s="21" t="s">
        <v>2954</v>
      </c>
      <c r="X186" s="32" t="n">
        <f aca="false">IF(ISNUMBER(FIND("上限",S186)),1,0)</f>
        <v>0</v>
      </c>
      <c r="Y186" s="32" t="n">
        <v>0</v>
      </c>
    </row>
    <row r="187" customFormat="false" ht="15" hidden="false" customHeight="true" outlineLevel="0" collapsed="false">
      <c r="A187" s="30" t="s">
        <v>2980</v>
      </c>
      <c r="B187" s="30" t="s">
        <v>452</v>
      </c>
      <c r="C187" s="210" t="n">
        <f aca="false">Harness!C74</f>
        <v>0.00129059787362528</v>
      </c>
      <c r="D187" s="210" t="n">
        <f aca="false">Harness!D74</f>
        <v>0.00864850878262003</v>
      </c>
      <c r="E187" s="210" t="n">
        <f aca="false">Harness!E74</f>
        <v>0.00618243262338703</v>
      </c>
      <c r="F187" s="210" t="n">
        <f aca="false">Harness!F74</f>
        <v>0.0247297304935481</v>
      </c>
      <c r="G187" s="210" t="n">
        <f aca="false">Harness!G74</f>
        <v>0.0895589632485757</v>
      </c>
      <c r="R187" s="18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,Gov_Map!$AG$485:$AG$490,Gov_Map!$AG$492,Gov_Map!$AG$494:$AG$499,Gov_Map!$AG$502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,Gov_Map!$AH$485:$AH$490,Gov_Map!$AH$492,Gov_Map!$AH$494:$AH$499,Gov_Map!$AH$502,Gov_Map!$AH$510:$AH$518,Gov_Map!$AH$521:$AH$522,Gov_Map!$AH$574:$AH$578,Gov_Map!$AH$605:$AH$606,Gov_Map!$AH$609,Gov_Map!$AH$659:$AH$660)&gt;0,"B","A"))</f>
        <v>B</v>
      </c>
      <c r="S187" s="44" t="str">
        <f aca="false">IF(R187="—","—",IF(R187="A","基準輸入",IF(R187="B","情境、相對比較、反轉門檻","探索")))</f>
        <v>情境、相對比較、反轉門檻</v>
      </c>
      <c r="T187" s="30" t="s">
        <v>2817</v>
      </c>
      <c r="U187" s="44" t="str">
        <f aca="false">IF(V187=0,"—",LEFT(TEXT(V187,"0"),4)&amp;"-"&amp;MID(TEXT(V187,"0"),5,2)&amp;"-"&amp;RIGHT(TEXT(V187,"0"),2))</f>
        <v>2026-10-05</v>
      </c>
      <c r="V187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,Gov_Map!$AJ$485:$AJ$490,Gov_Map!$AJ$492,Gov_Map!$AJ$494:$AJ$499,Gov_Map!$AJ$502,Gov_Map!$AJ$510:$AJ$518,Gov_Map!$AJ$521:$AJ$522,Gov_Map!$AJ$574:$AJ$578,Gov_Map!$AJ$605:$AJ$606,Gov_Map!$AJ$609,Gov_Map!$AJ$659:$AJ$660)</f>
        <v>20261005</v>
      </c>
      <c r="W187" s="21" t="s">
        <v>2976</v>
      </c>
      <c r="X187" s="32" t="n">
        <f aca="false">IF(ISNUMBER(FIND("上限",S187)),1,0)</f>
        <v>0</v>
      </c>
      <c r="Y187" s="32" t="n">
        <v>0</v>
      </c>
    </row>
    <row r="188" customFormat="false" ht="15" hidden="false" customHeight="true" outlineLevel="0" collapsed="false">
      <c r="A188" s="30" t="s">
        <v>2981</v>
      </c>
      <c r="B188" s="30" t="s">
        <v>1321</v>
      </c>
      <c r="C188" s="192" t="n">
        <f aca="false">Harness!C162</f>
        <v>16</v>
      </c>
      <c r="D188" s="192" t="n">
        <f aca="false">Harness!D162</f>
        <v>16</v>
      </c>
      <c r="E188" s="192" t="n">
        <f aca="false">Harness!E162</f>
        <v>16</v>
      </c>
      <c r="F188" s="192" t="n">
        <f aca="false">Harness!F162</f>
        <v>16</v>
      </c>
      <c r="G188" s="192" t="n">
        <f aca="false">Harness!G162</f>
        <v>16</v>
      </c>
      <c r="R188" s="184" t="str">
        <f aca="false">IF(SUM(Gov_Map!$AG$483,Gov_Map!$AG$491,Gov_Map!$AG$500,Gov_Map!$AG$503,Gov_Map!$AG$521:$AG$522)&gt;0,"C",IF(SUM(Gov_Map!$AH$483,Gov_Map!$AH$491,Gov_Map!$AH$500,Gov_Map!$AH$503,Gov_Map!$AH$521:$AH$522)&gt;0,"B","A"))</f>
        <v>A</v>
      </c>
      <c r="S188" s="44" t="str">
        <f aca="false">IF(R188="—","—",IF(R188="A","基準輸入",IF(R188="B","情境、相對比較、反轉門檻","探索")))</f>
        <v>基準輸入</v>
      </c>
      <c r="T188" s="30" t="s">
        <v>751</v>
      </c>
      <c r="U188" s="44" t="str">
        <f aca="false">IF(V188=0,"—",LEFT(TEXT(V188,"0"),4)&amp;"-"&amp;MID(TEXT(V188,"0"),5,2)&amp;"-"&amp;RIGHT(TEXT(V188,"0"),2))</f>
        <v>—</v>
      </c>
      <c r="V188" s="33" t="n">
        <f aca="false">MAX(Gov_Map!$AJ$483,Gov_Map!$AJ$491,Gov_Map!$AJ$500,Gov_Map!$AJ$503,Gov_Map!$AJ$521:$AJ$522)</f>
        <v>0</v>
      </c>
      <c r="W188" s="21" t="s">
        <v>2954</v>
      </c>
      <c r="X188" s="32" t="n">
        <f aca="false">IF(ISNUMBER(FIND("上限",S188)),1,0)</f>
        <v>0</v>
      </c>
      <c r="Y188" s="32" t="n">
        <v>0</v>
      </c>
    </row>
    <row r="189" customFormat="false" ht="15" hidden="false" customHeight="true" outlineLevel="0" collapsed="false">
      <c r="A189" s="44" t="s">
        <v>2982</v>
      </c>
      <c r="B189" s="30" t="s">
        <v>113</v>
      </c>
      <c r="C189" s="207" t="n">
        <f aca="false">B5_PFloor</f>
        <v>0.5</v>
      </c>
      <c r="R189" s="184" t="str">
        <f aca="false">IF(SUM(Gov_Map!$AG$484)&gt;0,"C",IF(SUM(Gov_Map!$AH$484)&gt;0,"B","A"))</f>
        <v>A</v>
      </c>
      <c r="S189" s="44" t="str">
        <f aca="false">IF(R189="—","—",IF(R189="A","基準輸入",IF(R189="B","情境、相對比較、反轉門檻","探索")))</f>
        <v>基準輸入</v>
      </c>
      <c r="T189" s="30" t="s">
        <v>751</v>
      </c>
      <c r="U189" s="44" t="str">
        <f aca="false">IF(V189=0,"—",LEFT(TEXT(V189,"0"),4)&amp;"-"&amp;MID(TEXT(V189,"0"),5,2)&amp;"-"&amp;RIGHT(TEXT(V189,"0"),2))</f>
        <v>—</v>
      </c>
      <c r="V189" s="33" t="n">
        <f aca="false">MAX(Gov_Map!$AJ$484)</f>
        <v>0</v>
      </c>
      <c r="W189" s="21" t="s">
        <v>2854</v>
      </c>
      <c r="X189" s="32" t="n">
        <f aca="false">IF(ISNUMBER(FIND("上限",S189)),1,0)</f>
        <v>0</v>
      </c>
      <c r="Y189" s="32" t="n">
        <v>0</v>
      </c>
    </row>
    <row r="190" customFormat="false" ht="15" hidden="false" customHeight="true" outlineLevel="0" collapsed="false">
      <c r="A190" s="44" t="s">
        <v>2983</v>
      </c>
      <c r="B190" s="30" t="s">
        <v>452</v>
      </c>
      <c r="C190" s="209" t="n">
        <f aca="false">Harness!C151</f>
        <v>8.8899077896421E-005</v>
      </c>
      <c r="D190" s="209" t="n">
        <f aca="false">Harness!D151</f>
        <v>0.000627888436452441</v>
      </c>
      <c r="E190" s="209" t="n">
        <f aca="false">Harness!E151</f>
        <v>0.000348021397530065</v>
      </c>
      <c r="F190" s="209" t="n">
        <f aca="false">Harness!F151</f>
        <v>0.00174967897679409</v>
      </c>
      <c r="G190" s="209" t="n">
        <f aca="false">Harness!G151</f>
        <v>0.0190940025729427</v>
      </c>
      <c r="R190" s="18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0" s="44" t="str">
        <f aca="false">IF(R190="—","—",IF(R190="A","基準輸入",IF(R190="B","情境、相對比較、反轉門檻","探索")))</f>
        <v>情境、相對比較、反轉門檻</v>
      </c>
      <c r="T190" s="30" t="s">
        <v>751</v>
      </c>
      <c r="U190" s="44" t="str">
        <f aca="false">IF(V190=0,"—",LEFT(TEXT(V190,"0"),4)&amp;"-"&amp;MID(TEXT(V190,"0"),5,2)&amp;"-"&amp;RIGHT(TEXT(V190,"0"),2))</f>
        <v>2026-10-05</v>
      </c>
      <c r="V190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0" s="21" t="s">
        <v>2984</v>
      </c>
      <c r="X190" s="32" t="n">
        <f aca="false">IF(ISNUMBER(FIND("上限",S190)),1,0)</f>
        <v>0</v>
      </c>
      <c r="Y190" s="32" t="n">
        <v>0</v>
      </c>
    </row>
    <row r="191" customFormat="false" ht="15" hidden="false" customHeight="true" outlineLevel="0" collapsed="false">
      <c r="A191" s="44" t="s">
        <v>2985</v>
      </c>
      <c r="B191" s="44"/>
      <c r="C191" s="184" t="str">
        <f aca="false">Harness!C152</f>
        <v>Luna｜標準</v>
      </c>
      <c r="D191" s="184" t="str">
        <f aca="false">Harness!D152</f>
        <v>Luna｜標準</v>
      </c>
      <c r="E191" s="184" t="str">
        <f aca="false">Harness!E152</f>
        <v>Luna｜選定</v>
      </c>
      <c r="F191" s="184" t="str">
        <f aca="false">Harness!F152</f>
        <v>Luna｜選定</v>
      </c>
      <c r="G191" s="184" t="str">
        <f aca="false">Harness!G152</f>
        <v>Sol｜選定</v>
      </c>
      <c r="R191" s="18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1" s="44" t="str">
        <f aca="false">IF(R191="—","—",IF(R191="A","基準輸入",IF(R191="B","情境、相對比較、反轉門檻","探索")))</f>
        <v>情境、相對比較、反轉門檻</v>
      </c>
      <c r="T191" s="30" t="s">
        <v>751</v>
      </c>
      <c r="U191" s="44" t="str">
        <f aca="false">IF(V191=0,"—",LEFT(TEXT(V191,"0"),4)&amp;"-"&amp;MID(TEXT(V191,"0"),5,2)&amp;"-"&amp;RIGHT(TEXT(V191,"0"),2))</f>
        <v>2026-10-05</v>
      </c>
      <c r="V191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1" s="21" t="s">
        <v>2984</v>
      </c>
      <c r="X191" s="32" t="n">
        <f aca="false">IF(ISNUMBER(FIND("上限",S191)),1,0)</f>
        <v>0</v>
      </c>
      <c r="Y191" s="32" t="n">
        <v>0</v>
      </c>
    </row>
    <row r="192" customFormat="false" ht="15" hidden="false" customHeight="true" outlineLevel="0" collapsed="false">
      <c r="A192" s="44" t="s">
        <v>2986</v>
      </c>
      <c r="B192" s="30" t="s">
        <v>113</v>
      </c>
      <c r="C192" s="196" t="n">
        <f aca="false">Harness!C153</f>
        <v>0.962243725044712</v>
      </c>
      <c r="D192" s="196" t="n">
        <f aca="false">Harness!D153</f>
        <v>0.884017511243649</v>
      </c>
      <c r="E192" s="196" t="n">
        <f aca="false">Harness!E153</f>
        <v>0.723262011773013</v>
      </c>
      <c r="F192" s="196" t="n">
        <f aca="false">Harness!F153</f>
        <v>0.575444203093429</v>
      </c>
      <c r="G192" s="196" t="n">
        <f aca="false">Harness!G153</f>
        <v>0.627115119175411</v>
      </c>
      <c r="R192" s="184" t="str">
        <f aca="false">IF(SUM(Gov_Map!$AG$5:$AG$8,Gov_Map!$AG$11,Gov_Map!$AG$14,Gov_Map!$AG$17,Gov_Map!$AG$20,Gov_Map!$AG$23,Gov_Map!$AG$26,Gov_Map!$AG$29,Gov_Map!$AG$32,Gov_Map!$AG$35,Gov_Map!$AG$38,Gov_Map!$AG$41,Gov_Map!$AG$44,Gov_Map!$AG$47,Gov_Map!$AG$50,Gov_Map!$AG$53,Gov_Map!$AG$56,Gov_Map!$AG$59,Gov_Map!$AG$63,Gov_Map!$AG$65:$AG$68,Gov_Map!$AG$72,Gov_Map!$AG$77,Gov_Map!$AG$82,Gov_Map!$AG$87,Gov_Map!$AG$97,Gov_Map!$AG$104:$AG$128,Gov_Map!$AG$134:$AG$153,Gov_Map!$AG$179:$AG$192,Gov_Map!$AG$195:$AG$214,Gov_Map!$AG$216:$AG$304,Gov_Map!$AG$308:$AG$319,Gov_Map!$AG$345:$AG$359,Gov_Map!$AG$419:$AG$420,Gov_Map!$AG$430,Gov_Map!$AG$447,Gov_Map!$AG$463,Gov_Map!$AG$465,Gov_Map!$AG$467,Gov_Map!$AG$469,Gov_Map!$AG$471,Gov_Map!$AG$473,Gov_Map!$AG$475,Gov_Map!$AG$483:$AG$492,Gov_Map!$AG$494:$AG$500,Gov_Map!$AG$502:$AG$503,Gov_Map!$AG$506,Gov_Map!$AG$508,Gov_Map!$AG$510:$AG$518,Gov_Map!$AG$521:$AG$522,Gov_Map!$AG$574:$AG$578,Gov_Map!$AG$605:$AG$606,Gov_Map!$AG$609,Gov_Map!$AG$659:$AG$660)&gt;0,"C",IF(SUM(Gov_Map!$AH$5:$AH$8,Gov_Map!$AH$11,Gov_Map!$AH$14,Gov_Map!$AH$17,Gov_Map!$AH$20,Gov_Map!$AH$23,Gov_Map!$AH$26,Gov_Map!$AH$29,Gov_Map!$AH$32,Gov_Map!$AH$35,Gov_Map!$AH$38,Gov_Map!$AH$41,Gov_Map!$AH$44,Gov_Map!$AH$47,Gov_Map!$AH$50,Gov_Map!$AH$53,Gov_Map!$AH$56,Gov_Map!$AH$59,Gov_Map!$AH$63,Gov_Map!$AH$65:$AH$68,Gov_Map!$AH$72,Gov_Map!$AH$77,Gov_Map!$AH$82,Gov_Map!$AH$87,Gov_Map!$AH$97,Gov_Map!$AH$104:$AH$128,Gov_Map!$AH$134:$AH$153,Gov_Map!$AH$179:$AH$192,Gov_Map!$AH$195:$AH$214,Gov_Map!$AH$216:$AH$304,Gov_Map!$AH$308:$AH$319,Gov_Map!$AH$345:$AH$359,Gov_Map!$AH$419:$AH$420,Gov_Map!$AH$430,Gov_Map!$AH$447,Gov_Map!$AH$463,Gov_Map!$AH$465,Gov_Map!$AH$467,Gov_Map!$AH$469,Gov_Map!$AH$471,Gov_Map!$AH$473,Gov_Map!$AH$475,Gov_Map!$AH$483:$AH$492,Gov_Map!$AH$494:$AH$500,Gov_Map!$AH$502:$AH$503,Gov_Map!$AH$506,Gov_Map!$AH$508,Gov_Map!$AH$510:$AH$518,Gov_Map!$AH$521:$AH$522,Gov_Map!$AH$574:$AH$578,Gov_Map!$AH$605:$AH$606,Gov_Map!$AH$609,Gov_Map!$AH$659:$AH$660)&gt;0,"B","A"))</f>
        <v>B</v>
      </c>
      <c r="S192" s="44" t="str">
        <f aca="false">IF(R192="—","—",IF(R192="A","基準輸入",IF(R192="B","情境、相對比較、反轉門檻","探索")))</f>
        <v>情境、相對比較、反轉門檻</v>
      </c>
      <c r="T192" s="30" t="s">
        <v>751</v>
      </c>
      <c r="U192" s="44" t="str">
        <f aca="false">IF(V192=0,"—",LEFT(TEXT(V192,"0"),4)&amp;"-"&amp;MID(TEXT(V192,"0"),5,2)&amp;"-"&amp;RIGHT(TEXT(V192,"0"),2))</f>
        <v>2026-10-05</v>
      </c>
      <c r="V192" s="33" t="n">
        <f aca="false">MAX(Gov_Map!$AJ$5:$AJ$8,Gov_Map!$AJ$11,Gov_Map!$AJ$14,Gov_Map!$AJ$17,Gov_Map!$AJ$20,Gov_Map!$AJ$23,Gov_Map!$AJ$26,Gov_Map!$AJ$29,Gov_Map!$AJ$32,Gov_Map!$AJ$35,Gov_Map!$AJ$38,Gov_Map!$AJ$41,Gov_Map!$AJ$44,Gov_Map!$AJ$47,Gov_Map!$AJ$50,Gov_Map!$AJ$53,Gov_Map!$AJ$56,Gov_Map!$AJ$59,Gov_Map!$AJ$63,Gov_Map!$AJ$65:$AJ$68,Gov_Map!$AJ$72,Gov_Map!$AJ$77,Gov_Map!$AJ$82,Gov_Map!$AJ$87,Gov_Map!$AJ$97,Gov_Map!$AJ$104:$AJ$128,Gov_Map!$AJ$134:$AJ$153,Gov_Map!$AJ$179:$AJ$192,Gov_Map!$AJ$195:$AJ$214,Gov_Map!$AJ$216:$AJ$304,Gov_Map!$AJ$308:$AJ$319,Gov_Map!$AJ$345:$AJ$359,Gov_Map!$AJ$419:$AJ$420,Gov_Map!$AJ$430,Gov_Map!$AJ$447,Gov_Map!$AJ$463,Gov_Map!$AJ$465,Gov_Map!$AJ$467,Gov_Map!$AJ$469,Gov_Map!$AJ$471,Gov_Map!$AJ$473,Gov_Map!$AJ$475,Gov_Map!$AJ$483:$AJ$492,Gov_Map!$AJ$494:$AJ$500,Gov_Map!$AJ$502:$AJ$503,Gov_Map!$AJ$506,Gov_Map!$AJ$508,Gov_Map!$AJ$510:$AJ$518,Gov_Map!$AJ$521:$AJ$522,Gov_Map!$AJ$574:$AJ$578,Gov_Map!$AJ$605:$AJ$606,Gov_Map!$AJ$609,Gov_Map!$AJ$659:$AJ$660)</f>
        <v>20261005</v>
      </c>
      <c r="W192" s="21" t="s">
        <v>2984</v>
      </c>
      <c r="X192" s="32" t="n">
        <f aca="false">IF(ISNUMBER(FIND("上限",S192)),1,0)</f>
        <v>0</v>
      </c>
      <c r="Y192" s="32" t="n">
        <v>0</v>
      </c>
    </row>
    <row r="194" customFormat="false" ht="15" hidden="false" customHeight="true" outlineLevel="0" collapsed="false">
      <c r="A194" s="43" t="s">
        <v>2987</v>
      </c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</row>
    <row r="195" customFormat="false" ht="15" hidden="false" customHeight="true" outlineLevel="0" collapsed="false">
      <c r="A195" s="44" t="s">
        <v>2988</v>
      </c>
      <c r="B195" s="30" t="s">
        <v>113</v>
      </c>
      <c r="C195" s="211" t="n">
        <f aca="false">AL_Q1</f>
        <v>0.211016394291892</v>
      </c>
      <c r="R195" s="184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$681)&gt;0,"B","A"))</f>
        <v>B</v>
      </c>
      <c r="S195" s="44" t="str">
        <f aca="false">IF(R195="—","—",IF(R195="A","基準輸入",IF(R195="B","情境、相對比較、反轉門檻","探索")))</f>
        <v>情境、相對比較、反轉門檻</v>
      </c>
      <c r="T195" s="30" t="s">
        <v>2817</v>
      </c>
      <c r="U195" s="44" t="str">
        <f aca="false">IF(V195=0,"—",LEFT(TEXT(V195,"0"),4)&amp;"-"&amp;MID(TEXT(V195,"0"),5,2)&amp;"-"&amp;RIGHT(TEXT(V195,"0"),2))</f>
        <v>2026-10-08</v>
      </c>
      <c r="V195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$681)</f>
        <v>20261008</v>
      </c>
      <c r="W195" s="21" t="s">
        <v>2989</v>
      </c>
      <c r="X195" s="32" t="n">
        <f aca="false">IF(ISNUMBER(FIND("上限",S195)),1,0)</f>
        <v>0</v>
      </c>
      <c r="Y195" s="32" t="n">
        <v>0</v>
      </c>
    </row>
    <row r="196" customFormat="false" ht="15" hidden="false" customHeight="true" outlineLevel="0" collapsed="false">
      <c r="A196" s="44" t="s">
        <v>2990</v>
      </c>
      <c r="B196" s="30" t="s">
        <v>113</v>
      </c>
      <c r="C196" s="212" t="n">
        <f aca="false">AL_Q1R2</f>
        <v>0.577330211227799</v>
      </c>
      <c r="R196" s="184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$681)&gt;0,"B","A"))</f>
        <v>B</v>
      </c>
      <c r="S196" s="44" t="str">
        <f aca="false">IF(R196="—","—",IF(R196="A","基準輸入",IF(R196="B","情境、相對比較、反轉門檻","探索")))</f>
        <v>情境、相對比較、反轉門檻</v>
      </c>
      <c r="T196" s="30" t="s">
        <v>2817</v>
      </c>
      <c r="U196" s="44" t="str">
        <f aca="false">IF(V196=0,"—",LEFT(TEXT(V196,"0"),4)&amp;"-"&amp;MID(TEXT(V196,"0"),5,2)&amp;"-"&amp;RIGHT(TEXT(V196,"0"),2))</f>
        <v>2026-10-08</v>
      </c>
      <c r="V196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$681)</f>
        <v>20261008</v>
      </c>
      <c r="W196" s="21" t="s">
        <v>2989</v>
      </c>
      <c r="X196" s="32" t="n">
        <f aca="false">IF(ISNUMBER(FIND("上限",S196)),1,0)</f>
        <v>0</v>
      </c>
      <c r="Y196" s="32" t="n">
        <v>0</v>
      </c>
    </row>
    <row r="197" customFormat="false" ht="15" hidden="false" customHeight="true" outlineLevel="0" collapsed="false">
      <c r="A197" s="44" t="s">
        <v>2991</v>
      </c>
      <c r="B197" s="30" t="s">
        <v>113</v>
      </c>
      <c r="C197" s="211" t="n">
        <f aca="false">AL_Q2</f>
        <v>0.211748462824886</v>
      </c>
      <c r="R197" s="184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$580,Gov_Map!$AG$582,Gov_Map!$AG$584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$580,Gov_Map!$AH$582,Gov_Map!$AH$584,Gov_Map!$AH$588,Gov_Map!$AH$590,Gov_Map!$AH$592,Gov_Map!$AH$594,Gov_Map!$AH$599,Gov_Map!$AH$605:$AH$611,Gov_Map!$AH$656:$AH$658,Gov_Map!$AH$660,Gov_Map!$AH$675,Gov_Map!$AH$677,Gov_Map!$AH$679,Gov_Map!$AH$681)&gt;0,"B","A"))</f>
        <v>B</v>
      </c>
      <c r="S197" s="44" t="str">
        <f aca="false">IF(R197="—","—",IF(R197="A","基準輸入",IF(R197="B","情境、相對比較、反轉門檻","探索")))</f>
        <v>情境、相對比較、反轉門檻</v>
      </c>
      <c r="T197" s="30" t="s">
        <v>2817</v>
      </c>
      <c r="U197" s="44" t="str">
        <f aca="false">IF(V197=0,"—",LEFT(TEXT(V197,"0"),4)&amp;"-"&amp;MID(TEXT(V197,"0"),5,2)&amp;"-"&amp;RIGHT(TEXT(V197,"0"),2))</f>
        <v>2026-10-08</v>
      </c>
      <c r="V197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$580,Gov_Map!$AJ$582,Gov_Map!$AJ$584,Gov_Map!$AJ$588,Gov_Map!$AJ$590,Gov_Map!$AJ$592,Gov_Map!$AJ$594,Gov_Map!$AJ$599,Gov_Map!$AJ$605:$AJ$611,Gov_Map!$AJ$656:$AJ$658,Gov_Map!$AJ$660,Gov_Map!$AJ$675,Gov_Map!$AJ$677,Gov_Map!$AJ$679,Gov_Map!$AJ$681)</f>
        <v>20261008</v>
      </c>
      <c r="W197" s="21" t="s">
        <v>2989</v>
      </c>
      <c r="X197" s="32" t="n">
        <f aca="false">IF(ISNUMBER(FIND("上限",S197)),1,0)</f>
        <v>0</v>
      </c>
      <c r="Y197" s="32" t="n">
        <v>0</v>
      </c>
    </row>
    <row r="198" customFormat="false" ht="15" hidden="false" customHeight="true" outlineLevel="0" collapsed="false">
      <c r="A198" s="44" t="s">
        <v>2992</v>
      </c>
      <c r="B198" s="30" t="s">
        <v>103</v>
      </c>
      <c r="C198" s="213" t="n">
        <f aca="false">IF(AL_ServeGW="整代不可達","整代不可達",AL_ServeGWSpend)</f>
        <v>0.89809617101894</v>
      </c>
      <c r="R198" s="184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$605:$AG$611,Gov_Map!$AG$660)&gt;0,"C",IF(SUM(Gov_Map!$AH$5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$605:$AH$611,Gov_Map!$AH$660)&gt;0,"B","A"))</f>
        <v>B</v>
      </c>
      <c r="S198" s="44" t="str">
        <f aca="false">IF(R198="—","—",IF(R198="A","基準輸入",IF(R198="B","情境、相對比較、反轉門檻","探索")))</f>
        <v>情境、相對比較、反轉門檻</v>
      </c>
      <c r="T198" s="30" t="s">
        <v>2817</v>
      </c>
      <c r="U198" s="44" t="str">
        <f aca="false">IF(V198=0,"—",LEFT(TEXT(V198,"0"),4)&amp;"-"&amp;MID(TEXT(V198,"0"),5,2)&amp;"-"&amp;RIGHT(TEXT(V198,"0"),2))</f>
        <v>2026-10-08</v>
      </c>
      <c r="V19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$605:$AJ$611,Gov_Map!$AJ$660)</f>
        <v>20261008</v>
      </c>
      <c r="W198" s="21" t="s">
        <v>2993</v>
      </c>
      <c r="X198" s="32" t="n">
        <f aca="false">IF(ISNUMBER(FIND("上限",S198)),1,0)</f>
        <v>0</v>
      </c>
      <c r="Y198" s="32" t="n">
        <v>0</v>
      </c>
    </row>
    <row r="199" customFormat="false" ht="15" hidden="false" customHeight="true" outlineLevel="0" collapsed="false">
      <c r="A199" s="44" t="s">
        <v>2994</v>
      </c>
      <c r="B199" s="30" t="s">
        <v>2528</v>
      </c>
      <c r="C199" s="213" t="n">
        <f aca="false">AL_RDGW</f>
        <v>0.240198927284027</v>
      </c>
      <c r="R199" s="184" t="str">
        <f aca="false">IF(SUM(Gov_Map!$AG$5:$AG$7,Gov_Map!$AG$69:$AG$88,Gov_Map!$AG$104:$AG$128,Gov_Map!$AG$134:$AG$153,Gov_Map!$AG$169:$AG$173,Gov_Map!$AG$179:$AG$192,Gov_Map!$AG$195:$AG$214,Gov_Map!$AG$216:$AG$238,Gov_Map!$AG$241:$AG$242,Gov_Map!$AG$246:$AG$248,Gov_Map!$AG$308:$AG$319,Gov_Map!$AG$345:$AG$359,Gov_Map!$AG$430:$AG$434,Gov_Map!$AG$510:$AG$518,Gov_Map!$AG$521:$AG$531,Gov_Map!$AG$534:$AG$548,Gov_Map!$AG$560:$AG$561,Gov_Map!$AG$563:$AG$564,Gov_Map!$AG$574:$AG$578,Gov_Map!$AG$580,Gov_Map!$AG$582,Gov_Map!$AG$584,Gov_Map!$AG$599,Gov_Map!$AG$656:$AG$658,Gov_Map!$AG$660,Gov_Map!$AG$675,Gov_Map!$AG$677,Gov_Map!$AG$679,Gov_Map!$AG$681)&gt;0,"C",IF(SUM(Gov_Map!$AH$5:$AH$7,Gov_Map!$AH$69:$AH$88,Gov_Map!$AH$104:$AH$128,Gov_Map!$AH$134:$AH$153,Gov_Map!$AH$169:$AH$173,Gov_Map!$AH$179:$AH$192,Gov_Map!$AH$195:$AH$214,Gov_Map!$AH$216:$AH$238,Gov_Map!$AH$241:$AH$242,Gov_Map!$AH$246:$AH$248,Gov_Map!$AH$308:$AH$319,Gov_Map!$AH$345:$AH$359,Gov_Map!$AH$430:$AH$434,Gov_Map!$AH$510:$AH$518,Gov_Map!$AH$521:$AH$531,Gov_Map!$AH$534:$AH$548,Gov_Map!$AH$560:$AH$561,Gov_Map!$AH$563:$AH$564,Gov_Map!$AH$574:$AH$578,Gov_Map!$AH$580,Gov_Map!$AH$582,Gov_Map!$AH$584,Gov_Map!$AH$599,Gov_Map!$AH$656:$AH$658,Gov_Map!$AH$660,Gov_Map!$AH$675,Gov_Map!$AH$677,Gov_Map!$AH$679,Gov_Map!$AH$681)&gt;0,"B","A"))</f>
        <v>B</v>
      </c>
      <c r="S199" s="44" t="str">
        <f aca="false">IF(R199="—","—",IF(R199="A","基準輸入",IF(R199="B","情境、相對比較、反轉門檻","探索")))</f>
        <v>情境、相對比較、反轉門檻</v>
      </c>
      <c r="T199" s="30" t="s">
        <v>751</v>
      </c>
      <c r="U199" s="44" t="str">
        <f aca="false">IF(V199=0,"—",LEFT(TEXT(V199,"0"),4)&amp;"-"&amp;MID(TEXT(V199,"0"),5,2)&amp;"-"&amp;RIGHT(TEXT(V199,"0"),2))</f>
        <v>2026-10-05</v>
      </c>
      <c r="V199" s="33" t="n">
        <f aca="false">MAX(Gov_Map!$AJ$5:$AJ$7,Gov_Map!$AJ$69:$AJ$88,Gov_Map!$AJ$104:$AJ$128,Gov_Map!$AJ$134:$AJ$153,Gov_Map!$AJ$169:$AJ$173,Gov_Map!$AJ$179:$AJ$192,Gov_Map!$AJ$195:$AJ$214,Gov_Map!$AJ$216:$AJ$238,Gov_Map!$AJ$241:$AJ$242,Gov_Map!$AJ$246:$AJ$248,Gov_Map!$AJ$308:$AJ$319,Gov_Map!$AJ$345:$AJ$359,Gov_Map!$AJ$430:$AJ$434,Gov_Map!$AJ$510:$AJ$518,Gov_Map!$AJ$521:$AJ$531,Gov_Map!$AJ$534:$AJ$548,Gov_Map!$AJ$560:$AJ$561,Gov_Map!$AJ$563:$AJ$564,Gov_Map!$AJ$574:$AJ$578,Gov_Map!$AJ$580,Gov_Map!$AJ$582,Gov_Map!$AJ$584,Gov_Map!$AJ$599,Gov_Map!$AJ$656:$AJ$658,Gov_Map!$AJ$660,Gov_Map!$AJ$675,Gov_Map!$AJ$677,Gov_Map!$AJ$679,Gov_Map!$AJ$681)</f>
        <v>20261005</v>
      </c>
      <c r="W199" s="21" t="s">
        <v>2995</v>
      </c>
      <c r="X199" s="32" t="n">
        <f aca="false">IF(ISNUMBER(FIND("上限",S199)),1,0)</f>
        <v>0</v>
      </c>
      <c r="Y199" s="32" t="n">
        <v>0</v>
      </c>
    </row>
    <row r="200" customFormat="false" ht="15" hidden="false" customHeight="true" outlineLevel="0" collapsed="false">
      <c r="A200" s="44" t="s">
        <v>2996</v>
      </c>
      <c r="B200" s="30" t="s">
        <v>931</v>
      </c>
      <c r="C200" s="56" t="n">
        <f aca="false">AL_D</f>
        <v>6015200000</v>
      </c>
      <c r="R200" s="184" t="str">
        <f aca="false">IF(SUM(Gov_Map!$AG$588,Gov_Map!$AG$590,Gov_Map!$AG$592)&gt;0,"C",IF(SUM(Gov_Map!$AH$588,Gov_Map!$AH$590,Gov_Map!$AH$592)&gt;0,"B","A"))</f>
        <v>B</v>
      </c>
      <c r="S200" s="44" t="str">
        <f aca="false">IF(R200="—","—",IF(R200="A","基準輸入",IF(R200="B","情境、相對比較、反轉門檻","探索")))</f>
        <v>情境、相對比較、反轉門檻</v>
      </c>
      <c r="T200" s="30" t="s">
        <v>751</v>
      </c>
      <c r="U200" s="44" t="str">
        <f aca="false">IF(V200=0,"—",LEFT(TEXT(V200,"0"),4)&amp;"-"&amp;MID(TEXT(V200,"0"),5,2)&amp;"-"&amp;RIGHT(TEXT(V200,"0"),2))</f>
        <v>—</v>
      </c>
      <c r="V200" s="33" t="n">
        <f aca="false">MAX(Gov_Map!$AJ$588,Gov_Map!$AJ$590,Gov_Map!$AJ$592)</f>
        <v>0</v>
      </c>
      <c r="W200" s="21" t="s">
        <v>2997</v>
      </c>
      <c r="X200" s="32" t="n">
        <f aca="false">IF(ISNUMBER(FIND("上限",S200)),1,0)</f>
        <v>0</v>
      </c>
      <c r="Y200" s="32" t="n">
        <v>0</v>
      </c>
    </row>
    <row r="201" customFormat="false" ht="15" hidden="false" customHeight="true" outlineLevel="0" collapsed="false">
      <c r="A201" s="44" t="s">
        <v>2998</v>
      </c>
      <c r="B201" s="44" t="s">
        <v>345</v>
      </c>
      <c r="C201" s="208" t="n">
        <f aca="false">AL_ImpliedNk</f>
        <v>10.0475491602812</v>
      </c>
      <c r="R201" s="184" t="str">
        <f aca="false">IF(SUM(Gov_Map!$AG$5:$AG$128,Gov_Map!$AG$134:$AG$153,Gov_Map!$AG$169:$AG$173,Gov_Map!$AG$179:$AG$192,Gov_Map!$AG$195:$AG$214,Gov_Map!$AG$216:$AG$238,Gov_Map!$AG$240:$AG$254,Gov_Map!$AG$308:$AG$319,Gov_Map!$AG$345:$AG$359,Gov_Map!$AG$419:$AG$420,Gov_Map!$AG$430:$AG$434,Gov_Map!$AG$447,Gov_Map!$AG$461:$AG$462,Gov_Map!$AG$510:$AG$518,Gov_Map!$AG$521:$AG$531,Gov_Map!$AG$534:$AG$548,Gov_Map!$AG$560:$AG$561,Gov_Map!$AG$563:$AG$564,Gov_Map!$AG$574:$AG$578,Gov_Map!$AG$588,Gov_Map!$AG$590,Gov_Map!$AG$592,Gov_Map!$AG$594,Gov_Map!$AG$599,Gov_Map!$AG$605:$AG$611,Gov_Map!$AG$656:$AG$658,Gov_Map!$AG$660,Gov_Map!$AG$675,Gov_Map!$AG$677,Gov_Map!$AG$679,Gov_Map!$AG$681)&gt;0,"C",IF(SUM(Gov_Map!$AH$5:$AH$128,Gov_Map!$AH$134:$AH$153,Gov_Map!$AH$169:$AH$173,Gov_Map!$AH$179:$AH$192,Gov_Map!$AH$195:$AH$214,Gov_Map!$AH$216:$AH$238,Gov_Map!$AH$240:$AH$254,Gov_Map!$AH$308:$AH$319,Gov_Map!$AH$345:$AH$359,Gov_Map!$AH$419:$AH$420,Gov_Map!$AH$430:$AH$434,Gov_Map!$AH$447,Gov_Map!$AH$461:$AH$462,Gov_Map!$AH$510:$AH$518,Gov_Map!$AH$521:$AH$531,Gov_Map!$AH$534:$AH$548,Gov_Map!$AH$560:$AH$561,Gov_Map!$AH$563:$AH$564,Gov_Map!$AH$574:$AH$578,Gov_Map!$AH$588,Gov_Map!$AH$590,Gov_Map!$AH$592,Gov_Map!$AH$594,Gov_Map!$AH$599,Gov_Map!$AH$605:$AH$611,Gov_Map!$AH$656:$AH$658,Gov_Map!$AH$660,Gov_Map!$AH$675,Gov_Map!$AH$677,Gov_Map!$AH$679,Gov_Map!$AH$681)&gt;0,"B","A"))</f>
        <v>B</v>
      </c>
      <c r="S201" s="44" t="str">
        <f aca="false">IF(R201="—","—",IF(R201="A","基準輸入",IF(R201="B","情境、相對比較、反轉門檻","探索")))</f>
        <v>情境、相對比較、反轉門檻</v>
      </c>
      <c r="T201" s="30" t="s">
        <v>2817</v>
      </c>
      <c r="U201" s="44" t="str">
        <f aca="false">IF(V201=0,"—",LEFT(TEXT(V201,"0"),4)&amp;"-"&amp;MID(TEXT(V201,"0"),5,2)&amp;"-"&amp;RIGHT(TEXT(V201,"0"),2))</f>
        <v>2026-10-08</v>
      </c>
      <c r="V201" s="33" t="n">
        <f aca="false">MAX(Gov_Map!$AJ$5:$AJ$128,Gov_Map!$AJ$134:$AJ$153,Gov_Map!$AJ$169:$AJ$173,Gov_Map!$AJ$179:$AJ$192,Gov_Map!$AJ$195:$AJ$214,Gov_Map!$AJ$216:$AJ$238,Gov_Map!$AJ$240:$AJ$254,Gov_Map!$AJ$308:$AJ$319,Gov_Map!$AJ$345:$AJ$359,Gov_Map!$AJ$419:$AJ$420,Gov_Map!$AJ$430:$AJ$434,Gov_Map!$AJ$447,Gov_Map!$AJ$461:$AJ$462,Gov_Map!$AJ$510:$AJ$518,Gov_Map!$AJ$521:$AJ$531,Gov_Map!$AJ$534:$AJ$548,Gov_Map!$AJ$560:$AJ$561,Gov_Map!$AJ$563:$AJ$564,Gov_Map!$AJ$574:$AJ$578,Gov_Map!$AJ$588,Gov_Map!$AJ$590,Gov_Map!$AJ$592,Gov_Map!$AJ$594,Gov_Map!$AJ$599,Gov_Map!$AJ$605:$AJ$611,Gov_Map!$AJ$656:$AJ$658,Gov_Map!$AJ$660,Gov_Map!$AJ$675,Gov_Map!$AJ$677,Gov_Map!$AJ$679,Gov_Map!$AJ$681)</f>
        <v>20261008</v>
      </c>
      <c r="W201" s="21" t="s">
        <v>2999</v>
      </c>
      <c r="X201" s="32" t="n">
        <f aca="false">IF(ISNUMBER(FIND("上限",S201)),1,0)</f>
        <v>0</v>
      </c>
      <c r="Y201" s="32" t="n">
        <v>0</v>
      </c>
    </row>
    <row r="203" customFormat="false" ht="15" hidden="false" customHeight="true" outlineLevel="0" collapsed="false">
      <c r="A203" s="43" t="s">
        <v>3000</v>
      </c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</row>
    <row r="204" customFormat="false" ht="15" hidden="false" customHeight="true" outlineLevel="0" collapsed="false">
      <c r="A204" s="44" t="s">
        <v>3001</v>
      </c>
      <c r="B204" s="30" t="s">
        <v>976</v>
      </c>
      <c r="C204" s="193" t="n">
        <f aca="false">Theory_Rev_Prod!C18</f>
        <v>0.201294741428264</v>
      </c>
      <c r="D204" s="193" t="n">
        <f aca="false">Theory_Rev_Prod!D18</f>
        <v>0.287605276322433</v>
      </c>
      <c r="E204" s="193" t="n">
        <f aca="false">Theory_Rev_Prod!E18</f>
        <v>0.493916271852604</v>
      </c>
      <c r="F204" s="193" t="n">
        <f aca="false">Theory_Rev_Prod!F18</f>
        <v>0.0333371425530108</v>
      </c>
      <c r="G204" s="193" t="n">
        <f aca="false">Theory_Rev_Prod!G18</f>
        <v>0.0445084668478427</v>
      </c>
      <c r="H204" s="193" t="n">
        <f aca="false">Theory_Rev_Prod!H18</f>
        <v>0.0721824183502583</v>
      </c>
      <c r="I204" s="193" t="n">
        <f aca="false">Theory_Rev_Prod!I18</f>
        <v>0.0288026153594239</v>
      </c>
      <c r="J204" s="193" t="n">
        <f aca="false">Theory_Rev_Prod!J18</f>
        <v>0.0371970862919076</v>
      </c>
      <c r="K204" s="193" t="n">
        <f aca="false">Theory_Rev_Prod!K18</f>
        <v>0.0633222426750938</v>
      </c>
      <c r="L204" s="193" t="n">
        <f aca="false">Theory_Rev_Prod!L18</f>
        <v>0.0209826194864454</v>
      </c>
      <c r="M204" s="193" t="n">
        <f aca="false">Theory_Rev_Prod!M18</f>
        <v>0.0269649852193189</v>
      </c>
      <c r="N204" s="193" t="n">
        <f aca="false">Theory_Rev_Prod!N18</f>
        <v>0.0435561009480476</v>
      </c>
      <c r="O204" s="193" t="n">
        <f aca="false">Theory_Rev_Prod!O18</f>
        <v>0.0159209733995654</v>
      </c>
      <c r="P204" s="193" t="n">
        <f aca="false">Theory_Rev_Prod!P18</f>
        <v>0.024192065175611</v>
      </c>
      <c r="Q204" s="193" t="n">
        <f aca="false">Theory_Rev_Prod!Q18</f>
        <v>0.0441546757487897</v>
      </c>
      <c r="R204" s="184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4" s="44" t="str">
        <f aca="false">IF(R204="—","—",IF(R204="A","基準輸入",IF(R204="B","情境、相對比較、反轉門檻","探索")))</f>
        <v>情境、相對比較、反轉門檻</v>
      </c>
      <c r="T204" s="30" t="s">
        <v>3002</v>
      </c>
      <c r="U204" s="44" t="str">
        <f aca="false">IF(V204=0,"—",LEFT(TEXT(V204,"0"),4)&amp;"-"&amp;MID(TEXT(V204,"0"),5,2)&amp;"-"&amp;RIGHT(TEXT(V204,"0"),2))</f>
        <v>2026-10-08</v>
      </c>
      <c r="V204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4" s="21" t="s">
        <v>3003</v>
      </c>
      <c r="X204" s="32" t="n">
        <f aca="false">IF(ISNUMBER(FIND("上限",S204)),1,0)</f>
        <v>0</v>
      </c>
      <c r="Y204" s="32" t="n">
        <v>0</v>
      </c>
    </row>
    <row r="205" customFormat="false" ht="15" hidden="false" customHeight="true" outlineLevel="0" collapsed="false">
      <c r="A205" s="44" t="s">
        <v>3004</v>
      </c>
      <c r="B205" s="30" t="s">
        <v>976</v>
      </c>
      <c r="C205" s="193" t="n">
        <f aca="false">Theory_Rev_Prod!C36</f>
        <v>0.592104750515731</v>
      </c>
      <c r="D205" s="193" t="n">
        <f aca="false">Theory_Rev_Prod!D36</f>
        <v>0.845992662642524</v>
      </c>
      <c r="E205" s="193" t="n">
        <f aca="false">Theory_Rev_Prod!E36</f>
        <v>1.45286954005015</v>
      </c>
      <c r="F205" s="193" t="n">
        <f aca="false">Theory_Rev_Prod!F36</f>
        <v>0.107173321088639</v>
      </c>
      <c r="G205" s="193" t="n">
        <f aca="false">Theory_Rev_Prod!G36</f>
        <v>0.143093777086931</v>
      </c>
      <c r="H205" s="193" t="n">
        <f aca="false">Theory_Rev_Prod!H36</f>
        <v>0.232077046304285</v>
      </c>
      <c r="I205" s="193" t="n">
        <f aca="false">Theory_Rev_Prod!I36</f>
        <v>0.0933186786593271</v>
      </c>
      <c r="J205" s="193" t="n">
        <f aca="false">Theory_Rev_Prod!J36</f>
        <v>0.120521993573679</v>
      </c>
      <c r="K205" s="193" t="n">
        <f aca="false">Theory_Rev_Prod!K36</f>
        <v>0.205183774166472</v>
      </c>
      <c r="L205" s="193" t="n">
        <f aca="false">Theory_Rev_Prod!L36</f>
        <v>0.0659173053800908</v>
      </c>
      <c r="M205" s="193" t="n">
        <f aca="false">Theory_Rev_Prod!M36</f>
        <v>0.0847163470205577</v>
      </c>
      <c r="N205" s="193" t="n">
        <f aca="false">Theory_Rev_Prod!N36</f>
        <v>0.136852423177233</v>
      </c>
      <c r="O205" s="193" t="n">
        <f aca="false">Theory_Rev_Prod!O36</f>
        <v>0.0499064918263528</v>
      </c>
      <c r="P205" s="193" t="n">
        <f aca="false">Theory_Rev_Prod!P36</f>
        <v>0.0758430359079122</v>
      </c>
      <c r="Q205" s="193" t="n">
        <f aca="false">Theory_Rev_Prod!Q36</f>
        <v>0.138441921657647</v>
      </c>
      <c r="R205" s="184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5" s="44" t="str">
        <f aca="false">IF(R205="—","—",IF(R205="A","基準輸入",IF(R205="B","情境、相對比較、反轉門檻","探索")))</f>
        <v>情境、相對比較、反轉門檻</v>
      </c>
      <c r="T205" s="30" t="s">
        <v>3002</v>
      </c>
      <c r="U205" s="44" t="str">
        <f aca="false">IF(V205=0,"—",LEFT(TEXT(V205,"0"),4)&amp;"-"&amp;MID(TEXT(V205,"0"),5,2)&amp;"-"&amp;RIGHT(TEXT(V205,"0"),2))</f>
        <v>2026-10-08</v>
      </c>
      <c r="V205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5" s="21" t="s">
        <v>3003</v>
      </c>
      <c r="X205" s="32" t="n">
        <f aca="false">IF(ISNUMBER(FIND("上限",S205)),1,0)</f>
        <v>0</v>
      </c>
      <c r="Y205" s="32" t="n">
        <v>0</v>
      </c>
    </row>
    <row r="206" customFormat="false" ht="15" hidden="false" customHeight="true" outlineLevel="0" collapsed="false">
      <c r="A206" s="44" t="s">
        <v>3005</v>
      </c>
      <c r="B206" s="30" t="s">
        <v>976</v>
      </c>
      <c r="C206" s="193" t="n">
        <f aca="false">Theory_Rev_Prod!C54</f>
        <v>6.39656108567329</v>
      </c>
      <c r="D206" s="193" t="n">
        <f aca="false">Theory_Rev_Prod!D54</f>
        <v>9.13931058711618</v>
      </c>
      <c r="E206" s="193" t="n">
        <f aca="false">Theory_Rev_Prod!E54</f>
        <v>15.6953976375139</v>
      </c>
      <c r="F206" s="193" t="n">
        <f aca="false">Theory_Rev_Prod!F54</f>
        <v>0.843694137342246</v>
      </c>
      <c r="G206" s="193" t="n">
        <f aca="false">Theory_Rev_Prod!G54</f>
        <v>1.12643431839794</v>
      </c>
      <c r="H206" s="193" t="n">
        <f aca="false">Theory_Rev_Prod!H54</f>
        <v>1.82684707626044</v>
      </c>
      <c r="I206" s="193" t="n">
        <f aca="false">Theory_Rev_Prod!I54</f>
        <v>0.780177660507834</v>
      </c>
      <c r="J206" s="193" t="n">
        <f aca="false">Theory_Rev_Prod!J54</f>
        <v>1.00757951160175</v>
      </c>
      <c r="K206" s="193" t="n">
        <f aca="false">Theory_Rev_Prod!K54</f>
        <v>1.71529640876383</v>
      </c>
      <c r="L206" s="193" t="n">
        <f aca="false">Theory_Rev_Prod!L54</f>
        <v>0.420721519561101</v>
      </c>
      <c r="M206" s="193" t="n">
        <f aca="false">Theory_Rev_Prod!M54</f>
        <v>0.540671932390196</v>
      </c>
      <c r="N206" s="193" t="n">
        <f aca="false">Theory_Rev_Prod!N54</f>
        <v>0.873334840313147</v>
      </c>
      <c r="O206" s="193" t="n">
        <f aca="false">Theory_Rev_Prod!O54</f>
        <v>0.283299527686788</v>
      </c>
      <c r="P206" s="193" t="n">
        <f aca="false">Theory_Rev_Prod!P54</f>
        <v>0.43046038459131</v>
      </c>
      <c r="Q206" s="193" t="n">
        <f aca="false">Theory_Rev_Prod!Q54</f>
        <v>0.785638994325553</v>
      </c>
      <c r="R206" s="184" t="str">
        <f aca="false">IF(SUM(Gov_Map!$AG$5:$AG$128,Gov_Map!$AG$134:$AG$153,Gov_Map!$AG$169:$AG$173,Gov_Map!$AG$179:$AG$192,Gov_Map!$AG$195:$AG$214,Gov_Map!$AG$216:$AG$240,Gov_Map!$AG$242:$AG$254,Gov_Map!$AG$308:$AG$319,Gov_Map!$AG$345:$AG$359,Gov_Map!$AG$419:$AG$420,Gov_Map!$AG$430:$AG$434,Gov_Map!$AG$447,Gov_Map!$AG$454,Gov_Map!$AG$457,Gov_Map!$AG$459,Gov_Map!$AG$461:$AG$463,Gov_Map!$AG$465,Gov_Map!$AG$467,Gov_Map!$AG$469,Gov_Map!$AG$471,Gov_Map!$AG$473,Gov_Map!$AG$475,Gov_Map!$AG$510:$AG$518,Gov_Map!$AG$521:$AG$531,Gov_Map!$AG$534:$AG$548,Gov_Map!$AG$560:$AG$561,Gov_Map!$AG$563:$AG$564,Gov_Map!$AG$574:$AG$578,Gov_Map!$AG$596,Gov_Map!$AG$599,Gov_Map!$AG$605:$AG$611,Gov_Map!$AG$656:$AG$658,Gov_Map!$AG$660)&gt;0,"C",IF(SUM(Gov_Map!$AH$5:$AH$128,Gov_Map!$AH$134:$AH$153,Gov_Map!$AH$169:$AH$173,Gov_Map!$AH$179:$AH$192,Gov_Map!$AH$195:$AH$214,Gov_Map!$AH$216:$AH$240,Gov_Map!$AH$242:$AH$254,Gov_Map!$AH$308:$AH$319,Gov_Map!$AH$345:$AH$359,Gov_Map!$AH$419:$AH$420,Gov_Map!$AH$430:$AH$434,Gov_Map!$AH$447,Gov_Map!$AH$454,Gov_Map!$AH$457,Gov_Map!$AH$459,Gov_Map!$AH$461:$AH$463,Gov_Map!$AH$465,Gov_Map!$AH$467,Gov_Map!$AH$469,Gov_Map!$AH$471,Gov_Map!$AH$473,Gov_Map!$AH$475,Gov_Map!$AH$510:$AH$518,Gov_Map!$AH$521:$AH$531,Gov_Map!$AH$534:$AH$548,Gov_Map!$AH$560:$AH$561,Gov_Map!$AH$563:$AH$564,Gov_Map!$AH$574:$AH$578,Gov_Map!$AH$596,Gov_Map!$AH$599,Gov_Map!$AH$605:$AH$611,Gov_Map!$AH$656:$AH$658,Gov_Map!$AH$660)&gt;0,"B","A"))</f>
        <v>B</v>
      </c>
      <c r="S206" s="44" t="str">
        <f aca="false">IF(R206="—","—",IF(R206="A","基準輸入",IF(R206="B","情境、相對比較、反轉門檻","探索")))</f>
        <v>情境、相對比較、反轉門檻</v>
      </c>
      <c r="T206" s="30" t="s">
        <v>3002</v>
      </c>
      <c r="U206" s="44" t="str">
        <f aca="false">IF(V206=0,"—",LEFT(TEXT(V206,"0"),4)&amp;"-"&amp;MID(TEXT(V206,"0"),5,2)&amp;"-"&amp;RIGHT(TEXT(V206,"0"),2))</f>
        <v>2026-10-08</v>
      </c>
      <c r="V206" s="33" t="n">
        <f aca="false">MAX(Gov_Map!$AJ$5:$AJ$128,Gov_Map!$AJ$134:$AJ$153,Gov_Map!$AJ$169:$AJ$173,Gov_Map!$AJ$179:$AJ$192,Gov_Map!$AJ$195:$AJ$214,Gov_Map!$AJ$216:$AJ$240,Gov_Map!$AJ$242:$AJ$254,Gov_Map!$AJ$308:$AJ$319,Gov_Map!$AJ$345:$AJ$359,Gov_Map!$AJ$419:$AJ$420,Gov_Map!$AJ$430:$AJ$434,Gov_Map!$AJ$447,Gov_Map!$AJ$454,Gov_Map!$AJ$457,Gov_Map!$AJ$459,Gov_Map!$AJ$461:$AJ$463,Gov_Map!$AJ$465,Gov_Map!$AJ$467,Gov_Map!$AJ$469,Gov_Map!$AJ$471,Gov_Map!$AJ$473,Gov_Map!$AJ$475,Gov_Map!$AJ$510:$AJ$518,Gov_Map!$AJ$521:$AJ$531,Gov_Map!$AJ$534:$AJ$548,Gov_Map!$AJ$560:$AJ$561,Gov_Map!$AJ$563:$AJ$564,Gov_Map!$AJ$574:$AJ$578,Gov_Map!$AJ$596,Gov_Map!$AJ$599,Gov_Map!$AJ$605:$AJ$611,Gov_Map!$AJ$656:$AJ$658,Gov_Map!$AJ$660)</f>
        <v>20261008</v>
      </c>
      <c r="W206" s="21" t="s">
        <v>3003</v>
      </c>
      <c r="X206" s="32" t="n">
        <f aca="false">IF(ISNUMBER(FIND("上限",S206)),1,0)</f>
        <v>0</v>
      </c>
      <c r="Y206" s="32" t="n">
        <v>0</v>
      </c>
    </row>
    <row r="207" customFormat="false" ht="15" hidden="false" customHeight="true" outlineLevel="0" collapsed="false">
      <c r="A207" s="44" t="s">
        <v>3006</v>
      </c>
      <c r="B207" s="30" t="s">
        <v>2048</v>
      </c>
      <c r="C207" s="204" t="n">
        <f aca="false">Theory_Rev_Prod!C11</f>
        <v>4.16601653965016</v>
      </c>
      <c r="D207" s="204" t="n">
        <f aca="false">Theory_Rev_Prod!D11</f>
        <v>4.16601653965016</v>
      </c>
      <c r="E207" s="204" t="n">
        <f aca="false">Theory_Rev_Prod!E11</f>
        <v>4.16601653965016</v>
      </c>
      <c r="F207" s="204" t="n">
        <f aca="false">Theory_Rev_Prod!F11</f>
        <v>19.2981660478862</v>
      </c>
      <c r="G207" s="204" t="n">
        <f aca="false">Theory_Rev_Prod!G11</f>
        <v>19.2981660478862</v>
      </c>
      <c r="H207" s="204" t="n">
        <f aca="false">Theory_Rev_Prod!H11</f>
        <v>19.2981660478862</v>
      </c>
      <c r="I207" s="204" t="n">
        <f aca="false">Theory_Rev_Prod!I11</f>
        <v>28.0957372251188</v>
      </c>
      <c r="J207" s="204" t="n">
        <f aca="false">Theory_Rev_Prod!J11</f>
        <v>28.0957372251188</v>
      </c>
      <c r="K207" s="204" t="n">
        <f aca="false">Theory_Rev_Prod!K11</f>
        <v>28.0957372251188</v>
      </c>
      <c r="L207" s="204" t="n">
        <f aca="false">Theory_Rev_Prod!L11</f>
        <v>40.6269205958863</v>
      </c>
      <c r="M207" s="204" t="n">
        <f aca="false">Theory_Rev_Prod!M11</f>
        <v>40.6269205958863</v>
      </c>
      <c r="N207" s="204" t="n">
        <f aca="false">Theory_Rev_Prod!N11</f>
        <v>40.6269205958863</v>
      </c>
      <c r="O207" s="204" t="n">
        <f aca="false">Theory_Rev_Prod!O11</f>
        <v>54.7307309163427</v>
      </c>
      <c r="P207" s="204" t="n">
        <f aca="false">Theory_Rev_Prod!P11</f>
        <v>54.7307309163427</v>
      </c>
      <c r="Q207" s="204" t="n">
        <f aca="false">Theory_Rev_Prod!Q11</f>
        <v>54.7307309163427</v>
      </c>
      <c r="R207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7" s="44" t="str">
        <f aca="false">IF(R207="—","—",IF(R207="A","基準輸入",IF(R207="B","情境、相對比較、反轉門檻","探索")))</f>
        <v>情境、相對比較、反轉門檻</v>
      </c>
      <c r="T207" s="30" t="s">
        <v>3002</v>
      </c>
      <c r="U207" s="44" t="str">
        <f aca="false">IF(V207=0,"—",LEFT(TEXT(V207,"0"),4)&amp;"-"&amp;MID(TEXT(V207,"0"),5,2)&amp;"-"&amp;RIGHT(TEXT(V207,"0"),2))</f>
        <v>2026-10-05</v>
      </c>
      <c r="V207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7" s="21" t="s">
        <v>3007</v>
      </c>
      <c r="X207" s="32" t="n">
        <f aca="false">IF(ISNUMBER(FIND("上限",S207)),1,0)</f>
        <v>0</v>
      </c>
      <c r="Y207" s="32" t="n">
        <v>0</v>
      </c>
    </row>
    <row r="208" customFormat="false" ht="15" hidden="false" customHeight="true" outlineLevel="0" collapsed="false">
      <c r="A208" s="44" t="s">
        <v>3008</v>
      </c>
      <c r="B208" s="30" t="s">
        <v>2048</v>
      </c>
      <c r="C208" s="204" t="n">
        <f aca="false">Theory_Rev_Prod!C29</f>
        <v>25.8351210172715</v>
      </c>
      <c r="D208" s="204" t="n">
        <f aca="false">Theory_Rev_Prod!D29</f>
        <v>25.8351210172715</v>
      </c>
      <c r="E208" s="204" t="n">
        <f aca="false">Theory_Rev_Prod!E29</f>
        <v>25.8351210172715</v>
      </c>
      <c r="F208" s="204" t="n">
        <f aca="false">Theory_Rev_Prod!F29</f>
        <v>115.189801090007</v>
      </c>
      <c r="G208" s="204" t="n">
        <f aca="false">Theory_Rev_Prod!G29</f>
        <v>115.189801090007</v>
      </c>
      <c r="H208" s="204" t="n">
        <f aca="false">Theory_Rev_Prod!H29</f>
        <v>115.189801090007</v>
      </c>
      <c r="I208" s="204" t="n">
        <f aca="false">Theory_Rev_Prod!I29</f>
        <v>167.702069430222</v>
      </c>
      <c r="J208" s="204" t="n">
        <f aca="false">Theory_Rev_Prod!J29</f>
        <v>167.702069430222</v>
      </c>
      <c r="K208" s="204" t="n">
        <f aca="false">Theory_Rev_Prod!K29</f>
        <v>167.702069430222</v>
      </c>
      <c r="L208" s="204" t="n">
        <f aca="false">Theory_Rev_Prod!L29</f>
        <v>252.853670235275</v>
      </c>
      <c r="M208" s="204" t="n">
        <f aca="false">Theory_Rev_Prod!M29</f>
        <v>252.853670235275</v>
      </c>
      <c r="N208" s="204" t="n">
        <f aca="false">Theory_Rev_Prod!N29</f>
        <v>252.853670235275</v>
      </c>
      <c r="O208" s="204" t="n">
        <f aca="false">Theory_Rev_Prod!O29</f>
        <v>344.651879941955</v>
      </c>
      <c r="P208" s="204" t="n">
        <f aca="false">Theory_Rev_Prod!P29</f>
        <v>344.651879941955</v>
      </c>
      <c r="Q208" s="204" t="n">
        <f aca="false">Theory_Rev_Prod!Q29</f>
        <v>344.651879941955</v>
      </c>
      <c r="R208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8" s="44" t="str">
        <f aca="false">IF(R208="—","—",IF(R208="A","基準輸入",IF(R208="B","情境、相對比較、反轉門檻","探索")))</f>
        <v>情境、相對比較、反轉門檻</v>
      </c>
      <c r="T208" s="30" t="s">
        <v>3002</v>
      </c>
      <c r="U208" s="44" t="str">
        <f aca="false">IF(V208=0,"—",LEFT(TEXT(V208,"0"),4)&amp;"-"&amp;MID(TEXT(V208,"0"),5,2)&amp;"-"&amp;RIGHT(TEXT(V208,"0"),2))</f>
        <v>2026-10-05</v>
      </c>
      <c r="V208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8" s="21" t="s">
        <v>3007</v>
      </c>
      <c r="X208" s="32" t="n">
        <f aca="false">IF(ISNUMBER(FIND("上限",S208)),1,0)</f>
        <v>0</v>
      </c>
      <c r="Y208" s="32" t="n">
        <v>0</v>
      </c>
    </row>
    <row r="209" customFormat="false" ht="15" hidden="false" customHeight="true" outlineLevel="0" collapsed="false">
      <c r="A209" s="44" t="s">
        <v>3009</v>
      </c>
      <c r="B209" s="30" t="s">
        <v>2048</v>
      </c>
      <c r="C209" s="204" t="n">
        <f aca="false">Theory_Rev_Prod!C47</f>
        <v>23.7314208542587</v>
      </c>
      <c r="D209" s="204" t="n">
        <f aca="false">Theory_Rev_Prod!D47</f>
        <v>23.7314208542587</v>
      </c>
      <c r="E209" s="204" t="n">
        <f aca="false">Theory_Rev_Prod!E47</f>
        <v>23.7314208542587</v>
      </c>
      <c r="F209" s="204" t="n">
        <f aca="false">Theory_Rev_Prod!F47</f>
        <v>112.606466107701</v>
      </c>
      <c r="G209" s="204" t="n">
        <f aca="false">Theory_Rev_Prod!G47</f>
        <v>112.606466107701</v>
      </c>
      <c r="H209" s="204" t="n">
        <f aca="false">Theory_Rev_Prod!H47</f>
        <v>112.606466107701</v>
      </c>
      <c r="I209" s="204" t="n">
        <f aca="false">Theory_Rev_Prod!I47</f>
        <v>146.896191352993</v>
      </c>
      <c r="J209" s="204" t="n">
        <f aca="false">Theory_Rev_Prod!J47</f>
        <v>146.896191352993</v>
      </c>
      <c r="K209" s="204" t="n">
        <f aca="false">Theory_Rev_Prod!K47</f>
        <v>146.896191352993</v>
      </c>
      <c r="L209" s="204" t="n">
        <f aca="false">Theory_Rev_Prod!L47</f>
        <v>266.938542515567</v>
      </c>
      <c r="M209" s="204" t="n">
        <f aca="false">Theory_Rev_Prod!M47</f>
        <v>266.938542515567</v>
      </c>
      <c r="N209" s="204" t="n">
        <f aca="false">Theory_Rev_Prod!N47</f>
        <v>266.938542515567</v>
      </c>
      <c r="O209" s="204" t="n">
        <f aca="false">Theory_Rev_Prod!O47</f>
        <v>379.622499261887</v>
      </c>
      <c r="P209" s="204" t="n">
        <f aca="false">Theory_Rev_Prod!P47</f>
        <v>379.622499261887</v>
      </c>
      <c r="Q209" s="204" t="n">
        <f aca="false">Theory_Rev_Prod!Q47</f>
        <v>379.622499261887</v>
      </c>
      <c r="R209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09" s="44" t="str">
        <f aca="false">IF(R209="—","—",IF(R209="A","基準輸入",IF(R209="B","情境、相對比較、反轉門檻","探索")))</f>
        <v>情境、相對比較、反轉門檻</v>
      </c>
      <c r="T209" s="30" t="s">
        <v>3002</v>
      </c>
      <c r="U209" s="44" t="str">
        <f aca="false">IF(V209=0,"—",LEFT(TEXT(V209,"0"),4)&amp;"-"&amp;MID(TEXT(V209,"0"),5,2)&amp;"-"&amp;RIGHT(TEXT(V209,"0"),2))</f>
        <v>2026-10-05</v>
      </c>
      <c r="V209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09" s="21" t="s">
        <v>3007</v>
      </c>
      <c r="X209" s="32" t="n">
        <f aca="false">IF(ISNUMBER(FIND("上限",S209)),1,0)</f>
        <v>0</v>
      </c>
      <c r="Y209" s="32" t="n">
        <v>0</v>
      </c>
    </row>
    <row r="210" customFormat="false" ht="15" hidden="false" customHeight="true" outlineLevel="0" collapsed="false">
      <c r="A210" s="44" t="s">
        <v>3010</v>
      </c>
      <c r="B210" s="30" t="s">
        <v>2048</v>
      </c>
      <c r="C210" s="204" t="n">
        <f aca="false">Theory_Rev_Prod!C67</f>
        <v>5.01848956376868</v>
      </c>
      <c r="D210" s="204" t="n">
        <f aca="false">Theory_Rev_Prod!D67</f>
        <v>5.01848956376868</v>
      </c>
      <c r="E210" s="204" t="n">
        <f aca="false">Theory_Rev_Prod!E67</f>
        <v>5.01848956376868</v>
      </c>
      <c r="F210" s="204" t="n">
        <f aca="false">Theory_Rev_Prod!F67</f>
        <v>23.2784953027427</v>
      </c>
      <c r="G210" s="204" t="n">
        <f aca="false">Theory_Rev_Prod!G67</f>
        <v>23.2784953027427</v>
      </c>
      <c r="H210" s="204" t="n">
        <f aca="false">Theory_Rev_Prod!H67</f>
        <v>23.2784953027427</v>
      </c>
      <c r="I210" s="204" t="n">
        <f aca="false">Theory_Rev_Prod!I67</f>
        <v>31.7743161074204</v>
      </c>
      <c r="J210" s="204" t="n">
        <f aca="false">Theory_Rev_Prod!J67</f>
        <v>31.7743161074204</v>
      </c>
      <c r="K210" s="204" t="n">
        <f aca="false">Theory_Rev_Prod!K67</f>
        <v>31.7743161074204</v>
      </c>
      <c r="L210" s="204" t="n">
        <f aca="false">Theory_Rev_Prod!L67</f>
        <v>53.1540686485926</v>
      </c>
      <c r="M210" s="204" t="n">
        <f aca="false">Theory_Rev_Prod!M67</f>
        <v>53.1540686485926</v>
      </c>
      <c r="N210" s="204" t="n">
        <f aca="false">Theory_Rev_Prod!N67</f>
        <v>53.1540686485926</v>
      </c>
      <c r="O210" s="204" t="n">
        <f aca="false">Theory_Rev_Prod!O67</f>
        <v>74.0683951910804</v>
      </c>
      <c r="P210" s="204" t="n">
        <f aca="false">Theory_Rev_Prod!P67</f>
        <v>74.0683951910804</v>
      </c>
      <c r="Q210" s="204" t="n">
        <f aca="false">Theory_Rev_Prod!Q67</f>
        <v>74.0683951910804</v>
      </c>
      <c r="R210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10" s="44" t="str">
        <f aca="false">IF(R210="—","—",IF(R210="A","基準輸入",IF(R210="B","情境、相對比較、反轉門檻","探索")))</f>
        <v>情境、相對比較、反轉門檻</v>
      </c>
      <c r="T210" s="30" t="s">
        <v>3002</v>
      </c>
      <c r="U210" s="44" t="str">
        <f aca="false">IF(V210=0,"—",LEFT(TEXT(V210,"0"),4)&amp;"-"&amp;MID(TEXT(V210,"0"),5,2)&amp;"-"&amp;RIGHT(TEXT(V210,"0"),2))</f>
        <v>2026-10-05</v>
      </c>
      <c r="V21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10" s="21" t="s">
        <v>3011</v>
      </c>
      <c r="X210" s="32" t="n">
        <f aca="false">IF(ISNUMBER(FIND("上限",S210)),1,0)</f>
        <v>0</v>
      </c>
      <c r="Y210" s="32" t="n">
        <v>0</v>
      </c>
    </row>
    <row r="212" customFormat="false" ht="15" hidden="false" customHeight="true" outlineLevel="0" collapsed="false">
      <c r="A212" s="43" t="s">
        <v>3012</v>
      </c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</row>
    <row r="213" customFormat="false" ht="15" hidden="false" customHeight="true" outlineLevel="0" collapsed="false">
      <c r="A213" s="44" t="s">
        <v>3013</v>
      </c>
      <c r="B213" s="30" t="s">
        <v>2048</v>
      </c>
      <c r="C213" s="204" t="n">
        <f aca="false">Theory_Rev!C90</f>
        <v>4.16601653965016</v>
      </c>
      <c r="D213" s="204" t="n">
        <f aca="false">Theory_Rev!D90</f>
        <v>4.16601653965016</v>
      </c>
      <c r="E213" s="204" t="n">
        <f aca="false">Theory_Rev!E90</f>
        <v>4.16601653965016</v>
      </c>
      <c r="F213" s="204" t="n">
        <f aca="false">Theory_Rev!F90</f>
        <v>19.2981660478862</v>
      </c>
      <c r="G213" s="204" t="n">
        <f aca="false">Theory_Rev!G90</f>
        <v>19.2981660478862</v>
      </c>
      <c r="H213" s="204" t="n">
        <f aca="false">Theory_Rev!H90</f>
        <v>19.2981660478862</v>
      </c>
      <c r="I213" s="204" t="n">
        <f aca="false">Theory_Rev!I90</f>
        <v>28.0957372251188</v>
      </c>
      <c r="J213" s="204" t="n">
        <f aca="false">Theory_Rev!J90</f>
        <v>28.0957372251188</v>
      </c>
      <c r="K213" s="204" t="n">
        <f aca="false">Theory_Rev!K90</f>
        <v>28.0957372251188</v>
      </c>
      <c r="L213" s="204" t="n">
        <f aca="false">Theory_Rev!L90</f>
        <v>40.6269205958863</v>
      </c>
      <c r="M213" s="204" t="n">
        <f aca="false">Theory_Rev!M90</f>
        <v>40.6269205958863</v>
      </c>
      <c r="N213" s="204" t="n">
        <f aca="false">Theory_Rev!N90</f>
        <v>40.6269205958863</v>
      </c>
      <c r="O213" s="204" t="n">
        <f aca="false">Theory_Rev!O90</f>
        <v>54.7307309163427</v>
      </c>
      <c r="P213" s="204" t="n">
        <f aca="false">Theory_Rev!P90</f>
        <v>54.7307309163427</v>
      </c>
      <c r="Q213" s="204" t="n">
        <f aca="false">Theory_Rev!Q90</f>
        <v>54.7307309163427</v>
      </c>
      <c r="R213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3" s="44" t="str">
        <f aca="false">IF(R213="—","—",IF(R213="A","基準輸入",IF(R213="B","情境、相對比較、反轉門檻","探索")))</f>
        <v>情境、相對比較、反轉門檻</v>
      </c>
      <c r="T213" s="30" t="s">
        <v>3014</v>
      </c>
      <c r="U213" s="44" t="str">
        <f aca="false">IF(V213=0,"—",LEFT(TEXT(V213,"0"),4)&amp;"-"&amp;MID(TEXT(V213,"0"),5,2)&amp;"-"&amp;RIGHT(TEXT(V213,"0"),2))</f>
        <v>2026-10-05</v>
      </c>
      <c r="V213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3" s="21" t="s">
        <v>3015</v>
      </c>
      <c r="X213" s="32" t="n">
        <f aca="false">IF(ISNUMBER(FIND("上限",S213)),1,0)</f>
        <v>0</v>
      </c>
      <c r="Y213" s="32" t="n">
        <v>0</v>
      </c>
    </row>
    <row r="214" customFormat="false" ht="15" hidden="false" customHeight="true" outlineLevel="0" collapsed="false">
      <c r="A214" s="44" t="s">
        <v>3016</v>
      </c>
      <c r="B214" s="30" t="s">
        <v>2048</v>
      </c>
      <c r="C214" s="204" t="n">
        <f aca="false">Theory_Rev!C91</f>
        <v>25.8351210172715</v>
      </c>
      <c r="D214" s="204" t="n">
        <f aca="false">Theory_Rev!D91</f>
        <v>25.8351210172715</v>
      </c>
      <c r="E214" s="204" t="n">
        <f aca="false">Theory_Rev!E91</f>
        <v>25.8351210172715</v>
      </c>
      <c r="F214" s="204" t="n">
        <f aca="false">Theory_Rev!F91</f>
        <v>115.189801090007</v>
      </c>
      <c r="G214" s="204" t="n">
        <f aca="false">Theory_Rev!G91</f>
        <v>115.189801090007</v>
      </c>
      <c r="H214" s="204" t="n">
        <f aca="false">Theory_Rev!H91</f>
        <v>115.189801090007</v>
      </c>
      <c r="I214" s="204" t="n">
        <f aca="false">Theory_Rev!I91</f>
        <v>167.702069430222</v>
      </c>
      <c r="J214" s="204" t="n">
        <f aca="false">Theory_Rev!J91</f>
        <v>167.702069430222</v>
      </c>
      <c r="K214" s="204" t="n">
        <f aca="false">Theory_Rev!K91</f>
        <v>167.702069430222</v>
      </c>
      <c r="L214" s="204" t="n">
        <f aca="false">Theory_Rev!L91</f>
        <v>252.853670235275</v>
      </c>
      <c r="M214" s="204" t="n">
        <f aca="false">Theory_Rev!M91</f>
        <v>252.853670235275</v>
      </c>
      <c r="N214" s="204" t="n">
        <f aca="false">Theory_Rev!N91</f>
        <v>252.853670235275</v>
      </c>
      <c r="O214" s="204" t="n">
        <f aca="false">Theory_Rev!O91</f>
        <v>344.651879941955</v>
      </c>
      <c r="P214" s="204" t="n">
        <f aca="false">Theory_Rev!P91</f>
        <v>344.651879941955</v>
      </c>
      <c r="Q214" s="204" t="n">
        <f aca="false">Theory_Rev!Q91</f>
        <v>344.651879941955</v>
      </c>
      <c r="R214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4" s="44" t="str">
        <f aca="false">IF(R214="—","—",IF(R214="A","基準輸入",IF(R214="B","情境、相對比較、反轉門檻","探索")))</f>
        <v>情境、相對比較、反轉門檻</v>
      </c>
      <c r="T214" s="30" t="s">
        <v>3014</v>
      </c>
      <c r="U214" s="44" t="str">
        <f aca="false">IF(V214=0,"—",LEFT(TEXT(V214,"0"),4)&amp;"-"&amp;MID(TEXT(V214,"0"),5,2)&amp;"-"&amp;RIGHT(TEXT(V214,"0"),2))</f>
        <v>2026-10-05</v>
      </c>
      <c r="V214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4" s="21" t="s">
        <v>3015</v>
      </c>
      <c r="X214" s="32" t="n">
        <f aca="false">IF(ISNUMBER(FIND("上限",S214)),1,0)</f>
        <v>0</v>
      </c>
      <c r="Y214" s="32" t="n">
        <v>0</v>
      </c>
    </row>
    <row r="215" customFormat="false" ht="15" hidden="false" customHeight="true" outlineLevel="0" collapsed="false">
      <c r="A215" s="44" t="s">
        <v>3017</v>
      </c>
      <c r="B215" s="30" t="s">
        <v>2048</v>
      </c>
      <c r="C215" s="204" t="n">
        <f aca="false">Theory_Rev!C92</f>
        <v>23.7314208542587</v>
      </c>
      <c r="D215" s="204" t="n">
        <f aca="false">Theory_Rev!D92</f>
        <v>23.7314208542587</v>
      </c>
      <c r="E215" s="204" t="n">
        <f aca="false">Theory_Rev!E92</f>
        <v>23.7314208542587</v>
      </c>
      <c r="F215" s="204" t="n">
        <f aca="false">Theory_Rev!F92</f>
        <v>112.606466107701</v>
      </c>
      <c r="G215" s="204" t="n">
        <f aca="false">Theory_Rev!G92</f>
        <v>112.606466107701</v>
      </c>
      <c r="H215" s="204" t="n">
        <f aca="false">Theory_Rev!H92</f>
        <v>112.606466107701</v>
      </c>
      <c r="I215" s="204" t="n">
        <f aca="false">Theory_Rev!I92</f>
        <v>146.896191352993</v>
      </c>
      <c r="J215" s="204" t="n">
        <f aca="false">Theory_Rev!J92</f>
        <v>146.896191352993</v>
      </c>
      <c r="K215" s="204" t="n">
        <f aca="false">Theory_Rev!K92</f>
        <v>146.896191352993</v>
      </c>
      <c r="L215" s="204" t="n">
        <f aca="false">Theory_Rev!L92</f>
        <v>266.938542515567</v>
      </c>
      <c r="M215" s="204" t="n">
        <f aca="false">Theory_Rev!M92</f>
        <v>266.938542515567</v>
      </c>
      <c r="N215" s="204" t="n">
        <f aca="false">Theory_Rev!N92</f>
        <v>266.938542515567</v>
      </c>
      <c r="O215" s="204" t="n">
        <f aca="false">Theory_Rev!O92</f>
        <v>379.622499261887</v>
      </c>
      <c r="P215" s="204" t="n">
        <f aca="false">Theory_Rev!P92</f>
        <v>379.622499261887</v>
      </c>
      <c r="Q215" s="204" t="n">
        <f aca="false">Theory_Rev!Q92</f>
        <v>379.622499261887</v>
      </c>
      <c r="R215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15" s="44" t="str">
        <f aca="false">IF(R215="—","—",IF(R215="A","基準輸入",IF(R215="B","情境、相對比較、反轉門檻","探索")))</f>
        <v>情境、相對比較、反轉門檻</v>
      </c>
      <c r="T215" s="30" t="s">
        <v>3014</v>
      </c>
      <c r="U215" s="44" t="str">
        <f aca="false">IF(V215=0,"—",LEFT(TEXT(V215,"0"),4)&amp;"-"&amp;MID(TEXT(V215,"0"),5,2)&amp;"-"&amp;RIGHT(TEXT(V215,"0"),2))</f>
        <v>2026-10-05</v>
      </c>
      <c r="V21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15" s="21" t="s">
        <v>3015</v>
      </c>
      <c r="X215" s="32" t="n">
        <f aca="false">IF(ISNUMBER(FIND("上限",S215)),1,0)</f>
        <v>0</v>
      </c>
      <c r="Y215" s="32" t="n">
        <v>0</v>
      </c>
    </row>
    <row r="216" customFormat="false" ht="15" hidden="false" customHeight="true" outlineLevel="0" collapsed="false">
      <c r="A216" s="44" t="s">
        <v>3018</v>
      </c>
      <c r="B216" s="30" t="s">
        <v>2048</v>
      </c>
      <c r="C216" s="204" t="n">
        <f aca="false">Theory_Rev!C93</f>
        <v>5.01848956376868</v>
      </c>
      <c r="D216" s="204" t="n">
        <f aca="false">Theory_Rev!D93</f>
        <v>5.01848956376868</v>
      </c>
      <c r="E216" s="204" t="n">
        <f aca="false">Theory_Rev!E93</f>
        <v>5.01848956376868</v>
      </c>
      <c r="F216" s="204" t="n">
        <f aca="false">Theory_Rev!F93</f>
        <v>23.2784953027427</v>
      </c>
      <c r="G216" s="204" t="n">
        <f aca="false">Theory_Rev!G93</f>
        <v>23.2784953027427</v>
      </c>
      <c r="H216" s="204" t="n">
        <f aca="false">Theory_Rev!H93</f>
        <v>23.2784953027427</v>
      </c>
      <c r="I216" s="204" t="n">
        <f aca="false">Theory_Rev!I93</f>
        <v>31.7743161074204</v>
      </c>
      <c r="J216" s="204" t="n">
        <f aca="false">Theory_Rev!J93</f>
        <v>31.7743161074204</v>
      </c>
      <c r="K216" s="204" t="n">
        <f aca="false">Theory_Rev!K93</f>
        <v>31.7743161074204</v>
      </c>
      <c r="L216" s="204" t="n">
        <f aca="false">Theory_Rev!L93</f>
        <v>53.1540686485926</v>
      </c>
      <c r="M216" s="204" t="n">
        <f aca="false">Theory_Rev!M93</f>
        <v>53.1540686485926</v>
      </c>
      <c r="N216" s="204" t="n">
        <f aca="false">Theory_Rev!N93</f>
        <v>53.1540686485926</v>
      </c>
      <c r="O216" s="204" t="n">
        <f aca="false">Theory_Rev!O93</f>
        <v>74.0683951910804</v>
      </c>
      <c r="P216" s="204" t="n">
        <f aca="false">Theory_Rev!P93</f>
        <v>74.0683951910804</v>
      </c>
      <c r="Q216" s="204" t="n">
        <f aca="false">Theory_Rev!Q93</f>
        <v>74.0683951910804</v>
      </c>
      <c r="R216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16" s="44" t="str">
        <f aca="false">IF(R216="—","—",IF(R216="A","基準輸入",IF(R216="B","情境、相對比較、反轉門檻","探索")))</f>
        <v>情境、相對比較、反轉門檻</v>
      </c>
      <c r="T216" s="30" t="s">
        <v>3014</v>
      </c>
      <c r="U216" s="44" t="str">
        <f aca="false">IF(V216=0,"—",LEFT(TEXT(V216,"0"),4)&amp;"-"&amp;MID(TEXT(V216,"0"),5,2)&amp;"-"&amp;RIGHT(TEXT(V216,"0"),2))</f>
        <v>2026-10-05</v>
      </c>
      <c r="V21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16" s="21" t="s">
        <v>3019</v>
      </c>
      <c r="X216" s="32" t="n">
        <f aca="false">IF(ISNUMBER(FIND("上限",S216)),1,0)</f>
        <v>0</v>
      </c>
      <c r="Y216" s="32" t="n">
        <v>0</v>
      </c>
    </row>
    <row r="218" customFormat="false" ht="15" hidden="false" customHeight="true" outlineLevel="0" collapsed="false">
      <c r="A218" s="43" t="s">
        <v>3020</v>
      </c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</row>
    <row r="219" customFormat="false" ht="15" hidden="false" customHeight="true" outlineLevel="0" collapsed="false">
      <c r="A219" s="30" t="s">
        <v>3021</v>
      </c>
      <c r="B219" s="44" t="s">
        <v>149</v>
      </c>
      <c r="C219" s="33" t="n">
        <f aca="false">DC_Cost!C38</f>
        <v>6</v>
      </c>
      <c r="D219" s="33" t="n">
        <f aca="false">DC_Cost!D38</f>
        <v>6</v>
      </c>
      <c r="E219" s="33" t="n">
        <f aca="false">DC_Cost!E38</f>
        <v>4</v>
      </c>
      <c r="F219" s="33" t="n">
        <f aca="false">DC_Cost!F38</f>
        <v>6</v>
      </c>
      <c r="G219" s="33" t="n">
        <f aca="false">DC_Cost!G38</f>
        <v>6</v>
      </c>
      <c r="H219" s="33" t="n">
        <f aca="false">DC_Cost!H38</f>
        <v>4</v>
      </c>
      <c r="I219" s="33" t="n">
        <f aca="false">DC_Cost!I38</f>
        <v>6</v>
      </c>
      <c r="J219" s="33" t="n">
        <f aca="false">DC_Cost!J38</f>
        <v>6</v>
      </c>
      <c r="K219" s="33" t="n">
        <f aca="false">DC_Cost!K38</f>
        <v>4</v>
      </c>
      <c r="L219" s="33" t="n">
        <f aca="false">DC_Cost!L38</f>
        <v>6</v>
      </c>
      <c r="M219" s="33" t="n">
        <f aca="false">DC_Cost!M38</f>
        <v>6</v>
      </c>
      <c r="N219" s="33" t="n">
        <f aca="false">DC_Cost!N38</f>
        <v>4</v>
      </c>
      <c r="O219" s="33" t="n">
        <f aca="false">DC_Cost!O38</f>
        <v>6</v>
      </c>
      <c r="P219" s="33" t="n">
        <f aca="false">DC_Cost!P38</f>
        <v>6</v>
      </c>
      <c r="Q219" s="33" t="n">
        <f aca="false">DC_Cost!Q38</f>
        <v>4</v>
      </c>
      <c r="R219" s="184" t="str">
        <f aca="false">IF(SUM(Gov_Map!$AG$62:$AG$64)&gt;0,"C",IF(SUM(Gov_Map!$AH$62:$AH$64)&gt;0,"B","A"))</f>
        <v>B</v>
      </c>
      <c r="S219" s="44" t="str">
        <f aca="false">IF(R219="—","—",IF(R219="A","基準輸入",IF(R219="B","情境、相對比較、反轉門檻","探索")))</f>
        <v>情境、相對比較、反轉門檻</v>
      </c>
      <c r="T219" s="30" t="s">
        <v>751</v>
      </c>
      <c r="U219" s="44" t="str">
        <f aca="false">IF(V219=0,"—",LEFT(TEXT(V219,"0"),4)&amp;"-"&amp;MID(TEXT(V219,"0"),5,2)&amp;"-"&amp;RIGHT(TEXT(V219,"0"),2))</f>
        <v>—</v>
      </c>
      <c r="V219" s="33" t="n">
        <f aca="false">MAX(Gov_Map!$AJ$62:$AJ$64)</f>
        <v>0</v>
      </c>
      <c r="W219" s="21" t="s">
        <v>3022</v>
      </c>
      <c r="X219" s="32" t="n">
        <f aca="false">IF(ISNUMBER(FIND("上限",S219)),1,0)</f>
        <v>0</v>
      </c>
      <c r="Y219" s="32" t="n">
        <v>0</v>
      </c>
    </row>
    <row r="220" customFormat="false" ht="15" hidden="false" customHeight="true" outlineLevel="0" collapsed="false">
      <c r="A220" s="44" t="s">
        <v>3023</v>
      </c>
      <c r="B220" s="30" t="s">
        <v>2048</v>
      </c>
      <c r="C220" s="46" t="n">
        <f aca="false">(DC_Cost!C39)/CTL_GW</f>
        <v>3.5700449</v>
      </c>
      <c r="D220" s="46" t="n">
        <f aca="false">(DC_Cost!D39)/CTL_GW</f>
        <v>4.58503566666667</v>
      </c>
      <c r="E220" s="46" t="n">
        <f aca="false">(DC_Cost!E39)/CTL_GW</f>
        <v>8.53018585</v>
      </c>
      <c r="F220" s="46" t="n">
        <f aca="false">(DC_Cost!F39)/CTL_GW</f>
        <v>3.4398984</v>
      </c>
      <c r="G220" s="46" t="n">
        <f aca="false">(DC_Cost!G39)/CTL_GW</f>
        <v>4.002529</v>
      </c>
      <c r="H220" s="46" t="n">
        <f aca="false">(DC_Cost!H39)/CTL_GW</f>
        <v>6.9125511</v>
      </c>
      <c r="I220" s="46" t="n">
        <f aca="false">(DC_Cost!I39)/CTL_GW</f>
        <v>4.7591504</v>
      </c>
      <c r="J220" s="46" t="n">
        <f aca="false">(DC_Cost!J39)/CTL_GW</f>
        <v>5.37287066666667</v>
      </c>
      <c r="K220" s="46" t="n">
        <f aca="false">(DC_Cost!K39)/CTL_GW</f>
        <v>9.8206516</v>
      </c>
      <c r="L220" s="46" t="n">
        <f aca="false">(DC_Cost!L39)/CTL_GW</f>
        <v>5.5455672</v>
      </c>
      <c r="M220" s="46" t="n">
        <f aca="false">(DC_Cost!M39)/CTL_GW</f>
        <v>6.264392</v>
      </c>
      <c r="N220" s="46" t="n">
        <f aca="false">(DC_Cost!N39)/CTL_GW</f>
        <v>10.6593938</v>
      </c>
      <c r="O220" s="46" t="n">
        <f aca="false">(DC_Cost!O39)/CTL_GW</f>
        <v>5.974263</v>
      </c>
      <c r="P220" s="46" t="n">
        <f aca="false">(DC_Cost!P39)/CTL_GW</f>
        <v>8.34763</v>
      </c>
      <c r="Q220" s="46" t="n">
        <f aca="false">(DC_Cost!Q39)/CTL_GW</f>
        <v>16.3703895</v>
      </c>
      <c r="R220" s="184" t="str">
        <f aca="false">IF(SUM(Gov_Map!$AG$5:$AG$7,Gov_Map!$AG$17:$AG$22,Gov_Map!$AG$62:$AG$64,Gov_Map!$AG$69:$AG$103)&gt;0,"C",IF(SUM(Gov_Map!$AH$5:$AH$7,Gov_Map!$AH$17:$AH$22,Gov_Map!$AH$62:$AH$64,Gov_Map!$AH$69:$AH$103)&gt;0,"B","A"))</f>
        <v>B</v>
      </c>
      <c r="S220" s="44" t="str">
        <f aca="false">IF(R220="—","—",IF(R220="A","基準輸入",IF(R220="B","情境、相對比較、反轉門檻","探索")))</f>
        <v>情境、相對比較、反轉門檻</v>
      </c>
      <c r="T220" s="30" t="s">
        <v>751</v>
      </c>
      <c r="U220" s="44" t="str">
        <f aca="false">IF(V220=0,"—",LEFT(TEXT(V220,"0"),4)&amp;"-"&amp;MID(TEXT(V220,"0"),5,2)&amp;"-"&amp;RIGHT(TEXT(V220,"0"),2))</f>
        <v>2026-10-08</v>
      </c>
      <c r="V220" s="33" t="n">
        <f aca="false">MAX(Gov_Map!$AJ$5:$AJ$7,Gov_Map!$AJ$17:$AJ$22,Gov_Map!$AJ$62:$AJ$64,Gov_Map!$AJ$69:$AJ$103)</f>
        <v>20261008</v>
      </c>
      <c r="W220" s="21" t="s">
        <v>3024</v>
      </c>
      <c r="X220" s="32" t="n">
        <f aca="false">IF(ISNUMBER(FIND("上限",S220)),1,0)</f>
        <v>0</v>
      </c>
      <c r="Y220" s="32" t="n">
        <v>0</v>
      </c>
    </row>
    <row r="221" customFormat="false" ht="15" hidden="false" customHeight="true" outlineLevel="0" collapsed="false">
      <c r="A221" s="44" t="s">
        <v>3025</v>
      </c>
      <c r="B221" s="30" t="s">
        <v>2048</v>
      </c>
      <c r="C221" s="46" t="n">
        <f aca="false">(DC_Cost!C40)/CTL_GW</f>
        <v>0.507733333333333</v>
      </c>
      <c r="D221" s="46" t="n">
        <f aca="false">(DC_Cost!D40)/CTL_GW</f>
        <v>0.634416666666667</v>
      </c>
      <c r="E221" s="46" t="n">
        <f aca="false">(DC_Cost!E40)/CTL_GW</f>
        <v>0.812233333333334</v>
      </c>
      <c r="F221" s="46" t="n">
        <f aca="false">(DC_Cost!F40)/CTL_GW</f>
        <v>0.507733333333333</v>
      </c>
      <c r="G221" s="46" t="n">
        <f aca="false">(DC_Cost!G40)/CTL_GW</f>
        <v>0.634416666666667</v>
      </c>
      <c r="H221" s="46" t="n">
        <f aca="false">(DC_Cost!H40)/CTL_GW</f>
        <v>0.812233333333334</v>
      </c>
      <c r="I221" s="46" t="n">
        <f aca="false">(DC_Cost!I40)/CTL_GW</f>
        <v>0.507733333333333</v>
      </c>
      <c r="J221" s="46" t="n">
        <f aca="false">(DC_Cost!J40)/CTL_GW</f>
        <v>0.634416666666667</v>
      </c>
      <c r="K221" s="46" t="n">
        <f aca="false">(DC_Cost!K40)/CTL_GW</f>
        <v>0.812233333333334</v>
      </c>
      <c r="L221" s="46" t="n">
        <f aca="false">(DC_Cost!L40)/CTL_GW</f>
        <v>0.507733333333333</v>
      </c>
      <c r="M221" s="46" t="n">
        <f aca="false">(DC_Cost!M40)/CTL_GW</f>
        <v>0.634416666666667</v>
      </c>
      <c r="N221" s="46" t="n">
        <f aca="false">(DC_Cost!N40)/CTL_GW</f>
        <v>0.812233333333334</v>
      </c>
      <c r="O221" s="46" t="n">
        <f aca="false">(DC_Cost!O40)/CTL_GW</f>
        <v>0.507733333333333</v>
      </c>
      <c r="P221" s="46" t="n">
        <f aca="false">(DC_Cost!P40)/CTL_GW</f>
        <v>0.634416666666667</v>
      </c>
      <c r="Q221" s="46" t="n">
        <f aca="false">(DC_Cost!Q40)/CTL_GW</f>
        <v>0.812233333333334</v>
      </c>
      <c r="R221" s="184" t="str">
        <f aca="false">IF(SUM(Gov_Map!$AG$5,Gov_Map!$AG$26:$AG$40,Gov_Map!$AG$65:$AG$68)&gt;0,"C",IF(SUM(Gov_Map!$AH$5,Gov_Map!$AH$26:$AH$40,Gov_Map!$AH$65:$AH$68)&gt;0,"B","A"))</f>
        <v>A</v>
      </c>
      <c r="S221" s="44" t="str">
        <f aca="false">IF(R221="—","—",IF(R221="A","基準輸入",IF(R221="B","情境、相對比較、反轉門檻","探索")))</f>
        <v>基準輸入</v>
      </c>
      <c r="T221" s="30" t="s">
        <v>751</v>
      </c>
      <c r="U221" s="44" t="str">
        <f aca="false">IF(V221=0,"—",LEFT(TEXT(V221,"0"),4)&amp;"-"&amp;MID(TEXT(V221,"0"),5,2)&amp;"-"&amp;RIGHT(TEXT(V221,"0"),2))</f>
        <v>—</v>
      </c>
      <c r="V221" s="33" t="n">
        <f aca="false">MAX(Gov_Map!$AJ$5,Gov_Map!$AJ$26:$AJ$40,Gov_Map!$AJ$65:$AJ$68)</f>
        <v>0</v>
      </c>
      <c r="W221" s="21" t="s">
        <v>3026</v>
      </c>
      <c r="X221" s="32" t="n">
        <f aca="false">IF(ISNUMBER(FIND("上限",S221)),1,0)</f>
        <v>0</v>
      </c>
      <c r="Y221" s="32" t="n">
        <v>0</v>
      </c>
    </row>
    <row r="222" customFormat="false" ht="15" hidden="false" customHeight="true" outlineLevel="0" collapsed="false">
      <c r="A222" s="44" t="s">
        <v>3027</v>
      </c>
      <c r="B222" s="30" t="s">
        <v>113</v>
      </c>
      <c r="C222" s="196" t="n">
        <f aca="false">DC_Cost!C41</f>
        <v>0.7</v>
      </c>
      <c r="D222" s="196" t="n">
        <f aca="false">DC_Cost!D41</f>
        <v>0.8</v>
      </c>
      <c r="E222" s="196" t="n">
        <f aca="false">DC_Cost!E41</f>
        <v>0.9</v>
      </c>
      <c r="F222" s="196" t="n">
        <f aca="false">DC_Cost!F41</f>
        <v>0.7</v>
      </c>
      <c r="G222" s="196" t="n">
        <f aca="false">DC_Cost!G41</f>
        <v>0.8</v>
      </c>
      <c r="H222" s="196" t="n">
        <f aca="false">DC_Cost!H41</f>
        <v>0.9</v>
      </c>
      <c r="I222" s="196" t="n">
        <f aca="false">DC_Cost!I41</f>
        <v>0.7</v>
      </c>
      <c r="J222" s="196" t="n">
        <f aca="false">DC_Cost!J41</f>
        <v>0.8</v>
      </c>
      <c r="K222" s="196" t="n">
        <f aca="false">DC_Cost!K41</f>
        <v>0.9</v>
      </c>
      <c r="L222" s="196" t="n">
        <f aca="false">DC_Cost!L41</f>
        <v>0.7</v>
      </c>
      <c r="M222" s="196" t="n">
        <f aca="false">DC_Cost!M41</f>
        <v>0.8</v>
      </c>
      <c r="N222" s="196" t="n">
        <f aca="false">DC_Cost!N41</f>
        <v>0.9</v>
      </c>
      <c r="O222" s="196" t="n">
        <f aca="false">DC_Cost!O41</f>
        <v>0.7</v>
      </c>
      <c r="P222" s="196" t="n">
        <f aca="false">DC_Cost!P41</f>
        <v>0.8</v>
      </c>
      <c r="Q222" s="196" t="n">
        <f aca="false">DC_Cost!Q41</f>
        <v>0.9</v>
      </c>
      <c r="R222" s="184" t="str">
        <f aca="false">IF(SUM(Gov_Map!$AG$11:$AG$13)&gt;0,"C",IF(SUM(Gov_Map!$AH$11:$AH$13)&gt;0,"B","A"))</f>
        <v>A</v>
      </c>
      <c r="S222" s="44" t="str">
        <f aca="false">IF(R222="—","—",IF(R222="A","基準輸入",IF(R222="B","情境、相對比較、反轉門檻","探索")))</f>
        <v>基準輸入</v>
      </c>
      <c r="T222" s="30" t="s">
        <v>751</v>
      </c>
      <c r="U222" s="44" t="str">
        <f aca="false">IF(V222=0,"—",LEFT(TEXT(V222,"0"),4)&amp;"-"&amp;MID(TEXT(V222,"0"),5,2)&amp;"-"&amp;RIGHT(TEXT(V222,"0"),2))</f>
        <v>—</v>
      </c>
      <c r="V222" s="33" t="n">
        <f aca="false">MAX(Gov_Map!$AJ$11:$AJ$13)</f>
        <v>0</v>
      </c>
      <c r="W222" s="21" t="s">
        <v>3028</v>
      </c>
      <c r="X222" s="32" t="n">
        <f aca="false">IF(ISNUMBER(FIND("上限",S222)),1,0)</f>
        <v>0</v>
      </c>
      <c r="Y222" s="32" t="n">
        <v>0</v>
      </c>
    </row>
    <row r="223" customFormat="false" ht="15" hidden="false" customHeight="true" outlineLevel="0" collapsed="false">
      <c r="A223" s="44" t="s">
        <v>3029</v>
      </c>
      <c r="B223" s="30" t="s">
        <v>124</v>
      </c>
      <c r="C223" s="214" t="n">
        <f aca="false">DC_Cost!C42</f>
        <v>0.06</v>
      </c>
      <c r="D223" s="214" t="n">
        <f aca="false">DC_Cost!D42</f>
        <v>0.08</v>
      </c>
      <c r="E223" s="214" t="n">
        <f aca="false">DC_Cost!E42</f>
        <v>0.1</v>
      </c>
      <c r="F223" s="214" t="n">
        <f aca="false">DC_Cost!F42</f>
        <v>0.06</v>
      </c>
      <c r="G223" s="214" t="n">
        <f aca="false">DC_Cost!G42</f>
        <v>0.08</v>
      </c>
      <c r="H223" s="214" t="n">
        <f aca="false">DC_Cost!H42</f>
        <v>0.1</v>
      </c>
      <c r="I223" s="214" t="n">
        <f aca="false">DC_Cost!I42</f>
        <v>0.06</v>
      </c>
      <c r="J223" s="214" t="n">
        <f aca="false">DC_Cost!J42</f>
        <v>0.08</v>
      </c>
      <c r="K223" s="214" t="n">
        <f aca="false">DC_Cost!K42</f>
        <v>0.1</v>
      </c>
      <c r="L223" s="214" t="n">
        <f aca="false">DC_Cost!L42</f>
        <v>0.06</v>
      </c>
      <c r="M223" s="214" t="n">
        <f aca="false">DC_Cost!M42</f>
        <v>0.08</v>
      </c>
      <c r="N223" s="214" t="n">
        <f aca="false">DC_Cost!N42</f>
        <v>0.1</v>
      </c>
      <c r="O223" s="214" t="n">
        <f aca="false">DC_Cost!O42</f>
        <v>0.06</v>
      </c>
      <c r="P223" s="214" t="n">
        <f aca="false">DC_Cost!P42</f>
        <v>0.08</v>
      </c>
      <c r="Q223" s="214" t="n">
        <f aca="false">DC_Cost!Q42</f>
        <v>0.1</v>
      </c>
      <c r="R223" s="184" t="str">
        <f aca="false">IF(SUM(Gov_Map!$AG$14:$AG$16)&gt;0,"C",IF(SUM(Gov_Map!$AH$14:$AH$16)&gt;0,"B","A"))</f>
        <v>A</v>
      </c>
      <c r="S223" s="44" t="str">
        <f aca="false">IF(R223="—","—",IF(R223="A","基準輸入",IF(R223="B","情境、相對比較、反轉門檻","探索")))</f>
        <v>基準輸入</v>
      </c>
      <c r="T223" s="30" t="s">
        <v>751</v>
      </c>
      <c r="U223" s="44" t="str">
        <f aca="false">IF(V223=0,"—",LEFT(TEXT(V223,"0"),4)&amp;"-"&amp;MID(TEXT(V223,"0"),5,2)&amp;"-"&amp;RIGHT(TEXT(V223,"0"),2))</f>
        <v>—</v>
      </c>
      <c r="V223" s="33" t="n">
        <f aca="false">MAX(Gov_Map!$AJ$14:$AJ$16)</f>
        <v>0</v>
      </c>
      <c r="W223" s="21" t="s">
        <v>3028</v>
      </c>
      <c r="X223" s="32" t="n">
        <f aca="false">IF(ISNUMBER(FIND("上限",S223)),1,0)</f>
        <v>0</v>
      </c>
      <c r="Y223" s="32" t="n">
        <v>0</v>
      </c>
    </row>
    <row r="224" customFormat="false" ht="15" hidden="false" customHeight="true" outlineLevel="0" collapsed="false">
      <c r="A224" s="44" t="s">
        <v>3030</v>
      </c>
      <c r="B224" s="30" t="s">
        <v>2048</v>
      </c>
      <c r="C224" s="46" t="n">
        <f aca="false">(DC_Cost!C44)/CTL_GW</f>
        <v>0.219436730882534</v>
      </c>
      <c r="D224" s="46" t="n">
        <f aca="false">(DC_Cost!D44)/CTL_GW</f>
        <v>0.43259841019734</v>
      </c>
      <c r="E224" s="46" t="n">
        <f aca="false">(DC_Cost!E44)/CTL_GW</f>
        <v>0.6226274060112</v>
      </c>
      <c r="F224" s="46" t="n">
        <f aca="false">(DC_Cost!F44)/CTL_GW</f>
        <v>0.211437133315623</v>
      </c>
      <c r="G224" s="46" t="n">
        <f aca="false">(DC_Cost!G44)/CTL_GW</f>
        <v>0.377638868712999</v>
      </c>
      <c r="H224" s="46" t="n">
        <f aca="false">(DC_Cost!H44)/CTL_GW</f>
        <v>0.504554512175472</v>
      </c>
      <c r="I224" s="46" t="n">
        <f aca="false">(DC_Cost!I44)/CTL_GW</f>
        <v>0.292526406475813</v>
      </c>
      <c r="J224" s="46" t="n">
        <f aca="false">(DC_Cost!J44)/CTL_GW</f>
        <v>0.506930693144573</v>
      </c>
      <c r="K224" s="46" t="n">
        <f aca="false">(DC_Cost!K44)/CTL_GW</f>
        <v>0.716819883947515</v>
      </c>
      <c r="L224" s="46" t="n">
        <f aca="false">(DC_Cost!L44)/CTL_GW</f>
        <v>0.340864378836638</v>
      </c>
      <c r="M224" s="46" t="n">
        <f aca="false">(DC_Cost!M44)/CTL_GW</f>
        <v>0.591045788314028</v>
      </c>
      <c r="N224" s="46" t="n">
        <f aca="false">(DC_Cost!N44)/CTL_GW</f>
        <v>0.778040575909124</v>
      </c>
      <c r="O224" s="46" t="n">
        <f aca="false">(DC_Cost!O44)/CTL_GW</f>
        <v>0.367214637035091</v>
      </c>
      <c r="P224" s="46" t="n">
        <f aca="false">(DC_Cost!P44)/CTL_GW</f>
        <v>0.787599427670528</v>
      </c>
      <c r="Q224" s="46" t="n">
        <f aca="false">(DC_Cost!Q44)/CTL_GW</f>
        <v>1.19489227186978</v>
      </c>
      <c r="R224" s="184" t="str">
        <f aca="false">IF(SUM(Gov_Map!$AG$5:$AG$7,Gov_Map!$AG$17:$AG$22,Gov_Map!$AG$41:$AG$46,Gov_Map!$AG$62:$AG$64,Gov_Map!$AG$69:$AG$103,Gov_Map!$AG$605:$AG$611)&gt;0,"C",IF(SUM(Gov_Map!$AH$5:$AH$7,Gov_Map!$AH$17:$AH$22,Gov_Map!$AH$41:$AH$46,Gov_Map!$AH$62:$AH$64,Gov_Map!$AH$69:$AH$103,Gov_Map!$AH$605:$AH$611)&gt;0,"B","A"))</f>
        <v>B</v>
      </c>
      <c r="S224" s="44" t="str">
        <f aca="false">IF(R224="—","—",IF(R224="A","基準輸入",IF(R224="B","情境、相對比較、反轉門檻","探索")))</f>
        <v>情境、相對比較、反轉門檻</v>
      </c>
      <c r="T224" s="30" t="s">
        <v>751</v>
      </c>
      <c r="U224" s="44" t="str">
        <f aca="false">IF(V224=0,"—",LEFT(TEXT(V224,"0"),4)&amp;"-"&amp;MID(TEXT(V224,"0"),5,2)&amp;"-"&amp;RIGHT(TEXT(V224,"0"),2))</f>
        <v>2026-10-08</v>
      </c>
      <c r="V224" s="33" t="n">
        <f aca="false">MAX(Gov_Map!$AJ$5:$AJ$7,Gov_Map!$AJ$17:$AJ$22,Gov_Map!$AJ$41:$AJ$46,Gov_Map!$AJ$62:$AJ$64,Gov_Map!$AJ$69:$AJ$103,Gov_Map!$AJ$605:$AJ$611)</f>
        <v>20261008</v>
      </c>
      <c r="W224" s="21" t="s">
        <v>3031</v>
      </c>
      <c r="X224" s="32" t="n">
        <f aca="false">IF(ISNUMBER(FIND("上限",S224)),1,0)</f>
        <v>0</v>
      </c>
      <c r="Y224" s="32" t="n">
        <v>0</v>
      </c>
    </row>
    <row r="225" customFormat="false" ht="15" hidden="false" customHeight="true" outlineLevel="0" collapsed="false">
      <c r="A225" s="44" t="s">
        <v>3032</v>
      </c>
      <c r="B225" s="30" t="s">
        <v>2048</v>
      </c>
      <c r="C225" s="46" t="n">
        <f aca="false">(DC_Cost!C45)/CTL_GW</f>
        <v>0.15318</v>
      </c>
      <c r="D225" s="46" t="n">
        <f aca="false">(DC_Cost!D45)/CTL_GW</f>
        <v>0.2534</v>
      </c>
      <c r="E225" s="46" t="n">
        <f aca="false">(DC_Cost!E45)/CTL_GW</f>
        <v>0.40465</v>
      </c>
      <c r="F225" s="46" t="n">
        <f aca="false">(DC_Cost!F45)/CTL_GW</f>
        <v>0.15318</v>
      </c>
      <c r="G225" s="46" t="n">
        <f aca="false">(DC_Cost!G45)/CTL_GW</f>
        <v>0.2534</v>
      </c>
      <c r="H225" s="46" t="n">
        <f aca="false">(DC_Cost!H45)/CTL_GW</f>
        <v>0.40465</v>
      </c>
      <c r="I225" s="46" t="n">
        <f aca="false">(DC_Cost!I45)/CTL_GW</f>
        <v>0.15318</v>
      </c>
      <c r="J225" s="46" t="n">
        <f aca="false">(DC_Cost!J45)/CTL_GW</f>
        <v>0.2534</v>
      </c>
      <c r="K225" s="46" t="n">
        <f aca="false">(DC_Cost!K45)/CTL_GW</f>
        <v>0.40465</v>
      </c>
      <c r="L225" s="46" t="n">
        <f aca="false">(DC_Cost!L45)/CTL_GW</f>
        <v>0.15318</v>
      </c>
      <c r="M225" s="46" t="n">
        <f aca="false">(DC_Cost!M45)/CTL_GW</f>
        <v>0.2534</v>
      </c>
      <c r="N225" s="46" t="n">
        <f aca="false">(DC_Cost!N45)/CTL_GW</f>
        <v>0.40465</v>
      </c>
      <c r="O225" s="46" t="n">
        <f aca="false">(DC_Cost!O45)/CTL_GW</f>
        <v>0.15318</v>
      </c>
      <c r="P225" s="46" t="n">
        <f aca="false">(DC_Cost!P45)/CTL_GW</f>
        <v>0.2534</v>
      </c>
      <c r="Q225" s="46" t="n">
        <f aca="false">(DC_Cost!Q45)/CTL_GW</f>
        <v>0.40465</v>
      </c>
      <c r="R225" s="184" t="str">
        <f aca="false">IF(SUM(Gov_Map!$AG$5,Gov_Map!$AG$23:$AG$40,Gov_Map!$AG$47:$AG$49)&gt;0,"C",IF(SUM(Gov_Map!$AH$5,Gov_Map!$AH$23:$AH$40,Gov_Map!$AH$47:$AH$49)&gt;0,"B","A"))</f>
        <v>A</v>
      </c>
      <c r="S225" s="44" t="str">
        <f aca="false">IF(R225="—","—",IF(R225="A","基準輸入",IF(R225="B","情境、相對比較、反轉門檻","探索")))</f>
        <v>基準輸入</v>
      </c>
      <c r="T225" s="30" t="s">
        <v>751</v>
      </c>
      <c r="U225" s="44" t="str">
        <f aca="false">IF(V225=0,"—",LEFT(TEXT(V225,"0"),4)&amp;"-"&amp;MID(TEXT(V225,"0"),5,2)&amp;"-"&amp;RIGHT(TEXT(V225,"0"),2))</f>
        <v>—</v>
      </c>
      <c r="V225" s="33" t="n">
        <f aca="false">MAX(Gov_Map!$AJ$5,Gov_Map!$AJ$23:$AJ$40,Gov_Map!$AJ$47:$AJ$49)</f>
        <v>0</v>
      </c>
      <c r="W225" s="21" t="s">
        <v>3033</v>
      </c>
      <c r="X225" s="32" t="n">
        <f aca="false">IF(ISNUMBER(FIND("上限",S225)),1,0)</f>
        <v>0</v>
      </c>
      <c r="Y225" s="32" t="n">
        <v>0</v>
      </c>
    </row>
    <row r="226" customFormat="false" ht="15" hidden="false" customHeight="true" outlineLevel="0" collapsed="false">
      <c r="A226" s="44" t="s">
        <v>3034</v>
      </c>
      <c r="B226" s="30" t="s">
        <v>2048</v>
      </c>
      <c r="C226" s="46" t="n">
        <f aca="false">(DC_Cost!C46)/CTL_GW</f>
        <v>0.24</v>
      </c>
      <c r="D226" s="46" t="n">
        <f aca="false">(DC_Cost!D46)/CTL_GW</f>
        <v>0.325</v>
      </c>
      <c r="E226" s="46" t="n">
        <f aca="false">(DC_Cost!E46)/CTL_GW</f>
        <v>0.41</v>
      </c>
      <c r="F226" s="46" t="n">
        <f aca="false">(DC_Cost!F46)/CTL_GW</f>
        <v>0.24</v>
      </c>
      <c r="G226" s="46" t="n">
        <f aca="false">(DC_Cost!G46)/CTL_GW</f>
        <v>0.325</v>
      </c>
      <c r="H226" s="46" t="n">
        <f aca="false">(DC_Cost!H46)/CTL_GW</f>
        <v>0.41</v>
      </c>
      <c r="I226" s="46" t="n">
        <f aca="false">(DC_Cost!I46)/CTL_GW</f>
        <v>0.24</v>
      </c>
      <c r="J226" s="46" t="n">
        <f aca="false">(DC_Cost!J46)/CTL_GW</f>
        <v>0.325</v>
      </c>
      <c r="K226" s="46" t="n">
        <f aca="false">(DC_Cost!K46)/CTL_GW</f>
        <v>0.41</v>
      </c>
      <c r="L226" s="46" t="n">
        <f aca="false">(DC_Cost!L46)/CTL_GW</f>
        <v>0.24</v>
      </c>
      <c r="M226" s="46" t="n">
        <f aca="false">(DC_Cost!M46)/CTL_GW</f>
        <v>0.325</v>
      </c>
      <c r="N226" s="46" t="n">
        <f aca="false">(DC_Cost!N46)/CTL_GW</f>
        <v>0.41</v>
      </c>
      <c r="O226" s="46" t="n">
        <f aca="false">(DC_Cost!O46)/CTL_GW</f>
        <v>0.24</v>
      </c>
      <c r="P226" s="46" t="n">
        <f aca="false">(DC_Cost!P46)/CTL_GW</f>
        <v>0.325</v>
      </c>
      <c r="Q226" s="46" t="n">
        <f aca="false">(DC_Cost!Q46)/CTL_GW</f>
        <v>0.41</v>
      </c>
      <c r="R226" s="184" t="str">
        <f aca="false">IF(SUM(Gov_Map!$AG$5,Gov_Map!$AG$50:$AG$58)&gt;0,"C",IF(SUM(Gov_Map!$AH$5,Gov_Map!$AH$50:$AH$58)&gt;0,"B","A"))</f>
        <v>A</v>
      </c>
      <c r="S226" s="44" t="str">
        <f aca="false">IF(R226="—","—",IF(R226="A","基準輸入",IF(R226="B","情境、相對比較、反轉門檻","探索")))</f>
        <v>基準輸入</v>
      </c>
      <c r="T226" s="30" t="s">
        <v>751</v>
      </c>
      <c r="U226" s="44" t="str">
        <f aca="false">IF(V226=0,"—",LEFT(TEXT(V226,"0"),4)&amp;"-"&amp;MID(TEXT(V226,"0"),5,2)&amp;"-"&amp;RIGHT(TEXT(V226,"0"),2))</f>
        <v>—</v>
      </c>
      <c r="V226" s="33" t="n">
        <f aca="false">MAX(Gov_Map!$AJ$5,Gov_Map!$AJ$50:$AJ$58)</f>
        <v>0</v>
      </c>
      <c r="W226" s="21" t="s">
        <v>2789</v>
      </c>
      <c r="X226" s="32" t="n">
        <f aca="false">IF(ISNUMBER(FIND("上限",S226)),1,0)</f>
        <v>0</v>
      </c>
      <c r="Y226" s="32" t="n">
        <v>0</v>
      </c>
    </row>
    <row r="227" customFormat="false" ht="15" hidden="false" customHeight="true" outlineLevel="0" collapsed="false">
      <c r="A227" s="44" t="s">
        <v>3035</v>
      </c>
      <c r="B227" s="30" t="s">
        <v>2048</v>
      </c>
      <c r="C227" s="46" t="n">
        <f aca="false">(DC_Cost!C47)/CTL_GW</f>
        <v>0.0948968082</v>
      </c>
      <c r="D227" s="46" t="n">
        <f aca="false">(DC_Cost!D47)/CTL_GW</f>
        <v>0.20090107</v>
      </c>
      <c r="E227" s="46" t="n">
        <f aca="false">(DC_Cost!E47)/CTL_GW</f>
        <v>0.4024539472</v>
      </c>
      <c r="F227" s="46" t="n">
        <f aca="false">(DC_Cost!F47)/CTL_GW</f>
        <v>0.0925541712</v>
      </c>
      <c r="G227" s="46" t="n">
        <f aca="false">(DC_Cost!G47)/CTL_GW</f>
        <v>0.18342587</v>
      </c>
      <c r="H227" s="46" t="n">
        <f aca="false">(DC_Cost!H47)/CTL_GW</f>
        <v>0.3506896352</v>
      </c>
      <c r="I227" s="46" t="n">
        <f aca="false">(DC_Cost!I47)/CTL_GW</f>
        <v>0.1163007072</v>
      </c>
      <c r="J227" s="46" t="n">
        <f aca="false">(DC_Cost!J47)/CTL_GW</f>
        <v>0.22453612</v>
      </c>
      <c r="K227" s="46" t="n">
        <f aca="false">(DC_Cost!K47)/CTL_GW</f>
        <v>0.4437488512</v>
      </c>
      <c r="L227" s="46" t="n">
        <f aca="false">(DC_Cost!L47)/CTL_GW</f>
        <v>0.1304562096</v>
      </c>
      <c r="M227" s="46" t="n">
        <f aca="false">(DC_Cost!M47)/CTL_GW</f>
        <v>0.25128176</v>
      </c>
      <c r="N227" s="46" t="n">
        <f aca="false">(DC_Cost!N47)/CTL_GW</f>
        <v>0.4705886016</v>
      </c>
      <c r="O227" s="46" t="n">
        <f aca="false">(DC_Cost!O47)/CTL_GW</f>
        <v>0.138172734</v>
      </c>
      <c r="P227" s="46" t="n">
        <f aca="false">(DC_Cost!P47)/CTL_GW</f>
        <v>0.3137789</v>
      </c>
      <c r="Q227" s="46" t="n">
        <f aca="false">(DC_Cost!Q47)/CTL_GW</f>
        <v>0.653340464</v>
      </c>
      <c r="R227" s="184" t="str">
        <f aca="false">IF(SUM(Gov_Map!$AG$5:$AG$7,Gov_Map!$AG$17:$AG$40,Gov_Map!$AG$59:$AG$61,Gov_Map!$AG$69:$AG$103)&gt;0,"C",IF(SUM(Gov_Map!$AH$5:$AH$7,Gov_Map!$AH$17:$AH$40,Gov_Map!$AH$59:$AH$61,Gov_Map!$AH$69:$AH$103)&gt;0,"B","A"))</f>
        <v>B</v>
      </c>
      <c r="S227" s="44" t="str">
        <f aca="false">IF(R227="—","—",IF(R227="A","基準輸入",IF(R227="B","情境、相對比較、反轉門檻","探索")))</f>
        <v>情境、相對比較、反轉門檻</v>
      </c>
      <c r="T227" s="30" t="s">
        <v>751</v>
      </c>
      <c r="U227" s="44" t="str">
        <f aca="false">IF(V227=0,"—",LEFT(TEXT(V227,"0"),4)&amp;"-"&amp;MID(TEXT(V227,"0"),5,2)&amp;"-"&amp;RIGHT(TEXT(V227,"0"),2))</f>
        <v>2026-10-08</v>
      </c>
      <c r="V227" s="33" t="n">
        <f aca="false">MAX(Gov_Map!$AJ$5:$AJ$7,Gov_Map!$AJ$17:$AJ$40,Gov_Map!$AJ$59:$AJ$61,Gov_Map!$AJ$69:$AJ$103)</f>
        <v>20261008</v>
      </c>
      <c r="W227" s="21" t="s">
        <v>3036</v>
      </c>
      <c r="X227" s="32" t="n">
        <f aca="false">IF(ISNUMBER(FIND("上限",S227)),1,0)</f>
        <v>0</v>
      </c>
      <c r="Y227" s="32" t="n">
        <v>0</v>
      </c>
    </row>
    <row r="228" customFormat="false" ht="15" hidden="false" customHeight="true" outlineLevel="0" collapsed="false">
      <c r="A228" s="44" t="s">
        <v>3037</v>
      </c>
      <c r="B228" s="30" t="s">
        <v>2048</v>
      </c>
      <c r="C228" s="46" t="n">
        <f aca="false">(DC_Cost!C48)/CTL_GW</f>
        <v>1.11222553908253</v>
      </c>
      <c r="D228" s="46" t="n">
        <f aca="false">(DC_Cost!D48)/CTL_GW</f>
        <v>1.88466748019734</v>
      </c>
      <c r="E228" s="46" t="n">
        <f aca="false">(DC_Cost!E48)/CTL_GW</f>
        <v>2.8646513532112</v>
      </c>
      <c r="F228" s="46" t="n">
        <f aca="false">(DC_Cost!F48)/CTL_GW</f>
        <v>1.10188330451562</v>
      </c>
      <c r="G228" s="46" t="n">
        <f aca="false">(DC_Cost!G48)/CTL_GW</f>
        <v>1.812232738713</v>
      </c>
      <c r="H228" s="46" t="n">
        <f aca="false">(DC_Cost!H48)/CTL_GW</f>
        <v>2.69481414737547</v>
      </c>
      <c r="I228" s="46" t="n">
        <f aca="false">(DC_Cost!I48)/CTL_GW</f>
        <v>1.20671911367581</v>
      </c>
      <c r="J228" s="46" t="n">
        <f aca="false">(DC_Cost!J48)/CTL_GW</f>
        <v>1.98263481314457</v>
      </c>
      <c r="K228" s="46" t="n">
        <f aca="false">(DC_Cost!K48)/CTL_GW</f>
        <v>3.00013873514752</v>
      </c>
      <c r="L228" s="46" t="n">
        <f aca="false">(DC_Cost!L48)/CTL_GW</f>
        <v>1.26921258843664</v>
      </c>
      <c r="M228" s="46" t="n">
        <f aca="false">(DC_Cost!M48)/CTL_GW</f>
        <v>2.09349554831403</v>
      </c>
      <c r="N228" s="46" t="n">
        <f aca="false">(DC_Cost!N48)/CTL_GW</f>
        <v>3.08819917750912</v>
      </c>
      <c r="O228" s="46" t="n">
        <f aca="false">(DC_Cost!O48)/CTL_GW</f>
        <v>1.30327937103509</v>
      </c>
      <c r="P228" s="46" t="n">
        <f aca="false">(DC_Cost!P48)/CTL_GW</f>
        <v>2.35254632767053</v>
      </c>
      <c r="Q228" s="46" t="n">
        <f aca="false">(DC_Cost!Q48)/CTL_GW</f>
        <v>3.68780273586978</v>
      </c>
      <c r="R228" s="184" t="str">
        <f aca="false">IF(SUM(Gov_Map!$AG$5:$AG$64,Gov_Map!$AG$69:$AG$103,Gov_Map!$AG$605:$AG$611)&gt;0,"C",IF(SUM(Gov_Map!$AH$5:$AH$64,Gov_Map!$AH$69:$AH$103,Gov_Map!$AH$605:$AH$611)&gt;0,"B","A"))</f>
        <v>B</v>
      </c>
      <c r="S228" s="44" t="str">
        <f aca="false">IF(R228="—","—",IF(R228="A","基準輸入",IF(R228="B","情境、相對比較、反轉門檻","探索")))</f>
        <v>情境、相對比較、反轉門檻</v>
      </c>
      <c r="T228" s="30" t="s">
        <v>751</v>
      </c>
      <c r="U228" s="44" t="str">
        <f aca="false">IF(V228=0,"—",LEFT(TEXT(V228,"0"),4)&amp;"-"&amp;MID(TEXT(V228,"0"),5,2)&amp;"-"&amp;RIGHT(TEXT(V228,"0"),2))</f>
        <v>2026-10-08</v>
      </c>
      <c r="V228" s="33" t="n">
        <f aca="false">MAX(Gov_Map!$AJ$5:$AJ$64,Gov_Map!$AJ$69:$AJ$103,Gov_Map!$AJ$605:$AJ$611)</f>
        <v>20261008</v>
      </c>
      <c r="W228" s="21" t="s">
        <v>3038</v>
      </c>
      <c r="X228" s="32" t="n">
        <f aca="false">IF(ISNUMBER(FIND("上限",S228)),1,0)</f>
        <v>0</v>
      </c>
      <c r="Y228" s="32" t="n">
        <v>0</v>
      </c>
    </row>
    <row r="229" customFormat="false" ht="15" hidden="false" customHeight="true" outlineLevel="0" collapsed="false">
      <c r="A229" s="44" t="s">
        <v>3039</v>
      </c>
      <c r="B229" s="30" t="s">
        <v>2048</v>
      </c>
      <c r="C229" s="215" t="n">
        <f aca="false">C220+C221+C228-C12</f>
        <v>0</v>
      </c>
      <c r="D229" s="215" t="n">
        <f aca="false">D220+D221+D228-D12</f>
        <v>0</v>
      </c>
      <c r="E229" s="215" t="n">
        <f aca="false">E220+E221+E228-E12</f>
        <v>0</v>
      </c>
      <c r="F229" s="215" t="n">
        <f aca="false">F220+F221+F228-F12</f>
        <v>0</v>
      </c>
      <c r="G229" s="215" t="n">
        <f aca="false">G220+G221+G228-G12</f>
        <v>0</v>
      </c>
      <c r="H229" s="215" t="n">
        <f aca="false">H220+H221+H228-H12</f>
        <v>0</v>
      </c>
      <c r="I229" s="215" t="n">
        <f aca="false">I220+I221+I228-I12</f>
        <v>0</v>
      </c>
      <c r="J229" s="215" t="n">
        <f aca="false">J220+J221+J228-J12</f>
        <v>0</v>
      </c>
      <c r="K229" s="215" t="n">
        <f aca="false">K220+K221+K228-K12</f>
        <v>0</v>
      </c>
      <c r="L229" s="215" t="n">
        <f aca="false">L220+L221+L228-L12</f>
        <v>0</v>
      </c>
      <c r="M229" s="215" t="n">
        <f aca="false">M220+M221+M228-M12</f>
        <v>0</v>
      </c>
      <c r="N229" s="215" t="n">
        <f aca="false">N220+N221+N228-N12</f>
        <v>0</v>
      </c>
      <c r="O229" s="215" t="n">
        <f aca="false">O220+O221+O228-O12</f>
        <v>0</v>
      </c>
      <c r="P229" s="215" t="n">
        <f aca="false">P220+P221+P228-P12</f>
        <v>0</v>
      </c>
      <c r="Q229" s="215" t="n">
        <f aca="false">Q220+Q221+Q228-Q12</f>
        <v>0</v>
      </c>
      <c r="R229" s="184" t="str">
        <f aca="false">IF(SUM(Gov_Map!$AG$5:$AG$103,Gov_Map!$AG$605:$AG$611)&gt;0,"C",IF(SUM(Gov_Map!$AH$5:$AH$103,Gov_Map!$AH$605:$AH$611)&gt;0,"B","A"))</f>
        <v>B</v>
      </c>
      <c r="S229" s="44" t="str">
        <f aca="false">IF(R229="—","—",IF(R229="A","基準輸入",IF(R229="B","情境、相對比較、反轉門檻","探索")))</f>
        <v>情境、相對比較、反轉門檻</v>
      </c>
      <c r="T229" s="30" t="s">
        <v>751</v>
      </c>
      <c r="U229" s="44" t="str">
        <f aca="false">IF(V229=0,"—",LEFT(TEXT(V229,"0"),4)&amp;"-"&amp;MID(TEXT(V229,"0"),5,2)&amp;"-"&amp;RIGHT(TEXT(V229,"0"),2))</f>
        <v>2026-10-08</v>
      </c>
      <c r="V229" s="33" t="n">
        <f aca="false">MAX(Gov_Map!$AJ$5:$AJ$103,Gov_Map!$AJ$605:$AJ$611)</f>
        <v>20261008</v>
      </c>
      <c r="W229" s="21" t="s">
        <v>2786</v>
      </c>
      <c r="X229" s="32" t="n">
        <f aca="false">IF(ISNUMBER(FIND("上限",S229)),1,0)</f>
        <v>0</v>
      </c>
      <c r="Y229" s="32" t="n">
        <v>0</v>
      </c>
      <c r="Z229" s="21" t="s">
        <v>3040</v>
      </c>
    </row>
    <row r="231" customFormat="false" ht="15" hidden="false" customHeight="true" outlineLevel="0" collapsed="false">
      <c r="A231" s="43" t="s">
        <v>3041</v>
      </c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</row>
    <row r="232" customFormat="false" ht="15" hidden="false" customHeight="true" outlineLevel="0" collapsed="false">
      <c r="A232" s="9" t="s">
        <v>3042</v>
      </c>
    </row>
    <row r="233" customFormat="false" ht="15" hidden="false" customHeight="true" outlineLevel="0" collapsed="false">
      <c r="A233" s="44" t="s">
        <v>3043</v>
      </c>
      <c r="B233" s="30" t="s">
        <v>2048</v>
      </c>
      <c r="C233" s="216" t="n">
        <f aca="false">IF(ISNUMBER(C101),C101/IF_Util,C101)</f>
        <v>9.01816261524145</v>
      </c>
      <c r="D233" s="216" t="n">
        <f aca="false">IF(ISNUMBER(D101),D101/IF_Util,D101)</f>
        <v>9.01816261524145</v>
      </c>
      <c r="E233" s="216" t="n">
        <f aca="false">IF(ISNUMBER(E101),E101/IF_Util,E101)</f>
        <v>9.01816261524145</v>
      </c>
      <c r="F233" s="216" t="n">
        <f aca="false">IF(ISNUMBER(F101),F101/IF_Util,F101)</f>
        <v>39.9149458654348</v>
      </c>
      <c r="G233" s="216" t="n">
        <f aca="false">IF(ISNUMBER(G101),G101/IF_Util,G101)</f>
        <v>39.9149458654348</v>
      </c>
      <c r="H233" s="216" t="n">
        <f aca="false">IF(ISNUMBER(H101),H101/IF_Util,H101)</f>
        <v>39.9149458654348</v>
      </c>
      <c r="I233" s="216" t="n">
        <f aca="false">IF(ISNUMBER(I101),I101/IF_Util,I101)</f>
        <v>58.1112126202758</v>
      </c>
      <c r="J233" s="216" t="n">
        <f aca="false">IF(ISNUMBER(J101),J101/IF_Util,J101)</f>
        <v>58.1112126202758</v>
      </c>
      <c r="K233" s="216" t="n">
        <f aca="false">IF(ISNUMBER(K101),K101/IF_Util,K101)</f>
        <v>58.1112126202758</v>
      </c>
      <c r="L233" s="216" t="n">
        <f aca="false">IF(ISNUMBER(L101),L101/IF_Util,L101)</f>
        <v>83.8323560820467</v>
      </c>
      <c r="M233" s="216" t="n">
        <f aca="false">IF(ISNUMBER(M101),M101/IF_Util,M101)</f>
        <v>83.8323560820467</v>
      </c>
      <c r="N233" s="216" t="n">
        <f aca="false">IF(ISNUMBER(N101),N101/IF_Util,N101)</f>
        <v>83.8323560820467</v>
      </c>
      <c r="O233" s="216" t="n">
        <f aca="false">IF(ISNUMBER(O101),O101/IF_Util,O101)</f>
        <v>112.866447662578</v>
      </c>
      <c r="P233" s="216" t="n">
        <f aca="false">IF(ISNUMBER(P101),P101/IF_Util,P101)</f>
        <v>112.866447662578</v>
      </c>
      <c r="Q233" s="216" t="n">
        <f aca="false">IF(ISNUMBER(Q101),Q101/IF_Util,Q101)</f>
        <v>112.866447662578</v>
      </c>
      <c r="R233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3" s="44" t="str">
        <f aca="false">IF(R233="—","—",IF(R233="A","基準輸入",IF(R233="B","情境、相對比較、反轉門檻","探索")))&amp;"；上限，不得作預測"</f>
        <v>情境、相對比較、反轉門檻；上限，不得作預測</v>
      </c>
      <c r="T233" s="30" t="s">
        <v>2792</v>
      </c>
      <c r="U233" s="44" t="str">
        <f aca="false">IF(V233=0,"—",LEFT(TEXT(V233,"0"),4)&amp;"-"&amp;MID(TEXT(V233,"0"),5,2)&amp;"-"&amp;RIGHT(TEXT(V233,"0"),2))</f>
        <v>2026-10-05</v>
      </c>
      <c r="V23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3" s="21" t="s">
        <v>2882</v>
      </c>
      <c r="X233" s="32" t="n">
        <f aca="false">IF(ISNUMBER(FIND("上限",S233)),1,0)</f>
        <v>1</v>
      </c>
      <c r="Y233" s="32" t="n">
        <v>1</v>
      </c>
    </row>
    <row r="234" customFormat="false" ht="15" hidden="false" customHeight="true" outlineLevel="0" collapsed="false">
      <c r="A234" s="44" t="s">
        <v>3044</v>
      </c>
      <c r="B234" s="30" t="s">
        <v>2048</v>
      </c>
      <c r="C234" s="216" t="n">
        <f aca="false">C101</f>
        <v>5.41089756914487</v>
      </c>
      <c r="D234" s="216" t="n">
        <f aca="false">D101</f>
        <v>5.41089756914487</v>
      </c>
      <c r="E234" s="216" t="n">
        <f aca="false">E101</f>
        <v>5.41089756914487</v>
      </c>
      <c r="F234" s="216" t="n">
        <f aca="false">F101</f>
        <v>23.9489675192609</v>
      </c>
      <c r="G234" s="216" t="n">
        <f aca="false">G101</f>
        <v>23.9489675192609</v>
      </c>
      <c r="H234" s="216" t="n">
        <f aca="false">H101</f>
        <v>23.9489675192609</v>
      </c>
      <c r="I234" s="216" t="n">
        <f aca="false">I101</f>
        <v>34.8667275721655</v>
      </c>
      <c r="J234" s="216" t="n">
        <f aca="false">J101</f>
        <v>34.8667275721655</v>
      </c>
      <c r="K234" s="216" t="n">
        <f aca="false">K101</f>
        <v>34.8667275721655</v>
      </c>
      <c r="L234" s="216" t="n">
        <f aca="false">L101</f>
        <v>50.299413649228</v>
      </c>
      <c r="M234" s="216" t="n">
        <f aca="false">M101</f>
        <v>50.299413649228</v>
      </c>
      <c r="N234" s="216" t="n">
        <f aca="false">N101</f>
        <v>50.299413649228</v>
      </c>
      <c r="O234" s="216" t="n">
        <f aca="false">O101</f>
        <v>67.7198685975468</v>
      </c>
      <c r="P234" s="216" t="n">
        <f aca="false">P101</f>
        <v>67.7198685975468</v>
      </c>
      <c r="Q234" s="216" t="n">
        <f aca="false">Q101</f>
        <v>67.7198685975468</v>
      </c>
      <c r="R234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4" s="44" t="str">
        <f aca="false">IF(R234="—","—",IF(R234="A","基準輸入",IF(R234="B","情境、相對比較、反轉門檻","探索")))&amp;"；上限，不得作預測"</f>
        <v>情境、相對比較、反轉門檻；上限，不得作預測</v>
      </c>
      <c r="T234" s="30" t="s">
        <v>2817</v>
      </c>
      <c r="U234" s="44" t="str">
        <f aca="false">IF(V234=0,"—",LEFT(TEXT(V234,"0"),4)&amp;"-"&amp;MID(TEXT(V234,"0"),5,2)&amp;"-"&amp;RIGHT(TEXT(V234,"0"),2))</f>
        <v>2026-10-05</v>
      </c>
      <c r="V23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4" s="21" t="s">
        <v>2882</v>
      </c>
      <c r="X234" s="32" t="n">
        <f aca="false">IF(ISNUMBER(FIND("上限",S234)),1,0)</f>
        <v>1</v>
      </c>
      <c r="Y234" s="32" t="n">
        <v>1</v>
      </c>
    </row>
    <row r="235" customFormat="false" ht="15" hidden="false" customHeight="true" outlineLevel="0" collapsed="false">
      <c r="A235" s="44" t="s">
        <v>3045</v>
      </c>
      <c r="B235" s="30" t="s">
        <v>2048</v>
      </c>
      <c r="C235" s="216" t="n">
        <f aca="false">C207</f>
        <v>4.16601653965016</v>
      </c>
      <c r="D235" s="216" t="n">
        <f aca="false">D207</f>
        <v>4.16601653965016</v>
      </c>
      <c r="E235" s="216" t="n">
        <f aca="false">E207</f>
        <v>4.16601653965016</v>
      </c>
      <c r="F235" s="216" t="n">
        <f aca="false">F207</f>
        <v>19.2981660478862</v>
      </c>
      <c r="G235" s="216" t="n">
        <f aca="false">G207</f>
        <v>19.2981660478862</v>
      </c>
      <c r="H235" s="216" t="n">
        <f aca="false">H207</f>
        <v>19.2981660478862</v>
      </c>
      <c r="I235" s="216" t="n">
        <f aca="false">I207</f>
        <v>28.0957372251188</v>
      </c>
      <c r="J235" s="216" t="n">
        <f aca="false">J207</f>
        <v>28.0957372251188</v>
      </c>
      <c r="K235" s="216" t="n">
        <f aca="false">K207</f>
        <v>28.0957372251188</v>
      </c>
      <c r="L235" s="216" t="n">
        <f aca="false">L207</f>
        <v>40.6269205958863</v>
      </c>
      <c r="M235" s="216" t="n">
        <f aca="false">M207</f>
        <v>40.6269205958863</v>
      </c>
      <c r="N235" s="216" t="n">
        <f aca="false">N207</f>
        <v>40.6269205958863</v>
      </c>
      <c r="O235" s="216" t="n">
        <f aca="false">O207</f>
        <v>54.7307309163427</v>
      </c>
      <c r="P235" s="216" t="n">
        <f aca="false">P207</f>
        <v>54.7307309163427</v>
      </c>
      <c r="Q235" s="216" t="n">
        <f aca="false">Q207</f>
        <v>54.7307309163427</v>
      </c>
      <c r="R235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35" s="44" t="str">
        <f aca="false">IF(R235="—","—",IF(R235="A","基準輸入",IF(R235="B","情境、相對比較、反轉門檻","探索")))&amp;"；上限，不得作預測"</f>
        <v>情境、相對比較、反轉門檻；上限，不得作預測</v>
      </c>
      <c r="T235" s="30" t="s">
        <v>3002</v>
      </c>
      <c r="U235" s="44" t="str">
        <f aca="false">IF(V235=0,"—",LEFT(TEXT(V235,"0"),4)&amp;"-"&amp;MID(TEXT(V235,"0"),5,2)&amp;"-"&amp;RIGHT(TEXT(V235,"0"),2))</f>
        <v>2026-10-05</v>
      </c>
      <c r="V23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35" s="21" t="s">
        <v>3007</v>
      </c>
      <c r="X235" s="32" t="n">
        <f aca="false">IF(ISNUMBER(FIND("上限",S235)),1,0)</f>
        <v>1</v>
      </c>
      <c r="Y235" s="32" t="n">
        <v>1</v>
      </c>
    </row>
    <row r="236" customFormat="false" ht="15" hidden="false" customHeight="true" outlineLevel="0" collapsed="false">
      <c r="A236" s="44" t="s">
        <v>3046</v>
      </c>
      <c r="B236" s="30" t="s">
        <v>2048</v>
      </c>
      <c r="C236" s="216" t="n">
        <f aca="false">IF(ISNUMBER(C235),C235*CTL_PriceLife*CTL_Monetize,C235)</f>
        <v>4.16601653965016</v>
      </c>
      <c r="D236" s="216" t="n">
        <f aca="false">IF(ISNUMBER(D235),D235*CTL_PriceLife*CTL_Monetize,D235)</f>
        <v>4.16601653965016</v>
      </c>
      <c r="E236" s="216" t="n">
        <f aca="false">IF(ISNUMBER(E235),E235*CTL_PriceLife*CTL_Monetize,E235)</f>
        <v>4.16601653965016</v>
      </c>
      <c r="F236" s="216" t="n">
        <f aca="false">IF(ISNUMBER(F235),F235*CTL_PriceLife*CTL_Monetize,F235)</f>
        <v>19.2981660478862</v>
      </c>
      <c r="G236" s="216" t="n">
        <f aca="false">IF(ISNUMBER(G235),G235*CTL_PriceLife*CTL_Monetize,G235)</f>
        <v>19.2981660478862</v>
      </c>
      <c r="H236" s="216" t="n">
        <f aca="false">IF(ISNUMBER(H235),H235*CTL_PriceLife*CTL_Monetize,H235)</f>
        <v>19.2981660478862</v>
      </c>
      <c r="I236" s="216" t="n">
        <f aca="false">IF(ISNUMBER(I235),I235*CTL_PriceLife*CTL_Monetize,I235)</f>
        <v>28.0957372251188</v>
      </c>
      <c r="J236" s="216" t="n">
        <f aca="false">IF(ISNUMBER(J235),J235*CTL_PriceLife*CTL_Monetize,J235)</f>
        <v>28.0957372251188</v>
      </c>
      <c r="K236" s="216" t="n">
        <f aca="false">IF(ISNUMBER(K235),K235*CTL_PriceLife*CTL_Monetize,K235)</f>
        <v>28.0957372251188</v>
      </c>
      <c r="L236" s="216" t="n">
        <f aca="false">IF(ISNUMBER(L235),L235*CTL_PriceLife*CTL_Monetize,L235)</f>
        <v>40.6269205958863</v>
      </c>
      <c r="M236" s="216" t="n">
        <f aca="false">IF(ISNUMBER(M235),M235*CTL_PriceLife*CTL_Monetize,M235)</f>
        <v>40.6269205958863</v>
      </c>
      <c r="N236" s="216" t="n">
        <f aca="false">IF(ISNUMBER(N235),N235*CTL_PriceLife*CTL_Monetize,N235)</f>
        <v>40.6269205958863</v>
      </c>
      <c r="O236" s="216" t="n">
        <f aca="false">IF(ISNUMBER(O235),O235*CTL_PriceLife*CTL_Monetize,O235)</f>
        <v>54.7307309163427</v>
      </c>
      <c r="P236" s="216" t="n">
        <f aca="false">IF(ISNUMBER(P235),P235*CTL_PriceLife*CTL_Monetize,P235)</f>
        <v>54.7307309163427</v>
      </c>
      <c r="Q236" s="216" t="n">
        <f aca="false">IF(ISNUMBER(Q235),Q235*CTL_PriceLife*CTL_Monetize,Q235)</f>
        <v>54.7307309163427</v>
      </c>
      <c r="R236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36" s="44" t="str">
        <f aca="false">IF(R236="—","—",IF(R236="A","基準輸入",IF(R236="B","情境、相對比較、反轉門檻","探索")))&amp;"；上限，不得作預測"</f>
        <v>情境、相對比較、反轉門檻；上限，不得作預測</v>
      </c>
      <c r="T236" s="30" t="s">
        <v>3014</v>
      </c>
      <c r="U236" s="44" t="str">
        <f aca="false">IF(V236=0,"—",LEFT(TEXT(V236,"0"),4)&amp;"-"&amp;MID(TEXT(V236,"0"),5,2)&amp;"-"&amp;RIGHT(TEXT(V236,"0"),2))</f>
        <v>2026-10-05</v>
      </c>
      <c r="V23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36" s="21" t="s">
        <v>3015</v>
      </c>
      <c r="X236" s="32" t="n">
        <f aca="false">IF(ISNUMBER(FIND("上限",S236)),1,0)</f>
        <v>1</v>
      </c>
      <c r="Y236" s="32" t="n">
        <v>1</v>
      </c>
    </row>
    <row r="237" customFormat="false" ht="15" hidden="false" customHeight="true" outlineLevel="0" collapsed="false">
      <c r="A237" s="9" t="s">
        <v>3042</v>
      </c>
    </row>
    <row r="238" customFormat="false" ht="15" hidden="false" customHeight="true" outlineLevel="0" collapsed="false">
      <c r="A238" s="44" t="s">
        <v>3047</v>
      </c>
      <c r="B238" s="30" t="s">
        <v>2048</v>
      </c>
      <c r="C238" s="216" t="n">
        <f aca="false">IF(ISNUMBER(C119),C119/IF_Util,C119)</f>
        <v>54.0550477473896</v>
      </c>
      <c r="D238" s="216" t="n">
        <f aca="false">IF(ISNUMBER(D119),D119/IF_Util,D119)</f>
        <v>54.0550477473896</v>
      </c>
      <c r="E238" s="216" t="n">
        <f aca="false">IF(ISNUMBER(E119),E119/IF_Util,E119)</f>
        <v>54.0550477473896</v>
      </c>
      <c r="F238" s="216" t="n">
        <f aca="false">IF(ISNUMBER(F119),F119/IF_Util,F119)</f>
        <v>234.391419310805</v>
      </c>
      <c r="G238" s="216" t="n">
        <f aca="false">IF(ISNUMBER(G119),G119/IF_Util,G119)</f>
        <v>234.391419310805</v>
      </c>
      <c r="H238" s="216" t="n">
        <f aca="false">IF(ISNUMBER(H119),H119/IF_Util,H119)</f>
        <v>234.391419310805</v>
      </c>
      <c r="I238" s="216" t="n">
        <f aca="false">IF(ISNUMBER(I119),I119/IF_Util,I119)</f>
        <v>341.244847227354</v>
      </c>
      <c r="J238" s="216" t="n">
        <f aca="false">IF(ISNUMBER(J119),J119/IF_Util,J119)</f>
        <v>341.244847227354</v>
      </c>
      <c r="K238" s="216" t="n">
        <f aca="false">IF(ISNUMBER(K119),K119/IF_Util,K119)</f>
        <v>341.244847227354</v>
      </c>
      <c r="L238" s="216" t="n">
        <f aca="false">IF(ISNUMBER(L119),L119/IF_Util,L119)</f>
        <v>512.644173561644</v>
      </c>
      <c r="M238" s="216" t="n">
        <f aca="false">IF(ISNUMBER(M119),M119/IF_Util,M119)</f>
        <v>512.644173561644</v>
      </c>
      <c r="N238" s="216" t="n">
        <f aca="false">IF(ISNUMBER(N119),N119/IF_Util,N119)</f>
        <v>512.644173561644</v>
      </c>
      <c r="O238" s="216" t="n">
        <f aca="false">IF(ISNUMBER(O119),O119/IF_Util,O119)</f>
        <v>698.097656186125</v>
      </c>
      <c r="P238" s="216" t="n">
        <f aca="false">IF(ISNUMBER(P119),P119/IF_Util,P119)</f>
        <v>698.097656186125</v>
      </c>
      <c r="Q238" s="216" t="n">
        <f aca="false">IF(ISNUMBER(Q119),Q119/IF_Util,Q119)</f>
        <v>698.097656186125</v>
      </c>
      <c r="R238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8" s="44" t="str">
        <f aca="false">IF(R238="—","—",IF(R238="A","基準輸入",IF(R238="B","情境、相對比較、反轉門檻","探索")))&amp;"；上限，不得作預測"</f>
        <v>情境、相對比較、反轉門檻；上限，不得作預測</v>
      </c>
      <c r="T238" s="30" t="s">
        <v>2792</v>
      </c>
      <c r="U238" s="44" t="str">
        <f aca="false">IF(V238=0,"—",LEFT(TEXT(V238,"0"),4)&amp;"-"&amp;MID(TEXT(V238,"0"),5,2)&amp;"-"&amp;RIGHT(TEXT(V238,"0"),2))</f>
        <v>2026-10-05</v>
      </c>
      <c r="V23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8" s="21" t="s">
        <v>2882</v>
      </c>
      <c r="X238" s="32" t="n">
        <f aca="false">IF(ISNUMBER(FIND("上限",S238)),1,0)</f>
        <v>1</v>
      </c>
      <c r="Y238" s="32" t="n">
        <v>1</v>
      </c>
    </row>
    <row r="239" customFormat="false" ht="15" hidden="false" customHeight="true" outlineLevel="0" collapsed="false">
      <c r="A239" s="44" t="s">
        <v>3048</v>
      </c>
      <c r="B239" s="30" t="s">
        <v>2048</v>
      </c>
      <c r="C239" s="216" t="n">
        <f aca="false">C119</f>
        <v>32.4330286484338</v>
      </c>
      <c r="D239" s="216" t="n">
        <f aca="false">D119</f>
        <v>32.4330286484338</v>
      </c>
      <c r="E239" s="216" t="n">
        <f aca="false">E119</f>
        <v>32.4330286484338</v>
      </c>
      <c r="F239" s="216" t="n">
        <f aca="false">F119</f>
        <v>140.634851586483</v>
      </c>
      <c r="G239" s="216" t="n">
        <f aca="false">G119</f>
        <v>140.634851586483</v>
      </c>
      <c r="H239" s="216" t="n">
        <f aca="false">H119</f>
        <v>140.634851586483</v>
      </c>
      <c r="I239" s="216" t="n">
        <f aca="false">I119</f>
        <v>204.746908336412</v>
      </c>
      <c r="J239" s="216" t="n">
        <f aca="false">J119</f>
        <v>204.746908336412</v>
      </c>
      <c r="K239" s="216" t="n">
        <f aca="false">K119</f>
        <v>204.746908336412</v>
      </c>
      <c r="L239" s="216" t="n">
        <f aca="false">L119</f>
        <v>307.586504136986</v>
      </c>
      <c r="M239" s="216" t="n">
        <f aca="false">M119</f>
        <v>307.586504136986</v>
      </c>
      <c r="N239" s="216" t="n">
        <f aca="false">N119</f>
        <v>307.586504136986</v>
      </c>
      <c r="O239" s="216" t="n">
        <f aca="false">O119</f>
        <v>418.858593711675</v>
      </c>
      <c r="P239" s="216" t="n">
        <f aca="false">P119</f>
        <v>418.858593711675</v>
      </c>
      <c r="Q239" s="216" t="n">
        <f aca="false">Q119</f>
        <v>418.858593711675</v>
      </c>
      <c r="R239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39" s="44" t="str">
        <f aca="false">IF(R239="—","—",IF(R239="A","基準輸入",IF(R239="B","情境、相對比較、反轉門檻","探索")))&amp;"；上限，不得作預測"</f>
        <v>情境、相對比較、反轉門檻；上限，不得作預測</v>
      </c>
      <c r="T239" s="30" t="s">
        <v>2817</v>
      </c>
      <c r="U239" s="44" t="str">
        <f aca="false">IF(V239=0,"—",LEFT(TEXT(V239,"0"),4)&amp;"-"&amp;MID(TEXT(V239,"0"),5,2)&amp;"-"&amp;RIGHT(TEXT(V239,"0"),2))</f>
        <v>2026-10-05</v>
      </c>
      <c r="V23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39" s="21" t="s">
        <v>2882</v>
      </c>
      <c r="X239" s="32" t="n">
        <f aca="false">IF(ISNUMBER(FIND("上限",S239)),1,0)</f>
        <v>1</v>
      </c>
      <c r="Y239" s="32" t="n">
        <v>1</v>
      </c>
    </row>
    <row r="240" customFormat="false" ht="15" hidden="false" customHeight="true" outlineLevel="0" collapsed="false">
      <c r="A240" s="44" t="s">
        <v>3049</v>
      </c>
      <c r="B240" s="30" t="s">
        <v>2048</v>
      </c>
      <c r="C240" s="216" t="n">
        <f aca="false">C208</f>
        <v>25.8351210172715</v>
      </c>
      <c r="D240" s="216" t="n">
        <f aca="false">D208</f>
        <v>25.8351210172715</v>
      </c>
      <c r="E240" s="216" t="n">
        <f aca="false">E208</f>
        <v>25.8351210172715</v>
      </c>
      <c r="F240" s="216" t="n">
        <f aca="false">F208</f>
        <v>115.189801090007</v>
      </c>
      <c r="G240" s="216" t="n">
        <f aca="false">G208</f>
        <v>115.189801090007</v>
      </c>
      <c r="H240" s="216" t="n">
        <f aca="false">H208</f>
        <v>115.189801090007</v>
      </c>
      <c r="I240" s="216" t="n">
        <f aca="false">I208</f>
        <v>167.702069430222</v>
      </c>
      <c r="J240" s="216" t="n">
        <f aca="false">J208</f>
        <v>167.702069430222</v>
      </c>
      <c r="K240" s="216" t="n">
        <f aca="false">K208</f>
        <v>167.702069430222</v>
      </c>
      <c r="L240" s="216" t="n">
        <f aca="false">L208</f>
        <v>252.853670235275</v>
      </c>
      <c r="M240" s="216" t="n">
        <f aca="false">M208</f>
        <v>252.853670235275</v>
      </c>
      <c r="N240" s="216" t="n">
        <f aca="false">N208</f>
        <v>252.853670235275</v>
      </c>
      <c r="O240" s="216" t="n">
        <f aca="false">O208</f>
        <v>344.651879941955</v>
      </c>
      <c r="P240" s="216" t="n">
        <f aca="false">P208</f>
        <v>344.651879941955</v>
      </c>
      <c r="Q240" s="216" t="n">
        <f aca="false">Q208</f>
        <v>344.651879941955</v>
      </c>
      <c r="R240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0" s="44" t="str">
        <f aca="false">IF(R240="—","—",IF(R240="A","基準輸入",IF(R240="B","情境、相對比較、反轉門檻","探索")))&amp;"；上限，不得作預測"</f>
        <v>情境、相對比較、反轉門檻；上限，不得作預測</v>
      </c>
      <c r="T240" s="30" t="s">
        <v>3002</v>
      </c>
      <c r="U240" s="44" t="str">
        <f aca="false">IF(V240=0,"—",LEFT(TEXT(V240,"0"),4)&amp;"-"&amp;MID(TEXT(V240,"0"),5,2)&amp;"-"&amp;RIGHT(TEXT(V240,"0"),2))</f>
        <v>2026-10-05</v>
      </c>
      <c r="V24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0" s="21" t="s">
        <v>3007</v>
      </c>
      <c r="X240" s="32" t="n">
        <f aca="false">IF(ISNUMBER(FIND("上限",S240)),1,0)</f>
        <v>1</v>
      </c>
      <c r="Y240" s="32" t="n">
        <v>1</v>
      </c>
    </row>
    <row r="241" customFormat="false" ht="15" hidden="false" customHeight="true" outlineLevel="0" collapsed="false">
      <c r="A241" s="44" t="s">
        <v>3050</v>
      </c>
      <c r="B241" s="30" t="s">
        <v>2048</v>
      </c>
      <c r="C241" s="216" t="n">
        <f aca="false">IF(ISNUMBER(C240),C240*CTL_PriceLife*CTL_Monetize,C240)</f>
        <v>25.8351210172715</v>
      </c>
      <c r="D241" s="216" t="n">
        <f aca="false">IF(ISNUMBER(D240),D240*CTL_PriceLife*CTL_Monetize,D240)</f>
        <v>25.8351210172715</v>
      </c>
      <c r="E241" s="216" t="n">
        <f aca="false">IF(ISNUMBER(E240),E240*CTL_PriceLife*CTL_Monetize,E240)</f>
        <v>25.8351210172715</v>
      </c>
      <c r="F241" s="216" t="n">
        <f aca="false">IF(ISNUMBER(F240),F240*CTL_PriceLife*CTL_Monetize,F240)</f>
        <v>115.189801090007</v>
      </c>
      <c r="G241" s="216" t="n">
        <f aca="false">IF(ISNUMBER(G240),G240*CTL_PriceLife*CTL_Monetize,G240)</f>
        <v>115.189801090007</v>
      </c>
      <c r="H241" s="216" t="n">
        <f aca="false">IF(ISNUMBER(H240),H240*CTL_PriceLife*CTL_Monetize,H240)</f>
        <v>115.189801090007</v>
      </c>
      <c r="I241" s="216" t="n">
        <f aca="false">IF(ISNUMBER(I240),I240*CTL_PriceLife*CTL_Monetize,I240)</f>
        <v>167.702069430222</v>
      </c>
      <c r="J241" s="216" t="n">
        <f aca="false">IF(ISNUMBER(J240),J240*CTL_PriceLife*CTL_Monetize,J240)</f>
        <v>167.702069430222</v>
      </c>
      <c r="K241" s="216" t="n">
        <f aca="false">IF(ISNUMBER(K240),K240*CTL_PriceLife*CTL_Monetize,K240)</f>
        <v>167.702069430222</v>
      </c>
      <c r="L241" s="216" t="n">
        <f aca="false">IF(ISNUMBER(L240),L240*CTL_PriceLife*CTL_Monetize,L240)</f>
        <v>252.853670235275</v>
      </c>
      <c r="M241" s="216" t="n">
        <f aca="false">IF(ISNUMBER(M240),M240*CTL_PriceLife*CTL_Monetize,M240)</f>
        <v>252.853670235275</v>
      </c>
      <c r="N241" s="216" t="n">
        <f aca="false">IF(ISNUMBER(N240),N240*CTL_PriceLife*CTL_Monetize,N240)</f>
        <v>252.853670235275</v>
      </c>
      <c r="O241" s="216" t="n">
        <f aca="false">IF(ISNUMBER(O240),O240*CTL_PriceLife*CTL_Monetize,O240)</f>
        <v>344.651879941955</v>
      </c>
      <c r="P241" s="216" t="n">
        <f aca="false">IF(ISNUMBER(P240),P240*CTL_PriceLife*CTL_Monetize,P240)</f>
        <v>344.651879941955</v>
      </c>
      <c r="Q241" s="216" t="n">
        <f aca="false">IF(ISNUMBER(Q240),Q240*CTL_PriceLife*CTL_Monetize,Q240)</f>
        <v>344.651879941955</v>
      </c>
      <c r="R241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1" s="44" t="str">
        <f aca="false">IF(R241="—","—",IF(R241="A","基準輸入",IF(R241="B","情境、相對比較、反轉門檻","探索")))&amp;"；上限，不得作預測"</f>
        <v>情境、相對比較、反轉門檻；上限，不得作預測</v>
      </c>
      <c r="T241" s="30" t="s">
        <v>3014</v>
      </c>
      <c r="U241" s="44" t="str">
        <f aca="false">IF(V241=0,"—",LEFT(TEXT(V241,"0"),4)&amp;"-"&amp;MID(TEXT(V241,"0"),5,2)&amp;"-"&amp;RIGHT(TEXT(V241,"0"),2))</f>
        <v>2026-10-05</v>
      </c>
      <c r="V24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1" s="21" t="s">
        <v>3015</v>
      </c>
      <c r="X241" s="32" t="n">
        <f aca="false">IF(ISNUMBER(FIND("上限",S241)),1,0)</f>
        <v>1</v>
      </c>
      <c r="Y241" s="32" t="n">
        <v>1</v>
      </c>
    </row>
    <row r="242" customFormat="false" ht="15" hidden="false" customHeight="true" outlineLevel="0" collapsed="false">
      <c r="A242" s="9" t="s">
        <v>3042</v>
      </c>
    </row>
    <row r="243" customFormat="false" ht="15" hidden="false" customHeight="true" outlineLevel="0" collapsed="false">
      <c r="A243" s="44" t="s">
        <v>3051</v>
      </c>
      <c r="B243" s="30" t="s">
        <v>2048</v>
      </c>
      <c r="C243" s="216" t="n">
        <f aca="false">IF(ISNUMBER(C137),C137/IF_Util,C137)</f>
        <v>54.7143043397032</v>
      </c>
      <c r="D243" s="216" t="n">
        <f aca="false">IF(ISNUMBER(D137),D137/IF_Util,D137)</f>
        <v>54.7143043397032</v>
      </c>
      <c r="E243" s="216" t="n">
        <f aca="false">IF(ISNUMBER(E137),E137/IF_Util,E137)</f>
        <v>54.7143043397032</v>
      </c>
      <c r="F243" s="216" t="n">
        <f aca="false">IF(ISNUMBER(F137),F137/IF_Util,F137)</f>
        <v>239.200511965134</v>
      </c>
      <c r="G243" s="216" t="n">
        <f aca="false">IF(ISNUMBER(G137),G137/IF_Util,G137)</f>
        <v>239.200511965134</v>
      </c>
      <c r="H243" s="216" t="n">
        <f aca="false">IF(ISNUMBER(H137),H137/IF_Util,H137)</f>
        <v>239.200511965134</v>
      </c>
      <c r="I243" s="216" t="n">
        <f aca="false">IF(ISNUMBER(I137),I137/IF_Util,I137)</f>
        <v>315.458459045648</v>
      </c>
      <c r="J243" s="216" t="n">
        <f aca="false">IF(ISNUMBER(J137),J137/IF_Util,J137)</f>
        <v>315.458459045648</v>
      </c>
      <c r="K243" s="216" t="n">
        <f aca="false">IF(ISNUMBER(K137),K137/IF_Util,K137)</f>
        <v>315.458459045648</v>
      </c>
      <c r="L243" s="216" t="n">
        <f aca="false">IF(ISNUMBER(L137),L137/IF_Util,L137)</f>
        <v>559.477111268664</v>
      </c>
      <c r="M243" s="216" t="n">
        <f aca="false">IF(ISNUMBER(M137),M137/IF_Util,M137)</f>
        <v>559.477111268664</v>
      </c>
      <c r="N243" s="216" t="n">
        <f aca="false">IF(ISNUMBER(N137),N137/IF_Util,N137)</f>
        <v>559.477111268664</v>
      </c>
      <c r="O243" s="216" t="n">
        <f aca="false">IF(ISNUMBER(O137),O137/IF_Util,O137)</f>
        <v>791.675528243624</v>
      </c>
      <c r="P243" s="216" t="n">
        <f aca="false">IF(ISNUMBER(P137),P137/IF_Util,P137)</f>
        <v>791.675528243624</v>
      </c>
      <c r="Q243" s="216" t="n">
        <f aca="false">IF(ISNUMBER(Q137),Q137/IF_Util,Q137)</f>
        <v>791.675528243624</v>
      </c>
      <c r="R243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3" s="44" t="str">
        <f aca="false">IF(R243="—","—",IF(R243="A","基準輸入",IF(R243="B","情境、相對比較、反轉門檻","探索")))&amp;"；上限，不得作預測"</f>
        <v>情境、相對比較、反轉門檻；上限，不得作預測</v>
      </c>
      <c r="T243" s="30" t="s">
        <v>2792</v>
      </c>
      <c r="U243" s="44" t="str">
        <f aca="false">IF(V243=0,"—",LEFT(TEXT(V243,"0"),4)&amp;"-"&amp;MID(TEXT(V243,"0"),5,2)&amp;"-"&amp;RIGHT(TEXT(V243,"0"),2))</f>
        <v>2026-10-05</v>
      </c>
      <c r="V24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3" s="21" t="s">
        <v>2882</v>
      </c>
      <c r="X243" s="32" t="n">
        <f aca="false">IF(ISNUMBER(FIND("上限",S243)),1,0)</f>
        <v>1</v>
      </c>
      <c r="Y243" s="32" t="n">
        <v>1</v>
      </c>
    </row>
    <row r="244" customFormat="false" ht="15" hidden="false" customHeight="true" outlineLevel="0" collapsed="false">
      <c r="A244" s="44" t="s">
        <v>3052</v>
      </c>
      <c r="B244" s="30" t="s">
        <v>2048</v>
      </c>
      <c r="C244" s="216" t="n">
        <f aca="false">C137</f>
        <v>32.8285826038219</v>
      </c>
      <c r="D244" s="216" t="n">
        <f aca="false">D137</f>
        <v>32.8285826038219</v>
      </c>
      <c r="E244" s="216" t="n">
        <f aca="false">E137</f>
        <v>32.8285826038219</v>
      </c>
      <c r="F244" s="216" t="n">
        <f aca="false">F137</f>
        <v>143.52030717908</v>
      </c>
      <c r="G244" s="216" t="n">
        <f aca="false">G137</f>
        <v>143.52030717908</v>
      </c>
      <c r="H244" s="216" t="n">
        <f aca="false">H137</f>
        <v>143.52030717908</v>
      </c>
      <c r="I244" s="216" t="n">
        <f aca="false">I137</f>
        <v>189.275075427389</v>
      </c>
      <c r="J244" s="216" t="n">
        <f aca="false">J137</f>
        <v>189.275075427389</v>
      </c>
      <c r="K244" s="216" t="n">
        <f aca="false">K137</f>
        <v>189.275075427389</v>
      </c>
      <c r="L244" s="216" t="n">
        <f aca="false">L137</f>
        <v>335.686266761199</v>
      </c>
      <c r="M244" s="216" t="n">
        <f aca="false">M137</f>
        <v>335.686266761199</v>
      </c>
      <c r="N244" s="216" t="n">
        <f aca="false">N137</f>
        <v>335.686266761199</v>
      </c>
      <c r="O244" s="216" t="n">
        <f aca="false">O137</f>
        <v>475.005316946174</v>
      </c>
      <c r="P244" s="216" t="n">
        <f aca="false">P137</f>
        <v>475.005316946174</v>
      </c>
      <c r="Q244" s="216" t="n">
        <f aca="false">Q137</f>
        <v>475.005316946174</v>
      </c>
      <c r="R244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$510:$AH$518,Gov_Map!$AH$521:$AH$522,Gov_Map!$AH$574:$AH$578,Gov_Map!$AH$660)&gt;0,"B","A"))</f>
        <v>B</v>
      </c>
      <c r="S244" s="44" t="str">
        <f aca="false">IF(R244="—","—",IF(R244="A","基準輸入",IF(R244="B","情境、相對比較、反轉門檻","探索")))&amp;"；上限，不得作預測"</f>
        <v>情境、相對比較、反轉門檻；上限，不得作預測</v>
      </c>
      <c r="T244" s="30" t="s">
        <v>2817</v>
      </c>
      <c r="U244" s="44" t="str">
        <f aca="false">IF(V244=0,"—",LEFT(TEXT(V244,"0"),4)&amp;"-"&amp;MID(TEXT(V244,"0"),5,2)&amp;"-"&amp;RIGHT(TEXT(V244,"0"),2))</f>
        <v>2026-10-05</v>
      </c>
      <c r="V24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$510:$AJ$518,Gov_Map!$AJ$521:$AJ$522,Gov_Map!$AJ$574:$AJ$578,Gov_Map!$AJ$660)</f>
        <v>20261005</v>
      </c>
      <c r="W244" s="21" t="s">
        <v>2882</v>
      </c>
      <c r="X244" s="32" t="n">
        <f aca="false">IF(ISNUMBER(FIND("上限",S244)),1,0)</f>
        <v>1</v>
      </c>
      <c r="Y244" s="32" t="n">
        <v>1</v>
      </c>
    </row>
    <row r="245" customFormat="false" ht="15" hidden="false" customHeight="true" outlineLevel="0" collapsed="false">
      <c r="A245" s="44" t="s">
        <v>3053</v>
      </c>
      <c r="B245" s="30" t="s">
        <v>2048</v>
      </c>
      <c r="C245" s="216" t="n">
        <f aca="false">C209</f>
        <v>23.7314208542587</v>
      </c>
      <c r="D245" s="216" t="n">
        <f aca="false">D209</f>
        <v>23.7314208542587</v>
      </c>
      <c r="E245" s="216" t="n">
        <f aca="false">E209</f>
        <v>23.7314208542587</v>
      </c>
      <c r="F245" s="216" t="n">
        <f aca="false">F209</f>
        <v>112.606466107701</v>
      </c>
      <c r="G245" s="216" t="n">
        <f aca="false">G209</f>
        <v>112.606466107701</v>
      </c>
      <c r="H245" s="216" t="n">
        <f aca="false">H209</f>
        <v>112.606466107701</v>
      </c>
      <c r="I245" s="216" t="n">
        <f aca="false">I209</f>
        <v>146.896191352993</v>
      </c>
      <c r="J245" s="216" t="n">
        <f aca="false">J209</f>
        <v>146.896191352993</v>
      </c>
      <c r="K245" s="216" t="n">
        <f aca="false">K209</f>
        <v>146.896191352993</v>
      </c>
      <c r="L245" s="216" t="n">
        <f aca="false">L209</f>
        <v>266.938542515567</v>
      </c>
      <c r="M245" s="216" t="n">
        <f aca="false">M209</f>
        <v>266.938542515567</v>
      </c>
      <c r="N245" s="216" t="n">
        <f aca="false">N209</f>
        <v>266.938542515567</v>
      </c>
      <c r="O245" s="216" t="n">
        <f aca="false">O209</f>
        <v>379.622499261887</v>
      </c>
      <c r="P245" s="216" t="n">
        <f aca="false">P209</f>
        <v>379.622499261887</v>
      </c>
      <c r="Q245" s="216" t="n">
        <f aca="false">Q209</f>
        <v>379.622499261887</v>
      </c>
      <c r="R245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,Gov_Map!$AH$660)&gt;0,"B","A"))</f>
        <v>B</v>
      </c>
      <c r="S245" s="44" t="str">
        <f aca="false">IF(R245="—","—",IF(R245="A","基準輸入",IF(R245="B","情境、相對比較、反轉門檻","探索")))&amp;"；上限，不得作預測"</f>
        <v>情境、相對比較、反轉門檻；上限，不得作預測</v>
      </c>
      <c r="T245" s="30" t="s">
        <v>3002</v>
      </c>
      <c r="U245" s="44" t="str">
        <f aca="false">IF(V245=0,"—",LEFT(TEXT(V245,"0"),4)&amp;"-"&amp;MID(TEXT(V245,"0"),5,2)&amp;"-"&amp;RIGHT(TEXT(V245,"0"),2))</f>
        <v>2026-10-05</v>
      </c>
      <c r="V24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,Gov_Map!$AJ$660)</f>
        <v>20261005</v>
      </c>
      <c r="W245" s="21" t="s">
        <v>3007</v>
      </c>
      <c r="X245" s="32" t="n">
        <f aca="false">IF(ISNUMBER(FIND("上限",S245)),1,0)</f>
        <v>1</v>
      </c>
      <c r="Y245" s="32" t="n">
        <v>1</v>
      </c>
    </row>
    <row r="246" customFormat="false" ht="15" hidden="false" customHeight="true" outlineLevel="0" collapsed="false">
      <c r="A246" s="44" t="s">
        <v>3054</v>
      </c>
      <c r="B246" s="30" t="s">
        <v>2048</v>
      </c>
      <c r="C246" s="216" t="n">
        <f aca="false">IF(ISNUMBER(C245),C245*CTL_PriceLife*CTL_Monetize,C245)</f>
        <v>23.7314208542587</v>
      </c>
      <c r="D246" s="216" t="n">
        <f aca="false">IF(ISNUMBER(D245),D245*CTL_PriceLife*CTL_Monetize,D245)</f>
        <v>23.7314208542587</v>
      </c>
      <c r="E246" s="216" t="n">
        <f aca="false">IF(ISNUMBER(E245),E245*CTL_PriceLife*CTL_Monetize,E245)</f>
        <v>23.7314208542587</v>
      </c>
      <c r="F246" s="216" t="n">
        <f aca="false">IF(ISNUMBER(F245),F245*CTL_PriceLife*CTL_Monetize,F245)</f>
        <v>112.606466107701</v>
      </c>
      <c r="G246" s="216" t="n">
        <f aca="false">IF(ISNUMBER(G245),G245*CTL_PriceLife*CTL_Monetize,G245)</f>
        <v>112.606466107701</v>
      </c>
      <c r="H246" s="216" t="n">
        <f aca="false">IF(ISNUMBER(H245),H245*CTL_PriceLife*CTL_Monetize,H245)</f>
        <v>112.606466107701</v>
      </c>
      <c r="I246" s="216" t="n">
        <f aca="false">IF(ISNUMBER(I245),I245*CTL_PriceLife*CTL_Monetize,I245)</f>
        <v>146.896191352993</v>
      </c>
      <c r="J246" s="216" t="n">
        <f aca="false">IF(ISNUMBER(J245),J245*CTL_PriceLife*CTL_Monetize,J245)</f>
        <v>146.896191352993</v>
      </c>
      <c r="K246" s="216" t="n">
        <f aca="false">IF(ISNUMBER(K245),K245*CTL_PriceLife*CTL_Monetize,K245)</f>
        <v>146.896191352993</v>
      </c>
      <c r="L246" s="216" t="n">
        <f aca="false">IF(ISNUMBER(L245),L245*CTL_PriceLife*CTL_Monetize,L245)</f>
        <v>266.938542515567</v>
      </c>
      <c r="M246" s="216" t="n">
        <f aca="false">IF(ISNUMBER(M245),M245*CTL_PriceLife*CTL_Monetize,M245)</f>
        <v>266.938542515567</v>
      </c>
      <c r="N246" s="216" t="n">
        <f aca="false">IF(ISNUMBER(N245),N245*CTL_PriceLife*CTL_Monetize,N245)</f>
        <v>266.938542515567</v>
      </c>
      <c r="O246" s="216" t="n">
        <f aca="false">IF(ISNUMBER(O245),O245*CTL_PriceLife*CTL_Monetize,O245)</f>
        <v>379.622499261887</v>
      </c>
      <c r="P246" s="216" t="n">
        <f aca="false">IF(ISNUMBER(P245),P245*CTL_PriceLife*CTL_Monetize,P245)</f>
        <v>379.622499261887</v>
      </c>
      <c r="Q246" s="216" t="n">
        <f aca="false">IF(ISNUMBER(Q245),Q245*CTL_PriceLife*CTL_Monetize,Q245)</f>
        <v>379.622499261887</v>
      </c>
      <c r="R246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$510:$AH$518,Gov_Map!$AH$521:$AH$522,Gov_Map!$AH$574:$AH$578,Gov_Map!$AH$596:$AH$598,Gov_Map!$AH$660)&gt;0,"B","A"))</f>
        <v>B</v>
      </c>
      <c r="S246" s="44" t="str">
        <f aca="false">IF(R246="—","—",IF(R246="A","基準輸入",IF(R246="B","情境、相對比較、反轉門檻","探索")))&amp;"；上限，不得作預測"</f>
        <v>情境、相對比較、反轉門檻；上限，不得作預測</v>
      </c>
      <c r="T246" s="30" t="s">
        <v>3014</v>
      </c>
      <c r="U246" s="44" t="str">
        <f aca="false">IF(V246=0,"—",LEFT(TEXT(V246,"0"),4)&amp;"-"&amp;MID(TEXT(V246,"0"),5,2)&amp;"-"&amp;RIGHT(TEXT(V246,"0"),2))</f>
        <v>2026-10-05</v>
      </c>
      <c r="V24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$510:$AJ$518,Gov_Map!$AJ$521:$AJ$522,Gov_Map!$AJ$574:$AJ$578,Gov_Map!$AJ$596:$AJ$598,Gov_Map!$AJ$660)</f>
        <v>20261005</v>
      </c>
      <c r="W246" s="21" t="s">
        <v>3015</v>
      </c>
      <c r="X246" s="32" t="n">
        <f aca="false">IF(ISNUMBER(FIND("上限",S246)),1,0)</f>
        <v>1</v>
      </c>
      <c r="Y246" s="32" t="n">
        <v>1</v>
      </c>
    </row>
    <row r="247" customFormat="false" ht="15" hidden="false" customHeight="true" outlineLevel="0" collapsed="false">
      <c r="A247" s="9" t="s">
        <v>3055</v>
      </c>
    </row>
    <row r="248" customFormat="false" ht="15" hidden="false" customHeight="true" outlineLevel="0" collapsed="false">
      <c r="A248" s="44" t="s">
        <v>3056</v>
      </c>
      <c r="B248" s="30" t="s">
        <v>2048</v>
      </c>
      <c r="C248" s="216" t="n">
        <f aca="false">IF(ISNUMBER(C143),C143/IF_Util,C143)</f>
        <v>11.1384003896262</v>
      </c>
      <c r="D248" s="216" t="n">
        <f aca="false">IF(ISNUMBER(D143),D143/IF_Util,D143)</f>
        <v>11.1384003896262</v>
      </c>
      <c r="E248" s="216" t="n">
        <f aca="false">IF(ISNUMBER(E143),E143/IF_Util,E143)</f>
        <v>11.1384003896262</v>
      </c>
      <c r="F248" s="216" t="n">
        <f aca="false">IF(ISNUMBER(F143),F143/IF_Util,F143)</f>
        <v>48.6122632267777</v>
      </c>
      <c r="G248" s="216" t="n">
        <f aca="false">IF(ISNUMBER(G143),G143/IF_Util,G143)</f>
        <v>48.6122632267777</v>
      </c>
      <c r="H248" s="216" t="n">
        <f aca="false">IF(ISNUMBER(H143),H143/IF_Util,H143)</f>
        <v>48.6122632267777</v>
      </c>
      <c r="I248" s="216" t="n">
        <f aca="false">IF(ISNUMBER(I143),I143/IF_Util,I143)</f>
        <v>66.8524420179894</v>
      </c>
      <c r="J248" s="216" t="n">
        <f aca="false">IF(ISNUMBER(J143),J143/IF_Util,J143)</f>
        <v>66.8524420179894</v>
      </c>
      <c r="K248" s="216" t="n">
        <f aca="false">IF(ISNUMBER(K143),K143/IF_Util,K143)</f>
        <v>66.8524420179894</v>
      </c>
      <c r="L248" s="216" t="n">
        <f aca="false">IF(ISNUMBER(L143),L143/IF_Util,L143)</f>
        <v>109.938064961812</v>
      </c>
      <c r="M248" s="216" t="n">
        <f aca="false">IF(ISNUMBER(M143),M143/IF_Util,M143)</f>
        <v>109.938064961812</v>
      </c>
      <c r="N248" s="216" t="n">
        <f aca="false">IF(ISNUMBER(N143),N143/IF_Util,N143)</f>
        <v>109.938064961812</v>
      </c>
      <c r="O248" s="216" t="n">
        <f aca="false">IF(ISNUMBER(O143),O143/IF_Util,O143)</f>
        <v>152.675211793649</v>
      </c>
      <c r="P248" s="216" t="n">
        <f aca="false">IF(ISNUMBER(P143),P143/IF_Util,P143)</f>
        <v>152.675211793649</v>
      </c>
      <c r="Q248" s="216" t="n">
        <f aca="false">IF(ISNUMBER(Q143),Q143/IF_Util,Q143)</f>
        <v>152.675211793649</v>
      </c>
      <c r="R248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8" s="44" t="str">
        <f aca="false">IF(R248="—","—",IF(R248="A","基準輸入",IF(R248="B","情境、相對比較、反轉門檻","探索")))&amp;"；上限，不得作預測"</f>
        <v>情境、相對比較、反轉門檻；上限，不得作預測</v>
      </c>
      <c r="T248" s="30" t="s">
        <v>2792</v>
      </c>
      <c r="U248" s="44" t="str">
        <f aca="false">IF(V248=0,"—",LEFT(TEXT(V248,"0"),4)&amp;"-"&amp;MID(TEXT(V248,"0"),5,2)&amp;"-"&amp;RIGHT(TEXT(V248,"0"),2))</f>
        <v>2026-10-05</v>
      </c>
      <c r="V24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8" s="21" t="s">
        <v>2922</v>
      </c>
      <c r="X248" s="32" t="n">
        <f aca="false">IF(ISNUMBER(FIND("上限",S248)),1,0)</f>
        <v>1</v>
      </c>
      <c r="Y248" s="32" t="n">
        <v>1</v>
      </c>
    </row>
    <row r="249" customFormat="false" ht="15" hidden="false" customHeight="true" outlineLevel="0" collapsed="false">
      <c r="A249" s="44" t="s">
        <v>3057</v>
      </c>
      <c r="B249" s="30" t="s">
        <v>2048</v>
      </c>
      <c r="C249" s="216" t="n">
        <f aca="false">C143</f>
        <v>6.68304023377571</v>
      </c>
      <c r="D249" s="216" t="n">
        <f aca="false">D143</f>
        <v>6.68304023377571</v>
      </c>
      <c r="E249" s="216" t="n">
        <f aca="false">E143</f>
        <v>6.68304023377571</v>
      </c>
      <c r="F249" s="216" t="n">
        <f aca="false">F143</f>
        <v>29.1673579360666</v>
      </c>
      <c r="G249" s="216" t="n">
        <f aca="false">G143</f>
        <v>29.1673579360666</v>
      </c>
      <c r="H249" s="216" t="n">
        <f aca="false">H143</f>
        <v>29.1673579360666</v>
      </c>
      <c r="I249" s="216" t="n">
        <f aca="false">I143</f>
        <v>40.1114652107936</v>
      </c>
      <c r="J249" s="216" t="n">
        <f aca="false">J143</f>
        <v>40.1114652107936</v>
      </c>
      <c r="K249" s="216" t="n">
        <f aca="false">K143</f>
        <v>40.1114652107936</v>
      </c>
      <c r="L249" s="216" t="n">
        <f aca="false">L143</f>
        <v>65.9628389770872</v>
      </c>
      <c r="M249" s="216" t="n">
        <f aca="false">M143</f>
        <v>65.9628389770872</v>
      </c>
      <c r="N249" s="216" t="n">
        <f aca="false">N143</f>
        <v>65.9628389770872</v>
      </c>
      <c r="O249" s="216" t="n">
        <f aca="false">O143</f>
        <v>91.6051270761894</v>
      </c>
      <c r="P249" s="216" t="n">
        <f aca="false">P143</f>
        <v>91.6051270761894</v>
      </c>
      <c r="Q249" s="216" t="n">
        <f aca="false">Q143</f>
        <v>91.6051270761894</v>
      </c>
      <c r="R249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$660)&gt;0,"B","A"))</f>
        <v>B</v>
      </c>
      <c r="S249" s="44" t="str">
        <f aca="false">IF(R249="—","—",IF(R249="A","基準輸入",IF(R249="B","情境、相對比較、反轉門檻","探索")))&amp;"；上限，不得作預測"</f>
        <v>情境、相對比較、反轉門檻；上限，不得作預測</v>
      </c>
      <c r="T249" s="30" t="s">
        <v>2817</v>
      </c>
      <c r="U249" s="44" t="str">
        <f aca="false">IF(V249=0,"—",LEFT(TEXT(V249,"0"),4)&amp;"-"&amp;MID(TEXT(V249,"0"),5,2)&amp;"-"&amp;RIGHT(TEXT(V249,"0"),2))</f>
        <v>2026-10-05</v>
      </c>
      <c r="V24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$660)</f>
        <v>20261005</v>
      </c>
      <c r="W249" s="21" t="s">
        <v>2922</v>
      </c>
      <c r="X249" s="32" t="n">
        <f aca="false">IF(ISNUMBER(FIND("上限",S249)),1,0)</f>
        <v>1</v>
      </c>
      <c r="Y249" s="32" t="n">
        <v>1</v>
      </c>
    </row>
    <row r="250" customFormat="false" ht="15" hidden="false" customHeight="true" outlineLevel="0" collapsed="false">
      <c r="A250" s="44" t="s">
        <v>3058</v>
      </c>
      <c r="B250" s="30" t="s">
        <v>2048</v>
      </c>
      <c r="C250" s="216" t="n">
        <f aca="false">C210</f>
        <v>5.01848956376868</v>
      </c>
      <c r="D250" s="216" t="n">
        <f aca="false">D210</f>
        <v>5.01848956376868</v>
      </c>
      <c r="E250" s="216" t="n">
        <f aca="false">E210</f>
        <v>5.01848956376868</v>
      </c>
      <c r="F250" s="216" t="n">
        <f aca="false">F210</f>
        <v>23.2784953027427</v>
      </c>
      <c r="G250" s="216" t="n">
        <f aca="false">G210</f>
        <v>23.2784953027427</v>
      </c>
      <c r="H250" s="216" t="n">
        <f aca="false">H210</f>
        <v>23.2784953027427</v>
      </c>
      <c r="I250" s="216" t="n">
        <f aca="false">I210</f>
        <v>31.7743161074204</v>
      </c>
      <c r="J250" s="216" t="n">
        <f aca="false">J210</f>
        <v>31.7743161074204</v>
      </c>
      <c r="K250" s="216" t="n">
        <f aca="false">K210</f>
        <v>31.7743161074204</v>
      </c>
      <c r="L250" s="216" t="n">
        <f aca="false">L210</f>
        <v>53.1540686485926</v>
      </c>
      <c r="M250" s="216" t="n">
        <f aca="false">M210</f>
        <v>53.1540686485926</v>
      </c>
      <c r="N250" s="216" t="n">
        <f aca="false">N210</f>
        <v>53.1540686485926</v>
      </c>
      <c r="O250" s="216" t="n">
        <f aca="false">O210</f>
        <v>74.0683951910804</v>
      </c>
      <c r="P250" s="216" t="n">
        <f aca="false">P210</f>
        <v>74.0683951910804</v>
      </c>
      <c r="Q250" s="216" t="n">
        <f aca="false">Q210</f>
        <v>74.0683951910804</v>
      </c>
      <c r="R250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,Gov_Map!$AH$660)&gt;0,"B","A"))</f>
        <v>B</v>
      </c>
      <c r="S250" s="44" t="str">
        <f aca="false">IF(R250="—","—",IF(R250="A","基準輸入",IF(R250="B","情境、相對比較、反轉門檻","探索")))&amp;"；上限，不得作預測"</f>
        <v>情境、相對比較、反轉門檻；上限，不得作預測</v>
      </c>
      <c r="T250" s="30" t="s">
        <v>3002</v>
      </c>
      <c r="U250" s="44" t="str">
        <f aca="false">IF(V250=0,"—",LEFT(TEXT(V250,"0"),4)&amp;"-"&amp;MID(TEXT(V250,"0"),5,2)&amp;"-"&amp;RIGHT(TEXT(V250,"0"),2))</f>
        <v>2026-10-05</v>
      </c>
      <c r="V25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,Gov_Map!$AJ$660)</f>
        <v>20261005</v>
      </c>
      <c r="W250" s="21" t="s">
        <v>3011</v>
      </c>
      <c r="X250" s="32" t="n">
        <f aca="false">IF(ISNUMBER(FIND("上限",S250)),1,0)</f>
        <v>1</v>
      </c>
      <c r="Y250" s="32" t="n">
        <v>1</v>
      </c>
    </row>
    <row r="251" customFormat="false" ht="15" hidden="false" customHeight="true" outlineLevel="0" collapsed="false">
      <c r="A251" s="44" t="s">
        <v>3059</v>
      </c>
      <c r="B251" s="30" t="s">
        <v>2048</v>
      </c>
      <c r="C251" s="216" t="n">
        <f aca="false">IF(ISNUMBER(C250),C250*CTL_PriceLife*CTL_Monetize,C250)</f>
        <v>5.01848956376868</v>
      </c>
      <c r="D251" s="216" t="n">
        <f aca="false">IF(ISNUMBER(D250),D250*CTL_PriceLife*CTL_Monetize,D250)</f>
        <v>5.01848956376868</v>
      </c>
      <c r="E251" s="216" t="n">
        <f aca="false">IF(ISNUMBER(E250),E250*CTL_PriceLife*CTL_Monetize,E250)</f>
        <v>5.01848956376868</v>
      </c>
      <c r="F251" s="216" t="n">
        <f aca="false">IF(ISNUMBER(F250),F250*CTL_PriceLife*CTL_Monetize,F250)</f>
        <v>23.2784953027427</v>
      </c>
      <c r="G251" s="216" t="n">
        <f aca="false">IF(ISNUMBER(G250),G250*CTL_PriceLife*CTL_Monetize,G250)</f>
        <v>23.2784953027427</v>
      </c>
      <c r="H251" s="216" t="n">
        <f aca="false">IF(ISNUMBER(H250),H250*CTL_PriceLife*CTL_Monetize,H250)</f>
        <v>23.2784953027427</v>
      </c>
      <c r="I251" s="216" t="n">
        <f aca="false">IF(ISNUMBER(I250),I250*CTL_PriceLife*CTL_Monetize,I250)</f>
        <v>31.7743161074204</v>
      </c>
      <c r="J251" s="216" t="n">
        <f aca="false">IF(ISNUMBER(J250),J250*CTL_PriceLife*CTL_Monetize,J250)</f>
        <v>31.7743161074204</v>
      </c>
      <c r="K251" s="216" t="n">
        <f aca="false">IF(ISNUMBER(K250),K250*CTL_PriceLife*CTL_Monetize,K250)</f>
        <v>31.7743161074204</v>
      </c>
      <c r="L251" s="216" t="n">
        <f aca="false">IF(ISNUMBER(L250),L250*CTL_PriceLife*CTL_Monetize,L250)</f>
        <v>53.1540686485926</v>
      </c>
      <c r="M251" s="216" t="n">
        <f aca="false">IF(ISNUMBER(M250),M250*CTL_PriceLife*CTL_Monetize,M250)</f>
        <v>53.1540686485926</v>
      </c>
      <c r="N251" s="216" t="n">
        <f aca="false">IF(ISNUMBER(N250),N250*CTL_PriceLife*CTL_Monetize,N250)</f>
        <v>53.1540686485926</v>
      </c>
      <c r="O251" s="216" t="n">
        <f aca="false">IF(ISNUMBER(O250),O250*CTL_PriceLife*CTL_Monetize,O250)</f>
        <v>74.0683951910804</v>
      </c>
      <c r="P251" s="216" t="n">
        <f aca="false">IF(ISNUMBER(P250),P250*CTL_PriceLife*CTL_Monetize,P250)</f>
        <v>74.0683951910804</v>
      </c>
      <c r="Q251" s="216" t="n">
        <f aca="false">IF(ISNUMBER(Q250),Q250*CTL_PriceLife*CTL_Monetize,Q250)</f>
        <v>74.0683951910804</v>
      </c>
      <c r="R251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$596:$AH$598,Gov_Map!$AH$660)&gt;0,"B","A"))</f>
        <v>B</v>
      </c>
      <c r="S251" s="44" t="str">
        <f aca="false">IF(R251="—","—",IF(R251="A","基準輸入",IF(R251="B","情境、相對比較、反轉門檻","探索")))&amp;"；上限，不得作預測"</f>
        <v>情境、相對比較、反轉門檻；上限，不得作預測</v>
      </c>
      <c r="T251" s="30" t="s">
        <v>3014</v>
      </c>
      <c r="U251" s="44" t="str">
        <f aca="false">IF(V251=0,"—",LEFT(TEXT(V251,"0"),4)&amp;"-"&amp;MID(TEXT(V251,"0"),5,2)&amp;"-"&amp;RIGHT(TEXT(V251,"0"),2))</f>
        <v>2026-10-05</v>
      </c>
      <c r="V25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$596:$AJ$598,Gov_Map!$AJ$660)</f>
        <v>20261005</v>
      </c>
      <c r="W251" s="21" t="s">
        <v>3019</v>
      </c>
      <c r="X251" s="32" t="n">
        <f aca="false">IF(ISNUMBER(FIND("上限",S251)),1,0)</f>
        <v>1</v>
      </c>
      <c r="Y251" s="32" t="n">
        <v>1</v>
      </c>
    </row>
    <row r="252" customFormat="false" ht="15" hidden="false" customHeight="true" outlineLevel="0" collapsed="false">
      <c r="A252" s="9" t="s">
        <v>3060</v>
      </c>
    </row>
    <row r="253" customFormat="false" ht="15" hidden="false" customHeight="true" outlineLevel="0" collapsed="false">
      <c r="A253" s="44" t="s">
        <v>3061</v>
      </c>
      <c r="B253" s="30" t="s">
        <v>2048</v>
      </c>
      <c r="C253" s="216" t="n">
        <f aca="false">IF(ISNUMBER(C102),C102/IF_Util,C102)</f>
        <v>9.01816261524145</v>
      </c>
      <c r="D253" s="216" t="n">
        <f aca="false">IF(ISNUMBER(D102),D102/IF_Util,D102)</f>
        <v>9.01816261524145</v>
      </c>
      <c r="E253" s="216" t="n">
        <f aca="false">IF(ISNUMBER(E102),E102/IF_Util,E102)</f>
        <v>9.01816261524145</v>
      </c>
      <c r="F253" s="216" t="n">
        <f aca="false">IF(ISNUMBER(F102),F102/IF_Util,F102)</f>
        <v>39.9149458654348</v>
      </c>
      <c r="G253" s="216" t="n">
        <f aca="false">IF(ISNUMBER(G102),G102/IF_Util,G102)</f>
        <v>39.9149458654348</v>
      </c>
      <c r="H253" s="216" t="n">
        <f aca="false">IF(ISNUMBER(H102),H102/IF_Util,H102)</f>
        <v>39.9149458654348</v>
      </c>
      <c r="I253" s="216" t="n">
        <f aca="false">IF(ISNUMBER(I102),I102/IF_Util,I102)</f>
        <v>58.1112126202758</v>
      </c>
      <c r="J253" s="216" t="n">
        <f aca="false">IF(ISNUMBER(J102),J102/IF_Util,J102)</f>
        <v>58.1112126202758</v>
      </c>
      <c r="K253" s="216" t="n">
        <f aca="false">IF(ISNUMBER(K102),K102/IF_Util,K102)</f>
        <v>58.1112126202758</v>
      </c>
      <c r="L253" s="216" t="n">
        <f aca="false">IF(ISNUMBER(L102),L102/IF_Util,L102)</f>
        <v>83.8323560820466</v>
      </c>
      <c r="M253" s="216" t="n">
        <f aca="false">IF(ISNUMBER(M102),M102/IF_Util,M102)</f>
        <v>83.8323560820466</v>
      </c>
      <c r="N253" s="216" t="n">
        <f aca="false">IF(ISNUMBER(N102),N102/IF_Util,N102)</f>
        <v>83.8323560820466</v>
      </c>
      <c r="O253" s="216" t="n">
        <f aca="false">IF(ISNUMBER(O102),O102/IF_Util,O102)</f>
        <v>112.866447662578</v>
      </c>
      <c r="P253" s="216" t="n">
        <f aca="false">IF(ISNUMBER(P102),P102/IF_Util,P102)</f>
        <v>112.866447662578</v>
      </c>
      <c r="Q253" s="216" t="n">
        <f aca="false">IF(ISNUMBER(Q102),Q102/IF_Util,Q102)</f>
        <v>112.866447662578</v>
      </c>
      <c r="R253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3" s="44" t="str">
        <f aca="false">IF(R253="—","—",IF(R253="A","基準輸入",IF(R253="B","情境、相對比較、反轉門檻","探索")))&amp;"；上限，不得作預測"</f>
        <v>情境、相對比較、反轉門檻；上限，不得作預測</v>
      </c>
      <c r="T253" s="30" t="s">
        <v>2792</v>
      </c>
      <c r="U253" s="44" t="str">
        <f aca="false">IF(V253=0,"—",LEFT(TEXT(V253,"0"),4)&amp;"-"&amp;MID(TEXT(V253,"0"),5,2)&amp;"-"&amp;RIGHT(TEXT(V253,"0"),2))</f>
        <v>2026-10-05</v>
      </c>
      <c r="V25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3" s="21" t="s">
        <v>2884</v>
      </c>
      <c r="X253" s="32" t="n">
        <f aca="false">IF(ISNUMBER(FIND("上限",S253)),1,0)</f>
        <v>1</v>
      </c>
      <c r="Y253" s="32" t="n">
        <v>1</v>
      </c>
    </row>
    <row r="254" customFormat="false" ht="15" hidden="false" customHeight="true" outlineLevel="0" collapsed="false">
      <c r="A254" s="44" t="s">
        <v>3062</v>
      </c>
      <c r="B254" s="30" t="s">
        <v>2048</v>
      </c>
      <c r="C254" s="216" t="n">
        <f aca="false">C102</f>
        <v>5.41089756914487</v>
      </c>
      <c r="D254" s="216" t="n">
        <f aca="false">D102</f>
        <v>5.41089756914487</v>
      </c>
      <c r="E254" s="216" t="n">
        <f aca="false">E102</f>
        <v>5.41089756914487</v>
      </c>
      <c r="F254" s="216" t="n">
        <f aca="false">F102</f>
        <v>23.9489675192609</v>
      </c>
      <c r="G254" s="216" t="n">
        <f aca="false">G102</f>
        <v>23.9489675192609</v>
      </c>
      <c r="H254" s="216" t="n">
        <f aca="false">H102</f>
        <v>23.9489675192609</v>
      </c>
      <c r="I254" s="216" t="n">
        <f aca="false">I102</f>
        <v>34.8667275721655</v>
      </c>
      <c r="J254" s="216" t="n">
        <f aca="false">J102</f>
        <v>34.8667275721655</v>
      </c>
      <c r="K254" s="216" t="n">
        <f aca="false">K102</f>
        <v>34.8667275721655</v>
      </c>
      <c r="L254" s="216" t="n">
        <f aca="false">L102</f>
        <v>50.299413649228</v>
      </c>
      <c r="M254" s="216" t="n">
        <f aca="false">M102</f>
        <v>50.299413649228</v>
      </c>
      <c r="N254" s="216" t="n">
        <f aca="false">N102</f>
        <v>50.299413649228</v>
      </c>
      <c r="O254" s="216" t="n">
        <f aca="false">O102</f>
        <v>67.7198685975468</v>
      </c>
      <c r="P254" s="216" t="n">
        <f aca="false">P102</f>
        <v>67.7198685975468</v>
      </c>
      <c r="Q254" s="216" t="n">
        <f aca="false">Q102</f>
        <v>67.7198685975468</v>
      </c>
      <c r="R254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4" s="44" t="str">
        <f aca="false">IF(R254="—","—",IF(R254="A","基準輸入",IF(R254="B","情境、相對比較、反轉門檻","探索")))&amp;"；上限，不得作預測"</f>
        <v>情境、相對比較、反轉門檻；上限，不得作預測</v>
      </c>
      <c r="T254" s="30" t="s">
        <v>2817</v>
      </c>
      <c r="U254" s="44" t="str">
        <f aca="false">IF(V254=0,"—",LEFT(TEXT(V254,"0"),4)&amp;"-"&amp;MID(TEXT(V254,"0"),5,2)&amp;"-"&amp;RIGHT(TEXT(V254,"0"),2))</f>
        <v>2026-10-05</v>
      </c>
      <c r="V25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4" s="21" t="s">
        <v>2884</v>
      </c>
      <c r="X254" s="32" t="n">
        <f aca="false">IF(ISNUMBER(FIND("上限",S254)),1,0)</f>
        <v>1</v>
      </c>
      <c r="Y254" s="32" t="n">
        <v>1</v>
      </c>
    </row>
    <row r="255" customFormat="false" ht="15" hidden="false" customHeight="true" outlineLevel="0" collapsed="false">
      <c r="A255" s="44" t="s">
        <v>3063</v>
      </c>
      <c r="B255" s="30" t="s">
        <v>2048</v>
      </c>
      <c r="C255" s="195" t="n">
        <f aca="false">IF(ISNUMBER(Theory_Rev_Prod!C10),Theory_Rev_Prod!C10*INDEX(B4_FrontRef,1,1)/1000000000,Theory_Rev_Prod!C10)</f>
        <v>4.16601653965016</v>
      </c>
      <c r="D255" s="195" t="n">
        <f aca="false">IF(ISNUMBER(Theory_Rev_Prod!D10),Theory_Rev_Prod!D10*INDEX(B4_FrontRef,1,1)/1000000000,Theory_Rev_Prod!D10)</f>
        <v>4.16601653965016</v>
      </c>
      <c r="E255" s="195" t="n">
        <f aca="false">IF(ISNUMBER(Theory_Rev_Prod!E10),Theory_Rev_Prod!E10*INDEX(B4_FrontRef,1,1)/1000000000,Theory_Rev_Prod!E10)</f>
        <v>4.16601653965016</v>
      </c>
      <c r="F255" s="195" t="n">
        <f aca="false">IF(ISNUMBER(Theory_Rev_Prod!F10),Theory_Rev_Prod!F10*INDEX(B4_FrontRef,1,1)/1000000000,Theory_Rev_Prod!F10)</f>
        <v>19.2981660478861</v>
      </c>
      <c r="G255" s="195" t="n">
        <f aca="false">IF(ISNUMBER(Theory_Rev_Prod!G10),Theory_Rev_Prod!G10*INDEX(B4_FrontRef,1,1)/1000000000,Theory_Rev_Prod!G10)</f>
        <v>19.2981660478861</v>
      </c>
      <c r="H255" s="195" t="n">
        <f aca="false">IF(ISNUMBER(Theory_Rev_Prod!H10),Theory_Rev_Prod!H10*INDEX(B4_FrontRef,1,1)/1000000000,Theory_Rev_Prod!H10)</f>
        <v>19.2981660478861</v>
      </c>
      <c r="I255" s="195" t="n">
        <f aca="false">IF(ISNUMBER(Theory_Rev_Prod!I10),Theory_Rev_Prod!I10*INDEX(B4_FrontRef,1,1)/1000000000,Theory_Rev_Prod!I10)</f>
        <v>28.0957372251188</v>
      </c>
      <c r="J255" s="195" t="n">
        <f aca="false">IF(ISNUMBER(Theory_Rev_Prod!J10),Theory_Rev_Prod!J10*INDEX(B4_FrontRef,1,1)/1000000000,Theory_Rev_Prod!J10)</f>
        <v>28.0957372251188</v>
      </c>
      <c r="K255" s="195" t="n">
        <f aca="false">IF(ISNUMBER(Theory_Rev_Prod!K10),Theory_Rev_Prod!K10*INDEX(B4_FrontRef,1,1)/1000000000,Theory_Rev_Prod!K10)</f>
        <v>28.0957372251188</v>
      </c>
      <c r="L255" s="195" t="n">
        <f aca="false">IF(ISNUMBER(Theory_Rev_Prod!L10),Theory_Rev_Prod!L10*INDEX(B4_FrontRef,1,1)/1000000000,Theory_Rev_Prod!L10)</f>
        <v>40.6269205958863</v>
      </c>
      <c r="M255" s="195" t="n">
        <f aca="false">IF(ISNUMBER(Theory_Rev_Prod!M10),Theory_Rev_Prod!M10*INDEX(B4_FrontRef,1,1)/1000000000,Theory_Rev_Prod!M10)</f>
        <v>40.6269205958863</v>
      </c>
      <c r="N255" s="195" t="n">
        <f aca="false">IF(ISNUMBER(Theory_Rev_Prod!N10),Theory_Rev_Prod!N10*INDEX(B4_FrontRef,1,1)/1000000000,Theory_Rev_Prod!N10)</f>
        <v>40.6269205958863</v>
      </c>
      <c r="O255" s="195" t="n">
        <f aca="false">IF(ISNUMBER(Theory_Rev_Prod!O10),Theory_Rev_Prod!O10*INDEX(B4_FrontRef,1,1)/1000000000,Theory_Rev_Prod!O10)</f>
        <v>54.7307309163427</v>
      </c>
      <c r="P255" s="195" t="n">
        <f aca="false">IF(ISNUMBER(Theory_Rev_Prod!P10),Theory_Rev_Prod!P10*INDEX(B4_FrontRef,1,1)/1000000000,Theory_Rev_Prod!P10)</f>
        <v>54.7307309163427</v>
      </c>
      <c r="Q255" s="195" t="n">
        <f aca="false">IF(ISNUMBER(Theory_Rev_Prod!Q10),Theory_Rev_Prod!Q10*INDEX(B4_FrontRef,1,1)/1000000000,Theory_Rev_Prod!Q10)</f>
        <v>54.7307309163427</v>
      </c>
      <c r="R255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55" s="44" t="str">
        <f aca="false">IF(R255="—","—",IF(R255="A","基準輸入",IF(R255="B","情境、相對比較、反轉門檻","探索")))&amp;"；上限，不得作預測"</f>
        <v>情境、相對比較、反轉門檻；上限，不得作預測</v>
      </c>
      <c r="T255" s="30" t="s">
        <v>3002</v>
      </c>
      <c r="U255" s="44" t="str">
        <f aca="false">IF(V255=0,"—",LEFT(TEXT(V255,"0"),4)&amp;"-"&amp;MID(TEXT(V255,"0"),5,2)&amp;"-"&amp;RIGHT(TEXT(V255,"0"),2))</f>
        <v>2026-10-05</v>
      </c>
      <c r="V25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55" s="21" t="s">
        <v>3064</v>
      </c>
      <c r="X255" s="32" t="n">
        <f aca="false">IF(ISNUMBER(FIND("上限",S255)),1,0)</f>
        <v>1</v>
      </c>
      <c r="Y255" s="32" t="n">
        <v>1</v>
      </c>
    </row>
    <row r="256" customFormat="false" ht="15" hidden="false" customHeight="true" outlineLevel="0" collapsed="false">
      <c r="A256" s="44" t="s">
        <v>3065</v>
      </c>
      <c r="B256" s="30" t="s">
        <v>2048</v>
      </c>
      <c r="C256" s="216" t="n">
        <f aca="false">IF(ISNUMBER(C255),C255*CTL_PriceLife*CTL_Monetize,C255)</f>
        <v>4.16601653965016</v>
      </c>
      <c r="D256" s="216" t="n">
        <f aca="false">IF(ISNUMBER(D255),D255*CTL_PriceLife*CTL_Monetize,D255)</f>
        <v>4.16601653965016</v>
      </c>
      <c r="E256" s="216" t="n">
        <f aca="false">IF(ISNUMBER(E255),E255*CTL_PriceLife*CTL_Monetize,E255)</f>
        <v>4.16601653965016</v>
      </c>
      <c r="F256" s="216" t="n">
        <f aca="false">IF(ISNUMBER(F255),F255*CTL_PriceLife*CTL_Monetize,F255)</f>
        <v>19.2981660478861</v>
      </c>
      <c r="G256" s="216" t="n">
        <f aca="false">IF(ISNUMBER(G255),G255*CTL_PriceLife*CTL_Monetize,G255)</f>
        <v>19.2981660478861</v>
      </c>
      <c r="H256" s="216" t="n">
        <f aca="false">IF(ISNUMBER(H255),H255*CTL_PriceLife*CTL_Monetize,H255)</f>
        <v>19.2981660478861</v>
      </c>
      <c r="I256" s="216" t="n">
        <f aca="false">IF(ISNUMBER(I255),I255*CTL_PriceLife*CTL_Monetize,I255)</f>
        <v>28.0957372251188</v>
      </c>
      <c r="J256" s="216" t="n">
        <f aca="false">IF(ISNUMBER(J255),J255*CTL_PriceLife*CTL_Monetize,J255)</f>
        <v>28.0957372251188</v>
      </c>
      <c r="K256" s="216" t="n">
        <f aca="false">IF(ISNUMBER(K255),K255*CTL_PriceLife*CTL_Monetize,K255)</f>
        <v>28.0957372251188</v>
      </c>
      <c r="L256" s="216" t="n">
        <f aca="false">IF(ISNUMBER(L255),L255*CTL_PriceLife*CTL_Monetize,L255)</f>
        <v>40.6269205958863</v>
      </c>
      <c r="M256" s="216" t="n">
        <f aca="false">IF(ISNUMBER(M255),M255*CTL_PriceLife*CTL_Monetize,M255)</f>
        <v>40.6269205958863</v>
      </c>
      <c r="N256" s="216" t="n">
        <f aca="false">IF(ISNUMBER(N255),N255*CTL_PriceLife*CTL_Monetize,N255)</f>
        <v>40.6269205958863</v>
      </c>
      <c r="O256" s="216" t="n">
        <f aca="false">IF(ISNUMBER(O255),O255*CTL_PriceLife*CTL_Monetize,O255)</f>
        <v>54.7307309163427</v>
      </c>
      <c r="P256" s="216" t="n">
        <f aca="false">IF(ISNUMBER(P255),P255*CTL_PriceLife*CTL_Monetize,P255)</f>
        <v>54.7307309163427</v>
      </c>
      <c r="Q256" s="216" t="n">
        <f aca="false">IF(ISNUMBER(Q255),Q255*CTL_PriceLife*CTL_Monetize,Q255)</f>
        <v>54.7307309163427</v>
      </c>
      <c r="R256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56" s="44" t="str">
        <f aca="false">IF(R256="—","—",IF(R256="A","基準輸入",IF(R256="B","情境、相對比較、反轉門檻","探索")))&amp;"；上限，不得作預測"</f>
        <v>情境、相對比較、反轉門檻；上限，不得作預測</v>
      </c>
      <c r="T256" s="30" t="s">
        <v>3014</v>
      </c>
      <c r="U256" s="44" t="str">
        <f aca="false">IF(V256=0,"—",LEFT(TEXT(V256,"0"),4)&amp;"-"&amp;MID(TEXT(V256,"0"),5,2)&amp;"-"&amp;RIGHT(TEXT(V256,"0"),2))</f>
        <v>2026-10-05</v>
      </c>
      <c r="V25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56" s="21" t="s">
        <v>3066</v>
      </c>
      <c r="X256" s="32" t="n">
        <f aca="false">IF(ISNUMBER(FIND("上限",S256)),1,0)</f>
        <v>1</v>
      </c>
      <c r="Y256" s="32" t="n">
        <v>1</v>
      </c>
    </row>
    <row r="257" customFormat="false" ht="15" hidden="false" customHeight="true" outlineLevel="0" collapsed="false">
      <c r="A257" s="9" t="s">
        <v>3060</v>
      </c>
    </row>
    <row r="258" customFormat="false" ht="15" hidden="false" customHeight="true" outlineLevel="0" collapsed="false">
      <c r="A258" s="44" t="s">
        <v>3067</v>
      </c>
      <c r="B258" s="30" t="s">
        <v>2048</v>
      </c>
      <c r="C258" s="216" t="n">
        <f aca="false">IF(ISNUMBER(C120),C120/IF_Util,C120)</f>
        <v>54.0550477473896</v>
      </c>
      <c r="D258" s="216" t="n">
        <f aca="false">IF(ISNUMBER(D120),D120/IF_Util,D120)</f>
        <v>54.0550477473896</v>
      </c>
      <c r="E258" s="216" t="n">
        <f aca="false">IF(ISNUMBER(E120),E120/IF_Util,E120)</f>
        <v>54.0550477473896</v>
      </c>
      <c r="F258" s="216" t="n">
        <f aca="false">IF(ISNUMBER(F120),F120/IF_Util,F120)</f>
        <v>234.391419310805</v>
      </c>
      <c r="G258" s="216" t="n">
        <f aca="false">IF(ISNUMBER(G120),G120/IF_Util,G120)</f>
        <v>234.391419310805</v>
      </c>
      <c r="H258" s="216" t="n">
        <f aca="false">IF(ISNUMBER(H120),H120/IF_Util,H120)</f>
        <v>234.391419310805</v>
      </c>
      <c r="I258" s="216" t="n">
        <f aca="false">IF(ISNUMBER(I120),I120/IF_Util,I120)</f>
        <v>341.244847227353</v>
      </c>
      <c r="J258" s="216" t="n">
        <f aca="false">IF(ISNUMBER(J120),J120/IF_Util,J120)</f>
        <v>341.244847227353</v>
      </c>
      <c r="K258" s="216" t="n">
        <f aca="false">IF(ISNUMBER(K120),K120/IF_Util,K120)</f>
        <v>341.244847227353</v>
      </c>
      <c r="L258" s="216" t="n">
        <f aca="false">IF(ISNUMBER(L120),L120/IF_Util,L120)</f>
        <v>512.644173561644</v>
      </c>
      <c r="M258" s="216" t="n">
        <f aca="false">IF(ISNUMBER(M120),M120/IF_Util,M120)</f>
        <v>512.644173561644</v>
      </c>
      <c r="N258" s="216" t="n">
        <f aca="false">IF(ISNUMBER(N120),N120/IF_Util,N120)</f>
        <v>512.644173561644</v>
      </c>
      <c r="O258" s="216" t="n">
        <f aca="false">IF(ISNUMBER(O120),O120/IF_Util,O120)</f>
        <v>698.097656186124</v>
      </c>
      <c r="P258" s="216" t="n">
        <f aca="false">IF(ISNUMBER(P120),P120/IF_Util,P120)</f>
        <v>698.097656186124</v>
      </c>
      <c r="Q258" s="216" t="n">
        <f aca="false">IF(ISNUMBER(Q120),Q120/IF_Util,Q120)</f>
        <v>698.097656186124</v>
      </c>
      <c r="R258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8" s="44" t="str">
        <f aca="false">IF(R258="—","—",IF(R258="A","基準輸入",IF(R258="B","情境、相對比較、反轉門檻","探索")))&amp;"；上限，不得作預測"</f>
        <v>情境、相對比較、反轉門檻；上限，不得作預測</v>
      </c>
      <c r="T258" s="30" t="s">
        <v>2792</v>
      </c>
      <c r="U258" s="44" t="str">
        <f aca="false">IF(V258=0,"—",LEFT(TEXT(V258,"0"),4)&amp;"-"&amp;MID(TEXT(V258,"0"),5,2)&amp;"-"&amp;RIGHT(TEXT(V258,"0"),2))</f>
        <v>2026-10-05</v>
      </c>
      <c r="V25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8" s="21" t="s">
        <v>2884</v>
      </c>
      <c r="X258" s="32" t="n">
        <f aca="false">IF(ISNUMBER(FIND("上限",S258)),1,0)</f>
        <v>1</v>
      </c>
      <c r="Y258" s="32" t="n">
        <v>1</v>
      </c>
    </row>
    <row r="259" customFormat="false" ht="15" hidden="false" customHeight="true" outlineLevel="0" collapsed="false">
      <c r="A259" s="44" t="s">
        <v>3068</v>
      </c>
      <c r="B259" s="30" t="s">
        <v>2048</v>
      </c>
      <c r="C259" s="216" t="n">
        <f aca="false">C120</f>
        <v>32.4330286484338</v>
      </c>
      <c r="D259" s="216" t="n">
        <f aca="false">D120</f>
        <v>32.4330286484338</v>
      </c>
      <c r="E259" s="216" t="n">
        <f aca="false">E120</f>
        <v>32.4330286484338</v>
      </c>
      <c r="F259" s="216" t="n">
        <f aca="false">F120</f>
        <v>140.634851586483</v>
      </c>
      <c r="G259" s="216" t="n">
        <f aca="false">G120</f>
        <v>140.634851586483</v>
      </c>
      <c r="H259" s="216" t="n">
        <f aca="false">H120</f>
        <v>140.634851586483</v>
      </c>
      <c r="I259" s="216" t="n">
        <f aca="false">I120</f>
        <v>204.746908336412</v>
      </c>
      <c r="J259" s="216" t="n">
        <f aca="false">J120</f>
        <v>204.746908336412</v>
      </c>
      <c r="K259" s="216" t="n">
        <f aca="false">K120</f>
        <v>204.746908336412</v>
      </c>
      <c r="L259" s="216" t="n">
        <f aca="false">L120</f>
        <v>307.586504136986</v>
      </c>
      <c r="M259" s="216" t="n">
        <f aca="false">M120</f>
        <v>307.586504136986</v>
      </c>
      <c r="N259" s="216" t="n">
        <f aca="false">N120</f>
        <v>307.586504136986</v>
      </c>
      <c r="O259" s="216" t="n">
        <f aca="false">O120</f>
        <v>418.858593711675</v>
      </c>
      <c r="P259" s="216" t="n">
        <f aca="false">P120</f>
        <v>418.858593711675</v>
      </c>
      <c r="Q259" s="216" t="n">
        <f aca="false">Q120</f>
        <v>418.858593711675</v>
      </c>
      <c r="R259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59" s="44" t="str">
        <f aca="false">IF(R259="—","—",IF(R259="A","基準輸入",IF(R259="B","情境、相對比較、反轉門檻","探索")))&amp;"；上限，不得作預測"</f>
        <v>情境、相對比較、反轉門檻；上限，不得作預測</v>
      </c>
      <c r="T259" s="30" t="s">
        <v>2817</v>
      </c>
      <c r="U259" s="44" t="str">
        <f aca="false">IF(V259=0,"—",LEFT(TEXT(V259,"0"),4)&amp;"-"&amp;MID(TEXT(V259,"0"),5,2)&amp;"-"&amp;RIGHT(TEXT(V259,"0"),2))</f>
        <v>2026-10-05</v>
      </c>
      <c r="V25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59" s="21" t="s">
        <v>2884</v>
      </c>
      <c r="X259" s="32" t="n">
        <f aca="false">IF(ISNUMBER(FIND("上限",S259)),1,0)</f>
        <v>1</v>
      </c>
      <c r="Y259" s="32" t="n">
        <v>1</v>
      </c>
    </row>
    <row r="260" customFormat="false" ht="15" hidden="false" customHeight="true" outlineLevel="0" collapsed="false">
      <c r="A260" s="44" t="s">
        <v>3069</v>
      </c>
      <c r="B260" s="30" t="s">
        <v>2048</v>
      </c>
      <c r="C260" s="195" t="n">
        <f aca="false">IF(ISNUMBER(Theory_Rev_Prod!C28),Theory_Rev_Prod!C28*INDEX(B4_FrontRef,1,2)/1000000000,Theory_Rev_Prod!C28)</f>
        <v>25.8351210172714</v>
      </c>
      <c r="D260" s="195" t="n">
        <f aca="false">IF(ISNUMBER(Theory_Rev_Prod!D28),Theory_Rev_Prod!D28*INDEX(B4_FrontRef,1,2)/1000000000,Theory_Rev_Prod!D28)</f>
        <v>25.8351210172714</v>
      </c>
      <c r="E260" s="195" t="n">
        <f aca="false">IF(ISNUMBER(Theory_Rev_Prod!E28),Theory_Rev_Prod!E28*INDEX(B4_FrontRef,1,2)/1000000000,Theory_Rev_Prod!E28)</f>
        <v>25.8351210172714</v>
      </c>
      <c r="F260" s="195" t="n">
        <f aca="false">IF(ISNUMBER(Theory_Rev_Prod!F28),Theory_Rev_Prod!F28*INDEX(B4_FrontRef,1,2)/1000000000,Theory_Rev_Prod!F28)</f>
        <v>115.189801090007</v>
      </c>
      <c r="G260" s="195" t="n">
        <f aca="false">IF(ISNUMBER(Theory_Rev_Prod!G28),Theory_Rev_Prod!G28*INDEX(B4_FrontRef,1,2)/1000000000,Theory_Rev_Prod!G28)</f>
        <v>115.189801090007</v>
      </c>
      <c r="H260" s="195" t="n">
        <f aca="false">IF(ISNUMBER(Theory_Rev_Prod!H28),Theory_Rev_Prod!H28*INDEX(B4_FrontRef,1,2)/1000000000,Theory_Rev_Prod!H28)</f>
        <v>115.189801090007</v>
      </c>
      <c r="I260" s="195" t="n">
        <f aca="false">IF(ISNUMBER(Theory_Rev_Prod!I28),Theory_Rev_Prod!I28*INDEX(B4_FrontRef,1,2)/1000000000,Theory_Rev_Prod!I28)</f>
        <v>167.702069430222</v>
      </c>
      <c r="J260" s="195" t="n">
        <f aca="false">IF(ISNUMBER(Theory_Rev_Prod!J28),Theory_Rev_Prod!J28*INDEX(B4_FrontRef,1,2)/1000000000,Theory_Rev_Prod!J28)</f>
        <v>167.702069430222</v>
      </c>
      <c r="K260" s="195" t="n">
        <f aca="false">IF(ISNUMBER(Theory_Rev_Prod!K28),Theory_Rev_Prod!K28*INDEX(B4_FrontRef,1,2)/1000000000,Theory_Rev_Prod!K28)</f>
        <v>167.702069430222</v>
      </c>
      <c r="L260" s="195" t="n">
        <f aca="false">IF(ISNUMBER(Theory_Rev_Prod!L28),Theory_Rev_Prod!L28*INDEX(B4_FrontRef,1,2)/1000000000,Theory_Rev_Prod!L28)</f>
        <v>252.853670235275</v>
      </c>
      <c r="M260" s="195" t="n">
        <f aca="false">IF(ISNUMBER(Theory_Rev_Prod!M28),Theory_Rev_Prod!M28*INDEX(B4_FrontRef,1,2)/1000000000,Theory_Rev_Prod!M28)</f>
        <v>252.853670235275</v>
      </c>
      <c r="N260" s="195" t="n">
        <f aca="false">IF(ISNUMBER(Theory_Rev_Prod!N28),Theory_Rev_Prod!N28*INDEX(B4_FrontRef,1,2)/1000000000,Theory_Rev_Prod!N28)</f>
        <v>252.853670235275</v>
      </c>
      <c r="O260" s="195" t="n">
        <f aca="false">IF(ISNUMBER(Theory_Rev_Prod!O28),Theory_Rev_Prod!O28*INDEX(B4_FrontRef,1,2)/1000000000,Theory_Rev_Prod!O28)</f>
        <v>344.651879941955</v>
      </c>
      <c r="P260" s="195" t="n">
        <f aca="false">IF(ISNUMBER(Theory_Rev_Prod!P28),Theory_Rev_Prod!P28*INDEX(B4_FrontRef,1,2)/1000000000,Theory_Rev_Prod!P28)</f>
        <v>344.651879941955</v>
      </c>
      <c r="Q260" s="195" t="n">
        <f aca="false">IF(ISNUMBER(Theory_Rev_Prod!Q28),Theory_Rev_Prod!Q28*INDEX(B4_FrontRef,1,2)/1000000000,Theory_Rev_Prod!Q28)</f>
        <v>344.651879941955</v>
      </c>
      <c r="R260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0" s="44" t="str">
        <f aca="false">IF(R260="—","—",IF(R260="A","基準輸入",IF(R260="B","情境、相對比較、反轉門檻","探索")))&amp;"；上限，不得作預測"</f>
        <v>情境、相對比較、反轉門檻；上限，不得作預測</v>
      </c>
      <c r="T260" s="30" t="s">
        <v>3002</v>
      </c>
      <c r="U260" s="44" t="str">
        <f aca="false">IF(V260=0,"—",LEFT(TEXT(V260,"0"),4)&amp;"-"&amp;MID(TEXT(V260,"0"),5,2)&amp;"-"&amp;RIGHT(TEXT(V260,"0"),2))</f>
        <v>2026-10-05</v>
      </c>
      <c r="V26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0" s="21" t="s">
        <v>3064</v>
      </c>
      <c r="X260" s="32" t="n">
        <f aca="false">IF(ISNUMBER(FIND("上限",S260)),1,0)</f>
        <v>1</v>
      </c>
      <c r="Y260" s="32" t="n">
        <v>1</v>
      </c>
    </row>
    <row r="261" customFormat="false" ht="15" hidden="false" customHeight="true" outlineLevel="0" collapsed="false">
      <c r="A261" s="44" t="s">
        <v>3070</v>
      </c>
      <c r="B261" s="30" t="s">
        <v>2048</v>
      </c>
      <c r="C261" s="216" t="n">
        <f aca="false">IF(ISNUMBER(C260),C260*CTL_PriceLife*CTL_Monetize,C260)</f>
        <v>25.8351210172714</v>
      </c>
      <c r="D261" s="216" t="n">
        <f aca="false">IF(ISNUMBER(D260),D260*CTL_PriceLife*CTL_Monetize,D260)</f>
        <v>25.8351210172714</v>
      </c>
      <c r="E261" s="216" t="n">
        <f aca="false">IF(ISNUMBER(E260),E260*CTL_PriceLife*CTL_Monetize,E260)</f>
        <v>25.8351210172714</v>
      </c>
      <c r="F261" s="216" t="n">
        <f aca="false">IF(ISNUMBER(F260),F260*CTL_PriceLife*CTL_Monetize,F260)</f>
        <v>115.189801090007</v>
      </c>
      <c r="G261" s="216" t="n">
        <f aca="false">IF(ISNUMBER(G260),G260*CTL_PriceLife*CTL_Monetize,G260)</f>
        <v>115.189801090007</v>
      </c>
      <c r="H261" s="216" t="n">
        <f aca="false">IF(ISNUMBER(H260),H260*CTL_PriceLife*CTL_Monetize,H260)</f>
        <v>115.189801090007</v>
      </c>
      <c r="I261" s="216" t="n">
        <f aca="false">IF(ISNUMBER(I260),I260*CTL_PriceLife*CTL_Monetize,I260)</f>
        <v>167.702069430222</v>
      </c>
      <c r="J261" s="216" t="n">
        <f aca="false">IF(ISNUMBER(J260),J260*CTL_PriceLife*CTL_Monetize,J260)</f>
        <v>167.702069430222</v>
      </c>
      <c r="K261" s="216" t="n">
        <f aca="false">IF(ISNUMBER(K260),K260*CTL_PriceLife*CTL_Monetize,K260)</f>
        <v>167.702069430222</v>
      </c>
      <c r="L261" s="216" t="n">
        <f aca="false">IF(ISNUMBER(L260),L260*CTL_PriceLife*CTL_Monetize,L260)</f>
        <v>252.853670235275</v>
      </c>
      <c r="M261" s="216" t="n">
        <f aca="false">IF(ISNUMBER(M260),M260*CTL_PriceLife*CTL_Monetize,M260)</f>
        <v>252.853670235275</v>
      </c>
      <c r="N261" s="216" t="n">
        <f aca="false">IF(ISNUMBER(N260),N260*CTL_PriceLife*CTL_Monetize,N260)</f>
        <v>252.853670235275</v>
      </c>
      <c r="O261" s="216" t="n">
        <f aca="false">IF(ISNUMBER(O260),O260*CTL_PriceLife*CTL_Monetize,O260)</f>
        <v>344.651879941955</v>
      </c>
      <c r="P261" s="216" t="n">
        <f aca="false">IF(ISNUMBER(P260),P260*CTL_PriceLife*CTL_Monetize,P260)</f>
        <v>344.651879941955</v>
      </c>
      <c r="Q261" s="216" t="n">
        <f aca="false">IF(ISNUMBER(Q260),Q260*CTL_PriceLife*CTL_Monetize,Q260)</f>
        <v>344.651879941955</v>
      </c>
      <c r="R261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1" s="44" t="str">
        <f aca="false">IF(R261="—","—",IF(R261="A","基準輸入",IF(R261="B","情境、相對比較、反轉門檻","探索")))&amp;"；上限，不得作預測"</f>
        <v>情境、相對比較、反轉門檻；上限，不得作預測</v>
      </c>
      <c r="T261" s="30" t="s">
        <v>3014</v>
      </c>
      <c r="U261" s="44" t="str">
        <f aca="false">IF(V261=0,"—",LEFT(TEXT(V261,"0"),4)&amp;"-"&amp;MID(TEXT(V261,"0"),5,2)&amp;"-"&amp;RIGHT(TEXT(V261,"0"),2))</f>
        <v>2026-10-05</v>
      </c>
      <c r="V26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1" s="21" t="s">
        <v>3066</v>
      </c>
      <c r="X261" s="32" t="n">
        <f aca="false">IF(ISNUMBER(FIND("上限",S261)),1,0)</f>
        <v>1</v>
      </c>
      <c r="Y261" s="32" t="n">
        <v>1</v>
      </c>
    </row>
    <row r="262" customFormat="false" ht="15" hidden="false" customHeight="true" outlineLevel="0" collapsed="false">
      <c r="A262" s="9" t="s">
        <v>3060</v>
      </c>
    </row>
    <row r="263" customFormat="false" ht="15" hidden="false" customHeight="true" outlineLevel="0" collapsed="false">
      <c r="A263" s="44" t="s">
        <v>3071</v>
      </c>
      <c r="B263" s="30" t="s">
        <v>2048</v>
      </c>
      <c r="C263" s="216" t="n">
        <f aca="false">IF(ISNUMBER(C138),C138/IF_Util,C138)</f>
        <v>52.7169901326123</v>
      </c>
      <c r="D263" s="216" t="n">
        <f aca="false">IF(ISNUMBER(D138),D138/IF_Util,D138)</f>
        <v>52.7169901326123</v>
      </c>
      <c r="E263" s="216" t="n">
        <f aca="false">IF(ISNUMBER(E138),E138/IF_Util,E138)</f>
        <v>52.7169901326123</v>
      </c>
      <c r="F263" s="216" t="n">
        <f aca="false">IF(ISNUMBER(F138),F138/IF_Util,F138)</f>
        <v>230.468634869062</v>
      </c>
      <c r="G263" s="216" t="n">
        <f aca="false">IF(ISNUMBER(G138),G138/IF_Util,G138)</f>
        <v>230.468634869062</v>
      </c>
      <c r="H263" s="216" t="n">
        <f aca="false">IF(ISNUMBER(H138),H138/IF_Util,H138)</f>
        <v>230.468634869062</v>
      </c>
      <c r="I263" s="216" t="n">
        <f aca="false">IF(ISNUMBER(I138),I138/IF_Util,I138)</f>
        <v>303.942829456592</v>
      </c>
      <c r="J263" s="216" t="n">
        <f aca="false">IF(ISNUMBER(J138),J138/IF_Util,J138)</f>
        <v>303.942829456592</v>
      </c>
      <c r="K263" s="216" t="n">
        <f aca="false">IF(ISNUMBER(K138),K138/IF_Util,K138)</f>
        <v>303.942829456592</v>
      </c>
      <c r="L263" s="216" t="n">
        <f aca="false">IF(ISNUMBER(L138),L138/IF_Util,L138)</f>
        <v>539.053721144919</v>
      </c>
      <c r="M263" s="216" t="n">
        <f aca="false">IF(ISNUMBER(M138),M138/IF_Util,M138)</f>
        <v>539.053721144919</v>
      </c>
      <c r="N263" s="216" t="n">
        <f aca="false">IF(ISNUMBER(N138),N138/IF_Util,N138)</f>
        <v>539.053721144919</v>
      </c>
      <c r="O263" s="216" t="n">
        <f aca="false">IF(ISNUMBER(O138),O138/IF_Util,O138)</f>
        <v>762.775868473669</v>
      </c>
      <c r="P263" s="216" t="n">
        <f aca="false">IF(ISNUMBER(P138),P138/IF_Util,P138)</f>
        <v>762.775868473669</v>
      </c>
      <c r="Q263" s="216" t="n">
        <f aca="false">IF(ISNUMBER(Q138),Q138/IF_Util,Q138)</f>
        <v>762.775868473669</v>
      </c>
      <c r="R263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3" s="44" t="str">
        <f aca="false">IF(R263="—","—",IF(R263="A","基準輸入",IF(R263="B","情境、相對比較、反轉門檻","探索")))&amp;"；上限，不得作預測"</f>
        <v>情境、相對比較、反轉門檻；上限，不得作預測</v>
      </c>
      <c r="T263" s="30" t="s">
        <v>2792</v>
      </c>
      <c r="U263" s="44" t="str">
        <f aca="false">IF(V263=0,"—",LEFT(TEXT(V263,"0"),4)&amp;"-"&amp;MID(TEXT(V263,"0"),5,2)&amp;"-"&amp;RIGHT(TEXT(V263,"0"),2))</f>
        <v>2026-10-05</v>
      </c>
      <c r="V263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3" s="21" t="s">
        <v>2884</v>
      </c>
      <c r="X263" s="32" t="n">
        <f aca="false">IF(ISNUMBER(FIND("上限",S263)),1,0)</f>
        <v>1</v>
      </c>
      <c r="Y263" s="32" t="n">
        <v>1</v>
      </c>
    </row>
    <row r="264" customFormat="false" ht="15" hidden="false" customHeight="true" outlineLevel="0" collapsed="false">
      <c r="A264" s="44" t="s">
        <v>3072</v>
      </c>
      <c r="B264" s="30" t="s">
        <v>2048</v>
      </c>
      <c r="C264" s="216" t="n">
        <f aca="false">C138</f>
        <v>31.6301940795674</v>
      </c>
      <c r="D264" s="216" t="n">
        <f aca="false">D138</f>
        <v>31.6301940795674</v>
      </c>
      <c r="E264" s="216" t="n">
        <f aca="false">E138</f>
        <v>31.6301940795674</v>
      </c>
      <c r="F264" s="216" t="n">
        <f aca="false">F138</f>
        <v>138.281180921437</v>
      </c>
      <c r="G264" s="216" t="n">
        <f aca="false">G138</f>
        <v>138.281180921437</v>
      </c>
      <c r="H264" s="216" t="n">
        <f aca="false">H138</f>
        <v>138.281180921437</v>
      </c>
      <c r="I264" s="216" t="n">
        <f aca="false">I138</f>
        <v>182.365697673955</v>
      </c>
      <c r="J264" s="216" t="n">
        <f aca="false">J138</f>
        <v>182.365697673955</v>
      </c>
      <c r="K264" s="216" t="n">
        <f aca="false">K138</f>
        <v>182.365697673955</v>
      </c>
      <c r="L264" s="216" t="n">
        <f aca="false">L138</f>
        <v>323.432232686951</v>
      </c>
      <c r="M264" s="216" t="n">
        <f aca="false">M138</f>
        <v>323.432232686951</v>
      </c>
      <c r="N264" s="216" t="n">
        <f aca="false">N138</f>
        <v>323.432232686951</v>
      </c>
      <c r="O264" s="216" t="n">
        <f aca="false">O138</f>
        <v>457.665521084201</v>
      </c>
      <c r="P264" s="216" t="n">
        <f aca="false">P138</f>
        <v>457.665521084201</v>
      </c>
      <c r="Q264" s="216" t="n">
        <f aca="false">Q138</f>
        <v>457.665521084201</v>
      </c>
      <c r="R264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$477,Gov_Map!$AH$479:$AH$482,Gov_Map!$AH$510:$AH$518,Gov_Map!$AH$521:$AH$522,Gov_Map!$AH$574:$AH$578,Gov_Map!$AH$660)&gt;0,"B","A"))</f>
        <v>B</v>
      </c>
      <c r="S264" s="44" t="str">
        <f aca="false">IF(R264="—","—",IF(R264="A","基準輸入",IF(R264="B","情境、相對比較、反轉門檻","探索")))&amp;"；上限，不得作預測"</f>
        <v>情境、相對比較、反轉門檻；上限，不得作預測</v>
      </c>
      <c r="T264" s="30" t="s">
        <v>2817</v>
      </c>
      <c r="U264" s="44" t="str">
        <f aca="false">IF(V264=0,"—",LEFT(TEXT(V264,"0"),4)&amp;"-"&amp;MID(TEXT(V264,"0"),5,2)&amp;"-"&amp;RIGHT(TEXT(V264,"0"),2))</f>
        <v>2026-10-05</v>
      </c>
      <c r="V26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$477,Gov_Map!$AJ$479:$AJ$482,Gov_Map!$AJ$510:$AJ$518,Gov_Map!$AJ$521:$AJ$522,Gov_Map!$AJ$574:$AJ$578,Gov_Map!$AJ$660)</f>
        <v>20261005</v>
      </c>
      <c r="W264" s="21" t="s">
        <v>2884</v>
      </c>
      <c r="X264" s="32" t="n">
        <f aca="false">IF(ISNUMBER(FIND("上限",S264)),1,0)</f>
        <v>1</v>
      </c>
      <c r="Y264" s="32" t="n">
        <v>1</v>
      </c>
    </row>
    <row r="265" customFormat="false" ht="15" hidden="false" customHeight="true" outlineLevel="0" collapsed="false">
      <c r="A265" s="44" t="s">
        <v>3073</v>
      </c>
      <c r="B265" s="30" t="s">
        <v>2048</v>
      </c>
      <c r="C265" s="195" t="n">
        <f aca="false">IF(ISNUMBER(Theory_Rev_Prod!C46),Theory_Rev_Prod!C46*INDEX(B4_FrontRef,1,3)/1000000000,Theory_Rev_Prod!C46)</f>
        <v>22.8651189867913</v>
      </c>
      <c r="D265" s="195" t="n">
        <f aca="false">IF(ISNUMBER(Theory_Rev_Prod!D46),Theory_Rev_Prod!D46*INDEX(B4_FrontRef,1,3)/1000000000,Theory_Rev_Prod!D46)</f>
        <v>22.8651189867913</v>
      </c>
      <c r="E265" s="195" t="n">
        <f aca="false">IF(ISNUMBER(Theory_Rev_Prod!E46),Theory_Rev_Prod!E46*INDEX(B4_FrontRef,1,3)/1000000000,Theory_Rev_Prod!E46)</f>
        <v>22.8651189867913</v>
      </c>
      <c r="F265" s="195" t="n">
        <f aca="false">IF(ISNUMBER(Theory_Rev_Prod!F46),Theory_Rev_Prod!F46*INDEX(B4_FrontRef,1,3)/1000000000,Theory_Rev_Prod!F46)</f>
        <v>108.49583183607</v>
      </c>
      <c r="G265" s="195" t="n">
        <f aca="false">IF(ISNUMBER(Theory_Rev_Prod!G46),Theory_Rev_Prod!G46*INDEX(B4_FrontRef,1,3)/1000000000,Theory_Rev_Prod!G46)</f>
        <v>108.49583183607</v>
      </c>
      <c r="H265" s="195" t="n">
        <f aca="false">IF(ISNUMBER(Theory_Rev_Prod!H46),Theory_Rev_Prod!H46*INDEX(B4_FrontRef,1,3)/1000000000,Theory_Rev_Prod!H46)</f>
        <v>108.49583183607</v>
      </c>
      <c r="I265" s="195" t="n">
        <f aca="false">IF(ISNUMBER(Theory_Rev_Prod!I46),Theory_Rev_Prod!I46*INDEX(B4_FrontRef,1,3)/1000000000,Theory_Rev_Prod!I46)</f>
        <v>141.533830385461</v>
      </c>
      <c r="J265" s="195" t="n">
        <f aca="false">IF(ISNUMBER(Theory_Rev_Prod!J46),Theory_Rev_Prod!J46*INDEX(B4_FrontRef,1,3)/1000000000,Theory_Rev_Prod!J46)</f>
        <v>141.533830385461</v>
      </c>
      <c r="K265" s="195" t="n">
        <f aca="false">IF(ISNUMBER(Theory_Rev_Prod!K46),Theory_Rev_Prod!K46*INDEX(B4_FrontRef,1,3)/1000000000,Theory_Rev_Prod!K46)</f>
        <v>141.533830385461</v>
      </c>
      <c r="L265" s="195" t="n">
        <f aca="false">IF(ISNUMBER(Theory_Rev_Prod!L46),Theory_Rev_Prod!L46*INDEX(B4_FrontRef,1,3)/1000000000,Theory_Rev_Prod!L46)</f>
        <v>257.194104569756</v>
      </c>
      <c r="M265" s="195" t="n">
        <f aca="false">IF(ISNUMBER(Theory_Rev_Prod!M46),Theory_Rev_Prod!M46*INDEX(B4_FrontRef,1,3)/1000000000,Theory_Rev_Prod!M46)</f>
        <v>257.194104569756</v>
      </c>
      <c r="N265" s="195" t="n">
        <f aca="false">IF(ISNUMBER(Theory_Rev_Prod!N46),Theory_Rev_Prod!N46*INDEX(B4_FrontRef,1,3)/1000000000,Theory_Rev_Prod!N46)</f>
        <v>257.194104569756</v>
      </c>
      <c r="O265" s="195" t="n">
        <f aca="false">IF(ISNUMBER(Theory_Rev_Prod!O46),Theory_Rev_Prod!O46*INDEX(B4_FrontRef,1,3)/1000000000,Theory_Rev_Prod!O46)</f>
        <v>365.764598293256</v>
      </c>
      <c r="P265" s="195" t="n">
        <f aca="false">IF(ISNUMBER(Theory_Rev_Prod!P46),Theory_Rev_Prod!P46*INDEX(B4_FrontRef,1,3)/1000000000,Theory_Rev_Prod!P46)</f>
        <v>365.764598293256</v>
      </c>
      <c r="Q265" s="195" t="n">
        <f aca="false">IF(ISNUMBER(Theory_Rev_Prod!Q46),Theory_Rev_Prod!Q46*INDEX(B4_FrontRef,1,3)/1000000000,Theory_Rev_Prod!Q46)</f>
        <v>365.764598293256</v>
      </c>
      <c r="R265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,Gov_Map!$AH$660)&gt;0,"B","A"))</f>
        <v>B</v>
      </c>
      <c r="S265" s="44" t="str">
        <f aca="false">IF(R265="—","—",IF(R265="A","基準輸入",IF(R265="B","情境、相對比較、反轉門檻","探索")))&amp;"；上限，不得作預測"</f>
        <v>情境、相對比較、反轉門檻；上限，不得作預測</v>
      </c>
      <c r="T265" s="30" t="s">
        <v>3002</v>
      </c>
      <c r="U265" s="44" t="str">
        <f aca="false">IF(V265=0,"—",LEFT(TEXT(V265,"0"),4)&amp;"-"&amp;MID(TEXT(V265,"0"),5,2)&amp;"-"&amp;RIGHT(TEXT(V265,"0"),2))</f>
        <v>2026-10-05</v>
      </c>
      <c r="V26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,Gov_Map!$AJ$660)</f>
        <v>20261005</v>
      </c>
      <c r="W265" s="21" t="s">
        <v>3064</v>
      </c>
      <c r="X265" s="32" t="n">
        <f aca="false">IF(ISNUMBER(FIND("上限",S265)),1,0)</f>
        <v>1</v>
      </c>
      <c r="Y265" s="32" t="n">
        <v>1</v>
      </c>
    </row>
    <row r="266" customFormat="false" ht="15" hidden="false" customHeight="true" outlineLevel="0" collapsed="false">
      <c r="A266" s="44" t="s">
        <v>3074</v>
      </c>
      <c r="B266" s="30" t="s">
        <v>2048</v>
      </c>
      <c r="C266" s="216" t="n">
        <f aca="false">IF(ISNUMBER(C265),C265*CTL_PriceLife*CTL_Monetize,C265)</f>
        <v>22.8651189867913</v>
      </c>
      <c r="D266" s="216" t="n">
        <f aca="false">IF(ISNUMBER(D265),D265*CTL_PriceLife*CTL_Monetize,D265)</f>
        <v>22.8651189867913</v>
      </c>
      <c r="E266" s="216" t="n">
        <f aca="false">IF(ISNUMBER(E265),E265*CTL_PriceLife*CTL_Monetize,E265)</f>
        <v>22.8651189867913</v>
      </c>
      <c r="F266" s="216" t="n">
        <f aca="false">IF(ISNUMBER(F265),F265*CTL_PriceLife*CTL_Monetize,F265)</f>
        <v>108.49583183607</v>
      </c>
      <c r="G266" s="216" t="n">
        <f aca="false">IF(ISNUMBER(G265),G265*CTL_PriceLife*CTL_Monetize,G265)</f>
        <v>108.49583183607</v>
      </c>
      <c r="H266" s="216" t="n">
        <f aca="false">IF(ISNUMBER(H265),H265*CTL_PriceLife*CTL_Monetize,H265)</f>
        <v>108.49583183607</v>
      </c>
      <c r="I266" s="216" t="n">
        <f aca="false">IF(ISNUMBER(I265),I265*CTL_PriceLife*CTL_Monetize,I265)</f>
        <v>141.533830385461</v>
      </c>
      <c r="J266" s="216" t="n">
        <f aca="false">IF(ISNUMBER(J265),J265*CTL_PriceLife*CTL_Monetize,J265)</f>
        <v>141.533830385461</v>
      </c>
      <c r="K266" s="216" t="n">
        <f aca="false">IF(ISNUMBER(K265),K265*CTL_PriceLife*CTL_Monetize,K265)</f>
        <v>141.533830385461</v>
      </c>
      <c r="L266" s="216" t="n">
        <f aca="false">IF(ISNUMBER(L265),L265*CTL_PriceLife*CTL_Monetize,L265)</f>
        <v>257.194104569756</v>
      </c>
      <c r="M266" s="216" t="n">
        <f aca="false">IF(ISNUMBER(M265),M265*CTL_PriceLife*CTL_Monetize,M265)</f>
        <v>257.194104569756</v>
      </c>
      <c r="N266" s="216" t="n">
        <f aca="false">IF(ISNUMBER(N265),N265*CTL_PriceLife*CTL_Monetize,N265)</f>
        <v>257.194104569756</v>
      </c>
      <c r="O266" s="216" t="n">
        <f aca="false">IF(ISNUMBER(O265),O265*CTL_PriceLife*CTL_Monetize,O265)</f>
        <v>365.764598293256</v>
      </c>
      <c r="P266" s="216" t="n">
        <f aca="false">IF(ISNUMBER(P265),P265*CTL_PriceLife*CTL_Monetize,P265)</f>
        <v>365.764598293256</v>
      </c>
      <c r="Q266" s="216" t="n">
        <f aca="false">IF(ISNUMBER(Q265),Q265*CTL_PriceLife*CTL_Monetize,Q265)</f>
        <v>365.764598293256</v>
      </c>
      <c r="R266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$477,Gov_Map!$AH$479:$AH$482,Gov_Map!$AH$510:$AH$518,Gov_Map!$AH$521:$AH$522,Gov_Map!$AH$574:$AH$578,Gov_Map!$AH$596:$AH$598,Gov_Map!$AH$660)&gt;0,"B","A"))</f>
        <v>B</v>
      </c>
      <c r="S266" s="44" t="str">
        <f aca="false">IF(R266="—","—",IF(R266="A","基準輸入",IF(R266="B","情境、相對比較、反轉門檻","探索")))&amp;"；上限，不得作預測"</f>
        <v>情境、相對比較、反轉門檻；上限，不得作預測</v>
      </c>
      <c r="T266" s="30" t="s">
        <v>3014</v>
      </c>
      <c r="U266" s="44" t="str">
        <f aca="false">IF(V266=0,"—",LEFT(TEXT(V266,"0"),4)&amp;"-"&amp;MID(TEXT(V266,"0"),5,2)&amp;"-"&amp;RIGHT(TEXT(V266,"0"),2))</f>
        <v>2026-10-05</v>
      </c>
      <c r="V26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$477,Gov_Map!$AJ$479:$AJ$482,Gov_Map!$AJ$510:$AJ$518,Gov_Map!$AJ$521:$AJ$522,Gov_Map!$AJ$574:$AJ$578,Gov_Map!$AJ$596:$AJ$598,Gov_Map!$AJ$660)</f>
        <v>20261005</v>
      </c>
      <c r="W266" s="21" t="s">
        <v>3066</v>
      </c>
      <c r="X266" s="32" t="n">
        <f aca="false">IF(ISNUMBER(FIND("上限",S266)),1,0)</f>
        <v>1</v>
      </c>
      <c r="Y266" s="32" t="n">
        <v>1</v>
      </c>
    </row>
    <row r="267" customFormat="false" ht="15" hidden="false" customHeight="true" outlineLevel="0" collapsed="false">
      <c r="A267" s="9" t="s">
        <v>3075</v>
      </c>
    </row>
    <row r="268" customFormat="false" ht="15" hidden="false" customHeight="true" outlineLevel="0" collapsed="false">
      <c r="A268" s="44" t="s">
        <v>3076</v>
      </c>
      <c r="B268" s="30" t="s">
        <v>2048</v>
      </c>
      <c r="C268" s="216" t="n">
        <f aca="false">IF(ISNUMBER(C147),C147/IF_Util,C147)</f>
        <v>10.8884408204589</v>
      </c>
      <c r="D268" s="216" t="n">
        <f aca="false">IF(ISNUMBER(D147),D147/IF_Util,D147)</f>
        <v>10.8884408204589</v>
      </c>
      <c r="E268" s="216" t="n">
        <f aca="false">IF(ISNUMBER(E147),E147/IF_Util,E147)</f>
        <v>10.8884408204589</v>
      </c>
      <c r="F268" s="216" t="n">
        <f aca="false">IF(ISNUMBER(F147),F147/IF_Util,F147)</f>
        <v>47.5213435302896</v>
      </c>
      <c r="G268" s="216" t="n">
        <f aca="false">IF(ISNUMBER(G147),G147/IF_Util,G147)</f>
        <v>47.5213435302896</v>
      </c>
      <c r="H268" s="216" t="n">
        <f aca="false">IF(ISNUMBER(H147),H147/IF_Util,H147)</f>
        <v>47.5213435302896</v>
      </c>
      <c r="I268" s="216" t="n">
        <f aca="false">IF(ISNUMBER(I147),I147/IF_Util,I147)</f>
        <v>65.3521900051274</v>
      </c>
      <c r="J268" s="216" t="n">
        <f aca="false">IF(ISNUMBER(J147),J147/IF_Util,J147)</f>
        <v>65.3521900051274</v>
      </c>
      <c r="K268" s="216" t="n">
        <f aca="false">IF(ISNUMBER(K147),K147/IF_Util,K147)</f>
        <v>65.3521900051274</v>
      </c>
      <c r="L268" s="216" t="n">
        <f aca="false">IF(ISNUMBER(L147),L147/IF_Util,L147)</f>
        <v>107.470917939647</v>
      </c>
      <c r="M268" s="216" t="n">
        <f aca="false">IF(ISNUMBER(M147),M147/IF_Util,M147)</f>
        <v>107.470917939647</v>
      </c>
      <c r="N268" s="216" t="n">
        <f aca="false">IF(ISNUMBER(N147),N147/IF_Util,N147)</f>
        <v>107.470917939647</v>
      </c>
      <c r="O268" s="216" t="n">
        <f aca="false">IF(ISNUMBER(O147),O147/IF_Util,O147)</f>
        <v>149.248989999897</v>
      </c>
      <c r="P268" s="216" t="n">
        <f aca="false">IF(ISNUMBER(P147),P147/IF_Util,P147)</f>
        <v>149.248989999897</v>
      </c>
      <c r="Q268" s="216" t="n">
        <f aca="false">IF(ISNUMBER(Q147),Q147/IF_Util,Q147)</f>
        <v>149.248989999897</v>
      </c>
      <c r="R268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8" s="44" t="str">
        <f aca="false">IF(R268="—","—",IF(R268="A","基準輸入",IF(R268="B","情境、相對比較、反轉門檻","探索")))&amp;"；上限，不得作預測"</f>
        <v>情境、相對比較、反轉門檻；上限，不得作預測</v>
      </c>
      <c r="T268" s="30" t="s">
        <v>2792</v>
      </c>
      <c r="U268" s="44" t="str">
        <f aca="false">IF(V268=0,"—",LEFT(TEXT(V268,"0"),4)&amp;"-"&amp;MID(TEXT(V268,"0"),5,2)&amp;"-"&amp;RIGHT(TEXT(V268,"0"),2))</f>
        <v>2026-10-05</v>
      </c>
      <c r="V26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8" s="21" t="s">
        <v>2927</v>
      </c>
      <c r="X268" s="32" t="n">
        <f aca="false">IF(ISNUMBER(FIND("上限",S268)),1,0)</f>
        <v>1</v>
      </c>
      <c r="Y268" s="32" t="n">
        <v>1</v>
      </c>
    </row>
    <row r="269" customFormat="false" ht="15" hidden="false" customHeight="true" outlineLevel="0" collapsed="false">
      <c r="A269" s="44" t="s">
        <v>3077</v>
      </c>
      <c r="B269" s="30" t="s">
        <v>2048</v>
      </c>
      <c r="C269" s="216" t="n">
        <f aca="false">C147</f>
        <v>6.53306449227533</v>
      </c>
      <c r="D269" s="216" t="n">
        <f aca="false">D147</f>
        <v>6.53306449227533</v>
      </c>
      <c r="E269" s="216" t="n">
        <f aca="false">E147</f>
        <v>6.53306449227533</v>
      </c>
      <c r="F269" s="216" t="n">
        <f aca="false">F147</f>
        <v>28.5128061181738</v>
      </c>
      <c r="G269" s="216" t="n">
        <f aca="false">G147</f>
        <v>28.5128061181738</v>
      </c>
      <c r="H269" s="216" t="n">
        <f aca="false">H147</f>
        <v>28.5128061181738</v>
      </c>
      <c r="I269" s="216" t="n">
        <f aca="false">I147</f>
        <v>39.2113140030764</v>
      </c>
      <c r="J269" s="216" t="n">
        <f aca="false">J147</f>
        <v>39.2113140030764</v>
      </c>
      <c r="K269" s="216" t="n">
        <f aca="false">K147</f>
        <v>39.2113140030764</v>
      </c>
      <c r="L269" s="216" t="n">
        <f aca="false">L147</f>
        <v>64.4825507637884</v>
      </c>
      <c r="M269" s="216" t="n">
        <f aca="false">M147</f>
        <v>64.4825507637884</v>
      </c>
      <c r="N269" s="216" t="n">
        <f aca="false">N147</f>
        <v>64.4825507637884</v>
      </c>
      <c r="O269" s="216" t="n">
        <f aca="false">O147</f>
        <v>89.5493939999384</v>
      </c>
      <c r="P269" s="216" t="n">
        <f aca="false">P147</f>
        <v>89.5493939999384</v>
      </c>
      <c r="Q269" s="216" t="n">
        <f aca="false">Q147</f>
        <v>89.5493939999384</v>
      </c>
      <c r="R269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$660)&gt;0,"B","A"))</f>
        <v>B</v>
      </c>
      <c r="S269" s="44" t="str">
        <f aca="false">IF(R269="—","—",IF(R269="A","基準輸入",IF(R269="B","情境、相對比較、反轉門檻","探索")))&amp;"；上限，不得作預測"</f>
        <v>情境、相對比較、反轉門檻；上限，不得作預測</v>
      </c>
      <c r="T269" s="30" t="s">
        <v>2817</v>
      </c>
      <c r="U269" s="44" t="str">
        <f aca="false">IF(V269=0,"—",LEFT(TEXT(V269,"0"),4)&amp;"-"&amp;MID(TEXT(V269,"0"),5,2)&amp;"-"&amp;RIGHT(TEXT(V269,"0"),2))</f>
        <v>2026-10-05</v>
      </c>
      <c r="V26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$660)</f>
        <v>20261005</v>
      </c>
      <c r="W269" s="21" t="s">
        <v>2927</v>
      </c>
      <c r="X269" s="32" t="n">
        <f aca="false">IF(ISNUMBER(FIND("上限",S269)),1,0)</f>
        <v>1</v>
      </c>
      <c r="Y269" s="32" t="n">
        <v>1</v>
      </c>
    </row>
    <row r="270" customFormat="false" ht="15" hidden="false" customHeight="true" outlineLevel="0" collapsed="false">
      <c r="A270" s="44" t="s">
        <v>3078</v>
      </c>
      <c r="B270" s="30" t="s">
        <v>2048</v>
      </c>
      <c r="C270" s="195" t="n">
        <f aca="false">IF(Fleet_1GW_Prod!C18=1,(IF(ISNUMBER(Fleet_1GW_Prod!C21),Fleet_1GW_Prod!C21*INDEX(B4_FrontRef,1,1),0)+IF(ISNUMBER(Fleet_1GW_Prod!C24),Fleet_1GW_Prod!C24*INDEX(B4_FrontRef,1,2),0)+IF(ISNUMBER(Fleet_1GW_Prod!C27),Fleet_1GW_Prod!C27*INDEX(B4_FrontRef,1,3),0))/1000000000,"SLO 不可達")</f>
        <v>4.90586841123778</v>
      </c>
      <c r="D270" s="195" t="n">
        <f aca="false">IF(Fleet_1GW_Prod!D18=1,(IF(ISNUMBER(Fleet_1GW_Prod!D21),Fleet_1GW_Prod!D21*INDEX(B4_FrontRef,1,1),0)+IF(ISNUMBER(Fleet_1GW_Prod!D24),Fleet_1GW_Prod!D24*INDEX(B4_FrontRef,1,2),0)+IF(ISNUMBER(Fleet_1GW_Prod!D27),Fleet_1GW_Prod!D27*INDEX(B4_FrontRef,1,3),0))/1000000000,"SLO 不可達")</f>
        <v>4.90586841123778</v>
      </c>
      <c r="E270" s="195" t="n">
        <f aca="false">IF(Fleet_1GW_Prod!E18=1,(IF(ISNUMBER(Fleet_1GW_Prod!E21),Fleet_1GW_Prod!E21*INDEX(B4_FrontRef,1,1),0)+IF(ISNUMBER(Fleet_1GW_Prod!E24),Fleet_1GW_Prod!E24*INDEX(B4_FrontRef,1,2),0)+IF(ISNUMBER(Fleet_1GW_Prod!E27),Fleet_1GW_Prod!E27*INDEX(B4_FrontRef,1,3),0))/1000000000,"SLO 不可達")</f>
        <v>4.90586841123778</v>
      </c>
      <c r="F270" s="195" t="n">
        <f aca="false">IF(Fleet_1GW_Prod!F18=1,(IF(ISNUMBER(Fleet_1GW_Prod!F21),Fleet_1GW_Prod!F21*INDEX(B4_FrontRef,1,1),0)+IF(ISNUMBER(Fleet_1GW_Prod!F24),Fleet_1GW_Prod!F24*INDEX(B4_FrontRef,1,2),0)+IF(ISNUMBER(Fleet_1GW_Prod!F27),Fleet_1GW_Prod!F27*INDEX(B4_FrontRef,1,3),0))/1000000000,"SLO 不可達")</f>
        <v>22.7560968924507</v>
      </c>
      <c r="G270" s="195" t="n">
        <f aca="false">IF(Fleet_1GW_Prod!G18=1,(IF(ISNUMBER(Fleet_1GW_Prod!G21),Fleet_1GW_Prod!G21*INDEX(B4_FrontRef,1,1),0)+IF(ISNUMBER(Fleet_1GW_Prod!G24),Fleet_1GW_Prod!G24*INDEX(B4_FrontRef,1,2),0)+IF(ISNUMBER(Fleet_1GW_Prod!G27),Fleet_1GW_Prod!G27*INDEX(B4_FrontRef,1,3),0))/1000000000,"SLO 不可達")</f>
        <v>22.7560968924507</v>
      </c>
      <c r="H270" s="195" t="n">
        <f aca="false">IF(Fleet_1GW_Prod!H18=1,(IF(ISNUMBER(Fleet_1GW_Prod!H21),Fleet_1GW_Prod!H21*INDEX(B4_FrontRef,1,1),0)+IF(ISNUMBER(Fleet_1GW_Prod!H24),Fleet_1GW_Prod!H24*INDEX(B4_FrontRef,1,2),0)+IF(ISNUMBER(Fleet_1GW_Prod!H27),Fleet_1GW_Prod!H27*INDEX(B4_FrontRef,1,3),0))/1000000000,"SLO 不可達")</f>
        <v>22.7560968924507</v>
      </c>
      <c r="I270" s="195" t="n">
        <f aca="false">IF(Fleet_1GW_Prod!I18=1,(IF(ISNUMBER(Fleet_1GW_Prod!I21),Fleet_1GW_Prod!I21*INDEX(B4_FrontRef,1,1),0)+IF(ISNUMBER(Fleet_1GW_Prod!I24),Fleet_1GW_Prod!I24*INDEX(B4_FrontRef,1,2),0)+IF(ISNUMBER(Fleet_1GW_Prod!I27),Fleet_1GW_Prod!I27*INDEX(B4_FrontRef,1,3),0))/1000000000,"SLO 不可達")</f>
        <v>31.0612609031746</v>
      </c>
      <c r="J270" s="195" t="n">
        <f aca="false">IF(Fleet_1GW_Prod!J18=1,(IF(ISNUMBER(Fleet_1GW_Prod!J21),Fleet_1GW_Prod!J21*INDEX(B4_FrontRef,1,1),0)+IF(ISNUMBER(Fleet_1GW_Prod!J24),Fleet_1GW_Prod!J24*INDEX(B4_FrontRef,1,2),0)+IF(ISNUMBER(Fleet_1GW_Prod!J27),Fleet_1GW_Prod!J27*INDEX(B4_FrontRef,1,3),0))/1000000000,"SLO 不可達")</f>
        <v>31.0612609031746</v>
      </c>
      <c r="K270" s="195" t="n">
        <f aca="false">IF(Fleet_1GW_Prod!K18=1,(IF(ISNUMBER(Fleet_1GW_Prod!K21),Fleet_1GW_Prod!K21*INDEX(B4_FrontRef,1,1),0)+IF(ISNUMBER(Fleet_1GW_Prod!K24),Fleet_1GW_Prod!K24*INDEX(B4_FrontRef,1,2),0)+IF(ISNUMBER(Fleet_1GW_Prod!K27),Fleet_1GW_Prod!K27*INDEX(B4_FrontRef,1,3),0))/1000000000,"SLO 不可達")</f>
        <v>31.0612609031746</v>
      </c>
      <c r="L270" s="195" t="n">
        <f aca="false">IF(Fleet_1GW_Prod!L18=1,(IF(ISNUMBER(Fleet_1GW_Prod!L21),Fleet_1GW_Prod!L21*INDEX(B4_FrontRef,1,1),0)+IF(ISNUMBER(Fleet_1GW_Prod!L24),Fleet_1GW_Prod!L24*INDEX(B4_FrontRef,1,2),0)+IF(ISNUMBER(Fleet_1GW_Prod!L27),Fleet_1GW_Prod!L27*INDEX(B4_FrontRef,1,3),0))/1000000000,"SLO 不可達")</f>
        <v>51.9612251850674</v>
      </c>
      <c r="M270" s="195" t="n">
        <f aca="false">IF(Fleet_1GW_Prod!M18=1,(IF(ISNUMBER(Fleet_1GW_Prod!M21),Fleet_1GW_Prod!M21*INDEX(B4_FrontRef,1,1),0)+IF(ISNUMBER(Fleet_1GW_Prod!M24),Fleet_1GW_Prod!M24*INDEX(B4_FrontRef,1,2),0)+IF(ISNUMBER(Fleet_1GW_Prod!M27),Fleet_1GW_Prod!M27*INDEX(B4_FrontRef,1,3),0))/1000000000,"SLO 不可達")</f>
        <v>51.9612251850674</v>
      </c>
      <c r="N270" s="195" t="n">
        <f aca="false">IF(Fleet_1GW_Prod!N18=1,(IF(ISNUMBER(Fleet_1GW_Prod!N21),Fleet_1GW_Prod!N21*INDEX(B4_FrontRef,1,1),0)+IF(ISNUMBER(Fleet_1GW_Prod!N24),Fleet_1GW_Prod!N24*INDEX(B4_FrontRef,1,2),0)+IF(ISNUMBER(Fleet_1GW_Prod!N27),Fleet_1GW_Prod!N27*INDEX(B4_FrontRef,1,3),0))/1000000000,"SLO 不可達")</f>
        <v>51.9612251850674</v>
      </c>
      <c r="O270" s="195" t="n">
        <f aca="false">IF(Fleet_1GW_Prod!O18=1,(IF(ISNUMBER(Fleet_1GW_Prod!O21),Fleet_1GW_Prod!O21*INDEX(B4_FrontRef,1,1),0)+IF(ISNUMBER(Fleet_1GW_Prod!O24),Fleet_1GW_Prod!O24*INDEX(B4_FrontRef,1,2),0)+IF(ISNUMBER(Fleet_1GW_Prod!O27),Fleet_1GW_Prod!O27*INDEX(B4_FrontRef,1,3),0))/1000000000,"SLO 不可達")</f>
        <v>72.4062082070211</v>
      </c>
      <c r="P270" s="195" t="n">
        <f aca="false">IF(Fleet_1GW_Prod!P18=1,(IF(ISNUMBER(Fleet_1GW_Prod!P21),Fleet_1GW_Prod!P21*INDEX(B4_FrontRef,1,1),0)+IF(ISNUMBER(Fleet_1GW_Prod!P24),Fleet_1GW_Prod!P24*INDEX(B4_FrontRef,1,2),0)+IF(ISNUMBER(Fleet_1GW_Prod!P27),Fleet_1GW_Prod!P27*INDEX(B4_FrontRef,1,3),0))/1000000000,"SLO 不可達")</f>
        <v>72.4062082070211</v>
      </c>
      <c r="Q270" s="195" t="n">
        <f aca="false">IF(Fleet_1GW_Prod!Q18=1,(IF(ISNUMBER(Fleet_1GW_Prod!Q21),Fleet_1GW_Prod!Q21*INDEX(B4_FrontRef,1,1),0)+IF(ISNUMBER(Fleet_1GW_Prod!Q24),Fleet_1GW_Prod!Q24*INDEX(B4_FrontRef,1,2),0)+IF(ISNUMBER(Fleet_1GW_Prod!Q27),Fleet_1GW_Prod!Q27*INDEX(B4_FrontRef,1,3),0))/1000000000,"SLO 不可達")</f>
        <v>72.4062082070211</v>
      </c>
      <c r="R270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,Gov_Map!$AH$660)&gt;0,"B","A"))</f>
        <v>B</v>
      </c>
      <c r="S270" s="44" t="str">
        <f aca="false">IF(R270="—","—",IF(R270="A","基準輸入",IF(R270="B","情境、相對比較、反轉門檻","探索")))&amp;"；上限，不得作預測"</f>
        <v>情境、相對比較、反轉門檻；上限，不得作預測</v>
      </c>
      <c r="T270" s="30" t="s">
        <v>3002</v>
      </c>
      <c r="U270" s="44" t="str">
        <f aca="false">IF(V270=0,"—",LEFT(TEXT(V270,"0"),4)&amp;"-"&amp;MID(TEXT(V270,"0"),5,2)&amp;"-"&amp;RIGHT(TEXT(V270,"0"),2))</f>
        <v>2026-10-05</v>
      </c>
      <c r="V27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,Gov_Map!$AJ$660)</f>
        <v>20261005</v>
      </c>
      <c r="W270" s="21" t="s">
        <v>3079</v>
      </c>
      <c r="X270" s="32" t="n">
        <f aca="false">IF(ISNUMBER(FIND("上限",S270)),1,0)</f>
        <v>1</v>
      </c>
      <c r="Y270" s="32" t="n">
        <v>1</v>
      </c>
    </row>
    <row r="271" customFormat="false" ht="15" hidden="false" customHeight="true" outlineLevel="0" collapsed="false">
      <c r="A271" s="44" t="s">
        <v>3080</v>
      </c>
      <c r="B271" s="30" t="s">
        <v>2048</v>
      </c>
      <c r="C271" s="216" t="n">
        <f aca="false">IF(ISNUMBER(C270),C270*CTL_PriceLife*CTL_Monetize,C270)</f>
        <v>4.90586841123778</v>
      </c>
      <c r="D271" s="216" t="n">
        <f aca="false">IF(ISNUMBER(D270),D270*CTL_PriceLife*CTL_Monetize,D270)</f>
        <v>4.90586841123778</v>
      </c>
      <c r="E271" s="216" t="n">
        <f aca="false">IF(ISNUMBER(E270),E270*CTL_PriceLife*CTL_Monetize,E270)</f>
        <v>4.90586841123778</v>
      </c>
      <c r="F271" s="216" t="n">
        <f aca="false">IF(ISNUMBER(F270),F270*CTL_PriceLife*CTL_Monetize,F270)</f>
        <v>22.7560968924507</v>
      </c>
      <c r="G271" s="216" t="n">
        <f aca="false">IF(ISNUMBER(G270),G270*CTL_PriceLife*CTL_Monetize,G270)</f>
        <v>22.7560968924507</v>
      </c>
      <c r="H271" s="216" t="n">
        <f aca="false">IF(ISNUMBER(H270),H270*CTL_PriceLife*CTL_Monetize,H270)</f>
        <v>22.7560968924507</v>
      </c>
      <c r="I271" s="216" t="n">
        <f aca="false">IF(ISNUMBER(I270),I270*CTL_PriceLife*CTL_Monetize,I270)</f>
        <v>31.0612609031746</v>
      </c>
      <c r="J271" s="216" t="n">
        <f aca="false">IF(ISNUMBER(J270),J270*CTL_PriceLife*CTL_Monetize,J270)</f>
        <v>31.0612609031746</v>
      </c>
      <c r="K271" s="216" t="n">
        <f aca="false">IF(ISNUMBER(K270),K270*CTL_PriceLife*CTL_Monetize,K270)</f>
        <v>31.0612609031746</v>
      </c>
      <c r="L271" s="216" t="n">
        <f aca="false">IF(ISNUMBER(L270),L270*CTL_PriceLife*CTL_Monetize,L270)</f>
        <v>51.9612251850674</v>
      </c>
      <c r="M271" s="216" t="n">
        <f aca="false">IF(ISNUMBER(M270),M270*CTL_PriceLife*CTL_Monetize,M270)</f>
        <v>51.9612251850674</v>
      </c>
      <c r="N271" s="216" t="n">
        <f aca="false">IF(ISNUMBER(N270),N270*CTL_PriceLife*CTL_Monetize,N270)</f>
        <v>51.9612251850674</v>
      </c>
      <c r="O271" s="216" t="n">
        <f aca="false">IF(ISNUMBER(O270),O270*CTL_PriceLife*CTL_Monetize,O270)</f>
        <v>72.4062082070211</v>
      </c>
      <c r="P271" s="216" t="n">
        <f aca="false">IF(ISNUMBER(P270),P270*CTL_PriceLife*CTL_Monetize,P270)</f>
        <v>72.4062082070211</v>
      </c>
      <c r="Q271" s="216" t="n">
        <f aca="false">IF(ISNUMBER(Q270),Q270*CTL_PriceLife*CTL_Monetize,Q270)</f>
        <v>72.4062082070211</v>
      </c>
      <c r="R271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$596:$AG$598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$596:$AH$598,Gov_Map!$AH$660)&gt;0,"B","A"))</f>
        <v>B</v>
      </c>
      <c r="S271" s="44" t="str">
        <f aca="false">IF(R271="—","—",IF(R271="A","基準輸入",IF(R271="B","情境、相對比較、反轉門檻","探索")))&amp;"；上限，不得作預測"</f>
        <v>情境、相對比較、反轉門檻；上限，不得作預測</v>
      </c>
      <c r="T271" s="30" t="s">
        <v>3014</v>
      </c>
      <c r="U271" s="44" t="str">
        <f aca="false">IF(V271=0,"—",LEFT(TEXT(V271,"0"),4)&amp;"-"&amp;MID(TEXT(V271,"0"),5,2)&amp;"-"&amp;RIGHT(TEXT(V271,"0"),2))</f>
        <v>2026-10-05</v>
      </c>
      <c r="V27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$596:$AJ$598,Gov_Map!$AJ$660)</f>
        <v>20261005</v>
      </c>
      <c r="W271" s="21" t="s">
        <v>3081</v>
      </c>
      <c r="X271" s="32" t="n">
        <f aca="false">IF(ISNUMBER(FIND("上限",S271)),1,0)</f>
        <v>1</v>
      </c>
      <c r="Y271" s="32" t="n">
        <v>1</v>
      </c>
    </row>
    <row r="272" customFormat="false" ht="15" hidden="false" customHeight="true" outlineLevel="0" collapsed="false">
      <c r="A272" s="9" t="s">
        <v>3082</v>
      </c>
    </row>
    <row r="273" customFormat="false" ht="15" hidden="false" customHeight="true" outlineLevel="0" collapsed="false">
      <c r="A273" s="44" t="s">
        <v>3083</v>
      </c>
      <c r="B273" s="30" t="s">
        <v>931</v>
      </c>
      <c r="C273" s="56" t="n">
        <f aca="false">C21</f>
        <v>112228240510.472</v>
      </c>
      <c r="D273" s="56" t="n">
        <f aca="false">D21</f>
        <v>112228240510.472</v>
      </c>
      <c r="E273" s="56" t="n">
        <f aca="false">E21</f>
        <v>112228240510.472</v>
      </c>
      <c r="F273" s="56" t="n">
        <f aca="false">F21</f>
        <v>496729138259.007</v>
      </c>
      <c r="G273" s="56" t="n">
        <f aca="false">G21</f>
        <v>496729138259.007</v>
      </c>
      <c r="H273" s="56" t="n">
        <f aca="false">H21</f>
        <v>496729138259.007</v>
      </c>
      <c r="I273" s="56" t="n">
        <f aca="false">I21</f>
        <v>723176042011.176</v>
      </c>
      <c r="J273" s="56" t="n">
        <f aca="false">J21</f>
        <v>723176042011.176</v>
      </c>
      <c r="K273" s="56" t="n">
        <f aca="false">K21</f>
        <v>723176042011.176</v>
      </c>
      <c r="L273" s="56" t="n">
        <f aca="false">L21</f>
        <v>1043267705667.06</v>
      </c>
      <c r="M273" s="56" t="n">
        <f aca="false">M21</f>
        <v>1043267705667.06</v>
      </c>
      <c r="N273" s="56" t="n">
        <f aca="false">N21</f>
        <v>1043267705667.06</v>
      </c>
      <c r="O273" s="56" t="n">
        <f aca="false">O21</f>
        <v>1404587982526.55</v>
      </c>
      <c r="P273" s="56" t="n">
        <f aca="false">P21</f>
        <v>1404587982526.55</v>
      </c>
      <c r="Q273" s="56" t="n">
        <f aca="false">Q21</f>
        <v>1404587982526.55</v>
      </c>
      <c r="R273" s="184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3" s="44" t="str">
        <f aca="false">IF(R273="—","—",IF(R273="A","基準輸入",IF(R273="B","情境、相對比較、反轉門檻","探索")))&amp;"；上限，不得作預測"</f>
        <v>情境、相對比較、反轉門檻；上限，不得作預測</v>
      </c>
      <c r="T273" s="30" t="s">
        <v>2792</v>
      </c>
      <c r="U273" s="44" t="str">
        <f aca="false">IF(V273=0,"—",LEFT(TEXT(V273,"0"),4)&amp;"-"&amp;MID(TEXT(V273,"0"),5,2)&amp;"-"&amp;RIGHT(TEXT(V273,"0"),2))</f>
        <v>2026-10-05</v>
      </c>
      <c r="V27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3" s="21" t="s">
        <v>2795</v>
      </c>
      <c r="X273" s="32" t="n">
        <f aca="false">IF(ISNUMBER(FIND("上限",S273)),1,0)</f>
        <v>1</v>
      </c>
      <c r="Y273" s="32" t="n">
        <v>1</v>
      </c>
    </row>
    <row r="274" customFormat="false" ht="15" hidden="false" customHeight="true" outlineLevel="0" collapsed="false">
      <c r="A274" s="44" t="s">
        <v>3084</v>
      </c>
      <c r="B274" s="30" t="s">
        <v>931</v>
      </c>
      <c r="C274" s="56" t="n">
        <f aca="false">IF(ISNUMBER(C21),C21*IF_Util,C21)</f>
        <v>67336944306.2829</v>
      </c>
      <c r="D274" s="56" t="n">
        <f aca="false">IF(ISNUMBER(D21),D21*IF_Util,D21)</f>
        <v>67336944306.2829</v>
      </c>
      <c r="E274" s="56" t="n">
        <f aca="false">IF(ISNUMBER(E21),E21*IF_Util,E21)</f>
        <v>67336944306.2829</v>
      </c>
      <c r="F274" s="56" t="n">
        <f aca="false">IF(ISNUMBER(F21),F21*IF_Util,F21)</f>
        <v>298037482955.404</v>
      </c>
      <c r="G274" s="56" t="n">
        <f aca="false">IF(ISNUMBER(G21),G21*IF_Util,G21)</f>
        <v>298037482955.404</v>
      </c>
      <c r="H274" s="56" t="n">
        <f aca="false">IF(ISNUMBER(H21),H21*IF_Util,H21)</f>
        <v>298037482955.404</v>
      </c>
      <c r="I274" s="56" t="n">
        <f aca="false">IF(ISNUMBER(I21),I21*IF_Util,I21)</f>
        <v>433905625206.705</v>
      </c>
      <c r="J274" s="56" t="n">
        <f aca="false">IF(ISNUMBER(J21),J21*IF_Util,J21)</f>
        <v>433905625206.705</v>
      </c>
      <c r="K274" s="56" t="n">
        <f aca="false">IF(ISNUMBER(K21),K21*IF_Util,K21)</f>
        <v>433905625206.705</v>
      </c>
      <c r="L274" s="56" t="n">
        <f aca="false">IF(ISNUMBER(L21),L21*IF_Util,L21)</f>
        <v>625960623400.238</v>
      </c>
      <c r="M274" s="56" t="n">
        <f aca="false">IF(ISNUMBER(M21),M21*IF_Util,M21)</f>
        <v>625960623400.238</v>
      </c>
      <c r="N274" s="56" t="n">
        <f aca="false">IF(ISNUMBER(N21),N21*IF_Util,N21)</f>
        <v>625960623400.238</v>
      </c>
      <c r="O274" s="56" t="n">
        <f aca="false">IF(ISNUMBER(O21),O21*IF_Util,O21)</f>
        <v>842752789515.931</v>
      </c>
      <c r="P274" s="56" t="n">
        <f aca="false">IF(ISNUMBER(P21),P21*IF_Util,P21)</f>
        <v>842752789515.931</v>
      </c>
      <c r="Q274" s="56" t="n">
        <f aca="false">IF(ISNUMBER(Q21),Q21*IF_Util,Q21)</f>
        <v>842752789515.931</v>
      </c>
      <c r="R274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4" s="44" t="str">
        <f aca="false">IF(R274="—","—",IF(R274="A","基準輸入",IF(R274="B","情境、相對比較、反轉門檻","探索")))</f>
        <v>情境、相對比較、反轉門檻</v>
      </c>
      <c r="T274" s="30" t="s">
        <v>2817</v>
      </c>
      <c r="U274" s="44" t="str">
        <f aca="false">IF(V274=0,"—",LEFT(TEXT(V274,"0"),4)&amp;"-"&amp;MID(TEXT(V274,"0"),5,2)&amp;"-"&amp;RIGHT(TEXT(V274,"0"),2))</f>
        <v>2026-10-05</v>
      </c>
      <c r="V27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4" s="21" t="s">
        <v>3085</v>
      </c>
      <c r="X274" s="32" t="n">
        <f aca="false">IF(ISNUMBER(FIND("上限",S274)),1,0)</f>
        <v>0</v>
      </c>
      <c r="Y274" s="32" t="n">
        <v>0</v>
      </c>
    </row>
    <row r="275" customFormat="false" ht="15" hidden="false" customHeight="true" outlineLevel="0" collapsed="false">
      <c r="A275" s="44" t="s">
        <v>3086</v>
      </c>
      <c r="B275" s="30" t="s">
        <v>931</v>
      </c>
      <c r="C275" s="49" t="n">
        <f aca="false">Theory_Rev_Prod!C10</f>
        <v>51844785476.8411</v>
      </c>
      <c r="D275" s="49" t="n">
        <f aca="false">Theory_Rev_Prod!D10</f>
        <v>51844785476.8411</v>
      </c>
      <c r="E275" s="49" t="n">
        <f aca="false">Theory_Rev_Prod!E10</f>
        <v>51844785476.8411</v>
      </c>
      <c r="F275" s="49" t="n">
        <f aca="false">Theory_Rev_Prod!F10</f>
        <v>240159699157.875</v>
      </c>
      <c r="G275" s="49" t="n">
        <f aca="false">Theory_Rev_Prod!G10</f>
        <v>240159699157.875</v>
      </c>
      <c r="H275" s="49" t="n">
        <f aca="false">Theory_Rev_Prod!H10</f>
        <v>240159699157.875</v>
      </c>
      <c r="I275" s="49" t="n">
        <f aca="false">Theory_Rev_Prod!I10</f>
        <v>349642747547.109</v>
      </c>
      <c r="J275" s="49" t="n">
        <f aca="false">Theory_Rev_Prod!J10</f>
        <v>349642747547.109</v>
      </c>
      <c r="K275" s="49" t="n">
        <f aca="false">Theory_Rev_Prod!K10</f>
        <v>349642747547.109</v>
      </c>
      <c r="L275" s="49" t="n">
        <f aca="false">Theory_Rev_Prod!L10</f>
        <v>505589443256.328</v>
      </c>
      <c r="M275" s="49" t="n">
        <f aca="false">Theory_Rev_Prod!M10</f>
        <v>505589443256.328</v>
      </c>
      <c r="N275" s="49" t="n">
        <f aca="false">Theory_Rev_Prod!N10</f>
        <v>505589443256.328</v>
      </c>
      <c r="O275" s="49" t="n">
        <f aca="false">Theory_Rev_Prod!O10</f>
        <v>681106994257.583</v>
      </c>
      <c r="P275" s="49" t="n">
        <f aca="false">Theory_Rev_Prod!P10</f>
        <v>681106994257.583</v>
      </c>
      <c r="Q275" s="49" t="n">
        <f aca="false">Theory_Rev_Prod!Q10</f>
        <v>681106994257.583</v>
      </c>
      <c r="R275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5" s="44" t="str">
        <f aca="false">IF(R275="—","—",IF(R275="A","基準輸入",IF(R275="B","情境、相對比較、反轉門檻","探索")))</f>
        <v>情境、相對比較、反轉門檻</v>
      </c>
      <c r="T275" s="30" t="s">
        <v>3002</v>
      </c>
      <c r="U275" s="44" t="str">
        <f aca="false">IF(V275=0,"—",LEFT(TEXT(V275,"0"),4)&amp;"-"&amp;MID(TEXT(V275,"0"),5,2)&amp;"-"&amp;RIGHT(TEXT(V275,"0"),2))</f>
        <v>2026-10-05</v>
      </c>
      <c r="V27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5" s="21" t="s">
        <v>3087</v>
      </c>
      <c r="X275" s="32" t="n">
        <f aca="false">IF(ISNUMBER(FIND("上限",S275)),1,0)</f>
        <v>0</v>
      </c>
      <c r="Y275" s="32" t="n">
        <v>0</v>
      </c>
    </row>
    <row r="276" customFormat="false" ht="15" hidden="false" customHeight="true" outlineLevel="0" collapsed="false">
      <c r="A276" s="44" t="s">
        <v>3088</v>
      </c>
      <c r="B276" s="30" t="s">
        <v>931</v>
      </c>
      <c r="C276" s="56" t="n">
        <f aca="false">IF(ISNUMBER(C275),C275*1,C275)</f>
        <v>51844785476.8411</v>
      </c>
      <c r="D276" s="56" t="n">
        <f aca="false">IF(ISNUMBER(D275),D275*1,D275)</f>
        <v>51844785476.8411</v>
      </c>
      <c r="E276" s="56" t="n">
        <f aca="false">IF(ISNUMBER(E275),E275*1,E275)</f>
        <v>51844785476.8411</v>
      </c>
      <c r="F276" s="56" t="n">
        <f aca="false">IF(ISNUMBER(F275),F275*1,F275)</f>
        <v>240159699157.875</v>
      </c>
      <c r="G276" s="56" t="n">
        <f aca="false">IF(ISNUMBER(G275),G275*1,G275)</f>
        <v>240159699157.875</v>
      </c>
      <c r="H276" s="56" t="n">
        <f aca="false">IF(ISNUMBER(H275),H275*1,H275)</f>
        <v>240159699157.875</v>
      </c>
      <c r="I276" s="56" t="n">
        <f aca="false">IF(ISNUMBER(I275),I275*1,I275)</f>
        <v>349642747547.109</v>
      </c>
      <c r="J276" s="56" t="n">
        <f aca="false">IF(ISNUMBER(J275),J275*1,J275)</f>
        <v>349642747547.109</v>
      </c>
      <c r="K276" s="56" t="n">
        <f aca="false">IF(ISNUMBER(K275),K275*1,K275)</f>
        <v>349642747547.109</v>
      </c>
      <c r="L276" s="56" t="n">
        <f aca="false">IF(ISNUMBER(L275),L275*1,L275)</f>
        <v>505589443256.328</v>
      </c>
      <c r="M276" s="56" t="n">
        <f aca="false">IF(ISNUMBER(M275),M275*1,M275)</f>
        <v>505589443256.328</v>
      </c>
      <c r="N276" s="56" t="n">
        <f aca="false">IF(ISNUMBER(N275),N275*1,N275)</f>
        <v>505589443256.328</v>
      </c>
      <c r="O276" s="56" t="n">
        <f aca="false">IF(ISNUMBER(O275),O275*1,O275)</f>
        <v>681106994257.583</v>
      </c>
      <c r="P276" s="56" t="n">
        <f aca="false">IF(ISNUMBER(P275),P275*1,P275)</f>
        <v>681106994257.583</v>
      </c>
      <c r="Q276" s="56" t="n">
        <f aca="false">IF(ISNUMBER(Q275),Q275*1,Q275)</f>
        <v>681106994257.583</v>
      </c>
      <c r="R276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76" s="44" t="str">
        <f aca="false">IF(R276="—","—",IF(R276="A","基準輸入",IF(R276="B","情境、相對比較、反轉門檻","探索")))</f>
        <v>情境、相對比較、反轉門檻</v>
      </c>
      <c r="T276" s="30" t="s">
        <v>3014</v>
      </c>
      <c r="U276" s="44" t="str">
        <f aca="false">IF(V276=0,"—",LEFT(TEXT(V276,"0"),4)&amp;"-"&amp;MID(TEXT(V276,"0"),5,2)&amp;"-"&amp;RIGHT(TEXT(V276,"0"),2))</f>
        <v>2026-10-05</v>
      </c>
      <c r="V27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76" s="21" t="s">
        <v>3087</v>
      </c>
      <c r="X276" s="32" t="n">
        <f aca="false">IF(ISNUMBER(FIND("上限",S276)),1,0)</f>
        <v>0</v>
      </c>
      <c r="Y276" s="32" t="n">
        <v>0</v>
      </c>
    </row>
    <row r="277" customFormat="false" ht="15" hidden="false" customHeight="true" outlineLevel="0" collapsed="false">
      <c r="A277" s="9" t="s">
        <v>3082</v>
      </c>
    </row>
    <row r="278" customFormat="false" ht="15" hidden="false" customHeight="true" outlineLevel="0" collapsed="false">
      <c r="A278" s="44" t="s">
        <v>3089</v>
      </c>
      <c r="B278" s="30" t="s">
        <v>931</v>
      </c>
      <c r="C278" s="56" t="n">
        <f aca="false">C31</f>
        <v>33634916325.118</v>
      </c>
      <c r="D278" s="56" t="n">
        <f aca="false">D31</f>
        <v>33634916325.118</v>
      </c>
      <c r="E278" s="56" t="n">
        <f aca="false">E31</f>
        <v>33634916325.118</v>
      </c>
      <c r="F278" s="56" t="n">
        <f aca="false">F31</f>
        <v>145846430710.54</v>
      </c>
      <c r="G278" s="56" t="n">
        <f aca="false">G31</f>
        <v>145846430710.54</v>
      </c>
      <c r="H278" s="56" t="n">
        <f aca="false">H31</f>
        <v>145846430710.54</v>
      </c>
      <c r="I278" s="56" t="n">
        <f aca="false">I31</f>
        <v>212334321421.888</v>
      </c>
      <c r="J278" s="56" t="n">
        <f aca="false">J31</f>
        <v>212334321421.888</v>
      </c>
      <c r="K278" s="56" t="n">
        <f aca="false">K31</f>
        <v>212334321421.888</v>
      </c>
      <c r="L278" s="56" t="n">
        <f aca="false">L31</f>
        <v>318984897819.054</v>
      </c>
      <c r="M278" s="56" t="n">
        <f aca="false">M31</f>
        <v>318984897819.054</v>
      </c>
      <c r="N278" s="56" t="n">
        <f aca="false">N31</f>
        <v>318984897819.054</v>
      </c>
      <c r="O278" s="56" t="n">
        <f aca="false">O31</f>
        <v>434380455314.928</v>
      </c>
      <c r="P278" s="56" t="n">
        <f aca="false">P31</f>
        <v>434380455314.928</v>
      </c>
      <c r="Q278" s="56" t="n">
        <f aca="false">Q31</f>
        <v>434380455314.928</v>
      </c>
      <c r="R278" s="184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78" s="44" t="str">
        <f aca="false">IF(R278="—","—",IF(R278="A","基準輸入",IF(R278="B","情境、相對比較、反轉門檻","探索")))&amp;"；上限，不得作預測"</f>
        <v>情境、相對比較、反轉門檻；上限，不得作預測</v>
      </c>
      <c r="T278" s="30" t="s">
        <v>2792</v>
      </c>
      <c r="U278" s="44" t="str">
        <f aca="false">IF(V278=0,"—",LEFT(TEXT(V278,"0"),4)&amp;"-"&amp;MID(TEXT(V278,"0"),5,2)&amp;"-"&amp;RIGHT(TEXT(V278,"0"),2))</f>
        <v>2026-10-05</v>
      </c>
      <c r="V278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78" s="21" t="s">
        <v>2795</v>
      </c>
      <c r="X278" s="32" t="n">
        <f aca="false">IF(ISNUMBER(FIND("上限",S278)),1,0)</f>
        <v>1</v>
      </c>
      <c r="Y278" s="32" t="n">
        <v>1</v>
      </c>
    </row>
    <row r="279" customFormat="false" ht="15" hidden="false" customHeight="true" outlineLevel="0" collapsed="false">
      <c r="A279" s="44" t="s">
        <v>3090</v>
      </c>
      <c r="B279" s="30" t="s">
        <v>931</v>
      </c>
      <c r="C279" s="56" t="n">
        <f aca="false">IF(ISNUMBER(C31),C31*IF_Util,C31)</f>
        <v>20180949795.0708</v>
      </c>
      <c r="D279" s="56" t="n">
        <f aca="false">IF(ISNUMBER(D31),D31*IF_Util,D31)</f>
        <v>20180949795.0708</v>
      </c>
      <c r="E279" s="56" t="n">
        <f aca="false">IF(ISNUMBER(E31),E31*IF_Util,E31)</f>
        <v>20180949795.0708</v>
      </c>
      <c r="F279" s="56" t="n">
        <f aca="false">IF(ISNUMBER(F31),F31*IF_Util,F31)</f>
        <v>87507858426.3237</v>
      </c>
      <c r="G279" s="56" t="n">
        <f aca="false">IF(ISNUMBER(G31),G31*IF_Util,G31)</f>
        <v>87507858426.3237</v>
      </c>
      <c r="H279" s="56" t="n">
        <f aca="false">IF(ISNUMBER(H31),H31*IF_Util,H31)</f>
        <v>87507858426.3237</v>
      </c>
      <c r="I279" s="56" t="n">
        <f aca="false">IF(ISNUMBER(I31),I31*IF_Util,I31)</f>
        <v>127400592853.133</v>
      </c>
      <c r="J279" s="56" t="n">
        <f aca="false">IF(ISNUMBER(J31),J31*IF_Util,J31)</f>
        <v>127400592853.133</v>
      </c>
      <c r="K279" s="56" t="n">
        <f aca="false">IF(ISNUMBER(K31),K31*IF_Util,K31)</f>
        <v>127400592853.133</v>
      </c>
      <c r="L279" s="56" t="n">
        <f aca="false">IF(ISNUMBER(L31),L31*IF_Util,L31)</f>
        <v>191390938691.432</v>
      </c>
      <c r="M279" s="56" t="n">
        <f aca="false">IF(ISNUMBER(M31),M31*IF_Util,M31)</f>
        <v>191390938691.432</v>
      </c>
      <c r="N279" s="56" t="n">
        <f aca="false">IF(ISNUMBER(N31),N31*IF_Util,N31)</f>
        <v>191390938691.432</v>
      </c>
      <c r="O279" s="56" t="n">
        <f aca="false">IF(ISNUMBER(O31),O31*IF_Util,O31)</f>
        <v>260628273188.957</v>
      </c>
      <c r="P279" s="56" t="n">
        <f aca="false">IF(ISNUMBER(P31),P31*IF_Util,P31)</f>
        <v>260628273188.957</v>
      </c>
      <c r="Q279" s="56" t="n">
        <f aca="false">IF(ISNUMBER(Q31),Q31*IF_Util,Q31)</f>
        <v>260628273188.957</v>
      </c>
      <c r="R279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79" s="44" t="str">
        <f aca="false">IF(R279="—","—",IF(R279="A","基準輸入",IF(R279="B","情境、相對比較、反轉門檻","探索")))</f>
        <v>情境、相對比較、反轉門檻</v>
      </c>
      <c r="T279" s="30" t="s">
        <v>2817</v>
      </c>
      <c r="U279" s="44" t="str">
        <f aca="false">IF(V279=0,"—",LEFT(TEXT(V279,"0"),4)&amp;"-"&amp;MID(TEXT(V279,"0"),5,2)&amp;"-"&amp;RIGHT(TEXT(V279,"0"),2))</f>
        <v>2026-10-05</v>
      </c>
      <c r="V279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79" s="21" t="s">
        <v>3085</v>
      </c>
      <c r="X279" s="32" t="n">
        <f aca="false">IF(ISNUMBER(FIND("上限",S279)),1,0)</f>
        <v>0</v>
      </c>
      <c r="Y279" s="32" t="n">
        <v>0</v>
      </c>
    </row>
    <row r="280" customFormat="false" ht="15" hidden="false" customHeight="true" outlineLevel="0" collapsed="false">
      <c r="A280" s="44" t="s">
        <v>3091</v>
      </c>
      <c r="B280" s="30" t="s">
        <v>931</v>
      </c>
      <c r="C280" s="49" t="n">
        <f aca="false">Theory_Rev_Prod!C28</f>
        <v>16075503951.5655</v>
      </c>
      <c r="D280" s="49" t="n">
        <f aca="false">Theory_Rev_Prod!D28</f>
        <v>16075503951.5655</v>
      </c>
      <c r="E280" s="49" t="n">
        <f aca="false">Theory_Rev_Prod!E28</f>
        <v>16075503951.5655</v>
      </c>
      <c r="F280" s="49" t="n">
        <f aca="false">Theory_Rev_Prod!F28</f>
        <v>71675069815.4084</v>
      </c>
      <c r="G280" s="49" t="n">
        <f aca="false">Theory_Rev_Prod!G28</f>
        <v>71675069815.4084</v>
      </c>
      <c r="H280" s="49" t="n">
        <f aca="false">Theory_Rev_Prod!H28</f>
        <v>71675069815.4084</v>
      </c>
      <c r="I280" s="49" t="n">
        <f aca="false">Theory_Rev_Prod!I28</f>
        <v>104350015547.013</v>
      </c>
      <c r="J280" s="49" t="n">
        <f aca="false">Theory_Rev_Prod!J28</f>
        <v>104350015547.013</v>
      </c>
      <c r="K280" s="49" t="n">
        <f aca="false">Theory_Rev_Prod!K28</f>
        <v>104350015547.013</v>
      </c>
      <c r="L280" s="49" t="n">
        <f aca="false">Theory_Rev_Prod!L28</f>
        <v>157334280428.476</v>
      </c>
      <c r="M280" s="49" t="n">
        <f aca="false">Theory_Rev_Prod!M28</f>
        <v>157334280428.476</v>
      </c>
      <c r="N280" s="49" t="n">
        <f aca="false">Theory_Rev_Prod!N28</f>
        <v>157334280428.476</v>
      </c>
      <c r="O280" s="49" t="n">
        <f aca="false">Theory_Rev_Prod!O28</f>
        <v>214454294764.768</v>
      </c>
      <c r="P280" s="49" t="n">
        <f aca="false">Theory_Rev_Prod!P28</f>
        <v>214454294764.768</v>
      </c>
      <c r="Q280" s="49" t="n">
        <f aca="false">Theory_Rev_Prod!Q28</f>
        <v>214454294764.768</v>
      </c>
      <c r="R280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0" s="44" t="str">
        <f aca="false">IF(R280="—","—",IF(R280="A","基準輸入",IF(R280="B","情境、相對比較、反轉門檻","探索")))</f>
        <v>情境、相對比較、反轉門檻</v>
      </c>
      <c r="T280" s="30" t="s">
        <v>3002</v>
      </c>
      <c r="U280" s="44" t="str">
        <f aca="false">IF(V280=0,"—",LEFT(TEXT(V280,"0"),4)&amp;"-"&amp;MID(TEXT(V280,"0"),5,2)&amp;"-"&amp;RIGHT(TEXT(V280,"0"),2))</f>
        <v>2026-10-05</v>
      </c>
      <c r="V280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0" s="21" t="s">
        <v>3087</v>
      </c>
      <c r="X280" s="32" t="n">
        <f aca="false">IF(ISNUMBER(FIND("上限",S280)),1,0)</f>
        <v>0</v>
      </c>
      <c r="Y280" s="32" t="n">
        <v>0</v>
      </c>
    </row>
    <row r="281" customFormat="false" ht="15" hidden="false" customHeight="true" outlineLevel="0" collapsed="false">
      <c r="A281" s="44" t="s">
        <v>3092</v>
      </c>
      <c r="B281" s="30" t="s">
        <v>931</v>
      </c>
      <c r="C281" s="56" t="n">
        <f aca="false">IF(ISNUMBER(C280),C280*1,C280)</f>
        <v>16075503951.5655</v>
      </c>
      <c r="D281" s="56" t="n">
        <f aca="false">IF(ISNUMBER(D280),D280*1,D280)</f>
        <v>16075503951.5655</v>
      </c>
      <c r="E281" s="56" t="n">
        <f aca="false">IF(ISNUMBER(E280),E280*1,E280)</f>
        <v>16075503951.5655</v>
      </c>
      <c r="F281" s="56" t="n">
        <f aca="false">IF(ISNUMBER(F280),F280*1,F280)</f>
        <v>71675069815.4084</v>
      </c>
      <c r="G281" s="56" t="n">
        <f aca="false">IF(ISNUMBER(G280),G280*1,G280)</f>
        <v>71675069815.4084</v>
      </c>
      <c r="H281" s="56" t="n">
        <f aca="false">IF(ISNUMBER(H280),H280*1,H280)</f>
        <v>71675069815.4084</v>
      </c>
      <c r="I281" s="56" t="n">
        <f aca="false">IF(ISNUMBER(I280),I280*1,I280)</f>
        <v>104350015547.013</v>
      </c>
      <c r="J281" s="56" t="n">
        <f aca="false">IF(ISNUMBER(J280),J280*1,J280)</f>
        <v>104350015547.013</v>
      </c>
      <c r="K281" s="56" t="n">
        <f aca="false">IF(ISNUMBER(K280),K280*1,K280)</f>
        <v>104350015547.013</v>
      </c>
      <c r="L281" s="56" t="n">
        <f aca="false">IF(ISNUMBER(L280),L280*1,L280)</f>
        <v>157334280428.476</v>
      </c>
      <c r="M281" s="56" t="n">
        <f aca="false">IF(ISNUMBER(M280),M280*1,M280)</f>
        <v>157334280428.476</v>
      </c>
      <c r="N281" s="56" t="n">
        <f aca="false">IF(ISNUMBER(N280),N280*1,N280)</f>
        <v>157334280428.476</v>
      </c>
      <c r="O281" s="56" t="n">
        <f aca="false">IF(ISNUMBER(O280),O280*1,O280)</f>
        <v>214454294764.768</v>
      </c>
      <c r="P281" s="56" t="n">
        <f aca="false">IF(ISNUMBER(P280),P280*1,P280)</f>
        <v>214454294764.768</v>
      </c>
      <c r="Q281" s="56" t="n">
        <f aca="false">IF(ISNUMBER(Q280),Q280*1,Q280)</f>
        <v>214454294764.768</v>
      </c>
      <c r="R281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1" s="44" t="str">
        <f aca="false">IF(R281="—","—",IF(R281="A","基準輸入",IF(R281="B","情境、相對比較、反轉門檻","探索")))</f>
        <v>情境、相對比較、反轉門檻</v>
      </c>
      <c r="T281" s="30" t="s">
        <v>3014</v>
      </c>
      <c r="U281" s="44" t="str">
        <f aca="false">IF(V281=0,"—",LEFT(TEXT(V281,"0"),4)&amp;"-"&amp;MID(TEXT(V281,"0"),5,2)&amp;"-"&amp;RIGHT(TEXT(V281,"0"),2))</f>
        <v>2026-10-05</v>
      </c>
      <c r="V281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1" s="21" t="s">
        <v>3087</v>
      </c>
      <c r="X281" s="32" t="n">
        <f aca="false">IF(ISNUMBER(FIND("上限",S281)),1,0)</f>
        <v>0</v>
      </c>
      <c r="Y281" s="32" t="n">
        <v>0</v>
      </c>
    </row>
    <row r="282" customFormat="false" ht="15" hidden="false" customHeight="true" outlineLevel="0" collapsed="false">
      <c r="A282" s="9" t="s">
        <v>3082</v>
      </c>
    </row>
    <row r="283" customFormat="false" ht="15" hidden="false" customHeight="true" outlineLevel="0" collapsed="false">
      <c r="A283" s="44" t="s">
        <v>3093</v>
      </c>
      <c r="B283" s="30" t="s">
        <v>931</v>
      </c>
      <c r="C283" s="56" t="n">
        <f aca="false">C41</f>
        <v>6809025705.99183</v>
      </c>
      <c r="D283" s="56" t="n">
        <f aca="false">D41</f>
        <v>6809025705.99183</v>
      </c>
      <c r="E283" s="56" t="n">
        <f aca="false">E41</f>
        <v>6809025705.99183</v>
      </c>
      <c r="F283" s="56" t="n">
        <f aca="false">F41</f>
        <v>29767762827.5194</v>
      </c>
      <c r="G283" s="56" t="n">
        <f aca="false">G41</f>
        <v>29767762827.5194</v>
      </c>
      <c r="H283" s="56" t="n">
        <f aca="false">H41</f>
        <v>29767762827.5194</v>
      </c>
      <c r="I283" s="56" t="n">
        <f aca="false">I41</f>
        <v>39257828144.5082</v>
      </c>
      <c r="J283" s="56" t="n">
        <f aca="false">J41</f>
        <v>39257828144.5082</v>
      </c>
      <c r="K283" s="56" t="n">
        <f aca="false">K41</f>
        <v>39257828144.5082</v>
      </c>
      <c r="L283" s="56" t="n">
        <f aca="false">L41</f>
        <v>69625193603.6778</v>
      </c>
      <c r="M283" s="56" t="n">
        <f aca="false">M41</f>
        <v>69625193603.6778</v>
      </c>
      <c r="N283" s="56" t="n">
        <f aca="false">N41</f>
        <v>69625193603.6778</v>
      </c>
      <c r="O283" s="56" t="n">
        <f aca="false">O41</f>
        <v>98521567397.5749</v>
      </c>
      <c r="P283" s="56" t="n">
        <f aca="false">P41</f>
        <v>98521567397.5749</v>
      </c>
      <c r="Q283" s="56" t="n">
        <f aca="false">Q41</f>
        <v>98521567397.5749</v>
      </c>
      <c r="R283" s="184" t="str">
        <f aca="false">IF(SUM(Gov_Map!$AG$5:$AG$7,Gov_Map!$AG$69:$AG$88,Gov_Map!$AG$104:$AG$128,Gov_Map!$AG$134:$AG$153,Gov_Map!$AG$179:$AG$192,Gov_Map!$AG$195:$AG$214,Gov_Map!$AG$216:$AG$238,Gov_Map!$AG$241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$241:$AH$254,Gov_Map!$AH$308:$AH$319,Gov_Map!$AH$345:$AH$359,Gov_Map!$AH$419:$AH$420,Gov_Map!$AH$430,Gov_Map!$AH$447,Gov_Map!$AH$510:$AH$518,Gov_Map!$AH$521:$AH$522,Gov_Map!$AH$574:$AH$578,Gov_Map!$AH$660)&gt;0,"B","A"))</f>
        <v>B</v>
      </c>
      <c r="S283" s="44" t="str">
        <f aca="false">IF(R283="—","—",IF(R283="A","基準輸入",IF(R283="B","情境、相對比較、反轉門檻","探索")))&amp;"；上限，不得作預測"</f>
        <v>情境、相對比較、反轉門檻；上限，不得作預測</v>
      </c>
      <c r="T283" s="30" t="s">
        <v>2792</v>
      </c>
      <c r="U283" s="44" t="str">
        <f aca="false">IF(V283=0,"—",LEFT(TEXT(V283,"0"),4)&amp;"-"&amp;MID(TEXT(V283,"0"),5,2)&amp;"-"&amp;RIGHT(TEXT(V283,"0"),2))</f>
        <v>2026-10-05</v>
      </c>
      <c r="V283" s="33" t="n">
        <f aca="false">MAX(Gov_Map!$AJ$5:$AJ$7,Gov_Map!$AJ$69:$AJ$88,Gov_Map!$AJ$104:$AJ$128,Gov_Map!$AJ$134:$AJ$153,Gov_Map!$AJ$179:$AJ$192,Gov_Map!$AJ$195:$AJ$214,Gov_Map!$AJ$216:$AJ$238,Gov_Map!$AJ$241:$AJ$254,Gov_Map!$AJ$308:$AJ$319,Gov_Map!$AJ$345:$AJ$359,Gov_Map!$AJ$419:$AJ$420,Gov_Map!$AJ$430,Gov_Map!$AJ$447,Gov_Map!$AJ$510:$AJ$518,Gov_Map!$AJ$521:$AJ$522,Gov_Map!$AJ$574:$AJ$578,Gov_Map!$AJ$660)</f>
        <v>20261005</v>
      </c>
      <c r="W283" s="21" t="s">
        <v>2795</v>
      </c>
      <c r="X283" s="32" t="n">
        <f aca="false">IF(ISNUMBER(FIND("上限",S283)),1,0)</f>
        <v>1</v>
      </c>
      <c r="Y283" s="32" t="n">
        <v>1</v>
      </c>
    </row>
    <row r="284" customFormat="false" ht="15" hidden="false" customHeight="true" outlineLevel="0" collapsed="false">
      <c r="A284" s="44" t="s">
        <v>3094</v>
      </c>
      <c r="B284" s="30" t="s">
        <v>931</v>
      </c>
      <c r="C284" s="56" t="n">
        <f aca="false">IF(ISNUMBER(C41),C41*IF_Util,C41)</f>
        <v>4085415423.5951</v>
      </c>
      <c r="D284" s="56" t="n">
        <f aca="false">IF(ISNUMBER(D41),D41*IF_Util,D41)</f>
        <v>4085415423.5951</v>
      </c>
      <c r="E284" s="56" t="n">
        <f aca="false">IF(ISNUMBER(E41),E41*IF_Util,E41)</f>
        <v>4085415423.5951</v>
      </c>
      <c r="F284" s="56" t="n">
        <f aca="false">IF(ISNUMBER(F41),F41*IF_Util,F41)</f>
        <v>17860657696.5117</v>
      </c>
      <c r="G284" s="56" t="n">
        <f aca="false">IF(ISNUMBER(G41),G41*IF_Util,G41)</f>
        <v>17860657696.5117</v>
      </c>
      <c r="H284" s="56" t="n">
        <f aca="false">IF(ISNUMBER(H41),H41*IF_Util,H41)</f>
        <v>17860657696.5117</v>
      </c>
      <c r="I284" s="56" t="n">
        <f aca="false">IF(ISNUMBER(I41),I41*IF_Util,I41)</f>
        <v>23554696886.7049</v>
      </c>
      <c r="J284" s="56" t="n">
        <f aca="false">IF(ISNUMBER(J41),J41*IF_Util,J41)</f>
        <v>23554696886.7049</v>
      </c>
      <c r="K284" s="56" t="n">
        <f aca="false">IF(ISNUMBER(K41),K41*IF_Util,K41)</f>
        <v>23554696886.7049</v>
      </c>
      <c r="L284" s="56" t="n">
        <f aca="false">IF(ISNUMBER(L41),L41*IF_Util,L41)</f>
        <v>41775116162.2067</v>
      </c>
      <c r="M284" s="56" t="n">
        <f aca="false">IF(ISNUMBER(M41),M41*IF_Util,M41)</f>
        <v>41775116162.2067</v>
      </c>
      <c r="N284" s="56" t="n">
        <f aca="false">IF(ISNUMBER(N41),N41*IF_Util,N41)</f>
        <v>41775116162.2067</v>
      </c>
      <c r="O284" s="56" t="n">
        <f aca="false">IF(ISNUMBER(O41),O41*IF_Util,O41)</f>
        <v>59112940438.5449</v>
      </c>
      <c r="P284" s="56" t="n">
        <f aca="false">IF(ISNUMBER(P41),P41*IF_Util,P41)</f>
        <v>59112940438.5449</v>
      </c>
      <c r="Q284" s="56" t="n">
        <f aca="false">IF(ISNUMBER(Q41),Q41*IF_Util,Q41)</f>
        <v>59112940438.5449</v>
      </c>
      <c r="R284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$510:$AG$518,Gov_Map!$AG$521:$AG$522,Gov_Map!$AG$574:$AG$578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$510:$AH$518,Gov_Map!$AH$521:$AH$522,Gov_Map!$AH$574:$AH$578,Gov_Map!$AH$660)&gt;0,"B","A"))</f>
        <v>B</v>
      </c>
      <c r="S284" s="44" t="str">
        <f aca="false">IF(R284="—","—",IF(R284="A","基準輸入",IF(R284="B","情境、相對比較、反轉門檻","探索")))</f>
        <v>情境、相對比較、反轉門檻</v>
      </c>
      <c r="T284" s="30" t="s">
        <v>2817</v>
      </c>
      <c r="U284" s="44" t="str">
        <f aca="false">IF(V284=0,"—",LEFT(TEXT(V284,"0"),4)&amp;"-"&amp;MID(TEXT(V284,"0"),5,2)&amp;"-"&amp;RIGHT(TEXT(V284,"0"),2))</f>
        <v>2026-10-05</v>
      </c>
      <c r="V284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$510:$AJ$518,Gov_Map!$AJ$521:$AJ$522,Gov_Map!$AJ$574:$AJ$578,Gov_Map!$AJ$660)</f>
        <v>20261005</v>
      </c>
      <c r="W284" s="21" t="s">
        <v>3085</v>
      </c>
      <c r="X284" s="32" t="n">
        <f aca="false">IF(ISNUMBER(FIND("上限",S284)),1,0)</f>
        <v>0</v>
      </c>
      <c r="Y284" s="32" t="n">
        <v>0</v>
      </c>
    </row>
    <row r="285" customFormat="false" ht="15" hidden="false" customHeight="true" outlineLevel="0" collapsed="false">
      <c r="A285" s="44" t="s">
        <v>3095</v>
      </c>
      <c r="B285" s="30" t="s">
        <v>931</v>
      </c>
      <c r="C285" s="49" t="n">
        <f aca="false">Theory_Rev_Prod!C46</f>
        <v>2953301820.91162</v>
      </c>
      <c r="D285" s="49" t="n">
        <f aca="false">Theory_Rev_Prod!D46</f>
        <v>2953301820.91162</v>
      </c>
      <c r="E285" s="49" t="n">
        <f aca="false">Theory_Rev_Prod!E46</f>
        <v>2953301820.91162</v>
      </c>
      <c r="F285" s="49" t="n">
        <f aca="false">Theory_Rev_Prod!F46</f>
        <v>14013525926.0136</v>
      </c>
      <c r="G285" s="49" t="n">
        <f aca="false">Theory_Rev_Prod!G46</f>
        <v>14013525926.0136</v>
      </c>
      <c r="H285" s="49" t="n">
        <f aca="false">Theory_Rev_Prod!H46</f>
        <v>14013525926.0136</v>
      </c>
      <c r="I285" s="49" t="n">
        <f aca="false">Theory_Rev_Prod!I46</f>
        <v>18280776025.6767</v>
      </c>
      <c r="J285" s="49" t="n">
        <f aca="false">Theory_Rev_Prod!J46</f>
        <v>18280776025.6767</v>
      </c>
      <c r="K285" s="49" t="n">
        <f aca="false">Theory_Rev_Prod!K46</f>
        <v>18280776025.6767</v>
      </c>
      <c r="L285" s="49" t="n">
        <f aca="false">Theory_Rev_Prod!L46</f>
        <v>33219674815.267</v>
      </c>
      <c r="M285" s="49" t="n">
        <f aca="false">Theory_Rev_Prod!M46</f>
        <v>33219674815.267</v>
      </c>
      <c r="N285" s="49" t="n">
        <f aca="false">Theory_Rev_Prod!N46</f>
        <v>33219674815.267</v>
      </c>
      <c r="O285" s="49" t="n">
        <f aca="false">Theory_Rev_Prod!O46</f>
        <v>47242844211.2415</v>
      </c>
      <c r="P285" s="49" t="n">
        <f aca="false">Theory_Rev_Prod!P46</f>
        <v>47242844211.2415</v>
      </c>
      <c r="Q285" s="49" t="n">
        <f aca="false">Theory_Rev_Prod!Q46</f>
        <v>47242844211.2415</v>
      </c>
      <c r="R285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5" s="44" t="str">
        <f aca="false">IF(R285="—","—",IF(R285="A","基準輸入",IF(R285="B","情境、相對比較、反轉門檻","探索")))</f>
        <v>情境、相對比較、反轉門檻</v>
      </c>
      <c r="T285" s="30" t="s">
        <v>3002</v>
      </c>
      <c r="U285" s="44" t="str">
        <f aca="false">IF(V285=0,"—",LEFT(TEXT(V285,"0"),4)&amp;"-"&amp;MID(TEXT(V285,"0"),5,2)&amp;"-"&amp;RIGHT(TEXT(V285,"0"),2))</f>
        <v>2026-10-05</v>
      </c>
      <c r="V285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5" s="21" t="s">
        <v>3087</v>
      </c>
      <c r="X285" s="32" t="n">
        <f aca="false">IF(ISNUMBER(FIND("上限",S285)),1,0)</f>
        <v>0</v>
      </c>
      <c r="Y285" s="32" t="n">
        <v>0</v>
      </c>
    </row>
    <row r="286" customFormat="false" ht="15" hidden="false" customHeight="true" outlineLevel="0" collapsed="false">
      <c r="A286" s="44" t="s">
        <v>3096</v>
      </c>
      <c r="B286" s="30" t="s">
        <v>931</v>
      </c>
      <c r="C286" s="56" t="n">
        <f aca="false">IF(ISNUMBER(C285),C285*1,C285)</f>
        <v>2953301820.91162</v>
      </c>
      <c r="D286" s="56" t="n">
        <f aca="false">IF(ISNUMBER(D285),D285*1,D285)</f>
        <v>2953301820.91162</v>
      </c>
      <c r="E286" s="56" t="n">
        <f aca="false">IF(ISNUMBER(E285),E285*1,E285)</f>
        <v>2953301820.91162</v>
      </c>
      <c r="F286" s="56" t="n">
        <f aca="false">IF(ISNUMBER(F285),F285*1,F285)</f>
        <v>14013525926.0136</v>
      </c>
      <c r="G286" s="56" t="n">
        <f aca="false">IF(ISNUMBER(G285),G285*1,G285)</f>
        <v>14013525926.0136</v>
      </c>
      <c r="H286" s="56" t="n">
        <f aca="false">IF(ISNUMBER(H285),H285*1,H285)</f>
        <v>14013525926.0136</v>
      </c>
      <c r="I286" s="56" t="n">
        <f aca="false">IF(ISNUMBER(I285),I285*1,I285)</f>
        <v>18280776025.6767</v>
      </c>
      <c r="J286" s="56" t="n">
        <f aca="false">IF(ISNUMBER(J285),J285*1,J285)</f>
        <v>18280776025.6767</v>
      </c>
      <c r="K286" s="56" t="n">
        <f aca="false">IF(ISNUMBER(K285),K285*1,K285)</f>
        <v>18280776025.6767</v>
      </c>
      <c r="L286" s="56" t="n">
        <f aca="false">IF(ISNUMBER(L285),L285*1,L285)</f>
        <v>33219674815.267</v>
      </c>
      <c r="M286" s="56" t="n">
        <f aca="false">IF(ISNUMBER(M285),M285*1,M285)</f>
        <v>33219674815.267</v>
      </c>
      <c r="N286" s="56" t="n">
        <f aca="false">IF(ISNUMBER(N285),N285*1,N285)</f>
        <v>33219674815.267</v>
      </c>
      <c r="O286" s="56" t="n">
        <f aca="false">IF(ISNUMBER(O285),O285*1,O285)</f>
        <v>47242844211.2415</v>
      </c>
      <c r="P286" s="56" t="n">
        <f aca="false">IF(ISNUMBER(P285),P285*1,P285)</f>
        <v>47242844211.2415</v>
      </c>
      <c r="Q286" s="56" t="n">
        <f aca="false">IF(ISNUMBER(Q285),Q285*1,Q285)</f>
        <v>47242844211.2415</v>
      </c>
      <c r="R286" s="184" t="str">
        <f aca="false">IF(SUM(Gov_Map!$AG$5:$AG$7,Gov_Map!$AG$69:$AG$88,Gov_Map!$AG$104:$AG$128,Gov_Map!$AG$134:$AG$153,Gov_Map!$AG$179:$AG$192,Gov_Map!$AG$195:$AG$214,Gov_Map!$AG$216:$AG$238,Gov_Map!$AG$240,Gov_Map!$AG$242:$AG$254,Gov_Map!$AG$308:$AG$319,Gov_Map!$AG$345:$AG$359,Gov_Map!$AG$419:$AG$420,Gov_Map!$AG$430,Gov_Map!$AG$447,Gov_Map!$AG$510:$AG$518,Gov_Map!$AG$521:$AG$522,Gov_Map!$AG$574:$AG$578,Gov_Map!$AG$596,Gov_Map!$AG$660)&gt;0,"C",IF(SUM(Gov_Map!$AH$5:$AH$7,Gov_Map!$AH$69:$AH$88,Gov_Map!$AH$104:$AH$128,Gov_Map!$AH$134:$AH$153,Gov_Map!$AH$179:$AH$192,Gov_Map!$AH$195:$AH$214,Gov_Map!$AH$216:$AH$238,Gov_Map!$AH$240,Gov_Map!$AH$242:$AH$254,Gov_Map!$AH$308:$AH$319,Gov_Map!$AH$345:$AH$359,Gov_Map!$AH$419:$AH$420,Gov_Map!$AH$430,Gov_Map!$AH$447,Gov_Map!$AH$510:$AH$518,Gov_Map!$AH$521:$AH$522,Gov_Map!$AH$574:$AH$578,Gov_Map!$AH$596,Gov_Map!$AH$660)&gt;0,"B","A"))</f>
        <v>B</v>
      </c>
      <c r="S286" s="44" t="str">
        <f aca="false">IF(R286="—","—",IF(R286="A","基準輸入",IF(R286="B","情境、相對比較、反轉門檻","探索")))</f>
        <v>情境、相對比較、反轉門檻</v>
      </c>
      <c r="T286" s="30" t="s">
        <v>3014</v>
      </c>
      <c r="U286" s="44" t="str">
        <f aca="false">IF(V286=0,"—",LEFT(TEXT(V286,"0"),4)&amp;"-"&amp;MID(TEXT(V286,"0"),5,2)&amp;"-"&amp;RIGHT(TEXT(V286,"0"),2))</f>
        <v>2026-10-05</v>
      </c>
      <c r="V286" s="33" t="n">
        <f aca="false">MAX(Gov_Map!$AJ$5:$AJ$7,Gov_Map!$AJ$69:$AJ$88,Gov_Map!$AJ$104:$AJ$128,Gov_Map!$AJ$134:$AJ$153,Gov_Map!$AJ$179:$AJ$192,Gov_Map!$AJ$195:$AJ$214,Gov_Map!$AJ$216:$AJ$238,Gov_Map!$AJ$240,Gov_Map!$AJ$242:$AJ$254,Gov_Map!$AJ$308:$AJ$319,Gov_Map!$AJ$345:$AJ$359,Gov_Map!$AJ$419:$AJ$420,Gov_Map!$AJ$430,Gov_Map!$AJ$447,Gov_Map!$AJ$510:$AJ$518,Gov_Map!$AJ$521:$AJ$522,Gov_Map!$AJ$574:$AJ$578,Gov_Map!$AJ$596,Gov_Map!$AJ$660)</f>
        <v>20261005</v>
      </c>
      <c r="W286" s="21" t="s">
        <v>3087</v>
      </c>
      <c r="X286" s="32" t="n">
        <f aca="false">IF(ISNUMBER(FIND("上限",S286)),1,0)</f>
        <v>0</v>
      </c>
      <c r="Y286" s="32" t="n">
        <v>0</v>
      </c>
    </row>
    <row r="288" customFormat="false" ht="15" hidden="false" customHeight="true" outlineLevel="0" collapsed="false">
      <c r="A288" s="9" t="s">
        <v>3097</v>
      </c>
    </row>
    <row r="289" customFormat="false" ht="15" hidden="false" customHeight="true" outlineLevel="0" collapsed="false">
      <c r="A289" s="45" t="s">
        <v>3098</v>
      </c>
      <c r="C289" s="32" t="n">
        <f aca="false">IF(AND(ISNUMBER(C234),ISNUMBER(C101)),IF(ABS(C234-C101)&lt;=0.000000001,0,1),IF(AND(NOT(ISNUMBER(C234)),NOT(ISNUMBER(C101))),IF(C234=C101,0,1),1))</f>
        <v>0</v>
      </c>
      <c r="D289" s="32" t="n">
        <f aca="false">IF(AND(ISNUMBER(D234),ISNUMBER(D101)),IF(ABS(D234-D101)&lt;=0.000000001,0,1),IF(AND(NOT(ISNUMBER(D234)),NOT(ISNUMBER(D101))),IF(D234=D101,0,1),1))</f>
        <v>0</v>
      </c>
      <c r="E289" s="32" t="n">
        <f aca="false">IF(AND(ISNUMBER(E234),ISNUMBER(E101)),IF(ABS(E234-E101)&lt;=0.000000001,0,1),IF(AND(NOT(ISNUMBER(E234)),NOT(ISNUMBER(E101))),IF(E234=E101,0,1),1))</f>
        <v>0</v>
      </c>
      <c r="F289" s="32" t="n">
        <f aca="false">IF(AND(ISNUMBER(F234),ISNUMBER(F101)),IF(ABS(F234-F101)&lt;=0.000000001,0,1),IF(AND(NOT(ISNUMBER(F234)),NOT(ISNUMBER(F101))),IF(F234=F101,0,1),1))</f>
        <v>0</v>
      </c>
      <c r="G289" s="32" t="n">
        <f aca="false">IF(AND(ISNUMBER(G234),ISNUMBER(G101)),IF(ABS(G234-G101)&lt;=0.000000001,0,1),IF(AND(NOT(ISNUMBER(G234)),NOT(ISNUMBER(G101))),IF(G234=G101,0,1),1))</f>
        <v>0</v>
      </c>
      <c r="H289" s="32" t="n">
        <f aca="false">IF(AND(ISNUMBER(H234),ISNUMBER(H101)),IF(ABS(H234-H101)&lt;=0.000000001,0,1),IF(AND(NOT(ISNUMBER(H234)),NOT(ISNUMBER(H101))),IF(H234=H101,0,1),1))</f>
        <v>0</v>
      </c>
      <c r="I289" s="32" t="n">
        <f aca="false">IF(AND(ISNUMBER(I234),ISNUMBER(I101)),IF(ABS(I234-I101)&lt;=0.000000001,0,1),IF(AND(NOT(ISNUMBER(I234)),NOT(ISNUMBER(I101))),IF(I234=I101,0,1),1))</f>
        <v>0</v>
      </c>
      <c r="J289" s="32" t="n">
        <f aca="false">IF(AND(ISNUMBER(J234),ISNUMBER(J101)),IF(ABS(J234-J101)&lt;=0.000000001,0,1),IF(AND(NOT(ISNUMBER(J234)),NOT(ISNUMBER(J101))),IF(J234=J101,0,1),1))</f>
        <v>0</v>
      </c>
      <c r="K289" s="32" t="n">
        <f aca="false">IF(AND(ISNUMBER(K234),ISNUMBER(K101)),IF(ABS(K234-K101)&lt;=0.000000001,0,1),IF(AND(NOT(ISNUMBER(K234)),NOT(ISNUMBER(K101))),IF(K234=K101,0,1),1))</f>
        <v>0</v>
      </c>
      <c r="L289" s="32" t="n">
        <f aca="false">IF(AND(ISNUMBER(L234),ISNUMBER(L101)),IF(ABS(L234-L101)&lt;=0.000000001,0,1),IF(AND(NOT(ISNUMBER(L234)),NOT(ISNUMBER(L101))),IF(L234=L101,0,1),1))</f>
        <v>0</v>
      </c>
      <c r="M289" s="32" t="n">
        <f aca="false">IF(AND(ISNUMBER(M234),ISNUMBER(M101)),IF(ABS(M234-M101)&lt;=0.000000001,0,1),IF(AND(NOT(ISNUMBER(M234)),NOT(ISNUMBER(M101))),IF(M234=M101,0,1),1))</f>
        <v>0</v>
      </c>
      <c r="N289" s="32" t="n">
        <f aca="false">IF(AND(ISNUMBER(N234),ISNUMBER(N101)),IF(ABS(N234-N101)&lt;=0.000000001,0,1),IF(AND(NOT(ISNUMBER(N234)),NOT(ISNUMBER(N101))),IF(N234=N101,0,1),1))</f>
        <v>0</v>
      </c>
      <c r="O289" s="32" t="n">
        <f aca="false">IF(AND(ISNUMBER(O234),ISNUMBER(O101)),IF(ABS(O234-O101)&lt;=0.000000001,0,1),IF(AND(NOT(ISNUMBER(O234)),NOT(ISNUMBER(O101))),IF(O234=O101,0,1),1))</f>
        <v>0</v>
      </c>
      <c r="P289" s="32" t="n">
        <f aca="false">IF(AND(ISNUMBER(P234),ISNUMBER(P101)),IF(ABS(P234-P101)&lt;=0.000000001,0,1),IF(AND(NOT(ISNUMBER(P234)),NOT(ISNUMBER(P101))),IF(P234=P101,0,1),1))</f>
        <v>0</v>
      </c>
      <c r="Q289" s="32" t="n">
        <f aca="false">IF(AND(ISNUMBER(Q234),ISNUMBER(Q101)),IF(ABS(Q234-Q101)&lt;=0.000000001,0,1),IF(AND(NOT(ISNUMBER(Q234)),NOT(ISNUMBER(Q101))),IF(Q234=Q101,0,1),1))</f>
        <v>0</v>
      </c>
    </row>
    <row r="290" customFormat="false" ht="15" hidden="false" customHeight="true" outlineLevel="0" collapsed="false">
      <c r="A290" s="45" t="s">
        <v>3099</v>
      </c>
      <c r="C290" s="32" t="n">
        <f aca="false">IF(AND(ISNUMBER(C239),ISNUMBER(C119)),IF(ABS(C239-C119)&lt;=0.000000001,0,1),IF(AND(NOT(ISNUMBER(C239)),NOT(ISNUMBER(C119))),IF(C239=C119,0,1),1))</f>
        <v>0</v>
      </c>
      <c r="D290" s="32" t="n">
        <f aca="false">IF(AND(ISNUMBER(D239),ISNUMBER(D119)),IF(ABS(D239-D119)&lt;=0.000000001,0,1),IF(AND(NOT(ISNUMBER(D239)),NOT(ISNUMBER(D119))),IF(D239=D119,0,1),1))</f>
        <v>0</v>
      </c>
      <c r="E290" s="32" t="n">
        <f aca="false">IF(AND(ISNUMBER(E239),ISNUMBER(E119)),IF(ABS(E239-E119)&lt;=0.000000001,0,1),IF(AND(NOT(ISNUMBER(E239)),NOT(ISNUMBER(E119))),IF(E239=E119,0,1),1))</f>
        <v>0</v>
      </c>
      <c r="F290" s="32" t="n">
        <f aca="false">IF(AND(ISNUMBER(F239),ISNUMBER(F119)),IF(ABS(F239-F119)&lt;=0.000000001,0,1),IF(AND(NOT(ISNUMBER(F239)),NOT(ISNUMBER(F119))),IF(F239=F119,0,1),1))</f>
        <v>0</v>
      </c>
      <c r="G290" s="32" t="n">
        <f aca="false">IF(AND(ISNUMBER(G239),ISNUMBER(G119)),IF(ABS(G239-G119)&lt;=0.000000001,0,1),IF(AND(NOT(ISNUMBER(G239)),NOT(ISNUMBER(G119))),IF(G239=G119,0,1),1))</f>
        <v>0</v>
      </c>
      <c r="H290" s="32" t="n">
        <f aca="false">IF(AND(ISNUMBER(H239),ISNUMBER(H119)),IF(ABS(H239-H119)&lt;=0.000000001,0,1),IF(AND(NOT(ISNUMBER(H239)),NOT(ISNUMBER(H119))),IF(H239=H119,0,1),1))</f>
        <v>0</v>
      </c>
      <c r="I290" s="32" t="n">
        <f aca="false">IF(AND(ISNUMBER(I239),ISNUMBER(I119)),IF(ABS(I239-I119)&lt;=0.000000001,0,1),IF(AND(NOT(ISNUMBER(I239)),NOT(ISNUMBER(I119))),IF(I239=I119,0,1),1))</f>
        <v>0</v>
      </c>
      <c r="J290" s="32" t="n">
        <f aca="false">IF(AND(ISNUMBER(J239),ISNUMBER(J119)),IF(ABS(J239-J119)&lt;=0.000000001,0,1),IF(AND(NOT(ISNUMBER(J239)),NOT(ISNUMBER(J119))),IF(J239=J119,0,1),1))</f>
        <v>0</v>
      </c>
      <c r="K290" s="32" t="n">
        <f aca="false">IF(AND(ISNUMBER(K239),ISNUMBER(K119)),IF(ABS(K239-K119)&lt;=0.000000001,0,1),IF(AND(NOT(ISNUMBER(K239)),NOT(ISNUMBER(K119))),IF(K239=K119,0,1),1))</f>
        <v>0</v>
      </c>
      <c r="L290" s="32" t="n">
        <f aca="false">IF(AND(ISNUMBER(L239),ISNUMBER(L119)),IF(ABS(L239-L119)&lt;=0.000000001,0,1),IF(AND(NOT(ISNUMBER(L239)),NOT(ISNUMBER(L119))),IF(L239=L119,0,1),1))</f>
        <v>0</v>
      </c>
      <c r="M290" s="32" t="n">
        <f aca="false">IF(AND(ISNUMBER(M239),ISNUMBER(M119)),IF(ABS(M239-M119)&lt;=0.000000001,0,1),IF(AND(NOT(ISNUMBER(M239)),NOT(ISNUMBER(M119))),IF(M239=M119,0,1),1))</f>
        <v>0</v>
      </c>
      <c r="N290" s="32" t="n">
        <f aca="false">IF(AND(ISNUMBER(N239),ISNUMBER(N119)),IF(ABS(N239-N119)&lt;=0.000000001,0,1),IF(AND(NOT(ISNUMBER(N239)),NOT(ISNUMBER(N119))),IF(N239=N119,0,1),1))</f>
        <v>0</v>
      </c>
      <c r="O290" s="32" t="n">
        <f aca="false">IF(AND(ISNUMBER(O239),ISNUMBER(O119)),IF(ABS(O239-O119)&lt;=0.000000001,0,1),IF(AND(NOT(ISNUMBER(O239)),NOT(ISNUMBER(O119))),IF(O239=O119,0,1),1))</f>
        <v>0</v>
      </c>
      <c r="P290" s="32" t="n">
        <f aca="false">IF(AND(ISNUMBER(P239),ISNUMBER(P119)),IF(ABS(P239-P119)&lt;=0.000000001,0,1),IF(AND(NOT(ISNUMBER(P239)),NOT(ISNUMBER(P119))),IF(P239=P119,0,1),1))</f>
        <v>0</v>
      </c>
      <c r="Q290" s="32" t="n">
        <f aca="false">IF(AND(ISNUMBER(Q239),ISNUMBER(Q119)),IF(ABS(Q239-Q119)&lt;=0.000000001,0,1),IF(AND(NOT(ISNUMBER(Q239)),NOT(ISNUMBER(Q119))),IF(Q239=Q119,0,1),1))</f>
        <v>0</v>
      </c>
    </row>
    <row r="291" customFormat="false" ht="15" hidden="false" customHeight="true" outlineLevel="0" collapsed="false">
      <c r="A291" s="45" t="s">
        <v>3100</v>
      </c>
      <c r="C291" s="32" t="n">
        <f aca="false">IF(AND(ISNUMBER(C244),ISNUMBER(C137)),IF(ABS(C244-C137)&lt;=0.000000001,0,1),IF(AND(NOT(ISNUMBER(C244)),NOT(ISNUMBER(C137))),IF(C244=C137,0,1),1))</f>
        <v>0</v>
      </c>
      <c r="D291" s="32" t="n">
        <f aca="false">IF(AND(ISNUMBER(D244),ISNUMBER(D137)),IF(ABS(D244-D137)&lt;=0.000000001,0,1),IF(AND(NOT(ISNUMBER(D244)),NOT(ISNUMBER(D137))),IF(D244=D137,0,1),1))</f>
        <v>0</v>
      </c>
      <c r="E291" s="32" t="n">
        <f aca="false">IF(AND(ISNUMBER(E244),ISNUMBER(E137)),IF(ABS(E244-E137)&lt;=0.000000001,0,1),IF(AND(NOT(ISNUMBER(E244)),NOT(ISNUMBER(E137))),IF(E244=E137,0,1),1))</f>
        <v>0</v>
      </c>
      <c r="F291" s="32" t="n">
        <f aca="false">IF(AND(ISNUMBER(F244),ISNUMBER(F137)),IF(ABS(F244-F137)&lt;=0.000000001,0,1),IF(AND(NOT(ISNUMBER(F244)),NOT(ISNUMBER(F137))),IF(F244=F137,0,1),1))</f>
        <v>0</v>
      </c>
      <c r="G291" s="32" t="n">
        <f aca="false">IF(AND(ISNUMBER(G244),ISNUMBER(G137)),IF(ABS(G244-G137)&lt;=0.000000001,0,1),IF(AND(NOT(ISNUMBER(G244)),NOT(ISNUMBER(G137))),IF(G244=G137,0,1),1))</f>
        <v>0</v>
      </c>
      <c r="H291" s="32" t="n">
        <f aca="false">IF(AND(ISNUMBER(H244),ISNUMBER(H137)),IF(ABS(H244-H137)&lt;=0.000000001,0,1),IF(AND(NOT(ISNUMBER(H244)),NOT(ISNUMBER(H137))),IF(H244=H137,0,1),1))</f>
        <v>0</v>
      </c>
      <c r="I291" s="32" t="n">
        <f aca="false">IF(AND(ISNUMBER(I244),ISNUMBER(I137)),IF(ABS(I244-I137)&lt;=0.000000001,0,1),IF(AND(NOT(ISNUMBER(I244)),NOT(ISNUMBER(I137))),IF(I244=I137,0,1),1))</f>
        <v>0</v>
      </c>
      <c r="J291" s="32" t="n">
        <f aca="false">IF(AND(ISNUMBER(J244),ISNUMBER(J137)),IF(ABS(J244-J137)&lt;=0.000000001,0,1),IF(AND(NOT(ISNUMBER(J244)),NOT(ISNUMBER(J137))),IF(J244=J137,0,1),1))</f>
        <v>0</v>
      </c>
      <c r="K291" s="32" t="n">
        <f aca="false">IF(AND(ISNUMBER(K244),ISNUMBER(K137)),IF(ABS(K244-K137)&lt;=0.000000001,0,1),IF(AND(NOT(ISNUMBER(K244)),NOT(ISNUMBER(K137))),IF(K244=K137,0,1),1))</f>
        <v>0</v>
      </c>
      <c r="L291" s="32" t="n">
        <f aca="false">IF(AND(ISNUMBER(L244),ISNUMBER(L137)),IF(ABS(L244-L137)&lt;=0.000000001,0,1),IF(AND(NOT(ISNUMBER(L244)),NOT(ISNUMBER(L137))),IF(L244=L137,0,1),1))</f>
        <v>0</v>
      </c>
      <c r="M291" s="32" t="n">
        <f aca="false">IF(AND(ISNUMBER(M244),ISNUMBER(M137)),IF(ABS(M244-M137)&lt;=0.000000001,0,1),IF(AND(NOT(ISNUMBER(M244)),NOT(ISNUMBER(M137))),IF(M244=M137,0,1),1))</f>
        <v>0</v>
      </c>
      <c r="N291" s="32" t="n">
        <f aca="false">IF(AND(ISNUMBER(N244),ISNUMBER(N137)),IF(ABS(N244-N137)&lt;=0.000000001,0,1),IF(AND(NOT(ISNUMBER(N244)),NOT(ISNUMBER(N137))),IF(N244=N137,0,1),1))</f>
        <v>0</v>
      </c>
      <c r="O291" s="32" t="n">
        <f aca="false">IF(AND(ISNUMBER(O244),ISNUMBER(O137)),IF(ABS(O244-O137)&lt;=0.000000001,0,1),IF(AND(NOT(ISNUMBER(O244)),NOT(ISNUMBER(O137))),IF(O244=O137,0,1),1))</f>
        <v>0</v>
      </c>
      <c r="P291" s="32" t="n">
        <f aca="false">IF(AND(ISNUMBER(P244),ISNUMBER(P137)),IF(ABS(P244-P137)&lt;=0.000000001,0,1),IF(AND(NOT(ISNUMBER(P244)),NOT(ISNUMBER(P137))),IF(P244=P137,0,1),1))</f>
        <v>0</v>
      </c>
      <c r="Q291" s="32" t="n">
        <f aca="false">IF(AND(ISNUMBER(Q244),ISNUMBER(Q137)),IF(ABS(Q244-Q137)&lt;=0.000000001,0,1),IF(AND(NOT(ISNUMBER(Q244)),NOT(ISNUMBER(Q137))),IF(Q244=Q137,0,1),1))</f>
        <v>0</v>
      </c>
    </row>
    <row r="292" customFormat="false" ht="15" hidden="false" customHeight="true" outlineLevel="0" collapsed="false">
      <c r="A292" s="45" t="s">
        <v>3101</v>
      </c>
      <c r="C292" s="32" t="n">
        <f aca="false">IF(AND(ISNUMBER(C249),ISNUMBER(C143)),IF(ABS(C249-C143)&lt;=0.000000001,0,1),IF(AND(NOT(ISNUMBER(C249)),NOT(ISNUMBER(C143))),IF(C249=C143,0,1),1))</f>
        <v>0</v>
      </c>
      <c r="D292" s="32" t="n">
        <f aca="false">IF(AND(ISNUMBER(D249),ISNUMBER(D143)),IF(ABS(D249-D143)&lt;=0.000000001,0,1),IF(AND(NOT(ISNUMBER(D249)),NOT(ISNUMBER(D143))),IF(D249=D143,0,1),1))</f>
        <v>0</v>
      </c>
      <c r="E292" s="32" t="n">
        <f aca="false">IF(AND(ISNUMBER(E249),ISNUMBER(E143)),IF(ABS(E249-E143)&lt;=0.000000001,0,1),IF(AND(NOT(ISNUMBER(E249)),NOT(ISNUMBER(E143))),IF(E249=E143,0,1),1))</f>
        <v>0</v>
      </c>
      <c r="F292" s="32" t="n">
        <f aca="false">IF(AND(ISNUMBER(F249),ISNUMBER(F143)),IF(ABS(F249-F143)&lt;=0.000000001,0,1),IF(AND(NOT(ISNUMBER(F249)),NOT(ISNUMBER(F143))),IF(F249=F143,0,1),1))</f>
        <v>0</v>
      </c>
      <c r="G292" s="32" t="n">
        <f aca="false">IF(AND(ISNUMBER(G249),ISNUMBER(G143)),IF(ABS(G249-G143)&lt;=0.000000001,0,1),IF(AND(NOT(ISNUMBER(G249)),NOT(ISNUMBER(G143))),IF(G249=G143,0,1),1))</f>
        <v>0</v>
      </c>
      <c r="H292" s="32" t="n">
        <f aca="false">IF(AND(ISNUMBER(H249),ISNUMBER(H143)),IF(ABS(H249-H143)&lt;=0.000000001,0,1),IF(AND(NOT(ISNUMBER(H249)),NOT(ISNUMBER(H143))),IF(H249=H143,0,1),1))</f>
        <v>0</v>
      </c>
      <c r="I292" s="32" t="n">
        <f aca="false">IF(AND(ISNUMBER(I249),ISNUMBER(I143)),IF(ABS(I249-I143)&lt;=0.000000001,0,1),IF(AND(NOT(ISNUMBER(I249)),NOT(ISNUMBER(I143))),IF(I249=I143,0,1),1))</f>
        <v>0</v>
      </c>
      <c r="J292" s="32" t="n">
        <f aca="false">IF(AND(ISNUMBER(J249),ISNUMBER(J143)),IF(ABS(J249-J143)&lt;=0.000000001,0,1),IF(AND(NOT(ISNUMBER(J249)),NOT(ISNUMBER(J143))),IF(J249=J143,0,1),1))</f>
        <v>0</v>
      </c>
      <c r="K292" s="32" t="n">
        <f aca="false">IF(AND(ISNUMBER(K249),ISNUMBER(K143)),IF(ABS(K249-K143)&lt;=0.000000001,0,1),IF(AND(NOT(ISNUMBER(K249)),NOT(ISNUMBER(K143))),IF(K249=K143,0,1),1))</f>
        <v>0</v>
      </c>
      <c r="L292" s="32" t="n">
        <f aca="false">IF(AND(ISNUMBER(L249),ISNUMBER(L143)),IF(ABS(L249-L143)&lt;=0.000000001,0,1),IF(AND(NOT(ISNUMBER(L249)),NOT(ISNUMBER(L143))),IF(L249=L143,0,1),1))</f>
        <v>0</v>
      </c>
      <c r="M292" s="32" t="n">
        <f aca="false">IF(AND(ISNUMBER(M249),ISNUMBER(M143)),IF(ABS(M249-M143)&lt;=0.000000001,0,1),IF(AND(NOT(ISNUMBER(M249)),NOT(ISNUMBER(M143))),IF(M249=M143,0,1),1))</f>
        <v>0</v>
      </c>
      <c r="N292" s="32" t="n">
        <f aca="false">IF(AND(ISNUMBER(N249),ISNUMBER(N143)),IF(ABS(N249-N143)&lt;=0.000000001,0,1),IF(AND(NOT(ISNUMBER(N249)),NOT(ISNUMBER(N143))),IF(N249=N143,0,1),1))</f>
        <v>0</v>
      </c>
      <c r="O292" s="32" t="n">
        <f aca="false">IF(AND(ISNUMBER(O249),ISNUMBER(O143)),IF(ABS(O249-O143)&lt;=0.000000001,0,1),IF(AND(NOT(ISNUMBER(O249)),NOT(ISNUMBER(O143))),IF(O249=O143,0,1),1))</f>
        <v>0</v>
      </c>
      <c r="P292" s="32" t="n">
        <f aca="false">IF(AND(ISNUMBER(P249),ISNUMBER(P143)),IF(ABS(P249-P143)&lt;=0.000000001,0,1),IF(AND(NOT(ISNUMBER(P249)),NOT(ISNUMBER(P143))),IF(P249=P143,0,1),1))</f>
        <v>0</v>
      </c>
      <c r="Q292" s="32" t="n">
        <f aca="false">IF(AND(ISNUMBER(Q249),ISNUMBER(Q143)),IF(ABS(Q249-Q143)&lt;=0.000000001,0,1),IF(AND(NOT(ISNUMBER(Q249)),NOT(ISNUMBER(Q143))),IF(Q249=Q143,0,1),1))</f>
        <v>0</v>
      </c>
    </row>
    <row r="293" customFormat="false" ht="15" hidden="false" customHeight="true" outlineLevel="0" collapsed="false">
      <c r="A293" s="45" t="s">
        <v>3102</v>
      </c>
      <c r="C293" s="32" t="n">
        <f aca="false">IF(AND(ISNUMBER(C254),ISNUMBER(C102)),IF(ABS(C254-C102)&lt;=0.000000001,0,1),IF(AND(NOT(ISNUMBER(C254)),NOT(ISNUMBER(C102))),IF(C254=C102,0,1),1))</f>
        <v>0</v>
      </c>
      <c r="D293" s="32" t="n">
        <f aca="false">IF(AND(ISNUMBER(D254),ISNUMBER(D102)),IF(ABS(D254-D102)&lt;=0.000000001,0,1),IF(AND(NOT(ISNUMBER(D254)),NOT(ISNUMBER(D102))),IF(D254=D102,0,1),1))</f>
        <v>0</v>
      </c>
      <c r="E293" s="32" t="n">
        <f aca="false">IF(AND(ISNUMBER(E254),ISNUMBER(E102)),IF(ABS(E254-E102)&lt;=0.000000001,0,1),IF(AND(NOT(ISNUMBER(E254)),NOT(ISNUMBER(E102))),IF(E254=E102,0,1),1))</f>
        <v>0</v>
      </c>
      <c r="F293" s="32" t="n">
        <f aca="false">IF(AND(ISNUMBER(F254),ISNUMBER(F102)),IF(ABS(F254-F102)&lt;=0.000000001,0,1),IF(AND(NOT(ISNUMBER(F254)),NOT(ISNUMBER(F102))),IF(F254=F102,0,1),1))</f>
        <v>0</v>
      </c>
      <c r="G293" s="32" t="n">
        <f aca="false">IF(AND(ISNUMBER(G254),ISNUMBER(G102)),IF(ABS(G254-G102)&lt;=0.000000001,0,1),IF(AND(NOT(ISNUMBER(G254)),NOT(ISNUMBER(G102))),IF(G254=G102,0,1),1))</f>
        <v>0</v>
      </c>
      <c r="H293" s="32" t="n">
        <f aca="false">IF(AND(ISNUMBER(H254),ISNUMBER(H102)),IF(ABS(H254-H102)&lt;=0.000000001,0,1),IF(AND(NOT(ISNUMBER(H254)),NOT(ISNUMBER(H102))),IF(H254=H102,0,1),1))</f>
        <v>0</v>
      </c>
      <c r="I293" s="32" t="n">
        <f aca="false">IF(AND(ISNUMBER(I254),ISNUMBER(I102)),IF(ABS(I254-I102)&lt;=0.000000001,0,1),IF(AND(NOT(ISNUMBER(I254)),NOT(ISNUMBER(I102))),IF(I254=I102,0,1),1))</f>
        <v>0</v>
      </c>
      <c r="J293" s="32" t="n">
        <f aca="false">IF(AND(ISNUMBER(J254),ISNUMBER(J102)),IF(ABS(J254-J102)&lt;=0.000000001,0,1),IF(AND(NOT(ISNUMBER(J254)),NOT(ISNUMBER(J102))),IF(J254=J102,0,1),1))</f>
        <v>0</v>
      </c>
      <c r="K293" s="32" t="n">
        <f aca="false">IF(AND(ISNUMBER(K254),ISNUMBER(K102)),IF(ABS(K254-K102)&lt;=0.000000001,0,1),IF(AND(NOT(ISNUMBER(K254)),NOT(ISNUMBER(K102))),IF(K254=K102,0,1),1))</f>
        <v>0</v>
      </c>
      <c r="L293" s="32" t="n">
        <f aca="false">IF(AND(ISNUMBER(L254),ISNUMBER(L102)),IF(ABS(L254-L102)&lt;=0.000000001,0,1),IF(AND(NOT(ISNUMBER(L254)),NOT(ISNUMBER(L102))),IF(L254=L102,0,1),1))</f>
        <v>0</v>
      </c>
      <c r="M293" s="32" t="n">
        <f aca="false">IF(AND(ISNUMBER(M254),ISNUMBER(M102)),IF(ABS(M254-M102)&lt;=0.000000001,0,1),IF(AND(NOT(ISNUMBER(M254)),NOT(ISNUMBER(M102))),IF(M254=M102,0,1),1))</f>
        <v>0</v>
      </c>
      <c r="N293" s="32" t="n">
        <f aca="false">IF(AND(ISNUMBER(N254),ISNUMBER(N102)),IF(ABS(N254-N102)&lt;=0.000000001,0,1),IF(AND(NOT(ISNUMBER(N254)),NOT(ISNUMBER(N102))),IF(N254=N102,0,1),1))</f>
        <v>0</v>
      </c>
      <c r="O293" s="32" t="n">
        <f aca="false">IF(AND(ISNUMBER(O254),ISNUMBER(O102)),IF(ABS(O254-O102)&lt;=0.000000001,0,1),IF(AND(NOT(ISNUMBER(O254)),NOT(ISNUMBER(O102))),IF(O254=O102,0,1),1))</f>
        <v>0</v>
      </c>
      <c r="P293" s="32" t="n">
        <f aca="false">IF(AND(ISNUMBER(P254),ISNUMBER(P102)),IF(ABS(P254-P102)&lt;=0.000000001,0,1),IF(AND(NOT(ISNUMBER(P254)),NOT(ISNUMBER(P102))),IF(P254=P102,0,1),1))</f>
        <v>0</v>
      </c>
      <c r="Q293" s="32" t="n">
        <f aca="false">IF(AND(ISNUMBER(Q254),ISNUMBER(Q102)),IF(ABS(Q254-Q102)&lt;=0.000000001,0,1),IF(AND(NOT(ISNUMBER(Q254)),NOT(ISNUMBER(Q102))),IF(Q254=Q102,0,1),1))</f>
        <v>0</v>
      </c>
    </row>
    <row r="294" customFormat="false" ht="15" hidden="false" customHeight="true" outlineLevel="0" collapsed="false">
      <c r="A294" s="45" t="s">
        <v>3103</v>
      </c>
      <c r="C294" s="32" t="n">
        <f aca="false">IF(AND(ISNUMBER(C259),ISNUMBER(C120)),IF(ABS(C259-C120)&lt;=0.000000001,0,1),IF(AND(NOT(ISNUMBER(C259)),NOT(ISNUMBER(C120))),IF(C259=C120,0,1),1))</f>
        <v>0</v>
      </c>
      <c r="D294" s="32" t="n">
        <f aca="false">IF(AND(ISNUMBER(D259),ISNUMBER(D120)),IF(ABS(D259-D120)&lt;=0.000000001,0,1),IF(AND(NOT(ISNUMBER(D259)),NOT(ISNUMBER(D120))),IF(D259=D120,0,1),1))</f>
        <v>0</v>
      </c>
      <c r="E294" s="32" t="n">
        <f aca="false">IF(AND(ISNUMBER(E259),ISNUMBER(E120)),IF(ABS(E259-E120)&lt;=0.000000001,0,1),IF(AND(NOT(ISNUMBER(E259)),NOT(ISNUMBER(E120))),IF(E259=E120,0,1),1))</f>
        <v>0</v>
      </c>
      <c r="F294" s="32" t="n">
        <f aca="false">IF(AND(ISNUMBER(F259),ISNUMBER(F120)),IF(ABS(F259-F120)&lt;=0.000000001,0,1),IF(AND(NOT(ISNUMBER(F259)),NOT(ISNUMBER(F120))),IF(F259=F120,0,1),1))</f>
        <v>0</v>
      </c>
      <c r="G294" s="32" t="n">
        <f aca="false">IF(AND(ISNUMBER(G259),ISNUMBER(G120)),IF(ABS(G259-G120)&lt;=0.000000001,0,1),IF(AND(NOT(ISNUMBER(G259)),NOT(ISNUMBER(G120))),IF(G259=G120,0,1),1))</f>
        <v>0</v>
      </c>
      <c r="H294" s="32" t="n">
        <f aca="false">IF(AND(ISNUMBER(H259),ISNUMBER(H120)),IF(ABS(H259-H120)&lt;=0.000000001,0,1),IF(AND(NOT(ISNUMBER(H259)),NOT(ISNUMBER(H120))),IF(H259=H120,0,1),1))</f>
        <v>0</v>
      </c>
      <c r="I294" s="32" t="n">
        <f aca="false">IF(AND(ISNUMBER(I259),ISNUMBER(I120)),IF(ABS(I259-I120)&lt;=0.000000001,0,1),IF(AND(NOT(ISNUMBER(I259)),NOT(ISNUMBER(I120))),IF(I259=I120,0,1),1))</f>
        <v>0</v>
      </c>
      <c r="J294" s="32" t="n">
        <f aca="false">IF(AND(ISNUMBER(J259),ISNUMBER(J120)),IF(ABS(J259-J120)&lt;=0.000000001,0,1),IF(AND(NOT(ISNUMBER(J259)),NOT(ISNUMBER(J120))),IF(J259=J120,0,1),1))</f>
        <v>0</v>
      </c>
      <c r="K294" s="32" t="n">
        <f aca="false">IF(AND(ISNUMBER(K259),ISNUMBER(K120)),IF(ABS(K259-K120)&lt;=0.000000001,0,1),IF(AND(NOT(ISNUMBER(K259)),NOT(ISNUMBER(K120))),IF(K259=K120,0,1),1))</f>
        <v>0</v>
      </c>
      <c r="L294" s="32" t="n">
        <f aca="false">IF(AND(ISNUMBER(L259),ISNUMBER(L120)),IF(ABS(L259-L120)&lt;=0.000000001,0,1),IF(AND(NOT(ISNUMBER(L259)),NOT(ISNUMBER(L120))),IF(L259=L120,0,1),1))</f>
        <v>0</v>
      </c>
      <c r="M294" s="32" t="n">
        <f aca="false">IF(AND(ISNUMBER(M259),ISNUMBER(M120)),IF(ABS(M259-M120)&lt;=0.000000001,0,1),IF(AND(NOT(ISNUMBER(M259)),NOT(ISNUMBER(M120))),IF(M259=M120,0,1),1))</f>
        <v>0</v>
      </c>
      <c r="N294" s="32" t="n">
        <f aca="false">IF(AND(ISNUMBER(N259),ISNUMBER(N120)),IF(ABS(N259-N120)&lt;=0.000000001,0,1),IF(AND(NOT(ISNUMBER(N259)),NOT(ISNUMBER(N120))),IF(N259=N120,0,1),1))</f>
        <v>0</v>
      </c>
      <c r="O294" s="32" t="n">
        <f aca="false">IF(AND(ISNUMBER(O259),ISNUMBER(O120)),IF(ABS(O259-O120)&lt;=0.000000001,0,1),IF(AND(NOT(ISNUMBER(O259)),NOT(ISNUMBER(O120))),IF(O259=O120,0,1),1))</f>
        <v>0</v>
      </c>
      <c r="P294" s="32" t="n">
        <f aca="false">IF(AND(ISNUMBER(P259),ISNUMBER(P120)),IF(ABS(P259-P120)&lt;=0.000000001,0,1),IF(AND(NOT(ISNUMBER(P259)),NOT(ISNUMBER(P120))),IF(P259=P120,0,1),1))</f>
        <v>0</v>
      </c>
      <c r="Q294" s="32" t="n">
        <f aca="false">IF(AND(ISNUMBER(Q259),ISNUMBER(Q120)),IF(ABS(Q259-Q120)&lt;=0.000000001,0,1),IF(AND(NOT(ISNUMBER(Q259)),NOT(ISNUMBER(Q120))),IF(Q259=Q120,0,1),1))</f>
        <v>0</v>
      </c>
    </row>
    <row r="295" customFormat="false" ht="15" hidden="false" customHeight="true" outlineLevel="0" collapsed="false">
      <c r="A295" s="45" t="s">
        <v>3104</v>
      </c>
      <c r="C295" s="32" t="n">
        <f aca="false">IF(AND(ISNUMBER(C264),ISNUMBER(C138)),IF(ABS(C264-C138)&lt;=0.000000001,0,1),IF(AND(NOT(ISNUMBER(C264)),NOT(ISNUMBER(C138))),IF(C264=C138,0,1),1))</f>
        <v>0</v>
      </c>
      <c r="D295" s="32" t="n">
        <f aca="false">IF(AND(ISNUMBER(D264),ISNUMBER(D138)),IF(ABS(D264-D138)&lt;=0.000000001,0,1),IF(AND(NOT(ISNUMBER(D264)),NOT(ISNUMBER(D138))),IF(D264=D138,0,1),1))</f>
        <v>0</v>
      </c>
      <c r="E295" s="32" t="n">
        <f aca="false">IF(AND(ISNUMBER(E264),ISNUMBER(E138)),IF(ABS(E264-E138)&lt;=0.000000001,0,1),IF(AND(NOT(ISNUMBER(E264)),NOT(ISNUMBER(E138))),IF(E264=E138,0,1),1))</f>
        <v>0</v>
      </c>
      <c r="F295" s="32" t="n">
        <f aca="false">IF(AND(ISNUMBER(F264),ISNUMBER(F138)),IF(ABS(F264-F138)&lt;=0.000000001,0,1),IF(AND(NOT(ISNUMBER(F264)),NOT(ISNUMBER(F138))),IF(F264=F138,0,1),1))</f>
        <v>0</v>
      </c>
      <c r="G295" s="32" t="n">
        <f aca="false">IF(AND(ISNUMBER(G264),ISNUMBER(G138)),IF(ABS(G264-G138)&lt;=0.000000001,0,1),IF(AND(NOT(ISNUMBER(G264)),NOT(ISNUMBER(G138))),IF(G264=G138,0,1),1))</f>
        <v>0</v>
      </c>
      <c r="H295" s="32" t="n">
        <f aca="false">IF(AND(ISNUMBER(H264),ISNUMBER(H138)),IF(ABS(H264-H138)&lt;=0.000000001,0,1),IF(AND(NOT(ISNUMBER(H264)),NOT(ISNUMBER(H138))),IF(H264=H138,0,1),1))</f>
        <v>0</v>
      </c>
      <c r="I295" s="32" t="n">
        <f aca="false">IF(AND(ISNUMBER(I264),ISNUMBER(I138)),IF(ABS(I264-I138)&lt;=0.000000001,0,1),IF(AND(NOT(ISNUMBER(I264)),NOT(ISNUMBER(I138))),IF(I264=I138,0,1),1))</f>
        <v>0</v>
      </c>
      <c r="J295" s="32" t="n">
        <f aca="false">IF(AND(ISNUMBER(J264),ISNUMBER(J138)),IF(ABS(J264-J138)&lt;=0.000000001,0,1),IF(AND(NOT(ISNUMBER(J264)),NOT(ISNUMBER(J138))),IF(J264=J138,0,1),1))</f>
        <v>0</v>
      </c>
      <c r="K295" s="32" t="n">
        <f aca="false">IF(AND(ISNUMBER(K264),ISNUMBER(K138)),IF(ABS(K264-K138)&lt;=0.000000001,0,1),IF(AND(NOT(ISNUMBER(K264)),NOT(ISNUMBER(K138))),IF(K264=K138,0,1),1))</f>
        <v>0</v>
      </c>
      <c r="L295" s="32" t="n">
        <f aca="false">IF(AND(ISNUMBER(L264),ISNUMBER(L138)),IF(ABS(L264-L138)&lt;=0.000000001,0,1),IF(AND(NOT(ISNUMBER(L264)),NOT(ISNUMBER(L138))),IF(L264=L138,0,1),1))</f>
        <v>0</v>
      </c>
      <c r="M295" s="32" t="n">
        <f aca="false">IF(AND(ISNUMBER(M264),ISNUMBER(M138)),IF(ABS(M264-M138)&lt;=0.000000001,0,1),IF(AND(NOT(ISNUMBER(M264)),NOT(ISNUMBER(M138))),IF(M264=M138,0,1),1))</f>
        <v>0</v>
      </c>
      <c r="N295" s="32" t="n">
        <f aca="false">IF(AND(ISNUMBER(N264),ISNUMBER(N138)),IF(ABS(N264-N138)&lt;=0.000000001,0,1),IF(AND(NOT(ISNUMBER(N264)),NOT(ISNUMBER(N138))),IF(N264=N138,0,1),1))</f>
        <v>0</v>
      </c>
      <c r="O295" s="32" t="n">
        <f aca="false">IF(AND(ISNUMBER(O264),ISNUMBER(O138)),IF(ABS(O264-O138)&lt;=0.000000001,0,1),IF(AND(NOT(ISNUMBER(O264)),NOT(ISNUMBER(O138))),IF(O264=O138,0,1),1))</f>
        <v>0</v>
      </c>
      <c r="P295" s="32" t="n">
        <f aca="false">IF(AND(ISNUMBER(P264),ISNUMBER(P138)),IF(ABS(P264-P138)&lt;=0.000000001,0,1),IF(AND(NOT(ISNUMBER(P264)),NOT(ISNUMBER(P138))),IF(P264=P138,0,1),1))</f>
        <v>0</v>
      </c>
      <c r="Q295" s="32" t="n">
        <f aca="false">IF(AND(ISNUMBER(Q264),ISNUMBER(Q138)),IF(ABS(Q264-Q138)&lt;=0.000000001,0,1),IF(AND(NOT(ISNUMBER(Q264)),NOT(ISNUMBER(Q138))),IF(Q264=Q138,0,1),1))</f>
        <v>0</v>
      </c>
    </row>
    <row r="296" customFormat="false" ht="15" hidden="false" customHeight="true" outlineLevel="0" collapsed="false">
      <c r="A296" s="45" t="s">
        <v>3105</v>
      </c>
      <c r="C296" s="32" t="n">
        <f aca="false">IF(AND(ISNUMBER(C269),ISNUMBER(C147)),IF(ABS(C269-C147)&lt;=0.000000001,0,1),IF(AND(NOT(ISNUMBER(C269)),NOT(ISNUMBER(C147))),IF(C269=C147,0,1),1))</f>
        <v>0</v>
      </c>
      <c r="D296" s="32" t="n">
        <f aca="false">IF(AND(ISNUMBER(D269),ISNUMBER(D147)),IF(ABS(D269-D147)&lt;=0.000000001,0,1),IF(AND(NOT(ISNUMBER(D269)),NOT(ISNUMBER(D147))),IF(D269=D147,0,1),1))</f>
        <v>0</v>
      </c>
      <c r="E296" s="32" t="n">
        <f aca="false">IF(AND(ISNUMBER(E269),ISNUMBER(E147)),IF(ABS(E269-E147)&lt;=0.000000001,0,1),IF(AND(NOT(ISNUMBER(E269)),NOT(ISNUMBER(E147))),IF(E269=E147,0,1),1))</f>
        <v>0</v>
      </c>
      <c r="F296" s="32" t="n">
        <f aca="false">IF(AND(ISNUMBER(F269),ISNUMBER(F147)),IF(ABS(F269-F147)&lt;=0.000000001,0,1),IF(AND(NOT(ISNUMBER(F269)),NOT(ISNUMBER(F147))),IF(F269=F147,0,1),1))</f>
        <v>0</v>
      </c>
      <c r="G296" s="32" t="n">
        <f aca="false">IF(AND(ISNUMBER(G269),ISNUMBER(G147)),IF(ABS(G269-G147)&lt;=0.000000001,0,1),IF(AND(NOT(ISNUMBER(G269)),NOT(ISNUMBER(G147))),IF(G269=G147,0,1),1))</f>
        <v>0</v>
      </c>
      <c r="H296" s="32" t="n">
        <f aca="false">IF(AND(ISNUMBER(H269),ISNUMBER(H147)),IF(ABS(H269-H147)&lt;=0.000000001,0,1),IF(AND(NOT(ISNUMBER(H269)),NOT(ISNUMBER(H147))),IF(H269=H147,0,1),1))</f>
        <v>0</v>
      </c>
      <c r="I296" s="32" t="n">
        <f aca="false">IF(AND(ISNUMBER(I269),ISNUMBER(I147)),IF(ABS(I269-I147)&lt;=0.000000001,0,1),IF(AND(NOT(ISNUMBER(I269)),NOT(ISNUMBER(I147))),IF(I269=I147,0,1),1))</f>
        <v>0</v>
      </c>
      <c r="J296" s="32" t="n">
        <f aca="false">IF(AND(ISNUMBER(J269),ISNUMBER(J147)),IF(ABS(J269-J147)&lt;=0.000000001,0,1),IF(AND(NOT(ISNUMBER(J269)),NOT(ISNUMBER(J147))),IF(J269=J147,0,1),1))</f>
        <v>0</v>
      </c>
      <c r="K296" s="32" t="n">
        <f aca="false">IF(AND(ISNUMBER(K269),ISNUMBER(K147)),IF(ABS(K269-K147)&lt;=0.000000001,0,1),IF(AND(NOT(ISNUMBER(K269)),NOT(ISNUMBER(K147))),IF(K269=K147,0,1),1))</f>
        <v>0</v>
      </c>
      <c r="L296" s="32" t="n">
        <f aca="false">IF(AND(ISNUMBER(L269),ISNUMBER(L147)),IF(ABS(L269-L147)&lt;=0.000000001,0,1),IF(AND(NOT(ISNUMBER(L269)),NOT(ISNUMBER(L147))),IF(L269=L147,0,1),1))</f>
        <v>0</v>
      </c>
      <c r="M296" s="32" t="n">
        <f aca="false">IF(AND(ISNUMBER(M269),ISNUMBER(M147)),IF(ABS(M269-M147)&lt;=0.000000001,0,1),IF(AND(NOT(ISNUMBER(M269)),NOT(ISNUMBER(M147))),IF(M269=M147,0,1),1))</f>
        <v>0</v>
      </c>
      <c r="N296" s="32" t="n">
        <f aca="false">IF(AND(ISNUMBER(N269),ISNUMBER(N147)),IF(ABS(N269-N147)&lt;=0.000000001,0,1),IF(AND(NOT(ISNUMBER(N269)),NOT(ISNUMBER(N147))),IF(N269=N147,0,1),1))</f>
        <v>0</v>
      </c>
      <c r="O296" s="32" t="n">
        <f aca="false">IF(AND(ISNUMBER(O269),ISNUMBER(O147)),IF(ABS(O269-O147)&lt;=0.000000001,0,1),IF(AND(NOT(ISNUMBER(O269)),NOT(ISNUMBER(O147))),IF(O269=O147,0,1),1))</f>
        <v>0</v>
      </c>
      <c r="P296" s="32" t="n">
        <f aca="false">IF(AND(ISNUMBER(P269),ISNUMBER(P147)),IF(ABS(P269-P147)&lt;=0.000000001,0,1),IF(AND(NOT(ISNUMBER(P269)),NOT(ISNUMBER(P147))),IF(P269=P147,0,1),1))</f>
        <v>0</v>
      </c>
      <c r="Q296" s="32" t="n">
        <f aca="false">IF(AND(ISNUMBER(Q269),ISNUMBER(Q147)),IF(ABS(Q269-Q147)&lt;=0.000000001,0,1),IF(AND(NOT(ISNUMBER(Q269)),NOT(ISNUMBER(Q147))),IF(Q269=Q147,0,1),1))</f>
        <v>0</v>
      </c>
    </row>
    <row r="297" customFormat="false" ht="15" hidden="false" customHeight="true" outlineLevel="0" collapsed="false">
      <c r="A297" s="45" t="s">
        <v>3106</v>
      </c>
      <c r="C297" s="32" t="n">
        <f aca="false">IF(AND(ISNUMBER(C273),ISNUMBER(C21)),IF(ABS(C273-C21)&lt;=0.000000001,0,1),IF(AND(NOT(ISNUMBER(C273)),NOT(ISNUMBER(C21))),IF(C273=C21,0,1),1))</f>
        <v>0</v>
      </c>
      <c r="D297" s="32" t="n">
        <f aca="false">IF(AND(ISNUMBER(D273),ISNUMBER(D21)),IF(ABS(D273-D21)&lt;=0.000000001,0,1),IF(AND(NOT(ISNUMBER(D273)),NOT(ISNUMBER(D21))),IF(D273=D21,0,1),1))</f>
        <v>0</v>
      </c>
      <c r="E297" s="32" t="n">
        <f aca="false">IF(AND(ISNUMBER(E273),ISNUMBER(E21)),IF(ABS(E273-E21)&lt;=0.000000001,0,1),IF(AND(NOT(ISNUMBER(E273)),NOT(ISNUMBER(E21))),IF(E273=E21,0,1),1))</f>
        <v>0</v>
      </c>
      <c r="F297" s="32" t="n">
        <f aca="false">IF(AND(ISNUMBER(F273),ISNUMBER(F21)),IF(ABS(F273-F21)&lt;=0.000000001,0,1),IF(AND(NOT(ISNUMBER(F273)),NOT(ISNUMBER(F21))),IF(F273=F21,0,1),1))</f>
        <v>0</v>
      </c>
      <c r="G297" s="32" t="n">
        <f aca="false">IF(AND(ISNUMBER(G273),ISNUMBER(G21)),IF(ABS(G273-G21)&lt;=0.000000001,0,1),IF(AND(NOT(ISNUMBER(G273)),NOT(ISNUMBER(G21))),IF(G273=G21,0,1),1))</f>
        <v>0</v>
      </c>
      <c r="H297" s="32" t="n">
        <f aca="false">IF(AND(ISNUMBER(H273),ISNUMBER(H21)),IF(ABS(H273-H21)&lt;=0.000000001,0,1),IF(AND(NOT(ISNUMBER(H273)),NOT(ISNUMBER(H21))),IF(H273=H21,0,1),1))</f>
        <v>0</v>
      </c>
      <c r="I297" s="32" t="n">
        <f aca="false">IF(AND(ISNUMBER(I273),ISNUMBER(I21)),IF(ABS(I273-I21)&lt;=0.000000001,0,1),IF(AND(NOT(ISNUMBER(I273)),NOT(ISNUMBER(I21))),IF(I273=I21,0,1),1))</f>
        <v>0</v>
      </c>
      <c r="J297" s="32" t="n">
        <f aca="false">IF(AND(ISNUMBER(J273),ISNUMBER(J21)),IF(ABS(J273-J21)&lt;=0.000000001,0,1),IF(AND(NOT(ISNUMBER(J273)),NOT(ISNUMBER(J21))),IF(J273=J21,0,1),1))</f>
        <v>0</v>
      </c>
      <c r="K297" s="32" t="n">
        <f aca="false">IF(AND(ISNUMBER(K273),ISNUMBER(K21)),IF(ABS(K273-K21)&lt;=0.000000001,0,1),IF(AND(NOT(ISNUMBER(K273)),NOT(ISNUMBER(K21))),IF(K273=K21,0,1),1))</f>
        <v>0</v>
      </c>
      <c r="L297" s="32" t="n">
        <f aca="false">IF(AND(ISNUMBER(L273),ISNUMBER(L21)),IF(ABS(L273-L21)&lt;=0.000000001,0,1),IF(AND(NOT(ISNUMBER(L273)),NOT(ISNUMBER(L21))),IF(L273=L21,0,1),1))</f>
        <v>0</v>
      </c>
      <c r="M297" s="32" t="n">
        <f aca="false">IF(AND(ISNUMBER(M273),ISNUMBER(M21)),IF(ABS(M273-M21)&lt;=0.000000001,0,1),IF(AND(NOT(ISNUMBER(M273)),NOT(ISNUMBER(M21))),IF(M273=M21,0,1),1))</f>
        <v>0</v>
      </c>
      <c r="N297" s="32" t="n">
        <f aca="false">IF(AND(ISNUMBER(N273),ISNUMBER(N21)),IF(ABS(N273-N21)&lt;=0.000000001,0,1),IF(AND(NOT(ISNUMBER(N273)),NOT(ISNUMBER(N21))),IF(N273=N21,0,1),1))</f>
        <v>0</v>
      </c>
      <c r="O297" s="32" t="n">
        <f aca="false">IF(AND(ISNUMBER(O273),ISNUMBER(O21)),IF(ABS(O273-O21)&lt;=0.000000001,0,1),IF(AND(NOT(ISNUMBER(O273)),NOT(ISNUMBER(O21))),IF(O273=O21,0,1),1))</f>
        <v>0</v>
      </c>
      <c r="P297" s="32" t="n">
        <f aca="false">IF(AND(ISNUMBER(P273),ISNUMBER(P21)),IF(ABS(P273-P21)&lt;=0.000000001,0,1),IF(AND(NOT(ISNUMBER(P273)),NOT(ISNUMBER(P21))),IF(P273=P21,0,1),1))</f>
        <v>0</v>
      </c>
      <c r="Q297" s="32" t="n">
        <f aca="false">IF(AND(ISNUMBER(Q273),ISNUMBER(Q21)),IF(ABS(Q273-Q21)&lt;=0.000000001,0,1),IF(AND(NOT(ISNUMBER(Q273)),NOT(ISNUMBER(Q21))),IF(Q273=Q21,0,1),1))</f>
        <v>0</v>
      </c>
    </row>
    <row r="298" customFormat="false" ht="15" hidden="false" customHeight="true" outlineLevel="0" collapsed="false">
      <c r="A298" s="45" t="s">
        <v>3107</v>
      </c>
      <c r="C298" s="32" t="n">
        <f aca="false">IF(AND(ISNUMBER(C278),ISNUMBER(C31)),IF(ABS(C278-C31)&lt;=0.000000001,0,1),IF(AND(NOT(ISNUMBER(C278)),NOT(ISNUMBER(C31))),IF(C278=C31,0,1),1))</f>
        <v>0</v>
      </c>
      <c r="D298" s="32" t="n">
        <f aca="false">IF(AND(ISNUMBER(D278),ISNUMBER(D31)),IF(ABS(D278-D31)&lt;=0.000000001,0,1),IF(AND(NOT(ISNUMBER(D278)),NOT(ISNUMBER(D31))),IF(D278=D31,0,1),1))</f>
        <v>0</v>
      </c>
      <c r="E298" s="32" t="n">
        <f aca="false">IF(AND(ISNUMBER(E278),ISNUMBER(E31)),IF(ABS(E278-E31)&lt;=0.000000001,0,1),IF(AND(NOT(ISNUMBER(E278)),NOT(ISNUMBER(E31))),IF(E278=E31,0,1),1))</f>
        <v>0</v>
      </c>
      <c r="F298" s="32" t="n">
        <f aca="false">IF(AND(ISNUMBER(F278),ISNUMBER(F31)),IF(ABS(F278-F31)&lt;=0.000000001,0,1),IF(AND(NOT(ISNUMBER(F278)),NOT(ISNUMBER(F31))),IF(F278=F31,0,1),1))</f>
        <v>0</v>
      </c>
      <c r="G298" s="32" t="n">
        <f aca="false">IF(AND(ISNUMBER(G278),ISNUMBER(G31)),IF(ABS(G278-G31)&lt;=0.000000001,0,1),IF(AND(NOT(ISNUMBER(G278)),NOT(ISNUMBER(G31))),IF(G278=G31,0,1),1))</f>
        <v>0</v>
      </c>
      <c r="H298" s="32" t="n">
        <f aca="false">IF(AND(ISNUMBER(H278),ISNUMBER(H31)),IF(ABS(H278-H31)&lt;=0.000000001,0,1),IF(AND(NOT(ISNUMBER(H278)),NOT(ISNUMBER(H31))),IF(H278=H31,0,1),1))</f>
        <v>0</v>
      </c>
      <c r="I298" s="32" t="n">
        <f aca="false">IF(AND(ISNUMBER(I278),ISNUMBER(I31)),IF(ABS(I278-I31)&lt;=0.000000001,0,1),IF(AND(NOT(ISNUMBER(I278)),NOT(ISNUMBER(I31))),IF(I278=I31,0,1),1))</f>
        <v>0</v>
      </c>
      <c r="J298" s="32" t="n">
        <f aca="false">IF(AND(ISNUMBER(J278),ISNUMBER(J31)),IF(ABS(J278-J31)&lt;=0.000000001,0,1),IF(AND(NOT(ISNUMBER(J278)),NOT(ISNUMBER(J31))),IF(J278=J31,0,1),1))</f>
        <v>0</v>
      </c>
      <c r="K298" s="32" t="n">
        <f aca="false">IF(AND(ISNUMBER(K278),ISNUMBER(K31)),IF(ABS(K278-K31)&lt;=0.000000001,0,1),IF(AND(NOT(ISNUMBER(K278)),NOT(ISNUMBER(K31))),IF(K278=K31,0,1),1))</f>
        <v>0</v>
      </c>
      <c r="L298" s="32" t="n">
        <f aca="false">IF(AND(ISNUMBER(L278),ISNUMBER(L31)),IF(ABS(L278-L31)&lt;=0.000000001,0,1),IF(AND(NOT(ISNUMBER(L278)),NOT(ISNUMBER(L31))),IF(L278=L31,0,1),1))</f>
        <v>0</v>
      </c>
      <c r="M298" s="32" t="n">
        <f aca="false">IF(AND(ISNUMBER(M278),ISNUMBER(M31)),IF(ABS(M278-M31)&lt;=0.000000001,0,1),IF(AND(NOT(ISNUMBER(M278)),NOT(ISNUMBER(M31))),IF(M278=M31,0,1),1))</f>
        <v>0</v>
      </c>
      <c r="N298" s="32" t="n">
        <f aca="false">IF(AND(ISNUMBER(N278),ISNUMBER(N31)),IF(ABS(N278-N31)&lt;=0.000000001,0,1),IF(AND(NOT(ISNUMBER(N278)),NOT(ISNUMBER(N31))),IF(N278=N31,0,1),1))</f>
        <v>0</v>
      </c>
      <c r="O298" s="32" t="n">
        <f aca="false">IF(AND(ISNUMBER(O278),ISNUMBER(O31)),IF(ABS(O278-O31)&lt;=0.000000001,0,1),IF(AND(NOT(ISNUMBER(O278)),NOT(ISNUMBER(O31))),IF(O278=O31,0,1),1))</f>
        <v>0</v>
      </c>
      <c r="P298" s="32" t="n">
        <f aca="false">IF(AND(ISNUMBER(P278),ISNUMBER(P31)),IF(ABS(P278-P31)&lt;=0.000000001,0,1),IF(AND(NOT(ISNUMBER(P278)),NOT(ISNUMBER(P31))),IF(P278=P31,0,1),1))</f>
        <v>0</v>
      </c>
      <c r="Q298" s="32" t="n">
        <f aca="false">IF(AND(ISNUMBER(Q278),ISNUMBER(Q31)),IF(ABS(Q278-Q31)&lt;=0.000000001,0,1),IF(AND(NOT(ISNUMBER(Q278)),NOT(ISNUMBER(Q31))),IF(Q278=Q31,0,1),1))</f>
        <v>0</v>
      </c>
    </row>
    <row r="299" customFormat="false" ht="15" hidden="false" customHeight="true" outlineLevel="0" collapsed="false">
      <c r="A299" s="45" t="s">
        <v>3108</v>
      </c>
      <c r="C299" s="32" t="n">
        <f aca="false">IF(AND(ISNUMBER(C283),ISNUMBER(C41)),IF(ABS(C283-C41)&lt;=0.000000001,0,1),IF(AND(NOT(ISNUMBER(C283)),NOT(ISNUMBER(C41))),IF(C283=C41,0,1),1))</f>
        <v>0</v>
      </c>
      <c r="D299" s="32" t="n">
        <f aca="false">IF(AND(ISNUMBER(D283),ISNUMBER(D41)),IF(ABS(D283-D41)&lt;=0.000000001,0,1),IF(AND(NOT(ISNUMBER(D283)),NOT(ISNUMBER(D41))),IF(D283=D41,0,1),1))</f>
        <v>0</v>
      </c>
      <c r="E299" s="32" t="n">
        <f aca="false">IF(AND(ISNUMBER(E283),ISNUMBER(E41)),IF(ABS(E283-E41)&lt;=0.000000001,0,1),IF(AND(NOT(ISNUMBER(E283)),NOT(ISNUMBER(E41))),IF(E283=E41,0,1),1))</f>
        <v>0</v>
      </c>
      <c r="F299" s="32" t="n">
        <f aca="false">IF(AND(ISNUMBER(F283),ISNUMBER(F41)),IF(ABS(F283-F41)&lt;=0.000000001,0,1),IF(AND(NOT(ISNUMBER(F283)),NOT(ISNUMBER(F41))),IF(F283=F41,0,1),1))</f>
        <v>0</v>
      </c>
      <c r="G299" s="32" t="n">
        <f aca="false">IF(AND(ISNUMBER(G283),ISNUMBER(G41)),IF(ABS(G283-G41)&lt;=0.000000001,0,1),IF(AND(NOT(ISNUMBER(G283)),NOT(ISNUMBER(G41))),IF(G283=G41,0,1),1))</f>
        <v>0</v>
      </c>
      <c r="H299" s="32" t="n">
        <f aca="false">IF(AND(ISNUMBER(H283),ISNUMBER(H41)),IF(ABS(H283-H41)&lt;=0.000000001,0,1),IF(AND(NOT(ISNUMBER(H283)),NOT(ISNUMBER(H41))),IF(H283=H41,0,1),1))</f>
        <v>0</v>
      </c>
      <c r="I299" s="32" t="n">
        <f aca="false">IF(AND(ISNUMBER(I283),ISNUMBER(I41)),IF(ABS(I283-I41)&lt;=0.000000001,0,1),IF(AND(NOT(ISNUMBER(I283)),NOT(ISNUMBER(I41))),IF(I283=I41,0,1),1))</f>
        <v>0</v>
      </c>
      <c r="J299" s="32" t="n">
        <f aca="false">IF(AND(ISNUMBER(J283),ISNUMBER(J41)),IF(ABS(J283-J41)&lt;=0.000000001,0,1),IF(AND(NOT(ISNUMBER(J283)),NOT(ISNUMBER(J41))),IF(J283=J41,0,1),1))</f>
        <v>0</v>
      </c>
      <c r="K299" s="32" t="n">
        <f aca="false">IF(AND(ISNUMBER(K283),ISNUMBER(K41)),IF(ABS(K283-K41)&lt;=0.000000001,0,1),IF(AND(NOT(ISNUMBER(K283)),NOT(ISNUMBER(K41))),IF(K283=K41,0,1),1))</f>
        <v>0</v>
      </c>
      <c r="L299" s="32" t="n">
        <f aca="false">IF(AND(ISNUMBER(L283),ISNUMBER(L41)),IF(ABS(L283-L41)&lt;=0.000000001,0,1),IF(AND(NOT(ISNUMBER(L283)),NOT(ISNUMBER(L41))),IF(L283=L41,0,1),1))</f>
        <v>0</v>
      </c>
      <c r="M299" s="32" t="n">
        <f aca="false">IF(AND(ISNUMBER(M283),ISNUMBER(M41)),IF(ABS(M283-M41)&lt;=0.000000001,0,1),IF(AND(NOT(ISNUMBER(M283)),NOT(ISNUMBER(M41))),IF(M283=M41,0,1),1))</f>
        <v>0</v>
      </c>
      <c r="N299" s="32" t="n">
        <f aca="false">IF(AND(ISNUMBER(N283),ISNUMBER(N41)),IF(ABS(N283-N41)&lt;=0.000000001,0,1),IF(AND(NOT(ISNUMBER(N283)),NOT(ISNUMBER(N41))),IF(N283=N41,0,1),1))</f>
        <v>0</v>
      </c>
      <c r="O299" s="32" t="n">
        <f aca="false">IF(AND(ISNUMBER(O283),ISNUMBER(O41)),IF(ABS(O283-O41)&lt;=0.000000001,0,1),IF(AND(NOT(ISNUMBER(O283)),NOT(ISNUMBER(O41))),IF(O283=O41,0,1),1))</f>
        <v>0</v>
      </c>
      <c r="P299" s="32" t="n">
        <f aca="false">IF(AND(ISNUMBER(P283),ISNUMBER(P41)),IF(ABS(P283-P41)&lt;=0.000000001,0,1),IF(AND(NOT(ISNUMBER(P283)),NOT(ISNUMBER(P41))),IF(P283=P41,0,1),1))</f>
        <v>0</v>
      </c>
      <c r="Q299" s="32" t="n">
        <f aca="false">IF(AND(ISNUMBER(Q283),ISNUMBER(Q41)),IF(ABS(Q283-Q41)&lt;=0.000000001,0,1),IF(AND(NOT(ISNUMBER(Q283)),NOT(ISNUMBER(Q41))),IF(Q283=Q41,0,1),1))</f>
        <v>0</v>
      </c>
    </row>
    <row r="300" customFormat="false" ht="15" hidden="false" customHeight="true" outlineLevel="0" collapsed="false">
      <c r="A300" s="45" t="s">
        <v>3109</v>
      </c>
      <c r="C300" s="32" t="n">
        <f aca="false"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>0</v>
      </c>
      <c r="D300" s="32" t="n">
        <f aca="false">IF(IF(ISNUMBER(D233),IF(ISNUMBER(D234),IF(D234-D233&gt;0.000000001*MAX(1,ABS(D233)),1,0),0),0)+IF(ISNUMBER(D234),IF(ISNUMBER(D235),IF(D235-D234&gt;0.000000001*MAX(1,ABS(D234)),1,0),0),0)+IF(ISNUMBER(D235),IF(ISNUMBER(D236),IF(D236-D235&gt;0.000000001*MAX(1,ABS(D235)),1,0),0),0)&gt;0,1,0)</f>
        <v>0</v>
      </c>
      <c r="E300" s="32" t="n">
        <f aca="false">IF(IF(ISNUMBER(E233),IF(ISNUMBER(E234),IF(E234-E233&gt;0.000000001*MAX(1,ABS(E233)),1,0),0),0)+IF(ISNUMBER(E234),IF(ISNUMBER(E235),IF(E235-E234&gt;0.000000001*MAX(1,ABS(E234)),1,0),0),0)+IF(ISNUMBER(E235),IF(ISNUMBER(E236),IF(E236-E235&gt;0.000000001*MAX(1,ABS(E235)),1,0),0),0)&gt;0,1,0)</f>
        <v>0</v>
      </c>
      <c r="F300" s="32" t="n">
        <f aca="false">IF(IF(ISNUMBER(F233),IF(ISNUMBER(F234),IF(F234-F233&gt;0.000000001*MAX(1,ABS(F233)),1,0),0),0)+IF(ISNUMBER(F234),IF(ISNUMBER(F235),IF(F235-F234&gt;0.000000001*MAX(1,ABS(F234)),1,0),0),0)+IF(ISNUMBER(F235),IF(ISNUMBER(F236),IF(F236-F235&gt;0.000000001*MAX(1,ABS(F235)),1,0),0),0)&gt;0,1,0)</f>
        <v>0</v>
      </c>
      <c r="G300" s="32" t="n">
        <f aca="false">IF(IF(ISNUMBER(G233),IF(ISNUMBER(G234),IF(G234-G233&gt;0.000000001*MAX(1,ABS(G233)),1,0),0),0)+IF(ISNUMBER(G234),IF(ISNUMBER(G235),IF(G235-G234&gt;0.000000001*MAX(1,ABS(G234)),1,0),0),0)+IF(ISNUMBER(G235),IF(ISNUMBER(G236),IF(G236-G235&gt;0.000000001*MAX(1,ABS(G235)),1,0),0),0)&gt;0,1,0)</f>
        <v>0</v>
      </c>
      <c r="H300" s="32" t="n">
        <f aca="false">IF(IF(ISNUMBER(H233),IF(ISNUMBER(H234),IF(H234-H233&gt;0.000000001*MAX(1,ABS(H233)),1,0),0),0)+IF(ISNUMBER(H234),IF(ISNUMBER(H235),IF(H235-H234&gt;0.000000001*MAX(1,ABS(H234)),1,0),0),0)+IF(ISNUMBER(H235),IF(ISNUMBER(H236),IF(H236-H235&gt;0.000000001*MAX(1,ABS(H235)),1,0),0),0)&gt;0,1,0)</f>
        <v>0</v>
      </c>
      <c r="I300" s="32" t="n">
        <f aca="false">IF(IF(ISNUMBER(I233),IF(ISNUMBER(I234),IF(I234-I233&gt;0.000000001*MAX(1,ABS(I233)),1,0),0),0)+IF(ISNUMBER(I234),IF(ISNUMBER(I235),IF(I235-I234&gt;0.000000001*MAX(1,ABS(I234)),1,0),0),0)+IF(ISNUMBER(I235),IF(ISNUMBER(I236),IF(I236-I235&gt;0.000000001*MAX(1,ABS(I235)),1,0),0),0)&gt;0,1,0)</f>
        <v>0</v>
      </c>
      <c r="J300" s="32" t="n">
        <f aca="false">IF(IF(ISNUMBER(J233),IF(ISNUMBER(J234),IF(J234-J233&gt;0.000000001*MAX(1,ABS(J233)),1,0),0),0)+IF(ISNUMBER(J234),IF(ISNUMBER(J235),IF(J235-J234&gt;0.000000001*MAX(1,ABS(J234)),1,0),0),0)+IF(ISNUMBER(J235),IF(ISNUMBER(J236),IF(J236-J235&gt;0.000000001*MAX(1,ABS(J235)),1,0),0),0)&gt;0,1,0)</f>
        <v>0</v>
      </c>
      <c r="K300" s="32" t="n">
        <f aca="false">IF(IF(ISNUMBER(K233),IF(ISNUMBER(K234),IF(K234-K233&gt;0.000000001*MAX(1,ABS(K233)),1,0),0),0)+IF(ISNUMBER(K234),IF(ISNUMBER(K235),IF(K235-K234&gt;0.000000001*MAX(1,ABS(K234)),1,0),0),0)+IF(ISNUMBER(K235),IF(ISNUMBER(K236),IF(K236-K235&gt;0.000000001*MAX(1,ABS(K235)),1,0),0),0)&gt;0,1,0)</f>
        <v>0</v>
      </c>
      <c r="L300" s="32" t="n">
        <f aca="false">IF(IF(ISNUMBER(L233),IF(ISNUMBER(L234),IF(L234-L233&gt;0.000000001*MAX(1,ABS(L233)),1,0),0),0)+IF(ISNUMBER(L234),IF(ISNUMBER(L235),IF(L235-L234&gt;0.000000001*MAX(1,ABS(L234)),1,0),0),0)+IF(ISNUMBER(L235),IF(ISNUMBER(L236),IF(L236-L235&gt;0.000000001*MAX(1,ABS(L235)),1,0),0),0)&gt;0,1,0)</f>
        <v>0</v>
      </c>
      <c r="M300" s="32" t="n">
        <f aca="false">IF(IF(ISNUMBER(M233),IF(ISNUMBER(M234),IF(M234-M233&gt;0.000000001*MAX(1,ABS(M233)),1,0),0),0)+IF(ISNUMBER(M234),IF(ISNUMBER(M235),IF(M235-M234&gt;0.000000001*MAX(1,ABS(M234)),1,0),0),0)+IF(ISNUMBER(M235),IF(ISNUMBER(M236),IF(M236-M235&gt;0.000000001*MAX(1,ABS(M235)),1,0),0),0)&gt;0,1,0)</f>
        <v>0</v>
      </c>
      <c r="N300" s="32" t="n">
        <f aca="false">IF(IF(ISNUMBER(N233),IF(ISNUMBER(N234),IF(N234-N233&gt;0.000000001*MAX(1,ABS(N233)),1,0),0),0)+IF(ISNUMBER(N234),IF(ISNUMBER(N235),IF(N235-N234&gt;0.000000001*MAX(1,ABS(N234)),1,0),0),0)+IF(ISNUMBER(N235),IF(ISNUMBER(N236),IF(N236-N235&gt;0.000000001*MAX(1,ABS(N235)),1,0),0),0)&gt;0,1,0)</f>
        <v>0</v>
      </c>
      <c r="O300" s="32" t="n">
        <f aca="false">IF(IF(ISNUMBER(O233),IF(ISNUMBER(O234),IF(O234-O233&gt;0.000000001*MAX(1,ABS(O233)),1,0),0),0)+IF(ISNUMBER(O234),IF(ISNUMBER(O235),IF(O235-O234&gt;0.000000001*MAX(1,ABS(O234)),1,0),0),0)+IF(ISNUMBER(O235),IF(ISNUMBER(O236),IF(O236-O235&gt;0.000000001*MAX(1,ABS(O235)),1,0),0),0)&gt;0,1,0)</f>
        <v>0</v>
      </c>
      <c r="P300" s="32" t="n">
        <f aca="false">IF(IF(ISNUMBER(P233),IF(ISNUMBER(P234),IF(P234-P233&gt;0.000000001*MAX(1,ABS(P233)),1,0),0),0)+IF(ISNUMBER(P234),IF(ISNUMBER(P235),IF(P235-P234&gt;0.000000001*MAX(1,ABS(P234)),1,0),0),0)+IF(ISNUMBER(P235),IF(ISNUMBER(P236),IF(P236-P235&gt;0.000000001*MAX(1,ABS(P235)),1,0),0),0)&gt;0,1,0)</f>
        <v>0</v>
      </c>
      <c r="Q300" s="32" t="n">
        <f aca="false">IF(IF(ISNUMBER(Q233),IF(ISNUMBER(Q234),IF(Q234-Q233&gt;0.000000001*MAX(1,ABS(Q233)),1,0),0),0)+IF(ISNUMBER(Q234),IF(ISNUMBER(Q235),IF(Q235-Q234&gt;0.000000001*MAX(1,ABS(Q234)),1,0),0),0)+IF(ISNUMBER(Q235),IF(ISNUMBER(Q236),IF(Q236-Q235&gt;0.000000001*MAX(1,ABS(Q235)),1,0),0),0)&gt;0,1,0)</f>
        <v>0</v>
      </c>
    </row>
    <row r="301" customFormat="false" ht="15" hidden="false" customHeight="true" outlineLevel="0" collapsed="false">
      <c r="A301" s="45" t="s">
        <v>3110</v>
      </c>
      <c r="C301" s="32" t="n">
        <f aca="false"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>0</v>
      </c>
      <c r="D301" s="32" t="n">
        <f aca="false">IF(IF(ISNUMBER(D238),IF(ISNUMBER(D239),IF(D239-D238&gt;0.000000001*MAX(1,ABS(D238)),1,0),0),0)+IF(ISNUMBER(D239),IF(ISNUMBER(D240),IF(D240-D239&gt;0.000000001*MAX(1,ABS(D239)),1,0),0),0)+IF(ISNUMBER(D240),IF(ISNUMBER(D241),IF(D241-D240&gt;0.000000001*MAX(1,ABS(D240)),1,0),0),0)&gt;0,1,0)</f>
        <v>0</v>
      </c>
      <c r="E301" s="32" t="n">
        <f aca="false">IF(IF(ISNUMBER(E238),IF(ISNUMBER(E239),IF(E239-E238&gt;0.000000001*MAX(1,ABS(E238)),1,0),0),0)+IF(ISNUMBER(E239),IF(ISNUMBER(E240),IF(E240-E239&gt;0.000000001*MAX(1,ABS(E239)),1,0),0),0)+IF(ISNUMBER(E240),IF(ISNUMBER(E241),IF(E241-E240&gt;0.000000001*MAX(1,ABS(E240)),1,0),0),0)&gt;0,1,0)</f>
        <v>0</v>
      </c>
      <c r="F301" s="32" t="n">
        <f aca="false">IF(IF(ISNUMBER(F238),IF(ISNUMBER(F239),IF(F239-F238&gt;0.000000001*MAX(1,ABS(F238)),1,0),0),0)+IF(ISNUMBER(F239),IF(ISNUMBER(F240),IF(F240-F239&gt;0.000000001*MAX(1,ABS(F239)),1,0),0),0)+IF(ISNUMBER(F240),IF(ISNUMBER(F241),IF(F241-F240&gt;0.000000001*MAX(1,ABS(F240)),1,0),0),0)&gt;0,1,0)</f>
        <v>0</v>
      </c>
      <c r="G301" s="32" t="n">
        <f aca="false">IF(IF(ISNUMBER(G238),IF(ISNUMBER(G239),IF(G239-G238&gt;0.000000001*MAX(1,ABS(G238)),1,0),0),0)+IF(ISNUMBER(G239),IF(ISNUMBER(G240),IF(G240-G239&gt;0.000000001*MAX(1,ABS(G239)),1,0),0),0)+IF(ISNUMBER(G240),IF(ISNUMBER(G241),IF(G241-G240&gt;0.000000001*MAX(1,ABS(G240)),1,0),0),0)&gt;0,1,0)</f>
        <v>0</v>
      </c>
      <c r="H301" s="32" t="n">
        <f aca="false">IF(IF(ISNUMBER(H238),IF(ISNUMBER(H239),IF(H239-H238&gt;0.000000001*MAX(1,ABS(H238)),1,0),0),0)+IF(ISNUMBER(H239),IF(ISNUMBER(H240),IF(H240-H239&gt;0.000000001*MAX(1,ABS(H239)),1,0),0),0)+IF(ISNUMBER(H240),IF(ISNUMBER(H241),IF(H241-H240&gt;0.000000001*MAX(1,ABS(H240)),1,0),0),0)&gt;0,1,0)</f>
        <v>0</v>
      </c>
      <c r="I301" s="32" t="n">
        <f aca="false">IF(IF(ISNUMBER(I238),IF(ISNUMBER(I239),IF(I239-I238&gt;0.000000001*MAX(1,ABS(I238)),1,0),0),0)+IF(ISNUMBER(I239),IF(ISNUMBER(I240),IF(I240-I239&gt;0.000000001*MAX(1,ABS(I239)),1,0),0),0)+IF(ISNUMBER(I240),IF(ISNUMBER(I241),IF(I241-I240&gt;0.000000001*MAX(1,ABS(I240)),1,0),0),0)&gt;0,1,0)</f>
        <v>0</v>
      </c>
      <c r="J301" s="32" t="n">
        <f aca="false">IF(IF(ISNUMBER(J238),IF(ISNUMBER(J239),IF(J239-J238&gt;0.000000001*MAX(1,ABS(J238)),1,0),0),0)+IF(ISNUMBER(J239),IF(ISNUMBER(J240),IF(J240-J239&gt;0.000000001*MAX(1,ABS(J239)),1,0),0),0)+IF(ISNUMBER(J240),IF(ISNUMBER(J241),IF(J241-J240&gt;0.000000001*MAX(1,ABS(J240)),1,0),0),0)&gt;0,1,0)</f>
        <v>0</v>
      </c>
      <c r="K301" s="32" t="n">
        <f aca="false">IF(IF(ISNUMBER(K238),IF(ISNUMBER(K239),IF(K239-K238&gt;0.000000001*MAX(1,ABS(K238)),1,0),0),0)+IF(ISNUMBER(K239),IF(ISNUMBER(K240),IF(K240-K239&gt;0.000000001*MAX(1,ABS(K239)),1,0),0),0)+IF(ISNUMBER(K240),IF(ISNUMBER(K241),IF(K241-K240&gt;0.000000001*MAX(1,ABS(K240)),1,0),0),0)&gt;0,1,0)</f>
        <v>0</v>
      </c>
      <c r="L301" s="32" t="n">
        <f aca="false">IF(IF(ISNUMBER(L238),IF(ISNUMBER(L239),IF(L239-L238&gt;0.000000001*MAX(1,ABS(L238)),1,0),0),0)+IF(ISNUMBER(L239),IF(ISNUMBER(L240),IF(L240-L239&gt;0.000000001*MAX(1,ABS(L239)),1,0),0),0)+IF(ISNUMBER(L240),IF(ISNUMBER(L241),IF(L241-L240&gt;0.000000001*MAX(1,ABS(L240)),1,0),0),0)&gt;0,1,0)</f>
        <v>0</v>
      </c>
      <c r="M301" s="32" t="n">
        <f aca="false">IF(IF(ISNUMBER(M238),IF(ISNUMBER(M239),IF(M239-M238&gt;0.000000001*MAX(1,ABS(M238)),1,0),0),0)+IF(ISNUMBER(M239),IF(ISNUMBER(M240),IF(M240-M239&gt;0.000000001*MAX(1,ABS(M239)),1,0),0),0)+IF(ISNUMBER(M240),IF(ISNUMBER(M241),IF(M241-M240&gt;0.000000001*MAX(1,ABS(M240)),1,0),0),0)&gt;0,1,0)</f>
        <v>0</v>
      </c>
      <c r="N301" s="32" t="n">
        <f aca="false">IF(IF(ISNUMBER(N238),IF(ISNUMBER(N239),IF(N239-N238&gt;0.000000001*MAX(1,ABS(N238)),1,0),0),0)+IF(ISNUMBER(N239),IF(ISNUMBER(N240),IF(N240-N239&gt;0.000000001*MAX(1,ABS(N239)),1,0),0),0)+IF(ISNUMBER(N240),IF(ISNUMBER(N241),IF(N241-N240&gt;0.000000001*MAX(1,ABS(N240)),1,0),0),0)&gt;0,1,0)</f>
        <v>0</v>
      </c>
      <c r="O301" s="32" t="n">
        <f aca="false">IF(IF(ISNUMBER(O238),IF(ISNUMBER(O239),IF(O239-O238&gt;0.000000001*MAX(1,ABS(O238)),1,0),0),0)+IF(ISNUMBER(O239),IF(ISNUMBER(O240),IF(O240-O239&gt;0.000000001*MAX(1,ABS(O239)),1,0),0),0)+IF(ISNUMBER(O240),IF(ISNUMBER(O241),IF(O241-O240&gt;0.000000001*MAX(1,ABS(O240)),1,0),0),0)&gt;0,1,0)</f>
        <v>0</v>
      </c>
      <c r="P301" s="32" t="n">
        <f aca="false">IF(IF(ISNUMBER(P238),IF(ISNUMBER(P239),IF(P239-P238&gt;0.000000001*MAX(1,ABS(P238)),1,0),0),0)+IF(ISNUMBER(P239),IF(ISNUMBER(P240),IF(P240-P239&gt;0.000000001*MAX(1,ABS(P239)),1,0),0),0)+IF(ISNUMBER(P240),IF(ISNUMBER(P241),IF(P241-P240&gt;0.000000001*MAX(1,ABS(P240)),1,0),0),0)&gt;0,1,0)</f>
        <v>0</v>
      </c>
      <c r="Q301" s="32" t="n">
        <f aca="false">IF(IF(ISNUMBER(Q238),IF(ISNUMBER(Q239),IF(Q239-Q238&gt;0.000000001*MAX(1,ABS(Q238)),1,0),0),0)+IF(ISNUMBER(Q239),IF(ISNUMBER(Q240),IF(Q240-Q239&gt;0.000000001*MAX(1,ABS(Q239)),1,0),0),0)+IF(ISNUMBER(Q240),IF(ISNUMBER(Q241),IF(Q241-Q240&gt;0.000000001*MAX(1,ABS(Q240)),1,0),0),0)&gt;0,1,0)</f>
        <v>0</v>
      </c>
    </row>
    <row r="302" customFormat="false" ht="15" hidden="false" customHeight="true" outlineLevel="0" collapsed="false">
      <c r="A302" s="45" t="s">
        <v>3111</v>
      </c>
      <c r="C302" s="32" t="n">
        <f aca="false"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>0</v>
      </c>
      <c r="D302" s="32" t="n">
        <f aca="false">IF(IF(ISNUMBER(D243),IF(ISNUMBER(D244),IF(D244-D243&gt;0.000000001*MAX(1,ABS(D243)),1,0),0),0)+IF(ISNUMBER(D244),IF(ISNUMBER(D245),IF(D245-D244&gt;0.000000001*MAX(1,ABS(D244)),1,0),0),0)+IF(ISNUMBER(D245),IF(ISNUMBER(D246),IF(D246-D245&gt;0.000000001*MAX(1,ABS(D245)),1,0),0),0)&gt;0,1,0)</f>
        <v>0</v>
      </c>
      <c r="E302" s="32" t="n">
        <f aca="false">IF(IF(ISNUMBER(E243),IF(ISNUMBER(E244),IF(E244-E243&gt;0.000000001*MAX(1,ABS(E243)),1,0),0),0)+IF(ISNUMBER(E244),IF(ISNUMBER(E245),IF(E245-E244&gt;0.000000001*MAX(1,ABS(E244)),1,0),0),0)+IF(ISNUMBER(E245),IF(ISNUMBER(E246),IF(E246-E245&gt;0.000000001*MAX(1,ABS(E245)),1,0),0),0)&gt;0,1,0)</f>
        <v>0</v>
      </c>
      <c r="F302" s="32" t="n">
        <f aca="false">IF(IF(ISNUMBER(F243),IF(ISNUMBER(F244),IF(F244-F243&gt;0.000000001*MAX(1,ABS(F243)),1,0),0),0)+IF(ISNUMBER(F244),IF(ISNUMBER(F245),IF(F245-F244&gt;0.000000001*MAX(1,ABS(F244)),1,0),0),0)+IF(ISNUMBER(F245),IF(ISNUMBER(F246),IF(F246-F245&gt;0.000000001*MAX(1,ABS(F245)),1,0),0),0)&gt;0,1,0)</f>
        <v>0</v>
      </c>
      <c r="G302" s="32" t="n">
        <f aca="false">IF(IF(ISNUMBER(G243),IF(ISNUMBER(G244),IF(G244-G243&gt;0.000000001*MAX(1,ABS(G243)),1,0),0),0)+IF(ISNUMBER(G244),IF(ISNUMBER(G245),IF(G245-G244&gt;0.000000001*MAX(1,ABS(G244)),1,0),0),0)+IF(ISNUMBER(G245),IF(ISNUMBER(G246),IF(G246-G245&gt;0.000000001*MAX(1,ABS(G245)),1,0),0),0)&gt;0,1,0)</f>
        <v>0</v>
      </c>
      <c r="H302" s="32" t="n">
        <f aca="false">IF(IF(ISNUMBER(H243),IF(ISNUMBER(H244),IF(H244-H243&gt;0.000000001*MAX(1,ABS(H243)),1,0),0),0)+IF(ISNUMBER(H244),IF(ISNUMBER(H245),IF(H245-H244&gt;0.000000001*MAX(1,ABS(H244)),1,0),0),0)+IF(ISNUMBER(H245),IF(ISNUMBER(H246),IF(H246-H245&gt;0.000000001*MAX(1,ABS(H245)),1,0),0),0)&gt;0,1,0)</f>
        <v>0</v>
      </c>
      <c r="I302" s="32" t="n">
        <f aca="false">IF(IF(ISNUMBER(I243),IF(ISNUMBER(I244),IF(I244-I243&gt;0.000000001*MAX(1,ABS(I243)),1,0),0),0)+IF(ISNUMBER(I244),IF(ISNUMBER(I245),IF(I245-I244&gt;0.000000001*MAX(1,ABS(I244)),1,0),0),0)+IF(ISNUMBER(I245),IF(ISNUMBER(I246),IF(I246-I245&gt;0.000000001*MAX(1,ABS(I245)),1,0),0),0)&gt;0,1,0)</f>
        <v>0</v>
      </c>
      <c r="J302" s="32" t="n">
        <f aca="false">IF(IF(ISNUMBER(J243),IF(ISNUMBER(J244),IF(J244-J243&gt;0.000000001*MAX(1,ABS(J243)),1,0),0),0)+IF(ISNUMBER(J244),IF(ISNUMBER(J245),IF(J245-J244&gt;0.000000001*MAX(1,ABS(J244)),1,0),0),0)+IF(ISNUMBER(J245),IF(ISNUMBER(J246),IF(J246-J245&gt;0.000000001*MAX(1,ABS(J245)),1,0),0),0)&gt;0,1,0)</f>
        <v>0</v>
      </c>
      <c r="K302" s="32" t="n">
        <f aca="false">IF(IF(ISNUMBER(K243),IF(ISNUMBER(K244),IF(K244-K243&gt;0.000000001*MAX(1,ABS(K243)),1,0),0),0)+IF(ISNUMBER(K244),IF(ISNUMBER(K245),IF(K245-K244&gt;0.000000001*MAX(1,ABS(K244)),1,0),0),0)+IF(ISNUMBER(K245),IF(ISNUMBER(K246),IF(K246-K245&gt;0.000000001*MAX(1,ABS(K245)),1,0),0),0)&gt;0,1,0)</f>
        <v>0</v>
      </c>
      <c r="L302" s="32" t="n">
        <f aca="false">IF(IF(ISNUMBER(L243),IF(ISNUMBER(L244),IF(L244-L243&gt;0.000000001*MAX(1,ABS(L243)),1,0),0),0)+IF(ISNUMBER(L244),IF(ISNUMBER(L245),IF(L245-L244&gt;0.000000001*MAX(1,ABS(L244)),1,0),0),0)+IF(ISNUMBER(L245),IF(ISNUMBER(L246),IF(L246-L245&gt;0.000000001*MAX(1,ABS(L245)),1,0),0),0)&gt;0,1,0)</f>
        <v>0</v>
      </c>
      <c r="M302" s="32" t="n">
        <f aca="false">IF(IF(ISNUMBER(M243),IF(ISNUMBER(M244),IF(M244-M243&gt;0.000000001*MAX(1,ABS(M243)),1,0),0),0)+IF(ISNUMBER(M244),IF(ISNUMBER(M245),IF(M245-M244&gt;0.000000001*MAX(1,ABS(M244)),1,0),0),0)+IF(ISNUMBER(M245),IF(ISNUMBER(M246),IF(M246-M245&gt;0.000000001*MAX(1,ABS(M245)),1,0),0),0)&gt;0,1,0)</f>
        <v>0</v>
      </c>
      <c r="N302" s="32" t="n">
        <f aca="false">IF(IF(ISNUMBER(N243),IF(ISNUMBER(N244),IF(N244-N243&gt;0.000000001*MAX(1,ABS(N243)),1,0),0),0)+IF(ISNUMBER(N244),IF(ISNUMBER(N245),IF(N245-N244&gt;0.000000001*MAX(1,ABS(N244)),1,0),0),0)+IF(ISNUMBER(N245),IF(ISNUMBER(N246),IF(N246-N245&gt;0.000000001*MAX(1,ABS(N245)),1,0),0),0)&gt;0,1,0)</f>
        <v>0</v>
      </c>
      <c r="O302" s="32" t="n">
        <f aca="false">IF(IF(ISNUMBER(O243),IF(ISNUMBER(O244),IF(O244-O243&gt;0.000000001*MAX(1,ABS(O243)),1,0),0),0)+IF(ISNUMBER(O244),IF(ISNUMBER(O245),IF(O245-O244&gt;0.000000001*MAX(1,ABS(O244)),1,0),0),0)+IF(ISNUMBER(O245),IF(ISNUMBER(O246),IF(O246-O245&gt;0.000000001*MAX(1,ABS(O245)),1,0),0),0)&gt;0,1,0)</f>
        <v>0</v>
      </c>
      <c r="P302" s="32" t="n">
        <f aca="false">IF(IF(ISNUMBER(P243),IF(ISNUMBER(P244),IF(P244-P243&gt;0.000000001*MAX(1,ABS(P243)),1,0),0),0)+IF(ISNUMBER(P244),IF(ISNUMBER(P245),IF(P245-P244&gt;0.000000001*MAX(1,ABS(P244)),1,0),0),0)+IF(ISNUMBER(P245),IF(ISNUMBER(P246),IF(P246-P245&gt;0.000000001*MAX(1,ABS(P245)),1,0),0),0)&gt;0,1,0)</f>
        <v>0</v>
      </c>
      <c r="Q302" s="32" t="n">
        <f aca="false">IF(IF(ISNUMBER(Q243),IF(ISNUMBER(Q244),IF(Q244-Q243&gt;0.000000001*MAX(1,ABS(Q243)),1,0),0),0)+IF(ISNUMBER(Q244),IF(ISNUMBER(Q245),IF(Q245-Q244&gt;0.000000001*MAX(1,ABS(Q244)),1,0),0),0)+IF(ISNUMBER(Q245),IF(ISNUMBER(Q246),IF(Q246-Q245&gt;0.000000001*MAX(1,ABS(Q245)),1,0),0),0)&gt;0,1,0)</f>
        <v>0</v>
      </c>
    </row>
    <row r="303" customFormat="false" ht="15" hidden="false" customHeight="true" outlineLevel="0" collapsed="false">
      <c r="A303" s="45" t="s">
        <v>3112</v>
      </c>
      <c r="C303" s="32" t="n">
        <f aca="false"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>0</v>
      </c>
      <c r="D303" s="32" t="n">
        <f aca="false">IF(IF(ISNUMBER(D248),IF(ISNUMBER(D249),IF(D249-D248&gt;0.000000001*MAX(1,ABS(D248)),1,0),0),0)+IF(ISNUMBER(D249),IF(ISNUMBER(D250),IF(D250-D249&gt;0.000000001*MAX(1,ABS(D249)),1,0),0),0)+IF(ISNUMBER(D250),IF(ISNUMBER(D251),IF(D251-D250&gt;0.000000001*MAX(1,ABS(D250)),1,0),0),0)&gt;0,1,0)</f>
        <v>0</v>
      </c>
      <c r="E303" s="32" t="n">
        <f aca="false">IF(IF(ISNUMBER(E248),IF(ISNUMBER(E249),IF(E249-E248&gt;0.000000001*MAX(1,ABS(E248)),1,0),0),0)+IF(ISNUMBER(E249),IF(ISNUMBER(E250),IF(E250-E249&gt;0.000000001*MAX(1,ABS(E249)),1,0),0),0)+IF(ISNUMBER(E250),IF(ISNUMBER(E251),IF(E251-E250&gt;0.000000001*MAX(1,ABS(E250)),1,0),0),0)&gt;0,1,0)</f>
        <v>0</v>
      </c>
      <c r="F303" s="32" t="n">
        <f aca="false">IF(IF(ISNUMBER(F248),IF(ISNUMBER(F249),IF(F249-F248&gt;0.000000001*MAX(1,ABS(F248)),1,0),0),0)+IF(ISNUMBER(F249),IF(ISNUMBER(F250),IF(F250-F249&gt;0.000000001*MAX(1,ABS(F249)),1,0),0),0)+IF(ISNUMBER(F250),IF(ISNUMBER(F251),IF(F251-F250&gt;0.000000001*MAX(1,ABS(F250)),1,0),0),0)&gt;0,1,0)</f>
        <v>0</v>
      </c>
      <c r="G303" s="32" t="n">
        <f aca="false">IF(IF(ISNUMBER(G248),IF(ISNUMBER(G249),IF(G249-G248&gt;0.000000001*MAX(1,ABS(G248)),1,0),0),0)+IF(ISNUMBER(G249),IF(ISNUMBER(G250),IF(G250-G249&gt;0.000000001*MAX(1,ABS(G249)),1,0),0),0)+IF(ISNUMBER(G250),IF(ISNUMBER(G251),IF(G251-G250&gt;0.000000001*MAX(1,ABS(G250)),1,0),0),0)&gt;0,1,0)</f>
        <v>0</v>
      </c>
      <c r="H303" s="32" t="n">
        <f aca="false">IF(IF(ISNUMBER(H248),IF(ISNUMBER(H249),IF(H249-H248&gt;0.000000001*MAX(1,ABS(H248)),1,0),0),0)+IF(ISNUMBER(H249),IF(ISNUMBER(H250),IF(H250-H249&gt;0.000000001*MAX(1,ABS(H249)),1,0),0),0)+IF(ISNUMBER(H250),IF(ISNUMBER(H251),IF(H251-H250&gt;0.000000001*MAX(1,ABS(H250)),1,0),0),0)&gt;0,1,0)</f>
        <v>0</v>
      </c>
      <c r="I303" s="32" t="n">
        <f aca="false">IF(IF(ISNUMBER(I248),IF(ISNUMBER(I249),IF(I249-I248&gt;0.000000001*MAX(1,ABS(I248)),1,0),0),0)+IF(ISNUMBER(I249),IF(ISNUMBER(I250),IF(I250-I249&gt;0.000000001*MAX(1,ABS(I249)),1,0),0),0)+IF(ISNUMBER(I250),IF(ISNUMBER(I251),IF(I251-I250&gt;0.000000001*MAX(1,ABS(I250)),1,0),0),0)&gt;0,1,0)</f>
        <v>0</v>
      </c>
      <c r="J303" s="32" t="n">
        <f aca="false">IF(IF(ISNUMBER(J248),IF(ISNUMBER(J249),IF(J249-J248&gt;0.000000001*MAX(1,ABS(J248)),1,0),0),0)+IF(ISNUMBER(J249),IF(ISNUMBER(J250),IF(J250-J249&gt;0.000000001*MAX(1,ABS(J249)),1,0),0),0)+IF(ISNUMBER(J250),IF(ISNUMBER(J251),IF(J251-J250&gt;0.000000001*MAX(1,ABS(J250)),1,0),0),0)&gt;0,1,0)</f>
        <v>0</v>
      </c>
      <c r="K303" s="32" t="n">
        <f aca="false">IF(IF(ISNUMBER(K248),IF(ISNUMBER(K249),IF(K249-K248&gt;0.000000001*MAX(1,ABS(K248)),1,0),0),0)+IF(ISNUMBER(K249),IF(ISNUMBER(K250),IF(K250-K249&gt;0.000000001*MAX(1,ABS(K249)),1,0),0),0)+IF(ISNUMBER(K250),IF(ISNUMBER(K251),IF(K251-K250&gt;0.000000001*MAX(1,ABS(K250)),1,0),0),0)&gt;0,1,0)</f>
        <v>0</v>
      </c>
      <c r="L303" s="32" t="n">
        <f aca="false">IF(IF(ISNUMBER(L248),IF(ISNUMBER(L249),IF(L249-L248&gt;0.000000001*MAX(1,ABS(L248)),1,0),0),0)+IF(ISNUMBER(L249),IF(ISNUMBER(L250),IF(L250-L249&gt;0.000000001*MAX(1,ABS(L249)),1,0),0),0)+IF(ISNUMBER(L250),IF(ISNUMBER(L251),IF(L251-L250&gt;0.000000001*MAX(1,ABS(L250)),1,0),0),0)&gt;0,1,0)</f>
        <v>0</v>
      </c>
      <c r="M303" s="32" t="n">
        <f aca="false">IF(IF(ISNUMBER(M248),IF(ISNUMBER(M249),IF(M249-M248&gt;0.000000001*MAX(1,ABS(M248)),1,0),0),0)+IF(ISNUMBER(M249),IF(ISNUMBER(M250),IF(M250-M249&gt;0.000000001*MAX(1,ABS(M249)),1,0),0),0)+IF(ISNUMBER(M250),IF(ISNUMBER(M251),IF(M251-M250&gt;0.000000001*MAX(1,ABS(M250)),1,0),0),0)&gt;0,1,0)</f>
        <v>0</v>
      </c>
      <c r="N303" s="32" t="n">
        <f aca="false">IF(IF(ISNUMBER(N248),IF(ISNUMBER(N249),IF(N249-N248&gt;0.000000001*MAX(1,ABS(N248)),1,0),0),0)+IF(ISNUMBER(N249),IF(ISNUMBER(N250),IF(N250-N249&gt;0.000000001*MAX(1,ABS(N249)),1,0),0),0)+IF(ISNUMBER(N250),IF(ISNUMBER(N251),IF(N251-N250&gt;0.000000001*MAX(1,ABS(N250)),1,0),0),0)&gt;0,1,0)</f>
        <v>0</v>
      </c>
      <c r="O303" s="32" t="n">
        <f aca="false">IF(IF(ISNUMBER(O248),IF(ISNUMBER(O249),IF(O249-O248&gt;0.000000001*MAX(1,ABS(O248)),1,0),0),0)+IF(ISNUMBER(O249),IF(ISNUMBER(O250),IF(O250-O249&gt;0.000000001*MAX(1,ABS(O249)),1,0),0),0)+IF(ISNUMBER(O250),IF(ISNUMBER(O251),IF(O251-O250&gt;0.000000001*MAX(1,ABS(O250)),1,0),0),0)&gt;0,1,0)</f>
        <v>0</v>
      </c>
      <c r="P303" s="32" t="n">
        <f aca="false">IF(IF(ISNUMBER(P248),IF(ISNUMBER(P249),IF(P249-P248&gt;0.000000001*MAX(1,ABS(P248)),1,0),0),0)+IF(ISNUMBER(P249),IF(ISNUMBER(P250),IF(P250-P249&gt;0.000000001*MAX(1,ABS(P249)),1,0),0),0)+IF(ISNUMBER(P250),IF(ISNUMBER(P251),IF(P251-P250&gt;0.000000001*MAX(1,ABS(P250)),1,0),0),0)&gt;0,1,0)</f>
        <v>0</v>
      </c>
      <c r="Q303" s="32" t="n">
        <f aca="false">IF(IF(ISNUMBER(Q248),IF(ISNUMBER(Q249),IF(Q249-Q248&gt;0.000000001*MAX(1,ABS(Q248)),1,0),0),0)+IF(ISNUMBER(Q249),IF(ISNUMBER(Q250),IF(Q250-Q249&gt;0.000000001*MAX(1,ABS(Q249)),1,0),0),0)+IF(ISNUMBER(Q250),IF(ISNUMBER(Q251),IF(Q251-Q250&gt;0.000000001*MAX(1,ABS(Q250)),1,0),0),0)&gt;0,1,0)</f>
        <v>0</v>
      </c>
    </row>
    <row r="304" customFormat="false" ht="15" hidden="false" customHeight="true" outlineLevel="0" collapsed="false">
      <c r="A304" s="45" t="s">
        <v>3113</v>
      </c>
      <c r="C304" s="32" t="n">
        <f aca="false"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>0</v>
      </c>
      <c r="D304" s="32" t="n">
        <f aca="false">IF(IF(ISNUMBER(D253),IF(ISNUMBER(D254),IF(D254-D253&gt;0.000000001*MAX(1,ABS(D253)),1,0),0),0)+IF(ISNUMBER(D254),IF(ISNUMBER(D255),IF(D255-D254&gt;0.000000001*MAX(1,ABS(D254)),1,0),0),0)+IF(ISNUMBER(D255),IF(ISNUMBER(D256),IF(D256-D255&gt;0.000000001*MAX(1,ABS(D255)),1,0),0),0)&gt;0,1,0)</f>
        <v>0</v>
      </c>
      <c r="E304" s="32" t="n">
        <f aca="false">IF(IF(ISNUMBER(E253),IF(ISNUMBER(E254),IF(E254-E253&gt;0.000000001*MAX(1,ABS(E253)),1,0),0),0)+IF(ISNUMBER(E254),IF(ISNUMBER(E255),IF(E255-E254&gt;0.000000001*MAX(1,ABS(E254)),1,0),0),0)+IF(ISNUMBER(E255),IF(ISNUMBER(E256),IF(E256-E255&gt;0.000000001*MAX(1,ABS(E255)),1,0),0),0)&gt;0,1,0)</f>
        <v>0</v>
      </c>
      <c r="F304" s="32" t="n">
        <f aca="false">IF(IF(ISNUMBER(F253),IF(ISNUMBER(F254),IF(F254-F253&gt;0.000000001*MAX(1,ABS(F253)),1,0),0),0)+IF(ISNUMBER(F254),IF(ISNUMBER(F255),IF(F255-F254&gt;0.000000001*MAX(1,ABS(F254)),1,0),0),0)+IF(ISNUMBER(F255),IF(ISNUMBER(F256),IF(F256-F255&gt;0.000000001*MAX(1,ABS(F255)),1,0),0),0)&gt;0,1,0)</f>
        <v>0</v>
      </c>
      <c r="G304" s="32" t="n">
        <f aca="false">IF(IF(ISNUMBER(G253),IF(ISNUMBER(G254),IF(G254-G253&gt;0.000000001*MAX(1,ABS(G253)),1,0),0),0)+IF(ISNUMBER(G254),IF(ISNUMBER(G255),IF(G255-G254&gt;0.000000001*MAX(1,ABS(G254)),1,0),0),0)+IF(ISNUMBER(G255),IF(ISNUMBER(G256),IF(G256-G255&gt;0.000000001*MAX(1,ABS(G255)),1,0),0),0)&gt;0,1,0)</f>
        <v>0</v>
      </c>
      <c r="H304" s="32" t="n">
        <f aca="false">IF(IF(ISNUMBER(H253),IF(ISNUMBER(H254),IF(H254-H253&gt;0.000000001*MAX(1,ABS(H253)),1,0),0),0)+IF(ISNUMBER(H254),IF(ISNUMBER(H255),IF(H255-H254&gt;0.000000001*MAX(1,ABS(H254)),1,0),0),0)+IF(ISNUMBER(H255),IF(ISNUMBER(H256),IF(H256-H255&gt;0.000000001*MAX(1,ABS(H255)),1,0),0),0)&gt;0,1,0)</f>
        <v>0</v>
      </c>
      <c r="I304" s="32" t="n">
        <f aca="false">IF(IF(ISNUMBER(I253),IF(ISNUMBER(I254),IF(I254-I253&gt;0.000000001*MAX(1,ABS(I253)),1,0),0),0)+IF(ISNUMBER(I254),IF(ISNUMBER(I255),IF(I255-I254&gt;0.000000001*MAX(1,ABS(I254)),1,0),0),0)+IF(ISNUMBER(I255),IF(ISNUMBER(I256),IF(I256-I255&gt;0.000000001*MAX(1,ABS(I255)),1,0),0),0)&gt;0,1,0)</f>
        <v>0</v>
      </c>
      <c r="J304" s="32" t="n">
        <f aca="false">IF(IF(ISNUMBER(J253),IF(ISNUMBER(J254),IF(J254-J253&gt;0.000000001*MAX(1,ABS(J253)),1,0),0),0)+IF(ISNUMBER(J254),IF(ISNUMBER(J255),IF(J255-J254&gt;0.000000001*MAX(1,ABS(J254)),1,0),0),0)+IF(ISNUMBER(J255),IF(ISNUMBER(J256),IF(J256-J255&gt;0.000000001*MAX(1,ABS(J255)),1,0),0),0)&gt;0,1,0)</f>
        <v>0</v>
      </c>
      <c r="K304" s="32" t="n">
        <f aca="false">IF(IF(ISNUMBER(K253),IF(ISNUMBER(K254),IF(K254-K253&gt;0.000000001*MAX(1,ABS(K253)),1,0),0),0)+IF(ISNUMBER(K254),IF(ISNUMBER(K255),IF(K255-K254&gt;0.000000001*MAX(1,ABS(K254)),1,0),0),0)+IF(ISNUMBER(K255),IF(ISNUMBER(K256),IF(K256-K255&gt;0.000000001*MAX(1,ABS(K255)),1,0),0),0)&gt;0,1,0)</f>
        <v>0</v>
      </c>
      <c r="L304" s="32" t="n">
        <f aca="false">IF(IF(ISNUMBER(L253),IF(ISNUMBER(L254),IF(L254-L253&gt;0.000000001*MAX(1,ABS(L253)),1,0),0),0)+IF(ISNUMBER(L254),IF(ISNUMBER(L255),IF(L255-L254&gt;0.000000001*MAX(1,ABS(L254)),1,0),0),0)+IF(ISNUMBER(L255),IF(ISNUMBER(L256),IF(L256-L255&gt;0.000000001*MAX(1,ABS(L255)),1,0),0),0)&gt;0,1,0)</f>
        <v>0</v>
      </c>
      <c r="M304" s="32" t="n">
        <f aca="false">IF(IF(ISNUMBER(M253),IF(ISNUMBER(M254),IF(M254-M253&gt;0.000000001*MAX(1,ABS(M253)),1,0),0),0)+IF(ISNUMBER(M254),IF(ISNUMBER(M255),IF(M255-M254&gt;0.000000001*MAX(1,ABS(M254)),1,0),0),0)+IF(ISNUMBER(M255),IF(ISNUMBER(M256),IF(M256-M255&gt;0.000000001*MAX(1,ABS(M255)),1,0),0),0)&gt;0,1,0)</f>
        <v>0</v>
      </c>
      <c r="N304" s="32" t="n">
        <f aca="false">IF(IF(ISNUMBER(N253),IF(ISNUMBER(N254),IF(N254-N253&gt;0.000000001*MAX(1,ABS(N253)),1,0),0),0)+IF(ISNUMBER(N254),IF(ISNUMBER(N255),IF(N255-N254&gt;0.000000001*MAX(1,ABS(N254)),1,0),0),0)+IF(ISNUMBER(N255),IF(ISNUMBER(N256),IF(N256-N255&gt;0.000000001*MAX(1,ABS(N255)),1,0),0),0)&gt;0,1,0)</f>
        <v>0</v>
      </c>
      <c r="O304" s="32" t="n">
        <f aca="false">IF(IF(ISNUMBER(O253),IF(ISNUMBER(O254),IF(O254-O253&gt;0.000000001*MAX(1,ABS(O253)),1,0),0),0)+IF(ISNUMBER(O254),IF(ISNUMBER(O255),IF(O255-O254&gt;0.000000001*MAX(1,ABS(O254)),1,0),0),0)+IF(ISNUMBER(O255),IF(ISNUMBER(O256),IF(O256-O255&gt;0.000000001*MAX(1,ABS(O255)),1,0),0),0)&gt;0,1,0)</f>
        <v>0</v>
      </c>
      <c r="P304" s="32" t="n">
        <f aca="false">IF(IF(ISNUMBER(P253),IF(ISNUMBER(P254),IF(P254-P253&gt;0.000000001*MAX(1,ABS(P253)),1,0),0),0)+IF(ISNUMBER(P254),IF(ISNUMBER(P255),IF(P255-P254&gt;0.000000001*MAX(1,ABS(P254)),1,0),0),0)+IF(ISNUMBER(P255),IF(ISNUMBER(P256),IF(P256-P255&gt;0.000000001*MAX(1,ABS(P255)),1,0),0),0)&gt;0,1,0)</f>
        <v>0</v>
      </c>
      <c r="Q304" s="32" t="n">
        <f aca="false">IF(IF(ISNUMBER(Q253),IF(ISNUMBER(Q254),IF(Q254-Q253&gt;0.000000001*MAX(1,ABS(Q253)),1,0),0),0)+IF(ISNUMBER(Q254),IF(ISNUMBER(Q255),IF(Q255-Q254&gt;0.000000001*MAX(1,ABS(Q254)),1,0),0),0)+IF(ISNUMBER(Q255),IF(ISNUMBER(Q256),IF(Q256-Q255&gt;0.000000001*MAX(1,ABS(Q255)),1,0),0),0)&gt;0,1,0)</f>
        <v>0</v>
      </c>
    </row>
    <row r="305" customFormat="false" ht="15" hidden="false" customHeight="true" outlineLevel="0" collapsed="false">
      <c r="A305" s="45" t="s">
        <v>3114</v>
      </c>
      <c r="C305" s="32" t="n">
        <f aca="false"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>0</v>
      </c>
      <c r="D305" s="32" t="n">
        <f aca="false">IF(IF(ISNUMBER(D258),IF(ISNUMBER(D259),IF(D259-D258&gt;0.000000001*MAX(1,ABS(D258)),1,0),0),0)+IF(ISNUMBER(D259),IF(ISNUMBER(D260),IF(D260-D259&gt;0.000000001*MAX(1,ABS(D259)),1,0),0),0)+IF(ISNUMBER(D260),IF(ISNUMBER(D261),IF(D261-D260&gt;0.000000001*MAX(1,ABS(D260)),1,0),0),0)&gt;0,1,0)</f>
        <v>0</v>
      </c>
      <c r="E305" s="32" t="n">
        <f aca="false">IF(IF(ISNUMBER(E258),IF(ISNUMBER(E259),IF(E259-E258&gt;0.000000001*MAX(1,ABS(E258)),1,0),0),0)+IF(ISNUMBER(E259),IF(ISNUMBER(E260),IF(E260-E259&gt;0.000000001*MAX(1,ABS(E259)),1,0),0),0)+IF(ISNUMBER(E260),IF(ISNUMBER(E261),IF(E261-E260&gt;0.000000001*MAX(1,ABS(E260)),1,0),0),0)&gt;0,1,0)</f>
        <v>0</v>
      </c>
      <c r="F305" s="32" t="n">
        <f aca="false">IF(IF(ISNUMBER(F258),IF(ISNUMBER(F259),IF(F259-F258&gt;0.000000001*MAX(1,ABS(F258)),1,0),0),0)+IF(ISNUMBER(F259),IF(ISNUMBER(F260),IF(F260-F259&gt;0.000000001*MAX(1,ABS(F259)),1,0),0),0)+IF(ISNUMBER(F260),IF(ISNUMBER(F261),IF(F261-F260&gt;0.000000001*MAX(1,ABS(F260)),1,0),0),0)&gt;0,1,0)</f>
        <v>0</v>
      </c>
      <c r="G305" s="32" t="n">
        <f aca="false">IF(IF(ISNUMBER(G258),IF(ISNUMBER(G259),IF(G259-G258&gt;0.000000001*MAX(1,ABS(G258)),1,0),0),0)+IF(ISNUMBER(G259),IF(ISNUMBER(G260),IF(G260-G259&gt;0.000000001*MAX(1,ABS(G259)),1,0),0),0)+IF(ISNUMBER(G260),IF(ISNUMBER(G261),IF(G261-G260&gt;0.000000001*MAX(1,ABS(G260)),1,0),0),0)&gt;0,1,0)</f>
        <v>0</v>
      </c>
      <c r="H305" s="32" t="n">
        <f aca="false">IF(IF(ISNUMBER(H258),IF(ISNUMBER(H259),IF(H259-H258&gt;0.000000001*MAX(1,ABS(H258)),1,0),0),0)+IF(ISNUMBER(H259),IF(ISNUMBER(H260),IF(H260-H259&gt;0.000000001*MAX(1,ABS(H259)),1,0),0),0)+IF(ISNUMBER(H260),IF(ISNUMBER(H261),IF(H261-H260&gt;0.000000001*MAX(1,ABS(H260)),1,0),0),0)&gt;0,1,0)</f>
        <v>0</v>
      </c>
      <c r="I305" s="32" t="n">
        <f aca="false">IF(IF(ISNUMBER(I258),IF(ISNUMBER(I259),IF(I259-I258&gt;0.000000001*MAX(1,ABS(I258)),1,0),0),0)+IF(ISNUMBER(I259),IF(ISNUMBER(I260),IF(I260-I259&gt;0.000000001*MAX(1,ABS(I259)),1,0),0),0)+IF(ISNUMBER(I260),IF(ISNUMBER(I261),IF(I261-I260&gt;0.000000001*MAX(1,ABS(I260)),1,0),0),0)&gt;0,1,0)</f>
        <v>0</v>
      </c>
      <c r="J305" s="32" t="n">
        <f aca="false">IF(IF(ISNUMBER(J258),IF(ISNUMBER(J259),IF(J259-J258&gt;0.000000001*MAX(1,ABS(J258)),1,0),0),0)+IF(ISNUMBER(J259),IF(ISNUMBER(J260),IF(J260-J259&gt;0.000000001*MAX(1,ABS(J259)),1,0),0),0)+IF(ISNUMBER(J260),IF(ISNUMBER(J261),IF(J261-J260&gt;0.000000001*MAX(1,ABS(J260)),1,0),0),0)&gt;0,1,0)</f>
        <v>0</v>
      </c>
      <c r="K305" s="32" t="n">
        <f aca="false">IF(IF(ISNUMBER(K258),IF(ISNUMBER(K259),IF(K259-K258&gt;0.000000001*MAX(1,ABS(K258)),1,0),0),0)+IF(ISNUMBER(K259),IF(ISNUMBER(K260),IF(K260-K259&gt;0.000000001*MAX(1,ABS(K259)),1,0),0),0)+IF(ISNUMBER(K260),IF(ISNUMBER(K261),IF(K261-K260&gt;0.000000001*MAX(1,ABS(K260)),1,0),0),0)&gt;0,1,0)</f>
        <v>0</v>
      </c>
      <c r="L305" s="32" t="n">
        <f aca="false">IF(IF(ISNUMBER(L258),IF(ISNUMBER(L259),IF(L259-L258&gt;0.000000001*MAX(1,ABS(L258)),1,0),0),0)+IF(ISNUMBER(L259),IF(ISNUMBER(L260),IF(L260-L259&gt;0.000000001*MAX(1,ABS(L259)),1,0),0),0)+IF(ISNUMBER(L260),IF(ISNUMBER(L261),IF(L261-L260&gt;0.000000001*MAX(1,ABS(L260)),1,0),0),0)&gt;0,1,0)</f>
        <v>0</v>
      </c>
      <c r="M305" s="32" t="n">
        <f aca="false">IF(IF(ISNUMBER(M258),IF(ISNUMBER(M259),IF(M259-M258&gt;0.000000001*MAX(1,ABS(M258)),1,0),0),0)+IF(ISNUMBER(M259),IF(ISNUMBER(M260),IF(M260-M259&gt;0.000000001*MAX(1,ABS(M259)),1,0),0),0)+IF(ISNUMBER(M260),IF(ISNUMBER(M261),IF(M261-M260&gt;0.000000001*MAX(1,ABS(M260)),1,0),0),0)&gt;0,1,0)</f>
        <v>0</v>
      </c>
      <c r="N305" s="32" t="n">
        <f aca="false">IF(IF(ISNUMBER(N258),IF(ISNUMBER(N259),IF(N259-N258&gt;0.000000001*MAX(1,ABS(N258)),1,0),0),0)+IF(ISNUMBER(N259),IF(ISNUMBER(N260),IF(N260-N259&gt;0.000000001*MAX(1,ABS(N259)),1,0),0),0)+IF(ISNUMBER(N260),IF(ISNUMBER(N261),IF(N261-N260&gt;0.000000001*MAX(1,ABS(N260)),1,0),0),0)&gt;0,1,0)</f>
        <v>0</v>
      </c>
      <c r="O305" s="32" t="n">
        <f aca="false">IF(IF(ISNUMBER(O258),IF(ISNUMBER(O259),IF(O259-O258&gt;0.000000001*MAX(1,ABS(O258)),1,0),0),0)+IF(ISNUMBER(O259),IF(ISNUMBER(O260),IF(O260-O259&gt;0.000000001*MAX(1,ABS(O259)),1,0),0),0)+IF(ISNUMBER(O260),IF(ISNUMBER(O261),IF(O261-O260&gt;0.000000001*MAX(1,ABS(O260)),1,0),0),0)&gt;0,1,0)</f>
        <v>0</v>
      </c>
      <c r="P305" s="32" t="n">
        <f aca="false">IF(IF(ISNUMBER(P258),IF(ISNUMBER(P259),IF(P259-P258&gt;0.000000001*MAX(1,ABS(P258)),1,0),0),0)+IF(ISNUMBER(P259),IF(ISNUMBER(P260),IF(P260-P259&gt;0.000000001*MAX(1,ABS(P259)),1,0),0),0)+IF(ISNUMBER(P260),IF(ISNUMBER(P261),IF(P261-P260&gt;0.000000001*MAX(1,ABS(P260)),1,0),0),0)&gt;0,1,0)</f>
        <v>0</v>
      </c>
      <c r="Q305" s="32" t="n">
        <f aca="false">IF(IF(ISNUMBER(Q258),IF(ISNUMBER(Q259),IF(Q259-Q258&gt;0.000000001*MAX(1,ABS(Q258)),1,0),0),0)+IF(ISNUMBER(Q259),IF(ISNUMBER(Q260),IF(Q260-Q259&gt;0.000000001*MAX(1,ABS(Q259)),1,0),0),0)+IF(ISNUMBER(Q260),IF(ISNUMBER(Q261),IF(Q261-Q260&gt;0.000000001*MAX(1,ABS(Q260)),1,0),0),0)&gt;0,1,0)</f>
        <v>0</v>
      </c>
    </row>
    <row r="306" customFormat="false" ht="15" hidden="false" customHeight="true" outlineLevel="0" collapsed="false">
      <c r="A306" s="45" t="s">
        <v>3115</v>
      </c>
      <c r="C306" s="32" t="n">
        <f aca="false"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>0</v>
      </c>
      <c r="D306" s="32" t="n">
        <f aca="false">IF(IF(ISNUMBER(D263),IF(ISNUMBER(D264),IF(D264-D263&gt;0.000000001*MAX(1,ABS(D263)),1,0),0),0)+IF(ISNUMBER(D264),IF(ISNUMBER(D265),IF(D265-D264&gt;0.000000001*MAX(1,ABS(D264)),1,0),0),0)+IF(ISNUMBER(D265),IF(ISNUMBER(D266),IF(D266-D265&gt;0.000000001*MAX(1,ABS(D265)),1,0),0),0)&gt;0,1,0)</f>
        <v>0</v>
      </c>
      <c r="E306" s="32" t="n">
        <f aca="false">IF(IF(ISNUMBER(E263),IF(ISNUMBER(E264),IF(E264-E263&gt;0.000000001*MAX(1,ABS(E263)),1,0),0),0)+IF(ISNUMBER(E264),IF(ISNUMBER(E265),IF(E265-E264&gt;0.000000001*MAX(1,ABS(E264)),1,0),0),0)+IF(ISNUMBER(E265),IF(ISNUMBER(E266),IF(E266-E265&gt;0.000000001*MAX(1,ABS(E265)),1,0),0),0)&gt;0,1,0)</f>
        <v>0</v>
      </c>
      <c r="F306" s="32" t="n">
        <f aca="false">IF(IF(ISNUMBER(F263),IF(ISNUMBER(F264),IF(F264-F263&gt;0.000000001*MAX(1,ABS(F263)),1,0),0),0)+IF(ISNUMBER(F264),IF(ISNUMBER(F265),IF(F265-F264&gt;0.000000001*MAX(1,ABS(F264)),1,0),0),0)+IF(ISNUMBER(F265),IF(ISNUMBER(F266),IF(F266-F265&gt;0.000000001*MAX(1,ABS(F265)),1,0),0),0)&gt;0,1,0)</f>
        <v>0</v>
      </c>
      <c r="G306" s="32" t="n">
        <f aca="false">IF(IF(ISNUMBER(G263),IF(ISNUMBER(G264),IF(G264-G263&gt;0.000000001*MAX(1,ABS(G263)),1,0),0),0)+IF(ISNUMBER(G264),IF(ISNUMBER(G265),IF(G265-G264&gt;0.000000001*MAX(1,ABS(G264)),1,0),0),0)+IF(ISNUMBER(G265),IF(ISNUMBER(G266),IF(G266-G265&gt;0.000000001*MAX(1,ABS(G265)),1,0),0),0)&gt;0,1,0)</f>
        <v>0</v>
      </c>
      <c r="H306" s="32" t="n">
        <f aca="false">IF(IF(ISNUMBER(H263),IF(ISNUMBER(H264),IF(H264-H263&gt;0.000000001*MAX(1,ABS(H263)),1,0),0),0)+IF(ISNUMBER(H264),IF(ISNUMBER(H265),IF(H265-H264&gt;0.000000001*MAX(1,ABS(H264)),1,0),0),0)+IF(ISNUMBER(H265),IF(ISNUMBER(H266),IF(H266-H265&gt;0.000000001*MAX(1,ABS(H265)),1,0),0),0)&gt;0,1,0)</f>
        <v>0</v>
      </c>
      <c r="I306" s="32" t="n">
        <f aca="false">IF(IF(ISNUMBER(I263),IF(ISNUMBER(I264),IF(I264-I263&gt;0.000000001*MAX(1,ABS(I263)),1,0),0),0)+IF(ISNUMBER(I264),IF(ISNUMBER(I265),IF(I265-I264&gt;0.000000001*MAX(1,ABS(I264)),1,0),0),0)+IF(ISNUMBER(I265),IF(ISNUMBER(I266),IF(I266-I265&gt;0.000000001*MAX(1,ABS(I265)),1,0),0),0)&gt;0,1,0)</f>
        <v>0</v>
      </c>
      <c r="J306" s="32" t="n">
        <f aca="false">IF(IF(ISNUMBER(J263),IF(ISNUMBER(J264),IF(J264-J263&gt;0.000000001*MAX(1,ABS(J263)),1,0),0),0)+IF(ISNUMBER(J264),IF(ISNUMBER(J265),IF(J265-J264&gt;0.000000001*MAX(1,ABS(J264)),1,0),0),0)+IF(ISNUMBER(J265),IF(ISNUMBER(J266),IF(J266-J265&gt;0.000000001*MAX(1,ABS(J265)),1,0),0),0)&gt;0,1,0)</f>
        <v>0</v>
      </c>
      <c r="K306" s="32" t="n">
        <f aca="false">IF(IF(ISNUMBER(K263),IF(ISNUMBER(K264),IF(K264-K263&gt;0.000000001*MAX(1,ABS(K263)),1,0),0),0)+IF(ISNUMBER(K264),IF(ISNUMBER(K265),IF(K265-K264&gt;0.000000001*MAX(1,ABS(K264)),1,0),0),0)+IF(ISNUMBER(K265),IF(ISNUMBER(K266),IF(K266-K265&gt;0.000000001*MAX(1,ABS(K265)),1,0),0),0)&gt;0,1,0)</f>
        <v>0</v>
      </c>
      <c r="L306" s="32" t="n">
        <f aca="false">IF(IF(ISNUMBER(L263),IF(ISNUMBER(L264),IF(L264-L263&gt;0.000000001*MAX(1,ABS(L263)),1,0),0),0)+IF(ISNUMBER(L264),IF(ISNUMBER(L265),IF(L265-L264&gt;0.000000001*MAX(1,ABS(L264)),1,0),0),0)+IF(ISNUMBER(L265),IF(ISNUMBER(L266),IF(L266-L265&gt;0.000000001*MAX(1,ABS(L265)),1,0),0),0)&gt;0,1,0)</f>
        <v>0</v>
      </c>
      <c r="M306" s="32" t="n">
        <f aca="false">IF(IF(ISNUMBER(M263),IF(ISNUMBER(M264),IF(M264-M263&gt;0.000000001*MAX(1,ABS(M263)),1,0),0),0)+IF(ISNUMBER(M264),IF(ISNUMBER(M265),IF(M265-M264&gt;0.000000001*MAX(1,ABS(M264)),1,0),0),0)+IF(ISNUMBER(M265),IF(ISNUMBER(M266),IF(M266-M265&gt;0.000000001*MAX(1,ABS(M265)),1,0),0),0)&gt;0,1,0)</f>
        <v>0</v>
      </c>
      <c r="N306" s="32" t="n">
        <f aca="false">IF(IF(ISNUMBER(N263),IF(ISNUMBER(N264),IF(N264-N263&gt;0.000000001*MAX(1,ABS(N263)),1,0),0),0)+IF(ISNUMBER(N264),IF(ISNUMBER(N265),IF(N265-N264&gt;0.000000001*MAX(1,ABS(N264)),1,0),0),0)+IF(ISNUMBER(N265),IF(ISNUMBER(N266),IF(N266-N265&gt;0.000000001*MAX(1,ABS(N265)),1,0),0),0)&gt;0,1,0)</f>
        <v>0</v>
      </c>
      <c r="O306" s="32" t="n">
        <f aca="false">IF(IF(ISNUMBER(O263),IF(ISNUMBER(O264),IF(O264-O263&gt;0.000000001*MAX(1,ABS(O263)),1,0),0),0)+IF(ISNUMBER(O264),IF(ISNUMBER(O265),IF(O265-O264&gt;0.000000001*MAX(1,ABS(O264)),1,0),0),0)+IF(ISNUMBER(O265),IF(ISNUMBER(O266),IF(O266-O265&gt;0.000000001*MAX(1,ABS(O265)),1,0),0),0)&gt;0,1,0)</f>
        <v>0</v>
      </c>
      <c r="P306" s="32" t="n">
        <f aca="false">IF(IF(ISNUMBER(P263),IF(ISNUMBER(P264),IF(P264-P263&gt;0.000000001*MAX(1,ABS(P263)),1,0),0),0)+IF(ISNUMBER(P264),IF(ISNUMBER(P265),IF(P265-P264&gt;0.000000001*MAX(1,ABS(P264)),1,0),0),0)+IF(ISNUMBER(P265),IF(ISNUMBER(P266),IF(P266-P265&gt;0.000000001*MAX(1,ABS(P265)),1,0),0),0)&gt;0,1,0)</f>
        <v>0</v>
      </c>
      <c r="Q306" s="32" t="n">
        <f aca="false">IF(IF(ISNUMBER(Q263),IF(ISNUMBER(Q264),IF(Q264-Q263&gt;0.000000001*MAX(1,ABS(Q263)),1,0),0),0)+IF(ISNUMBER(Q264),IF(ISNUMBER(Q265),IF(Q265-Q264&gt;0.000000001*MAX(1,ABS(Q264)),1,0),0),0)+IF(ISNUMBER(Q265),IF(ISNUMBER(Q266),IF(Q266-Q265&gt;0.000000001*MAX(1,ABS(Q265)),1,0),0),0)&gt;0,1,0)</f>
        <v>0</v>
      </c>
    </row>
    <row r="307" customFormat="false" ht="15" hidden="false" customHeight="true" outlineLevel="0" collapsed="false">
      <c r="A307" s="45" t="s">
        <v>3116</v>
      </c>
      <c r="C307" s="32" t="n">
        <f aca="false"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>0</v>
      </c>
      <c r="D307" s="32" t="n">
        <f aca="false">IF(IF(ISNUMBER(D268),IF(ISNUMBER(D269),IF(D269-D268&gt;0.000000001*MAX(1,ABS(D268)),1,0),0),0)+IF(ISNUMBER(D269),IF(ISNUMBER(D270),IF(D270-D269&gt;0.000000001*MAX(1,ABS(D269)),1,0),0),0)+IF(ISNUMBER(D270),IF(ISNUMBER(D271),IF(D271-D270&gt;0.000000001*MAX(1,ABS(D270)),1,0),0),0)&gt;0,1,0)</f>
        <v>0</v>
      </c>
      <c r="E307" s="32" t="n">
        <f aca="false">IF(IF(ISNUMBER(E268),IF(ISNUMBER(E269),IF(E269-E268&gt;0.000000001*MAX(1,ABS(E268)),1,0),0),0)+IF(ISNUMBER(E269),IF(ISNUMBER(E270),IF(E270-E269&gt;0.000000001*MAX(1,ABS(E269)),1,0),0),0)+IF(ISNUMBER(E270),IF(ISNUMBER(E271),IF(E271-E270&gt;0.000000001*MAX(1,ABS(E270)),1,0),0),0)&gt;0,1,0)</f>
        <v>0</v>
      </c>
      <c r="F307" s="32" t="n">
        <f aca="false">IF(IF(ISNUMBER(F268),IF(ISNUMBER(F269),IF(F269-F268&gt;0.000000001*MAX(1,ABS(F268)),1,0),0),0)+IF(ISNUMBER(F269),IF(ISNUMBER(F270),IF(F270-F269&gt;0.000000001*MAX(1,ABS(F269)),1,0),0),0)+IF(ISNUMBER(F270),IF(ISNUMBER(F271),IF(F271-F270&gt;0.000000001*MAX(1,ABS(F270)),1,0),0),0)&gt;0,1,0)</f>
        <v>0</v>
      </c>
      <c r="G307" s="32" t="n">
        <f aca="false">IF(IF(ISNUMBER(G268),IF(ISNUMBER(G269),IF(G269-G268&gt;0.000000001*MAX(1,ABS(G268)),1,0),0),0)+IF(ISNUMBER(G269),IF(ISNUMBER(G270),IF(G270-G269&gt;0.000000001*MAX(1,ABS(G269)),1,0),0),0)+IF(ISNUMBER(G270),IF(ISNUMBER(G271),IF(G271-G270&gt;0.000000001*MAX(1,ABS(G270)),1,0),0),0)&gt;0,1,0)</f>
        <v>0</v>
      </c>
      <c r="H307" s="32" t="n">
        <f aca="false">IF(IF(ISNUMBER(H268),IF(ISNUMBER(H269),IF(H269-H268&gt;0.000000001*MAX(1,ABS(H268)),1,0),0),0)+IF(ISNUMBER(H269),IF(ISNUMBER(H270),IF(H270-H269&gt;0.000000001*MAX(1,ABS(H269)),1,0),0),0)+IF(ISNUMBER(H270),IF(ISNUMBER(H271),IF(H271-H270&gt;0.000000001*MAX(1,ABS(H270)),1,0),0),0)&gt;0,1,0)</f>
        <v>0</v>
      </c>
      <c r="I307" s="32" t="n">
        <f aca="false">IF(IF(ISNUMBER(I268),IF(ISNUMBER(I269),IF(I269-I268&gt;0.000000001*MAX(1,ABS(I268)),1,0),0),0)+IF(ISNUMBER(I269),IF(ISNUMBER(I270),IF(I270-I269&gt;0.000000001*MAX(1,ABS(I269)),1,0),0),0)+IF(ISNUMBER(I270),IF(ISNUMBER(I271),IF(I271-I270&gt;0.000000001*MAX(1,ABS(I270)),1,0),0),0)&gt;0,1,0)</f>
        <v>0</v>
      </c>
      <c r="J307" s="32" t="n">
        <f aca="false">IF(IF(ISNUMBER(J268),IF(ISNUMBER(J269),IF(J269-J268&gt;0.000000001*MAX(1,ABS(J268)),1,0),0),0)+IF(ISNUMBER(J269),IF(ISNUMBER(J270),IF(J270-J269&gt;0.000000001*MAX(1,ABS(J269)),1,0),0),0)+IF(ISNUMBER(J270),IF(ISNUMBER(J271),IF(J271-J270&gt;0.000000001*MAX(1,ABS(J270)),1,0),0),0)&gt;0,1,0)</f>
        <v>0</v>
      </c>
      <c r="K307" s="32" t="n">
        <f aca="false">IF(IF(ISNUMBER(K268),IF(ISNUMBER(K269),IF(K269-K268&gt;0.000000001*MAX(1,ABS(K268)),1,0),0),0)+IF(ISNUMBER(K269),IF(ISNUMBER(K270),IF(K270-K269&gt;0.000000001*MAX(1,ABS(K269)),1,0),0),0)+IF(ISNUMBER(K270),IF(ISNUMBER(K271),IF(K271-K270&gt;0.000000001*MAX(1,ABS(K270)),1,0),0),0)&gt;0,1,0)</f>
        <v>0</v>
      </c>
      <c r="L307" s="32" t="n">
        <f aca="false">IF(IF(ISNUMBER(L268),IF(ISNUMBER(L269),IF(L269-L268&gt;0.000000001*MAX(1,ABS(L268)),1,0),0),0)+IF(ISNUMBER(L269),IF(ISNUMBER(L270),IF(L270-L269&gt;0.000000001*MAX(1,ABS(L269)),1,0),0),0)+IF(ISNUMBER(L270),IF(ISNUMBER(L271),IF(L271-L270&gt;0.000000001*MAX(1,ABS(L270)),1,0),0),0)&gt;0,1,0)</f>
        <v>0</v>
      </c>
      <c r="M307" s="32" t="n">
        <f aca="false">IF(IF(ISNUMBER(M268),IF(ISNUMBER(M269),IF(M269-M268&gt;0.000000001*MAX(1,ABS(M268)),1,0),0),0)+IF(ISNUMBER(M269),IF(ISNUMBER(M270),IF(M270-M269&gt;0.000000001*MAX(1,ABS(M269)),1,0),0),0)+IF(ISNUMBER(M270),IF(ISNUMBER(M271),IF(M271-M270&gt;0.000000001*MAX(1,ABS(M270)),1,0),0),0)&gt;0,1,0)</f>
        <v>0</v>
      </c>
      <c r="N307" s="32" t="n">
        <f aca="false">IF(IF(ISNUMBER(N268),IF(ISNUMBER(N269),IF(N269-N268&gt;0.000000001*MAX(1,ABS(N268)),1,0),0),0)+IF(ISNUMBER(N269),IF(ISNUMBER(N270),IF(N270-N269&gt;0.000000001*MAX(1,ABS(N269)),1,0),0),0)+IF(ISNUMBER(N270),IF(ISNUMBER(N271),IF(N271-N270&gt;0.000000001*MAX(1,ABS(N270)),1,0),0),0)&gt;0,1,0)</f>
        <v>0</v>
      </c>
      <c r="O307" s="32" t="n">
        <f aca="false">IF(IF(ISNUMBER(O268),IF(ISNUMBER(O269),IF(O269-O268&gt;0.000000001*MAX(1,ABS(O268)),1,0),0),0)+IF(ISNUMBER(O269),IF(ISNUMBER(O270),IF(O270-O269&gt;0.000000001*MAX(1,ABS(O269)),1,0),0),0)+IF(ISNUMBER(O270),IF(ISNUMBER(O271),IF(O271-O270&gt;0.000000001*MAX(1,ABS(O270)),1,0),0),0)&gt;0,1,0)</f>
        <v>0</v>
      </c>
      <c r="P307" s="32" t="n">
        <f aca="false">IF(IF(ISNUMBER(P268),IF(ISNUMBER(P269),IF(P269-P268&gt;0.000000001*MAX(1,ABS(P268)),1,0),0),0)+IF(ISNUMBER(P269),IF(ISNUMBER(P270),IF(P270-P269&gt;0.000000001*MAX(1,ABS(P269)),1,0),0),0)+IF(ISNUMBER(P270),IF(ISNUMBER(P271),IF(P271-P270&gt;0.000000001*MAX(1,ABS(P270)),1,0),0),0)&gt;0,1,0)</f>
        <v>0</v>
      </c>
      <c r="Q307" s="32" t="n">
        <f aca="false">IF(IF(ISNUMBER(Q268),IF(ISNUMBER(Q269),IF(Q269-Q268&gt;0.000000001*MAX(1,ABS(Q268)),1,0),0),0)+IF(ISNUMBER(Q269),IF(ISNUMBER(Q270),IF(Q270-Q269&gt;0.000000001*MAX(1,ABS(Q269)),1,0),0),0)+IF(ISNUMBER(Q270),IF(ISNUMBER(Q271),IF(Q271-Q270&gt;0.000000001*MAX(1,ABS(Q270)),1,0),0),0)&gt;0,1,0)</f>
        <v>0</v>
      </c>
    </row>
    <row r="308" customFormat="false" ht="15" hidden="false" customHeight="true" outlineLevel="0" collapsed="false">
      <c r="A308" s="45" t="s">
        <v>3117</v>
      </c>
      <c r="C308" s="32" t="n">
        <f aca="false"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>0</v>
      </c>
      <c r="D308" s="32" t="n">
        <f aca="false">IF(IF(ISNUMBER(D273),IF(ISNUMBER(D274),IF(D274-D273&gt;0.000000001*MAX(1,ABS(D273)),1,0),0),0)+IF(ISNUMBER(D274),IF(ISNUMBER(D275),IF(D275-D274&gt;0.000000001*MAX(1,ABS(D274)),1,0),0),0)+IF(ISNUMBER(D275),IF(ISNUMBER(D276),IF(D276-D275&gt;0.000000001*MAX(1,ABS(D275)),1,0),0),0)&gt;0,1,0)</f>
        <v>0</v>
      </c>
      <c r="E308" s="32" t="n">
        <f aca="false">IF(IF(ISNUMBER(E273),IF(ISNUMBER(E274),IF(E274-E273&gt;0.000000001*MAX(1,ABS(E273)),1,0),0),0)+IF(ISNUMBER(E274),IF(ISNUMBER(E275),IF(E275-E274&gt;0.000000001*MAX(1,ABS(E274)),1,0),0),0)+IF(ISNUMBER(E275),IF(ISNUMBER(E276),IF(E276-E275&gt;0.000000001*MAX(1,ABS(E275)),1,0),0),0)&gt;0,1,0)</f>
        <v>0</v>
      </c>
      <c r="F308" s="32" t="n">
        <f aca="false">IF(IF(ISNUMBER(F273),IF(ISNUMBER(F274),IF(F274-F273&gt;0.000000001*MAX(1,ABS(F273)),1,0),0),0)+IF(ISNUMBER(F274),IF(ISNUMBER(F275),IF(F275-F274&gt;0.000000001*MAX(1,ABS(F274)),1,0),0),0)+IF(ISNUMBER(F275),IF(ISNUMBER(F276),IF(F276-F275&gt;0.000000001*MAX(1,ABS(F275)),1,0),0),0)&gt;0,1,0)</f>
        <v>0</v>
      </c>
      <c r="G308" s="32" t="n">
        <f aca="false">IF(IF(ISNUMBER(G273),IF(ISNUMBER(G274),IF(G274-G273&gt;0.000000001*MAX(1,ABS(G273)),1,0),0),0)+IF(ISNUMBER(G274),IF(ISNUMBER(G275),IF(G275-G274&gt;0.000000001*MAX(1,ABS(G274)),1,0),0),0)+IF(ISNUMBER(G275),IF(ISNUMBER(G276),IF(G276-G275&gt;0.000000001*MAX(1,ABS(G275)),1,0),0),0)&gt;0,1,0)</f>
        <v>0</v>
      </c>
      <c r="H308" s="32" t="n">
        <f aca="false">IF(IF(ISNUMBER(H273),IF(ISNUMBER(H274),IF(H274-H273&gt;0.000000001*MAX(1,ABS(H273)),1,0),0),0)+IF(ISNUMBER(H274),IF(ISNUMBER(H275),IF(H275-H274&gt;0.000000001*MAX(1,ABS(H274)),1,0),0),0)+IF(ISNUMBER(H275),IF(ISNUMBER(H276),IF(H276-H275&gt;0.000000001*MAX(1,ABS(H275)),1,0),0),0)&gt;0,1,0)</f>
        <v>0</v>
      </c>
      <c r="I308" s="32" t="n">
        <f aca="false">IF(IF(ISNUMBER(I273),IF(ISNUMBER(I274),IF(I274-I273&gt;0.000000001*MAX(1,ABS(I273)),1,0),0),0)+IF(ISNUMBER(I274),IF(ISNUMBER(I275),IF(I275-I274&gt;0.000000001*MAX(1,ABS(I274)),1,0),0),0)+IF(ISNUMBER(I275),IF(ISNUMBER(I276),IF(I276-I275&gt;0.000000001*MAX(1,ABS(I275)),1,0),0),0)&gt;0,1,0)</f>
        <v>0</v>
      </c>
      <c r="J308" s="32" t="n">
        <f aca="false">IF(IF(ISNUMBER(J273),IF(ISNUMBER(J274),IF(J274-J273&gt;0.000000001*MAX(1,ABS(J273)),1,0),0),0)+IF(ISNUMBER(J274),IF(ISNUMBER(J275),IF(J275-J274&gt;0.000000001*MAX(1,ABS(J274)),1,0),0),0)+IF(ISNUMBER(J275),IF(ISNUMBER(J276),IF(J276-J275&gt;0.000000001*MAX(1,ABS(J275)),1,0),0),0)&gt;0,1,0)</f>
        <v>0</v>
      </c>
      <c r="K308" s="32" t="n">
        <f aca="false">IF(IF(ISNUMBER(K273),IF(ISNUMBER(K274),IF(K274-K273&gt;0.000000001*MAX(1,ABS(K273)),1,0),0),0)+IF(ISNUMBER(K274),IF(ISNUMBER(K275),IF(K275-K274&gt;0.000000001*MAX(1,ABS(K274)),1,0),0),0)+IF(ISNUMBER(K275),IF(ISNUMBER(K276),IF(K276-K275&gt;0.000000001*MAX(1,ABS(K275)),1,0),0),0)&gt;0,1,0)</f>
        <v>0</v>
      </c>
      <c r="L308" s="32" t="n">
        <f aca="false">IF(IF(ISNUMBER(L273),IF(ISNUMBER(L274),IF(L274-L273&gt;0.000000001*MAX(1,ABS(L273)),1,0),0),0)+IF(ISNUMBER(L274),IF(ISNUMBER(L275),IF(L275-L274&gt;0.000000001*MAX(1,ABS(L274)),1,0),0),0)+IF(ISNUMBER(L275),IF(ISNUMBER(L276),IF(L276-L275&gt;0.000000001*MAX(1,ABS(L275)),1,0),0),0)&gt;0,1,0)</f>
        <v>0</v>
      </c>
      <c r="M308" s="32" t="n">
        <f aca="false">IF(IF(ISNUMBER(M273),IF(ISNUMBER(M274),IF(M274-M273&gt;0.000000001*MAX(1,ABS(M273)),1,0),0),0)+IF(ISNUMBER(M274),IF(ISNUMBER(M275),IF(M275-M274&gt;0.000000001*MAX(1,ABS(M274)),1,0),0),0)+IF(ISNUMBER(M275),IF(ISNUMBER(M276),IF(M276-M275&gt;0.000000001*MAX(1,ABS(M275)),1,0),0),0)&gt;0,1,0)</f>
        <v>0</v>
      </c>
      <c r="N308" s="32" t="n">
        <f aca="false">IF(IF(ISNUMBER(N273),IF(ISNUMBER(N274),IF(N274-N273&gt;0.000000001*MAX(1,ABS(N273)),1,0),0),0)+IF(ISNUMBER(N274),IF(ISNUMBER(N275),IF(N275-N274&gt;0.000000001*MAX(1,ABS(N274)),1,0),0),0)+IF(ISNUMBER(N275),IF(ISNUMBER(N276),IF(N276-N275&gt;0.000000001*MAX(1,ABS(N275)),1,0),0),0)&gt;0,1,0)</f>
        <v>0</v>
      </c>
      <c r="O308" s="32" t="n">
        <f aca="false">IF(IF(ISNUMBER(O273),IF(ISNUMBER(O274),IF(O274-O273&gt;0.000000001*MAX(1,ABS(O273)),1,0),0),0)+IF(ISNUMBER(O274),IF(ISNUMBER(O275),IF(O275-O274&gt;0.000000001*MAX(1,ABS(O274)),1,0),0),0)+IF(ISNUMBER(O275),IF(ISNUMBER(O276),IF(O276-O275&gt;0.000000001*MAX(1,ABS(O275)),1,0),0),0)&gt;0,1,0)</f>
        <v>0</v>
      </c>
      <c r="P308" s="32" t="n">
        <f aca="false">IF(IF(ISNUMBER(P273),IF(ISNUMBER(P274),IF(P274-P273&gt;0.000000001*MAX(1,ABS(P273)),1,0),0),0)+IF(ISNUMBER(P274),IF(ISNUMBER(P275),IF(P275-P274&gt;0.000000001*MAX(1,ABS(P274)),1,0),0),0)+IF(ISNUMBER(P275),IF(ISNUMBER(P276),IF(P276-P275&gt;0.000000001*MAX(1,ABS(P275)),1,0),0),0)&gt;0,1,0)</f>
        <v>0</v>
      </c>
      <c r="Q308" s="32" t="n">
        <f aca="false">IF(IF(ISNUMBER(Q273),IF(ISNUMBER(Q274),IF(Q274-Q273&gt;0.000000001*MAX(1,ABS(Q273)),1,0),0),0)+IF(ISNUMBER(Q274),IF(ISNUMBER(Q275),IF(Q275-Q274&gt;0.000000001*MAX(1,ABS(Q274)),1,0),0),0)+IF(ISNUMBER(Q275),IF(ISNUMBER(Q276),IF(Q276-Q275&gt;0.000000001*MAX(1,ABS(Q275)),1,0),0),0)&gt;0,1,0)</f>
        <v>0</v>
      </c>
    </row>
    <row r="309" customFormat="false" ht="15" hidden="false" customHeight="true" outlineLevel="0" collapsed="false">
      <c r="A309" s="45" t="s">
        <v>3118</v>
      </c>
      <c r="C309" s="32" t="n">
        <f aca="false"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>0</v>
      </c>
      <c r="D309" s="32" t="n">
        <f aca="false">IF(IF(ISNUMBER(D278),IF(ISNUMBER(D279),IF(D279-D278&gt;0.000000001*MAX(1,ABS(D278)),1,0),0),0)+IF(ISNUMBER(D279),IF(ISNUMBER(D280),IF(D280-D279&gt;0.000000001*MAX(1,ABS(D279)),1,0),0),0)+IF(ISNUMBER(D280),IF(ISNUMBER(D281),IF(D281-D280&gt;0.000000001*MAX(1,ABS(D280)),1,0),0),0)&gt;0,1,0)</f>
        <v>0</v>
      </c>
      <c r="E309" s="32" t="n">
        <f aca="false">IF(IF(ISNUMBER(E278),IF(ISNUMBER(E279),IF(E279-E278&gt;0.000000001*MAX(1,ABS(E278)),1,0),0),0)+IF(ISNUMBER(E279),IF(ISNUMBER(E280),IF(E280-E279&gt;0.000000001*MAX(1,ABS(E279)),1,0),0),0)+IF(ISNUMBER(E280),IF(ISNUMBER(E281),IF(E281-E280&gt;0.000000001*MAX(1,ABS(E280)),1,0),0),0)&gt;0,1,0)</f>
        <v>0</v>
      </c>
      <c r="F309" s="32" t="n">
        <f aca="false">IF(IF(ISNUMBER(F278),IF(ISNUMBER(F279),IF(F279-F278&gt;0.000000001*MAX(1,ABS(F278)),1,0),0),0)+IF(ISNUMBER(F279),IF(ISNUMBER(F280),IF(F280-F279&gt;0.000000001*MAX(1,ABS(F279)),1,0),0),0)+IF(ISNUMBER(F280),IF(ISNUMBER(F281),IF(F281-F280&gt;0.000000001*MAX(1,ABS(F280)),1,0),0),0)&gt;0,1,0)</f>
        <v>0</v>
      </c>
      <c r="G309" s="32" t="n">
        <f aca="false">IF(IF(ISNUMBER(G278),IF(ISNUMBER(G279),IF(G279-G278&gt;0.000000001*MAX(1,ABS(G278)),1,0),0),0)+IF(ISNUMBER(G279),IF(ISNUMBER(G280),IF(G280-G279&gt;0.000000001*MAX(1,ABS(G279)),1,0),0),0)+IF(ISNUMBER(G280),IF(ISNUMBER(G281),IF(G281-G280&gt;0.000000001*MAX(1,ABS(G280)),1,0),0),0)&gt;0,1,0)</f>
        <v>0</v>
      </c>
      <c r="H309" s="32" t="n">
        <f aca="false">IF(IF(ISNUMBER(H278),IF(ISNUMBER(H279),IF(H279-H278&gt;0.000000001*MAX(1,ABS(H278)),1,0),0),0)+IF(ISNUMBER(H279),IF(ISNUMBER(H280),IF(H280-H279&gt;0.000000001*MAX(1,ABS(H279)),1,0),0),0)+IF(ISNUMBER(H280),IF(ISNUMBER(H281),IF(H281-H280&gt;0.000000001*MAX(1,ABS(H280)),1,0),0),0)&gt;0,1,0)</f>
        <v>0</v>
      </c>
      <c r="I309" s="32" t="n">
        <f aca="false">IF(IF(ISNUMBER(I278),IF(ISNUMBER(I279),IF(I279-I278&gt;0.000000001*MAX(1,ABS(I278)),1,0),0),0)+IF(ISNUMBER(I279),IF(ISNUMBER(I280),IF(I280-I279&gt;0.000000001*MAX(1,ABS(I279)),1,0),0),0)+IF(ISNUMBER(I280),IF(ISNUMBER(I281),IF(I281-I280&gt;0.000000001*MAX(1,ABS(I280)),1,0),0),0)&gt;0,1,0)</f>
        <v>0</v>
      </c>
      <c r="J309" s="32" t="n">
        <f aca="false">IF(IF(ISNUMBER(J278),IF(ISNUMBER(J279),IF(J279-J278&gt;0.000000001*MAX(1,ABS(J278)),1,0),0),0)+IF(ISNUMBER(J279),IF(ISNUMBER(J280),IF(J280-J279&gt;0.000000001*MAX(1,ABS(J279)),1,0),0),0)+IF(ISNUMBER(J280),IF(ISNUMBER(J281),IF(J281-J280&gt;0.000000001*MAX(1,ABS(J280)),1,0),0),0)&gt;0,1,0)</f>
        <v>0</v>
      </c>
      <c r="K309" s="32" t="n">
        <f aca="false">IF(IF(ISNUMBER(K278),IF(ISNUMBER(K279),IF(K279-K278&gt;0.000000001*MAX(1,ABS(K278)),1,0),0),0)+IF(ISNUMBER(K279),IF(ISNUMBER(K280),IF(K280-K279&gt;0.000000001*MAX(1,ABS(K279)),1,0),0),0)+IF(ISNUMBER(K280),IF(ISNUMBER(K281),IF(K281-K280&gt;0.000000001*MAX(1,ABS(K280)),1,0),0),0)&gt;0,1,0)</f>
        <v>0</v>
      </c>
      <c r="L309" s="32" t="n">
        <f aca="false">IF(IF(ISNUMBER(L278),IF(ISNUMBER(L279),IF(L279-L278&gt;0.000000001*MAX(1,ABS(L278)),1,0),0),0)+IF(ISNUMBER(L279),IF(ISNUMBER(L280),IF(L280-L279&gt;0.000000001*MAX(1,ABS(L279)),1,0),0),0)+IF(ISNUMBER(L280),IF(ISNUMBER(L281),IF(L281-L280&gt;0.000000001*MAX(1,ABS(L280)),1,0),0),0)&gt;0,1,0)</f>
        <v>0</v>
      </c>
      <c r="M309" s="32" t="n">
        <f aca="false">IF(IF(ISNUMBER(M278),IF(ISNUMBER(M279),IF(M279-M278&gt;0.000000001*MAX(1,ABS(M278)),1,0),0),0)+IF(ISNUMBER(M279),IF(ISNUMBER(M280),IF(M280-M279&gt;0.000000001*MAX(1,ABS(M279)),1,0),0),0)+IF(ISNUMBER(M280),IF(ISNUMBER(M281),IF(M281-M280&gt;0.000000001*MAX(1,ABS(M280)),1,0),0),0)&gt;0,1,0)</f>
        <v>0</v>
      </c>
      <c r="N309" s="32" t="n">
        <f aca="false">IF(IF(ISNUMBER(N278),IF(ISNUMBER(N279),IF(N279-N278&gt;0.000000001*MAX(1,ABS(N278)),1,0),0),0)+IF(ISNUMBER(N279),IF(ISNUMBER(N280),IF(N280-N279&gt;0.000000001*MAX(1,ABS(N279)),1,0),0),0)+IF(ISNUMBER(N280),IF(ISNUMBER(N281),IF(N281-N280&gt;0.000000001*MAX(1,ABS(N280)),1,0),0),0)&gt;0,1,0)</f>
        <v>0</v>
      </c>
      <c r="O309" s="32" t="n">
        <f aca="false">IF(IF(ISNUMBER(O278),IF(ISNUMBER(O279),IF(O279-O278&gt;0.000000001*MAX(1,ABS(O278)),1,0),0),0)+IF(ISNUMBER(O279),IF(ISNUMBER(O280),IF(O280-O279&gt;0.000000001*MAX(1,ABS(O279)),1,0),0),0)+IF(ISNUMBER(O280),IF(ISNUMBER(O281),IF(O281-O280&gt;0.000000001*MAX(1,ABS(O280)),1,0),0),0)&gt;0,1,0)</f>
        <v>0</v>
      </c>
      <c r="P309" s="32" t="n">
        <f aca="false">IF(IF(ISNUMBER(P278),IF(ISNUMBER(P279),IF(P279-P278&gt;0.000000001*MAX(1,ABS(P278)),1,0),0),0)+IF(ISNUMBER(P279),IF(ISNUMBER(P280),IF(P280-P279&gt;0.000000001*MAX(1,ABS(P279)),1,0),0),0)+IF(ISNUMBER(P280),IF(ISNUMBER(P281),IF(P281-P280&gt;0.000000001*MAX(1,ABS(P280)),1,0),0),0)&gt;0,1,0)</f>
        <v>0</v>
      </c>
      <c r="Q309" s="32" t="n">
        <f aca="false">IF(IF(ISNUMBER(Q278),IF(ISNUMBER(Q279),IF(Q279-Q278&gt;0.000000001*MAX(1,ABS(Q278)),1,0),0),0)+IF(ISNUMBER(Q279),IF(ISNUMBER(Q280),IF(Q280-Q279&gt;0.000000001*MAX(1,ABS(Q279)),1,0),0),0)+IF(ISNUMBER(Q280),IF(ISNUMBER(Q281),IF(Q281-Q280&gt;0.000000001*MAX(1,ABS(Q280)),1,0),0),0)&gt;0,1,0)</f>
        <v>0</v>
      </c>
    </row>
    <row r="310" customFormat="false" ht="15" hidden="false" customHeight="true" outlineLevel="0" collapsed="false">
      <c r="A310" s="45" t="s">
        <v>3119</v>
      </c>
      <c r="C310" s="32" t="n">
        <f aca="false"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>0</v>
      </c>
      <c r="D310" s="32" t="n">
        <f aca="false">IF(IF(ISNUMBER(D283),IF(ISNUMBER(D284),IF(D284-D283&gt;0.000000001*MAX(1,ABS(D283)),1,0),0),0)+IF(ISNUMBER(D284),IF(ISNUMBER(D285),IF(D285-D284&gt;0.000000001*MAX(1,ABS(D284)),1,0),0),0)+IF(ISNUMBER(D285),IF(ISNUMBER(D286),IF(D286-D285&gt;0.000000001*MAX(1,ABS(D285)),1,0),0),0)&gt;0,1,0)</f>
        <v>0</v>
      </c>
      <c r="E310" s="32" t="n">
        <f aca="false">IF(IF(ISNUMBER(E283),IF(ISNUMBER(E284),IF(E284-E283&gt;0.000000001*MAX(1,ABS(E283)),1,0),0),0)+IF(ISNUMBER(E284),IF(ISNUMBER(E285),IF(E285-E284&gt;0.000000001*MAX(1,ABS(E284)),1,0),0),0)+IF(ISNUMBER(E285),IF(ISNUMBER(E286),IF(E286-E285&gt;0.000000001*MAX(1,ABS(E285)),1,0),0),0)&gt;0,1,0)</f>
        <v>0</v>
      </c>
      <c r="F310" s="32" t="n">
        <f aca="false">IF(IF(ISNUMBER(F283),IF(ISNUMBER(F284),IF(F284-F283&gt;0.000000001*MAX(1,ABS(F283)),1,0),0),0)+IF(ISNUMBER(F284),IF(ISNUMBER(F285),IF(F285-F284&gt;0.000000001*MAX(1,ABS(F284)),1,0),0),0)+IF(ISNUMBER(F285),IF(ISNUMBER(F286),IF(F286-F285&gt;0.000000001*MAX(1,ABS(F285)),1,0),0),0)&gt;0,1,0)</f>
        <v>0</v>
      </c>
      <c r="G310" s="32" t="n">
        <f aca="false">IF(IF(ISNUMBER(G283),IF(ISNUMBER(G284),IF(G284-G283&gt;0.000000001*MAX(1,ABS(G283)),1,0),0),0)+IF(ISNUMBER(G284),IF(ISNUMBER(G285),IF(G285-G284&gt;0.000000001*MAX(1,ABS(G284)),1,0),0),0)+IF(ISNUMBER(G285),IF(ISNUMBER(G286),IF(G286-G285&gt;0.000000001*MAX(1,ABS(G285)),1,0),0),0)&gt;0,1,0)</f>
        <v>0</v>
      </c>
      <c r="H310" s="32" t="n">
        <f aca="false">IF(IF(ISNUMBER(H283),IF(ISNUMBER(H284),IF(H284-H283&gt;0.000000001*MAX(1,ABS(H283)),1,0),0),0)+IF(ISNUMBER(H284),IF(ISNUMBER(H285),IF(H285-H284&gt;0.000000001*MAX(1,ABS(H284)),1,0),0),0)+IF(ISNUMBER(H285),IF(ISNUMBER(H286),IF(H286-H285&gt;0.000000001*MAX(1,ABS(H285)),1,0),0),0)&gt;0,1,0)</f>
        <v>0</v>
      </c>
      <c r="I310" s="32" t="n">
        <f aca="false">IF(IF(ISNUMBER(I283),IF(ISNUMBER(I284),IF(I284-I283&gt;0.000000001*MAX(1,ABS(I283)),1,0),0),0)+IF(ISNUMBER(I284),IF(ISNUMBER(I285),IF(I285-I284&gt;0.000000001*MAX(1,ABS(I284)),1,0),0),0)+IF(ISNUMBER(I285),IF(ISNUMBER(I286),IF(I286-I285&gt;0.000000001*MAX(1,ABS(I285)),1,0),0),0)&gt;0,1,0)</f>
        <v>0</v>
      </c>
      <c r="J310" s="32" t="n">
        <f aca="false">IF(IF(ISNUMBER(J283),IF(ISNUMBER(J284),IF(J284-J283&gt;0.000000001*MAX(1,ABS(J283)),1,0),0),0)+IF(ISNUMBER(J284),IF(ISNUMBER(J285),IF(J285-J284&gt;0.000000001*MAX(1,ABS(J284)),1,0),0),0)+IF(ISNUMBER(J285),IF(ISNUMBER(J286),IF(J286-J285&gt;0.000000001*MAX(1,ABS(J285)),1,0),0),0)&gt;0,1,0)</f>
        <v>0</v>
      </c>
      <c r="K310" s="32" t="n">
        <f aca="false">IF(IF(ISNUMBER(K283),IF(ISNUMBER(K284),IF(K284-K283&gt;0.000000001*MAX(1,ABS(K283)),1,0),0),0)+IF(ISNUMBER(K284),IF(ISNUMBER(K285),IF(K285-K284&gt;0.000000001*MAX(1,ABS(K284)),1,0),0),0)+IF(ISNUMBER(K285),IF(ISNUMBER(K286),IF(K286-K285&gt;0.000000001*MAX(1,ABS(K285)),1,0),0),0)&gt;0,1,0)</f>
        <v>0</v>
      </c>
      <c r="L310" s="32" t="n">
        <f aca="false">IF(IF(ISNUMBER(L283),IF(ISNUMBER(L284),IF(L284-L283&gt;0.000000001*MAX(1,ABS(L283)),1,0),0),0)+IF(ISNUMBER(L284),IF(ISNUMBER(L285),IF(L285-L284&gt;0.000000001*MAX(1,ABS(L284)),1,0),0),0)+IF(ISNUMBER(L285),IF(ISNUMBER(L286),IF(L286-L285&gt;0.000000001*MAX(1,ABS(L285)),1,0),0),0)&gt;0,1,0)</f>
        <v>0</v>
      </c>
      <c r="M310" s="32" t="n">
        <f aca="false">IF(IF(ISNUMBER(M283),IF(ISNUMBER(M284),IF(M284-M283&gt;0.000000001*MAX(1,ABS(M283)),1,0),0),0)+IF(ISNUMBER(M284),IF(ISNUMBER(M285),IF(M285-M284&gt;0.000000001*MAX(1,ABS(M284)),1,0),0),0)+IF(ISNUMBER(M285),IF(ISNUMBER(M286),IF(M286-M285&gt;0.000000001*MAX(1,ABS(M285)),1,0),0),0)&gt;0,1,0)</f>
        <v>0</v>
      </c>
      <c r="N310" s="32" t="n">
        <f aca="false">IF(IF(ISNUMBER(N283),IF(ISNUMBER(N284),IF(N284-N283&gt;0.000000001*MAX(1,ABS(N283)),1,0),0),0)+IF(ISNUMBER(N284),IF(ISNUMBER(N285),IF(N285-N284&gt;0.000000001*MAX(1,ABS(N284)),1,0),0),0)+IF(ISNUMBER(N285),IF(ISNUMBER(N286),IF(N286-N285&gt;0.000000001*MAX(1,ABS(N285)),1,0),0),0)&gt;0,1,0)</f>
        <v>0</v>
      </c>
      <c r="O310" s="32" t="n">
        <f aca="false">IF(IF(ISNUMBER(O283),IF(ISNUMBER(O284),IF(O284-O283&gt;0.000000001*MAX(1,ABS(O283)),1,0),0),0)+IF(ISNUMBER(O284),IF(ISNUMBER(O285),IF(O285-O284&gt;0.000000001*MAX(1,ABS(O284)),1,0),0),0)+IF(ISNUMBER(O285),IF(ISNUMBER(O286),IF(O286-O285&gt;0.000000001*MAX(1,ABS(O285)),1,0),0),0)&gt;0,1,0)</f>
        <v>0</v>
      </c>
      <c r="P310" s="32" t="n">
        <f aca="false">IF(IF(ISNUMBER(P283),IF(ISNUMBER(P284),IF(P284-P283&gt;0.000000001*MAX(1,ABS(P283)),1,0),0),0)+IF(ISNUMBER(P284),IF(ISNUMBER(P285),IF(P285-P284&gt;0.000000001*MAX(1,ABS(P284)),1,0),0),0)+IF(ISNUMBER(P285),IF(ISNUMBER(P286),IF(P286-P285&gt;0.000000001*MAX(1,ABS(P285)),1,0),0),0)&gt;0,1,0)</f>
        <v>0</v>
      </c>
      <c r="Q310" s="32" t="n">
        <f aca="false">IF(IF(ISNUMBER(Q283),IF(ISNUMBER(Q284),IF(Q284-Q283&gt;0.000000001*MAX(1,ABS(Q283)),1,0),0),0)+IF(ISNUMBER(Q284),IF(ISNUMBER(Q285),IF(Q285-Q284&gt;0.000000001*MAX(1,ABS(Q284)),1,0),0),0)+IF(ISNUMBER(Q285),IF(ISNUMBER(Q286),IF(Q286-Q285&gt;0.000000001*MAX(1,ABS(Q285)),1,0),0),0)&gt;0,1,0)</f>
        <v>0</v>
      </c>
    </row>
    <row r="312" customFormat="false" ht="15" hidden="false" customHeight="true" outlineLevel="0" collapsed="false">
      <c r="A312" s="43" t="s">
        <v>3120</v>
      </c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</row>
    <row r="313" customFormat="false" ht="15" hidden="false" customHeight="true" outlineLevel="0" collapsed="false">
      <c r="A313" s="44" t="s">
        <v>3121</v>
      </c>
      <c r="B313" s="30" t="s">
        <v>2048</v>
      </c>
      <c r="C313" s="46" t="n">
        <f aca="false">(DC_Cost!C24*Inputs!$D$37)/CTL_GW</f>
        <v>0.0535506735</v>
      </c>
      <c r="D313" s="46" t="n">
        <f aca="false">(DC_Cost!D24*Inputs!$E$37)/CTL_GW</f>
        <v>0.13755107</v>
      </c>
      <c r="E313" s="46" t="n">
        <f aca="false">(DC_Cost!E24*Inputs!$F$37)/CTL_GW</f>
        <v>0.341207434</v>
      </c>
      <c r="F313" s="46" t="n">
        <f aca="false">(DC_Cost!F24*Inputs!$D$37)/CTL_GW</f>
        <v>0.051598476</v>
      </c>
      <c r="G313" s="46" t="n">
        <f aca="false">(DC_Cost!G24*Inputs!$E$37)/CTL_GW</f>
        <v>0.12007587</v>
      </c>
      <c r="H313" s="46" t="n">
        <f aca="false">(DC_Cost!H24*Inputs!$F$37)/CTL_GW</f>
        <v>0.276502044</v>
      </c>
      <c r="I313" s="46" t="n">
        <f aca="false">(DC_Cost!I24*Inputs!$D$37)/CTL_GW</f>
        <v>0.071387256</v>
      </c>
      <c r="J313" s="46" t="n">
        <f aca="false">(DC_Cost!J24*Inputs!$E$37)/CTL_GW</f>
        <v>0.16118612</v>
      </c>
      <c r="K313" s="46" t="n">
        <f aca="false">(DC_Cost!K24*Inputs!$F$37)/CTL_GW</f>
        <v>0.392826064</v>
      </c>
      <c r="L313" s="46" t="n">
        <f aca="false">(DC_Cost!L24*Inputs!$D$37)/CTL_GW</f>
        <v>0.083183508</v>
      </c>
      <c r="M313" s="46" t="n">
        <f aca="false">(DC_Cost!M24*Inputs!$E$37)/CTL_GW</f>
        <v>0.18793176</v>
      </c>
      <c r="N313" s="46" t="n">
        <f aca="false">(DC_Cost!N24*Inputs!$F$37)/CTL_GW</f>
        <v>0.426375752</v>
      </c>
      <c r="O313" s="46" t="n">
        <f aca="false">(DC_Cost!O24*Inputs!$D$37)/CTL_GW</f>
        <v>0.089613945</v>
      </c>
      <c r="P313" s="46" t="n">
        <f aca="false">(DC_Cost!P24*Inputs!$E$37)/CTL_GW</f>
        <v>0.2504289</v>
      </c>
      <c r="Q313" s="46" t="n">
        <f aca="false">(DC_Cost!Q24*Inputs!$F$37)/CTL_GW</f>
        <v>0.65481558</v>
      </c>
      <c r="R313" s="184" t="str">
        <f aca="false">IF(SUM(Gov_Map!$AG$5:$AG$7,Gov_Map!$AG$17:$AG$22,Gov_Map!$AG$69:$AG$103,Gov_Map!$AG$606:$AG$608)&gt;0,"C",IF(SUM(Gov_Map!$AH$5:$AH$7,Gov_Map!$AH$17:$AH$22,Gov_Map!$AH$69:$AH$103,Gov_Map!$AH$606:$AH$608)&gt;0,"B","A"))</f>
        <v>B</v>
      </c>
      <c r="S313" s="44" t="str">
        <f aca="false">IF(R313="—","—",IF(R313="A","基準輸入",IF(R313="B","情境、相對比較、反轉門檻","探索")))</f>
        <v>情境、相對比較、反轉門檻</v>
      </c>
      <c r="T313" s="30" t="s">
        <v>751</v>
      </c>
      <c r="U313" s="44" t="str">
        <f aca="false">IF(V313=0,"—",LEFT(TEXT(V313,"0"),4)&amp;"-"&amp;MID(TEXT(V313,"0"),5,2)&amp;"-"&amp;RIGHT(TEXT(V313,"0"),2))</f>
        <v>2026-10-08</v>
      </c>
      <c r="V313" s="33" t="n">
        <f aca="false">MAX(Gov_Map!$AJ$5:$AJ$7,Gov_Map!$AJ$17:$AJ$22,Gov_Map!$AJ$69:$AJ$103,Gov_Map!$AJ$606:$AJ$608)</f>
        <v>20261008</v>
      </c>
      <c r="W313" s="21" t="s">
        <v>3122</v>
      </c>
      <c r="X313" s="32" t="n">
        <f aca="false">IF(ISNUMBER(FIND("上限",S313)),1,0)</f>
        <v>0</v>
      </c>
      <c r="Y313" s="32" t="n">
        <v>0</v>
      </c>
    </row>
    <row r="314" customFormat="false" ht="15" hidden="false" customHeight="true" outlineLevel="0" collapsed="false">
      <c r="A314" s="44" t="s">
        <v>3123</v>
      </c>
      <c r="B314" s="30" t="s">
        <v>2048</v>
      </c>
      <c r="C314" s="46" t="n">
        <f aca="false">(DC_Cost!C24*Inputs!$D$38)/CTL_GW</f>
        <v>0.428405388</v>
      </c>
      <c r="D314" s="46" t="n">
        <f aca="false">(DC_Cost!D24*Inputs!$E$38)/CTL_GW</f>
        <v>0.82530642</v>
      </c>
      <c r="E314" s="46" t="n">
        <f aca="false">(DC_Cost!E24*Inputs!$F$38)/CTL_GW</f>
        <v>1.70603717</v>
      </c>
      <c r="F314" s="46" t="n">
        <f aca="false">(DC_Cost!F24*Inputs!$D$38)/CTL_GW</f>
        <v>0.412787808</v>
      </c>
      <c r="G314" s="46" t="n">
        <f aca="false">(DC_Cost!G24*Inputs!$E$38)/CTL_GW</f>
        <v>0.72045522</v>
      </c>
      <c r="H314" s="46" t="n">
        <f aca="false">(DC_Cost!H24*Inputs!$F$38)/CTL_GW</f>
        <v>1.38251022</v>
      </c>
      <c r="I314" s="46" t="n">
        <f aca="false">(DC_Cost!I24*Inputs!$D$38)/CTL_GW</f>
        <v>0.571098048</v>
      </c>
      <c r="J314" s="46" t="n">
        <f aca="false">(DC_Cost!J24*Inputs!$E$38)/CTL_GW</f>
        <v>0.96711672</v>
      </c>
      <c r="K314" s="46" t="n">
        <f aca="false">(DC_Cost!K24*Inputs!$F$38)/CTL_GW</f>
        <v>1.96413032</v>
      </c>
      <c r="L314" s="46" t="n">
        <f aca="false">(DC_Cost!L24*Inputs!$D$38)/CTL_GW</f>
        <v>0.665468064</v>
      </c>
      <c r="M314" s="46" t="n">
        <f aca="false">(DC_Cost!M24*Inputs!$E$38)/CTL_GW</f>
        <v>1.12759056</v>
      </c>
      <c r="N314" s="46" t="n">
        <f aca="false">(DC_Cost!N24*Inputs!$F$38)/CTL_GW</f>
        <v>2.13187876</v>
      </c>
      <c r="O314" s="46" t="n">
        <f aca="false">(DC_Cost!O24*Inputs!$D$38)/CTL_GW</f>
        <v>0.71691156</v>
      </c>
      <c r="P314" s="46" t="n">
        <f aca="false">(DC_Cost!P24*Inputs!$E$38)/CTL_GW</f>
        <v>1.5025734</v>
      </c>
      <c r="Q314" s="46" t="n">
        <f aca="false">(DC_Cost!Q24*Inputs!$F$38)/CTL_GW</f>
        <v>3.2740779</v>
      </c>
      <c r="R314" s="184" t="str">
        <f aca="false">IF(SUM(Gov_Map!$AG$5:$AG$7,Gov_Map!$AG$17:$AG$22,Gov_Map!$AG$69:$AG$103,Gov_Map!$AG$609:$AG$611)&gt;0,"C",IF(SUM(Gov_Map!$AH$5:$AH$7,Gov_Map!$AH$17:$AH$22,Gov_Map!$AH$69:$AH$103,Gov_Map!$AH$609:$AH$611)&gt;0,"B","A"))</f>
        <v>B</v>
      </c>
      <c r="S314" s="44" t="str">
        <f aca="false">IF(R314="—","—",IF(R314="A","基準輸入",IF(R314="B","情境、相對比較、反轉門檻","探索")))</f>
        <v>情境、相對比較、反轉門檻</v>
      </c>
      <c r="T314" s="30" t="s">
        <v>751</v>
      </c>
      <c r="U314" s="44" t="str">
        <f aca="false">IF(V314=0,"—",LEFT(TEXT(V314,"0"),4)&amp;"-"&amp;MID(TEXT(V314,"0"),5,2)&amp;"-"&amp;RIGHT(TEXT(V314,"0"),2))</f>
        <v>2026-10-08</v>
      </c>
      <c r="V314" s="33" t="n">
        <f aca="false">MAX(Gov_Map!$AJ$5:$AJ$7,Gov_Map!$AJ$17:$AJ$22,Gov_Map!$AJ$69:$AJ$103,Gov_Map!$AJ$609:$AJ$611)</f>
        <v>20261008</v>
      </c>
      <c r="W314" s="21" t="s">
        <v>3122</v>
      </c>
      <c r="X314" s="32" t="n">
        <f aca="false">IF(ISNUMBER(FIND("上限",S314)),1,0)</f>
        <v>0</v>
      </c>
      <c r="Y314" s="32" t="n">
        <v>0</v>
      </c>
    </row>
    <row r="315" customFormat="false" ht="15" hidden="false" customHeight="true" outlineLevel="0" collapsed="false">
      <c r="A315" s="30" t="s">
        <v>3124</v>
      </c>
      <c r="B315" s="44" t="s">
        <v>149</v>
      </c>
      <c r="C315" s="33" t="n">
        <f aca="false">Inputs!E36</f>
        <v>3</v>
      </c>
      <c r="R315" s="184" t="str">
        <f aca="false">IF(SUM(Gov_Map!$AG$605)&gt;0,"C",IF(SUM(Gov_Map!$AH$605)&gt;0,"B","A"))</f>
        <v>A</v>
      </c>
      <c r="S315" s="44" t="str">
        <f aca="false">IF(R315="—","—",IF(R315="A","基準輸入",IF(R315="B","情境、相對比較、反轉門檻","探索")))</f>
        <v>基準輸入</v>
      </c>
      <c r="T315" s="30" t="s">
        <v>751</v>
      </c>
      <c r="U315" s="44" t="str">
        <f aca="false">IF(V315=0,"—",LEFT(TEXT(V315,"0"),4)&amp;"-"&amp;MID(TEXT(V315,"0"),5,2)&amp;"-"&amp;RIGHT(TEXT(V315,"0"),2))</f>
        <v>—</v>
      </c>
      <c r="V315" s="33" t="n">
        <f aca="false">MAX(Gov_Map!$AJ$605)</f>
        <v>0</v>
      </c>
      <c r="W315" s="21" t="s">
        <v>2854</v>
      </c>
      <c r="X315" s="32" t="n">
        <f aca="false">IF(ISNUMBER(FIND("上限",S315)),1,0)</f>
        <v>0</v>
      </c>
      <c r="Y315" s="32" t="n">
        <v>0</v>
      </c>
    </row>
    <row r="317" customFormat="false" ht="15" hidden="false" customHeight="true" outlineLevel="0" collapsed="false">
      <c r="A317" s="43" t="s">
        <v>3125</v>
      </c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</row>
    <row r="318" customFormat="false" ht="15" hidden="false" customHeight="true" outlineLevel="0" collapsed="false">
      <c r="A318" s="44" t="s">
        <v>3126</v>
      </c>
      <c r="B318" s="30" t="s">
        <v>103</v>
      </c>
      <c r="C318" s="213" t="n">
        <f aca="false">AL_ServeGW</f>
        <v>0.122917826491237</v>
      </c>
      <c r="R318" s="184" t="str">
        <f aca="false">IF(SUM(Gov_Map!$AG$5:$AG$7,Gov_Map!$AG$69:$AG$88,Gov_Map!$AG$104:$AG$128,Gov_Map!$AG$134:$AG$153,Gov_Map!$AG$179:$AG$192,Gov_Map!$AG$195:$AG$214,Gov_Map!$AG$216:$AG$238,Gov_Map!$AG$240:$AG$254,Gov_Map!$AG$308:$AG$319,Gov_Map!$AG$345:$AG$359,Gov_Map!$AG$419:$AG$420,Gov_Map!$AG$430,Gov_Map!$AG$447,Gov_Map!$AG$461:$AG$462,Gov_Map!$AG$510:$AG$518,Gov_Map!$AG$521:$AG$522,Gov_Map!$AG$574:$AG$578,Gov_Map!$AG$588,Gov_Map!$AG$590,Gov_Map!$AG$592,Gov_Map!$AG$594,Gov_Map!$AG$660)&gt;0,"C",IF(SUM(Gov_Map!$AH$5:$AH$7,Gov_Map!$AH$69:$AH$88,Gov_Map!$AH$104:$AH$128,Gov_Map!$AH$134:$AH$153,Gov_Map!$AH$179:$AH$192,Gov_Map!$AH$195:$AH$214,Gov_Map!$AH$216:$AH$238,Gov_Map!$AH$240:$AH$254,Gov_Map!$AH$308:$AH$319,Gov_Map!$AH$345:$AH$359,Gov_Map!$AH$419:$AH$420,Gov_Map!$AH$430,Gov_Map!$AH$447,Gov_Map!$AH$461:$AH$462,Gov_Map!$AH$510:$AH$518,Gov_Map!$AH$521:$AH$522,Gov_Map!$AH$574:$AH$578,Gov_Map!$AH$588,Gov_Map!$AH$590,Gov_Map!$AH$592,Gov_Map!$AH$594,Gov_Map!$AH$660)&gt;0,"B","A"))</f>
        <v>B</v>
      </c>
      <c r="S318" s="44" t="str">
        <f aca="false">IF(R318="—","—",IF(R318="A","基準輸入",IF(R318="B","情境、相對比較、反轉門檻","探索")))</f>
        <v>情境、相對比較、反轉門檻</v>
      </c>
      <c r="T318" s="30" t="s">
        <v>751</v>
      </c>
      <c r="U318" s="44" t="str">
        <f aca="false">IF(V318=0,"—",LEFT(TEXT(V318,"0"),4)&amp;"-"&amp;MID(TEXT(V318,"0"),5,2)&amp;"-"&amp;RIGHT(TEXT(V318,"0"),2))</f>
        <v>2026-10-05</v>
      </c>
      <c r="V318" s="33" t="n">
        <f aca="false">MAX(Gov_Map!$AJ$5:$AJ$7,Gov_Map!$AJ$69:$AJ$88,Gov_Map!$AJ$104:$AJ$128,Gov_Map!$AJ$134:$AJ$153,Gov_Map!$AJ$179:$AJ$192,Gov_Map!$AJ$195:$AJ$214,Gov_Map!$AJ$216:$AJ$238,Gov_Map!$AJ$240:$AJ$254,Gov_Map!$AJ$308:$AJ$319,Gov_Map!$AJ$345:$AJ$359,Gov_Map!$AJ$419:$AJ$420,Gov_Map!$AJ$430,Gov_Map!$AJ$447,Gov_Map!$AJ$461:$AJ$462,Gov_Map!$AJ$510:$AJ$518,Gov_Map!$AJ$521:$AJ$522,Gov_Map!$AJ$574:$AJ$578,Gov_Map!$AJ$588,Gov_Map!$AJ$590,Gov_Map!$AJ$592,Gov_Map!$AJ$594,Gov_Map!$AJ$660)</f>
        <v>20261005</v>
      </c>
      <c r="W318" s="21" t="s">
        <v>3127</v>
      </c>
      <c r="X318" s="32" t="n">
        <f aca="false">IF(ISNUMBER(FIND("上限",S318)),1,0)</f>
        <v>0</v>
      </c>
      <c r="Y318" s="32" t="n">
        <v>0</v>
      </c>
    </row>
    <row r="320" customFormat="false" ht="15" hidden="false" customHeight="true" outlineLevel="0" collapsed="false">
      <c r="A320" s="43" t="s">
        <v>3128</v>
      </c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</row>
    <row r="321" customFormat="false" ht="15" hidden="false" customHeight="true" outlineLevel="0" collapsed="false">
      <c r="A321" s="44" t="s">
        <v>3129</v>
      </c>
      <c r="B321" s="30" t="s">
        <v>2048</v>
      </c>
      <c r="C321" s="216" t="n">
        <f aca="false">IF(ISNUMBER(C235),IF(AND(ISNUMBER(L1_LTotal),ISNUMBER(L1_MFleet)),C235*L1_LTotal*L1_MFleet,"L、m 非數字（本情境）"),C235)</f>
        <v>1.09036738485812</v>
      </c>
      <c r="D321" s="216" t="n">
        <f aca="false">IF(ISNUMBER(D235),IF(AND(ISNUMBER(L1_LTotal),ISNUMBER(L1_MFleet)),D235*L1_LTotal*L1_MFleet,"L、m 非數字（本情境）"),D235)</f>
        <v>1.09036738485812</v>
      </c>
      <c r="E321" s="216" t="n">
        <f aca="false">IF(ISNUMBER(E235),IF(AND(ISNUMBER(L1_LTotal),ISNUMBER(L1_MFleet)),E235*L1_LTotal*L1_MFleet,"L、m 非數字（本情境）"),E235)</f>
        <v>1.09036738485812</v>
      </c>
      <c r="F321" s="216" t="n">
        <f aca="false">IF(ISNUMBER(F235),IF(AND(ISNUMBER(L1_LTotal),ISNUMBER(L1_MFleet)),F235*L1_LTotal*L1_MFleet,"L、m 非數字（本情境）"),F235)</f>
        <v>5.0508898958808</v>
      </c>
      <c r="G321" s="216" t="n">
        <f aca="false">IF(ISNUMBER(G235),IF(AND(ISNUMBER(L1_LTotal),ISNUMBER(L1_MFleet)),G235*L1_LTotal*L1_MFleet,"L、m 非數字（本情境）"),G235)</f>
        <v>5.0508898958808</v>
      </c>
      <c r="H321" s="216" t="n">
        <f aca="false">IF(ISNUMBER(H235),IF(AND(ISNUMBER(L1_LTotal),ISNUMBER(L1_MFleet)),H235*L1_LTotal*L1_MFleet,"L、m 非數字（本情境）"),H235)</f>
        <v>5.0508898958808</v>
      </c>
      <c r="I321" s="216" t="n">
        <f aca="false">IF(ISNUMBER(I235),IF(AND(ISNUMBER(L1_LTotal),ISNUMBER(L1_MFleet)),I235*L1_LTotal*L1_MFleet,"L、m 非數字（本情境）"),I235)</f>
        <v>7.35346949111875</v>
      </c>
      <c r="J321" s="216" t="n">
        <f aca="false">IF(ISNUMBER(J235),IF(AND(ISNUMBER(L1_LTotal),ISNUMBER(L1_MFleet)),J235*L1_LTotal*L1_MFleet,"L、m 非數字（本情境）"),J235)</f>
        <v>7.35346949111875</v>
      </c>
      <c r="K321" s="216" t="n">
        <f aca="false">IF(ISNUMBER(K235),IF(AND(ISNUMBER(L1_LTotal),ISNUMBER(L1_MFleet)),K235*L1_LTotal*L1_MFleet,"L、m 非數字（本情境）"),K235)</f>
        <v>7.35346949111875</v>
      </c>
      <c r="L321" s="216" t="n">
        <f aca="false">IF(ISNUMBER(L235),IF(AND(ISNUMBER(L1_LTotal),ISNUMBER(L1_MFleet)),L235*L1_LTotal*L1_MFleet,"L、m 非數字（本情境）"),L235)</f>
        <v>10.6332437097561</v>
      </c>
      <c r="M321" s="216" t="n">
        <f aca="false">IF(ISNUMBER(M235),IF(AND(ISNUMBER(L1_LTotal),ISNUMBER(L1_MFleet)),M235*L1_LTotal*L1_MFleet,"L、m 非數字（本情境）"),M235)</f>
        <v>10.6332437097561</v>
      </c>
      <c r="N321" s="216" t="n">
        <f aca="false">IF(ISNUMBER(N235),IF(AND(ISNUMBER(L1_LTotal),ISNUMBER(L1_MFleet)),N235*L1_LTotal*L1_MFleet,"L、m 非數字（本情境）"),N235)</f>
        <v>10.6332437097561</v>
      </c>
      <c r="O321" s="216" t="n">
        <f aca="false">IF(ISNUMBER(O235),IF(AND(ISNUMBER(L1_LTotal),ISNUMBER(L1_MFleet)),O235*L1_LTotal*L1_MFleet,"L、m 非數字（本情境）"),O235)</f>
        <v>14.324620023145</v>
      </c>
      <c r="P321" s="216" t="n">
        <f aca="false">IF(ISNUMBER(P235),IF(AND(ISNUMBER(L1_LTotal),ISNUMBER(L1_MFleet)),P235*L1_LTotal*L1_MFleet,"L、m 非數字（本情境）"),P235)</f>
        <v>14.324620023145</v>
      </c>
      <c r="Q321" s="216" t="n">
        <f aca="false">IF(ISNUMBER(Q235),IF(AND(ISNUMBER(L1_LTotal),ISNUMBER(L1_MFleet)),Q235*L1_LTotal*L1_MFleet,"L、m 非數字（本情境）"),Q235)</f>
        <v>14.324620023145</v>
      </c>
      <c r="R321" s="184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1" s="44" t="str">
        <f aca="false">IF(R321="—","—",IF(R321="A","基準輸入",IF(R321="B","情境、相對比較、反轉門檻","探索")))&amp;"；上限，不得作預測"</f>
        <v>情境、相對比較、反轉門檻；上限，不得作預測</v>
      </c>
      <c r="T321" s="44" t="s">
        <v>3130</v>
      </c>
      <c r="U321" s="44" t="str">
        <f aca="false">IF(V321=0,"—",LEFT(TEXT(V321,"0"),4)&amp;"-"&amp;MID(TEXT(V321,"0"),5,2)&amp;"-"&amp;RIGHT(TEXT(V321,"0"),2))</f>
        <v>2026-10-08</v>
      </c>
      <c r="V321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1" s="21" t="s">
        <v>3131</v>
      </c>
      <c r="X321" s="32" t="n">
        <f aca="false">IF(ISNUMBER(FIND("上限",S321)),1,0)</f>
        <v>1</v>
      </c>
      <c r="Y321" s="32" t="n">
        <v>1</v>
      </c>
    </row>
    <row r="322" customFormat="false" ht="15" hidden="false" customHeight="true" outlineLevel="0" collapsed="false">
      <c r="A322" s="44" t="s">
        <v>3132</v>
      </c>
      <c r="B322" s="30" t="s">
        <v>2048</v>
      </c>
      <c r="C322" s="216" t="n">
        <f aca="false">IF(ISNUMBER(C240),IF(AND(ISNUMBER(L1_LTotal),ISNUMBER(L1_MFleet)),C240*L1_LTotal*L1_MFleet,"L、m 非數字（本情境）"),C240)</f>
        <v>6.76180064889054</v>
      </c>
      <c r="D322" s="216" t="n">
        <f aca="false">IF(ISNUMBER(D240),IF(AND(ISNUMBER(L1_LTotal),ISNUMBER(L1_MFleet)),D240*L1_LTotal*L1_MFleet,"L、m 非數字（本情境）"),D240)</f>
        <v>6.76180064889054</v>
      </c>
      <c r="E322" s="216" t="n">
        <f aca="false">IF(ISNUMBER(E240),IF(AND(ISNUMBER(L1_LTotal),ISNUMBER(L1_MFleet)),E240*L1_LTotal*L1_MFleet,"L、m 非數字（本情境）"),E240)</f>
        <v>6.76180064889054</v>
      </c>
      <c r="F322" s="216" t="n">
        <f aca="false">IF(ISNUMBER(F240),IF(AND(ISNUMBER(L1_LTotal),ISNUMBER(L1_MFleet)),F240*L1_LTotal*L1_MFleet,"L、m 非數字（本情境）"),F240)</f>
        <v>30.1485126094542</v>
      </c>
      <c r="G322" s="216" t="n">
        <f aca="false">IF(ISNUMBER(G240),IF(AND(ISNUMBER(L1_LTotal),ISNUMBER(L1_MFleet)),G240*L1_LTotal*L1_MFleet,"L、m 非數字（本情境）"),G240)</f>
        <v>30.1485126094542</v>
      </c>
      <c r="H322" s="216" t="n">
        <f aca="false">IF(ISNUMBER(H240),IF(AND(ISNUMBER(L1_LTotal),ISNUMBER(L1_MFleet)),H240*L1_LTotal*L1_MFleet,"L、m 非數字（本情境）"),H240)</f>
        <v>30.1485126094542</v>
      </c>
      <c r="I322" s="216" t="n">
        <f aca="false">IF(ISNUMBER(I240),IF(AND(ISNUMBER(L1_LTotal),ISNUMBER(L1_MFleet)),I240*L1_LTotal*L1_MFleet,"L、m 非數字（本情境）"),I240)</f>
        <v>43.8924966186716</v>
      </c>
      <c r="J322" s="216" t="n">
        <f aca="false">IF(ISNUMBER(J240),IF(AND(ISNUMBER(L1_LTotal),ISNUMBER(L1_MFleet)),J240*L1_LTotal*L1_MFleet,"L、m 非數字（本情境）"),J240)</f>
        <v>43.8924966186716</v>
      </c>
      <c r="K322" s="216" t="n">
        <f aca="false">IF(ISNUMBER(K240),IF(AND(ISNUMBER(L1_LTotal),ISNUMBER(L1_MFleet)),K240*L1_LTotal*L1_MFleet,"L、m 非數字（本情境）"),K240)</f>
        <v>43.8924966186716</v>
      </c>
      <c r="L322" s="216" t="n">
        <f aca="false">IF(ISNUMBER(L240),IF(AND(ISNUMBER(L1_LTotal),ISNUMBER(L1_MFleet)),L240*L1_LTotal*L1_MFleet,"L、m 非數字（本情境）"),L240)</f>
        <v>66.1791408032588</v>
      </c>
      <c r="M322" s="216" t="n">
        <f aca="false">IF(ISNUMBER(M240),IF(AND(ISNUMBER(L1_LTotal),ISNUMBER(L1_MFleet)),M240*L1_LTotal*L1_MFleet,"L、m 非數字（本情境）"),M240)</f>
        <v>66.1791408032588</v>
      </c>
      <c r="N322" s="216" t="n">
        <f aca="false">IF(ISNUMBER(N240),IF(AND(ISNUMBER(L1_LTotal),ISNUMBER(L1_MFleet)),N240*L1_LTotal*L1_MFleet,"L、m 非數字（本情境）"),N240)</f>
        <v>66.1791408032588</v>
      </c>
      <c r="O322" s="216" t="n">
        <f aca="false">IF(ISNUMBER(O240),IF(AND(ISNUMBER(L1_LTotal),ISNUMBER(L1_MFleet)),O240*L1_LTotal*L1_MFleet,"L、m 非數字（本情境）"),O240)</f>
        <v>90.2053953559915</v>
      </c>
      <c r="P322" s="216" t="n">
        <f aca="false">IF(ISNUMBER(P240),IF(AND(ISNUMBER(L1_LTotal),ISNUMBER(L1_MFleet)),P240*L1_LTotal*L1_MFleet,"L、m 非數字（本情境）"),P240)</f>
        <v>90.2053953559915</v>
      </c>
      <c r="Q322" s="216" t="n">
        <f aca="false">IF(ISNUMBER(Q240),IF(AND(ISNUMBER(L1_LTotal),ISNUMBER(L1_MFleet)),Q240*L1_LTotal*L1_MFleet,"L、m 非數字（本情境）"),Q240)</f>
        <v>90.2053953559915</v>
      </c>
      <c r="R322" s="184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2" s="44" t="str">
        <f aca="false">IF(R322="—","—",IF(R322="A","基準輸入",IF(R322="B","情境、相對比較、反轉門檻","探索")))&amp;"；上限，不得作預測"</f>
        <v>情境、相對比較、反轉門檻；上限，不得作預測</v>
      </c>
      <c r="T322" s="44" t="s">
        <v>3130</v>
      </c>
      <c r="U322" s="44" t="str">
        <f aca="false">IF(V322=0,"—",LEFT(TEXT(V322,"0"),4)&amp;"-"&amp;MID(TEXT(V322,"0"),5,2)&amp;"-"&amp;RIGHT(TEXT(V322,"0"),2))</f>
        <v>2026-10-08</v>
      </c>
      <c r="V322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2" s="21" t="s">
        <v>3131</v>
      </c>
      <c r="X322" s="32" t="n">
        <f aca="false">IF(ISNUMBER(FIND("上限",S322)),1,0)</f>
        <v>1</v>
      </c>
      <c r="Y322" s="32" t="n">
        <v>1</v>
      </c>
    </row>
    <row r="323" customFormat="false" ht="15" hidden="false" customHeight="true" outlineLevel="0" collapsed="false">
      <c r="A323" s="44" t="s">
        <v>3133</v>
      </c>
      <c r="B323" s="30" t="s">
        <v>2048</v>
      </c>
      <c r="C323" s="216" t="n">
        <f aca="false">IF(ISNUMBER(C245),IF(AND(ISNUMBER(L1_LTotal),ISNUMBER(L1_MFleet)),C245*L1_LTotal*L1_MFleet,"L、m 非數字（本情境）"),C245)</f>
        <v>6.21120128774099</v>
      </c>
      <c r="D323" s="216" t="n">
        <f aca="false">IF(ISNUMBER(D245),IF(AND(ISNUMBER(L1_LTotal),ISNUMBER(L1_MFleet)),D245*L1_LTotal*L1_MFleet,"L、m 非數字（本情境）"),D245)</f>
        <v>6.21120128774099</v>
      </c>
      <c r="E323" s="216" t="n">
        <f aca="false">IF(ISNUMBER(E245),IF(AND(ISNUMBER(L1_LTotal),ISNUMBER(L1_MFleet)),E245*L1_LTotal*L1_MFleet,"L、m 非數字（本情境）"),E245)</f>
        <v>6.21120128774099</v>
      </c>
      <c r="F323" s="216" t="n">
        <f aca="false">IF(ISNUMBER(F245),IF(AND(ISNUMBER(L1_LTotal),ISNUMBER(L1_MFleet)),F245*L1_LTotal*L1_MFleet,"L、m 非數字（本情境）"),F245)</f>
        <v>29.4723789018557</v>
      </c>
      <c r="G323" s="216" t="n">
        <f aca="false">IF(ISNUMBER(G245),IF(AND(ISNUMBER(L1_LTotal),ISNUMBER(L1_MFleet)),G245*L1_LTotal*L1_MFleet,"L、m 非數字（本情境）"),G245)</f>
        <v>29.4723789018557</v>
      </c>
      <c r="H323" s="216" t="n">
        <f aca="false">IF(ISNUMBER(H245),IF(AND(ISNUMBER(L1_LTotal),ISNUMBER(L1_MFleet)),H245*L1_LTotal*L1_MFleet,"L、m 非數字（本情境）"),H245)</f>
        <v>29.4723789018557</v>
      </c>
      <c r="I323" s="216" t="n">
        <f aca="false">IF(ISNUMBER(I245),IF(AND(ISNUMBER(L1_LTotal),ISNUMBER(L1_MFleet)),I245*L1_LTotal*L1_MFleet,"L、m 非數字（本情境）"),I245)</f>
        <v>38.4469947458803</v>
      </c>
      <c r="J323" s="216" t="n">
        <f aca="false">IF(ISNUMBER(J245),IF(AND(ISNUMBER(L1_LTotal),ISNUMBER(L1_MFleet)),J245*L1_LTotal*L1_MFleet,"L、m 非數字（本情境）"),J245)</f>
        <v>38.4469947458803</v>
      </c>
      <c r="K323" s="216" t="n">
        <f aca="false">IF(ISNUMBER(K245),IF(AND(ISNUMBER(L1_LTotal),ISNUMBER(L1_MFleet)),K245*L1_LTotal*L1_MFleet,"L、m 非數字（本情境）"),K245)</f>
        <v>38.4469947458803</v>
      </c>
      <c r="L323" s="216" t="n">
        <f aca="false">IF(ISNUMBER(L245),IF(AND(ISNUMBER(L1_LTotal),ISNUMBER(L1_MFleet)),L245*L1_LTotal*L1_MFleet,"L、m 非數字（本情境）"),L245)</f>
        <v>69.8655604821428</v>
      </c>
      <c r="M323" s="216" t="n">
        <f aca="false">IF(ISNUMBER(M245),IF(AND(ISNUMBER(L1_LTotal),ISNUMBER(L1_MFleet)),M245*L1_LTotal*L1_MFleet,"L、m 非數字（本情境）"),M245)</f>
        <v>69.8655604821428</v>
      </c>
      <c r="N323" s="216" t="n">
        <f aca="false">IF(ISNUMBER(N245),IF(AND(ISNUMBER(L1_LTotal),ISNUMBER(L1_MFleet)),N245*L1_LTotal*L1_MFleet,"L、m 非數字（本情境）"),N245)</f>
        <v>69.8655604821428</v>
      </c>
      <c r="O323" s="216" t="n">
        <f aca="false">IF(ISNUMBER(O245),IF(AND(ISNUMBER(L1_LTotal),ISNUMBER(L1_MFleet)),O245*L1_LTotal*L1_MFleet,"L、m 非數字（本情境）"),O245)</f>
        <v>99.358220932134</v>
      </c>
      <c r="P323" s="216" t="n">
        <f aca="false">IF(ISNUMBER(P245),IF(AND(ISNUMBER(L1_LTotal),ISNUMBER(L1_MFleet)),P245*L1_LTotal*L1_MFleet,"L、m 非數字（本情境）"),P245)</f>
        <v>99.358220932134</v>
      </c>
      <c r="Q323" s="216" t="n">
        <f aca="false">IF(ISNUMBER(Q245),IF(AND(ISNUMBER(L1_LTotal),ISNUMBER(L1_MFleet)),Q245*L1_LTotal*L1_MFleet,"L、m 非數字（本情境）"),Q245)</f>
        <v>99.358220932134</v>
      </c>
      <c r="R323" s="184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3" s="44" t="str">
        <f aca="false">IF(R323="—","—",IF(R323="A","基準輸入",IF(R323="B","情境、相對比較、反轉門檻","探索")))&amp;"；上限，不得作預測"</f>
        <v>情境、相對比較、反轉門檻；上限，不得作預測</v>
      </c>
      <c r="T323" s="44" t="s">
        <v>3130</v>
      </c>
      <c r="U323" s="44" t="str">
        <f aca="false">IF(V323=0,"—",LEFT(TEXT(V323,"0"),4)&amp;"-"&amp;MID(TEXT(V323,"0"),5,2)&amp;"-"&amp;RIGHT(TEXT(V323,"0"),2))</f>
        <v>2026-10-08</v>
      </c>
      <c r="V323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3" s="21" t="s">
        <v>3131</v>
      </c>
      <c r="X323" s="32" t="n">
        <f aca="false">IF(ISNUMBER(FIND("上限",S323)),1,0)</f>
        <v>1</v>
      </c>
      <c r="Y323" s="32" t="n">
        <v>1</v>
      </c>
    </row>
    <row r="324" customFormat="false" ht="15" hidden="false" customHeight="true" outlineLevel="0" collapsed="false">
      <c r="A324" s="44" t="s">
        <v>3134</v>
      </c>
      <c r="B324" s="30" t="s">
        <v>2048</v>
      </c>
      <c r="C324" s="216" t="n">
        <f aca="false">IF(ISNUMBER(C250),IF(AND(ISNUMBER(L1_LTotal),ISNUMBER(L1_MFleet)),C250*L1_LTotal*L1_MFleet,"L、m 非數字（本情境）"),C250)</f>
        <v>1.31348430557208</v>
      </c>
      <c r="D324" s="216" t="n">
        <f aca="false">IF(ISNUMBER(D250),IF(AND(ISNUMBER(L1_LTotal),ISNUMBER(L1_MFleet)),D250*L1_LTotal*L1_MFleet,"L、m 非數字（本情境）"),D250)</f>
        <v>1.31348430557208</v>
      </c>
      <c r="E324" s="216" t="n">
        <f aca="false">IF(ISNUMBER(E250),IF(AND(ISNUMBER(L1_LTotal),ISNUMBER(L1_MFleet)),E250*L1_LTotal*L1_MFleet,"L、m 非數字（本情境）"),E250)</f>
        <v>1.31348430557208</v>
      </c>
      <c r="F324" s="216" t="n">
        <f aca="false">IF(ISNUMBER(F250),IF(AND(ISNUMBER(L1_LTotal),ISNUMBER(L1_MFleet)),F250*L1_LTotal*L1_MFleet,"L、m 非數字（本情境）"),F250)</f>
        <v>6.09265753150729</v>
      </c>
      <c r="G324" s="216" t="n">
        <f aca="false">IF(ISNUMBER(G250),IF(AND(ISNUMBER(L1_LTotal),ISNUMBER(L1_MFleet)),G250*L1_LTotal*L1_MFleet,"L、m 非數字（本情境）"),G250)</f>
        <v>6.09265753150729</v>
      </c>
      <c r="H324" s="216" t="n">
        <f aca="false">IF(ISNUMBER(H250),IF(AND(ISNUMBER(L1_LTotal),ISNUMBER(L1_MFleet)),H250*L1_LTotal*L1_MFleet,"L、m 非數字（本情境）"),H250)</f>
        <v>6.09265753150729</v>
      </c>
      <c r="I324" s="216" t="n">
        <f aca="false">IF(ISNUMBER(I250),IF(AND(ISNUMBER(L1_LTotal),ISNUMBER(L1_MFleet)),I250*L1_LTotal*L1_MFleet,"L、m 非數字（本情境）"),I250)</f>
        <v>8.31626030044816</v>
      </c>
      <c r="J324" s="216" t="n">
        <f aca="false">IF(ISNUMBER(J250),IF(AND(ISNUMBER(L1_LTotal),ISNUMBER(L1_MFleet)),J250*L1_LTotal*L1_MFleet,"L、m 非數字（本情境）"),J250)</f>
        <v>8.31626030044816</v>
      </c>
      <c r="K324" s="216" t="n">
        <f aca="false">IF(ISNUMBER(K250),IF(AND(ISNUMBER(L1_LTotal),ISNUMBER(L1_MFleet)),K250*L1_LTotal*L1_MFleet,"L、m 非數字（本情境）"),K250)</f>
        <v>8.31626030044816</v>
      </c>
      <c r="L324" s="216" t="n">
        <f aca="false">IF(ISNUMBER(L250),IF(AND(ISNUMBER(L1_LTotal),ISNUMBER(L1_MFleet)),L250*L1_LTotal*L1_MFleet,"L、m 非數字（本情境）"),L250)</f>
        <v>13.9119617685919</v>
      </c>
      <c r="M324" s="216" t="n">
        <f aca="false">IF(ISNUMBER(M250),IF(AND(ISNUMBER(L1_LTotal),ISNUMBER(L1_MFleet)),M250*L1_LTotal*L1_MFleet,"L、m 非數字（本情境）"),M250)</f>
        <v>13.9119617685919</v>
      </c>
      <c r="N324" s="216" t="n">
        <f aca="false">IF(ISNUMBER(N250),IF(AND(ISNUMBER(L1_LTotal),ISNUMBER(L1_MFleet)),N250*L1_LTotal*L1_MFleet,"L、m 非數字（本情境）"),N250)</f>
        <v>13.9119617685919</v>
      </c>
      <c r="O324" s="216" t="n">
        <f aca="false">IF(ISNUMBER(O250),IF(AND(ISNUMBER(L1_LTotal),ISNUMBER(L1_MFleet)),O250*L1_LTotal*L1_MFleet,"L、m 非數字（本情境）"),O250)</f>
        <v>19.3858477508391</v>
      </c>
      <c r="P324" s="216" t="n">
        <f aca="false">IF(ISNUMBER(P250),IF(AND(ISNUMBER(L1_LTotal),ISNUMBER(L1_MFleet)),P250*L1_LTotal*L1_MFleet,"L、m 非數字（本情境）"),P250)</f>
        <v>19.3858477508391</v>
      </c>
      <c r="Q324" s="216" t="n">
        <f aca="false">IF(ISNUMBER(Q250),IF(AND(ISNUMBER(L1_LTotal),ISNUMBER(L1_MFleet)),Q250*L1_LTotal*L1_MFleet,"L、m 非數字（本情境）"),Q250)</f>
        <v>19.3858477508391</v>
      </c>
      <c r="R324" s="184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$449,Gov_Map!$AG$451,Gov_Map!$AG$457,Gov_Map!$AG$459,Gov_Map!$AG$461:$AG$462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$449,Gov_Map!$AH$451,Gov_Map!$AH$457,Gov_Map!$AH$459,Gov_Map!$AH$461:$AH$462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4" s="44" t="str">
        <f aca="false">IF(R324="—","—",IF(R324="A","基準輸入",IF(R324="B","情境、相對比較、反轉門檻","探索")))&amp;"；上限，不得作預測"</f>
        <v>情境、相對比較、反轉門檻；上限，不得作預測</v>
      </c>
      <c r="T324" s="44" t="s">
        <v>3130</v>
      </c>
      <c r="U324" s="44" t="str">
        <f aca="false">IF(V324=0,"—",LEFT(TEXT(V324,"0"),4)&amp;"-"&amp;MID(TEXT(V324,"0"),5,2)&amp;"-"&amp;RIGHT(TEXT(V324,"0"),2))</f>
        <v>2026-10-08</v>
      </c>
      <c r="V324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$449,Gov_Map!$AJ$451,Gov_Map!$AJ$457,Gov_Map!$AJ$459,Gov_Map!$AJ$461:$AJ$462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4" s="21" t="s">
        <v>3135</v>
      </c>
      <c r="X324" s="32" t="n">
        <f aca="false">IF(ISNUMBER(FIND("上限",S324)),1,0)</f>
        <v>1</v>
      </c>
      <c r="Y324" s="32" t="n">
        <v>1</v>
      </c>
    </row>
    <row r="325" customFormat="false" ht="15" hidden="false" customHeight="true" outlineLevel="0" collapsed="false">
      <c r="A325" s="44" t="s">
        <v>3136</v>
      </c>
      <c r="B325" s="30" t="s">
        <v>2048</v>
      </c>
      <c r="C325" s="216" t="n">
        <f aca="false">IF(ISNUMBER(C255),IF(AND(ISNUMBER(L1_LTotal),ISNUMBER(L1_MFleet)),C255*L1_LTotal*L1_MFleet,"L、m 非數字（本情境）"),C255)</f>
        <v>1.09036738485811</v>
      </c>
      <c r="D325" s="216" t="n">
        <f aca="false">IF(ISNUMBER(D255),IF(AND(ISNUMBER(L1_LTotal),ISNUMBER(L1_MFleet)),D255*L1_LTotal*L1_MFleet,"L、m 非數字（本情境）"),D255)</f>
        <v>1.09036738485811</v>
      </c>
      <c r="E325" s="216" t="n">
        <f aca="false">IF(ISNUMBER(E255),IF(AND(ISNUMBER(L1_LTotal),ISNUMBER(L1_MFleet)),E255*L1_LTotal*L1_MFleet,"L、m 非數字（本情境）"),E255)</f>
        <v>1.09036738485811</v>
      </c>
      <c r="F325" s="216" t="n">
        <f aca="false">IF(ISNUMBER(F255),IF(AND(ISNUMBER(L1_LTotal),ISNUMBER(L1_MFleet)),F255*L1_LTotal*L1_MFleet,"L、m 非數字（本情境）"),F255)</f>
        <v>5.05088989588079</v>
      </c>
      <c r="G325" s="216" t="n">
        <f aca="false">IF(ISNUMBER(G255),IF(AND(ISNUMBER(L1_LTotal),ISNUMBER(L1_MFleet)),G255*L1_LTotal*L1_MFleet,"L、m 非數字（本情境）"),G255)</f>
        <v>5.05088989588079</v>
      </c>
      <c r="H325" s="216" t="n">
        <f aca="false">IF(ISNUMBER(H255),IF(AND(ISNUMBER(L1_LTotal),ISNUMBER(L1_MFleet)),H255*L1_LTotal*L1_MFleet,"L、m 非數字（本情境）"),H255)</f>
        <v>5.05088989588079</v>
      </c>
      <c r="I325" s="216" t="n">
        <f aca="false">IF(ISNUMBER(I255),IF(AND(ISNUMBER(L1_LTotal),ISNUMBER(L1_MFleet)),I255*L1_LTotal*L1_MFleet,"L、m 非數字（本情境）"),I255)</f>
        <v>7.35346949111874</v>
      </c>
      <c r="J325" s="216" t="n">
        <f aca="false">IF(ISNUMBER(J255),IF(AND(ISNUMBER(L1_LTotal),ISNUMBER(L1_MFleet)),J255*L1_LTotal*L1_MFleet,"L、m 非數字（本情境）"),J255)</f>
        <v>7.35346949111874</v>
      </c>
      <c r="K325" s="216" t="n">
        <f aca="false">IF(ISNUMBER(K255),IF(AND(ISNUMBER(L1_LTotal),ISNUMBER(L1_MFleet)),K255*L1_LTotal*L1_MFleet,"L、m 非數字（本情境）"),K255)</f>
        <v>7.35346949111874</v>
      </c>
      <c r="L325" s="216" t="n">
        <f aca="false">IF(ISNUMBER(L255),IF(AND(ISNUMBER(L1_LTotal),ISNUMBER(L1_MFleet)),L255*L1_LTotal*L1_MFleet,"L、m 非數字（本情境）"),L255)</f>
        <v>10.6332437097561</v>
      </c>
      <c r="M325" s="216" t="n">
        <f aca="false">IF(ISNUMBER(M255),IF(AND(ISNUMBER(L1_LTotal),ISNUMBER(L1_MFleet)),M255*L1_LTotal*L1_MFleet,"L、m 非數字（本情境）"),M255)</f>
        <v>10.6332437097561</v>
      </c>
      <c r="N325" s="216" t="n">
        <f aca="false">IF(ISNUMBER(N255),IF(AND(ISNUMBER(L1_LTotal),ISNUMBER(L1_MFleet)),N255*L1_LTotal*L1_MFleet,"L、m 非數字（本情境）"),N255)</f>
        <v>10.6332437097561</v>
      </c>
      <c r="O325" s="216" t="n">
        <f aca="false">IF(ISNUMBER(O255),IF(AND(ISNUMBER(L1_LTotal),ISNUMBER(L1_MFleet)),O255*L1_LTotal*L1_MFleet,"L、m 非數字（本情境）"),O255)</f>
        <v>14.3246200231449</v>
      </c>
      <c r="P325" s="216" t="n">
        <f aca="false">IF(ISNUMBER(P255),IF(AND(ISNUMBER(L1_LTotal),ISNUMBER(L1_MFleet)),P255*L1_LTotal*L1_MFleet,"L、m 非數字（本情境）"),P255)</f>
        <v>14.3246200231449</v>
      </c>
      <c r="Q325" s="216" t="n">
        <f aca="false">IF(ISNUMBER(Q255),IF(AND(ISNUMBER(L1_LTotal),ISNUMBER(L1_MFleet)),Q255*L1_LTotal*L1_MFleet,"L、m 非數字（本情境）"),Q255)</f>
        <v>14.3246200231449</v>
      </c>
      <c r="R325" s="184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5" s="44" t="str">
        <f aca="false">IF(R325="—","—",IF(R325="A","基準輸入",IF(R325="B","情境、相對比較、反轉門檻","探索")))&amp;"；上限，不得作預測"</f>
        <v>情境、相對比較、反轉門檻；上限，不得作預測</v>
      </c>
      <c r="T325" s="44" t="s">
        <v>3130</v>
      </c>
      <c r="U325" s="44" t="str">
        <f aca="false">IF(V325=0,"—",LEFT(TEXT(V325,"0"),4)&amp;"-"&amp;MID(TEXT(V325,"0"),5,2)&amp;"-"&amp;RIGHT(TEXT(V325,"0"),2))</f>
        <v>2026-10-08</v>
      </c>
      <c r="V325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5" s="21" t="s">
        <v>3137</v>
      </c>
      <c r="X325" s="32" t="n">
        <f aca="false">IF(ISNUMBER(FIND("上限",S325)),1,0)</f>
        <v>1</v>
      </c>
      <c r="Y325" s="32" t="n">
        <v>1</v>
      </c>
    </row>
    <row r="326" customFormat="false" ht="15" hidden="false" customHeight="true" outlineLevel="0" collapsed="false">
      <c r="A326" s="44" t="s">
        <v>3138</v>
      </c>
      <c r="B326" s="30" t="s">
        <v>2048</v>
      </c>
      <c r="C326" s="216" t="n">
        <f aca="false">IF(ISNUMBER(C260),IF(AND(ISNUMBER(L1_LTotal),ISNUMBER(L1_MFleet)),C260*L1_LTotal*L1_MFleet,"L、m 非數字（本情境）"),C260)</f>
        <v>6.76180064889054</v>
      </c>
      <c r="D326" s="216" t="n">
        <f aca="false">IF(ISNUMBER(D260),IF(AND(ISNUMBER(L1_LTotal),ISNUMBER(L1_MFleet)),D260*L1_LTotal*L1_MFleet,"L、m 非數字（本情境）"),D260)</f>
        <v>6.76180064889054</v>
      </c>
      <c r="E326" s="216" t="n">
        <f aca="false">IF(ISNUMBER(E260),IF(AND(ISNUMBER(L1_LTotal),ISNUMBER(L1_MFleet)),E260*L1_LTotal*L1_MFleet,"L、m 非數字（本情境）"),E260)</f>
        <v>6.76180064889054</v>
      </c>
      <c r="F326" s="216" t="n">
        <f aca="false">IF(ISNUMBER(F260),IF(AND(ISNUMBER(L1_LTotal),ISNUMBER(L1_MFleet)),F260*L1_LTotal*L1_MFleet,"L、m 非數字（本情境）"),F260)</f>
        <v>30.1485126094542</v>
      </c>
      <c r="G326" s="216" t="n">
        <f aca="false">IF(ISNUMBER(G260),IF(AND(ISNUMBER(L1_LTotal),ISNUMBER(L1_MFleet)),G260*L1_LTotal*L1_MFleet,"L、m 非數字（本情境）"),G260)</f>
        <v>30.1485126094542</v>
      </c>
      <c r="H326" s="216" t="n">
        <f aca="false">IF(ISNUMBER(H260),IF(AND(ISNUMBER(L1_LTotal),ISNUMBER(L1_MFleet)),H260*L1_LTotal*L1_MFleet,"L、m 非數字（本情境）"),H260)</f>
        <v>30.1485126094542</v>
      </c>
      <c r="I326" s="216" t="n">
        <f aca="false">IF(ISNUMBER(I260),IF(AND(ISNUMBER(L1_LTotal),ISNUMBER(L1_MFleet)),I260*L1_LTotal*L1_MFleet,"L、m 非數字（本情境）"),I260)</f>
        <v>43.8924966186716</v>
      </c>
      <c r="J326" s="216" t="n">
        <f aca="false">IF(ISNUMBER(J260),IF(AND(ISNUMBER(L1_LTotal),ISNUMBER(L1_MFleet)),J260*L1_LTotal*L1_MFleet,"L、m 非數字（本情境）"),J260)</f>
        <v>43.8924966186716</v>
      </c>
      <c r="K326" s="216" t="n">
        <f aca="false">IF(ISNUMBER(K260),IF(AND(ISNUMBER(L1_LTotal),ISNUMBER(L1_MFleet)),K260*L1_LTotal*L1_MFleet,"L、m 非數字（本情境）"),K260)</f>
        <v>43.8924966186716</v>
      </c>
      <c r="L326" s="216" t="n">
        <f aca="false">IF(ISNUMBER(L260),IF(AND(ISNUMBER(L1_LTotal),ISNUMBER(L1_MFleet)),L260*L1_LTotal*L1_MFleet,"L、m 非數字（本情境）"),L260)</f>
        <v>66.1791408032588</v>
      </c>
      <c r="M326" s="216" t="n">
        <f aca="false">IF(ISNUMBER(M260),IF(AND(ISNUMBER(L1_LTotal),ISNUMBER(L1_MFleet)),M260*L1_LTotal*L1_MFleet,"L、m 非數字（本情境）"),M260)</f>
        <v>66.1791408032588</v>
      </c>
      <c r="N326" s="216" t="n">
        <f aca="false">IF(ISNUMBER(N260),IF(AND(ISNUMBER(L1_LTotal),ISNUMBER(L1_MFleet)),N260*L1_LTotal*L1_MFleet,"L、m 非數字（本情境）"),N260)</f>
        <v>66.1791408032588</v>
      </c>
      <c r="O326" s="216" t="n">
        <f aca="false">IF(ISNUMBER(O260),IF(AND(ISNUMBER(L1_LTotal),ISNUMBER(L1_MFleet)),O260*L1_LTotal*L1_MFleet,"L、m 非數字（本情境）"),O260)</f>
        <v>90.2053953559915</v>
      </c>
      <c r="P326" s="216" t="n">
        <f aca="false">IF(ISNUMBER(P260),IF(AND(ISNUMBER(L1_LTotal),ISNUMBER(L1_MFleet)),P260*L1_LTotal*L1_MFleet,"L、m 非數字（本情境）"),P260)</f>
        <v>90.2053953559915</v>
      </c>
      <c r="Q326" s="216" t="n">
        <f aca="false">IF(ISNUMBER(Q260),IF(AND(ISNUMBER(L1_LTotal),ISNUMBER(L1_MFleet)),Q260*L1_LTotal*L1_MFleet,"L、m 非數字（本情境）"),Q260)</f>
        <v>90.2053953559915</v>
      </c>
      <c r="R326" s="184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6" s="44" t="str">
        <f aca="false">IF(R326="—","—",IF(R326="A","基準輸入",IF(R326="B","情境、相對比較、反轉門檻","探索")))&amp;"；上限，不得作預測"</f>
        <v>情境、相對比較、反轉門檻；上限，不得作預測</v>
      </c>
      <c r="T326" s="44" t="s">
        <v>3130</v>
      </c>
      <c r="U326" s="44" t="str">
        <f aca="false">IF(V326=0,"—",LEFT(TEXT(V326,"0"),4)&amp;"-"&amp;MID(TEXT(V326,"0"),5,2)&amp;"-"&amp;RIGHT(TEXT(V326,"0"),2))</f>
        <v>2026-10-08</v>
      </c>
      <c r="V326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6" s="21" t="s">
        <v>3137</v>
      </c>
      <c r="X326" s="32" t="n">
        <f aca="false">IF(ISNUMBER(FIND("上限",S326)),1,0)</f>
        <v>1</v>
      </c>
      <c r="Y326" s="32" t="n">
        <v>1</v>
      </c>
    </row>
    <row r="327" customFormat="false" ht="15" hidden="false" customHeight="true" outlineLevel="0" collapsed="false">
      <c r="A327" s="44" t="s">
        <v>3139</v>
      </c>
      <c r="B327" s="30" t="s">
        <v>2048</v>
      </c>
      <c r="C327" s="216" t="n">
        <f aca="false">IF(ISNUMBER(C265),IF(AND(ISNUMBER(L1_LTotal),ISNUMBER(L1_MFleet)),C265*L1_LTotal*L1_MFleet,"L、m 非數字（本情境）"),C265)</f>
        <v>5.98446495754691</v>
      </c>
      <c r="D327" s="216" t="n">
        <f aca="false">IF(ISNUMBER(D265),IF(AND(ISNUMBER(L1_LTotal),ISNUMBER(L1_MFleet)),D265*L1_LTotal*L1_MFleet,"L、m 非數字（本情境）"),D265)</f>
        <v>5.98446495754691</v>
      </c>
      <c r="E327" s="216" t="n">
        <f aca="false">IF(ISNUMBER(E265),IF(AND(ISNUMBER(L1_LTotal),ISNUMBER(L1_MFleet)),E265*L1_LTotal*L1_MFleet,"L、m 非數字（本情境）"),E265)</f>
        <v>5.98446495754691</v>
      </c>
      <c r="F327" s="216" t="n">
        <f aca="false">IF(ISNUMBER(F265),IF(AND(ISNUMBER(L1_LTotal),ISNUMBER(L1_MFleet)),F265*L1_LTotal*L1_MFleet,"L、m 非數字（本情境）"),F265)</f>
        <v>28.3965066631818</v>
      </c>
      <c r="G327" s="216" t="n">
        <f aca="false">IF(ISNUMBER(G265),IF(AND(ISNUMBER(L1_LTotal),ISNUMBER(L1_MFleet)),G265*L1_LTotal*L1_MFleet,"L、m 非數字（本情境）"),G265)</f>
        <v>28.3965066631818</v>
      </c>
      <c r="H327" s="216" t="n">
        <f aca="false">IF(ISNUMBER(H265),IF(AND(ISNUMBER(L1_LTotal),ISNUMBER(L1_MFleet)),H265*L1_LTotal*L1_MFleet,"L、m 非數字（本情境）"),H265)</f>
        <v>28.3965066631818</v>
      </c>
      <c r="I327" s="216" t="n">
        <f aca="false">IF(ISNUMBER(I265),IF(AND(ISNUMBER(L1_LTotal),ISNUMBER(L1_MFleet)),I265*L1_LTotal*L1_MFleet,"L、m 非數字（本情境）"),I265)</f>
        <v>37.0435093182099</v>
      </c>
      <c r="J327" s="216" t="n">
        <f aca="false">IF(ISNUMBER(J265),IF(AND(ISNUMBER(L1_LTotal),ISNUMBER(L1_MFleet)),J265*L1_LTotal*L1_MFleet,"L、m 非數字（本情境）"),J265)</f>
        <v>37.0435093182099</v>
      </c>
      <c r="K327" s="216" t="n">
        <f aca="false">IF(ISNUMBER(K265),IF(AND(ISNUMBER(L1_LTotal),ISNUMBER(L1_MFleet)),K265*L1_LTotal*L1_MFleet,"L、m 非數字（本情境）"),K265)</f>
        <v>37.0435093182099</v>
      </c>
      <c r="L327" s="216" t="n">
        <f aca="false">IF(ISNUMBER(L265),IF(AND(ISNUMBER(L1_LTotal),ISNUMBER(L1_MFleet)),L265*L1_LTotal*L1_MFleet,"L、m 非數字（本情境）"),L265)</f>
        <v>67.3151583848965</v>
      </c>
      <c r="M327" s="216" t="n">
        <f aca="false">IF(ISNUMBER(M265),IF(AND(ISNUMBER(L1_LTotal),ISNUMBER(L1_MFleet)),M265*L1_LTotal*L1_MFleet,"L、m 非數字（本情境）"),M265)</f>
        <v>67.3151583848965</v>
      </c>
      <c r="N327" s="216" t="n">
        <f aca="false">IF(ISNUMBER(N265),IF(AND(ISNUMBER(L1_LTotal),ISNUMBER(L1_MFleet)),N265*L1_LTotal*L1_MFleet,"L、m 非數字（本情境）"),N265)</f>
        <v>67.3151583848965</v>
      </c>
      <c r="O327" s="216" t="n">
        <f aca="false">IF(ISNUMBER(O265),IF(AND(ISNUMBER(L1_LTotal),ISNUMBER(L1_MFleet)),O265*L1_LTotal*L1_MFleet,"L、m 非數字（本情境）"),O265)</f>
        <v>95.7312062299653</v>
      </c>
      <c r="P327" s="216" t="n">
        <f aca="false">IF(ISNUMBER(P265),IF(AND(ISNUMBER(L1_LTotal),ISNUMBER(L1_MFleet)),P265*L1_LTotal*L1_MFleet,"L、m 非數字（本情境）"),P265)</f>
        <v>95.7312062299653</v>
      </c>
      <c r="Q327" s="216" t="n">
        <f aca="false">IF(ISNUMBER(Q265),IF(AND(ISNUMBER(L1_LTotal),ISNUMBER(L1_MFleet)),Q265*L1_LTotal*L1_MFleet,"L、m 非數字（本情境）"),Q265)</f>
        <v>95.7312062299653</v>
      </c>
      <c r="R327" s="184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7" s="44" t="str">
        <f aca="false">IF(R327="—","—",IF(R327="A","基準輸入",IF(R327="B","情境、相對比較、反轉門檻","探索")))&amp;"；上限，不得作預測"</f>
        <v>情境、相對比較、反轉門檻；上限，不得作預測</v>
      </c>
      <c r="T327" s="44" t="s">
        <v>3130</v>
      </c>
      <c r="U327" s="44" t="str">
        <f aca="false">IF(V327=0,"—",LEFT(TEXT(V327,"0"),4)&amp;"-"&amp;MID(TEXT(V327,"0"),5,2)&amp;"-"&amp;RIGHT(TEXT(V327,"0"),2))</f>
        <v>2026-10-08</v>
      </c>
      <c r="V327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7" s="21" t="s">
        <v>3137</v>
      </c>
      <c r="X327" s="32" t="n">
        <f aca="false">IF(ISNUMBER(FIND("上限",S327)),1,0)</f>
        <v>1</v>
      </c>
      <c r="Y327" s="32" t="n">
        <v>1</v>
      </c>
    </row>
    <row r="328" customFormat="false" ht="15" hidden="false" customHeight="true" outlineLevel="0" collapsed="false">
      <c r="A328" s="44" t="s">
        <v>3140</v>
      </c>
      <c r="B328" s="30" t="s">
        <v>2048</v>
      </c>
      <c r="C328" s="216" t="n">
        <f aca="false">IF(ISNUMBER(C270),IF(AND(ISNUMBER(L1_LTotal),ISNUMBER(L1_MFleet)),C270*L1_LTotal*L1_MFleet,"L、m 非數字（本情境）"),C270)</f>
        <v>1.28400808280722</v>
      </c>
      <c r="D328" s="216" t="n">
        <f aca="false">IF(ISNUMBER(D270),IF(AND(ISNUMBER(L1_LTotal),ISNUMBER(L1_MFleet)),D270*L1_LTotal*L1_MFleet,"L、m 非數字（本情境）"),D270)</f>
        <v>1.28400808280722</v>
      </c>
      <c r="E328" s="216" t="n">
        <f aca="false">IF(ISNUMBER(E270),IF(AND(ISNUMBER(L1_LTotal),ISNUMBER(L1_MFleet)),E270*L1_LTotal*L1_MFleet,"L、m 非數字（本情境）"),E270)</f>
        <v>1.28400808280722</v>
      </c>
      <c r="F328" s="216" t="n">
        <f aca="false">IF(ISNUMBER(F270),IF(AND(ISNUMBER(L1_LTotal),ISNUMBER(L1_MFleet)),F270*L1_LTotal*L1_MFleet,"L、m 非數字（本情境）"),F270)</f>
        <v>5.95593071271939</v>
      </c>
      <c r="G328" s="216" t="n">
        <f aca="false">IF(ISNUMBER(G270),IF(AND(ISNUMBER(L1_LTotal),ISNUMBER(L1_MFleet)),G270*L1_LTotal*L1_MFleet,"L、m 非數字（本情境）"),G270)</f>
        <v>5.95593071271939</v>
      </c>
      <c r="H328" s="216" t="n">
        <f aca="false">IF(ISNUMBER(H270),IF(AND(ISNUMBER(L1_LTotal),ISNUMBER(L1_MFleet)),H270*L1_LTotal*L1_MFleet,"L、m 非數字（本情境）"),H270)</f>
        <v>5.95593071271939</v>
      </c>
      <c r="I328" s="216" t="n">
        <f aca="false">IF(ISNUMBER(I270),IF(AND(ISNUMBER(L1_LTotal),ISNUMBER(L1_MFleet)),I270*L1_LTotal*L1_MFleet,"L、m 非數字（本情境）"),I270)</f>
        <v>8.12963306771559</v>
      </c>
      <c r="J328" s="216" t="n">
        <f aca="false">IF(ISNUMBER(J270),IF(AND(ISNUMBER(L1_LTotal),ISNUMBER(L1_MFleet)),J270*L1_LTotal*L1_MFleet,"L、m 非數字（本情境）"),J270)</f>
        <v>8.12963306771559</v>
      </c>
      <c r="K328" s="216" t="n">
        <f aca="false">IF(ISNUMBER(K270),IF(AND(ISNUMBER(L1_LTotal),ISNUMBER(L1_MFleet)),K270*L1_LTotal*L1_MFleet,"L、m 非數字（本情境）"),K270)</f>
        <v>8.12963306771559</v>
      </c>
      <c r="L328" s="216" t="n">
        <f aca="false">IF(ISNUMBER(L270),IF(AND(ISNUMBER(L1_LTotal),ISNUMBER(L1_MFleet)),L270*L1_LTotal*L1_MFleet,"L、m 非數字（本情境）"),L270)</f>
        <v>13.5997600297149</v>
      </c>
      <c r="M328" s="216" t="n">
        <f aca="false">IF(ISNUMBER(M270),IF(AND(ISNUMBER(L1_LTotal),ISNUMBER(L1_MFleet)),M270*L1_LTotal*L1_MFleet,"L、m 非數字（本情境）"),M270)</f>
        <v>13.5997600297149</v>
      </c>
      <c r="N328" s="216" t="n">
        <f aca="false">IF(ISNUMBER(N270),IF(AND(ISNUMBER(L1_LTotal),ISNUMBER(L1_MFleet)),N270*L1_LTotal*L1_MFleet,"L、m 非數字（本情境）"),N270)</f>
        <v>13.5997600297149</v>
      </c>
      <c r="O328" s="216" t="n">
        <f aca="false">IF(ISNUMBER(O270),IF(AND(ISNUMBER(L1_LTotal),ISNUMBER(L1_MFleet)),O270*L1_LTotal*L1_MFleet,"L、m 非數字（本情境）"),O270)</f>
        <v>18.95080519695</v>
      </c>
      <c r="P328" s="216" t="n">
        <f aca="false">IF(ISNUMBER(P270),IF(AND(ISNUMBER(L1_LTotal),ISNUMBER(L1_MFleet)),P270*L1_LTotal*L1_MFleet,"L、m 非數字（本情境）"),P270)</f>
        <v>18.95080519695</v>
      </c>
      <c r="Q328" s="216" t="n">
        <f aca="false">IF(ISNUMBER(Q270),IF(AND(ISNUMBER(L1_LTotal),ISNUMBER(L1_MFleet)),Q270*L1_LTotal*L1_MFleet,"L、m 非數字（本情境）"),Q270)</f>
        <v>18.95080519695</v>
      </c>
      <c r="R328" s="184" t="str">
        <f aca="false">IF(SUM(Gov_Map!$AG$5:$AG$128,Gov_Map!$AG$134:$AG$153,Gov_Map!$AG$179:$AG$192,Gov_Map!$AG$195:$AG$214,Gov_Map!$AG$216:$AG$238,Gov_Map!$AG$240:$AG$254,Gov_Map!$AG$308:$AG$319,Gov_Map!$AG$345:$AG$359,Gov_Map!$AG$419:$AG$420,Gov_Map!$AG$430,Gov_Map!$AG$445,Gov_Map!$AG$447,Gov_Map!$AG$453,Gov_Map!$AG$457,Gov_Map!$AG$459,Gov_Map!$AG$461:$AG$462,Gov_Map!$AG$477,Gov_Map!$AG$479:$AG$482,Gov_Map!$AG$510:$AG$518,Gov_Map!$AG$521:$AG$522,Gov_Map!$AG$574:$AG$578,Gov_Map!$AG$588,Gov_Map!$AG$590,Gov_Map!$AG$592,Gov_Map!$AG$594,Gov_Map!$AG$596,Gov_Map!$AG$600,Gov_Map!$AG$602,Gov_Map!$AG$605:$AG$611,Gov_Map!$AG$638,Gov_Map!$AG$640,Gov_Map!$AG$642,Gov_Map!$AG$648,Gov_Map!$AG$660,Gov_Map!$AG$669,Gov_Map!$AG$671,Gov_Map!$AG$673)&gt;0,"C",IF(SUM(Gov_Map!$AH$5:$AH$128,Gov_Map!$AH$134:$AH$153,Gov_Map!$AH$179:$AH$192,Gov_Map!$AH$195:$AH$214,Gov_Map!$AH$216:$AH$238,Gov_Map!$AH$240:$AH$254,Gov_Map!$AH$308:$AH$319,Gov_Map!$AH$345:$AH$359,Gov_Map!$AH$419:$AH$420,Gov_Map!$AH$430,Gov_Map!$AH$445,Gov_Map!$AH$447,Gov_Map!$AH$453,Gov_Map!$AH$457,Gov_Map!$AH$459,Gov_Map!$AH$461:$AH$462,Gov_Map!$AH$477,Gov_Map!$AH$479:$AH$482,Gov_Map!$AH$510:$AH$518,Gov_Map!$AH$521:$AH$522,Gov_Map!$AH$574:$AH$578,Gov_Map!$AH$588,Gov_Map!$AH$590,Gov_Map!$AH$592,Gov_Map!$AH$594,Gov_Map!$AH$596,Gov_Map!$AH$600,Gov_Map!$AH$602,Gov_Map!$AH$605:$AH$611,Gov_Map!$AH$638,Gov_Map!$AH$640,Gov_Map!$AH$642,Gov_Map!$AH$648,Gov_Map!$AH$660,Gov_Map!$AH$669,Gov_Map!$AH$671,Gov_Map!$AH$673)&gt;0,"B","A"))</f>
        <v>B</v>
      </c>
      <c r="S328" s="44" t="str">
        <f aca="false">IF(R328="—","—",IF(R328="A","基準輸入",IF(R328="B","情境、相對比較、反轉門檻","探索")))&amp;"；上限，不得作預測"</f>
        <v>情境、相對比較、反轉門檻；上限，不得作預測</v>
      </c>
      <c r="T328" s="44" t="s">
        <v>3130</v>
      </c>
      <c r="U328" s="44" t="str">
        <f aca="false">IF(V328=0,"—",LEFT(TEXT(V328,"0"),4)&amp;"-"&amp;MID(TEXT(V328,"0"),5,2)&amp;"-"&amp;RIGHT(TEXT(V328,"0"),2))</f>
        <v>2026-10-08</v>
      </c>
      <c r="V328" s="33" t="n">
        <f aca="false">MAX(Gov_Map!$AJ$5:$AJ$128,Gov_Map!$AJ$134:$AJ$153,Gov_Map!$AJ$179:$AJ$192,Gov_Map!$AJ$195:$AJ$214,Gov_Map!$AJ$216:$AJ$238,Gov_Map!$AJ$240:$AJ$254,Gov_Map!$AJ$308:$AJ$319,Gov_Map!$AJ$345:$AJ$359,Gov_Map!$AJ$419:$AJ$420,Gov_Map!$AJ$430,Gov_Map!$AJ$445,Gov_Map!$AJ$447,Gov_Map!$AJ$453,Gov_Map!$AJ$457,Gov_Map!$AJ$459,Gov_Map!$AJ$461:$AJ$462,Gov_Map!$AJ$477,Gov_Map!$AJ$479:$AJ$482,Gov_Map!$AJ$510:$AJ$518,Gov_Map!$AJ$521:$AJ$522,Gov_Map!$AJ$574:$AJ$578,Gov_Map!$AJ$588,Gov_Map!$AJ$590,Gov_Map!$AJ$592,Gov_Map!$AJ$594,Gov_Map!$AJ$596,Gov_Map!$AJ$600,Gov_Map!$AJ$602,Gov_Map!$AJ$605:$AJ$611,Gov_Map!$AJ$638,Gov_Map!$AJ$640,Gov_Map!$AJ$642,Gov_Map!$AJ$648,Gov_Map!$AJ$660,Gov_Map!$AJ$669,Gov_Map!$AJ$671,Gov_Map!$AJ$673)</f>
        <v>20261008</v>
      </c>
      <c r="W328" s="21" t="s">
        <v>3141</v>
      </c>
      <c r="X328" s="32" t="n">
        <f aca="false">IF(ISNUMBER(FIND("上限",S328)),1,0)</f>
        <v>1</v>
      </c>
      <c r="Y328" s="32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26"/>
    <col collapsed="false" customWidth="true" hidden="false" outlineLevel="0" max="7" min="4" style="0" width="10"/>
    <col collapsed="false" customWidth="true" hidden="false" outlineLevel="0" max="8" min="8" style="0" width="24"/>
    <col collapsed="false" customWidth="true" hidden="false" outlineLevel="0" max="9" min="9" style="0" width="30"/>
    <col collapsed="false" customWidth="true" hidden="false" outlineLevel="0" max="10" min="10" style="0" width="24"/>
    <col collapsed="false" customWidth="true" hidden="false" outlineLevel="0" max="11" min="11" style="0" width="26"/>
    <col collapsed="false" customWidth="true" hidden="false" outlineLevel="0" max="12" min="12" style="0" width="12"/>
    <col collapsed="false" customWidth="true" hidden="false" outlineLevel="0" max="14" min="13" style="0" width="10"/>
    <col collapsed="false" customWidth="true" hidden="false" outlineLevel="0" max="15" min="15" style="0" width="9"/>
    <col collapsed="false" customWidth="true" hidden="false" outlineLevel="0" max="16" min="16" style="0" width="14"/>
    <col collapsed="false" customWidth="true" hidden="false" outlineLevel="0" max="18" min="17" style="0" width="18"/>
    <col collapsed="false" customWidth="true" hidden="false" outlineLevel="0" max="19" min="19" style="0" width="30"/>
    <col collapsed="false" customWidth="true" hidden="false" outlineLevel="0" max="20" min="20" style="0" width="12"/>
    <col collapsed="false" customWidth="true" hidden="false" outlineLevel="0" max="21" min="21" style="0" width="60"/>
    <col collapsed="false" customWidth="true" hidden="false" outlineLevel="0" max="22" min="22" style="0" width="46"/>
  </cols>
  <sheetData>
    <row r="1" customFormat="false" ht="20.1" hidden="false" customHeight="false" outlineLevel="0" collapsed="false">
      <c r="A1" s="58" t="s">
        <v>3142</v>
      </c>
    </row>
    <row r="2" customFormat="false" ht="15" hidden="false" customHeight="false" outlineLevel="0" collapsed="false">
      <c r="A2" s="74" t="s">
        <v>3143</v>
      </c>
    </row>
    <row r="3" customFormat="false" ht="15" hidden="false" customHeight="false" outlineLevel="0" collapsed="false">
      <c r="V3" s="60" t="s">
        <v>2</v>
      </c>
    </row>
    <row r="4" customFormat="false" ht="72.35" hidden="false" customHeight="false" outlineLevel="0" collapsed="false">
      <c r="A4" s="84" t="s">
        <v>3144</v>
      </c>
      <c r="B4" s="83" t="s">
        <v>3145</v>
      </c>
      <c r="C4" s="83" t="s">
        <v>3146</v>
      </c>
      <c r="D4" s="83" t="s">
        <v>3147</v>
      </c>
      <c r="E4" s="83" t="s">
        <v>1308</v>
      </c>
      <c r="F4" s="83" t="s">
        <v>1309</v>
      </c>
      <c r="G4" s="83" t="s">
        <v>95</v>
      </c>
      <c r="H4" s="83" t="s">
        <v>3148</v>
      </c>
      <c r="I4" s="83" t="s">
        <v>3149</v>
      </c>
      <c r="J4" s="83" t="s">
        <v>3150</v>
      </c>
      <c r="K4" s="83" t="s">
        <v>3151</v>
      </c>
      <c r="L4" s="83" t="s">
        <v>3152</v>
      </c>
      <c r="M4" s="83" t="s">
        <v>3153</v>
      </c>
      <c r="N4" s="83" t="s">
        <v>3154</v>
      </c>
      <c r="O4" s="83" t="s">
        <v>3155</v>
      </c>
      <c r="P4" s="83" t="s">
        <v>615</v>
      </c>
      <c r="Q4" s="83" t="s">
        <v>38</v>
      </c>
      <c r="R4" s="83" t="s">
        <v>3156</v>
      </c>
      <c r="S4" s="83" t="s">
        <v>3157</v>
      </c>
      <c r="T4" s="83" t="s">
        <v>3158</v>
      </c>
      <c r="U4" s="83" t="s">
        <v>3159</v>
      </c>
    </row>
    <row r="5" customFormat="false" ht="29.85" hidden="false" customHeight="false" outlineLevel="0" collapsed="false">
      <c r="A5" s="62" t="s">
        <v>3160</v>
      </c>
      <c r="B5" s="5" t="s">
        <v>3161</v>
      </c>
      <c r="C5" s="5" t="s">
        <v>3162</v>
      </c>
      <c r="D5" s="125" t="n">
        <f aca="false">INDEX(IF_CapexTotal,1,2)</f>
        <v>40.180214</v>
      </c>
      <c r="E5" s="116" t="n">
        <f aca="false">INDEX(IF_CapexTotal,1,1)</f>
        <v>31.6322694</v>
      </c>
      <c r="F5" s="116" t="n">
        <f aca="false">INDEX(IF_CapexTotal,1,3)</f>
        <v>50.3067434</v>
      </c>
      <c r="G5" s="62" t="s">
        <v>3163</v>
      </c>
      <c r="H5" s="5" t="s">
        <v>3164</v>
      </c>
      <c r="I5" s="6" t="s">
        <v>3165</v>
      </c>
      <c r="J5" s="5" t="s">
        <v>3166</v>
      </c>
      <c r="K5" s="5" t="s">
        <v>3167</v>
      </c>
      <c r="L5" s="62" t="s">
        <v>751</v>
      </c>
      <c r="M5" s="116" t="s">
        <v>751</v>
      </c>
      <c r="N5" s="116" t="s">
        <v>751</v>
      </c>
      <c r="O5" s="77"/>
      <c r="P5" s="61" t="str">
        <f aca="false">IF(ISNUMBER(D5),IF(AND(ISNUMBER(M5),ISNUMBER(N5)),IF(M5=N5,IF(ABS(D5/M5-1)&lt;=0.2,"±20% 內","差距 &gt;20%"),IF(D5&lt;M5,"低於外部區間",IF(D5&gt;N5,"高於外部區間","落在外部區間"))),"無外部對照"),"推算值非數字（本情境）")</f>
        <v>無外部對照</v>
      </c>
      <c r="Q5" s="62" t="s">
        <v>3160</v>
      </c>
      <c r="R5" s="62" t="s">
        <v>3168</v>
      </c>
      <c r="S5" s="6" t="s">
        <v>751</v>
      </c>
      <c r="T5" s="60" t="s">
        <v>3169</v>
      </c>
      <c r="U5" s="93" t="s">
        <v>3170</v>
      </c>
    </row>
    <row r="6" customFormat="false" ht="29.85" hidden="false" customHeight="false" outlineLevel="0" collapsed="false">
      <c r="A6" s="62" t="s">
        <v>3171</v>
      </c>
      <c r="B6" s="5" t="s">
        <v>3172</v>
      </c>
      <c r="C6" s="5" t="s">
        <v>3162</v>
      </c>
      <c r="D6" s="125" t="n">
        <f aca="false">INDEX(IF_CapexTotal,1,5)</f>
        <v>36.685174</v>
      </c>
      <c r="E6" s="116" t="n">
        <f aca="false">INDEX(IF_CapexTotal,1,4)</f>
        <v>30.8513904</v>
      </c>
      <c r="F6" s="116" t="n">
        <f aca="false">INDEX(IF_CapexTotal,1,6)</f>
        <v>43.8362044</v>
      </c>
      <c r="G6" s="62" t="s">
        <v>3163</v>
      </c>
      <c r="H6" s="5" t="s">
        <v>3164</v>
      </c>
      <c r="I6" s="6" t="s">
        <v>3165</v>
      </c>
      <c r="J6" s="5" t="s">
        <v>3166</v>
      </c>
      <c r="K6" s="5" t="s">
        <v>3167</v>
      </c>
      <c r="L6" s="62" t="s">
        <v>751</v>
      </c>
      <c r="M6" s="116" t="s">
        <v>751</v>
      </c>
      <c r="N6" s="116" t="s">
        <v>751</v>
      </c>
      <c r="O6" s="77"/>
      <c r="P6" s="61" t="str">
        <f aca="false">IF(ISNUMBER(D6),IF(AND(ISNUMBER(M6),ISNUMBER(N6)),IF(M6=N6,IF(ABS(D6/M6-1)&lt;=0.2,"±20% 內","差距 &gt;20%"),IF(D6&lt;M6,"低於外部區間",IF(D6&gt;N6,"高於外部區間","落在外部區間"))),"無外部對照"),"推算值非數字（本情境）")</f>
        <v>無外部對照</v>
      </c>
      <c r="Q6" s="62" t="s">
        <v>3171</v>
      </c>
      <c r="R6" s="62" t="s">
        <v>3168</v>
      </c>
      <c r="S6" s="6" t="s">
        <v>751</v>
      </c>
      <c r="T6" s="60" t="s">
        <v>3169</v>
      </c>
      <c r="U6" s="93" t="s">
        <v>3170</v>
      </c>
    </row>
    <row r="7" customFormat="false" ht="29.85" hidden="false" customHeight="false" outlineLevel="0" collapsed="false">
      <c r="A7" s="62" t="s">
        <v>3173</v>
      </c>
      <c r="B7" s="5" t="s">
        <v>3174</v>
      </c>
      <c r="C7" s="5" t="s">
        <v>3162</v>
      </c>
      <c r="D7" s="125" t="n">
        <f aca="false">INDEX(IF_CapexTotal,1,8)</f>
        <v>44.907224</v>
      </c>
      <c r="E7" s="116" t="n">
        <f aca="false">INDEX(IF_CapexTotal,1,7)</f>
        <v>38.7669024</v>
      </c>
      <c r="F7" s="116" t="n">
        <f aca="false">INDEX(IF_CapexTotal,1,9)</f>
        <v>55.4686064</v>
      </c>
      <c r="G7" s="62" t="s">
        <v>3163</v>
      </c>
      <c r="H7" s="5" t="s">
        <v>3164</v>
      </c>
      <c r="I7" s="6" t="s">
        <v>3165</v>
      </c>
      <c r="J7" s="5" t="s">
        <v>3166</v>
      </c>
      <c r="K7" s="5" t="s">
        <v>3167</v>
      </c>
      <c r="L7" s="62" t="s">
        <v>751</v>
      </c>
      <c r="M7" s="116" t="s">
        <v>751</v>
      </c>
      <c r="N7" s="116" t="s">
        <v>751</v>
      </c>
      <c r="O7" s="77"/>
      <c r="P7" s="61" t="str">
        <f aca="false">IF(ISNUMBER(D7),IF(AND(ISNUMBER(M7),ISNUMBER(N7)),IF(M7=N7,IF(ABS(D7/M7-1)&lt;=0.2,"±20% 內","差距 &gt;20%"),IF(D7&lt;M7,"低於外部區間",IF(D7&gt;N7,"高於外部區間","落在外部區間"))),"無外部對照"),"推算值非數字（本情境）")</f>
        <v>無外部對照</v>
      </c>
      <c r="Q7" s="62" t="s">
        <v>3173</v>
      </c>
      <c r="R7" s="62" t="s">
        <v>3168</v>
      </c>
      <c r="S7" s="6" t="s">
        <v>751</v>
      </c>
      <c r="T7" s="60" t="s">
        <v>3169</v>
      </c>
      <c r="U7" s="93" t="s">
        <v>3170</v>
      </c>
    </row>
    <row r="8" customFormat="false" ht="29.85" hidden="false" customHeight="false" outlineLevel="0" collapsed="false">
      <c r="A8" s="62" t="s">
        <v>3175</v>
      </c>
      <c r="B8" s="5" t="s">
        <v>3176</v>
      </c>
      <c r="C8" s="5" t="s">
        <v>3162</v>
      </c>
      <c r="D8" s="125" t="n">
        <f aca="false">INDEX(IF_CapexTotal,1,11)</f>
        <v>50.256352</v>
      </c>
      <c r="E8" s="116" t="n">
        <f aca="false">INDEX(IF_CapexTotal,1,10)</f>
        <v>43.4854032</v>
      </c>
      <c r="F8" s="116" t="n">
        <f aca="false">INDEX(IF_CapexTotal,1,12)</f>
        <v>58.8235752</v>
      </c>
      <c r="G8" s="62" t="s">
        <v>3163</v>
      </c>
      <c r="H8" s="5" t="s">
        <v>3164</v>
      </c>
      <c r="I8" s="6" t="s">
        <v>3165</v>
      </c>
      <c r="J8" s="5" t="s">
        <v>3166</v>
      </c>
      <c r="K8" s="5" t="s">
        <v>3167</v>
      </c>
      <c r="L8" s="62" t="s">
        <v>3177</v>
      </c>
      <c r="M8" s="94" t="n">
        <f aca="false">SRC_DC_010_Lo</f>
        <v>50</v>
      </c>
      <c r="N8" s="94" t="n">
        <f aca="false">SRC_DC_010_Hi</f>
        <v>60</v>
      </c>
      <c r="O8" s="77" t="n">
        <f aca="false">IF(AND(ISNUMBER(D8),ISNUMBER(M8),ISNUMBER(N8)),D8/((M8+N8)/2),"—")</f>
        <v>0.913751854545455</v>
      </c>
      <c r="P8" s="61" t="str">
        <f aca="false">IF(ISNUMBER(D8),IF(AND(ISNUMBER(M8),ISNUMBER(N8)),IF(M8=N8,IF(ABS(D8/M8-1)&lt;=0.2,"±20% 內","差距 &gt;20%"),IF(D8&lt;M8,"低於外部區間",IF(D8&gt;N8,"高於外部區間","落在外部區間"))),"無外部對照"),"推算值非數字（本情境）")</f>
        <v>落在外部區間</v>
      </c>
      <c r="Q8" s="62" t="s">
        <v>3175</v>
      </c>
      <c r="R8" s="62" t="s">
        <v>3168</v>
      </c>
      <c r="S8" s="5" t="s">
        <v>3178</v>
      </c>
      <c r="T8" s="60" t="s">
        <v>3169</v>
      </c>
      <c r="U8" s="93" t="s">
        <v>3170</v>
      </c>
      <c r="V8" s="74" t="s">
        <v>3179</v>
      </c>
    </row>
    <row r="9" customFormat="false" ht="29.85" hidden="false" customHeight="false" outlineLevel="0" collapsed="false">
      <c r="A9" s="62" t="s">
        <v>3180</v>
      </c>
      <c r="B9" s="5" t="s">
        <v>3181</v>
      </c>
      <c r="C9" s="5" t="s">
        <v>3182</v>
      </c>
      <c r="D9" s="124" t="n">
        <f aca="false">DC_Cost!M19/CTL_GW</f>
        <v>34.0368</v>
      </c>
      <c r="E9" s="94" t="n">
        <f aca="false">DC_Cost!L19/CTL_GW</f>
        <v>31.6056</v>
      </c>
      <c r="F9" s="94" t="n">
        <f aca="false">DC_Cost!N19/CTL_GW</f>
        <v>36.8732</v>
      </c>
      <c r="G9" s="62" t="s">
        <v>3163</v>
      </c>
      <c r="H9" s="5" t="s">
        <v>3164</v>
      </c>
      <c r="I9" s="5" t="s">
        <v>3183</v>
      </c>
      <c r="J9" s="5" t="s">
        <v>3184</v>
      </c>
      <c r="K9" s="5" t="s">
        <v>3167</v>
      </c>
      <c r="L9" s="62" t="s">
        <v>3185</v>
      </c>
      <c r="M9" s="94" t="n">
        <f aca="false">SRC_DC_011</f>
        <v>35</v>
      </c>
      <c r="N9" s="94" t="n">
        <f aca="false">SRC_DC_011</f>
        <v>35</v>
      </c>
      <c r="O9" s="77" t="n">
        <f aca="false">IF(AND(ISNUMBER(D9),ISNUMBER(M9),ISNUMBER(N9)),D9/((M9+N9)/2),"—")</f>
        <v>0.97248</v>
      </c>
      <c r="P9" s="61" t="str">
        <f aca="false">IF(ISNUMBER(D9),IF(AND(ISNUMBER(M9),ISNUMBER(N9)),IF(M9=N9,IF(ABS(D9/M9-1)&lt;=0.2,"±20% 內","差距 &gt;20%"),IF(D9&lt;M9,"低於外部區間",IF(D9&gt;N9,"高於外部區間","落在外部區間"))),"無外部對照"),"推算值非數字（本情境）")</f>
        <v>±20% 內</v>
      </c>
      <c r="Q9" s="62" t="s">
        <v>3180</v>
      </c>
      <c r="R9" s="62" t="s">
        <v>3186</v>
      </c>
      <c r="S9" s="5" t="s">
        <v>3187</v>
      </c>
      <c r="T9" s="60" t="s">
        <v>3169</v>
      </c>
      <c r="U9" s="93" t="s">
        <v>3170</v>
      </c>
      <c r="V9" s="74" t="s">
        <v>3188</v>
      </c>
    </row>
    <row r="10" customFormat="false" ht="44" hidden="false" customHeight="false" outlineLevel="0" collapsed="false">
      <c r="A10" s="62" t="s">
        <v>3189</v>
      </c>
      <c r="B10" s="5" t="s">
        <v>3190</v>
      </c>
      <c r="C10" s="5" t="s">
        <v>3191</v>
      </c>
      <c r="D10" s="124" t="n">
        <f aca="false">DC_Cost!M36</f>
        <v>12.67</v>
      </c>
      <c r="E10" s="94" t="n">
        <f aca="false">DC_Cost!L36</f>
        <v>10.212</v>
      </c>
      <c r="F10" s="94" t="n">
        <f aca="false">DC_Cost!N36</f>
        <v>16.186</v>
      </c>
      <c r="G10" s="62" t="s">
        <v>135</v>
      </c>
      <c r="H10" s="5" t="s">
        <v>3164</v>
      </c>
      <c r="I10" s="5" t="s">
        <v>3192</v>
      </c>
      <c r="J10" s="5" t="s">
        <v>3193</v>
      </c>
      <c r="K10" s="5" t="s">
        <v>3194</v>
      </c>
      <c r="L10" s="62" t="s">
        <v>3195</v>
      </c>
      <c r="M10" s="94" t="n">
        <f aca="false">SRC_DC_003*(1+SRC_DC_004_Lo)</f>
        <v>12.091</v>
      </c>
      <c r="N10" s="94" t="n">
        <f aca="false">SRC_DC_003*(1+SRC_DC_004_Hi)</f>
        <v>12.43</v>
      </c>
      <c r="O10" s="77" t="n">
        <f aca="false">IF(AND(ISNUMBER(D10),ISNUMBER(M10),ISNUMBER(N10)),D10/((M10+N10)/2),"—")</f>
        <v>1.03339994290608</v>
      </c>
      <c r="P10" s="61" t="str">
        <f aca="false">IF(ISNUMBER(D10),IF(AND(ISNUMBER(M10),ISNUMBER(N10)),IF(M10=N10,IF(ABS(D10/M10-1)&lt;=0.2,"±20% 內","差距 &gt;20%"),IF(D10&lt;M10,"低於外部區間",IF(D10&gt;N10,"高於外部區間","落在外部區間"))),"無外部對照"),"推算值非數字（本情境）")</f>
        <v>高於外部區間</v>
      </c>
      <c r="Q10" s="62" t="s">
        <v>3189</v>
      </c>
      <c r="R10" s="62" t="s">
        <v>3196</v>
      </c>
      <c r="S10" s="5" t="s">
        <v>3197</v>
      </c>
      <c r="T10" s="60" t="s">
        <v>3169</v>
      </c>
      <c r="U10" s="93" t="s">
        <v>3170</v>
      </c>
      <c r="V10" s="74" t="s">
        <v>3198</v>
      </c>
    </row>
    <row r="11" customFormat="false" ht="29.85" hidden="false" customHeight="false" outlineLevel="0" collapsed="false">
      <c r="A11" s="62" t="s">
        <v>3199</v>
      </c>
      <c r="B11" s="5" t="s">
        <v>3200</v>
      </c>
      <c r="C11" s="5" t="s">
        <v>3201</v>
      </c>
      <c r="D11" s="125" t="n">
        <f aca="false">INDEX(IF_HoldEcon,1,2)</f>
        <v>9.70308728611469</v>
      </c>
      <c r="E11" s="116" t="n">
        <f aca="false">INDEX(IF_HoldEcon,1,1)</f>
        <v>6.79107465326444</v>
      </c>
      <c r="F11" s="116" t="n">
        <f aca="false">INDEX(IF_HoldEcon,1,3)</f>
        <v>16.6637697337026</v>
      </c>
      <c r="G11" s="62" t="s">
        <v>1748</v>
      </c>
      <c r="H11" s="5" t="s">
        <v>3164</v>
      </c>
      <c r="I11" s="5" t="s">
        <v>3202</v>
      </c>
      <c r="J11" s="6" t="s">
        <v>3203</v>
      </c>
      <c r="K11" s="5" t="s">
        <v>3204</v>
      </c>
      <c r="L11" s="62" t="s">
        <v>751</v>
      </c>
      <c r="M11" s="116" t="s">
        <v>751</v>
      </c>
      <c r="N11" s="116" t="s">
        <v>751</v>
      </c>
      <c r="O11" s="77"/>
      <c r="P11" s="61" t="str">
        <f aca="false">IF(ISNUMBER(D11),IF(AND(ISNUMBER(M11),ISNUMBER(N11)),IF(M11=N11,IF(ABS(D11/M11-1)&lt;=0.2,"±20% 內","差距 &gt;20%"),IF(D11&lt;M11,"低於外部區間",IF(D11&gt;N11,"高於外部區間","落在外部區間"))),"無外部對照"),"推算值非數字（本情境）")</f>
        <v>無外部對照</v>
      </c>
      <c r="Q11" s="62" t="s">
        <v>3199</v>
      </c>
      <c r="R11" s="62" t="s">
        <v>3205</v>
      </c>
      <c r="S11" s="6" t="s">
        <v>751</v>
      </c>
      <c r="T11" s="60" t="s">
        <v>3169</v>
      </c>
      <c r="U11" s="93" t="s">
        <v>3170</v>
      </c>
    </row>
    <row r="12" customFormat="false" ht="29.85" hidden="false" customHeight="false" outlineLevel="0" collapsed="false">
      <c r="A12" s="62" t="s">
        <v>3206</v>
      </c>
      <c r="B12" s="5" t="s">
        <v>3207</v>
      </c>
      <c r="C12" s="5" t="s">
        <v>3201</v>
      </c>
      <c r="D12" s="125" t="n">
        <f aca="false">INDEX(IF_HoldEcon,1,5)</f>
        <v>8.82816556596761</v>
      </c>
      <c r="E12" s="116" t="n">
        <f aca="false">INDEX(IF_HoldEcon,1,4)</f>
        <v>6.6118162762144</v>
      </c>
      <c r="F12" s="116" t="n">
        <f aca="false">INDEX(IF_HoldEcon,1,6)</f>
        <v>14.3185748619737</v>
      </c>
      <c r="G12" s="62" t="s">
        <v>1748</v>
      </c>
      <c r="H12" s="5" t="s">
        <v>3164</v>
      </c>
      <c r="I12" s="5" t="s">
        <v>3202</v>
      </c>
      <c r="J12" s="6" t="s">
        <v>3203</v>
      </c>
      <c r="K12" s="5" t="s">
        <v>3204</v>
      </c>
      <c r="L12" s="62" t="s">
        <v>751</v>
      </c>
      <c r="M12" s="116" t="s">
        <v>751</v>
      </c>
      <c r="N12" s="116" t="s">
        <v>751</v>
      </c>
      <c r="O12" s="77"/>
      <c r="P12" s="61" t="str">
        <f aca="false">IF(ISNUMBER(D12),IF(AND(ISNUMBER(M12),ISNUMBER(N12)),IF(M12=N12,IF(ABS(D12/M12-1)&lt;=0.2,"±20% 內","差距 &gt;20%"),IF(D12&lt;M12,"低於外部區間",IF(D12&gt;N12,"高於外部區間","落在外部區間"))),"無外部對照"),"推算值非數字（本情境）")</f>
        <v>無外部對照</v>
      </c>
      <c r="Q12" s="62" t="s">
        <v>3206</v>
      </c>
      <c r="R12" s="62" t="s">
        <v>3205</v>
      </c>
      <c r="S12" s="6" t="s">
        <v>751</v>
      </c>
      <c r="T12" s="60" t="s">
        <v>3169</v>
      </c>
      <c r="U12" s="93" t="s">
        <v>3170</v>
      </c>
    </row>
    <row r="13" customFormat="false" ht="29.85" hidden="false" customHeight="false" outlineLevel="0" collapsed="false">
      <c r="A13" s="62" t="s">
        <v>3208</v>
      </c>
      <c r="B13" s="5" t="s">
        <v>3209</v>
      </c>
      <c r="C13" s="5" t="s">
        <v>3201</v>
      </c>
      <c r="D13" s="125" t="n">
        <f aca="false">INDEX(IF_HoldEcon,1,8)</f>
        <v>10.8864110021101</v>
      </c>
      <c r="E13" s="116" t="n">
        <f aca="false">INDEX(IF_HoldEcon,1,7)</f>
        <v>8.42889912085495</v>
      </c>
      <c r="F13" s="116" t="n">
        <f aca="false">INDEX(IF_HoldEcon,1,9)</f>
        <v>18.5346455040469</v>
      </c>
      <c r="G13" s="62" t="s">
        <v>1748</v>
      </c>
      <c r="H13" s="5" t="s">
        <v>3164</v>
      </c>
      <c r="I13" s="5" t="s">
        <v>3202</v>
      </c>
      <c r="J13" s="6" t="s">
        <v>3203</v>
      </c>
      <c r="K13" s="5" t="s">
        <v>3204</v>
      </c>
      <c r="L13" s="62" t="s">
        <v>751</v>
      </c>
      <c r="M13" s="116" t="s">
        <v>751</v>
      </c>
      <c r="N13" s="116" t="s">
        <v>751</v>
      </c>
      <c r="O13" s="77"/>
      <c r="P13" s="61" t="str">
        <f aca="false">IF(ISNUMBER(D13),IF(AND(ISNUMBER(M13),ISNUMBER(N13)),IF(M13=N13,IF(ABS(D13/M13-1)&lt;=0.2,"±20% 內","差距 &gt;20%"),IF(D13&lt;M13,"低於外部區間",IF(D13&gt;N13,"高於外部區間","落在外部區間"))),"無外部對照"),"推算值非數字（本情境）")</f>
        <v>無外部對照</v>
      </c>
      <c r="Q13" s="62" t="s">
        <v>3208</v>
      </c>
      <c r="R13" s="62" t="s">
        <v>3205</v>
      </c>
      <c r="S13" s="6" t="s">
        <v>751</v>
      </c>
      <c r="T13" s="60" t="s">
        <v>3169</v>
      </c>
      <c r="U13" s="93" t="s">
        <v>3170</v>
      </c>
    </row>
    <row r="14" customFormat="false" ht="29.85" hidden="false" customHeight="false" outlineLevel="0" collapsed="false">
      <c r="A14" s="62" t="s">
        <v>3210</v>
      </c>
      <c r="B14" s="5" t="s">
        <v>3211</v>
      </c>
      <c r="C14" s="5" t="s">
        <v>3201</v>
      </c>
      <c r="D14" s="125" t="n">
        <f aca="false">INDEX(IF_HoldEcon,1,11)</f>
        <v>12.2254710045841</v>
      </c>
      <c r="E14" s="116" t="n">
        <f aca="false">INDEX(IF_HoldEcon,1,10)</f>
        <v>9.51207691858967</v>
      </c>
      <c r="F14" s="116" t="n">
        <f aca="false">INDEX(IF_HoldEcon,1,12)</f>
        <v>19.7506269894487</v>
      </c>
      <c r="G14" s="62" t="s">
        <v>1748</v>
      </c>
      <c r="H14" s="5" t="s">
        <v>3164</v>
      </c>
      <c r="I14" s="5" t="s">
        <v>3202</v>
      </c>
      <c r="J14" s="6" t="s">
        <v>3203</v>
      </c>
      <c r="K14" s="5" t="s">
        <v>3204</v>
      </c>
      <c r="L14" s="62" t="s">
        <v>751</v>
      </c>
      <c r="M14" s="116" t="s">
        <v>751</v>
      </c>
      <c r="N14" s="116" t="s">
        <v>751</v>
      </c>
      <c r="O14" s="77"/>
      <c r="P14" s="61" t="str">
        <f aca="false">IF(ISNUMBER(D14),IF(AND(ISNUMBER(M14),ISNUMBER(N14)),IF(M14=N14,IF(ABS(D14/M14-1)&lt;=0.2,"±20% 內","差距 &gt;20%"),IF(D14&lt;M14,"低於外部區間",IF(D14&gt;N14,"高於外部區間","落在外部區間"))),"無外部對照"),"推算值非數字（本情境）")</f>
        <v>無外部對照</v>
      </c>
      <c r="Q14" s="62" t="s">
        <v>3210</v>
      </c>
      <c r="R14" s="62" t="s">
        <v>3205</v>
      </c>
      <c r="S14" s="6" t="s">
        <v>751</v>
      </c>
      <c r="T14" s="60" t="s">
        <v>3169</v>
      </c>
      <c r="U14" s="93" t="s">
        <v>3170</v>
      </c>
    </row>
    <row r="15" customFormat="false" ht="29.85" hidden="false" customHeight="false" outlineLevel="0" collapsed="false">
      <c r="A15" s="62" t="s">
        <v>3212</v>
      </c>
      <c r="B15" s="5" t="s">
        <v>3213</v>
      </c>
      <c r="C15" s="6" t="s">
        <v>3214</v>
      </c>
      <c r="D15" s="125" t="n">
        <f aca="false">INDEX(IF_GPUhrEcon,1,2)</f>
        <v>1.54259654785589</v>
      </c>
      <c r="E15" s="116" t="n">
        <f aca="false">INDEX(IF_GPUhrEcon,1,1)</f>
        <v>1.07964486018265</v>
      </c>
      <c r="F15" s="116" t="n">
        <f aca="false">INDEX(IF_GPUhrEcon,1,3)</f>
        <v>2.64920565047995</v>
      </c>
      <c r="G15" s="62" t="s">
        <v>985</v>
      </c>
      <c r="H15" s="5" t="s">
        <v>3164</v>
      </c>
      <c r="I15" s="5" t="s">
        <v>3215</v>
      </c>
      <c r="J15" s="5" t="s">
        <v>3216</v>
      </c>
      <c r="K15" s="5" t="s">
        <v>3204</v>
      </c>
      <c r="L15" s="62" t="s">
        <v>751</v>
      </c>
      <c r="M15" s="116" t="s">
        <v>751</v>
      </c>
      <c r="N15" s="116" t="s">
        <v>751</v>
      </c>
      <c r="O15" s="77"/>
      <c r="P15" s="61" t="str">
        <f aca="false">IF(ISNUMBER(D15),IF(AND(ISNUMBER(M15),ISNUMBER(N15)),IF(M15=N15,IF(ABS(D15/M15-1)&lt;=0.2,"±20% 內","差距 &gt;20%"),IF(D15&lt;M15,"低於外部區間",IF(D15&gt;N15,"高於外部區間","落在外部區間"))),"無外部對照"),"推算值非數字（本情境）")</f>
        <v>無外部對照</v>
      </c>
      <c r="Q15" s="62" t="s">
        <v>3212</v>
      </c>
      <c r="R15" s="62" t="s">
        <v>3217</v>
      </c>
      <c r="S15" s="6" t="s">
        <v>751</v>
      </c>
      <c r="T15" s="60" t="s">
        <v>3169</v>
      </c>
      <c r="U15" s="93" t="s">
        <v>3170</v>
      </c>
    </row>
    <row r="16" customFormat="false" ht="44" hidden="false" customHeight="false" outlineLevel="0" collapsed="false">
      <c r="A16" s="62" t="s">
        <v>3218</v>
      </c>
      <c r="B16" s="5" t="s">
        <v>3219</v>
      </c>
      <c r="C16" s="6" t="s">
        <v>3214</v>
      </c>
      <c r="D16" s="125" t="n">
        <f aca="false">INDEX(IF_GPUhrEcon,1,5)</f>
        <v>2.00846099652078</v>
      </c>
      <c r="E16" s="116" t="n">
        <f aca="false">INDEX(IF_GPUhrEcon,1,4)</f>
        <v>1.50422814430785</v>
      </c>
      <c r="F16" s="116" t="n">
        <f aca="false">INDEX(IF_GPUhrEcon,1,6)</f>
        <v>3.25756227849869</v>
      </c>
      <c r="G16" s="62" t="s">
        <v>985</v>
      </c>
      <c r="H16" s="5" t="s">
        <v>3164</v>
      </c>
      <c r="I16" s="5" t="s">
        <v>3215</v>
      </c>
      <c r="J16" s="5" t="s">
        <v>3216</v>
      </c>
      <c r="K16" s="5" t="s">
        <v>3204</v>
      </c>
      <c r="L16" s="62" t="s">
        <v>3220</v>
      </c>
      <c r="M16" s="94" t="n">
        <f aca="false">SRC_DC_012</f>
        <v>2.21</v>
      </c>
      <c r="N16" s="94" t="n">
        <f aca="false">SRC_DC_012</f>
        <v>2.21</v>
      </c>
      <c r="O16" s="77" t="n">
        <f aca="false">IF(AND(ISNUMBER(D16),ISNUMBER(M16),ISNUMBER(N16)),D16/((M16+N16)/2),"—")</f>
        <v>0.908805880778634</v>
      </c>
      <c r="P16" s="61" t="str">
        <f aca="false">IF(ISNUMBER(D16),IF(AND(ISNUMBER(M16),ISNUMBER(N16)),IF(M16=N16,IF(ABS(D16/M16-1)&lt;=0.2,"±20% 內","差距 &gt;20%"),IF(D16&lt;M16,"低於外部區間",IF(D16&gt;N16,"高於外部區間","落在外部區間"))),"無外部對照"),"推算值非數字（本情境）")</f>
        <v>±20% 內</v>
      </c>
      <c r="Q16" s="62" t="s">
        <v>3218</v>
      </c>
      <c r="R16" s="62" t="s">
        <v>3217</v>
      </c>
      <c r="S16" s="5" t="s">
        <v>3221</v>
      </c>
      <c r="T16" s="60" t="s">
        <v>3169</v>
      </c>
      <c r="U16" s="93" t="s">
        <v>3170</v>
      </c>
      <c r="V16" s="74" t="s">
        <v>3222</v>
      </c>
    </row>
    <row r="17" customFormat="false" ht="44" hidden="false" customHeight="false" outlineLevel="0" collapsed="false">
      <c r="A17" s="62" t="s">
        <v>3223</v>
      </c>
      <c r="B17" s="5" t="s">
        <v>3224</v>
      </c>
      <c r="C17" s="6" t="s">
        <v>3214</v>
      </c>
      <c r="D17" s="125" t="n">
        <f aca="false">INDEX(IF_GPUhrEcon,1,8)</f>
        <v>2.55178761329595</v>
      </c>
      <c r="E17" s="116" t="n">
        <f aca="false">INDEX(IF_GPUhrEcon,1,7)</f>
        <v>1.97574392204647</v>
      </c>
      <c r="F17" s="116" t="n">
        <f aca="false">INDEX(IF_GPUhrEcon,1,9)</f>
        <v>4.34454282544458</v>
      </c>
      <c r="G17" s="62" t="s">
        <v>985</v>
      </c>
      <c r="H17" s="5" t="s">
        <v>3164</v>
      </c>
      <c r="I17" s="5" t="s">
        <v>3215</v>
      </c>
      <c r="J17" s="5" t="s">
        <v>3216</v>
      </c>
      <c r="K17" s="5" t="s">
        <v>3204</v>
      </c>
      <c r="L17" s="62" t="s">
        <v>3225</v>
      </c>
      <c r="M17" s="94" t="n">
        <f aca="false">SRC_DC_013</f>
        <v>2.65</v>
      </c>
      <c r="N17" s="94" t="n">
        <f aca="false">SRC_DC_013</f>
        <v>2.65</v>
      </c>
      <c r="O17" s="77" t="n">
        <f aca="false">IF(AND(ISNUMBER(D17),ISNUMBER(M17),ISNUMBER(N17)),D17/((M17+N17)/2),"—")</f>
        <v>0.962938721998472</v>
      </c>
      <c r="P17" s="61" t="str">
        <f aca="false">IF(ISNUMBER(D17),IF(AND(ISNUMBER(M17),ISNUMBER(N17)),IF(M17=N17,IF(ABS(D17/M17-1)&lt;=0.2,"±20% 內","差距 &gt;20%"),IF(D17&lt;M17,"低於外部區間",IF(D17&gt;N17,"高於外部區間","落在外部區間"))),"無外部對照"),"推算值非數字（本情境）")</f>
        <v>±20% 內</v>
      </c>
      <c r="Q17" s="62" t="s">
        <v>3223</v>
      </c>
      <c r="R17" s="62" t="s">
        <v>3217</v>
      </c>
      <c r="S17" s="5" t="s">
        <v>3221</v>
      </c>
      <c r="T17" s="60" t="s">
        <v>3169</v>
      </c>
      <c r="U17" s="93" t="s">
        <v>3170</v>
      </c>
      <c r="V17" s="74" t="s">
        <v>3226</v>
      </c>
    </row>
    <row r="18" customFormat="false" ht="29.85" hidden="false" customHeight="false" outlineLevel="0" collapsed="false">
      <c r="A18" s="62" t="s">
        <v>3227</v>
      </c>
      <c r="B18" s="5" t="s">
        <v>3228</v>
      </c>
      <c r="C18" s="6" t="s">
        <v>3214</v>
      </c>
      <c r="D18" s="125" t="n">
        <f aca="false">INDEX(IF_GPUhrEcon,1,11)</f>
        <v>4.78365180724219</v>
      </c>
      <c r="E18" s="116" t="n">
        <f aca="false">INDEX(IF_GPUhrEcon,1,10)</f>
        <v>3.72193954123947</v>
      </c>
      <c r="F18" s="116" t="n">
        <f aca="false">INDEX(IF_GPUhrEcon,1,12)</f>
        <v>7.72813762813851</v>
      </c>
      <c r="G18" s="62" t="s">
        <v>985</v>
      </c>
      <c r="H18" s="5" t="s">
        <v>3164</v>
      </c>
      <c r="I18" s="5" t="s">
        <v>3215</v>
      </c>
      <c r="J18" s="5" t="s">
        <v>3216</v>
      </c>
      <c r="K18" s="5" t="s">
        <v>3204</v>
      </c>
      <c r="L18" s="62" t="s">
        <v>751</v>
      </c>
      <c r="M18" s="116" t="s">
        <v>751</v>
      </c>
      <c r="N18" s="116" t="s">
        <v>751</v>
      </c>
      <c r="O18" s="77"/>
      <c r="P18" s="61" t="str">
        <f aca="false">IF(ISNUMBER(D18),IF(AND(ISNUMBER(M18),ISNUMBER(N18)),IF(M18=N18,IF(ABS(D18/M18-1)&lt;=0.2,"±20% 內","差距 &gt;20%"),IF(D18&lt;M18,"低於外部區間",IF(D18&gt;N18,"高於外部區間","落在外部區間"))),"無外部對照"),"推算值非數字（本情境）")</f>
        <v>無外部對照</v>
      </c>
      <c r="Q18" s="62" t="s">
        <v>3227</v>
      </c>
      <c r="R18" s="62" t="s">
        <v>3217</v>
      </c>
      <c r="S18" s="6" t="s">
        <v>751</v>
      </c>
      <c r="T18" s="60" t="s">
        <v>3169</v>
      </c>
      <c r="U18" s="93" t="s">
        <v>3170</v>
      </c>
    </row>
    <row r="19" customFormat="false" ht="44" hidden="false" customHeight="false" outlineLevel="0" collapsed="false">
      <c r="A19" s="62" t="s">
        <v>3229</v>
      </c>
      <c r="B19" s="6" t="s">
        <v>3230</v>
      </c>
      <c r="C19" s="5" t="s">
        <v>3231</v>
      </c>
      <c r="D19" s="125" t="n">
        <f aca="false">INDEX(IF_CostDec_Luna,1,11)</f>
        <v>0.0880353361993613</v>
      </c>
      <c r="E19" s="116" t="n">
        <f aca="false">INDEX(IF_CostDec_Luna,1,10)</f>
        <v>0.0684962476429933</v>
      </c>
      <c r="F19" s="116" t="n">
        <f aca="false">INDEX(IF_CostDec_Luna,1,12)</f>
        <v>0.142223811787074</v>
      </c>
      <c r="G19" s="62" t="s">
        <v>976</v>
      </c>
      <c r="H19" s="5" t="s">
        <v>3164</v>
      </c>
      <c r="I19" s="5" t="s">
        <v>3232</v>
      </c>
      <c r="J19" s="6" t="s">
        <v>3233</v>
      </c>
      <c r="K19" s="5" t="s">
        <v>3234</v>
      </c>
      <c r="L19" s="62" t="s">
        <v>751</v>
      </c>
      <c r="M19" s="116" t="s">
        <v>751</v>
      </c>
      <c r="N19" s="116" t="s">
        <v>751</v>
      </c>
      <c r="O19" s="77"/>
      <c r="P19" s="61" t="str">
        <f aca="false">IF(ISNUMBER(D19),IF(AND(ISNUMBER(M19),ISNUMBER(N19)),IF(M19=N19,IF(ABS(D19/M19-1)&lt;=0.2,"±20% 內","差距 &gt;20%"),IF(D19&lt;M19,"低於外部區間",IF(D19&gt;N19,"高於外部區間","落在外部區間"))),"無外部對照"),"推算值非數字（本情境）")</f>
        <v>無外部對照</v>
      </c>
      <c r="Q19" s="62" t="s">
        <v>3229</v>
      </c>
      <c r="R19" s="62" t="s">
        <v>3235</v>
      </c>
      <c r="S19" s="6" t="s">
        <v>3236</v>
      </c>
      <c r="T19" s="60" t="s">
        <v>3169</v>
      </c>
      <c r="U19" s="87" t="s">
        <v>3237</v>
      </c>
    </row>
    <row r="20" customFormat="false" ht="44" hidden="false" customHeight="false" outlineLevel="0" collapsed="false">
      <c r="A20" s="62" t="s">
        <v>3238</v>
      </c>
      <c r="B20" s="6" t="s">
        <v>3239</v>
      </c>
      <c r="C20" s="5" t="s">
        <v>3231</v>
      </c>
      <c r="D20" s="125" t="n">
        <f aca="false">INDEX(IF_CostDec_Luna,1,8)</f>
        <v>0.11378674002985</v>
      </c>
      <c r="E20" s="116" t="n">
        <f aca="false">INDEX(IF_CostDec_Luna,1,7)</f>
        <v>0.0881003806320243</v>
      </c>
      <c r="F20" s="116" t="n">
        <f aca="false">INDEX(IF_CostDec_Luna,1,9)</f>
        <v>0.193727472635897</v>
      </c>
      <c r="G20" s="62" t="s">
        <v>976</v>
      </c>
      <c r="H20" s="5" t="s">
        <v>3164</v>
      </c>
      <c r="I20" s="5" t="s">
        <v>3232</v>
      </c>
      <c r="J20" s="6" t="s">
        <v>3233</v>
      </c>
      <c r="K20" s="5" t="s">
        <v>3234</v>
      </c>
      <c r="L20" s="62" t="s">
        <v>751</v>
      </c>
      <c r="M20" s="116" t="s">
        <v>751</v>
      </c>
      <c r="N20" s="116" t="s">
        <v>751</v>
      </c>
      <c r="O20" s="77"/>
      <c r="P20" s="61" t="str">
        <f aca="false">IF(ISNUMBER(D20),IF(AND(ISNUMBER(M20),ISNUMBER(N20)),IF(M20=N20,IF(ABS(D20/M20-1)&lt;=0.2,"±20% 內","差距 &gt;20%"),IF(D20&lt;M20,"低於外部區間",IF(D20&gt;N20,"高於外部區間","落在外部區間"))),"無外部對照"),"推算值非數字（本情境）")</f>
        <v>無外部對照</v>
      </c>
      <c r="Q20" s="62" t="s">
        <v>3238</v>
      </c>
      <c r="R20" s="62" t="s">
        <v>3235</v>
      </c>
      <c r="S20" s="6" t="s">
        <v>751</v>
      </c>
      <c r="T20" s="60" t="s">
        <v>3169</v>
      </c>
      <c r="U20" s="87" t="s">
        <v>3237</v>
      </c>
    </row>
    <row r="21" customFormat="false" ht="44" hidden="false" customHeight="false" outlineLevel="0" collapsed="false">
      <c r="A21" s="62" t="s">
        <v>3240</v>
      </c>
      <c r="B21" s="6" t="s">
        <v>3241</v>
      </c>
      <c r="C21" s="5" t="s">
        <v>3231</v>
      </c>
      <c r="D21" s="125" t="n">
        <f aca="false">INDEX(IF_CostDec_Sol,1,11)</f>
        <v>0.284437480916053</v>
      </c>
      <c r="E21" s="116" t="n">
        <f aca="false">INDEX(IF_CostDec_Sol,1,10)</f>
        <v>0.22130772679342</v>
      </c>
      <c r="F21" s="116" t="n">
        <f aca="false">INDEX(IF_CostDec_Sol,1,12)</f>
        <v>0.459517558487924</v>
      </c>
      <c r="G21" s="62" t="s">
        <v>976</v>
      </c>
      <c r="H21" s="5" t="s">
        <v>3164</v>
      </c>
      <c r="I21" s="5" t="s">
        <v>3232</v>
      </c>
      <c r="J21" s="6" t="s">
        <v>3233</v>
      </c>
      <c r="K21" s="5" t="s">
        <v>3234</v>
      </c>
      <c r="L21" s="62" t="s">
        <v>751</v>
      </c>
      <c r="M21" s="116" t="s">
        <v>751</v>
      </c>
      <c r="N21" s="116" t="s">
        <v>751</v>
      </c>
      <c r="O21" s="77"/>
      <c r="P21" s="61" t="str">
        <f aca="false">IF(ISNUMBER(D21),IF(AND(ISNUMBER(M21),ISNUMBER(N21)),IF(M21=N21,IF(ABS(D21/M21-1)&lt;=0.2,"±20% 內","差距 &gt;20%"),IF(D21&lt;M21,"低於外部區間",IF(D21&gt;N21,"高於外部區間","落在外部區間"))),"無外部對照"),"推算值非數字（本情境）")</f>
        <v>無外部對照</v>
      </c>
      <c r="Q21" s="62" t="s">
        <v>3240</v>
      </c>
      <c r="R21" s="62" t="s">
        <v>3235</v>
      </c>
      <c r="S21" s="6" t="s">
        <v>3236</v>
      </c>
      <c r="T21" s="60" t="s">
        <v>3169</v>
      </c>
      <c r="U21" s="87" t="s">
        <v>3237</v>
      </c>
    </row>
    <row r="22" customFormat="false" ht="44" hidden="false" customHeight="false" outlineLevel="0" collapsed="false">
      <c r="A22" s="62" t="s">
        <v>3242</v>
      </c>
      <c r="B22" s="6" t="s">
        <v>3243</v>
      </c>
      <c r="C22" s="5" t="s">
        <v>3231</v>
      </c>
      <c r="D22" s="125" t="n">
        <f aca="false">INDEX(IF_CostDec_Sol,1,8)</f>
        <v>0.386129818564143</v>
      </c>
      <c r="E22" s="116" t="n">
        <f aca="false">INDEX(IF_CostDec_Sol,1,7)</f>
        <v>0.29896439585097</v>
      </c>
      <c r="F22" s="116" t="n">
        <f aca="false">INDEX(IF_CostDec_Sol,1,9)</f>
        <v>0.657404842077077</v>
      </c>
      <c r="G22" s="62" t="s">
        <v>976</v>
      </c>
      <c r="H22" s="5" t="s">
        <v>3164</v>
      </c>
      <c r="I22" s="5" t="s">
        <v>3232</v>
      </c>
      <c r="J22" s="6" t="s">
        <v>3233</v>
      </c>
      <c r="K22" s="5" t="s">
        <v>3234</v>
      </c>
      <c r="L22" s="62" t="s">
        <v>751</v>
      </c>
      <c r="M22" s="116" t="s">
        <v>751</v>
      </c>
      <c r="N22" s="116" t="s">
        <v>751</v>
      </c>
      <c r="O22" s="77"/>
      <c r="P22" s="61" t="str">
        <f aca="false">IF(ISNUMBER(D22),IF(AND(ISNUMBER(M22),ISNUMBER(N22)),IF(M22=N22,IF(ABS(D22/M22-1)&lt;=0.2,"±20% 內","差距 &gt;20%"),IF(D22&lt;M22,"低於外部區間",IF(D22&gt;N22,"高於外部區間","落在外部區間"))),"無外部對照"),"推算值非數字（本情境）")</f>
        <v>無外部對照</v>
      </c>
      <c r="Q22" s="62" t="s">
        <v>3242</v>
      </c>
      <c r="R22" s="62" t="s">
        <v>3235</v>
      </c>
      <c r="S22" s="6" t="s">
        <v>751</v>
      </c>
      <c r="T22" s="60" t="s">
        <v>3169</v>
      </c>
      <c r="U22" s="87" t="s">
        <v>3237</v>
      </c>
    </row>
    <row r="23" customFormat="false" ht="44" hidden="false" customHeight="false" outlineLevel="0" collapsed="false">
      <c r="A23" s="62" t="s">
        <v>3244</v>
      </c>
      <c r="B23" s="6" t="s">
        <v>3245</v>
      </c>
      <c r="C23" s="5" t="s">
        <v>3231</v>
      </c>
      <c r="D23" s="125" t="n">
        <f aca="false">INDEX(IF_CostDec_Astra,1,11)</f>
        <v>1.37960829543652</v>
      </c>
      <c r="E23" s="116" t="n">
        <f aca="false">INDEX(IF_CostDec_Astra,1,10)</f>
        <v>1.07340978673099</v>
      </c>
      <c r="F23" s="116" t="n">
        <f aca="false">INDEX(IF_CostDec_Astra,1,12)</f>
        <v>2.2287999230867</v>
      </c>
      <c r="G23" s="62" t="s">
        <v>976</v>
      </c>
      <c r="H23" s="5" t="s">
        <v>3164</v>
      </c>
      <c r="I23" s="5" t="s">
        <v>3232</v>
      </c>
      <c r="J23" s="6" t="s">
        <v>3233</v>
      </c>
      <c r="K23" s="5" t="s">
        <v>3234</v>
      </c>
      <c r="L23" s="62" t="s">
        <v>751</v>
      </c>
      <c r="M23" s="116" t="s">
        <v>751</v>
      </c>
      <c r="N23" s="116" t="s">
        <v>751</v>
      </c>
      <c r="O23" s="77"/>
      <c r="P23" s="61" t="str">
        <f aca="false">IF(ISNUMBER(D23),IF(AND(ISNUMBER(M23),ISNUMBER(N23)),IF(M23=N23,IF(ABS(D23/M23-1)&lt;=0.2,"±20% 內","差距 &gt;20%"),IF(D23&lt;M23,"低於外部區間",IF(D23&gt;N23,"高於外部區間","落在外部區間"))),"無外部對照"),"推算值非數字（本情境）")</f>
        <v>無外部對照</v>
      </c>
      <c r="Q23" s="62" t="s">
        <v>3244</v>
      </c>
      <c r="R23" s="62" t="s">
        <v>3235</v>
      </c>
      <c r="S23" s="6" t="s">
        <v>3236</v>
      </c>
      <c r="T23" s="60" t="s">
        <v>3169</v>
      </c>
      <c r="U23" s="87" t="s">
        <v>3237</v>
      </c>
    </row>
    <row r="24" customFormat="false" ht="44" hidden="false" customHeight="false" outlineLevel="0" collapsed="false">
      <c r="A24" s="62" t="s">
        <v>3246</v>
      </c>
      <c r="B24" s="6" t="s">
        <v>3247</v>
      </c>
      <c r="C24" s="5" t="s">
        <v>3231</v>
      </c>
      <c r="D24" s="125" t="n">
        <f aca="false">INDEX(IF_CostDec_Astra,1,8)</f>
        <v>2.24594032142734</v>
      </c>
      <c r="E24" s="116" t="n">
        <f aca="false">INDEX(IF_CostDec_Astra,1,7)</f>
        <v>1.73893897604108</v>
      </c>
      <c r="F24" s="116" t="n">
        <f aca="false">INDEX(IF_CostDec_Astra,1,9)</f>
        <v>3.82382289928538</v>
      </c>
      <c r="G24" s="62" t="s">
        <v>976</v>
      </c>
      <c r="H24" s="5" t="s">
        <v>3164</v>
      </c>
      <c r="I24" s="5" t="s">
        <v>3232</v>
      </c>
      <c r="J24" s="6" t="s">
        <v>3233</v>
      </c>
      <c r="K24" s="5" t="s">
        <v>3234</v>
      </c>
      <c r="L24" s="62" t="s">
        <v>751</v>
      </c>
      <c r="M24" s="116" t="s">
        <v>751</v>
      </c>
      <c r="N24" s="116" t="s">
        <v>751</v>
      </c>
      <c r="O24" s="77"/>
      <c r="P24" s="61" t="str">
        <f aca="false">IF(ISNUMBER(D24),IF(AND(ISNUMBER(M24),ISNUMBER(N24)),IF(M24=N24,IF(ABS(D24/M24-1)&lt;=0.2,"±20% 內","差距 &gt;20%"),IF(D24&lt;M24,"低於外部區間",IF(D24&gt;N24,"高於外部區間","落在外部區間"))),"無外部對照"),"推算值非數字（本情境）")</f>
        <v>無外部對照</v>
      </c>
      <c r="Q24" s="62" t="s">
        <v>3246</v>
      </c>
      <c r="R24" s="62" t="s">
        <v>3235</v>
      </c>
      <c r="S24" s="6" t="s">
        <v>751</v>
      </c>
      <c r="T24" s="60" t="s">
        <v>3169</v>
      </c>
      <c r="U24" s="87" t="s">
        <v>3237</v>
      </c>
    </row>
    <row r="25" customFormat="false" ht="29.85" hidden="false" customHeight="false" outlineLevel="0" collapsed="false">
      <c r="A25" s="62" t="s">
        <v>3248</v>
      </c>
      <c r="B25" s="6" t="s">
        <v>3249</v>
      </c>
      <c r="C25" s="5" t="s">
        <v>3250</v>
      </c>
      <c r="D25" s="124" t="n">
        <f aca="false">DC_Cost!J58/(Calib!C17*3600)*1000000</f>
        <v>0.0758747918114994</v>
      </c>
      <c r="E25" s="94" t="n">
        <f aca="false">DC_Cost!I58/(Calib!C17*3600)*1000000</f>
        <v>0.0587467224846683</v>
      </c>
      <c r="F25" s="94" t="n">
        <f aca="false">DC_Cost!K58/(Calib!C17*3600)*1000000</f>
        <v>0.129180532376273</v>
      </c>
      <c r="G25" s="62" t="s">
        <v>3251</v>
      </c>
      <c r="H25" s="5" t="s">
        <v>3164</v>
      </c>
      <c r="I25" s="5" t="s">
        <v>3252</v>
      </c>
      <c r="J25" s="5" t="s">
        <v>3253</v>
      </c>
      <c r="K25" s="6" t="s">
        <v>3254</v>
      </c>
      <c r="L25" s="62" t="s">
        <v>3255</v>
      </c>
      <c r="M25" s="94" t="n">
        <f aca="false">SRC_PERF_011</f>
        <v>0.078</v>
      </c>
      <c r="N25" s="94" t="n">
        <f aca="false">SRC_PERF_011</f>
        <v>0.078</v>
      </c>
      <c r="O25" s="77" t="n">
        <f aca="false">IF(AND(ISNUMBER(D25),ISNUMBER(M25),ISNUMBER(N25)),D25/((M25+N25)/2),"—")</f>
        <v>0.972753741173069</v>
      </c>
      <c r="P25" s="61" t="str">
        <f aca="false">IF(ISNUMBER(D25),IF(AND(ISNUMBER(M25),ISNUMBER(N25)),IF(M25=N25,IF(ABS(D25/M25-1)&lt;=0.2,"±20% 內","差距 &gt;20%"),IF(D25&lt;M25,"低於外部區間",IF(D25&gt;N25,"高於外部區間","落在外部區間"))),"無外部對照"),"推算值非數字（本情境）")</f>
        <v>±20% 內</v>
      </c>
      <c r="Q25" s="62" t="s">
        <v>3248</v>
      </c>
      <c r="R25" s="62" t="s">
        <v>3256</v>
      </c>
      <c r="S25" s="6" t="s">
        <v>3257</v>
      </c>
      <c r="T25" s="60" t="s">
        <v>3169</v>
      </c>
      <c r="U25" s="87" t="s">
        <v>3237</v>
      </c>
      <c r="V25" s="74" t="s">
        <v>3258</v>
      </c>
    </row>
    <row r="26" customFormat="false" ht="44" hidden="false" customHeight="false" outlineLevel="0" collapsed="false">
      <c r="A26" s="62" t="s">
        <v>3259</v>
      </c>
      <c r="B26" s="5" t="s">
        <v>3260</v>
      </c>
      <c r="C26" s="6" t="s">
        <v>3261</v>
      </c>
      <c r="D26" s="125" t="n">
        <f aca="false">INDEX(IF_RevGW_Luna,1,11)</f>
        <v>50.299413649228</v>
      </c>
      <c r="E26" s="94" t="n">
        <f aca="false">INDEX(IF_RevGW_Luna,1,11)*(Sens_Rev!$B$6/IF_Util)</f>
        <v>33.5329424328187</v>
      </c>
      <c r="F26" s="94" t="n">
        <f aca="false">INDEX(IF_RevGW_Luna,1,11)*(Sens_Rev!$B$7/IF_Util)</f>
        <v>67.0658848656373</v>
      </c>
      <c r="G26" s="62" t="s">
        <v>1748</v>
      </c>
      <c r="H26" s="5" t="s">
        <v>3262</v>
      </c>
      <c r="I26" s="5" t="s">
        <v>3263</v>
      </c>
      <c r="J26" s="5" t="s">
        <v>3264</v>
      </c>
      <c r="K26" s="5" t="s">
        <v>3265</v>
      </c>
      <c r="L26" s="62" t="s">
        <v>751</v>
      </c>
      <c r="M26" s="116" t="s">
        <v>751</v>
      </c>
      <c r="N26" s="116" t="s">
        <v>751</v>
      </c>
      <c r="O26" s="77"/>
      <c r="P26" s="61" t="str">
        <f aca="false">IF(ISNUMBER(D26),IF(AND(ISNUMBER(M26),ISNUMBER(N26)),IF(M26=N26,IF(ABS(D26/M26-1)&lt;=0.2,"±20% 內","差距 &gt;20%"),IF(D26&lt;M26,"低於外部區間",IF(D26&gt;N26,"高於外部區間","落在外部區間"))),"無外部對照"),"推算值非數字（本情境）")</f>
        <v>無外部對照</v>
      </c>
      <c r="Q26" s="62" t="s">
        <v>3259</v>
      </c>
      <c r="R26" s="62" t="s">
        <v>3266</v>
      </c>
      <c r="S26" s="5" t="s">
        <v>3267</v>
      </c>
      <c r="T26" s="60" t="s">
        <v>3169</v>
      </c>
      <c r="U26" s="93" t="s">
        <v>3268</v>
      </c>
    </row>
    <row r="27" customFormat="false" ht="44" hidden="false" customHeight="false" outlineLevel="0" collapsed="false">
      <c r="A27" s="62" t="s">
        <v>3269</v>
      </c>
      <c r="B27" s="5" t="s">
        <v>3270</v>
      </c>
      <c r="C27" s="6" t="s">
        <v>3261</v>
      </c>
      <c r="D27" s="125" t="n">
        <f aca="false">INDEX(IF_RevGW_Sol,1,11)</f>
        <v>307.586504136986</v>
      </c>
      <c r="E27" s="94" t="n">
        <f aca="false">INDEX(IF_RevGW_Sol,1,11)*(Sens_Rev!$B$6/IF_Util)</f>
        <v>205.057669424657</v>
      </c>
      <c r="F27" s="94" t="n">
        <f aca="false">INDEX(IF_RevGW_Sol,1,11)*(Sens_Rev!$B$7/IF_Util)</f>
        <v>410.115338849315</v>
      </c>
      <c r="G27" s="62" t="s">
        <v>1748</v>
      </c>
      <c r="H27" s="5" t="s">
        <v>3262</v>
      </c>
      <c r="I27" s="5" t="s">
        <v>3263</v>
      </c>
      <c r="J27" s="5" t="s">
        <v>3264</v>
      </c>
      <c r="K27" s="5" t="s">
        <v>3265</v>
      </c>
      <c r="L27" s="62" t="s">
        <v>751</v>
      </c>
      <c r="M27" s="116" t="s">
        <v>751</v>
      </c>
      <c r="N27" s="116" t="s">
        <v>751</v>
      </c>
      <c r="O27" s="77"/>
      <c r="P27" s="61" t="str">
        <f aca="false">IF(ISNUMBER(D27),IF(AND(ISNUMBER(M27),ISNUMBER(N27)),IF(M27=N27,IF(ABS(D27/M27-1)&lt;=0.2,"±20% 內","差距 &gt;20%"),IF(D27&lt;M27,"低於外部區間",IF(D27&gt;N27,"高於外部區間","落在外部區間"))),"無外部對照"),"推算值非數字（本情境）")</f>
        <v>無外部對照</v>
      </c>
      <c r="Q27" s="62" t="s">
        <v>3269</v>
      </c>
      <c r="R27" s="62" t="s">
        <v>3266</v>
      </c>
      <c r="S27" s="5" t="s">
        <v>3267</v>
      </c>
      <c r="T27" s="60" t="s">
        <v>3169</v>
      </c>
      <c r="U27" s="93" t="s">
        <v>3268</v>
      </c>
    </row>
    <row r="28" customFormat="false" ht="44" hidden="false" customHeight="false" outlineLevel="0" collapsed="false">
      <c r="A28" s="62" t="s">
        <v>3271</v>
      </c>
      <c r="B28" s="5" t="s">
        <v>3272</v>
      </c>
      <c r="C28" s="6" t="s">
        <v>3261</v>
      </c>
      <c r="D28" s="125" t="n">
        <f aca="false">INDEX(IF_RevGW_Astra,1,11)</f>
        <v>335.686266761199</v>
      </c>
      <c r="E28" s="94" t="n">
        <f aca="false">INDEX(IF_RevGW_Astra,1,11)*(Sens_Rev!$B$6/IF_Util)</f>
        <v>223.790844507466</v>
      </c>
      <c r="F28" s="94" t="n">
        <f aca="false">INDEX(IF_RevGW_Astra,1,11)*(Sens_Rev!$B$7/IF_Util)</f>
        <v>447.581689014932</v>
      </c>
      <c r="G28" s="62" t="s">
        <v>1748</v>
      </c>
      <c r="H28" s="5" t="s">
        <v>3262</v>
      </c>
      <c r="I28" s="5" t="s">
        <v>3263</v>
      </c>
      <c r="J28" s="5" t="s">
        <v>3264</v>
      </c>
      <c r="K28" s="5" t="s">
        <v>3265</v>
      </c>
      <c r="L28" s="62" t="s">
        <v>751</v>
      </c>
      <c r="M28" s="116" t="s">
        <v>751</v>
      </c>
      <c r="N28" s="116" t="s">
        <v>751</v>
      </c>
      <c r="O28" s="77"/>
      <c r="P28" s="61" t="str">
        <f aca="false">IF(ISNUMBER(D28),IF(AND(ISNUMBER(M28),ISNUMBER(N28)),IF(M28=N28,IF(ABS(D28/M28-1)&lt;=0.2,"±20% 內","差距 &gt;20%"),IF(D28&lt;M28,"低於外部區間",IF(D28&gt;N28,"高於外部區間","落在外部區間"))),"無外部對照"),"推算值非數字（本情境）")</f>
        <v>無外部對照</v>
      </c>
      <c r="Q28" s="62" t="s">
        <v>3271</v>
      </c>
      <c r="R28" s="62" t="s">
        <v>3266</v>
      </c>
      <c r="S28" s="5" t="s">
        <v>3267</v>
      </c>
      <c r="T28" s="60" t="s">
        <v>3169</v>
      </c>
      <c r="U28" s="93" t="s">
        <v>3268</v>
      </c>
    </row>
    <row r="29" customFormat="false" ht="44" hidden="false" customHeight="false" outlineLevel="0" collapsed="false">
      <c r="A29" s="62" t="s">
        <v>3273</v>
      </c>
      <c r="B29" s="6" t="s">
        <v>3274</v>
      </c>
      <c r="C29" s="6" t="s">
        <v>3261</v>
      </c>
      <c r="D29" s="125" t="n">
        <f aca="false">INDEX(IF_RevGWFleet,1,11)</f>
        <v>65.9628389770872</v>
      </c>
      <c r="E29" s="94" t="n">
        <f aca="false">INDEX(IF_RevGWFleet,1,11)*(Sens_Rev!$B$6/IF_Util)</f>
        <v>43.9752259847248</v>
      </c>
      <c r="F29" s="94" t="n">
        <f aca="false">INDEX(IF_RevGWFleet,1,11)*(Sens_Rev!$B$7/IF_Util)</f>
        <v>87.9504519694495</v>
      </c>
      <c r="G29" s="62" t="s">
        <v>1748</v>
      </c>
      <c r="H29" s="5" t="s">
        <v>3262</v>
      </c>
      <c r="I29" s="5" t="s">
        <v>3263</v>
      </c>
      <c r="J29" s="5" t="s">
        <v>3264</v>
      </c>
      <c r="K29" s="5" t="s">
        <v>3265</v>
      </c>
      <c r="L29" s="62" t="s">
        <v>751</v>
      </c>
      <c r="M29" s="116" t="s">
        <v>751</v>
      </c>
      <c r="N29" s="116" t="s">
        <v>751</v>
      </c>
      <c r="O29" s="77"/>
      <c r="P29" s="61" t="str">
        <f aca="false">IF(ISNUMBER(D29),IF(AND(ISNUMBER(M29),ISNUMBER(N29)),IF(M29=N29,IF(ABS(D29/M29-1)&lt;=0.2,"±20% 內","差距 &gt;20%"),IF(D29&lt;M29,"低於外部區間",IF(D29&gt;N29,"高於外部區間","落在外部區間"))),"無外部對照"),"推算值非數字（本情境）")</f>
        <v>無外部對照</v>
      </c>
      <c r="Q29" s="62" t="s">
        <v>3273</v>
      </c>
      <c r="R29" s="62" t="s">
        <v>3266</v>
      </c>
      <c r="S29" s="5" t="s">
        <v>3267</v>
      </c>
      <c r="T29" s="60" t="s">
        <v>3169</v>
      </c>
      <c r="U29" s="93" t="s">
        <v>3268</v>
      </c>
    </row>
    <row r="30" customFormat="false" ht="29.85" hidden="false" customHeight="false" outlineLevel="0" collapsed="false">
      <c r="A30" s="62" t="s">
        <v>3275</v>
      </c>
      <c r="B30" s="5" t="s">
        <v>3276</v>
      </c>
      <c r="C30" s="6" t="s">
        <v>3214</v>
      </c>
      <c r="D30" s="125" t="n">
        <f aca="false">INDEX(IF_GPUhrEcon,1,5)</f>
        <v>2.00846099652078</v>
      </c>
      <c r="E30" s="116" t="n">
        <f aca="false">INDEX(IF_GPUhrEcon,1,4)</f>
        <v>1.50422814430785</v>
      </c>
      <c r="F30" s="116" t="n">
        <f aca="false">INDEX(IF_GPUhrEcon,1,6)</f>
        <v>3.25756227849869</v>
      </c>
      <c r="G30" s="62" t="s">
        <v>985</v>
      </c>
      <c r="H30" s="5" t="s">
        <v>3164</v>
      </c>
      <c r="I30" s="5" t="s">
        <v>3277</v>
      </c>
      <c r="J30" s="5" t="s">
        <v>3216</v>
      </c>
      <c r="K30" s="5" t="s">
        <v>3278</v>
      </c>
      <c r="L30" s="62" t="s">
        <v>3279</v>
      </c>
      <c r="M30" s="94" t="n">
        <f aca="false">SRC_PRC_001/4</f>
        <v>10.5</v>
      </c>
      <c r="N30" s="94" t="n">
        <f aca="false">SRC_PRC_001/4</f>
        <v>10.5</v>
      </c>
      <c r="O30" s="77" t="n">
        <f aca="false">IF(AND(ISNUMBER(D30),ISNUMBER(M30),ISNUMBER(N30)),D30/((M30+N30)/2),"—")</f>
        <v>0.191281999668646</v>
      </c>
      <c r="P30" s="61" t="str">
        <f aca="false">IF(ISNUMBER(D30),IF(AND(ISNUMBER(M30),ISNUMBER(N30)),IF(M30=N30,IF(ABS(D30/M30-1)&lt;=0.2,"±20% 內","差距 &gt;20%"),IF(D30&lt;M30,"低於外部區間",IF(D30&gt;N30,"高於外部區間","落在外部區間"))),"無外部對照"),"推算值非數字（本情境）")</f>
        <v>差距 &gt;20%</v>
      </c>
      <c r="Q30" s="62" t="s">
        <v>3275</v>
      </c>
      <c r="R30" s="62" t="s">
        <v>3280</v>
      </c>
      <c r="S30" s="5" t="s">
        <v>3281</v>
      </c>
      <c r="T30" s="60" t="s">
        <v>3169</v>
      </c>
      <c r="U30" s="93" t="s">
        <v>3282</v>
      </c>
      <c r="V30" s="74" t="s">
        <v>3283</v>
      </c>
    </row>
    <row r="31" customFormat="false" ht="44" hidden="false" customHeight="false" outlineLevel="0" collapsed="false">
      <c r="A31" s="62" t="s">
        <v>3284</v>
      </c>
      <c r="B31" s="5" t="s">
        <v>3285</v>
      </c>
      <c r="C31" s="6" t="s">
        <v>3214</v>
      </c>
      <c r="D31" s="125" t="n">
        <f aca="false">INDEX(IF_GPUhrEcon,1,8)</f>
        <v>2.55178761329595</v>
      </c>
      <c r="E31" s="116" t="n">
        <f aca="false">INDEX(IF_GPUhrEcon,1,7)</f>
        <v>1.97574392204647</v>
      </c>
      <c r="F31" s="116" t="n">
        <f aca="false">INDEX(IF_GPUhrEcon,1,9)</f>
        <v>4.34454282544458</v>
      </c>
      <c r="G31" s="62" t="s">
        <v>985</v>
      </c>
      <c r="H31" s="5" t="s">
        <v>3164</v>
      </c>
      <c r="I31" s="5" t="s">
        <v>3286</v>
      </c>
      <c r="J31" s="5" t="s">
        <v>3216</v>
      </c>
      <c r="K31" s="5" t="s">
        <v>3287</v>
      </c>
      <c r="L31" s="62" t="s">
        <v>3288</v>
      </c>
      <c r="M31" s="94" t="n">
        <f aca="false">SRC_PRC_002</f>
        <v>3.57</v>
      </c>
      <c r="N31" s="94" t="n">
        <f aca="false">SRC_PRC_002</f>
        <v>3.57</v>
      </c>
      <c r="O31" s="77" t="n">
        <f aca="false">IF(AND(ISNUMBER(D31),ISNUMBER(M31),ISNUMBER(N31)),D31/((M31+N31)/2),"—")</f>
        <v>0.714786446301386</v>
      </c>
      <c r="P31" s="61" t="str">
        <f aca="false">IF(ISNUMBER(D31),IF(AND(ISNUMBER(M31),ISNUMBER(N31)),IF(M31=N31,IF(ABS(D31/M31-1)&lt;=0.2,"±20% 內","差距 &gt;20%"),IF(D31&lt;M31,"低於外部區間",IF(D31&gt;N31,"高於外部區間","落在外部區間"))),"無外部對照"),"推算值非數字（本情境）")</f>
        <v>差距 &gt;20%</v>
      </c>
      <c r="Q31" s="62" t="s">
        <v>3284</v>
      </c>
      <c r="R31" s="62" t="s">
        <v>3289</v>
      </c>
      <c r="S31" s="5" t="s">
        <v>3290</v>
      </c>
      <c r="T31" s="60" t="s">
        <v>3169</v>
      </c>
      <c r="U31" s="93" t="s">
        <v>3282</v>
      </c>
      <c r="V31" s="74" t="s">
        <v>3291</v>
      </c>
    </row>
    <row r="32" customFormat="false" ht="39.55" hidden="false" customHeight="false" outlineLevel="0" collapsed="false">
      <c r="A32" s="62" t="s">
        <v>3292</v>
      </c>
      <c r="B32" s="6" t="s">
        <v>3293</v>
      </c>
      <c r="C32" s="6" t="s">
        <v>3294</v>
      </c>
      <c r="D32" s="124" t="n">
        <f aca="false">Training!$M$78</f>
        <v>0.371397626434424</v>
      </c>
      <c r="E32" s="94" t="n">
        <f aca="false">Sens_Train!$O$78</f>
        <v>0.111419287930327</v>
      </c>
      <c r="F32" s="94" t="n">
        <f aca="false">Sens_Train!$Q$78</f>
        <v>1.11419287930327</v>
      </c>
      <c r="G32" s="62" t="s">
        <v>118</v>
      </c>
      <c r="H32" s="6" t="s">
        <v>3295</v>
      </c>
      <c r="I32" s="5" t="s">
        <v>3296</v>
      </c>
      <c r="J32" s="6" t="s">
        <v>3297</v>
      </c>
      <c r="K32" s="6" t="s">
        <v>3298</v>
      </c>
      <c r="L32" s="62" t="s">
        <v>3299</v>
      </c>
      <c r="M32" s="94" t="n">
        <f aca="false">SRC_MOD_034/SRC_MOD_040</f>
        <v>0.0551801801801802</v>
      </c>
      <c r="N32" s="94" t="n">
        <f aca="false">SRC_MOD_034/SRC_MOD_040</f>
        <v>0.0551801801801802</v>
      </c>
      <c r="O32" s="77" t="n">
        <f aca="false">IF(AND(ISNUMBER(D32),ISNUMBER(M32),ISNUMBER(N32)),D32/((M32+N32)/2),"—")</f>
        <v>6.73063453619936</v>
      </c>
      <c r="P32" s="61" t="str">
        <f aca="false">IF(ISNUMBER(D32),IF(AND(ISNUMBER(M32),ISNUMBER(N32)),IF(M32=N32,IF(ABS(D32/M32-1)&lt;=0.2,"±20% 內","差距 &gt;20%"),IF(D32&lt;M32,"低於外部區間",IF(D32&gt;N32,"高於外部區間","落在外部區間"))),"無外部對照"),"推算值非數字（本情境）")</f>
        <v>差距 &gt;20%</v>
      </c>
      <c r="Q32" s="62" t="s">
        <v>3292</v>
      </c>
      <c r="R32" s="62" t="s">
        <v>3300</v>
      </c>
      <c r="S32" s="5" t="s">
        <v>3301</v>
      </c>
      <c r="T32" s="60" t="s">
        <v>3302</v>
      </c>
      <c r="U32" s="87" t="s">
        <v>3303</v>
      </c>
      <c r="V32" s="74" t="s">
        <v>3304</v>
      </c>
    </row>
    <row r="33" customFormat="false" ht="44" hidden="false" customHeight="false" outlineLevel="0" collapsed="false">
      <c r="A33" s="62" t="s">
        <v>3305</v>
      </c>
      <c r="B33" s="6" t="s">
        <v>3306</v>
      </c>
      <c r="C33" s="6" t="s">
        <v>3294</v>
      </c>
      <c r="D33" s="124" t="n">
        <f aca="false">Training!$N$78</f>
        <v>1.12717162997901</v>
      </c>
      <c r="E33" s="94" t="n">
        <f aca="false">Sens_Train!$P$78</f>
        <v>0.338151488993704</v>
      </c>
      <c r="F33" s="94" t="n">
        <f aca="false">Sens_Train!$R$78</f>
        <v>3.38151488993704</v>
      </c>
      <c r="G33" s="62" t="s">
        <v>118</v>
      </c>
      <c r="H33" s="6" t="s">
        <v>3295</v>
      </c>
      <c r="I33" s="5" t="s">
        <v>3307</v>
      </c>
      <c r="J33" s="6" t="s">
        <v>3297</v>
      </c>
      <c r="K33" s="6" t="s">
        <v>3298</v>
      </c>
      <c r="L33" s="62" t="s">
        <v>3308</v>
      </c>
      <c r="M33" s="94" t="n">
        <f aca="false">SRC_MOD_036</f>
        <v>1</v>
      </c>
      <c r="N33" s="94" t="n">
        <f aca="false">SRC_MOD_036</f>
        <v>1</v>
      </c>
      <c r="O33" s="77" t="n">
        <f aca="false">IF(AND(ISNUMBER(D33),ISNUMBER(M33),ISNUMBER(N33)),D33/((M33+N33)/2),"—")</f>
        <v>1.12717162997901</v>
      </c>
      <c r="P33" s="61" t="str">
        <f aca="false">IF(ISNUMBER(D33),IF(AND(ISNUMBER(M33),ISNUMBER(N33)),IF(M33=N33,IF(ABS(D33/M33-1)&lt;=0.2,"±20% 內","差距 &gt;20%"),IF(D33&lt;M33,"低於外部區間",IF(D33&gt;N33,"高於外部區間","落在外部區間"))),"無外部對照"),"推算值非數字（本情境）")</f>
        <v>±20% 內</v>
      </c>
      <c r="Q33" s="62" t="s">
        <v>3305</v>
      </c>
      <c r="R33" s="62" t="s">
        <v>3309</v>
      </c>
      <c r="S33" s="5" t="s">
        <v>3310</v>
      </c>
      <c r="T33" s="60" t="s">
        <v>3302</v>
      </c>
      <c r="U33" s="87" t="s">
        <v>3303</v>
      </c>
      <c r="V33" s="74" t="s">
        <v>3311</v>
      </c>
    </row>
    <row r="34" customFormat="false" ht="29.85" hidden="false" customHeight="false" outlineLevel="0" collapsed="false">
      <c r="A34" s="62" t="s">
        <v>3312</v>
      </c>
      <c r="B34" s="5" t="s">
        <v>3313</v>
      </c>
      <c r="C34" s="6" t="s">
        <v>3314</v>
      </c>
      <c r="D34" s="124" t="n">
        <f aca="false">1/Train_In!$C$13</f>
        <v>0.125</v>
      </c>
      <c r="E34" s="94" t="n">
        <f aca="false">1/Sens_Train!$AE$119</f>
        <v>0.0961538461538462</v>
      </c>
      <c r="F34" s="94" t="n">
        <f aca="false">1/Sens_Train!$AC$119</f>
        <v>0.227272727272727</v>
      </c>
      <c r="G34" s="62" t="s">
        <v>113</v>
      </c>
      <c r="H34" s="5" t="s">
        <v>3315</v>
      </c>
      <c r="I34" s="5" t="s">
        <v>3316</v>
      </c>
      <c r="J34" s="5" t="s">
        <v>3317</v>
      </c>
      <c r="K34" s="5" t="s">
        <v>3318</v>
      </c>
      <c r="L34" s="62" t="s">
        <v>3319</v>
      </c>
      <c r="M34" s="94" t="n">
        <f aca="false">MIN(SRC_DEM_001,SRC_DEM_002,SRC_DEM_003)</f>
        <v>0.096</v>
      </c>
      <c r="N34" s="94" t="n">
        <f aca="false">MAX(SRC_DEM_001,SRC_DEM_002,SRC_DEM_003)</f>
        <v>0.226</v>
      </c>
      <c r="O34" s="77" t="n">
        <f aca="false">IF(AND(ISNUMBER(D34),ISNUMBER(M34),ISNUMBER(N34)),D34/((M34+N34)/2),"—")</f>
        <v>0.77639751552795</v>
      </c>
      <c r="P34" s="61" t="str">
        <f aca="false">IF(ISNUMBER(D34),IF(AND(ISNUMBER(M34),ISNUMBER(N34)),IF(M34=N34,IF(ABS(D34/M34-1)&lt;=0.2,"±20% 內","差距 &gt;20%"),IF(D34&lt;M34,"低於外部區間",IF(D34&gt;N34,"高於外部區間","落在外部區間"))),"無外部對照"),"推算值非數字（本情境）")</f>
        <v>落在外部區間</v>
      </c>
      <c r="Q34" s="62" t="s">
        <v>3312</v>
      </c>
      <c r="R34" s="62" t="s">
        <v>3320</v>
      </c>
      <c r="S34" s="5" t="s">
        <v>3321</v>
      </c>
      <c r="T34" s="60" t="s">
        <v>3322</v>
      </c>
      <c r="U34" s="93" t="s">
        <v>3323</v>
      </c>
      <c r="V34" s="74" t="s">
        <v>3324</v>
      </c>
    </row>
    <row r="35" customFormat="false" ht="72.35" hidden="false" customHeight="false" outlineLevel="0" collapsed="false">
      <c r="A35" s="62" t="s">
        <v>3325</v>
      </c>
      <c r="B35" s="6" t="s">
        <v>3326</v>
      </c>
      <c r="C35" s="6" t="s">
        <v>3327</v>
      </c>
      <c r="D35" s="124" t="n">
        <f aca="false">Checks!$B$43</f>
        <v>15.6767673146921</v>
      </c>
      <c r="E35" s="94" t="n">
        <f aca="false">Checks!$B$43</f>
        <v>15.6767673146921</v>
      </c>
      <c r="F35" s="94" t="n">
        <f aca="false">Checks!$B$43</f>
        <v>15.6767673146921</v>
      </c>
      <c r="G35" s="62" t="s">
        <v>1748</v>
      </c>
      <c r="H35" s="5" t="s">
        <v>3328</v>
      </c>
      <c r="I35" s="5" t="s">
        <v>3329</v>
      </c>
      <c r="J35" s="6" t="s">
        <v>3330</v>
      </c>
      <c r="K35" s="6" t="s">
        <v>3331</v>
      </c>
      <c r="L35" s="62" t="s">
        <v>3332</v>
      </c>
      <c r="M35" s="94" t="n">
        <f aca="false">SRC_DEM_007/((SRC_DEM_008+SRC_DEM_009)/2)</f>
        <v>10.456</v>
      </c>
      <c r="N35" s="94" t="n">
        <f aca="false">SRC_DEM_007/((SRC_DEM_008+SRC_DEM_009)/2)</f>
        <v>10.456</v>
      </c>
      <c r="O35" s="77" t="n">
        <f aca="false">IF(AND(ISNUMBER(D35),ISNUMBER(M35),ISNUMBER(N35)),D35/((M35+N35)/2),"—")</f>
        <v>1.49930827416718</v>
      </c>
      <c r="P35" s="61" t="str">
        <f aca="false">IF(ISNUMBER(D35),IF(AND(ISNUMBER(M35),ISNUMBER(N35)),IF(M35=N35,IF(ABS(D35/M35-1)&lt;=0.2,"±20% 內","差距 &gt;20%"),IF(D35&lt;M35,"低於外部區間",IF(D35&gt;N35,"高於外部區間","落在外部區間"))),"無外部對照"),"推算值非數字（本情境）")</f>
        <v>差距 &gt;20%</v>
      </c>
      <c r="Q35" s="62" t="s">
        <v>3325</v>
      </c>
      <c r="R35" s="62" t="s">
        <v>3333</v>
      </c>
      <c r="S35" s="5" t="s">
        <v>3334</v>
      </c>
      <c r="T35" s="60" t="s">
        <v>3169</v>
      </c>
      <c r="U35" s="93" t="s">
        <v>3268</v>
      </c>
      <c r="V35" s="74" t="s">
        <v>3335</v>
      </c>
    </row>
    <row r="36" customFormat="false" ht="58.2" hidden="false" customHeight="false" outlineLevel="0" collapsed="false">
      <c r="A36" s="62" t="s">
        <v>3336</v>
      </c>
      <c r="B36" s="6" t="s">
        <v>3337</v>
      </c>
      <c r="C36" s="6" t="s">
        <v>3338</v>
      </c>
      <c r="D36" s="124" t="n">
        <f aca="false">Training!$N$31*Training!$N$34*1E+021</f>
        <v>6.8423878656E+025</v>
      </c>
      <c r="E36" s="94" t="n">
        <f aca="false">Training!$N$31*Training!$N$34*1E+021</f>
        <v>6.8423878656E+025</v>
      </c>
      <c r="F36" s="94" t="n">
        <f aca="false">Training!$N$31*Training!$N$34*1E+021</f>
        <v>6.8423878656E+025</v>
      </c>
      <c r="G36" s="62" t="s">
        <v>330</v>
      </c>
      <c r="H36" s="5" t="s">
        <v>3339</v>
      </c>
      <c r="I36" s="5" t="s">
        <v>3340</v>
      </c>
      <c r="J36" s="6" t="s">
        <v>3341</v>
      </c>
      <c r="K36" s="6" t="s">
        <v>3342</v>
      </c>
      <c r="L36" s="62" t="s">
        <v>3343</v>
      </c>
      <c r="M36" s="94" t="n">
        <f aca="false">SRC_MOD_055_Lo</f>
        <v>5E+026</v>
      </c>
      <c r="N36" s="94" t="n">
        <f aca="false">SRC_MOD_055_Hi</f>
        <v>2E+027</v>
      </c>
      <c r="O36" s="77" t="n">
        <f aca="false">IF(AND(ISNUMBER(D36),ISNUMBER(M36),ISNUMBER(N36)),D36/((M36+N36)/2),"—")</f>
        <v>0.0547391029248</v>
      </c>
      <c r="P36" s="61" t="str">
        <f aca="false">IF(ISNUMBER(D36),IF(AND(ISNUMBER(M36),ISNUMBER(N36)),IF(M36=N36,IF(ABS(D36/M36-1)&lt;=0.2,"±20% 內","差距 &gt;20%"),IF(D36&lt;M36,"低於外部區間",IF(D36&gt;N36,"高於外部區間","落在外部區間"))),"無外部對照"),"推算值非數字（本情境）")</f>
        <v>低於外部區間</v>
      </c>
      <c r="Q36" s="62" t="s">
        <v>3336</v>
      </c>
      <c r="R36" s="62" t="s">
        <v>3344</v>
      </c>
      <c r="S36" s="5" t="s">
        <v>3345</v>
      </c>
      <c r="T36" s="60" t="s">
        <v>3169</v>
      </c>
      <c r="U36" s="93" t="s">
        <v>3346</v>
      </c>
      <c r="V36" s="74" t="s">
        <v>3347</v>
      </c>
    </row>
    <row r="37" customFormat="false" ht="69.4" hidden="false" customHeight="false" outlineLevel="0" collapsed="false">
      <c r="A37" s="62" t="s">
        <v>3348</v>
      </c>
      <c r="B37" s="5" t="s">
        <v>3349</v>
      </c>
      <c r="C37" s="6" t="s">
        <v>3350</v>
      </c>
      <c r="D37" s="125" t="n">
        <f aca="false">IF_AllocQ1</f>
        <v>0.211016394291892</v>
      </c>
      <c r="E37" s="116" t="n">
        <f aca="false">IF(ISNUMBER(IF_AllocQ1),MIN(AL_SensQ1),"—")</f>
        <v>0.11795322976611</v>
      </c>
      <c r="F37" s="116" t="n">
        <f aca="false">IF(ISNUMBER(IF_AllocQ1),MAX(AL_SensQ1),"—")</f>
        <v>0.651831704381239</v>
      </c>
      <c r="G37" s="62" t="s">
        <v>113</v>
      </c>
      <c r="H37" s="6" t="s">
        <v>3351</v>
      </c>
      <c r="I37" s="5" t="s">
        <v>3352</v>
      </c>
      <c r="J37" s="6" t="s">
        <v>3353</v>
      </c>
      <c r="K37" s="5" t="s">
        <v>3354</v>
      </c>
      <c r="L37" s="62" t="s">
        <v>751</v>
      </c>
      <c r="M37" s="116" t="s">
        <v>751</v>
      </c>
      <c r="N37" s="116" t="s">
        <v>751</v>
      </c>
      <c r="O37" s="77"/>
      <c r="P37" s="61" t="str">
        <f aca="false">IF(ISNUMBER(D37),IF(AND(ISNUMBER(M37),ISNUMBER(N37)),IF(M37=N37,IF(ABS(D37/M37-1)&lt;=0.2,"±20% 內","差距 &gt;20%"),IF(D37&lt;M37,"低於外部區間",IF(D37&gt;N37,"高於外部區間","落在外部區間"))),"無外部對照"),"推算值非數字（本情境）")</f>
        <v>無外部對照</v>
      </c>
      <c r="Q37" s="62" t="s">
        <v>3348</v>
      </c>
      <c r="R37" s="62" t="s">
        <v>3355</v>
      </c>
      <c r="S37" s="6" t="s">
        <v>3356</v>
      </c>
      <c r="T37" s="60" t="s">
        <v>3169</v>
      </c>
      <c r="U37" s="87" t="s">
        <v>3357</v>
      </c>
    </row>
    <row r="38" customFormat="false" ht="58.2" hidden="false" customHeight="false" outlineLevel="0" collapsed="false">
      <c r="A38" s="62" t="s">
        <v>3358</v>
      </c>
      <c r="B38" s="5" t="s">
        <v>3359</v>
      </c>
      <c r="C38" s="6" t="s">
        <v>3360</v>
      </c>
      <c r="D38" s="125" t="n">
        <f aca="false">IF_AllocQ2</f>
        <v>0.211748462824886</v>
      </c>
      <c r="E38" s="116" t="n">
        <f aca="false">IF(ISNUMBER(IF_AllocQ2),MIN(AL_SensQ2),"—")</f>
        <v>0.118410893782529</v>
      </c>
      <c r="F38" s="116" t="n">
        <f aca="false">IF(ISNUMBER(IF_AllocQ2),MAX(AL_SensQ2),"—")</f>
        <v>0.652827685900479</v>
      </c>
      <c r="G38" s="62" t="s">
        <v>113</v>
      </c>
      <c r="H38" s="6" t="s">
        <v>3361</v>
      </c>
      <c r="I38" s="5" t="s">
        <v>3362</v>
      </c>
      <c r="J38" s="6" t="s">
        <v>3363</v>
      </c>
      <c r="K38" s="5" t="s">
        <v>3354</v>
      </c>
      <c r="L38" s="62" t="s">
        <v>751</v>
      </c>
      <c r="M38" s="116" t="s">
        <v>751</v>
      </c>
      <c r="N38" s="116" t="s">
        <v>751</v>
      </c>
      <c r="O38" s="77"/>
      <c r="P38" s="61" t="str">
        <f aca="false">IF(ISNUMBER(D38),IF(AND(ISNUMBER(M38),ISNUMBER(N38)),IF(M38=N38,IF(ABS(D38/M38-1)&lt;=0.2,"±20% 內","差距 &gt;20%"),IF(D38&lt;M38,"低於外部區間",IF(D38&gt;N38,"高於外部區間","落在外部區間"))),"無外部對照"),"推算值非數字（本情境）")</f>
        <v>無外部對照</v>
      </c>
      <c r="Q38" s="62" t="s">
        <v>3358</v>
      </c>
      <c r="R38" s="62" t="s">
        <v>3355</v>
      </c>
      <c r="S38" s="5" t="s">
        <v>3364</v>
      </c>
      <c r="T38" s="60" t="s">
        <v>3169</v>
      </c>
      <c r="U38" s="87" t="s">
        <v>3357</v>
      </c>
    </row>
    <row r="39" customFormat="false" ht="129.1" hidden="false" customHeight="false" outlineLevel="0" collapsed="false">
      <c r="A39" s="62" t="s">
        <v>3365</v>
      </c>
      <c r="B39" s="5" t="s">
        <v>3366</v>
      </c>
      <c r="C39" s="6" t="s">
        <v>3367</v>
      </c>
      <c r="D39" s="125" t="n">
        <f aca="false">AL_RDCost</f>
        <v>2.25649682093027</v>
      </c>
      <c r="E39" s="116" t="n">
        <f aca="false">IF(ISNUMBER(AL_RDCost),MIN(AL_SensCost),"—")</f>
        <v>1.12824841046514</v>
      </c>
      <c r="F39" s="116" t="n">
        <f aca="false">IF(ISNUMBER(AL_RDCost),MAX(AL_SensCost),"—")</f>
        <v>15.7954777465119</v>
      </c>
      <c r="G39" s="62" t="s">
        <v>2048</v>
      </c>
      <c r="H39" s="6" t="s">
        <v>3368</v>
      </c>
      <c r="I39" s="6" t="s">
        <v>3369</v>
      </c>
      <c r="J39" s="6" t="s">
        <v>3370</v>
      </c>
      <c r="K39" s="5" t="s">
        <v>3371</v>
      </c>
      <c r="L39" s="62" t="s">
        <v>3372</v>
      </c>
      <c r="M39" s="94" t="n">
        <f aca="false">SRC_DEM_006</f>
        <v>12</v>
      </c>
      <c r="N39" s="94" t="n">
        <f aca="false">SRC_DEM_006</f>
        <v>12</v>
      </c>
      <c r="O39" s="77" t="n">
        <f aca="false">IF(AND(ISNUMBER(D39),ISNUMBER(M39),ISNUMBER(N39)),D39/((M39+N39)/2),"—")</f>
        <v>0.188041401744189</v>
      </c>
      <c r="P39" s="61" t="str">
        <f aca="false">IF(ISNUMBER(D39),IF(AND(ISNUMBER(M39),ISNUMBER(N39)),IF(M39=N39,IF(ABS(D39/M39-1)&lt;=0.2,"±20% 內","差距 &gt;20%"),IF(D39&lt;M39,"低於外部區間",IF(D39&gt;N39,"高於外部區間","落在外部區間"))),"無外部對照"),"推算值非數字（本情境）")</f>
        <v>差距 &gt;20%</v>
      </c>
      <c r="Q39" s="62" t="s">
        <v>3365</v>
      </c>
      <c r="R39" s="62" t="s">
        <v>3373</v>
      </c>
      <c r="S39" s="5" t="s">
        <v>3374</v>
      </c>
      <c r="T39" s="60" t="s">
        <v>3169</v>
      </c>
      <c r="U39" s="87" t="s">
        <v>3357</v>
      </c>
      <c r="V39" s="74" t="s">
        <v>3375</v>
      </c>
    </row>
    <row r="40" customFormat="false" ht="83.55" hidden="false" customHeight="false" outlineLevel="0" collapsed="false">
      <c r="A40" s="62" t="s">
        <v>3376</v>
      </c>
      <c r="B40" s="5" t="s">
        <v>3377</v>
      </c>
      <c r="C40" s="6" t="s">
        <v>3378</v>
      </c>
      <c r="D40" s="125" t="n">
        <f aca="false">L1_CostDec_Sol_VR200</f>
        <v>0.284437480916053</v>
      </c>
      <c r="E40" s="116" t="n">
        <f aca="false">L1_CostDec_Sol_VR200_Lo</f>
        <v>0.22130772679342</v>
      </c>
      <c r="F40" s="116" t="n">
        <f aca="false">L1_CostDec_Sol_VR200_Hi</f>
        <v>0.459517558487924</v>
      </c>
      <c r="G40" s="62" t="s">
        <v>976</v>
      </c>
      <c r="H40" s="5" t="s">
        <v>3164</v>
      </c>
      <c r="I40" s="5" t="s">
        <v>3379</v>
      </c>
      <c r="J40" s="6" t="s">
        <v>3233</v>
      </c>
      <c r="K40" s="5" t="s">
        <v>3234</v>
      </c>
      <c r="L40" s="62" t="s">
        <v>751</v>
      </c>
      <c r="M40" s="116" t="s">
        <v>751</v>
      </c>
      <c r="N40" s="116" t="s">
        <v>751</v>
      </c>
      <c r="O40" s="77"/>
      <c r="P40" s="61" t="str">
        <f aca="false">IF(ISNUMBER(D40),IF(AND(ISNUMBER(M40),ISNUMBER(N40)),IF(M40=N40,IF(ABS(D40/M40-1)&lt;=0.2,"±20% 內","差距 &gt;20%"),IF(D40&lt;M40,"低於外部區間",IF(D40&gt;N40,"高於外部區間","落在外部區間"))),"無外部對照"),"推算值非數字（本情境）")</f>
        <v>無外部對照</v>
      </c>
      <c r="Q40" s="62" t="s">
        <v>3376</v>
      </c>
      <c r="R40" s="62" t="s">
        <v>3380</v>
      </c>
      <c r="S40" s="6" t="s">
        <v>3381</v>
      </c>
      <c r="T40" s="60" t="s">
        <v>3169</v>
      </c>
      <c r="U40" s="93" t="s">
        <v>3382</v>
      </c>
    </row>
    <row r="41" customFormat="false" ht="72.35" hidden="false" customHeight="false" outlineLevel="0" collapsed="false">
      <c r="A41" s="62" t="s">
        <v>3383</v>
      </c>
      <c r="B41" s="5" t="s">
        <v>3384</v>
      </c>
      <c r="C41" s="6" t="s">
        <v>3385</v>
      </c>
      <c r="D41" s="125" t="n">
        <f aca="false">L1_RevGW_Sol_VR200</f>
        <v>307.586504136986</v>
      </c>
      <c r="E41" s="116" t="n">
        <f aca="false">L1_RevGW_Sol_VR200_Lo</f>
        <v>205.057669424657</v>
      </c>
      <c r="F41" s="116" t="n">
        <f aca="false">L1_RevGW_Sol_VR200_Hi</f>
        <v>410.115338849315</v>
      </c>
      <c r="G41" s="62" t="s">
        <v>1748</v>
      </c>
      <c r="H41" s="5" t="s">
        <v>3262</v>
      </c>
      <c r="I41" s="5" t="s">
        <v>3386</v>
      </c>
      <c r="J41" s="5" t="s">
        <v>3387</v>
      </c>
      <c r="K41" s="5" t="s">
        <v>3388</v>
      </c>
      <c r="L41" s="62" t="s">
        <v>751</v>
      </c>
      <c r="M41" s="116" t="s">
        <v>751</v>
      </c>
      <c r="N41" s="116" t="s">
        <v>751</v>
      </c>
      <c r="O41" s="77"/>
      <c r="P41" s="61" t="str">
        <f aca="false">IF(ISNUMBER(D41),IF(AND(ISNUMBER(M41),ISNUMBER(N41)),IF(M41=N41,IF(ABS(D41/M41-1)&lt;=0.2,"±20% 內","差距 &gt;20%"),IF(D41&lt;M41,"低於外部區間",IF(D41&gt;N41,"高於外部區間","落在外部區間"))),"無外部對照"),"推算值非數字（本情境）")</f>
        <v>無外部對照</v>
      </c>
      <c r="Q41" s="62" t="s">
        <v>3383</v>
      </c>
      <c r="R41" s="62" t="s">
        <v>3389</v>
      </c>
      <c r="S41" s="6" t="s">
        <v>751</v>
      </c>
      <c r="T41" s="60" t="s">
        <v>3169</v>
      </c>
      <c r="U41" s="93" t="s">
        <v>3382</v>
      </c>
    </row>
    <row r="42" customFormat="false" ht="58.2" hidden="false" customHeight="false" outlineLevel="0" collapsed="false">
      <c r="A42" s="62" t="s">
        <v>3390</v>
      </c>
      <c r="B42" s="5" t="s">
        <v>3391</v>
      </c>
      <c r="C42" s="5" t="s">
        <v>3392</v>
      </c>
      <c r="D42" s="125" t="n">
        <f aca="false">INDEX(IF_PostShareFLOP_Sol,1,AL_TrainCol)</f>
        <v>0.127029214627552</v>
      </c>
      <c r="E42" s="116" t="n">
        <f aca="false">INDEX(IF_PostShareFLOP_Sol,1,AL_TrainCol)</f>
        <v>0.127029214627552</v>
      </c>
      <c r="F42" s="116" t="n">
        <f aca="false">INDEX(IF_PostShareFLOP_Sol,1,AL_TrainCol)</f>
        <v>0.127029214627552</v>
      </c>
      <c r="G42" s="62" t="s">
        <v>113</v>
      </c>
      <c r="H42" s="5" t="s">
        <v>3393</v>
      </c>
      <c r="I42" s="6" t="s">
        <v>3394</v>
      </c>
      <c r="J42" s="6" t="s">
        <v>3395</v>
      </c>
      <c r="K42" s="6" t="s">
        <v>3298</v>
      </c>
      <c r="L42" s="62" t="s">
        <v>751</v>
      </c>
      <c r="M42" s="116" t="s">
        <v>751</v>
      </c>
      <c r="N42" s="116" t="s">
        <v>751</v>
      </c>
      <c r="O42" s="77"/>
      <c r="P42" s="61" t="str">
        <f aca="false">IF(ISNUMBER(D42),IF(AND(ISNUMBER(M42),ISNUMBER(N42)),IF(M42=N42,IF(ABS(D42/M42-1)&lt;=0.2,"±20% 內","差距 &gt;20%"),IF(D42&lt;M42,"低於外部區間",IF(D42&gt;N42,"高於外部區間","落在外部區間"))),"無外部對照"),"推算值非數字（本情境）")</f>
        <v>無外部對照</v>
      </c>
      <c r="Q42" s="62" t="s">
        <v>3390</v>
      </c>
      <c r="R42" s="62" t="s">
        <v>3396</v>
      </c>
      <c r="S42" s="5" t="s">
        <v>3397</v>
      </c>
      <c r="T42" s="60" t="s">
        <v>3169</v>
      </c>
      <c r="U42" s="93" t="s">
        <v>3382</v>
      </c>
    </row>
    <row r="43" customFormat="false" ht="114.9" hidden="false" customHeight="false" outlineLevel="0" collapsed="false">
      <c r="A43" s="62" t="s">
        <v>3398</v>
      </c>
      <c r="B43" s="5" t="s">
        <v>3399</v>
      </c>
      <c r="C43" s="6" t="s">
        <v>3400</v>
      </c>
      <c r="D43" s="125" t="n">
        <f aca="false">IF(AND(ISNUMBER(IF_PriceRef_Sol),ISNUMBER(IF_FrontRef_Sol)),IF_PriceRef_Sol/IF_FrontRef_Sol,"—")</f>
        <v>1</v>
      </c>
      <c r="E43" s="116" t="n">
        <f aca="false">IF(AND(ISNUMBER(IF_PriceRef_Sol),ISNUMBER(IF_FrontRef_Sol)),IF_PriceRef_Sol/IF_FrontRef_Sol,"—")</f>
        <v>1</v>
      </c>
      <c r="F43" s="116" t="n">
        <f aca="false">IF(AND(ISNUMBER(IF_PriceRef_Sol),ISNUMBER(IF_FrontRef_Sol)),IF_PriceRef_Sol/IF_FrontRef_Sol,"—")</f>
        <v>1</v>
      </c>
      <c r="G43" s="62" t="s">
        <v>118</v>
      </c>
      <c r="H43" s="5" t="s">
        <v>3393</v>
      </c>
      <c r="I43" s="5" t="s">
        <v>3401</v>
      </c>
      <c r="J43" s="5" t="s">
        <v>3402</v>
      </c>
      <c r="K43" s="6" t="s">
        <v>3403</v>
      </c>
      <c r="L43" s="62" t="s">
        <v>751</v>
      </c>
      <c r="M43" s="116" t="s">
        <v>751</v>
      </c>
      <c r="N43" s="116" t="s">
        <v>751</v>
      </c>
      <c r="O43" s="77"/>
      <c r="P43" s="61" t="str">
        <f aca="false">IF(ISNUMBER(D43),IF(AND(ISNUMBER(M43),ISNUMBER(N43)),IF(M43=N43,IF(ABS(D43/M43-1)&lt;=0.2,"±20% 內","差距 &gt;20%"),IF(D43&lt;M43,"低於外部區間",IF(D43&gt;N43,"高於外部區間","落在外部區間"))),"無外部對照"),"推算值非數字（本情境）")</f>
        <v>無外部對照</v>
      </c>
      <c r="Q43" s="62" t="s">
        <v>3398</v>
      </c>
      <c r="R43" s="62" t="s">
        <v>3266</v>
      </c>
      <c r="S43" s="5" t="s">
        <v>3397</v>
      </c>
      <c r="T43" s="60" t="s">
        <v>3169</v>
      </c>
      <c r="U43" s="93" t="s">
        <v>3382</v>
      </c>
    </row>
    <row r="44" customFormat="false" ht="44" hidden="false" customHeight="false" outlineLevel="0" collapsed="false">
      <c r="A44" s="62" t="s">
        <v>3404</v>
      </c>
      <c r="B44" s="5" t="s">
        <v>3405</v>
      </c>
      <c r="C44" s="6" t="s">
        <v>3406</v>
      </c>
      <c r="D44" s="125" t="n">
        <f aca="false">INDEX(IF_HarR_Sol,1,5)</f>
        <v>0.478078141949835</v>
      </c>
      <c r="E44" s="116" t="n">
        <f aca="false">INDEX(IF_HarR_Sol,1,5)</f>
        <v>0.478078141949835</v>
      </c>
      <c r="F44" s="116" t="n">
        <f aca="false">INDEX(IF_HarR_Sol,1,5)</f>
        <v>0.478078141949835</v>
      </c>
      <c r="G44" s="62" t="s">
        <v>118</v>
      </c>
      <c r="H44" s="5" t="s">
        <v>3393</v>
      </c>
      <c r="I44" s="6" t="s">
        <v>3407</v>
      </c>
      <c r="J44" s="5" t="s">
        <v>3408</v>
      </c>
      <c r="K44" s="6" t="s">
        <v>3409</v>
      </c>
      <c r="L44" s="62" t="s">
        <v>751</v>
      </c>
      <c r="M44" s="116" t="s">
        <v>751</v>
      </c>
      <c r="N44" s="116" t="s">
        <v>751</v>
      </c>
      <c r="O44" s="77"/>
      <c r="P44" s="61" t="str">
        <f aca="false">IF(ISNUMBER(D44),IF(AND(ISNUMBER(M44),ISNUMBER(N44)),IF(M44=N44,IF(ABS(D44/M44-1)&lt;=0.2,"±20% 內","差距 &gt;20%"),IF(D44&lt;M44,"低於外部區間",IF(D44&gt;N44,"高於外部區間","落在外部區間"))),"無外部對照"),"推算值非數字（本情境）")</f>
        <v>無外部對照</v>
      </c>
      <c r="Q44" s="62" t="s">
        <v>3404</v>
      </c>
      <c r="R44" s="62" t="s">
        <v>3410</v>
      </c>
      <c r="S44" s="6" t="s">
        <v>751</v>
      </c>
      <c r="T44" s="60" t="s">
        <v>3169</v>
      </c>
      <c r="U44" s="93" t="s">
        <v>3382</v>
      </c>
    </row>
    <row r="45" customFormat="false" ht="58.2" hidden="false" customHeight="false" outlineLevel="0" collapsed="false">
      <c r="A45" s="62" t="s">
        <v>3411</v>
      </c>
      <c r="B45" s="5" t="s">
        <v>3412</v>
      </c>
      <c r="C45" s="6" t="s">
        <v>3413</v>
      </c>
      <c r="D45" s="125" t="n">
        <f aca="false">INDEX(IF_FrontSuccVR,1,5)</f>
        <v>0.0190940025729427</v>
      </c>
      <c r="E45" s="116" t="n">
        <f aca="false">INDEX(IF_FrontSuccVR,1,5)</f>
        <v>0.0190940025729427</v>
      </c>
      <c r="F45" s="116" t="n">
        <f aca="false">INDEX(IF_FrontSuccVR,1,5)</f>
        <v>0.0190940025729427</v>
      </c>
      <c r="G45" s="62" t="s">
        <v>452</v>
      </c>
      <c r="H45" s="5" t="s">
        <v>3414</v>
      </c>
      <c r="I45" s="5" t="s">
        <v>3415</v>
      </c>
      <c r="J45" s="6" t="s">
        <v>3416</v>
      </c>
      <c r="K45" s="6" t="s">
        <v>3417</v>
      </c>
      <c r="L45" s="62" t="s">
        <v>751</v>
      </c>
      <c r="M45" s="116" t="s">
        <v>751</v>
      </c>
      <c r="N45" s="116" t="s">
        <v>751</v>
      </c>
      <c r="O45" s="77"/>
      <c r="P45" s="61" t="str">
        <f aca="false">IF(ISNUMBER(D45),IF(AND(ISNUMBER(M45),ISNUMBER(N45)),IF(M45=N45,IF(ABS(D45/M45-1)&lt;=0.2,"±20% 內","差距 &gt;20%"),IF(D45&lt;M45,"低於外部區間",IF(D45&gt;N45,"高於外部區間","落在外部區間"))),"無外部對照"),"推算值非數字（本情境）")</f>
        <v>無外部對照</v>
      </c>
      <c r="Q45" s="62" t="s">
        <v>3411</v>
      </c>
      <c r="R45" s="62" t="s">
        <v>3410</v>
      </c>
      <c r="S45" s="5" t="s">
        <v>3418</v>
      </c>
      <c r="T45" s="60" t="s">
        <v>3169</v>
      </c>
      <c r="U45" s="93" t="s">
        <v>3382</v>
      </c>
    </row>
    <row r="46" customFormat="false" ht="126.1" hidden="false" customHeight="false" outlineLevel="0" collapsed="false">
      <c r="A46" s="62" t="s">
        <v>3419</v>
      </c>
      <c r="B46" s="5" t="s">
        <v>3420</v>
      </c>
      <c r="C46" s="6" t="s">
        <v>3421</v>
      </c>
      <c r="D46" s="125" t="n">
        <f aca="false">IF_AllocServeGW</f>
        <v>0.89809617101894</v>
      </c>
      <c r="E46" s="116" t="n">
        <f aca="false">IF_AllocServeGW</f>
        <v>0.89809617101894</v>
      </c>
      <c r="F46" s="116" t="n">
        <f aca="false">IF_AllocServeGW</f>
        <v>0.89809617101894</v>
      </c>
      <c r="G46" s="62" t="s">
        <v>103</v>
      </c>
      <c r="H46" s="5" t="s">
        <v>3422</v>
      </c>
      <c r="I46" s="5" t="s">
        <v>3423</v>
      </c>
      <c r="J46" s="5" t="s">
        <v>3424</v>
      </c>
      <c r="K46" s="5" t="s">
        <v>3354</v>
      </c>
      <c r="L46" s="62" t="s">
        <v>3425</v>
      </c>
      <c r="M46" s="94" t="n">
        <f aca="false">AL_ServeGWSpend</f>
        <v>0.89809617101894</v>
      </c>
      <c r="N46" s="94" t="n">
        <f aca="false">AL_ServeGWSpend</f>
        <v>0.89809617101894</v>
      </c>
      <c r="O46" s="77" t="n">
        <f aca="false">IF(AND(ISNUMBER(D46),ISNUMBER(M46),ISNUMBER(N46)),D46/((M46+N46)/2),"—")</f>
        <v>1</v>
      </c>
      <c r="P46" s="61" t="str">
        <f aca="false">IF(ISNUMBER(D46),IF(AND(ISNUMBER(M46),ISNUMBER(N46)),IF(M46=N46,IF(ABS(D46/M46-1)&lt;=0.2,"±20% 內","差距 &gt;20%"),IF(D46&lt;M46,"低於外部區間",IF(D46&gt;N46,"高於外部區間","落在外部區間"))),"無外部對照"),"推算值非數字（本情境）")</f>
        <v>±20% 內</v>
      </c>
      <c r="Q46" s="62" t="s">
        <v>3419</v>
      </c>
      <c r="R46" s="62" t="s">
        <v>3426</v>
      </c>
      <c r="S46" s="5" t="s">
        <v>3427</v>
      </c>
      <c r="T46" s="60" t="s">
        <v>3302</v>
      </c>
      <c r="U46" s="93" t="s">
        <v>3428</v>
      </c>
      <c r="V46" s="74" t="s">
        <v>3429</v>
      </c>
    </row>
    <row r="47" customFormat="false" ht="44" hidden="false" customHeight="false" outlineLevel="0" collapsed="false">
      <c r="A47" s="62" t="s">
        <v>3430</v>
      </c>
      <c r="B47" s="5" t="s">
        <v>3431</v>
      </c>
      <c r="C47" s="6" t="s">
        <v>3432</v>
      </c>
      <c r="D47" s="125" t="n">
        <f aca="false">AL_FreeServeShare</f>
        <v>0.138280117552481</v>
      </c>
      <c r="E47" s="116" t="n">
        <f aca="false">AL_FreeServeShare</f>
        <v>0.138280117552481</v>
      </c>
      <c r="F47" s="116" t="n">
        <f aca="false">AL_FreeServeShare</f>
        <v>0.138280117552481</v>
      </c>
      <c r="G47" s="62" t="s">
        <v>113</v>
      </c>
      <c r="H47" s="5" t="s">
        <v>3422</v>
      </c>
      <c r="I47" s="6" t="s">
        <v>3433</v>
      </c>
      <c r="J47" s="5" t="s">
        <v>3434</v>
      </c>
      <c r="K47" s="5" t="s">
        <v>3435</v>
      </c>
      <c r="L47" s="62" t="s">
        <v>3436</v>
      </c>
      <c r="M47" s="94" t="n">
        <f aca="false">SRC_DEM_005/SRC_DEM_004</f>
        <v>0.464285714285714</v>
      </c>
      <c r="N47" s="94" t="n">
        <f aca="false">SRC_DEM_005/SRC_DEM_004</f>
        <v>0.464285714285714</v>
      </c>
      <c r="O47" s="77" t="n">
        <f aca="false">IF(AND(ISNUMBER(D47),ISNUMBER(M47),ISNUMBER(N47)),D47/((M47+N47)/2),"—")</f>
        <v>0.297834099343805</v>
      </c>
      <c r="P47" s="61" t="str">
        <f aca="false">IF(ISNUMBER(D47),IF(AND(ISNUMBER(M47),ISNUMBER(N47)),IF(M47=N47,IF(ABS(D47/M47-1)&lt;=0.2,"±20% 內","差距 &gt;20%"),IF(D47&lt;M47,"低於外部區間",IF(D47&gt;N47,"高於外部區間","落在外部區間"))),"無外部對照"),"推算值非數字（本情境）")</f>
        <v>差距 &gt;20%</v>
      </c>
      <c r="Q47" s="62" t="s">
        <v>3430</v>
      </c>
      <c r="R47" s="62" t="s">
        <v>3426</v>
      </c>
      <c r="S47" s="5" t="s">
        <v>3437</v>
      </c>
      <c r="T47" s="60" t="s">
        <v>3169</v>
      </c>
      <c r="U47" s="93" t="s">
        <v>3438</v>
      </c>
      <c r="V47" s="74" t="s">
        <v>3439</v>
      </c>
    </row>
    <row r="48" customFormat="false" ht="72.35" hidden="false" customHeight="false" outlineLevel="0" collapsed="false">
      <c r="A48" s="62" t="s">
        <v>3440</v>
      </c>
      <c r="B48" s="5" t="s">
        <v>3441</v>
      </c>
      <c r="C48" s="6" t="s">
        <v>3442</v>
      </c>
      <c r="D48" s="125" t="n">
        <f aca="false">AL_DDaily</f>
        <v>16.48</v>
      </c>
      <c r="E48" s="116" t="n">
        <f aca="false">AL_DDaily</f>
        <v>16.48</v>
      </c>
      <c r="F48" s="116" t="n">
        <f aca="false">AL_DDaily</f>
        <v>16.48</v>
      </c>
      <c r="G48" s="62" t="s">
        <v>1469</v>
      </c>
      <c r="H48" s="5" t="s">
        <v>3422</v>
      </c>
      <c r="I48" s="5" t="str">
        <f aca="false">"基準 "&amp;IF(ISNUMBER(D48),TEXT(D48,"0.0"),"—")&amp;"T（現值，隨輸入變動），Epoch 區間 "&amp;IF(ISNUMBER(M48),TEXT(M48,"0"),"—")&amp;"–"&amp;IF(ISNUMBER(N48),TEXT(N48,"0"),"—")&amp;"T；判讀見 P 欄。v5.36 當時基準約 11.5T、每則 token 數與 API 比例同取低端時約 7.7T（歷史值，已不適用）"</f>
        <v>基準 16.5T（現值，隨輸入變動），Epoch 區間 10–100T；判讀見 P 欄。v5.36 當時基準約 11.5T、每則 token 數與 API 比例同取低端時約 7.7T（歷史值，已不適用）</v>
      </c>
      <c r="J48" s="5" t="s">
        <v>3443</v>
      </c>
      <c r="K48" s="5" t="s">
        <v>3354</v>
      </c>
      <c r="L48" s="62" t="s">
        <v>3444</v>
      </c>
      <c r="M48" s="94" t="n">
        <f aca="false">SRC_DEM_013_Lo</f>
        <v>10</v>
      </c>
      <c r="N48" s="94" t="n">
        <f aca="false">SRC_DEM_013_Hi</f>
        <v>100</v>
      </c>
      <c r="O48" s="77" t="n">
        <f aca="false">IF(AND(ISNUMBER(D48),ISNUMBER(M48),ISNUMBER(N48)),D48/((M48+N48)/2),"—")</f>
        <v>0.299636363636364</v>
      </c>
      <c r="P48" s="61" t="str">
        <f aca="false">IF(ISNUMBER(D48),IF(AND(ISNUMBER(M48),ISNUMBER(N48)),IF(M48=N48,IF(ABS(D48/M48-1)&lt;=0.2,"±20% 內","差距 &gt;20%"),IF(D48&lt;M48,"低於外部區間",IF(D48&gt;N48,"高於外部區間","落在外部區間"))),"無外部對照"),"推算值非數字（本情境）")</f>
        <v>落在外部區間</v>
      </c>
      <c r="Q48" s="62" t="s">
        <v>3440</v>
      </c>
      <c r="R48" s="62" t="s">
        <v>3445</v>
      </c>
      <c r="S48" s="6" t="s">
        <v>3446</v>
      </c>
      <c r="T48" s="60" t="s">
        <v>3169</v>
      </c>
      <c r="U48" s="93" t="s">
        <v>3447</v>
      </c>
      <c r="V48" s="74" t="s">
        <v>3448</v>
      </c>
    </row>
    <row r="49" customFormat="false" ht="143.25" hidden="false" customHeight="false" outlineLevel="0" collapsed="false">
      <c r="A49" s="62" t="s">
        <v>3449</v>
      </c>
      <c r="B49" s="5" t="s">
        <v>3450</v>
      </c>
      <c r="C49" s="6" t="s">
        <v>3451</v>
      </c>
      <c r="D49" s="125" t="n">
        <f aca="false">IF(AND(ISNUMBER(IF_PriceRef_Sol),ISNUMBER(INDEX(IF_FullCost_Sol,1,11)),ISNUMBER(INDEX(IF_AmortBU_Sol,1,11))),1-(INDEX(IF_FullCost_Sol,1,11)-INDEX(IF_AmortBU_Sol,1,11))/IF_PriceRef_Sol,"—")</f>
        <v>0.960217277711387</v>
      </c>
      <c r="E49" s="116" t="n">
        <f aca="false">IF(AND(ISNUMBER(IF_PriceRef_Sol),ISNUMBER(INDEX(IF_FullCost_Sol,1,12)),ISNUMBER(INDEX(IF_AmortBU_Sol,1,12))),1-(INDEX(IF_FullCost_Sol,1,12)-INDEX(IF_AmortBU_Sol,1,12))/IF_PriceRef_Sol,"—")</f>
        <v>0.935735665806487</v>
      </c>
      <c r="F49" s="116" t="n">
        <f aca="false">IF(AND(ISNUMBER(IF_PriceRef_Sol),ISNUMBER(INDEX(IF_FullCost_Sol,1,10)),ISNUMBER(INDEX(IF_AmortBU_Sol,1,10))),1-(INDEX(IF_FullCost_Sol,1,10)-INDEX(IF_AmortBU_Sol,1,10))/IF_PriceRef_Sol,"—")</f>
        <v>0.969044770602163</v>
      </c>
      <c r="G49" s="62" t="s">
        <v>113</v>
      </c>
      <c r="H49" s="5" t="s">
        <v>3452</v>
      </c>
      <c r="I49" s="5" t="str">
        <f aca="false">"1 −（IF_FullCost_Sol − IF_AmortBU_Sol）÷ IF_PriceRef_Sol：推論算力計入營業成本、訓練計入研發（不含攤提）。理論毛利率是 SLO 下單一層級滿載、基準利用率的上限；與 2025 隱含值約 "&amp;IF(ISNUMBER(M49),TEXT(M49,"0%"),"—")&amp;" 的差距，與「兩路線差約 "&amp;IF(ISNUMBER(D69),TEXT(D69,"0.0"),"—")&amp;" 倍」同源（物理產能上限 對 實際營運），屬預期，不調整輸入。E＝高成本欄、F＝低成本欄"</f>
        <v>1 −（IF_FullCost_Sol − IF_AmortBU_Sol）÷ IF_PriceRef_Sol：推論算力計入營業成本、訓練計入研發（不含攤提）。理論毛利率是 SLO 下單一層級滿載、基準利用率的上限；與 2025 隱含值約 36% 的差距，與「兩路線差約 7.3 倍」同源（物理產能上限 對 實際營運），屬預期，不調整輸入。E＝高成本欄、F＝低成本欄</v>
      </c>
      <c r="J49" s="5" t="s">
        <v>3453</v>
      </c>
      <c r="K49" s="5" t="s">
        <v>3388</v>
      </c>
      <c r="L49" s="62" t="s">
        <v>3454</v>
      </c>
      <c r="M49" s="94" t="n">
        <f aca="false">1-SRC_DEM_004/SRC_DEM_007</f>
        <v>0.357306809487376</v>
      </c>
      <c r="N49" s="94" t="n">
        <f aca="false">1-SRC_DEM_004/SRC_DEM_007</f>
        <v>0.357306809487376</v>
      </c>
      <c r="O49" s="77" t="n">
        <f aca="false">IF(AND(ISNUMBER(D49),ISNUMBER(M49),ISNUMBER(N49)),D49/((M49+N49)/2),"—")</f>
        <v>2.6873746937233</v>
      </c>
      <c r="P49" s="61" t="str">
        <f aca="false">IF(ISNUMBER(D49),IF(AND(ISNUMBER(M49),ISNUMBER(N49)),IF(M49=N49,IF(ABS(D49/M49-1)&lt;=0.2,"±20% 內","差距 &gt;20%"),IF(D49&lt;M49,"低於外部區間",IF(D49&gt;N49,"高於外部區間","落在外部區間"))),"無外部對照"),"推算值非數字（本情境）")</f>
        <v>差距 &gt;20%</v>
      </c>
      <c r="Q49" s="62" t="s">
        <v>3449</v>
      </c>
      <c r="R49" s="62" t="s">
        <v>3455</v>
      </c>
      <c r="S49" s="5" t="s">
        <v>3456</v>
      </c>
      <c r="T49" s="60" t="s">
        <v>3169</v>
      </c>
      <c r="U49" s="93" t="s">
        <v>3382</v>
      </c>
      <c r="V49" s="74" t="s">
        <v>3457</v>
      </c>
    </row>
    <row r="50" customFormat="false" ht="69.4" hidden="false" customHeight="false" outlineLevel="0" collapsed="false">
      <c r="A50" s="62" t="s">
        <v>3458</v>
      </c>
      <c r="B50" s="5" t="s">
        <v>3459</v>
      </c>
      <c r="C50" s="6" t="s">
        <v>3451</v>
      </c>
      <c r="D50" s="125" t="n">
        <f aca="false">IF(AND(ISNUMBER(IF_PriceRef_Sol),ISNUMBER(INDEX(IF_FullCostDefault_Sol,1,11))),1-INDEX(IF_FullCostDefault_Sol,1,11)/IF_PriceRef_Sol,"—")</f>
        <v>0.929445151757729</v>
      </c>
      <c r="E50" s="116" t="n">
        <f aca="false">IF(AND(ISNUMBER(IF_PriceRef_Sol),ISNUMBER(INDEX(IF_FullCostDefault_Sol,1,12))),1-INDEX(IF_FullCostDefault_Sol,1,12)/IF_PriceRef_Sol,"—")</f>
        <v>0.886032114430712</v>
      </c>
      <c r="F50" s="116" t="n">
        <f aca="false">IF(AND(ISNUMBER(IF_PriceRef_Sol),ISNUMBER(INDEX(IF_FullCostDefault_Sol,1,10))),1-INDEX(IF_FullCostDefault_Sol,1,10)/IF_PriceRef_Sol,"—")</f>
        <v>0.945098870959711</v>
      </c>
      <c r="G50" s="62" t="s">
        <v>113</v>
      </c>
      <c r="H50" s="5" t="s">
        <v>3452</v>
      </c>
      <c r="I50" s="6" t="s">
        <v>3460</v>
      </c>
      <c r="J50" s="5" t="s">
        <v>3461</v>
      </c>
      <c r="K50" s="5" t="s">
        <v>3388</v>
      </c>
      <c r="L50" s="62" t="s">
        <v>751</v>
      </c>
      <c r="M50" s="116" t="s">
        <v>751</v>
      </c>
      <c r="N50" s="116" t="s">
        <v>751</v>
      </c>
      <c r="O50" s="77"/>
      <c r="P50" s="61" t="str">
        <f aca="false">IF(ISNUMBER(D50),IF(AND(ISNUMBER(M50),ISNUMBER(N50)),IF(M50=N50,IF(ABS(D50/M50-1)&lt;=0.2,"±20% 內","差距 &gt;20%"),IF(D50&lt;M50,"低於外部區間",IF(D50&gt;N50,"高於外部區間","落在外部區間"))),"無外部對照"),"推算值非數字（本情境）")</f>
        <v>無外部對照</v>
      </c>
      <c r="Q50" s="62" t="s">
        <v>3458</v>
      </c>
      <c r="R50" s="62" t="s">
        <v>3462</v>
      </c>
      <c r="S50" s="6" t="s">
        <v>751</v>
      </c>
      <c r="T50" s="60" t="s">
        <v>3169</v>
      </c>
      <c r="U50" s="93" t="s">
        <v>3382</v>
      </c>
    </row>
    <row r="51" customFormat="false" ht="44" hidden="false" customHeight="false" outlineLevel="0" collapsed="false">
      <c r="A51" s="62" t="s">
        <v>3463</v>
      </c>
      <c r="B51" s="5" t="s">
        <v>3464</v>
      </c>
      <c r="C51" s="5" t="s">
        <v>3392</v>
      </c>
      <c r="D51" s="125" t="n">
        <f aca="false">INDEX(IF_PostShareGPUh_Sol,1,AL_TrainCol)</f>
        <v>0.282310936548276</v>
      </c>
      <c r="E51" s="116" t="n">
        <f aca="false">INDEX(IF_PostShareGPUh_Sol,1,AL_TrainCol)</f>
        <v>0.282310936548276</v>
      </c>
      <c r="F51" s="116" t="n">
        <f aca="false">INDEX(IF_PostShareGPUh_Sol,1,AL_TrainCol)</f>
        <v>0.282310936548276</v>
      </c>
      <c r="G51" s="62" t="s">
        <v>113</v>
      </c>
      <c r="H51" s="5" t="s">
        <v>3393</v>
      </c>
      <c r="I51" s="6" t="s">
        <v>3465</v>
      </c>
      <c r="J51" s="6" t="s">
        <v>3395</v>
      </c>
      <c r="K51" s="6" t="s">
        <v>3298</v>
      </c>
      <c r="L51" s="62" t="s">
        <v>751</v>
      </c>
      <c r="M51" s="116" t="s">
        <v>751</v>
      </c>
      <c r="N51" s="116" t="s">
        <v>751</v>
      </c>
      <c r="O51" s="77"/>
      <c r="P51" s="61" t="str">
        <f aca="false">IF(ISNUMBER(D51),IF(AND(ISNUMBER(M51),ISNUMBER(N51)),IF(M51=N51,IF(ABS(D51/M51-1)&lt;=0.2,"±20% 內","差距 &gt;20%"),IF(D51&lt;M51,"低於外部區間",IF(D51&gt;N51,"高於外部區間","落在外部區間"))),"無外部對照"),"推算值非數字（本情境）")</f>
        <v>無外部對照</v>
      </c>
      <c r="Q51" s="62" t="s">
        <v>3463</v>
      </c>
      <c r="R51" s="62" t="s">
        <v>3396</v>
      </c>
      <c r="S51" s="6" t="s">
        <v>751</v>
      </c>
      <c r="T51" s="60" t="s">
        <v>3169</v>
      </c>
      <c r="U51" s="93" t="s">
        <v>3382</v>
      </c>
    </row>
    <row r="52" customFormat="false" ht="171.6" hidden="false" customHeight="false" outlineLevel="0" collapsed="false">
      <c r="A52" s="62" t="s">
        <v>3466</v>
      </c>
      <c r="B52" s="5" t="s">
        <v>3467</v>
      </c>
      <c r="C52" s="6" t="s">
        <v>3468</v>
      </c>
      <c r="D52" s="125" t="n">
        <f aca="false">IF(ISNUMBER(INDEX(IF_RevGWFleet,1,11)),INDEX(IF_HoldEcon,1,11)/(INDEX(IF_RevGWFleet,1,11)/IF_Util),AL_UnavailTxt)</f>
        <v>0.111203258023786</v>
      </c>
      <c r="E52" s="116" t="n">
        <f aca="false">IF(ISNUMBER(INDEX(IF_RevGWFleet,1,10)),INDEX(IF_HoldEcon,1,10)/(INDEX(IF_RevGWFleet,1,10)/IF_Util),AL_UnavailTxt)</f>
        <v>0.0865221424617014</v>
      </c>
      <c r="F52" s="116" t="n">
        <f aca="false">IF(ISNUMBER(INDEX(IF_RevGWFleet,1,12)),INDEX(IF_HoldEcon,1,12)/(INDEX(IF_RevGWFleet,1,12)/IF_Util),AL_UnavailTxt)</f>
        <v>0.179652306926716</v>
      </c>
      <c r="G52" s="62" t="s">
        <v>118</v>
      </c>
      <c r="H52" s="5" t="s">
        <v>3164</v>
      </c>
      <c r="I52" s="5" t="str">
        <f aca="false">"100% 口徑的機隊營收乘以本乘積即等於持有成本；基準 "&amp;IF(ISNUMBER(D52),TEXT(D52,"0.000"),"—")&amp;"（現值；v5.25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讀後者"</f>
        <v>100% 口徑的機隊營收乘以本乘積即等於持有成本；基準 0.111（現值；v5.25 當時約 0.157）。E＝低成本欄、F＝高成本欄。v7.0 起本列維持 _Util 層（未乘生產折減）；L1_FleetMargin 以重解比 L1_FleetProdRatio 代入生產折減。v8.0 L4：維持 VR200 截面（Checks K4 比對的恆等式、契約內已列）；2025 機隊口徑見 L1_FleetBreakeven2025，所需 L 讀後者</v>
      </c>
      <c r="J52" s="5" t="s">
        <v>3469</v>
      </c>
      <c r="K52" s="5" t="s">
        <v>3470</v>
      </c>
      <c r="L52" s="62" t="s">
        <v>751</v>
      </c>
      <c r="M52" s="116" t="s">
        <v>751</v>
      </c>
      <c r="N52" s="116" t="s">
        <v>751</v>
      </c>
      <c r="O52" s="77"/>
      <c r="P52" s="61" t="str">
        <f aca="false">IF(ISNUMBER(D52),IF(AND(ISNUMBER(M52),ISNUMBER(N52)),IF(M52=N52,IF(ABS(D52/M52-1)&lt;=0.2,"±20% 內","差距 &gt;20%"),IF(D52&lt;M52,"低於外部區間",IF(D52&gt;N52,"高於外部區間","落在外部區間"))),"無外部對照"),"推算值非數字（本情境）")</f>
        <v>無外部對照</v>
      </c>
      <c r="Q52" s="62" t="s">
        <v>3466</v>
      </c>
      <c r="R52" s="62" t="s">
        <v>3471</v>
      </c>
      <c r="S52" s="6" t="s">
        <v>751</v>
      </c>
      <c r="T52" s="60" t="s">
        <v>3302</v>
      </c>
      <c r="U52" s="93" t="s">
        <v>3472</v>
      </c>
    </row>
    <row r="53" customFormat="false" ht="154.45" hidden="false" customHeight="false" outlineLevel="0" collapsed="false">
      <c r="A53" s="62" t="s">
        <v>3473</v>
      </c>
      <c r="B53" s="5" t="s">
        <v>3474</v>
      </c>
      <c r="C53" s="6" t="s">
        <v>3475</v>
      </c>
      <c r="D53" s="125" t="n">
        <f aca="false">IF(AND(ISNUMBER(L1_FleetBreakeven),ISNUMBER(L1_FleetProdRatio)),IF_Util*L1_FleetProdRatio*CTL_PriceLife*CTL_Monetize/L1_FleetBreakeven,AL_UnavailTxt)</f>
        <v>4.34781356306532</v>
      </c>
      <c r="E53" s="116" t="n">
        <f aca="false">IF(AND(ISNUMBER(L1_FleetBreakeven_Hi),ISNUMBER(L1_FleetProdRatio_Hi)),IF_Util*L1_FleetProdRatio_Hi*CTL_PriceLife*CTL_Monetize/L1_FleetBreakeven_Hi,AL_UnavailTxt)</f>
        <v>2.69125981048545</v>
      </c>
      <c r="F53" s="116" t="n">
        <f aca="false">IF(AND(ISNUMBER(L1_FleetBreakeven_Lo),ISNUMBER(L1_FleetProdRatio_Lo)),IF_Util*L1_FleetProdRatio_Lo*CTL_PriceLife*CTL_Monetize/L1_FleetBreakeven_Lo,AL_UnavailTxt)</f>
        <v>5.5880612723718</v>
      </c>
      <c r="G53" s="62" t="s">
        <v>118</v>
      </c>
      <c r="H53" s="5" t="s">
        <v>3476</v>
      </c>
      <c r="I53" s="5" t="s">
        <v>3477</v>
      </c>
      <c r="J53" s="5" t="s">
        <v>3478</v>
      </c>
      <c r="K53" s="5" t="s">
        <v>3479</v>
      </c>
      <c r="L53" s="62" t="s">
        <v>751</v>
      </c>
      <c r="M53" s="116" t="s">
        <v>751</v>
      </c>
      <c r="N53" s="116" t="s">
        <v>751</v>
      </c>
      <c r="O53" s="77"/>
      <c r="P53" s="61" t="str">
        <f aca="false">IF(ISNUMBER(D53),IF(AND(ISNUMBER(M53),ISNUMBER(N53)),IF(M53=N53,IF(ABS(D53/M53-1)&lt;=0.2,"±20% 內","差距 &gt;20%"),IF(D53&lt;M53,"低於外部區間",IF(D53&gt;N53,"高於外部區間","落在外部區間"))),"無外部對照"),"推算值非數字（本情境）")</f>
        <v>無外部對照</v>
      </c>
      <c r="Q53" s="62" t="s">
        <v>3473</v>
      </c>
      <c r="R53" s="62" t="s">
        <v>3480</v>
      </c>
      <c r="S53" s="5" t="s">
        <v>3481</v>
      </c>
      <c r="T53" s="60" t="s">
        <v>3169</v>
      </c>
      <c r="U53" s="93" t="s">
        <v>3482</v>
      </c>
    </row>
    <row r="54" customFormat="false" ht="44" hidden="false" customHeight="false" outlineLevel="0" collapsed="false">
      <c r="A54" s="62" t="s">
        <v>3483</v>
      </c>
      <c r="B54" s="5" t="s">
        <v>3484</v>
      </c>
      <c r="C54" s="5" t="s">
        <v>3485</v>
      </c>
      <c r="D54" s="125" t="n">
        <f aca="false">L1_HoldEconGW_Hopper</f>
        <v>9.70308728611469</v>
      </c>
      <c r="E54" s="116" t="n">
        <f aca="false">L1_HoldEconGW_Hopper_Lo</f>
        <v>6.79107465326444</v>
      </c>
      <c r="F54" s="116" t="n">
        <f aca="false">L1_HoldEconGW_Hopper_Hi</f>
        <v>16.6637697337026</v>
      </c>
      <c r="G54" s="62" t="s">
        <v>3486</v>
      </c>
      <c r="H54" s="5" t="s">
        <v>3164</v>
      </c>
      <c r="I54" s="5" t="s">
        <v>3487</v>
      </c>
      <c r="J54" s="6" t="s">
        <v>3488</v>
      </c>
      <c r="K54" s="5" t="s">
        <v>3204</v>
      </c>
      <c r="L54" s="62" t="s">
        <v>751</v>
      </c>
      <c r="M54" s="116" t="s">
        <v>751</v>
      </c>
      <c r="N54" s="116" t="s">
        <v>751</v>
      </c>
      <c r="O54" s="77"/>
      <c r="P54" s="61" t="str">
        <f aca="false">IF(ISNUMBER(D54),IF(AND(ISNUMBER(M54),ISNUMBER(N54)),IF(M54=N54,IF(ABS(D54/M54-1)&lt;=0.2,"±20% 內","差距 &gt;20%"),IF(D54&lt;M54,"低於外部區間",IF(D54&gt;N54,"高於外部區間","落在外部區間"))),"無外部對照"),"推算值非數字（本情境）")</f>
        <v>無外部對照</v>
      </c>
      <c r="Q54" s="62" t="s">
        <v>3483</v>
      </c>
      <c r="R54" s="62" t="s">
        <v>3489</v>
      </c>
      <c r="S54" s="6" t="s">
        <v>751</v>
      </c>
      <c r="T54" s="60" t="s">
        <v>3322</v>
      </c>
      <c r="U54" s="93" t="s">
        <v>3490</v>
      </c>
    </row>
    <row r="55" customFormat="false" ht="44" hidden="false" customHeight="false" outlineLevel="0" collapsed="false">
      <c r="A55" s="62" t="s">
        <v>3491</v>
      </c>
      <c r="B55" s="5" t="s">
        <v>3492</v>
      </c>
      <c r="C55" s="5" t="s">
        <v>3485</v>
      </c>
      <c r="D55" s="125" t="n">
        <f aca="false">L1_HoldEconGW_GB200</f>
        <v>8.82816556596761</v>
      </c>
      <c r="E55" s="116" t="n">
        <f aca="false">L1_HoldEconGW_GB200_Lo</f>
        <v>6.6118162762144</v>
      </c>
      <c r="F55" s="116" t="n">
        <f aca="false">L1_HoldEconGW_GB200_Hi</f>
        <v>14.3185748619737</v>
      </c>
      <c r="G55" s="62" t="s">
        <v>3486</v>
      </c>
      <c r="H55" s="5" t="s">
        <v>3164</v>
      </c>
      <c r="I55" s="5" t="s">
        <v>3487</v>
      </c>
      <c r="J55" s="6" t="s">
        <v>3488</v>
      </c>
      <c r="K55" s="5" t="s">
        <v>3204</v>
      </c>
      <c r="L55" s="62" t="s">
        <v>751</v>
      </c>
      <c r="M55" s="116" t="s">
        <v>751</v>
      </c>
      <c r="N55" s="116" t="s">
        <v>751</v>
      </c>
      <c r="O55" s="77"/>
      <c r="P55" s="61" t="str">
        <f aca="false">IF(ISNUMBER(D55),IF(AND(ISNUMBER(M55),ISNUMBER(N55)),IF(M55=N55,IF(ABS(D55/M55-1)&lt;=0.2,"±20% 內","差距 &gt;20%"),IF(D55&lt;M55,"低於外部區間",IF(D55&gt;N55,"高於外部區間","落在外部區間"))),"無外部對照"),"推算值非數字（本情境）")</f>
        <v>無外部對照</v>
      </c>
      <c r="Q55" s="62" t="s">
        <v>3491</v>
      </c>
      <c r="R55" s="62" t="s">
        <v>3489</v>
      </c>
      <c r="S55" s="6" t="s">
        <v>751</v>
      </c>
      <c r="T55" s="60" t="s">
        <v>3322</v>
      </c>
      <c r="U55" s="93" t="s">
        <v>3490</v>
      </c>
    </row>
    <row r="56" customFormat="false" ht="100.7" hidden="false" customHeight="false" outlineLevel="0" collapsed="false">
      <c r="A56" s="62" t="s">
        <v>3493</v>
      </c>
      <c r="B56" s="5" t="s">
        <v>3494</v>
      </c>
      <c r="C56" s="5" t="s">
        <v>3485</v>
      </c>
      <c r="D56" s="125" t="n">
        <f aca="false">L1_HoldEconGW_GB300</f>
        <v>10.8864110021101</v>
      </c>
      <c r="E56" s="116" t="n">
        <f aca="false">L1_HoldEconGW_GB300_Lo</f>
        <v>8.42889912085495</v>
      </c>
      <c r="F56" s="116" t="n">
        <f aca="false">L1_HoldEconGW_GB300_Hi</f>
        <v>18.5346455040469</v>
      </c>
      <c r="G56" s="62" t="s">
        <v>3486</v>
      </c>
      <c r="H56" s="5" t="s">
        <v>3164</v>
      </c>
      <c r="I56" s="5" t="s">
        <v>3495</v>
      </c>
      <c r="J56" s="6" t="s">
        <v>3488</v>
      </c>
      <c r="K56" s="5" t="s">
        <v>3204</v>
      </c>
      <c r="L56" s="62" t="s">
        <v>751</v>
      </c>
      <c r="M56" s="116" t="s">
        <v>751</v>
      </c>
      <c r="N56" s="116" t="s">
        <v>751</v>
      </c>
      <c r="O56" s="77"/>
      <c r="P56" s="61" t="str">
        <f aca="false">IF(ISNUMBER(D56),IF(AND(ISNUMBER(M56),ISNUMBER(N56)),IF(M56=N56,IF(ABS(D56/M56-1)&lt;=0.2,"±20% 內","差距 &gt;20%"),IF(D56&lt;M56,"低於外部區間",IF(D56&gt;N56,"高於外部區間","落在外部區間"))),"無外部對照"),"推算值非數字（本情境）")</f>
        <v>無外部對照</v>
      </c>
      <c r="Q56" s="62" t="s">
        <v>3493</v>
      </c>
      <c r="R56" s="62" t="s">
        <v>3489</v>
      </c>
      <c r="S56" s="5" t="s">
        <v>3496</v>
      </c>
      <c r="T56" s="60" t="s">
        <v>3322</v>
      </c>
      <c r="U56" s="93" t="s">
        <v>3490</v>
      </c>
    </row>
    <row r="57" customFormat="false" ht="44" hidden="false" customHeight="false" outlineLevel="0" collapsed="false">
      <c r="A57" s="62" t="s">
        <v>3497</v>
      </c>
      <c r="B57" s="5" t="s">
        <v>3498</v>
      </c>
      <c r="C57" s="5" t="s">
        <v>3485</v>
      </c>
      <c r="D57" s="125" t="n">
        <f aca="false">L1_HoldEconGW_VR200</f>
        <v>12.2254710045841</v>
      </c>
      <c r="E57" s="116" t="n">
        <f aca="false">L1_HoldEconGW_VR200_Lo</f>
        <v>9.51207691858967</v>
      </c>
      <c r="F57" s="116" t="n">
        <f aca="false">L1_HoldEconGW_VR200_Hi</f>
        <v>19.7506269894487</v>
      </c>
      <c r="G57" s="62" t="s">
        <v>3486</v>
      </c>
      <c r="H57" s="5" t="s">
        <v>3164</v>
      </c>
      <c r="I57" s="5" t="s">
        <v>3487</v>
      </c>
      <c r="J57" s="6" t="s">
        <v>3488</v>
      </c>
      <c r="K57" s="5" t="s">
        <v>3204</v>
      </c>
      <c r="L57" s="62" t="s">
        <v>751</v>
      </c>
      <c r="M57" s="116" t="s">
        <v>751</v>
      </c>
      <c r="N57" s="116" t="s">
        <v>751</v>
      </c>
      <c r="O57" s="77"/>
      <c r="P57" s="61" t="str">
        <f aca="false">IF(ISNUMBER(D57),IF(AND(ISNUMBER(M57),ISNUMBER(N57)),IF(M57=N57,IF(ABS(D57/M57-1)&lt;=0.2,"±20% 內","差距 &gt;20%"),IF(D57&lt;M57,"低於外部區間",IF(D57&gt;N57,"高於外部區間","落在外部區間"))),"無外部對照"),"推算值非數字（本情境）")</f>
        <v>無外部對照</v>
      </c>
      <c r="Q57" s="62" t="s">
        <v>3497</v>
      </c>
      <c r="R57" s="62" t="s">
        <v>3489</v>
      </c>
      <c r="S57" s="6" t="s">
        <v>751</v>
      </c>
      <c r="T57" s="60" t="s">
        <v>3322</v>
      </c>
      <c r="U57" s="93" t="s">
        <v>3490</v>
      </c>
    </row>
    <row r="58" customFormat="false" ht="69.4" hidden="false" customHeight="false" outlineLevel="0" collapsed="false">
      <c r="A58" s="62" t="s">
        <v>3499</v>
      </c>
      <c r="B58" s="5" t="s">
        <v>3500</v>
      </c>
      <c r="C58" s="5" t="s">
        <v>3501</v>
      </c>
      <c r="D58" s="125" t="n">
        <f aca="false">IF(ISNUMBER(INDEX(IF_TokGW_Sol,1,2)),IF(INDEX(IF_TokGW_Sol,1,2)&gt;0,INDEX(IF_TokGW_Sol,1,5)/INDEX(IF_TokGW_Sol,1,2),AL_UnavailTxt),AL_UnavailTxt)</f>
        <v>4.33616154417557</v>
      </c>
      <c r="E58" s="116" t="n">
        <f aca="false">IF(ISNUMBER(INDEX(IF_TokGW_Sol,1,2)),IF(INDEX(IF_TokGW_Sol,1,2)&gt;0,INDEX(IF_TokGW_Sol,1,5)/INDEX(IF_TokGW_Sol,1,2),AL_UnavailTxt),AL_UnavailTxt)</f>
        <v>4.33616154417557</v>
      </c>
      <c r="F58" s="116" t="n">
        <f aca="false">IF(ISNUMBER(INDEX(IF_TokGW_Sol,1,2)),IF(INDEX(IF_TokGW_Sol,1,2)&gt;0,INDEX(IF_TokGW_Sol,1,5)/INDEX(IF_TokGW_Sol,1,2),AL_UnavailTxt),AL_UnavailTxt)</f>
        <v>4.33616154417557</v>
      </c>
      <c r="G58" s="62" t="s">
        <v>118</v>
      </c>
      <c r="H58" s="5" t="s">
        <v>3502</v>
      </c>
      <c r="I58" s="5" t="s">
        <v>3503</v>
      </c>
      <c r="J58" s="6" t="s">
        <v>3504</v>
      </c>
      <c r="K58" s="6" t="s">
        <v>3505</v>
      </c>
      <c r="L58" s="62" t="s">
        <v>751</v>
      </c>
      <c r="M58" s="116" t="s">
        <v>751</v>
      </c>
      <c r="N58" s="116" t="s">
        <v>751</v>
      </c>
      <c r="O58" s="77"/>
      <c r="P58" s="61" t="str">
        <f aca="false">IF(ISNUMBER(D58),IF(AND(ISNUMBER(M58),ISNUMBER(N58)),IF(M58=N58,IF(ABS(D58/M58-1)&lt;=0.2,"±20% 內","差距 &gt;20%"),IF(D58&lt;M58,"低於外部區間",IF(D58&gt;N58,"高於外部區間","落在外部區間"))),"無外部對照"),"推算值非數字（本情境）")</f>
        <v>無外部對照</v>
      </c>
      <c r="Q58" s="62" t="s">
        <v>3499</v>
      </c>
      <c r="R58" s="62" t="s">
        <v>3506</v>
      </c>
      <c r="S58" s="6" t="s">
        <v>3507</v>
      </c>
      <c r="T58" s="60" t="s">
        <v>3169</v>
      </c>
      <c r="U58" s="93" t="s">
        <v>3508</v>
      </c>
    </row>
    <row r="59" customFormat="false" ht="72.35" hidden="false" customHeight="false" outlineLevel="0" collapsed="false">
      <c r="A59" s="62" t="s">
        <v>3509</v>
      </c>
      <c r="B59" s="5" t="s">
        <v>3510</v>
      </c>
      <c r="C59" s="5" t="s">
        <v>3501</v>
      </c>
      <c r="D59" s="125" t="n">
        <f aca="false">IF(ISNUMBER(INDEX(IF_TokGW_Sol,1,5)),IF(INDEX(IF_TokGW_Sol,1,5)&gt;0,INDEX(IF_TokGW_Sol,1,8)/INDEX(IF_TokGW_Sol,1,5),AL_UnavailTxt),AL_UnavailTxt)</f>
        <v>1.45587602238485</v>
      </c>
      <c r="E59" s="116" t="n">
        <f aca="false">IF(ISNUMBER(INDEX(IF_TokGW_Sol,1,5)),IF(INDEX(IF_TokGW_Sol,1,5)&gt;0,INDEX(IF_TokGW_Sol,1,8)/INDEX(IF_TokGW_Sol,1,5),AL_UnavailTxt),AL_UnavailTxt)</f>
        <v>1.45587602238485</v>
      </c>
      <c r="F59" s="116" t="n">
        <f aca="false">IF(ISNUMBER(INDEX(IF_TokGW_Sol,1,5)),IF(INDEX(IF_TokGW_Sol,1,5)&gt;0,INDEX(IF_TokGW_Sol,1,8)/INDEX(IF_TokGW_Sol,1,5),AL_UnavailTxt),AL_UnavailTxt)</f>
        <v>1.45587602238485</v>
      </c>
      <c r="G59" s="62" t="s">
        <v>118</v>
      </c>
      <c r="H59" s="5" t="s">
        <v>3502</v>
      </c>
      <c r="I59" s="5" t="s">
        <v>3503</v>
      </c>
      <c r="J59" s="6" t="s">
        <v>3504</v>
      </c>
      <c r="K59" s="6" t="s">
        <v>3505</v>
      </c>
      <c r="L59" s="62" t="s">
        <v>3511</v>
      </c>
      <c r="M59" s="94" t="n">
        <f aca="false">SRC_PERF_024/SRC_PERF_025</f>
        <v>1.04292645577943</v>
      </c>
      <c r="N59" s="94" t="n">
        <f aca="false">SRC_PERF_024/SRC_PERF_025</f>
        <v>1.04292645577943</v>
      </c>
      <c r="O59" s="77" t="n">
        <f aca="false">IF(AND(ISNUMBER(D59),ISNUMBER(M59),ISNUMBER(N59)),D59/((M59+N59)/2),"—")</f>
        <v>1.39595271969279</v>
      </c>
      <c r="P59" s="61" t="str">
        <f aca="false">IF(ISNUMBER(D59),IF(AND(ISNUMBER(M59),ISNUMBER(N59)),IF(M59=N59,IF(ABS(D59/M59-1)&lt;=0.2,"±20% 內","差距 &gt;20%"),IF(D59&lt;M59,"低於外部區間",IF(D59&gt;N59,"高於外部區間","落在外部區間"))),"無外部對照"),"推算值非數字（本情境）")</f>
        <v>差距 &gt;20%</v>
      </c>
      <c r="Q59" s="62" t="s">
        <v>3509</v>
      </c>
      <c r="R59" s="62" t="s">
        <v>3506</v>
      </c>
      <c r="S59" s="5" t="s">
        <v>3512</v>
      </c>
      <c r="T59" s="60" t="s">
        <v>3169</v>
      </c>
      <c r="U59" s="93" t="s">
        <v>3508</v>
      </c>
      <c r="V59" s="74" t="s">
        <v>3513</v>
      </c>
    </row>
    <row r="60" customFormat="false" ht="72.35" hidden="false" customHeight="false" outlineLevel="0" collapsed="false">
      <c r="A60" s="62" t="s">
        <v>3514</v>
      </c>
      <c r="B60" s="5" t="s">
        <v>3515</v>
      </c>
      <c r="C60" s="5" t="s">
        <v>3501</v>
      </c>
      <c r="D60" s="125" t="n">
        <f aca="false">IF(ISNUMBER(INDEX(IF_TokGW_Sol,1,8)),IF(INDEX(IF_TokGW_Sol,1,8)&gt;0,INDEX(IF_TokGW_Sol,1,11)/INDEX(IF_TokGW_Sol,1,8),AL_UnavailTxt),AL_UnavailTxt)</f>
        <v>1.50227667238619</v>
      </c>
      <c r="E60" s="94" t="n">
        <f aca="false">IF(ISNUMBER(Sens_Perf!$F$98),IF(Sens_Perf!$F$98&gt;0,Sens_Perf!$E$98/Sens_Perf!$F$98,AL_UnavailTxt),AL_UnavailTxt)</f>
        <v>0.823341041860226</v>
      </c>
      <c r="F60" s="94" t="n">
        <f aca="false">IF(ISNUMBER(Sens_Perf!$H$98),IF(Sens_Perf!$H$98&gt;0,Sens_Perf!$G$98/Sens_Perf!$H$98,AL_UnavailTxt),AL_UnavailTxt)</f>
        <v>2.07173470422836</v>
      </c>
      <c r="G60" s="62" t="s">
        <v>118</v>
      </c>
      <c r="H60" s="6" t="s">
        <v>3516</v>
      </c>
      <c r="I60" s="5" t="s">
        <v>3503</v>
      </c>
      <c r="J60" s="6" t="s">
        <v>3504</v>
      </c>
      <c r="K60" s="6" t="s">
        <v>3505</v>
      </c>
      <c r="L60" s="62" t="s">
        <v>3517</v>
      </c>
      <c r="M60" s="94" t="n">
        <f aca="false">SRC_PERF_027/SRC_PERF_028</f>
        <v>2.5748897461993</v>
      </c>
      <c r="N60" s="94" t="n">
        <f aca="false">SRC_PERF_027/SRC_PERF_028</f>
        <v>2.5748897461993</v>
      </c>
      <c r="O60" s="77" t="n">
        <f aca="false">IF(AND(ISNUMBER(D60),ISNUMBER(M60),ISNUMBER(N60)),D60/((M60+N60)/2),"—")</f>
        <v>0.583433397334254</v>
      </c>
      <c r="P60" s="61" t="str">
        <f aca="false">IF(ISNUMBER(D60),IF(AND(ISNUMBER(M60),ISNUMBER(N60)),IF(M60=N60,IF(ABS(D60/M60-1)&lt;=0.2,"±20% 內","差距 &gt;20%"),IF(D60&lt;M60,"低於外部區間",IF(D60&gt;N60,"高於外部區間","落在外部區間"))),"無外部對照"),"推算值非數字（本情境）")</f>
        <v>差距 &gt;20%</v>
      </c>
      <c r="Q60" s="62" t="s">
        <v>3514</v>
      </c>
      <c r="R60" s="62" t="s">
        <v>3506</v>
      </c>
      <c r="S60" s="5" t="s">
        <v>3512</v>
      </c>
      <c r="T60" s="60" t="s">
        <v>3169</v>
      </c>
      <c r="U60" s="93" t="s">
        <v>3508</v>
      </c>
      <c r="V60" s="74" t="s">
        <v>3518</v>
      </c>
    </row>
    <row r="61" customFormat="false" ht="44" hidden="false" customHeight="false" outlineLevel="0" collapsed="false">
      <c r="A61" s="62" t="s">
        <v>3519</v>
      </c>
      <c r="B61" s="6" t="s">
        <v>3520</v>
      </c>
      <c r="C61" s="6" t="s">
        <v>3521</v>
      </c>
      <c r="D61" s="125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E61" s="11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F61" s="116" t="n">
        <f aca="false">IF(AND(ISNUMBER(INDEX(IF_HarR_Sol,1,1)),ISNUMBER(INDEX(IF_CostDec_Sol,1,11)),ISNUMBER(INDEX(IF_CostDec_Sol,1,8)),ISNUMBER((INDEX(IF_CostDec_Sol,1,11)/INDEX(IF_CostDec_Sol,1,8))),(INDEX(IF_CostDec_Sol,1,11)/INDEX(IF_CostDec_Sol,1,8))&gt;0),INDEX(IF_HarR_Sol,1,1)/(INDEX(IF_CostDec_Sol,1,11)/INDEX(IF_CostDec_Sol,1,8)),AL_UnavailTxt)</f>
        <v>1.3575208770679</v>
      </c>
      <c r="G61" s="62" t="s">
        <v>118</v>
      </c>
      <c r="H61" s="5" t="s">
        <v>3522</v>
      </c>
      <c r="I61" s="6" t="s">
        <v>3523</v>
      </c>
      <c r="J61" s="6" t="s">
        <v>3524</v>
      </c>
      <c r="K61" s="6" t="s">
        <v>3409</v>
      </c>
      <c r="L61" s="62" t="s">
        <v>3525</v>
      </c>
      <c r="M61" s="94" t="n">
        <f aca="false">SRC_HAR_006/SRC_HAR_004</f>
        <v>0.664112192505173</v>
      </c>
      <c r="N61" s="94" t="n">
        <f aca="false">SRC_HAR_006/SRC_HAR_004</f>
        <v>0.664112192505173</v>
      </c>
      <c r="O61" s="77" t="n">
        <f aca="false">IF(AND(ISNUMBER(D61),ISNUMBER(M61),ISNUMBER(N61)),D61/((M61+N61)/2),"—")</f>
        <v>2.04411376931214</v>
      </c>
      <c r="P61" s="61" t="str">
        <f aca="false">IF(ISNUMBER(D61),IF(AND(ISNUMBER(M61),ISNUMBER(N61)),IF(M61=N61,IF(ABS(D61/M61-1)&lt;=0.2,"±20% 內","差距 &gt;20%"),IF(D61&lt;M61,"低於外部區間",IF(D61&gt;N61,"高於外部區間","落在外部區間"))),"無外部對照"),"推算值非數字（本情境）")</f>
        <v>差距 &gt;20%</v>
      </c>
      <c r="Q61" s="62" t="s">
        <v>3519</v>
      </c>
      <c r="R61" s="62" t="s">
        <v>3526</v>
      </c>
      <c r="S61" s="5" t="s">
        <v>3527</v>
      </c>
      <c r="T61" s="60" t="s">
        <v>3169</v>
      </c>
      <c r="U61" s="93" t="s">
        <v>3508</v>
      </c>
      <c r="V61" s="74" t="s">
        <v>3528</v>
      </c>
    </row>
    <row r="62" customFormat="false" ht="44" hidden="false" customHeight="false" outlineLevel="0" collapsed="false">
      <c r="A62" s="62" t="s">
        <v>3529</v>
      </c>
      <c r="B62" s="6" t="s">
        <v>3530</v>
      </c>
      <c r="C62" s="6" t="s">
        <v>3531</v>
      </c>
      <c r="D62" s="125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E62" s="11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F62" s="116" t="n">
        <f aca="false">IF(AND(ISNUMBER(INDEX(IF_HarR_Sol,1,2)),ISNUMBER(INDEX(IF_CostDec_Sol,1,11)),ISNUMBER(INDEX(IF_CostDec_Sol,1,8)),ISNUMBER((INDEX(IF_CostDec_Sol,1,11)/INDEX(IF_CostDec_Sol,1,8))),(INDEX(IF_CostDec_Sol,1,11)/INDEX(IF_CostDec_Sol,1,8))&gt;0),INDEX(IF_HarR_Sol,1,2)/(INDEX(IF_CostDec_Sol,1,11)/INDEX(IF_CostDec_Sol,1,8)),AL_UnavailTxt)</f>
        <v>1.3575208770679</v>
      </c>
      <c r="G62" s="62" t="s">
        <v>118</v>
      </c>
      <c r="H62" s="5" t="s">
        <v>3522</v>
      </c>
      <c r="I62" s="6" t="s">
        <v>3523</v>
      </c>
      <c r="J62" s="6" t="s">
        <v>3524</v>
      </c>
      <c r="K62" s="6" t="s">
        <v>3409</v>
      </c>
      <c r="L62" s="62" t="s">
        <v>3525</v>
      </c>
      <c r="M62" s="94" t="n">
        <f aca="false">SRC_HAR_006/SRC_HAR_004</f>
        <v>0.664112192505173</v>
      </c>
      <c r="N62" s="94" t="n">
        <f aca="false">SRC_HAR_006/SRC_HAR_004</f>
        <v>0.664112192505173</v>
      </c>
      <c r="O62" s="77" t="n">
        <f aca="false">IF(AND(ISNUMBER(D62),ISNUMBER(M62),ISNUMBER(N62)),D62/((M62+N62)/2),"—")</f>
        <v>2.04411376931214</v>
      </c>
      <c r="P62" s="61" t="str">
        <f aca="false">IF(ISNUMBER(D62),IF(AND(ISNUMBER(M62),ISNUMBER(N62)),IF(M62=N62,IF(ABS(D62/M62-1)&lt;=0.2,"±20% 內","差距 &gt;20%"),IF(D62&lt;M62,"低於外部區間",IF(D62&gt;N62,"高於外部區間","落在外部區間"))),"無外部對照"),"推算值非數字（本情境）")</f>
        <v>差距 &gt;20%</v>
      </c>
      <c r="Q62" s="62" t="s">
        <v>3529</v>
      </c>
      <c r="R62" s="62" t="s">
        <v>3526</v>
      </c>
      <c r="S62" s="5" t="s">
        <v>3527</v>
      </c>
      <c r="T62" s="60" t="s">
        <v>3169</v>
      </c>
      <c r="U62" s="93" t="s">
        <v>3508</v>
      </c>
      <c r="V62" s="74" t="s">
        <v>3532</v>
      </c>
    </row>
    <row r="63" customFormat="false" ht="44" hidden="false" customHeight="false" outlineLevel="0" collapsed="false">
      <c r="A63" s="62" t="s">
        <v>3533</v>
      </c>
      <c r="B63" s="6" t="s">
        <v>3534</v>
      </c>
      <c r="C63" s="6" t="s">
        <v>3535</v>
      </c>
      <c r="D63" s="125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E63" s="11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F63" s="116" t="n">
        <f aca="false">IF(AND(ISNUMBER(INDEX(IF_HarR_Sol,1,3)),ISNUMBER(INDEX(IF_CostDec_Sol,1,11)),ISNUMBER(INDEX(IF_CostDec_Sol,1,8)),ISNUMBER((INDEX(IF_CostDec_Sol,1,11)/INDEX(IF_CostDec_Sol,1,8))),(INDEX(IF_CostDec_Sol,1,11)/INDEX(IF_CostDec_Sol,1,8))&gt;0),INDEX(IF_HarR_Sol,1,3)/(INDEX(IF_CostDec_Sol,1,11)/INDEX(IF_CostDec_Sol,1,8)),AL_UnavailTxt)</f>
        <v>0.823111618656057</v>
      </c>
      <c r="G63" s="62" t="s">
        <v>118</v>
      </c>
      <c r="H63" s="5" t="s">
        <v>3522</v>
      </c>
      <c r="I63" s="6" t="s">
        <v>3523</v>
      </c>
      <c r="J63" s="6" t="s">
        <v>3524</v>
      </c>
      <c r="K63" s="6" t="s">
        <v>3409</v>
      </c>
      <c r="L63" s="62" t="s">
        <v>3525</v>
      </c>
      <c r="M63" s="94" t="n">
        <f aca="false">SRC_HAR_006/SRC_HAR_004</f>
        <v>0.664112192505173</v>
      </c>
      <c r="N63" s="94" t="n">
        <f aca="false">SRC_HAR_006/SRC_HAR_004</f>
        <v>0.664112192505173</v>
      </c>
      <c r="O63" s="77" t="n">
        <f aca="false">IF(AND(ISNUMBER(D63),ISNUMBER(M63),ISNUMBER(N63)),D63/((M63+N63)/2),"—")</f>
        <v>1.23941651417527</v>
      </c>
      <c r="P63" s="61" t="str">
        <f aca="false">IF(ISNUMBER(D63),IF(AND(ISNUMBER(M63),ISNUMBER(N63)),IF(M63=N63,IF(ABS(D63/M63-1)&lt;=0.2,"±20% 內","差距 &gt;20%"),IF(D63&lt;M63,"低於外部區間",IF(D63&gt;N63,"高於外部區間","落在外部區間"))),"無外部對照"),"推算值非數字（本情境）")</f>
        <v>差距 &gt;20%</v>
      </c>
      <c r="Q63" s="62" t="s">
        <v>3533</v>
      </c>
      <c r="R63" s="62" t="s">
        <v>3526</v>
      </c>
      <c r="S63" s="5" t="s">
        <v>3527</v>
      </c>
      <c r="T63" s="60" t="s">
        <v>3169</v>
      </c>
      <c r="U63" s="93" t="s">
        <v>3508</v>
      </c>
      <c r="V63" s="74" t="s">
        <v>3536</v>
      </c>
    </row>
    <row r="64" customFormat="false" ht="44" hidden="false" customHeight="false" outlineLevel="0" collapsed="false">
      <c r="A64" s="62" t="s">
        <v>3537</v>
      </c>
      <c r="B64" s="6" t="s">
        <v>3538</v>
      </c>
      <c r="C64" s="6" t="s">
        <v>3539</v>
      </c>
      <c r="D64" s="125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E64" s="11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F64" s="116" t="n">
        <f aca="false">IF(AND(ISNUMBER(INDEX(IF_HarR_Sol,1,4)),ISNUMBER(INDEX(IF_CostDec_Sol,1,11)),ISNUMBER(INDEX(IF_CostDec_Sol,1,8)),ISNUMBER((INDEX(IF_CostDec_Sol,1,11)/INDEX(IF_CostDec_Sol,1,8))),(INDEX(IF_CostDec_Sol,1,11)/INDEX(IF_CostDec_Sol,1,8))&gt;0),INDEX(IF_HarR_Sol,1,4)/(INDEX(IF_CostDec_Sol,1,11)/INDEX(IF_CostDec_Sol,1,8)),AL_UnavailTxt)</f>
        <v>0.746552791724327</v>
      </c>
      <c r="G64" s="62" t="s">
        <v>118</v>
      </c>
      <c r="H64" s="5" t="s">
        <v>3522</v>
      </c>
      <c r="I64" s="6" t="s">
        <v>3523</v>
      </c>
      <c r="J64" s="6" t="s">
        <v>3524</v>
      </c>
      <c r="K64" s="6" t="s">
        <v>3409</v>
      </c>
      <c r="L64" s="62" t="s">
        <v>3525</v>
      </c>
      <c r="M64" s="94" t="n">
        <f aca="false">SRC_HAR_006/SRC_HAR_004</f>
        <v>0.664112192505173</v>
      </c>
      <c r="N64" s="94" t="n">
        <f aca="false">SRC_HAR_006/SRC_HAR_004</f>
        <v>0.664112192505173</v>
      </c>
      <c r="O64" s="77" t="n">
        <f aca="false">IF(AND(ISNUMBER(D64),ISNUMBER(M64),ISNUMBER(N64)),D64/((M64+N64)/2),"—")</f>
        <v>1.12413655425926</v>
      </c>
      <c r="P64" s="61" t="str">
        <f aca="false">IF(ISNUMBER(D64),IF(AND(ISNUMBER(M64),ISNUMBER(N64)),IF(M64=N64,IF(ABS(D64/M64-1)&lt;=0.2,"±20% 內","差距 &gt;20%"),IF(D64&lt;M64,"低於外部區間",IF(D64&gt;N64,"高於外部區間","落在外部區間"))),"無外部對照"),"推算值非數字（本情境）")</f>
        <v>±20% 內</v>
      </c>
      <c r="Q64" s="62" t="s">
        <v>3537</v>
      </c>
      <c r="R64" s="62" t="s">
        <v>3526</v>
      </c>
      <c r="S64" s="5" t="s">
        <v>3527</v>
      </c>
      <c r="T64" s="60" t="s">
        <v>3169</v>
      </c>
      <c r="U64" s="93" t="s">
        <v>3508</v>
      </c>
      <c r="V64" s="74" t="s">
        <v>3540</v>
      </c>
    </row>
    <row r="65" customFormat="false" ht="44" hidden="false" customHeight="false" outlineLevel="0" collapsed="false">
      <c r="A65" s="62" t="s">
        <v>3541</v>
      </c>
      <c r="B65" s="6" t="s">
        <v>3542</v>
      </c>
      <c r="C65" s="6" t="s">
        <v>3543</v>
      </c>
      <c r="D65" s="125" t="n">
        <f aca="false">IF(AND(ISNUMBER(INDEX(IF_HarR_Sol,1,5)),ISNUMBER(INDEX(IF_CostDec_Sol,1,11)),ISNUMBER(INDEX(IF_CostDec_Sol,1,8)),ISNUMBER((INDEX(IF_CostDec_Sol,1,11)/INDEX(IF_CostDec_Sol,1,8))),(INDEX(IF_CostDec_Sol,1,11)/INDEX(IF_CostDec_Sol,1,8))&gt;0),INDEX(IF_HarR_Sol,1,5)/(INDEX(IF_CostDec_Sol,1,11)/INDEX(IF_CostDec_Sol,1,8)),AL_UnavailTxt)</f>
        <v>0.64900105856673</v>
      </c>
      <c r="E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IN(Sens_Har!$C$33:$S$33)/(INDEX(IF_CostDec_Sol,1,11)/INDEX(IF_CostDec_Sol,1,8)),AL_UnavailTxt)</f>
        <v>0.550894032055282</v>
      </c>
      <c r="F65" s="94" t="n">
        <f aca="false">IF(AND(ISNUMBER(INDEX(IF_HarR_Sol,1,5)),ISNUMBER(INDEX(IF_CostDec_Sol,1,11)),ISNUMBER(INDEX(IF_CostDec_Sol,1,8)),ISNUMBER((INDEX(IF_CostDec_Sol,1,11)/INDEX(IF_CostDec_Sol,1,8))),(INDEX(IF_CostDec_Sol,1,11)/INDEX(IF_CostDec_Sol,1,8))&gt;0),MAX(Sens_Har!$C$33:$S$33)/(INDEX(IF_CostDec_Sol,1,11)/INDEX(IF_CostDec_Sol,1,8)),AL_UnavailTxt)</f>
        <v>1.8282801038242</v>
      </c>
      <c r="G65" s="62" t="s">
        <v>118</v>
      </c>
      <c r="H65" s="6" t="s">
        <v>3544</v>
      </c>
      <c r="I65" s="6" t="s">
        <v>3523</v>
      </c>
      <c r="J65" s="6" t="s">
        <v>3524</v>
      </c>
      <c r="K65" s="6" t="s">
        <v>3409</v>
      </c>
      <c r="L65" s="62" t="s">
        <v>3525</v>
      </c>
      <c r="M65" s="94" t="n">
        <f aca="false">SRC_HAR_006/SRC_HAR_004</f>
        <v>0.664112192505173</v>
      </c>
      <c r="N65" s="94" t="n">
        <f aca="false">SRC_HAR_006/SRC_HAR_004</f>
        <v>0.664112192505173</v>
      </c>
      <c r="O65" s="77" t="n">
        <f aca="false">IF(AND(ISNUMBER(D65),ISNUMBER(M65),ISNUMBER(N65)),D65/((M65+N65)/2),"—")</f>
        <v>0.977246112766819</v>
      </c>
      <c r="P65" s="61" t="str">
        <f aca="false">IF(ISNUMBER(D65),IF(AND(ISNUMBER(M65),ISNUMBER(N65)),IF(M65=N65,IF(ABS(D65/M65-1)&lt;=0.2,"±20% 內","差距 &gt;20%"),IF(D65&lt;M65,"低於外部區間",IF(D65&gt;N65,"高於外部區間","落在外部區間"))),"無外部對照"),"推算值非數字（本情境）")</f>
        <v>±20% 內</v>
      </c>
      <c r="Q65" s="62" t="s">
        <v>3541</v>
      </c>
      <c r="R65" s="62" t="s">
        <v>3526</v>
      </c>
      <c r="S65" s="5" t="s">
        <v>3527</v>
      </c>
      <c r="T65" s="60" t="s">
        <v>3169</v>
      </c>
      <c r="U65" s="93" t="s">
        <v>3508</v>
      </c>
      <c r="V65" s="74" t="s">
        <v>3545</v>
      </c>
    </row>
    <row r="66" customFormat="false" ht="83.55" hidden="false" customHeight="false" outlineLevel="0" collapsed="false">
      <c r="A66" s="62" t="s">
        <v>3546</v>
      </c>
      <c r="B66" s="6" t="s">
        <v>3547</v>
      </c>
      <c r="C66" s="6" t="s">
        <v>3548</v>
      </c>
      <c r="D66" s="125" t="n">
        <f aca="false">SRC_MOD_055</f>
        <v>1.0001E+027</v>
      </c>
      <c r="E66" s="116" t="n">
        <f aca="false">SRC_MOD_055_Lo</f>
        <v>5E+026</v>
      </c>
      <c r="F66" s="116" t="n">
        <f aca="false">SRC_MOD_055_Hi</f>
        <v>2E+027</v>
      </c>
      <c r="G66" s="62" t="s">
        <v>330</v>
      </c>
      <c r="H66" s="6" t="s">
        <v>3549</v>
      </c>
      <c r="I66" s="5" t="s">
        <v>3550</v>
      </c>
      <c r="J66" s="6" t="s">
        <v>3551</v>
      </c>
      <c r="K66" s="6" t="s">
        <v>3552</v>
      </c>
      <c r="L66" s="62" t="s">
        <v>3343</v>
      </c>
      <c r="M66" s="94" t="n">
        <f aca="false">SRC_MOD_055</f>
        <v>1.0001E+027</v>
      </c>
      <c r="N66" s="94" t="n">
        <f aca="false">SRC_MOD_055</f>
        <v>1.0001E+027</v>
      </c>
      <c r="O66" s="77" t="n">
        <f aca="false">IF(AND(ISNUMBER(D66),ISNUMBER(M66),ISNUMBER(N66)),D66/((M66+N66)/2),"—")</f>
        <v>1</v>
      </c>
      <c r="P66" s="61" t="str">
        <f aca="false">IF(ISNUMBER(D66),IF(AND(ISNUMBER(M66),ISNUMBER(N66)),IF(M66=N66,IF(ABS(D66/M66-1)&lt;=0.2,"±20% 內","差距 &gt;20%"),IF(D66&lt;M66,"低於外部區間",IF(D66&gt;N66,"高於外部區間","落在外部區間"))),"無外部對照"),"推算值非數字（本情境）")</f>
        <v>±20% 內</v>
      </c>
      <c r="Q66" s="62" t="s">
        <v>3546</v>
      </c>
      <c r="R66" s="62" t="s">
        <v>3553</v>
      </c>
      <c r="S66" s="6" t="s">
        <v>751</v>
      </c>
      <c r="T66" s="60" t="s">
        <v>3169</v>
      </c>
      <c r="U66" s="93" t="s">
        <v>3554</v>
      </c>
      <c r="V66" s="74" t="s">
        <v>3555</v>
      </c>
    </row>
    <row r="67" customFormat="false" ht="44" hidden="false" customHeight="false" outlineLevel="0" collapsed="false">
      <c r="A67" s="62" t="s">
        <v>3556</v>
      </c>
      <c r="B67" s="6" t="s">
        <v>3557</v>
      </c>
      <c r="C67" s="6" t="s">
        <v>3558</v>
      </c>
      <c r="D67" s="125" t="n">
        <f aca="false">L1_PretrainFLOP_Astra_Ext/L1_PretrainFLOP_Astra</f>
        <v>14.6162424528429</v>
      </c>
      <c r="E67" s="116" t="n">
        <f aca="false">L1_PretrainFLOP_Astra_Ext_Lo/L1_PretrainFLOP_Astra</f>
        <v>7.30739048737272</v>
      </c>
      <c r="F67" s="116" t="n">
        <f aca="false">L1_PretrainFLOP_Astra_Ext_Hi/L1_PretrainFLOP_Astra</f>
        <v>29.2295619494909</v>
      </c>
      <c r="G67" s="62" t="s">
        <v>118</v>
      </c>
      <c r="H67" s="5" t="s">
        <v>3559</v>
      </c>
      <c r="I67" s="5" t="s">
        <v>3560</v>
      </c>
      <c r="J67" s="6" t="s">
        <v>3341</v>
      </c>
      <c r="K67" s="6" t="s">
        <v>3342</v>
      </c>
      <c r="L67" s="62" t="s">
        <v>751</v>
      </c>
      <c r="M67" s="116" t="s">
        <v>751</v>
      </c>
      <c r="N67" s="116" t="s">
        <v>751</v>
      </c>
      <c r="O67" s="77"/>
      <c r="P67" s="61" t="str">
        <f aca="false">IF(ISNUMBER(D67),IF(AND(ISNUMBER(M67),ISNUMBER(N67)),IF(M67=N67,IF(ABS(D67/M67-1)&lt;=0.2,"±20% 內","差距 &gt;20%"),IF(D67&lt;M67,"低於外部區間",IF(D67&gt;N67,"高於外部區間","落在外部區間"))),"無外部對照"),"推算值非數字（本情境）")</f>
        <v>無外部對照</v>
      </c>
      <c r="Q67" s="62" t="s">
        <v>3556</v>
      </c>
      <c r="R67" s="62" t="s">
        <v>3561</v>
      </c>
      <c r="S67" s="6" t="s">
        <v>751</v>
      </c>
      <c r="T67" s="60" t="s">
        <v>3562</v>
      </c>
      <c r="U67" s="93" t="s">
        <v>3563</v>
      </c>
    </row>
    <row r="68" customFormat="false" ht="44" hidden="false" customHeight="false" outlineLevel="0" collapsed="false">
      <c r="A68" s="62" t="s">
        <v>3564</v>
      </c>
      <c r="B68" s="5" t="s">
        <v>3565</v>
      </c>
      <c r="C68" s="6" t="s">
        <v>3566</v>
      </c>
      <c r="D68" s="125" t="n">
        <f aca="false">IF(ISNUMBER(L1_Ans3),SRC_DEM_006/L1_Ans3,"—")</f>
        <v>5.31797780023143</v>
      </c>
      <c r="E68" s="116" t="n">
        <f aca="false">IF(ISNUMBER(L1_Ans3_Hi),SRC_DEM_006/L1_Ans3_Hi,"—")</f>
        <v>0.759711114318776</v>
      </c>
      <c r="F68" s="116" t="n">
        <f aca="false">IF(ISNUMBER(L1_Ans3_Lo),SRC_DEM_006/L1_Ans3_Lo,"—")</f>
        <v>10.6359556004629</v>
      </c>
      <c r="G68" s="62" t="s">
        <v>118</v>
      </c>
      <c r="H68" s="5" t="s">
        <v>3567</v>
      </c>
      <c r="I68" s="5" t="str">
        <f aca="false">"基準 "&amp;IF(ISNUMBER(D68),TEXT(D68,"0.0"),"—")&amp;"（低 "&amp;IF(ISNUMBER(E68),TEXT(E68,"0.00"),"—")&amp;"、高 "&amp;IF(ISNUMBER(F68),TEXT(F68,"0.0"),"—")&amp;"）：兩端同幅度偏小的證據（X13 (c)）；校準用，不得當產能"</f>
        <v>基準 5.3（低 0.76、高 10.6）：兩端同幅度偏小的證據（X13 (c)）；校準用，不得當產能</v>
      </c>
      <c r="J68" s="6" t="s">
        <v>3370</v>
      </c>
      <c r="K68" s="5" t="s">
        <v>3371</v>
      </c>
      <c r="L68" s="62" t="s">
        <v>3568</v>
      </c>
      <c r="M68" s="116" t="s">
        <v>751</v>
      </c>
      <c r="N68" s="116" t="s">
        <v>751</v>
      </c>
      <c r="O68" s="77"/>
      <c r="P68" s="61" t="str">
        <f aca="false">IF(ISNUMBER(D68),IF(AND(ISNUMBER(M68),ISNUMBER(N68)),IF(M68=N68,IF(ABS(D68/M68-1)&lt;=0.2,"±20% 內","差距 &gt;20%"),IF(D68&lt;M68,"低於外部區間",IF(D68&gt;N68,"高於外部區間","落在外部區間"))),"無外部對照"),"推算值非數字（本情境）")</f>
        <v>無外部對照</v>
      </c>
      <c r="Q68" s="62" t="s">
        <v>3564</v>
      </c>
      <c r="R68" s="62" t="s">
        <v>3569</v>
      </c>
      <c r="S68" s="5" t="s">
        <v>3570</v>
      </c>
      <c r="T68" s="60" t="s">
        <v>3562</v>
      </c>
      <c r="U68" s="87" t="s">
        <v>3571</v>
      </c>
    </row>
    <row r="69" customFormat="false" ht="72.35" hidden="false" customHeight="false" outlineLevel="0" collapsed="false">
      <c r="A69" s="62" t="s">
        <v>3572</v>
      </c>
      <c r="B69" s="5" t="s">
        <v>3573</v>
      </c>
      <c r="C69" s="6" t="s">
        <v>3574</v>
      </c>
      <c r="D69" s="125" t="n">
        <f aca="false">IF(AND(ISNUMBER(AL_ServeGW),ISNUMBER(AL_ServeGWSpend)),AL_ServeGWSpend/AL_ServeGW,AL_UnavailTxt)</f>
        <v>7.30647617726111</v>
      </c>
      <c r="E69" s="94" t="n">
        <f aca="false">IF(AND(ISNUMBER(Alloc!$Q$89),ISNUMBER(AL_ServeGWSpend)),AL_ServeGWSpend/Alloc!$Q$89,AL_UnavailTxt)</f>
        <v>4.01992242137463</v>
      </c>
      <c r="F69" s="94" t="n">
        <f aca="false">IF(AND(ISNUMBER(Alloc!$Q$88),ISNUMBER(AL_ServeGWSpend)),AL_ServeGWSpend/Alloc!$Q$88,AL_UnavailTxt)</f>
        <v>9.53338312707887</v>
      </c>
      <c r="G69" s="62" t="s">
        <v>118</v>
      </c>
      <c r="H69" s="5" t="s">
        <v>3575</v>
      </c>
      <c r="I69" s="5" t="str">
        <f aca="false">"＝1 ÷ L1_ExtServeGW 的推算÷外部比值，現值 "&amp;IF(ISNUMBER(D69),TEXT(D69,"0.00"),"—")&amp;"；四項口徑差的乘積 L1_GapProduct 現值 "&amp;IF(ISNUMBER(D74),TEXT(D74,"0.00"),"—")&amp;"，兩者之比的未解釋部分見 L1_GapUnexplained"</f>
        <v>＝1 ÷ L1_ExtServeGW 的推算÷外部比值，現值 7.31；四項口徑差的乘積 L1_GapProduct 現值 1.91，兩者之比的未解釋部分見 L1_GapUnexplained</v>
      </c>
      <c r="J69" s="5" t="s">
        <v>3576</v>
      </c>
      <c r="K69" s="5" t="s">
        <v>3577</v>
      </c>
      <c r="L69" s="62" t="s">
        <v>3578</v>
      </c>
      <c r="M69" s="116" t="s">
        <v>751</v>
      </c>
      <c r="N69" s="116" t="s">
        <v>751</v>
      </c>
      <c r="O69" s="77"/>
      <c r="P69" s="61" t="str">
        <f aca="false">IF(ISNUMBER(D69),IF(AND(ISNUMBER(M69),ISNUMBER(N69)),IF(M69=N69,IF(ABS(D69/M69-1)&lt;=0.2,"±20% 內","差距 &gt;20%"),IF(D69&lt;M69,"低於外部區間",IF(D69&gt;N69,"高於外部區間","落在外部區間"))),"無外部對照"),"推算值非數字（本情境）")</f>
        <v>無外部對照</v>
      </c>
      <c r="Q69" s="62" t="s">
        <v>3572</v>
      </c>
      <c r="R69" s="62" t="s">
        <v>3579</v>
      </c>
      <c r="S69" s="5" t="s">
        <v>3570</v>
      </c>
      <c r="T69" s="60" t="s">
        <v>3562</v>
      </c>
      <c r="U69" s="93" t="s">
        <v>3580</v>
      </c>
    </row>
    <row r="70" customFormat="false" ht="199.95" hidden="false" customHeight="false" outlineLevel="0" collapsed="false">
      <c r="A70" s="62" t="s">
        <v>3581</v>
      </c>
      <c r="B70" s="5" t="s">
        <v>3582</v>
      </c>
      <c r="C70" s="6" t="s">
        <v>3583</v>
      </c>
      <c r="D70" s="124" t="n">
        <f aca="false">Cap_In!$C$251</f>
        <v>1.30478535696157</v>
      </c>
      <c r="E70" s="94" t="n">
        <f aca="false">Cap_In!$D$251</f>
        <v>1</v>
      </c>
      <c r="F70" s="94" t="n">
        <f aca="false">Cap_In!$E$251</f>
        <v>2.37153410632708</v>
      </c>
      <c r="G70" s="62" t="s">
        <v>118</v>
      </c>
      <c r="H70" s="5" t="s">
        <v>3584</v>
      </c>
      <c r="I70" s="5" t="s">
        <v>3585</v>
      </c>
      <c r="J70" s="5" t="s">
        <v>2449</v>
      </c>
      <c r="K70" s="5" t="s">
        <v>3586</v>
      </c>
      <c r="L70" s="62" t="s">
        <v>3587</v>
      </c>
      <c r="M70" s="94" t="n">
        <f aca="false">(SRC_DEM_014+SRC_DEM_015)/CST_TokPerPromptV528</f>
        <v>3.2</v>
      </c>
      <c r="N70" s="94" t="n">
        <f aca="false">(SRC_DEM_014+SRC_DEM_015)/CST_TokPerPromptV528</f>
        <v>3.2</v>
      </c>
      <c r="O70" s="77" t="n">
        <f aca="false">IF(AND(ISNUMBER(D70),ISNUMBER(M70),ISNUMBER(N70)),D70/((M70+N70)/2),"—")</f>
        <v>0.407745424050492</v>
      </c>
      <c r="P70" s="61" t="str">
        <f aca="false">IF(ISNUMBER(D70),IF(AND(ISNUMBER(M70),ISNUMBER(N70)),IF(M70=N70,IF(ABS(D70/M70-1)&lt;=0.2,"±20% 內","差距 &gt;20%"),IF(D70&lt;M70,"低於外部區間",IF(D70&gt;N70,"高於外部區間","落在外部區間"))),"無外部對照"),"推算值非數字（本情境）")</f>
        <v>差距 &gt;20%</v>
      </c>
      <c r="Q70" s="62" t="s">
        <v>3581</v>
      </c>
      <c r="R70" s="62" t="s">
        <v>3588</v>
      </c>
      <c r="S70" s="6" t="s">
        <v>751</v>
      </c>
      <c r="T70" s="60" t="s">
        <v>3169</v>
      </c>
      <c r="U70" s="93" t="s">
        <v>3589</v>
      </c>
      <c r="V70" s="74" t="s">
        <v>3590</v>
      </c>
    </row>
    <row r="71" customFormat="false" ht="157.45" hidden="false" customHeight="false" outlineLevel="0" collapsed="false">
      <c r="A71" s="62" t="s">
        <v>3591</v>
      </c>
      <c r="B71" s="5" t="s">
        <v>3592</v>
      </c>
      <c r="C71" s="6" t="s">
        <v>3593</v>
      </c>
      <c r="D71" s="125" t="n">
        <f aca="false">AL_SpendBasis</f>
        <v>0.85</v>
      </c>
      <c r="E71" s="116" t="n">
        <f aca="false">AL_SpendBasis_Lo</f>
        <v>0.73</v>
      </c>
      <c r="F71" s="116" t="n">
        <f aca="false">AL_SpendBasis_Hi</f>
        <v>1.17</v>
      </c>
      <c r="G71" s="62" t="s">
        <v>118</v>
      </c>
      <c r="H71" s="6" t="s">
        <v>3594</v>
      </c>
      <c r="I71" s="5" t="str">
        <f aca="false">"基準 "&amp;IF(ISNUMBER(D71),TEXT(D71,"0.00"),"—")&amp;"（低 "&amp;IF(ISNUMBER(E71),TEXT(E71,"0.00"),"—")&amp;"、高 "&amp;IF(ISNUMBER(F71),TEXT(F71,"0.00"),"—")&amp;"；2-4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實付單價；E262）"</f>
        <v>基準 0.85（低 0.73、高 1.17；2-4 起改經濟口徑，v5.36 當時為 1.3）；v5.36 B2（X46，當時的依據）：Oracle 出租 Nvidia 伺服器毛利率略低於 14%（The Information 引 Oracle 內部文件；二手）→ 價格 ÷ 成本約 1.16，未含資本成本；Microsoft 對 OpenAI 的計價未找到（當時高端保留 1.6）；無外部對照（已搜尋，未找到 OpenAI 對 Azure 實付單價；E262）</v>
      </c>
      <c r="J71" s="5" t="s">
        <v>3595</v>
      </c>
      <c r="K71" s="5" t="s">
        <v>3596</v>
      </c>
      <c r="L71" s="62" t="s">
        <v>751</v>
      </c>
      <c r="M71" s="116" t="s">
        <v>751</v>
      </c>
      <c r="N71" s="116" t="s">
        <v>751</v>
      </c>
      <c r="O71" s="77"/>
      <c r="P71" s="61" t="str">
        <f aca="false">IF(ISNUMBER(D71),IF(AND(ISNUMBER(M71),ISNUMBER(N71)),IF(M71=N71,IF(ABS(D71/M71-1)&lt;=0.2,"±20% 內","差距 &gt;20%"),IF(D71&lt;M71,"低於外部區間",IF(D71&gt;N71,"高於外部區間","落在外部區間"))),"無外部對照"),"推算值非數字（本情境）")</f>
        <v>無外部對照</v>
      </c>
      <c r="Q71" s="62" t="s">
        <v>3591</v>
      </c>
      <c r="R71" s="62" t="s">
        <v>3597</v>
      </c>
      <c r="S71" s="5" t="s">
        <v>3598</v>
      </c>
      <c r="T71" s="60" t="s">
        <v>3169</v>
      </c>
      <c r="U71" s="93" t="s">
        <v>3589</v>
      </c>
    </row>
    <row r="72" customFormat="false" ht="100.7" hidden="false" customHeight="false" outlineLevel="0" collapsed="false">
      <c r="A72" s="62" t="s">
        <v>3599</v>
      </c>
      <c r="B72" s="5" t="s">
        <v>3600</v>
      </c>
      <c r="C72" s="6" t="s">
        <v>3601</v>
      </c>
      <c r="D72" s="125" t="n">
        <f aca="false">1/AL_Kappa</f>
        <v>1</v>
      </c>
      <c r="E72" s="116" t="n">
        <f aca="false">1/AL_Kappa_Hi</f>
        <v>0.833333333333333</v>
      </c>
      <c r="F72" s="116" t="n">
        <f aca="false">1/AL_Kappa_Lo</f>
        <v>1.53846153846154</v>
      </c>
      <c r="G72" s="62" t="s">
        <v>118</v>
      </c>
      <c r="H72" s="5" t="s">
        <v>3602</v>
      </c>
      <c r="I72" s="5" t="s">
        <v>3603</v>
      </c>
      <c r="J72" s="5" t="s">
        <v>3604</v>
      </c>
      <c r="K72" s="6" t="s">
        <v>3605</v>
      </c>
      <c r="L72" s="62" t="s">
        <v>751</v>
      </c>
      <c r="M72" s="116" t="s">
        <v>751</v>
      </c>
      <c r="N72" s="116" t="s">
        <v>751</v>
      </c>
      <c r="O72" s="77"/>
      <c r="P72" s="61" t="str">
        <f aca="false">IF(ISNUMBER(D72),IF(AND(ISNUMBER(M72),ISNUMBER(N72)),IF(M72=N72,IF(ABS(D72/M72-1)&lt;=0.2,"±20% 內","差距 &gt;20%"),IF(D72&lt;M72,"低於外部區間",IF(D72&gt;N72,"高於外部區間","落在外部區間"))),"無外部對照"),"推算值非數字（本情境）")</f>
        <v>無外部對照</v>
      </c>
      <c r="Q72" s="62" t="s">
        <v>3599</v>
      </c>
      <c r="R72" s="62" t="s">
        <v>3606</v>
      </c>
      <c r="S72" s="6" t="s">
        <v>751</v>
      </c>
      <c r="T72" s="60" t="s">
        <v>3169</v>
      </c>
      <c r="U72" s="93" t="s">
        <v>3589</v>
      </c>
    </row>
    <row r="73" customFormat="false" ht="86.55" hidden="false" customHeight="false" outlineLevel="0" collapsed="false">
      <c r="A73" s="62" t="s">
        <v>3607</v>
      </c>
      <c r="B73" s="5" t="s">
        <v>3608</v>
      </c>
      <c r="C73" s="6" t="s">
        <v>3609</v>
      </c>
      <c r="D73" s="125" t="n">
        <f aca="false">IF_Util/(AL_UtilActual*CTL_ProdDerate)</f>
        <v>1.72166427546628</v>
      </c>
      <c r="E73" s="116" t="n">
        <f aca="false">IF_Util/(AL_UtilActual_Hi*CTL_ProdDerate)</f>
        <v>1.08597285067873</v>
      </c>
      <c r="F73" s="116" t="n">
        <f aca="false">IF_Util/(AL_UtilActual_Lo*CTL_ProdDerate)</f>
        <v>2.35294117647059</v>
      </c>
      <c r="G73" s="62" t="s">
        <v>118</v>
      </c>
      <c r="H73" s="5" t="s">
        <v>3610</v>
      </c>
      <c r="I73" s="5" t="s">
        <v>3611</v>
      </c>
      <c r="J73" s="5" t="s">
        <v>3612</v>
      </c>
      <c r="K73" s="6" t="s">
        <v>3613</v>
      </c>
      <c r="L73" s="62" t="s">
        <v>3614</v>
      </c>
      <c r="M73" s="116" t="s">
        <v>751</v>
      </c>
      <c r="N73" s="116" t="s">
        <v>751</v>
      </c>
      <c r="O73" s="77"/>
      <c r="P73" s="61" t="str">
        <f aca="false">IF(ISNUMBER(D73),IF(AND(ISNUMBER(M73),ISNUMBER(N73)),IF(M73=N73,IF(ABS(D73/M73-1)&lt;=0.2,"±20% 內","差距 &gt;20%"),IF(D73&lt;M73,"低於外部區間",IF(D73&gt;N73,"高於外部區間","落在外部區間"))),"無外部對照"),"推算值非數字（本情境）")</f>
        <v>無外部對照</v>
      </c>
      <c r="Q73" s="62" t="s">
        <v>3607</v>
      </c>
      <c r="R73" s="62" t="s">
        <v>3615</v>
      </c>
      <c r="S73" s="6" t="s">
        <v>751</v>
      </c>
      <c r="T73" s="60" t="s">
        <v>3169</v>
      </c>
      <c r="U73" s="93" t="s">
        <v>3589</v>
      </c>
    </row>
    <row r="74" customFormat="false" ht="100.7" hidden="false" customHeight="false" outlineLevel="0" collapsed="false">
      <c r="A74" s="62" t="s">
        <v>3616</v>
      </c>
      <c r="B74" s="5" t="s">
        <v>3617</v>
      </c>
      <c r="C74" s="6" t="s">
        <v>3618</v>
      </c>
      <c r="D74" s="125" t="n">
        <f aca="false">IF(AND(ISNUMBER(L1_GapISL),ISNUMBER(L1_GapPrompt)),L1_GapPrompt*L1_GapSpendBasis*L1_GapISL*L1_GapUtil,AL_UnavailTxt)</f>
        <v>1.90944198579742</v>
      </c>
      <c r="E74" s="116" t="n">
        <f aca="false">IF(AND(ISNUMBER(L1_GapISL_Lo),ISNUMBER(L1_GapPrompt_Lo)),L1_GapPrompt_Lo*L1_GapSpendBasis_Lo*L1_GapISL_Lo*L1_GapUtil_Lo,AL_UnavailTxt)</f>
        <v>0.660633484162896</v>
      </c>
      <c r="F74" s="116" t="n">
        <f aca="false">IF(AND(ISNUMBER(L1_GapISL_Hi),ISNUMBER(L1_GapPrompt_Hi)),L1_GapPrompt_Hi*L1_GapSpendBasis_Hi*L1_GapISL_Hi*L1_GapUtil_Hi,AL_UnavailTxt)</f>
        <v>10.0441444503265</v>
      </c>
      <c r="G74" s="62" t="s">
        <v>118</v>
      </c>
      <c r="H74" s="5" t="s">
        <v>3619</v>
      </c>
      <c r="I74" s="5" t="s">
        <v>3620</v>
      </c>
      <c r="J74" s="5" t="s">
        <v>3621</v>
      </c>
      <c r="K74" s="5" t="s">
        <v>3622</v>
      </c>
      <c r="L74" s="62" t="s">
        <v>3623</v>
      </c>
      <c r="M74" s="94" t="n">
        <f aca="false">L1_ScaleServe2000</f>
        <v>9.53338312707887</v>
      </c>
      <c r="N74" s="94" t="n">
        <f aca="false">L1_ScaleServe2000</f>
        <v>9.53338312707887</v>
      </c>
      <c r="O74" s="77" t="n">
        <f aca="false">IF(AND(ISNUMBER(D74),ISNUMBER(M74),ISNUMBER(N74)),D74/((M74+N74)/2),"—")</f>
        <v>0.200290071252229</v>
      </c>
      <c r="P74" s="61" t="str">
        <f aca="false">IF(ISNUMBER(D74),IF(AND(ISNUMBER(M74),ISNUMBER(N74)),IF(M74=N74,IF(ABS(D74/M74-1)&lt;=0.2,"±20% 內","差距 &gt;20%"),IF(D74&lt;M74,"低於外部區間",IF(D74&gt;N74,"高於外部區間","落在外部區間"))),"無外部對照"),"推算值非數字（本情境）")</f>
        <v>差距 &gt;20%</v>
      </c>
      <c r="Q74" s="62" t="s">
        <v>3616</v>
      </c>
      <c r="R74" s="62" t="s">
        <v>3561</v>
      </c>
      <c r="S74" s="6" t="s">
        <v>751</v>
      </c>
      <c r="T74" s="60" t="s">
        <v>3169</v>
      </c>
      <c r="U74" s="93" t="s">
        <v>3589</v>
      </c>
      <c r="V74" s="74" t="s">
        <v>3624</v>
      </c>
    </row>
    <row r="75" customFormat="false" ht="58.2" hidden="false" customHeight="false" outlineLevel="0" collapsed="false">
      <c r="A75" s="62" t="s">
        <v>3625</v>
      </c>
      <c r="B75" s="5" t="s">
        <v>3626</v>
      </c>
      <c r="C75" s="5" t="s">
        <v>3627</v>
      </c>
      <c r="D75" s="125" t="n">
        <f aca="false">INDEX(IF_CapexIT,1,8)</f>
        <v>32.237224</v>
      </c>
      <c r="E75" s="116" t="n">
        <f aca="false">INDEX(IF_CapexIT,1,7)</f>
        <v>28.5549024</v>
      </c>
      <c r="F75" s="116" t="n">
        <f aca="false">INDEX(IF_CapexIT,1,9)</f>
        <v>39.2826064</v>
      </c>
      <c r="G75" s="62" t="s">
        <v>3628</v>
      </c>
      <c r="H75" s="5" t="s">
        <v>3164</v>
      </c>
      <c r="I75" s="6" t="s">
        <v>3629</v>
      </c>
      <c r="J75" s="5" t="s">
        <v>3630</v>
      </c>
      <c r="K75" s="5" t="s">
        <v>3631</v>
      </c>
      <c r="L75" s="62" t="s">
        <v>3632</v>
      </c>
      <c r="M75" s="94" t="n">
        <f aca="false">SRC_DC_014</f>
        <v>29</v>
      </c>
      <c r="N75" s="94" t="n">
        <f aca="false">SRC_DC_014</f>
        <v>29</v>
      </c>
      <c r="O75" s="77" t="n">
        <f aca="false">IF(AND(ISNUMBER(D75),ISNUMBER(M75),ISNUMBER(N75)),D75/((M75+N75)/2),"—")</f>
        <v>1.1116284137931</v>
      </c>
      <c r="P75" s="61" t="str">
        <f aca="false">IF(ISNUMBER(D75),IF(AND(ISNUMBER(M75),ISNUMBER(N75)),IF(M75=N75,IF(ABS(D75/M75-1)&lt;=0.2,"±20% 內","差距 &gt;20%"),IF(D75&lt;M75,"低於外部區間",IF(D75&gt;N75,"高於外部區間","落在外部區間"))),"無外部對照"),"推算值非數字（本情境）")</f>
        <v>±20% 內</v>
      </c>
      <c r="Q75" s="62" t="s">
        <v>3625</v>
      </c>
      <c r="R75" s="62" t="s">
        <v>3633</v>
      </c>
      <c r="S75" s="6" t="s">
        <v>3634</v>
      </c>
      <c r="T75" s="60" t="s">
        <v>3169</v>
      </c>
      <c r="U75" s="93" t="s">
        <v>3170</v>
      </c>
      <c r="V75" s="74" t="s">
        <v>3635</v>
      </c>
    </row>
    <row r="76" customFormat="false" ht="143.25" hidden="false" customHeight="false" outlineLevel="0" collapsed="false">
      <c r="A76" s="62" t="s">
        <v>3636</v>
      </c>
      <c r="B76" s="5" t="s">
        <v>3637</v>
      </c>
      <c r="C76" s="6" t="s">
        <v>3638</v>
      </c>
      <c r="D76" s="124" t="n">
        <f aca="false">Cap_In!$C$94</f>
        <v>2.03352783356479</v>
      </c>
      <c r="E76" s="94" t="n">
        <f aca="false">Cap_In!$D$94</f>
        <v>0.877878221113818</v>
      </c>
      <c r="F76" s="94" t="n">
        <f aca="false">Cap_In!$E$94</f>
        <v>3.44621146438536</v>
      </c>
      <c r="G76" s="62" t="s">
        <v>118</v>
      </c>
      <c r="H76" s="5" t="s">
        <v>3639</v>
      </c>
      <c r="I76" s="6" t="s">
        <v>3640</v>
      </c>
      <c r="J76" s="5" t="s">
        <v>3641</v>
      </c>
      <c r="K76" s="5" t="s">
        <v>3642</v>
      </c>
      <c r="L76" s="62" t="s">
        <v>3643</v>
      </c>
      <c r="M76" s="94" t="n">
        <f aca="false">CTL_Monetize</f>
        <v>1</v>
      </c>
      <c r="N76" s="94" t="n">
        <f aca="false">CTL_Monetize</f>
        <v>1</v>
      </c>
      <c r="O76" s="77" t="n">
        <f aca="false">IF(AND(ISNUMBER(D76),ISNUMBER(M76),ISNUMBER(N76)),D76/((M76+N76)/2),"—")</f>
        <v>2.03352783356479</v>
      </c>
      <c r="P76" s="61" t="str">
        <f aca="false">IF(ISNUMBER(D76),IF(AND(D76&gt;=Gov_Map!$K$598,D76&lt;=Gov_Map!$L$598),"落在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6" s="62" t="s">
        <v>3636</v>
      </c>
      <c r="R76" s="62" t="s">
        <v>3644</v>
      </c>
      <c r="S76" s="5" t="s">
        <v>3645</v>
      </c>
      <c r="T76" s="60" t="s">
        <v>3646</v>
      </c>
      <c r="U76" s="87" t="s">
        <v>3647</v>
      </c>
      <c r="V76" s="74" t="s">
        <v>3648</v>
      </c>
    </row>
    <row r="77" customFormat="false" ht="157.45" hidden="false" customHeight="false" outlineLevel="0" collapsed="false">
      <c r="A77" s="62" t="s">
        <v>3649</v>
      </c>
      <c r="B77" s="5" t="s">
        <v>3650</v>
      </c>
      <c r="C77" s="6" t="s">
        <v>3651</v>
      </c>
      <c r="D77" s="124" t="n">
        <f aca="false">Cap_In!$C$97</f>
        <v>1.68481186552609</v>
      </c>
      <c r="E77" s="94" t="n">
        <f aca="false">Cap_In!$D$97</f>
        <v>0.532784292393976</v>
      </c>
      <c r="F77" s="94" t="n">
        <f aca="false">Cap_In!$E$97</f>
        <v>5.32784292393976</v>
      </c>
      <c r="G77" s="62" t="s">
        <v>118</v>
      </c>
      <c r="H77" s="6" t="s">
        <v>3652</v>
      </c>
      <c r="I77" s="5" t="s">
        <v>3653</v>
      </c>
      <c r="J77" s="6" t="s">
        <v>3654</v>
      </c>
      <c r="K77" s="6" t="s">
        <v>3655</v>
      </c>
      <c r="L77" s="62" t="s">
        <v>3643</v>
      </c>
      <c r="M77" s="94" t="n">
        <f aca="false">CTL_Monetize</f>
        <v>1</v>
      </c>
      <c r="N77" s="94" t="n">
        <f aca="false">CTL_Monetize</f>
        <v>1</v>
      </c>
      <c r="O77" s="77" t="n">
        <f aca="false">IF(AND(ISNUMBER(D77),ISNUMBER(M77),ISNUMBER(N77)),D77/((M77+N77)/2),"—")</f>
        <v>1.68481186552609</v>
      </c>
      <c r="P77" s="61" t="str">
        <f aca="false">IF(ISNUMBER(D77),IF(AND(D77&gt;=Gov_Map!$K$598,D77&lt;=Gov_Map!$L$598),"落在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77" s="62" t="s">
        <v>3649</v>
      </c>
      <c r="R77" s="62" t="s">
        <v>3656</v>
      </c>
      <c r="S77" s="6" t="s">
        <v>3657</v>
      </c>
      <c r="T77" s="60" t="s">
        <v>3646</v>
      </c>
      <c r="U77" s="87" t="s">
        <v>3647</v>
      </c>
      <c r="V77" s="74" t="s">
        <v>3658</v>
      </c>
    </row>
    <row r="78" customFormat="false" ht="214.15" hidden="false" customHeight="false" outlineLevel="0" collapsed="false">
      <c r="A78" s="62" t="s">
        <v>3659</v>
      </c>
      <c r="B78" s="5" t="s">
        <v>3660</v>
      </c>
      <c r="C78" s="6" t="s">
        <v>3661</v>
      </c>
      <c r="D78" s="124" t="n">
        <f aca="false">Cap_In!$C$119</f>
        <v>0.407295434678084</v>
      </c>
      <c r="E78" s="94" t="n">
        <f aca="false">Cap_In!$D$119</f>
        <v>0.1838665514316</v>
      </c>
      <c r="F78" s="94" t="n">
        <f aca="false">Cap_In!$E$119</f>
        <v>1.17876090506834</v>
      </c>
      <c r="G78" s="62" t="s">
        <v>118</v>
      </c>
      <c r="H78" s="5" t="s">
        <v>3662</v>
      </c>
      <c r="I78" s="5" t="s">
        <v>3663</v>
      </c>
      <c r="J78" s="5" t="s">
        <v>3664</v>
      </c>
      <c r="K78" s="6" t="s">
        <v>3665</v>
      </c>
      <c r="L78" s="62" t="s">
        <v>3643</v>
      </c>
      <c r="M78" s="94" t="n">
        <f aca="false">CTL_Monetize</f>
        <v>1</v>
      </c>
      <c r="N78" s="94" t="n">
        <f aca="false">CTL_Monetize</f>
        <v>1</v>
      </c>
      <c r="O78" s="77" t="n">
        <f aca="false">IF(AND(ISNUMBER(D78),ISNUMBER(M78),ISNUMBER(N78)),D78/((M78+N78)/2),"—")</f>
        <v>0.407295434678084</v>
      </c>
      <c r="P78" s="61" t="str">
        <f aca="false">IF(ISNUMBER(D78),IF(AND(D78&gt;=Gov_Map!$K$598,D78&lt;=Gov_Map!$L$598),"落在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78" s="62" t="s">
        <v>3659</v>
      </c>
      <c r="R78" s="62" t="s">
        <v>3666</v>
      </c>
      <c r="S78" s="5" t="s">
        <v>3667</v>
      </c>
      <c r="T78" s="60" t="s">
        <v>3646</v>
      </c>
      <c r="U78" s="87" t="s">
        <v>3647</v>
      </c>
      <c r="V78" s="74" t="s">
        <v>3668</v>
      </c>
    </row>
    <row r="79" customFormat="false" ht="143.25" hidden="false" customHeight="false" outlineLevel="0" collapsed="false">
      <c r="A79" s="62" t="s">
        <v>3669</v>
      </c>
      <c r="B79" s="5" t="s">
        <v>3670</v>
      </c>
      <c r="C79" s="6" t="s">
        <v>3671</v>
      </c>
      <c r="D79" s="124" t="n">
        <f aca="false">Cap_In!$C$118</f>
        <v>25845516859.6077</v>
      </c>
      <c r="E79" s="94" t="n">
        <f aca="false">Cap_In!$E$118</f>
        <v>12204827405.9259</v>
      </c>
      <c r="F79" s="94" t="n">
        <f aca="false">Cap_In!$D$118</f>
        <v>36112913968.219</v>
      </c>
      <c r="G79" s="62" t="s">
        <v>931</v>
      </c>
      <c r="H79" s="5" t="s">
        <v>3672</v>
      </c>
      <c r="I79" s="5" t="s">
        <v>3673</v>
      </c>
      <c r="J79" s="5" t="s">
        <v>3674</v>
      </c>
      <c r="K79" s="6" t="s">
        <v>3675</v>
      </c>
      <c r="L79" s="62" t="s">
        <v>3676</v>
      </c>
      <c r="M79" s="94" t="n">
        <f aca="false">AL_DPaid</f>
        <v>3825200000</v>
      </c>
      <c r="N79" s="94" t="n">
        <f aca="false">AL_DPaid</f>
        <v>3825200000</v>
      </c>
      <c r="O79" s="77" t="n">
        <f aca="false">IF(AND(ISNUMBER(D79),ISNUMBER(M79),ISNUMBER(N79)),D79/((M79+N79)/2),"—")</f>
        <v>6.75664458318721</v>
      </c>
      <c r="P79" s="61" t="str">
        <f aca="false">IF(AND(ISNUMBER(D79),ISNUMBER(M79)),"需求路線 ÷ 上限＝"&amp;TEXT(M79/D79,"0.00")&amp;IF(M79&gt;D79,"（需求超過物理上限）","（需求在上限內）"),"推算值非數字（本情境）")</f>
        <v>需求路線 ÷ 上限＝0.15（需求在上限內）</v>
      </c>
      <c r="Q79" s="62" t="s">
        <v>3669</v>
      </c>
      <c r="R79" s="62" t="s">
        <v>3677</v>
      </c>
      <c r="S79" s="5" t="s">
        <v>3678</v>
      </c>
      <c r="T79" s="60" t="s">
        <v>3169</v>
      </c>
      <c r="U79" s="93" t="s">
        <v>3679</v>
      </c>
      <c r="V79" s="74" t="s">
        <v>3680</v>
      </c>
    </row>
    <row r="80" customFormat="false" ht="143.25" hidden="false" customHeight="false" outlineLevel="0" collapsed="false">
      <c r="A80" s="62" t="s">
        <v>3681</v>
      </c>
      <c r="B80" s="5" t="s">
        <v>3682</v>
      </c>
      <c r="C80" s="6" t="s">
        <v>3683</v>
      </c>
      <c r="D80" s="124" t="n">
        <f aca="false">Cap_In!$C$144</f>
        <v>0.657758385671576</v>
      </c>
      <c r="E80" s="94" t="n">
        <f aca="false">MIN(Cap_In!$D$144,Cap_In!$E$144)</f>
        <v>0.123329697313421</v>
      </c>
      <c r="F80" s="94" t="n">
        <f aca="false">MAX(Cap_In!$D$144,Cap_In!$E$144)</f>
        <v>0.926099818387693</v>
      </c>
      <c r="G80" s="62" t="s">
        <v>118</v>
      </c>
      <c r="H80" s="5" t="s">
        <v>3684</v>
      </c>
      <c r="I80" s="6" t="s">
        <v>3685</v>
      </c>
      <c r="J80" s="5" t="s">
        <v>3686</v>
      </c>
      <c r="K80" s="5" t="s">
        <v>3687</v>
      </c>
      <c r="L80" s="62" t="s">
        <v>3643</v>
      </c>
      <c r="M80" s="94" t="n">
        <f aca="false">CTL_Monetize</f>
        <v>1</v>
      </c>
      <c r="N80" s="94" t="n">
        <f aca="false">CTL_Monetize</f>
        <v>1</v>
      </c>
      <c r="O80" s="77" t="n">
        <f aca="false">IF(AND(ISNUMBER(D80),ISNUMBER(M80),ISNUMBER(N80)),D80/((M80+N80)/2),"—")</f>
        <v>0.657758385671576</v>
      </c>
      <c r="P80" s="61" t="str">
        <f aca="false">IF(ISNUMBER(D80),IF(AND(D80&gt;=Gov_Map!$K$598,D80&lt;=Gov_Map!$L$598),"落在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區間內</v>
      </c>
      <c r="Q80" s="62" t="s">
        <v>3681</v>
      </c>
      <c r="R80" s="62" t="s">
        <v>3688</v>
      </c>
      <c r="S80" s="6" t="s">
        <v>3689</v>
      </c>
      <c r="T80" s="60" t="s">
        <v>3646</v>
      </c>
      <c r="U80" s="87" t="s">
        <v>3647</v>
      </c>
      <c r="V80" s="74" t="s">
        <v>3690</v>
      </c>
    </row>
    <row r="81" customFormat="false" ht="143.25" hidden="false" customHeight="false" outlineLevel="0" collapsed="false">
      <c r="A81" s="62" t="s">
        <v>3691</v>
      </c>
      <c r="B81" s="5" t="s">
        <v>3692</v>
      </c>
      <c r="C81" s="6" t="s">
        <v>3693</v>
      </c>
      <c r="D81" s="124" t="n">
        <f aca="false">Cap_In!$C$145</f>
        <v>4.97265339567711</v>
      </c>
      <c r="E81" s="94" t="n">
        <f aca="false">Cap_In!$D$145</f>
        <v>0.87841420358171</v>
      </c>
      <c r="F81" s="94" t="n">
        <f aca="false">Cap_In!$E$145</f>
        <v>29.1255413175374</v>
      </c>
      <c r="G81" s="62" t="s">
        <v>118</v>
      </c>
      <c r="H81" s="5" t="s">
        <v>3694</v>
      </c>
      <c r="I81" s="6" t="s">
        <v>3685</v>
      </c>
      <c r="J81" s="5" t="s">
        <v>3695</v>
      </c>
      <c r="K81" s="5" t="s">
        <v>3696</v>
      </c>
      <c r="L81" s="62" t="s">
        <v>3643</v>
      </c>
      <c r="M81" s="94" t="n">
        <f aca="false">CTL_Monetize</f>
        <v>1</v>
      </c>
      <c r="N81" s="94" t="n">
        <f aca="false">CTL_Monetize</f>
        <v>1</v>
      </c>
      <c r="O81" s="77" t="n">
        <f aca="false">IF(AND(ISNUMBER(D81),ISNUMBER(M81),ISNUMBER(N81)),D81/((M81+N81)/2),"—")</f>
        <v>4.97265339567711</v>
      </c>
      <c r="P81" s="61" t="str">
        <f aca="false">IF(ISNUMBER(D81),IF(AND(D81&gt;=Gov_Map!$K$598,D81&lt;=Gov_Map!$L$598),"落在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1" s="62" t="s">
        <v>3691</v>
      </c>
      <c r="R81" s="62" t="s">
        <v>3697</v>
      </c>
      <c r="S81" s="6" t="s">
        <v>3698</v>
      </c>
      <c r="T81" s="60" t="s">
        <v>3646</v>
      </c>
      <c r="U81" s="87" t="s">
        <v>3647</v>
      </c>
      <c r="V81" s="74" t="s">
        <v>3699</v>
      </c>
    </row>
    <row r="82" customFormat="false" ht="143.25" hidden="false" customHeight="false" outlineLevel="0" collapsed="false">
      <c r="A82" s="62" t="s">
        <v>3700</v>
      </c>
      <c r="B82" s="5" t="s">
        <v>3701</v>
      </c>
      <c r="C82" s="6" t="s">
        <v>3702</v>
      </c>
      <c r="D82" s="124" t="n">
        <f aca="false">Cap_In!$C$146</f>
        <v>2.13113716957591</v>
      </c>
      <c r="E82" s="94" t="n">
        <f aca="false">MIN(Cap_In!$D$146,Cap_In!$E$146)</f>
        <v>0.645799142295729</v>
      </c>
      <c r="F82" s="94" t="n">
        <f aca="false">MAX(Cap_In!$D$146,Cap_In!$E$146)</f>
        <v>7.99176438590965</v>
      </c>
      <c r="G82" s="62" t="s">
        <v>118</v>
      </c>
      <c r="H82" s="5" t="s">
        <v>3703</v>
      </c>
      <c r="I82" s="6" t="s">
        <v>3685</v>
      </c>
      <c r="J82" s="5" t="s">
        <v>3704</v>
      </c>
      <c r="K82" s="5" t="s">
        <v>3705</v>
      </c>
      <c r="L82" s="62" t="s">
        <v>3643</v>
      </c>
      <c r="M82" s="94" t="n">
        <f aca="false">CTL_Monetize</f>
        <v>1</v>
      </c>
      <c r="N82" s="94" t="n">
        <f aca="false">CTL_Monetize</f>
        <v>1</v>
      </c>
      <c r="O82" s="77" t="n">
        <f aca="false">IF(AND(ISNUMBER(D82),ISNUMBER(M82),ISNUMBER(N82)),D82/((M82+N82)/2),"—")</f>
        <v>2.13113716957591</v>
      </c>
      <c r="P82" s="61" t="str">
        <f aca="false">IF(ISNUMBER(D82),IF(AND(D82&gt;=Gov_Map!$K$598,D82&lt;=Gov_Map!$L$598),"落在 "&amp;TEXT(Gov_Map!$K$598,"0.0")&amp;"–"&amp;TEXT(Gov_Map!$L$598,"0.0")&amp;" 區間內","落在 "&amp;TEXT(Gov_Map!$K$598,"0.0")&amp;"–"&amp;TEXT(Gov_Map!$L$598,"0.0")&amp;" 區間外"),"推算值非數字（本情境）")</f>
        <v>落在 0.3–1.0 區間外</v>
      </c>
      <c r="Q82" s="62" t="s">
        <v>3700</v>
      </c>
      <c r="R82" s="62" t="s">
        <v>3706</v>
      </c>
      <c r="S82" s="5" t="s">
        <v>3707</v>
      </c>
      <c r="T82" s="60" t="s">
        <v>3646</v>
      </c>
      <c r="U82" s="87" t="s">
        <v>3647</v>
      </c>
      <c r="V82" s="74" t="s">
        <v>3708</v>
      </c>
    </row>
    <row r="83" customFormat="false" ht="143.25" hidden="false" customHeight="false" outlineLevel="0" collapsed="false">
      <c r="A83" s="62" t="s">
        <v>3709</v>
      </c>
      <c r="B83" s="6" t="s">
        <v>3710</v>
      </c>
      <c r="C83" s="6" t="s">
        <v>3711</v>
      </c>
      <c r="D83" s="124" t="n">
        <f aca="false">Cap_In!$C$151</f>
        <v>0.657758385671576</v>
      </c>
      <c r="E83" s="94" t="n">
        <f aca="false">MIN(Cap_In!$D$151,Cap_In!$E$151)</f>
        <v>0.109626397611929</v>
      </c>
      <c r="F83" s="94" t="n">
        <f aca="false">MAX(Cap_In!$D$151,Cap_In!$E$151)</f>
        <v>1.23479975785026</v>
      </c>
      <c r="G83" s="62" t="s">
        <v>118</v>
      </c>
      <c r="H83" s="5" t="s">
        <v>3712</v>
      </c>
      <c r="I83" s="6" t="s">
        <v>3713</v>
      </c>
      <c r="J83" s="6" t="s">
        <v>3714</v>
      </c>
      <c r="K83" s="5" t="s">
        <v>3715</v>
      </c>
      <c r="L83" s="61" t="s">
        <v>3716</v>
      </c>
      <c r="M83" s="94" t="n">
        <f aca="false">Cap_In!$C$107</f>
        <v>0.196163661504425</v>
      </c>
      <c r="N83" s="94" t="n">
        <f aca="false">Cap_In!$C$107</f>
        <v>0.196163661504425</v>
      </c>
      <c r="O83" s="77" t="n">
        <f aca="false">IF(AND(ISNUMBER(D83),ISNUMBER(M83),ISNUMBER(N83)),D83/((M83+N83)/2),"—")</f>
        <v>3.3531102581746</v>
      </c>
      <c r="P83" s="61" t="str">
        <f aca="false">IF(AND(ISNUMBER(D83),ISNUMBER(M83)),"代理型極端組合因子 "&amp;TEXT(M83,"0.00")&amp;"；本值為其 "&amp;TEXT(D83/M83,"0.0")&amp;" 倍（1＝參考請求）","推算值非數字（本情境）")</f>
        <v>代理型極端組合因子 0.20；本值為其 3.4 倍（1＝參考請求）</v>
      </c>
      <c r="Q83" s="62" t="s">
        <v>3709</v>
      </c>
      <c r="R83" s="62" t="s">
        <v>3717</v>
      </c>
      <c r="S83" s="5" t="s">
        <v>3718</v>
      </c>
      <c r="T83" s="60" t="s">
        <v>3646</v>
      </c>
      <c r="U83" s="87" t="s">
        <v>3647</v>
      </c>
      <c r="V83" s="74" t="s">
        <v>3719</v>
      </c>
    </row>
    <row r="84" customFormat="false" ht="157.45" hidden="false" customHeight="false" outlineLevel="0" collapsed="false">
      <c r="A84" s="62" t="s">
        <v>3720</v>
      </c>
      <c r="B84" s="5" t="s">
        <v>3721</v>
      </c>
      <c r="C84" s="6" t="s">
        <v>3722</v>
      </c>
      <c r="D84" s="124" t="n">
        <f aca="false">Cap_In!$C$179</f>
        <v>38185.9803577493</v>
      </c>
      <c r="E84" s="94" t="n">
        <f aca="false">Cap_In!$E$179</f>
        <v>11121.0458746904</v>
      </c>
      <c r="F84" s="94" t="n">
        <f aca="false">Cap_In!$D$179</f>
        <v>89219.5841947776</v>
      </c>
      <c r="G84" s="62" t="s">
        <v>308</v>
      </c>
      <c r="H84" s="5" t="s">
        <v>3723</v>
      </c>
      <c r="I84" s="5" t="s">
        <v>3724</v>
      </c>
      <c r="J84" s="5" t="s">
        <v>3725</v>
      </c>
      <c r="K84" s="6" t="s">
        <v>3665</v>
      </c>
      <c r="L84" s="62" t="s">
        <v>3726</v>
      </c>
      <c r="M84" s="94" t="n">
        <f aca="false">AL_TokPerPrompt_Lo</f>
        <v>2000</v>
      </c>
      <c r="N84" s="94" t="n">
        <f aca="false">AL_TokPerPrompt_Hi</f>
        <v>11000</v>
      </c>
      <c r="O84" s="77" t="n">
        <f aca="false">IF(AND(ISNUMBER(D84),ISNUMBER(M84),ISNUMBER(N84)),D84/((M84+N84)/2),"—")</f>
        <v>5.87476620888451</v>
      </c>
      <c r="P84" s="61" t="str">
        <f aca="false">IF(ISNUMBER(D84),IF(AND(ISNUMBER(M84),ISNUMBER(N84)),IF(M84=N84,IF(ABS(D84/M84-1)&lt;=0.2,"±20% 內","差距 &gt;20%"),IF(D84&lt;M84,"低於外部區間",IF(D84&gt;N84,"高於外部區間","落在外部區間"))),"無外部對照"),"推算值非數字（本情境）")</f>
        <v>高於外部區間</v>
      </c>
      <c r="Q84" s="62" t="s">
        <v>3720</v>
      </c>
      <c r="R84" s="62" t="s">
        <v>3727</v>
      </c>
      <c r="S84" s="5" t="s">
        <v>3728</v>
      </c>
      <c r="T84" s="60" t="s">
        <v>3302</v>
      </c>
      <c r="U84" s="93" t="s">
        <v>3729</v>
      </c>
      <c r="V84" s="74" t="s">
        <v>3730</v>
      </c>
    </row>
    <row r="85" customFormat="false" ht="143.25" hidden="false" customHeight="false" outlineLevel="0" collapsed="false">
      <c r="A85" s="62" t="s">
        <v>3731</v>
      </c>
      <c r="B85" s="5" t="s">
        <v>3732</v>
      </c>
      <c r="C85" s="6" t="s">
        <v>3733</v>
      </c>
      <c r="D85" s="124" t="str">
        <f aca="false">Cap_In!$C$169</f>
        <v>缺分母（需 Anthropic 年 API token）</v>
      </c>
      <c r="E85" s="94" t="str">
        <f aca="false">Cap_In!$D$169</f>
        <v>缺分母（需 Anthropic 年 API token）</v>
      </c>
      <c r="F85" s="94" t="str">
        <f aca="false">Cap_In!$E$169</f>
        <v>缺分母（需 Anthropic 年 API token）</v>
      </c>
      <c r="G85" s="62" t="s">
        <v>118</v>
      </c>
      <c r="H85" s="5" t="s">
        <v>3734</v>
      </c>
      <c r="I85" s="6" t="s">
        <v>3735</v>
      </c>
      <c r="J85" s="6" t="s">
        <v>3736</v>
      </c>
      <c r="K85" s="6" t="s">
        <v>3737</v>
      </c>
      <c r="L85" s="62" t="s">
        <v>3738</v>
      </c>
      <c r="M85" s="94" t="n">
        <f aca="false">Cap_In!$C$167</f>
        <v>0.828067117018958</v>
      </c>
      <c r="N85" s="94" t="n">
        <f aca="false">Cap_In!$C$168</f>
        <v>0.1625</v>
      </c>
      <c r="O85" s="77" t="str">
        <f aca="false">IF(AND(ISNUMBER(D85),ISNUMBER(M85),ISNUMBER(N85)),D85/((M85+N85)/2),"—")</f>
        <v>—</v>
      </c>
      <c r="P85" s="61" t="str">
        <f aca="false">IF(ISNUMBER(D85),IF(AND(ISNUMBER(M85),ISNUMBER(N85)),IF(M85=N85,IF(ABS(D85/M85-1)&lt;=0.2,"±20% 內","差距 &gt;20%"),IF(D85&lt;M85,"低於外部區間",IF(D85&gt;N85,"高於外部區間","落在外部區間"))),"無外部對照"),"推算值非數字（本情境）")</f>
        <v>推算值非數字（本情境）</v>
      </c>
      <c r="Q85" s="62" t="s">
        <v>3731</v>
      </c>
      <c r="R85" s="62" t="s">
        <v>3739</v>
      </c>
      <c r="S85" s="5" t="s">
        <v>3740</v>
      </c>
      <c r="T85" s="60" t="s">
        <v>3646</v>
      </c>
      <c r="U85" s="87" t="s">
        <v>3647</v>
      </c>
      <c r="V85" s="74" t="s">
        <v>3741</v>
      </c>
    </row>
    <row r="86" customFormat="false" ht="143.25" hidden="false" customHeight="false" outlineLevel="0" collapsed="false">
      <c r="A86" s="62" t="s">
        <v>3742</v>
      </c>
      <c r="B86" s="5" t="s">
        <v>3743</v>
      </c>
      <c r="C86" s="5" t="s">
        <v>3744</v>
      </c>
      <c r="D86" s="124" t="n">
        <f aca="false">Cap_In!$C$232</f>
        <v>0.741199548797632</v>
      </c>
      <c r="E86" s="94" t="n">
        <f aca="false">Cap_In!$D$232</f>
        <v>0.476232597886788</v>
      </c>
      <c r="F86" s="94" t="n">
        <f aca="false">Cap_In!$E$232</f>
        <v>1.16176298513761</v>
      </c>
      <c r="G86" s="62" t="s">
        <v>118</v>
      </c>
      <c r="H86" s="5" t="s">
        <v>3745</v>
      </c>
      <c r="I86" s="6" t="s">
        <v>3746</v>
      </c>
      <c r="J86" s="5" t="s">
        <v>3747</v>
      </c>
      <c r="K86" s="6" t="s">
        <v>3748</v>
      </c>
      <c r="L86" s="61" t="s">
        <v>3749</v>
      </c>
      <c r="M86" s="116" t="s">
        <v>751</v>
      </c>
      <c r="N86" s="116" t="s">
        <v>751</v>
      </c>
      <c r="O86" s="77"/>
      <c r="P86" s="61" t="str">
        <f aca="false">IF(ISNUMBER(D86),IF(AND(ISNUMBER(M86),ISNUMBER(N86)),IF(M86=N86,IF(ABS(D86/M86-1)&lt;=0.2,"±20% 內","差距 &gt;20%"),IF(D86&lt;M86,"低於外部區間",IF(D86&gt;N86,"高於外部區間","落在外部區間"))),"無外部對照"),"推算值非數字（本情境）")</f>
        <v>無外部對照</v>
      </c>
      <c r="Q86" s="62" t="s">
        <v>3742</v>
      </c>
      <c r="R86" s="62" t="s">
        <v>3750</v>
      </c>
      <c r="S86" s="5" t="s">
        <v>3751</v>
      </c>
      <c r="T86" s="60" t="s">
        <v>3169</v>
      </c>
      <c r="U86" s="93" t="s">
        <v>3752</v>
      </c>
    </row>
    <row r="87" customFormat="false" ht="143.25" hidden="false" customHeight="false" outlineLevel="0" collapsed="false">
      <c r="A87" s="62" t="s">
        <v>3753</v>
      </c>
      <c r="B87" s="5" t="s">
        <v>3754</v>
      </c>
      <c r="C87" s="5" t="s">
        <v>3755</v>
      </c>
      <c r="D87" s="124" t="n">
        <f aca="false">Cap_In!$C$234</f>
        <v>0.8669761972345</v>
      </c>
      <c r="E87" s="94" t="n">
        <f aca="false">Cap_In!$D$234</f>
        <v>0.718131868131868</v>
      </c>
      <c r="F87" s="94" t="n">
        <f aca="false">Cap_In!$E$234</f>
        <v>1</v>
      </c>
      <c r="G87" s="62" t="s">
        <v>118</v>
      </c>
      <c r="H87" s="5" t="s">
        <v>3756</v>
      </c>
      <c r="I87" s="6" t="s">
        <v>3746</v>
      </c>
      <c r="J87" s="6" t="s">
        <v>3757</v>
      </c>
      <c r="K87" s="6" t="s">
        <v>3758</v>
      </c>
      <c r="L87" s="61" t="s">
        <v>3759</v>
      </c>
      <c r="M87" s="116" t="s">
        <v>751</v>
      </c>
      <c r="N87" s="116" t="s">
        <v>751</v>
      </c>
      <c r="O87" s="77"/>
      <c r="P87" s="61" t="str">
        <f aca="false">IF(ISNUMBER(D87),IF(AND(ISNUMBER(M87),ISNUMBER(N87)),IF(M87=N87,IF(ABS(D87/M87-1)&lt;=0.2,"±20% 內","差距 &gt;20%"),IF(D87&lt;M87,"低於外部區間",IF(D87&gt;N87,"高於外部區間","落在外部區間"))),"無外部對照"),"推算值非數字（本情境）")</f>
        <v>無外部對照</v>
      </c>
      <c r="Q87" s="62" t="s">
        <v>3753</v>
      </c>
      <c r="R87" s="62" t="s">
        <v>3760</v>
      </c>
      <c r="S87" s="5" t="s">
        <v>3761</v>
      </c>
      <c r="T87" s="60" t="s">
        <v>3169</v>
      </c>
      <c r="U87" s="93" t="s">
        <v>3752</v>
      </c>
    </row>
    <row r="88" customFormat="false" ht="143.25" hidden="false" customHeight="false" outlineLevel="0" collapsed="false">
      <c r="A88" s="62" t="s">
        <v>3762</v>
      </c>
      <c r="B88" s="5" t="s">
        <v>3763</v>
      </c>
      <c r="C88" s="6" t="s">
        <v>3764</v>
      </c>
      <c r="D88" s="124" t="n">
        <f aca="false">Cap_In!$C$233</f>
        <v>0.642602366208498</v>
      </c>
      <c r="E88" s="94" t="n">
        <f aca="false">Cap_In!$D$233</f>
        <v>0.341997805185732</v>
      </c>
      <c r="F88" s="94" t="n">
        <f aca="false">Cap_In!$E$233</f>
        <v>1.16176298513761</v>
      </c>
      <c r="G88" s="62" t="s">
        <v>118</v>
      </c>
      <c r="H88" s="5" t="s">
        <v>3765</v>
      </c>
      <c r="I88" s="6" t="s">
        <v>3746</v>
      </c>
      <c r="J88" s="6" t="s">
        <v>3766</v>
      </c>
      <c r="K88" s="5" t="s">
        <v>3767</v>
      </c>
      <c r="L88" s="62" t="s">
        <v>3768</v>
      </c>
      <c r="M88" s="94" t="n">
        <f aca="false">CTL_PriceLife</f>
        <v>1</v>
      </c>
      <c r="N88" s="94" t="n">
        <f aca="false">CTL_PriceLife</f>
        <v>1</v>
      </c>
      <c r="O88" s="77" t="n">
        <f aca="false">IF(AND(ISNUMBER(D88),ISNUMBER(M88),ISNUMBER(N88)),D88/((M88+N88)/2),"—")</f>
        <v>0.642602366208498</v>
      </c>
      <c r="P88" s="61" t="str">
        <f aca="false">IF(ISNUMBER(D88),IF(AND(D88&gt;=Gov_Map!$K$597,D88&lt;=Gov_Map!$L$597),"落在 "&amp;TEXT(Gov_Map!$K$597,"0.0")&amp;"–"&amp;TEXT(Gov_Map!$L$597,"0.0")&amp;" 區間內","落在 "&amp;TEXT(Gov_Map!$K$597,"0.0")&amp;"–"&amp;TEXT(Gov_Map!$L$597,"0.0")&amp;" 區間外"),"推算值非數字（本情境）")</f>
        <v>落在 0.3–1.0 區間內</v>
      </c>
      <c r="Q88" s="62" t="s">
        <v>3762</v>
      </c>
      <c r="R88" s="62" t="s">
        <v>3769</v>
      </c>
      <c r="S88" s="6" t="s">
        <v>3770</v>
      </c>
      <c r="T88" s="60" t="s">
        <v>3169</v>
      </c>
      <c r="U88" s="93" t="s">
        <v>3752</v>
      </c>
      <c r="V88" s="74" t="s">
        <v>3771</v>
      </c>
    </row>
    <row r="89" customFormat="false" ht="168.65" hidden="false" customHeight="false" outlineLevel="0" collapsed="false">
      <c r="A89" s="62" t="s">
        <v>3772</v>
      </c>
      <c r="B89" s="5" t="s">
        <v>3773</v>
      </c>
      <c r="C89" s="6" t="s">
        <v>3774</v>
      </c>
      <c r="D89" s="124" t="n">
        <f aca="false">Cap_In!$C$240</f>
        <v>2.01097131655178</v>
      </c>
      <c r="E89" s="94" t="n">
        <f aca="false">Cap_In!$D$240</f>
        <v>0.69484781262968</v>
      </c>
      <c r="F89" s="94" t="n">
        <f aca="false">Cap_In!$E$240</f>
        <v>4.45464077137931</v>
      </c>
      <c r="G89" s="62" t="s">
        <v>118</v>
      </c>
      <c r="H89" s="5" t="s">
        <v>3775</v>
      </c>
      <c r="I89" s="5" t="s">
        <v>3776</v>
      </c>
      <c r="J89" s="5" t="s">
        <v>3777</v>
      </c>
      <c r="K89" s="6" t="s">
        <v>3778</v>
      </c>
      <c r="L89" s="62" t="s">
        <v>3779</v>
      </c>
      <c r="M89" s="94" t="n">
        <f aca="false">L1_LTotal</f>
        <v>0.642602366208498</v>
      </c>
      <c r="N89" s="94" t="n">
        <f aca="false">L1_LTotal</f>
        <v>0.642602366208498</v>
      </c>
      <c r="O89" s="77" t="n">
        <f aca="false">IF(AND(ISNUMBER(D89),ISNUMBER(M89),ISNUMBER(N89)),D89/((M89+N89)/2),"—")</f>
        <v>3.12941785200228</v>
      </c>
      <c r="P89" s="61" t="str">
        <f aca="false">IF(AND(ISNUMBER(D89),ISNUMBER(D107),ISNUMBER(M89)),IF(D107&gt;0,"恆等式讀法："&amp;IF(M89&gt;=D107,"回本","未回本")&amp;"（L_total "&amp;TEXT(M89,"0.00")&amp;" 對所需 L "&amp;TEXT(D107,"0.00")&amp;"）；字面讀法 "&amp;TEXT(D89,"0.00")&amp;"（口徑不一致，僅供對照）；兩種讀法差 "&amp;TEXT(D89/D107,"0.00")&amp;" 倍＝付費服務占比倒數 "&amp;TEXT(1/(B4_Serve*(1-B4_Free)),"0.00")&amp;" × 付費 token 占比 "&amp;TEXT(D89/D107/(1/(B4_Serve*(1-B4_Free)))/(AL_UtilActual/IF_Util),"0.000")&amp;" × 實際÷模型利用率 "&amp;TEXT(AL_UtilActual/IF_Util,"0.000"),"所需 L 為 0"),IF(AND(ISNUMBER(D107),ISNUMBER(M89)),IF(M89&gt;=D107,"回本","未回本")&amp;"（恆等式讀法：L_total "&amp;TEXT(M89,"0.00")&amp;" 對所需 L "&amp;TEXT(D107,"0.00")&amp;"；字面讀法非數字）","推算值非數字（本情境）"))</f>
        <v>恆等式讀法：未回本（L_total 0.64 對所需 L 0.76）；字面讀法 2.01（口徑不一致，僅供對照）；兩種讀法差 2.66 倍＝付費服務占比倒數 4.52 × 付費 token 占比 0.862 × 實際÷模型利用率 0.683</v>
      </c>
      <c r="Q89" s="62" t="s">
        <v>3772</v>
      </c>
      <c r="R89" s="62" t="s">
        <v>3780</v>
      </c>
      <c r="S89" s="6" t="s">
        <v>3781</v>
      </c>
      <c r="T89" s="60" t="s">
        <v>3302</v>
      </c>
      <c r="U89" s="93" t="s">
        <v>3782</v>
      </c>
      <c r="V89" s="74" t="s">
        <v>3783</v>
      </c>
    </row>
    <row r="90" customFormat="false" ht="44" hidden="false" customHeight="false" outlineLevel="0" collapsed="false">
      <c r="A90" s="62" t="s">
        <v>3623</v>
      </c>
      <c r="B90" s="5" t="s">
        <v>3784</v>
      </c>
      <c r="C90" s="6" t="s">
        <v>3785</v>
      </c>
      <c r="D90" s="124" t="n">
        <f aca="false">Cap_In!$C$253</f>
        <v>9.53338312707887</v>
      </c>
      <c r="E90" s="94" t="n">
        <f aca="false">Cap_In!$D$253</f>
        <v>9.53338312707887</v>
      </c>
      <c r="F90" s="94" t="n">
        <f aca="false">Cap_In!$E$253</f>
        <v>9.53338312707887</v>
      </c>
      <c r="G90" s="62" t="s">
        <v>118</v>
      </c>
      <c r="H90" s="5" t="s">
        <v>3786</v>
      </c>
      <c r="I90" s="6" t="s">
        <v>3787</v>
      </c>
      <c r="J90" s="5" t="s">
        <v>3788</v>
      </c>
      <c r="K90" s="5" t="s">
        <v>3789</v>
      </c>
      <c r="L90" s="62" t="s">
        <v>3578</v>
      </c>
      <c r="M90" s="116" t="s">
        <v>751</v>
      </c>
      <c r="N90" s="116" t="s">
        <v>751</v>
      </c>
      <c r="O90" s="77"/>
      <c r="P90" s="61" t="str">
        <f aca="false">IF(ISNUMBER(D90),IF(AND(ISNUMBER(M90),ISNUMBER(N90)),IF(M90=N90,IF(ABS(D90/M90-1)&lt;=0.2,"±20% 內","差距 &gt;20%"),IF(D90&lt;M90,"低於外部區間",IF(D90&gt;N90,"高於外部區間","落在外部區間"))),"無外部對照"),"推算值非數字（本情境）")</f>
        <v>無外部對照</v>
      </c>
      <c r="Q90" s="62" t="s">
        <v>3623</v>
      </c>
      <c r="R90" s="62" t="s">
        <v>3790</v>
      </c>
      <c r="S90" s="5" t="s">
        <v>3570</v>
      </c>
      <c r="T90" s="60" t="s">
        <v>3562</v>
      </c>
      <c r="U90" s="93" t="s">
        <v>3580</v>
      </c>
    </row>
    <row r="91" customFormat="false" ht="129.1" hidden="false" customHeight="false" outlineLevel="0" collapsed="false">
      <c r="A91" s="62" t="s">
        <v>3791</v>
      </c>
      <c r="B91" s="5" t="s">
        <v>3792</v>
      </c>
      <c r="C91" s="6" t="s">
        <v>3793</v>
      </c>
      <c r="D91" s="125" t="n">
        <f aca="false">IF(AND(ISNUMBER(L1_MFleet),ISNUMBER(AL_PriceFleet25)),L1_MFleet*AL_PriceFleet25,"m 非數字（本情境）")</f>
        <v>0.684354081163504</v>
      </c>
      <c r="E91" s="116" t="n">
        <f aca="false">IF(AND(ISNUMBER(L1_MFleet_Lo),ISNUMBER(AL_PriceFleet25)),L1_MFleet_Lo*AL_PriceFleet25,"m 非數字（本情境）")</f>
        <v>0.308939934377431</v>
      </c>
      <c r="F91" s="116" t="n">
        <f aca="false">IF(AND(ISNUMBER(L1_MFleet_Hi),ISNUMBER(AL_PriceFleet25)),L1_MFleet_Hi*AL_PriceFleet25,"m 非數字（本情境）")</f>
        <v>1.98060122313202</v>
      </c>
      <c r="G91" s="62" t="s">
        <v>976</v>
      </c>
      <c r="H91" s="5" t="s">
        <v>3794</v>
      </c>
      <c r="I91" s="5" t="s">
        <v>3795</v>
      </c>
      <c r="J91" s="5" t="s">
        <v>3796</v>
      </c>
      <c r="K91" s="6" t="s">
        <v>3797</v>
      </c>
      <c r="L91" s="61" t="s">
        <v>3759</v>
      </c>
      <c r="M91" s="116" t="s">
        <v>751</v>
      </c>
      <c r="N91" s="116" t="s">
        <v>751</v>
      </c>
      <c r="O91" s="77"/>
      <c r="P91" s="61" t="str">
        <f aca="false">IF(ISNUMBER(D91),IF(AND(ISNUMBER(M91),ISNUMBER(N91)),IF(M91=N91,IF(ABS(D91/M91-1)&lt;=0.2,"±20% 內","差距 &gt;20%"),IF(D91&lt;M91,"低於外部區間",IF(D91&gt;N91,"高於外部區間","落在外部區間"))),"無外部對照"),"推算值非數字（本情境）")</f>
        <v>無外部對照</v>
      </c>
      <c r="Q91" s="62" t="s">
        <v>3791</v>
      </c>
      <c r="R91" s="62" t="s">
        <v>3798</v>
      </c>
      <c r="S91" s="5" t="s">
        <v>3799</v>
      </c>
      <c r="T91" s="60" t="s">
        <v>3646</v>
      </c>
      <c r="U91" s="93" t="s">
        <v>3800</v>
      </c>
    </row>
    <row r="92" customFormat="false" ht="129.1" hidden="false" customHeight="false" outlineLevel="0" collapsed="false">
      <c r="A92" s="62" t="s">
        <v>3801</v>
      </c>
      <c r="B92" s="5" t="s">
        <v>3802</v>
      </c>
      <c r="C92" s="6" t="s">
        <v>3803</v>
      </c>
      <c r="D92" s="124" t="n">
        <f aca="false">IF(AND(ISNUMBER(L1_MImplied),ISNUMBER(Cap_In!$C$90)),L1_MImplied*Cap_In!$C$90,"m 非數字（本情境）")</f>
        <v>3.98708831481234</v>
      </c>
      <c r="E92" s="94" t="n">
        <f aca="false">IF(AND(ISNUMBER(L1_MImplied_Lo),ISNUMBER(Cap_In!$C$90)),L1_MImplied_Lo*Cap_In!$C$90,"m 非數字（本情境）")</f>
        <v>1.72123436889246</v>
      </c>
      <c r="F92" s="94" t="n">
        <f aca="false">IF(AND(ISNUMBER(L1_MImplied_Hi),ISNUMBER(Cap_In!$C$90)),L1_MImplied_Hi*Cap_In!$C$90,"m 非數字（本情境）")</f>
        <v>6.75690257749568</v>
      </c>
      <c r="G92" s="62" t="s">
        <v>976</v>
      </c>
      <c r="H92" s="5" t="s">
        <v>3804</v>
      </c>
      <c r="I92" s="5" t="s">
        <v>3795</v>
      </c>
      <c r="J92" s="5" t="s">
        <v>3805</v>
      </c>
      <c r="K92" s="5" t="s">
        <v>3806</v>
      </c>
      <c r="L92" s="61" t="s">
        <v>3759</v>
      </c>
      <c r="M92" s="116" t="s">
        <v>751</v>
      </c>
      <c r="N92" s="116" t="s">
        <v>751</v>
      </c>
      <c r="O92" s="77"/>
      <c r="P92" s="61" t="str">
        <f aca="false">IF(ISNUMBER(D92),IF(AND(ISNUMBER(M92),ISNUMBER(N92)),IF(M92=N92,IF(ABS(D92/M92-1)&lt;=0.2,"±20% 內","差距 &gt;20%"),IF(D92&lt;M92,"低於外部區間",IF(D92&gt;N92,"高於外部區間","落在外部區間"))),"無外部對照"),"推算值非數字（本情境）")</f>
        <v>無外部對照</v>
      </c>
      <c r="Q92" s="62" t="s">
        <v>3801</v>
      </c>
      <c r="R92" s="62" t="s">
        <v>3798</v>
      </c>
      <c r="S92" s="5" t="s">
        <v>3799</v>
      </c>
      <c r="T92" s="60" t="s">
        <v>3646</v>
      </c>
      <c r="U92" s="93" t="s">
        <v>3800</v>
      </c>
    </row>
    <row r="93" customFormat="false" ht="129.1" hidden="false" customHeight="false" outlineLevel="0" collapsed="false">
      <c r="A93" s="62" t="s">
        <v>3807</v>
      </c>
      <c r="B93" s="5" t="s">
        <v>3808</v>
      </c>
      <c r="C93" s="6" t="s">
        <v>3809</v>
      </c>
      <c r="D93" s="125" t="n">
        <f aca="false">IF(AND(ISNUMBER(L1_FleetBreakeven2025),ISNUMBER(L1_LTotal),ISNUMBER(AL_PriceFleet25)),L1_FleetBreakeven2025/(IF_Util*CTL_ProdDerate)*AL_PriceFleet25/L1_LTotal,"m 非數字（本情境）")</f>
        <v>2.14162987868368</v>
      </c>
      <c r="E93" s="116" t="n">
        <f aca="false">IF(AND(ISNUMBER(L1_FleetBreakeven2025),ISNUMBER(L1_LTotal_Hi),ISNUMBER(AL_PriceFleet25)),L1_FleetBreakeven2025/(IF_Util*CTL_ProdDerate)*AL_PriceFleet25/L1_LTotal_Hi,"m 非數字（本情境）")</f>
        <v>1.18459310994655</v>
      </c>
      <c r="F93" s="116" t="n">
        <f aca="false">IF(AND(ISNUMBER(L1_FleetBreakeven2025),ISNUMBER(L1_LTotal_Lo),ISNUMBER(AL_PriceFleet25)),L1_FleetBreakeven2025/(IF_Util*CTL_ProdDerate)*AL_PriceFleet25/L1_LTotal_Lo,"m 非數字（本情境）")</f>
        <v>4.02405046674952</v>
      </c>
      <c r="G93" s="62" t="s">
        <v>976</v>
      </c>
      <c r="H93" s="5" t="s">
        <v>3810</v>
      </c>
      <c r="I93" s="5" t="s">
        <v>3795</v>
      </c>
      <c r="J93" s="5" t="s">
        <v>3811</v>
      </c>
      <c r="K93" s="6" t="s">
        <v>3812</v>
      </c>
      <c r="L93" s="61" t="s">
        <v>3813</v>
      </c>
      <c r="M93" s="94" t="n">
        <f aca="false">L1_PriceRealFleet</f>
        <v>0.684354081163504</v>
      </c>
      <c r="N93" s="94" t="n">
        <f aca="false">L1_PriceRealFleet</f>
        <v>0.684354081163504</v>
      </c>
      <c r="O93" s="77" t="n">
        <f aca="false">IF(AND(ISNUMBER(D93),ISNUMBER(M93),ISNUMBER(N93)),D93/((M93+N93)/2),"—")</f>
        <v>3.12941785200228</v>
      </c>
      <c r="P93" s="61" t="str">
        <f aca="false">IF(AND(ISNUMBER(D93),ISNUMBER(M93)),IF(M93&gt;=D93,"回本：機隊實收 "&amp;TEXT(M93,"0.00")&amp;" ≥ 所需 "&amp;TEXT(D93,"0.00")&amp;" $/M","未回本：機隊實收 "&amp;TEXT(M93,"0.00")&amp;" &lt; 所需 "&amp;TEXT(D93,"0.00")&amp;" $/M"),"推算值非數字（本情境）")</f>
        <v>未回本：機隊實收 0.68 &lt; 所需 2.14 $/M</v>
      </c>
      <c r="Q93" s="62" t="s">
        <v>3807</v>
      </c>
      <c r="R93" s="62" t="s">
        <v>3798</v>
      </c>
      <c r="S93" s="5" t="s">
        <v>3814</v>
      </c>
      <c r="T93" s="60" t="s">
        <v>3302</v>
      </c>
      <c r="U93" s="93" t="s">
        <v>3782</v>
      </c>
      <c r="V93" s="74" t="s">
        <v>3815</v>
      </c>
    </row>
    <row r="94" customFormat="false" ht="86.55" hidden="false" customHeight="false" outlineLevel="0" collapsed="false">
      <c r="A94" s="62" t="s">
        <v>3816</v>
      </c>
      <c r="B94" s="5" t="s">
        <v>3817</v>
      </c>
      <c r="C94" s="5" t="s">
        <v>3818</v>
      </c>
      <c r="D94" s="124" t="n">
        <f aca="false">Cap_In!$C$263</f>
        <v>1.16494745575221</v>
      </c>
      <c r="E94" s="94" t="n">
        <f aca="false">Cap_In!$D$263</f>
        <v>0.832300884955752</v>
      </c>
      <c r="F94" s="94" t="n">
        <f aca="false">Cap_In!$E$263</f>
        <v>1.35497787610619</v>
      </c>
      <c r="G94" s="62" t="s">
        <v>118</v>
      </c>
      <c r="H94" s="5" t="s">
        <v>3819</v>
      </c>
      <c r="I94" s="5" t="s">
        <v>3820</v>
      </c>
      <c r="J94" s="6" t="s">
        <v>3821</v>
      </c>
      <c r="K94" s="5" t="s">
        <v>3822</v>
      </c>
      <c r="L94" s="61" t="s">
        <v>3759</v>
      </c>
      <c r="M94" s="116" t="s">
        <v>751</v>
      </c>
      <c r="N94" s="116" t="s">
        <v>751</v>
      </c>
      <c r="O94" s="77"/>
      <c r="P94" s="61" t="str">
        <f aca="false">IF(ISNUMBER(D94),IF(AND(ISNUMBER(M94),ISNUMBER(N94)),IF(M94=N94,IF(ABS(D94/M94-1)&lt;=0.2,"±20% 內","差距 &gt;20%"),IF(D94&lt;M94,"低於外部區間",IF(D94&gt;N94,"高於外部區間","落在外部區間"))),"無外部對照"),"推算值非數字（本情境）")</f>
        <v>無外部對照</v>
      </c>
      <c r="Q94" s="62" t="s">
        <v>3816</v>
      </c>
      <c r="R94" s="62" t="s">
        <v>3823</v>
      </c>
      <c r="S94" s="5" t="s">
        <v>3824</v>
      </c>
      <c r="T94" s="60" t="s">
        <v>3169</v>
      </c>
      <c r="U94" s="93" t="s">
        <v>3752</v>
      </c>
    </row>
    <row r="95" customFormat="false" ht="143.25" hidden="false" customHeight="false" outlineLevel="0" collapsed="false">
      <c r="A95" s="62" t="s">
        <v>3825</v>
      </c>
      <c r="B95" s="5" t="s">
        <v>3826</v>
      </c>
      <c r="C95" s="6" t="s">
        <v>3827</v>
      </c>
      <c r="D95" s="125" t="n">
        <f aca="false">IF(AND(ISNUMBER(INDEX(IFW_RevGWFleet_Prod,1,11)),ISNUMBER(INDEX(IFW_RevGWFleet_Util,1,11))),IF(INDEX(IFW_RevGWFleet_Util,1,11)&gt;0,INDEX(IFW_RevGWFleet_Prod,1,11)/INDEX(IFW_RevGWFleet_Util,1,11),AL_UnavailTxt),AL_UnavailTxt)</f>
        <v>0.805818389154781</v>
      </c>
      <c r="E95" s="116" t="n">
        <f aca="false">IF(AND(ISNUMBER(INDEX(IFW_RevGWFleet_Prod,1,10)),ISNUMBER(INDEX(IFW_RevGWFleet_Util,1,10))),IF(INDEX(IFW_RevGWFleet_Util,1,10)&gt;0,INDEX(IFW_RevGWFleet_Prod,1,10)/INDEX(IFW_RevGWFleet_Util,1,10),AL_UnavailTxt),AL_UnavailTxt)</f>
        <v>0.805818389154781</v>
      </c>
      <c r="F95" s="116" t="n">
        <f aca="false">IF(AND(ISNUMBER(INDEX(IFW_RevGWFleet_Prod,1,12)),ISNUMBER(INDEX(IFW_RevGWFleet_Util,1,12))),IF(INDEX(IFW_RevGWFleet_Util,1,12)&gt;0,INDEX(IFW_RevGWFleet_Prod,1,12)/INDEX(IFW_RevGWFleet_Util,1,12),AL_UnavailTxt),AL_UnavailTxt)</f>
        <v>0.805818389154781</v>
      </c>
      <c r="G95" s="62" t="s">
        <v>118</v>
      </c>
      <c r="H95" s="6" t="s">
        <v>3828</v>
      </c>
      <c r="I95" s="6" t="s">
        <v>3829</v>
      </c>
      <c r="J95" s="5" t="s">
        <v>3830</v>
      </c>
      <c r="K95" s="6" t="s">
        <v>3831</v>
      </c>
      <c r="L95" s="61" t="s">
        <v>3759</v>
      </c>
      <c r="M95" s="116" t="s">
        <v>751</v>
      </c>
      <c r="N95" s="116" t="s">
        <v>751</v>
      </c>
      <c r="O95" s="77"/>
      <c r="P95" s="61" t="str">
        <f aca="false">IF(ISNUMBER(D95),IF(AND(ISNUMBER(M95),ISNUMBER(N95)),IF(M95=N95,IF(ABS(D95/M95-1)&lt;=0.2,"±20% 內","差距 &gt;20%"),IF(D95&lt;M95,"低於外部區間",IF(D95&gt;N95,"高於外部區間","落在外部區間"))),"無外部對照"),"推算值非數字（本情境）")</f>
        <v>無外部對照</v>
      </c>
      <c r="Q95" s="62" t="s">
        <v>3825</v>
      </c>
      <c r="R95" s="62" t="s">
        <v>3832</v>
      </c>
      <c r="S95" s="5" t="s">
        <v>3833</v>
      </c>
      <c r="T95" s="60" t="s">
        <v>3169</v>
      </c>
      <c r="U95" s="93" t="s">
        <v>3482</v>
      </c>
    </row>
    <row r="96" customFormat="false" ht="157.45" hidden="false" customHeight="false" outlineLevel="0" collapsed="false">
      <c r="A96" s="62" t="s">
        <v>3834</v>
      </c>
      <c r="B96" s="5" t="s">
        <v>3835</v>
      </c>
      <c r="C96" s="6" t="s">
        <v>3836</v>
      </c>
      <c r="D96" s="125" t="n">
        <f aca="false">IF(AND(ISNUMBER(L1_TokMW_Gen_ratio_GB200),ISNUMBER(CAP_GenGap_GB200)),IF(AND(L1_TokMW_Gen_ratio_GB200&gt;0,CAP_GenGap_GB200&gt;0),L1_TokMW_Gen_ratio_GB200^(-1/CAP_GenGap_GB200)-1,AL_UnavailTxt),AL_UnavailTxt)</f>
        <v>-0.541737710566718</v>
      </c>
      <c r="E96" s="116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IN(L1_TokMW_Gen_ratio_GB200_Lo^(-1/CAP_GenGap_GB200_Lo)-1,L1_TokMW_Gen_ratio_GB200_Hi^(-1/CAP_GenGap_GB200_Hi)-1),AL_UnavailTxt),AL_UnavailTxt)</f>
        <v>-0.541737710566718</v>
      </c>
      <c r="F96" s="116" t="n">
        <f aca="false">IF(AND(ISNUMBER(L1_TokMW_Gen_ratio_GB200_Lo),ISNUMBER(L1_TokMW_Gen_ratio_GB200_Hi),ISNUMBER(CAP_GenGap_GB200_Lo),ISNUMBER(CAP_GenGap_GB200_Hi)),IF(AND(L1_TokMW_Gen_ratio_GB200_Lo&gt;0,L1_TokMW_Gen_ratio_GB200_Hi&gt;0,CAP_GenGap_GB200_Lo&gt;0,CAP_GenGap_GB200_Hi&gt;0),MAX(L1_TokMW_Gen_ratio_GB200_Lo^(-1/CAP_GenGap_GB200_Lo)-1,L1_TokMW_Gen_ratio_GB200_Hi^(-1/CAP_GenGap_GB200_Hi)-1),AL_UnavailTxt),AL_UnavailTxt)</f>
        <v>-0.491368776517504</v>
      </c>
      <c r="G96" s="62" t="s">
        <v>3837</v>
      </c>
      <c r="H96" s="6" t="s">
        <v>3838</v>
      </c>
      <c r="I96" s="5" t="s">
        <v>3839</v>
      </c>
      <c r="J96" s="6" t="s">
        <v>3840</v>
      </c>
      <c r="K96" s="6" t="s">
        <v>3841</v>
      </c>
      <c r="L96" s="61" t="s">
        <v>3759</v>
      </c>
      <c r="M96" s="116" t="s">
        <v>751</v>
      </c>
      <c r="N96" s="116" t="s">
        <v>751</v>
      </c>
      <c r="O96" s="77"/>
      <c r="P96" s="61" t="str">
        <f aca="false">IF(ISNUMBER(D96),IF(AND(ISNUMBER(M96),ISNUMBER(N96)),IF(M96=N96,IF(ABS(D96/M96-1)&lt;=0.2,"±20% 內","差距 &gt;20%"),IF(D96&lt;M96,"低於外部區間",IF(D96&gt;N96,"高於外部區間","落在外部區間"))),"無外部對照"),"推算值非數字（本情境）")</f>
        <v>無外部對照</v>
      </c>
      <c r="Q96" s="62" t="s">
        <v>3834</v>
      </c>
      <c r="R96" s="62" t="s">
        <v>3842</v>
      </c>
      <c r="S96" s="5" t="s">
        <v>3843</v>
      </c>
      <c r="T96" s="60" t="s">
        <v>3302</v>
      </c>
      <c r="U96" s="93" t="s">
        <v>3844</v>
      </c>
    </row>
    <row r="97" customFormat="false" ht="157.45" hidden="false" customHeight="false" outlineLevel="0" collapsed="false">
      <c r="A97" s="62" t="s">
        <v>3845</v>
      </c>
      <c r="B97" s="5" t="s">
        <v>3846</v>
      </c>
      <c r="C97" s="6" t="s">
        <v>3847</v>
      </c>
      <c r="D97" s="125" t="n">
        <f aca="false">IF(AND(ISNUMBER(L1_TokMW_Gen_ratio_GB300),ISNUMBER(CAP_GenGap_GB300)),IF(AND(L1_TokMW_Gen_ratio_GB300&gt;0,CAP_GenGap_GB300&gt;0),L1_TokMW_Gen_ratio_GB300^(-1/CAP_GenGap_GB300)-1,AL_UnavailTxt),AL_UnavailTxt)</f>
        <v>-0.599930332099258</v>
      </c>
      <c r="E97" s="116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IN(L1_TokMW_Gen_ratio_GB300_Lo^(-1/CAP_GenGap_GB300_Lo)-1,L1_TokMW_Gen_ratio_GB300_Hi^(-1/CAP_GenGap_GB300_Hi)-1),AL_UnavailTxt),AL_UnavailTxt)</f>
        <v>-0.599930332099258</v>
      </c>
      <c r="F97" s="116" t="n">
        <f aca="false">IF(AND(ISNUMBER(L1_TokMW_Gen_ratio_GB300_Lo),ISNUMBER(L1_TokMW_Gen_ratio_GB300_Hi),ISNUMBER(CAP_GenGap_GB300_Lo),ISNUMBER(CAP_GenGap_GB300_Hi)),IF(AND(L1_TokMW_Gen_ratio_GB300_Lo&gt;0,L1_TokMW_Gen_ratio_GB300_Hi&gt;0,CAP_GenGap_GB300_Lo&gt;0,CAP_GenGap_GB300_Hi&gt;0),MAX(L1_TokMW_Gen_ratio_GB300_Lo^(-1/CAP_GenGap_GB300_Lo)-1,L1_TokMW_Gen_ratio_GB300_Hi^(-1/CAP_GenGap_GB300_Hi)-1),AL_UnavailTxt),AL_UnavailTxt)</f>
        <v>-0.501209940331835</v>
      </c>
      <c r="G97" s="62" t="s">
        <v>3837</v>
      </c>
      <c r="H97" s="6" t="s">
        <v>3838</v>
      </c>
      <c r="I97" s="5" t="s">
        <v>3839</v>
      </c>
      <c r="J97" s="6" t="s">
        <v>3848</v>
      </c>
      <c r="K97" s="6" t="s">
        <v>3841</v>
      </c>
      <c r="L97" s="61" t="s">
        <v>3759</v>
      </c>
      <c r="M97" s="116" t="s">
        <v>751</v>
      </c>
      <c r="N97" s="116" t="s">
        <v>751</v>
      </c>
      <c r="O97" s="77"/>
      <c r="P97" s="61" t="str">
        <f aca="false">IF(ISNUMBER(D97),IF(AND(ISNUMBER(M97),ISNUMBER(N97)),IF(M97=N97,IF(ABS(D97/M97-1)&lt;=0.2,"±20% 內","差距 &gt;20%"),IF(D97&lt;M97,"低於外部區間",IF(D97&gt;N97,"高於外部區間","落在外部區間"))),"無外部對照"),"推算值非數字（本情境）")</f>
        <v>無外部對照</v>
      </c>
      <c r="Q97" s="62" t="s">
        <v>3845</v>
      </c>
      <c r="R97" s="62" t="s">
        <v>3842</v>
      </c>
      <c r="S97" s="5" t="s">
        <v>3843</v>
      </c>
      <c r="T97" s="60" t="s">
        <v>3302</v>
      </c>
      <c r="U97" s="93" t="s">
        <v>3844</v>
      </c>
    </row>
    <row r="98" customFormat="false" ht="157.45" hidden="false" customHeight="false" outlineLevel="0" collapsed="false">
      <c r="A98" s="62" t="s">
        <v>3849</v>
      </c>
      <c r="B98" s="5" t="s">
        <v>3850</v>
      </c>
      <c r="C98" s="6" t="s">
        <v>3851</v>
      </c>
      <c r="D98" s="125" t="n">
        <f aca="false">IF(AND(ISNUMBER(L1_TokMW_Gen_ratio_VR200),ISNUMBER(CAP_GenGap_VR200)),IF(AND(L1_TokMW_Gen_ratio_VR200&gt;0,CAP_GenGap_VR200&gt;0),L1_TokMW_Gen_ratio_VR200^(-1/CAP_GenGap_VR200)-1,AL_UnavailTxt),AL_UnavailTxt)</f>
        <v>-0.291708664310804</v>
      </c>
      <c r="E98" s="116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IN(L1_TokMW_Gen_ratio_VR200_Lo^(-1/CAP_GenGap_VR200_Lo)-1,L1_TokMW_Gen_ratio_VR200_Hi^(-1/CAP_GenGap_VR200_Hi)-1),AL_UnavailTxt),AL_UnavailTxt)</f>
        <v>-0.44423419554003</v>
      </c>
      <c r="F98" s="116" t="n">
        <f aca="false">IF(AND(ISNUMBER(L1_TokMW_Gen_ratio_VR200_Lo),ISNUMBER(L1_TokMW_Gen_ratio_VR200_Hi),ISNUMBER(CAP_GenGap_VR200_Lo),ISNUMBER(CAP_GenGap_VR200_Hi)),IF(AND(L1_TokMW_Gen_ratio_VR200_Lo&gt;0,L1_TokMW_Gen_ratio_VR200_Hi&gt;0,CAP_GenGap_VR200_Lo&gt;0,CAP_GenGap_VR200_Hi&gt;0),MAX(L1_TokMW_Gen_ratio_VR200_Lo^(-1/CAP_GenGap_VR200_Lo)-1,L1_TokMW_Gen_ratio_VR200_Hi^(-1/CAP_GenGap_VR200_Hi)-1),AL_UnavailTxt),AL_UnavailTxt)</f>
        <v>0.191390865746128</v>
      </c>
      <c r="G98" s="62" t="s">
        <v>3837</v>
      </c>
      <c r="H98" s="6" t="s">
        <v>3852</v>
      </c>
      <c r="I98" s="5" t="s">
        <v>3839</v>
      </c>
      <c r="J98" s="6" t="s">
        <v>3853</v>
      </c>
      <c r="K98" s="6" t="s">
        <v>3841</v>
      </c>
      <c r="L98" s="61" t="s">
        <v>3759</v>
      </c>
      <c r="M98" s="116" t="s">
        <v>751</v>
      </c>
      <c r="N98" s="116" t="s">
        <v>751</v>
      </c>
      <c r="O98" s="77"/>
      <c r="P98" s="61" t="str">
        <f aca="false">IF(ISNUMBER(D98),IF(AND(ISNUMBER(M98),ISNUMBER(N98)),IF(M98=N98,IF(ABS(D98/M98-1)&lt;=0.2,"±20% 內","差距 &gt;20%"),IF(D98&lt;M98,"低於外部區間",IF(D98&gt;N98,"高於外部區間","落在外部區間"))),"無外部對照"),"推算值非數字（本情境）")</f>
        <v>無外部對照</v>
      </c>
      <c r="Q98" s="62" t="s">
        <v>3849</v>
      </c>
      <c r="R98" s="62" t="s">
        <v>3842</v>
      </c>
      <c r="S98" s="5" t="s">
        <v>3843</v>
      </c>
      <c r="T98" s="60" t="s">
        <v>3302</v>
      </c>
      <c r="U98" s="93" t="s">
        <v>3844</v>
      </c>
    </row>
    <row r="99" customFormat="false" ht="157.45" hidden="false" customHeight="false" outlineLevel="0" collapsed="false">
      <c r="A99" s="62" t="s">
        <v>3854</v>
      </c>
      <c r="B99" s="5" t="s">
        <v>3855</v>
      </c>
      <c r="C99" s="5" t="s">
        <v>3856</v>
      </c>
      <c r="D99" s="125" t="n">
        <f aca="false">IF(AND(ISNUMBER(L1_TokMW_Gen_ratio_GB200),ISNUMBER(CAP_GenGap_GB200),ISNUMBER(L1_HoldEconMW_GB200),ISNUMBER(L1_HoldEconMW_Hopper)),IF(AND(L1_TokMW_Gen_ratio_GB200&gt;0,CAP_GenGap_GB200&gt;0,L1_HoldEconMW_Hopper&gt;0),(L1_HoldEconMW_GB200/L1_HoldEconMW_Hopper/L1_TokMW_Gen_ratio_GB200)^(1/CAP_GenGap_GB200)-1,AL_UnavailTxt),AL_UnavailTxt)</f>
        <v>-0.564202619127994</v>
      </c>
      <c r="E99" s="116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IN((L1_HoldEconMW_GB200/L1_HoldEconMW_Hopper/L1_TokMW_Gen_ratio_GB200_Lo)^(1/CAP_GenGap_GB200_Lo)-1,(L1_HoldEconMW_GB200/L1_HoldEconMW_Hopper/L1_TokMW_Gen_ratio_GB200_Hi)^(1/CAP_GenGap_GB200_Hi)-1),AL_UnavailTxt),AL_UnavailTxt)</f>
        <v>-0.564202619127994</v>
      </c>
      <c r="F99" s="116" t="n">
        <f aca="false">IF(AND(ISNUMBER(L1_TokMW_Gen_ratio_GB200_Lo),ISNUMBER(L1_TokMW_Gen_ratio_GB200_Hi),ISNUMBER(CAP_GenGap_GB200_Lo),ISNUMBER(CAP_GenGap_GB200_Hi),ISNUMBER(L1_HoldEconMW_GB200),ISNUMBER(L1_HoldEconMW_Hopper)),IF(AND(L1_TokMW_Gen_ratio_GB200_Lo&gt;0,L1_TokMW_Gen_ratio_GB200_Hi&gt;0,CAP_GenGap_GB200_Lo&gt;0,CAP_GenGap_GB200_Hi&gt;0,L1_HoldEconMW_Hopper&gt;0),MAX((L1_HoldEconMW_GB200/L1_HoldEconMW_Hopper/L1_TokMW_Gen_ratio_GB200_Lo)^(1/CAP_GenGap_GB200_Lo)-1,(L1_HoldEconMW_GB200/L1_HoldEconMW_Hopper/L1_TokMW_Gen_ratio_GB200_Hi)^(1/CAP_GenGap_GB200_Hi)-1),AL_UnavailTxt),AL_UnavailTxt)</f>
        <v>-0.513042768968498</v>
      </c>
      <c r="G99" s="62" t="s">
        <v>3837</v>
      </c>
      <c r="H99" s="6" t="s">
        <v>3857</v>
      </c>
      <c r="I99" s="5" t="s">
        <v>3839</v>
      </c>
      <c r="J99" s="6" t="s">
        <v>3858</v>
      </c>
      <c r="K99" s="6" t="s">
        <v>3859</v>
      </c>
      <c r="L99" s="61" t="s">
        <v>3759</v>
      </c>
      <c r="M99" s="116" t="s">
        <v>751</v>
      </c>
      <c r="N99" s="116" t="s">
        <v>751</v>
      </c>
      <c r="O99" s="77"/>
      <c r="P99" s="61" t="str">
        <f aca="false">IF(ISNUMBER(D99),IF(AND(ISNUMBER(M99),ISNUMBER(N99)),IF(M99=N99,IF(ABS(D99/M99-1)&lt;=0.2,"±20% 內","差距 &gt;20%"),IF(D99&lt;M99,"低於外部區間",IF(D99&gt;N99,"高於外部區間","落在外部區間"))),"無外部對照"),"推算值非數字（本情境）")</f>
        <v>無外部對照</v>
      </c>
      <c r="Q99" s="62" t="s">
        <v>3854</v>
      </c>
      <c r="R99" s="62" t="s">
        <v>3842</v>
      </c>
      <c r="S99" s="5" t="s">
        <v>3860</v>
      </c>
      <c r="T99" s="60" t="s">
        <v>3302</v>
      </c>
      <c r="U99" s="93" t="s">
        <v>3844</v>
      </c>
    </row>
    <row r="100" customFormat="false" ht="157.45" hidden="false" customHeight="false" outlineLevel="0" collapsed="false">
      <c r="A100" s="62" t="s">
        <v>3861</v>
      </c>
      <c r="B100" s="5" t="s">
        <v>3862</v>
      </c>
      <c r="C100" s="5" t="s">
        <v>3863</v>
      </c>
      <c r="D100" s="125" t="n">
        <f aca="false">IF(AND(ISNUMBER(L1_TokMW_Gen_ratio_GB300),ISNUMBER(CAP_GenGap_GB300),ISNUMBER(L1_HoldEconMW_GB300),ISNUMBER(L1_HoldEconMW_GB200)),IF(AND(L1_TokMW_Gen_ratio_GB300&gt;0,CAP_GenGap_GB300&gt;0,L1_HoldEconMW_GB200&gt;0),(L1_HoldEconMW_GB300/L1_HoldEconMW_GB200/L1_TokMW_Gen_ratio_GB300)^(1/CAP_GenGap_GB300)-1,AL_UnavailTxt),AL_UnavailTxt)</f>
        <v>-0.333006474069723</v>
      </c>
      <c r="E100" s="116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IN((L1_HoldEconMW_GB300/L1_HoldEconMW_GB200/L1_TokMW_Gen_ratio_GB300_Lo)^(1/CAP_GenGap_GB300_Lo)-1,(L1_HoldEconMW_GB300/L1_HoldEconMW_GB200/L1_TokMW_Gen_ratio_GB300_Hi)^(1/CAP_GenGap_GB300_Hi)-1),AL_UnavailTxt),AL_UnavailTxt)</f>
        <v>-0.333006474069723</v>
      </c>
      <c r="F100" s="116" t="n">
        <f aca="false">IF(AND(ISNUMBER(L1_TokMW_Gen_ratio_GB300_Lo),ISNUMBER(L1_TokMW_Gen_ratio_GB300_Hi),ISNUMBER(CAP_GenGap_GB300_Lo),ISNUMBER(CAP_GenGap_GB300_Hi),ISNUMBER(L1_HoldEconMW_GB300),ISNUMBER(L1_HoldEconMW_GB200)),IF(AND(L1_TokMW_Gen_ratio_GB300_Lo&gt;0,L1_TokMW_Gen_ratio_GB300_Hi&gt;0,CAP_GenGap_GB300_Lo&gt;0,CAP_GenGap_GB300_Hi&gt;0,L1_HoldEconMW_GB200&gt;0),MAX((L1_HoldEconMW_GB300/L1_HoldEconMW_GB200/L1_TokMW_Gen_ratio_GB300_Lo)^(1/CAP_GenGap_GB300_Lo)-1,(L1_HoldEconMW_GB300/L1_HoldEconMW_GB200/L1_TokMW_Gen_ratio_GB300_Hi)^(1/CAP_GenGap_GB300_Hi)-1),AL_UnavailTxt),AL_UnavailTxt)</f>
        <v>-0.264703141710284</v>
      </c>
      <c r="G100" s="62" t="s">
        <v>3837</v>
      </c>
      <c r="H100" s="6" t="s">
        <v>3857</v>
      </c>
      <c r="I100" s="5" t="s">
        <v>3839</v>
      </c>
      <c r="J100" s="6" t="s">
        <v>3864</v>
      </c>
      <c r="K100" s="6" t="s">
        <v>3859</v>
      </c>
      <c r="L100" s="61" t="s">
        <v>3759</v>
      </c>
      <c r="M100" s="116" t="s">
        <v>751</v>
      </c>
      <c r="N100" s="116" t="s">
        <v>751</v>
      </c>
      <c r="O100" s="77"/>
      <c r="P100" s="61" t="str">
        <f aca="false">IF(ISNUMBER(D100),IF(AND(ISNUMBER(M100),ISNUMBER(N100)),IF(M100=N100,IF(ABS(D100/M100-1)&lt;=0.2,"±20% 內","差距 &gt;20%"),IF(D100&lt;M100,"低於外部區間",IF(D100&gt;N100,"高於外部區間","落在外部區間"))),"無外部對照"),"推算值非數字（本情境）")</f>
        <v>無外部對照</v>
      </c>
      <c r="Q100" s="62" t="s">
        <v>3861</v>
      </c>
      <c r="R100" s="62" t="s">
        <v>3842</v>
      </c>
      <c r="S100" s="5" t="s">
        <v>3860</v>
      </c>
      <c r="T100" s="60" t="s">
        <v>3302</v>
      </c>
      <c r="U100" s="93" t="s">
        <v>3844</v>
      </c>
    </row>
    <row r="101" customFormat="false" ht="157.45" hidden="false" customHeight="false" outlineLevel="0" collapsed="false">
      <c r="A101" s="62" t="s">
        <v>3865</v>
      </c>
      <c r="B101" s="5" t="s">
        <v>3866</v>
      </c>
      <c r="C101" s="5" t="s">
        <v>3867</v>
      </c>
      <c r="D101" s="125" t="n">
        <f aca="false">IF(AND(ISNUMBER(L1_TokMW_Gen_ratio_VR200),ISNUMBER(CAP_GenGap_VR200),ISNUMBER(L1_HoldEconMW_VR200),ISNUMBER(L1_HoldEconMW_GB300)),IF(AND(L1_TokMW_Gen_ratio_VR200&gt;0,CAP_GenGap_VR200&gt;0,L1_HoldEconMW_GB300&gt;0),(L1_HoldEconMW_VR200/L1_HoldEconMW_GB300/L1_TokMW_Gen_ratio_VR200)^(1/CAP_GenGap_VR200)-1,AL_UnavailTxt),AL_UnavailTxt)</f>
        <v>-0.218538503474958</v>
      </c>
      <c r="E101" s="116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IN((L1_HoldEconMW_VR200/L1_HoldEconMW_GB300/L1_TokMW_Gen_ratio_VR200_Lo)^(1/CAP_GenGap_VR200_Lo)-1,(L1_HoldEconMW_VR200/L1_HoldEconMW_GB300/L1_TokMW_Gen_ratio_VR200_Hi)^(1/CAP_GenGap_VR200_Hi)-1),AL_UnavailTxt),AL_UnavailTxt)</f>
        <v>-0.389730650372053</v>
      </c>
      <c r="F101" s="116" t="n">
        <f aca="false">IF(AND(ISNUMBER(L1_TokMW_Gen_ratio_VR200_Lo),ISNUMBER(L1_TokMW_Gen_ratio_VR200_Hi),ISNUMBER(CAP_GenGap_VR200_Lo),ISNUMBER(CAP_GenGap_VR200_Hi),ISNUMBER(L1_HoldEconMW_VR200),ISNUMBER(L1_HoldEconMW_GB300)),IF(AND(L1_TokMW_Gen_ratio_VR200_Lo&gt;0,L1_TokMW_Gen_ratio_VR200_Hi&gt;0,CAP_GenGap_VR200_Lo&gt;0,CAP_GenGap_VR200_Hi&gt;0,L1_HoldEconMW_GB300&gt;0),MAX((L1_HoldEconMW_VR200/L1_HoldEconMW_GB300/L1_TokMW_Gen_ratio_VR200_Lo)^(1/CAP_GenGap_VR200_Lo)-1,(L1_HoldEconMW_VR200/L1_HoldEconMW_GB300/L1_TokMW_Gen_ratio_VR200_Hi)^(1/CAP_GenGap_VR200_Hi)-1),AL_UnavailTxt),AL_UnavailTxt)</f>
        <v>0.32264239874984</v>
      </c>
      <c r="G101" s="62" t="s">
        <v>3837</v>
      </c>
      <c r="H101" s="6" t="s">
        <v>3857</v>
      </c>
      <c r="I101" s="5" t="s">
        <v>3839</v>
      </c>
      <c r="J101" s="6" t="s">
        <v>3868</v>
      </c>
      <c r="K101" s="6" t="s">
        <v>3859</v>
      </c>
      <c r="L101" s="61" t="s">
        <v>3759</v>
      </c>
      <c r="M101" s="116" t="s">
        <v>751</v>
      </c>
      <c r="N101" s="116" t="s">
        <v>751</v>
      </c>
      <c r="O101" s="77"/>
      <c r="P101" s="61" t="str">
        <f aca="false">IF(ISNUMBER(D101),IF(AND(ISNUMBER(M101),ISNUMBER(N101)),IF(M101=N101,IF(ABS(D101/M101-1)&lt;=0.2,"±20% 內","差距 &gt;20%"),IF(D101&lt;M101,"低於外部區間",IF(D101&gt;N101,"高於外部區間","落在外部區間"))),"無外部對照"),"推算值非數字（本情境）")</f>
        <v>無外部對照</v>
      </c>
      <c r="Q101" s="62" t="s">
        <v>3865</v>
      </c>
      <c r="R101" s="62" t="s">
        <v>3842</v>
      </c>
      <c r="S101" s="5" t="s">
        <v>3860</v>
      </c>
      <c r="T101" s="60" t="s">
        <v>3302</v>
      </c>
      <c r="U101" s="93" t="s">
        <v>3844</v>
      </c>
    </row>
    <row r="102" customFormat="false" ht="72.35" hidden="false" customHeight="false" outlineLevel="0" collapsed="false">
      <c r="A102" s="62" t="s">
        <v>3869</v>
      </c>
      <c r="B102" s="6" t="s">
        <v>3870</v>
      </c>
      <c r="C102" s="6" t="s">
        <v>3871</v>
      </c>
      <c r="D102" s="124" t="n">
        <f aca="false">Cap_In!$C$284</f>
        <v>0.349039941475474</v>
      </c>
      <c r="E102" s="94" t="n">
        <f aca="false">Cap_In!$D$284</f>
        <v>0.15756810631012</v>
      </c>
      <c r="F102" s="94" t="n">
        <f aca="false">Cap_In!$E$284</f>
        <v>1.01016265415255</v>
      </c>
      <c r="G102" s="62" t="s">
        <v>118</v>
      </c>
      <c r="H102" s="5" t="s">
        <v>3872</v>
      </c>
      <c r="I102" s="5" t="str">
        <f aca="false">"v7.0 當時的 L1_MFleet 值為 0.5565（歷史值）；本列現值 "&amp;IF(ISNUMBER(D102),TEXT(D102,"0.0000"),"—")&amp;"（公式，隨輸入變動）；D2 之前把 2025 營收配 2026 牌價。保留作對照，不進回本比較"</f>
        <v>v7.0 當時的 L1_MFleet 值為 0.5565（歷史值）；本列現值 0.3490（公式，隨輸入變動）；D2 之前把 2025 營收配 2026 牌價。保留作對照，不進回本比較</v>
      </c>
      <c r="J102" s="5" t="s">
        <v>3873</v>
      </c>
      <c r="K102" s="5" t="s">
        <v>3874</v>
      </c>
      <c r="L102" s="61" t="s">
        <v>3759</v>
      </c>
      <c r="M102" s="116" t="s">
        <v>751</v>
      </c>
      <c r="N102" s="116" t="s">
        <v>751</v>
      </c>
      <c r="O102" s="77"/>
      <c r="P102" s="61" t="str">
        <f aca="false">IF(ISNUMBER(D102),IF(AND(ISNUMBER(M102),ISNUMBER(N102)),IF(M102=N102,IF(ABS(D102/M102-1)&lt;=0.2,"±20% 內","差距 &gt;20%"),IF(D102&lt;M102,"低於外部區間",IF(D102&gt;N102,"高於外部區間","落在外部區間"))),"無外部對照"),"推算值非數字（本情境）")</f>
        <v>無外部對照</v>
      </c>
      <c r="Q102" s="62" t="s">
        <v>3869</v>
      </c>
      <c r="R102" s="62" t="s">
        <v>3875</v>
      </c>
      <c r="S102" s="5" t="s">
        <v>3799</v>
      </c>
      <c r="T102" s="60" t="s">
        <v>3646</v>
      </c>
      <c r="U102" s="87" t="s">
        <v>3647</v>
      </c>
    </row>
    <row r="103" customFormat="false" ht="72.35" hidden="false" customHeight="false" outlineLevel="0" collapsed="false">
      <c r="A103" s="62" t="s">
        <v>3876</v>
      </c>
      <c r="B103" s="6" t="s">
        <v>3877</v>
      </c>
      <c r="C103" s="6" t="s">
        <v>3878</v>
      </c>
      <c r="D103" s="124" t="n">
        <f aca="false">Cap_In!$C$281</f>
        <v>1.68024</v>
      </c>
      <c r="E103" s="94" t="n">
        <f aca="false">Cap_In!$D$281</f>
        <v>0.874008</v>
      </c>
      <c r="F103" s="94" t="n">
        <f aca="false">Cap_In!$E$281</f>
        <v>2.898112</v>
      </c>
      <c r="G103" s="62" t="s">
        <v>976</v>
      </c>
      <c r="H103" s="5" t="s">
        <v>3879</v>
      </c>
      <c r="I103" s="5" t="s">
        <v>3880</v>
      </c>
      <c r="J103" s="5" t="s">
        <v>3881</v>
      </c>
      <c r="K103" s="5" t="s">
        <v>3882</v>
      </c>
      <c r="L103" s="61" t="s">
        <v>3759</v>
      </c>
      <c r="M103" s="116" t="s">
        <v>751</v>
      </c>
      <c r="N103" s="116" t="s">
        <v>751</v>
      </c>
      <c r="O103" s="77"/>
      <c r="P103" s="61" t="str">
        <f aca="false">IF(ISNUMBER(D103),IF(AND(ISNUMBER(M103),ISNUMBER(N103)),IF(M103=N103,IF(ABS(D103/M103-1)&lt;=0.2,"±20% 內","差距 &gt;20%"),IF(D103&lt;M103,"低於外部區間",IF(D103&gt;N103,"高於外部區間","落在外部區間"))),"無外部對照"),"推算值非數字（本情境）")</f>
        <v>無外部對照</v>
      </c>
      <c r="Q103" s="62" t="s">
        <v>3876</v>
      </c>
      <c r="R103" s="62" t="s">
        <v>3875</v>
      </c>
      <c r="S103" s="5" t="s">
        <v>3883</v>
      </c>
      <c r="T103" s="60" t="s">
        <v>3169</v>
      </c>
      <c r="U103" s="87" t="s">
        <v>3884</v>
      </c>
    </row>
    <row r="104" customFormat="false" ht="58.2" hidden="false" customHeight="false" outlineLevel="0" collapsed="false">
      <c r="A104" s="62" t="s">
        <v>3885</v>
      </c>
      <c r="B104" s="5" t="s">
        <v>3886</v>
      </c>
      <c r="C104" s="6" t="s">
        <v>3887</v>
      </c>
      <c r="D104" s="125" t="n">
        <f aca="false">AL_PriceFleet25</f>
        <v>1.68024</v>
      </c>
      <c r="E104" s="116" t="n">
        <f aca="false">AL_PriceFleet25_Lo</f>
        <v>0.874008</v>
      </c>
      <c r="F104" s="116" t="n">
        <f aca="false">AL_PriceFleet25_Hi</f>
        <v>2.898112</v>
      </c>
      <c r="G104" s="62" t="s">
        <v>976</v>
      </c>
      <c r="H104" s="5" t="s">
        <v>3888</v>
      </c>
      <c r="I104" s="5" t="s">
        <v>3889</v>
      </c>
      <c r="J104" s="5" t="s">
        <v>3890</v>
      </c>
      <c r="K104" s="6" t="s">
        <v>3891</v>
      </c>
      <c r="L104" s="61" t="s">
        <v>3759</v>
      </c>
      <c r="M104" s="116" t="s">
        <v>751</v>
      </c>
      <c r="N104" s="116" t="s">
        <v>751</v>
      </c>
      <c r="O104" s="77"/>
      <c r="P104" s="61" t="str">
        <f aca="false">IF(ISNUMBER(D104),IF(AND(ISNUMBER(M104),ISNUMBER(N104)),IF(M104=N104,IF(ABS(D104/M104-1)&lt;=0.2,"±20% 內","差距 &gt;20%"),IF(D104&lt;M104,"低於外部區間",IF(D104&gt;N104,"高於外部區間","落在外部區間"))),"無外部對照"),"推算值非數字（本情境）")</f>
        <v>無外部對照</v>
      </c>
      <c r="Q104" s="62" t="s">
        <v>3885</v>
      </c>
      <c r="R104" s="62" t="s">
        <v>3892</v>
      </c>
      <c r="S104" s="5" t="s">
        <v>3799</v>
      </c>
      <c r="T104" s="60" t="s">
        <v>3169</v>
      </c>
      <c r="U104" s="87" t="s">
        <v>3884</v>
      </c>
    </row>
    <row r="105" customFormat="false" ht="86.55" hidden="false" customHeight="false" outlineLevel="0" collapsed="false">
      <c r="A105" s="62" t="s">
        <v>3893</v>
      </c>
      <c r="B105" s="5" t="s">
        <v>3894</v>
      </c>
      <c r="C105" s="5" t="s">
        <v>3895</v>
      </c>
      <c r="D105" s="125" t="n">
        <f aca="false">AL_FleetBE25</f>
        <v>0.417720312615059</v>
      </c>
      <c r="E105" s="116" t="n">
        <f aca="false">AL_FleetBE25_Lo</f>
        <v>0.300094332345702</v>
      </c>
      <c r="F105" s="116" t="n">
        <f aca="false">AL_FleetBE25_Hi</f>
        <v>0.702326269003828</v>
      </c>
      <c r="G105" s="62" t="s">
        <v>118</v>
      </c>
      <c r="H105" s="6" t="s">
        <v>3896</v>
      </c>
      <c r="I105" s="5" t="s">
        <v>3897</v>
      </c>
      <c r="J105" s="5" t="s">
        <v>3898</v>
      </c>
      <c r="K105" s="5" t="s">
        <v>3899</v>
      </c>
      <c r="L105" s="61" t="s">
        <v>3759</v>
      </c>
      <c r="M105" s="116" t="s">
        <v>751</v>
      </c>
      <c r="N105" s="116" t="s">
        <v>751</v>
      </c>
      <c r="O105" s="77"/>
      <c r="P105" s="61" t="str">
        <f aca="false">IF(ISNUMBER(D105),IF(AND(ISNUMBER(M105),ISNUMBER(N105)),IF(M105=N105,IF(ABS(D105/M105-1)&lt;=0.2,"±20% 內","差距 &gt;20%"),IF(D105&lt;M105,"低於外部區間",IF(D105&gt;N105,"高於外部區間","落在外部區間"))),"無外部對照"),"推算值非數字（本情境）")</f>
        <v>無外部對照</v>
      </c>
      <c r="Q105" s="62" t="s">
        <v>3893</v>
      </c>
      <c r="R105" s="62" t="s">
        <v>3892</v>
      </c>
      <c r="S105" s="5" t="s">
        <v>3900</v>
      </c>
      <c r="T105" s="60" t="s">
        <v>3302</v>
      </c>
      <c r="U105" s="93" t="s">
        <v>3472</v>
      </c>
    </row>
    <row r="106" customFormat="false" ht="58.2" hidden="false" customHeight="false" outlineLevel="0" collapsed="false">
      <c r="A106" s="62" t="s">
        <v>3901</v>
      </c>
      <c r="B106" s="5" t="s">
        <v>3902</v>
      </c>
      <c r="C106" s="6" t="s">
        <v>3903</v>
      </c>
      <c r="D106" s="124" t="n">
        <f aca="false">Cap_In!$C$288</f>
        <v>0.624701009994666</v>
      </c>
      <c r="E106" s="94" t="n">
        <f aca="false">Cap_In!$D$288</f>
        <v>0.215851974998157</v>
      </c>
      <c r="F106" s="94" t="n">
        <f aca="false">Cap_In!$E$288</f>
        <v>1.38381814108407</v>
      </c>
      <c r="G106" s="62" t="s">
        <v>118</v>
      </c>
      <c r="H106" s="5" t="s">
        <v>3904</v>
      </c>
      <c r="I106" s="6" t="s">
        <v>3905</v>
      </c>
      <c r="J106" s="6" t="s">
        <v>3906</v>
      </c>
      <c r="K106" s="5" t="s">
        <v>3907</v>
      </c>
      <c r="L106" s="61" t="s">
        <v>3759</v>
      </c>
      <c r="M106" s="116" t="s">
        <v>751</v>
      </c>
      <c r="N106" s="116" t="s">
        <v>751</v>
      </c>
      <c r="O106" s="77"/>
      <c r="P106" s="61" t="str">
        <f aca="false">IF(ISNUMBER(D106),IF(AND(ISNUMBER(M106),ISNUMBER(N106)),IF(M106=N106,IF(ABS(D106/M106-1)&lt;=0.2,"±20% 內","差距 &gt;20%"),IF(D106&lt;M106,"低於外部區間",IF(D106&gt;N106,"高於外部區間","落在外部區間"))),"無外部對照"),"推算值非數字（本情境）")</f>
        <v>無外部對照</v>
      </c>
      <c r="Q106" s="62" t="s">
        <v>3901</v>
      </c>
      <c r="R106" s="62" t="s">
        <v>3875</v>
      </c>
      <c r="S106" s="5" t="s">
        <v>3799</v>
      </c>
      <c r="T106" s="60" t="s">
        <v>3302</v>
      </c>
      <c r="U106" s="93" t="s">
        <v>3782</v>
      </c>
    </row>
    <row r="107" customFormat="false" ht="86.55" hidden="false" customHeight="false" outlineLevel="0" collapsed="false">
      <c r="A107" s="62" t="s">
        <v>3908</v>
      </c>
      <c r="B107" s="5" t="s">
        <v>3909</v>
      </c>
      <c r="C107" s="5" t="s">
        <v>3910</v>
      </c>
      <c r="D107" s="124" t="n">
        <f aca="false">Cap_In!$C$289</f>
        <v>0.756109635897205</v>
      </c>
      <c r="E107" s="94" t="n">
        <f aca="false">Cap_In!$D$289</f>
        <v>0.357051772507014</v>
      </c>
      <c r="F107" s="94" t="n">
        <f aca="false">Cap_In!$E$289</f>
        <v>1.05648195700705</v>
      </c>
      <c r="G107" s="62" t="s">
        <v>118</v>
      </c>
      <c r="H107" s="5" t="s">
        <v>3911</v>
      </c>
      <c r="I107" s="5" t="s">
        <v>3912</v>
      </c>
      <c r="J107" s="5" t="s">
        <v>3913</v>
      </c>
      <c r="K107" s="5" t="s">
        <v>3914</v>
      </c>
      <c r="L107" s="61" t="s">
        <v>3759</v>
      </c>
      <c r="M107" s="116" t="s">
        <v>751</v>
      </c>
      <c r="N107" s="116" t="s">
        <v>751</v>
      </c>
      <c r="O107" s="77"/>
      <c r="P107" s="61" t="str">
        <f aca="false">IF(ISNUMBER(D107),IF(AND(ISNUMBER(M107),ISNUMBER(N107)),IF(M107=N107,IF(ABS(D107/M107-1)&lt;=0.2,"±20% 內","差距 &gt;20%"),IF(D107&lt;M107,"低於外部區間",IF(D107&gt;N107,"高於外部區間","落在外部區間"))),"無外部對照"),"推算值非數字（本情境）")</f>
        <v>無外部對照</v>
      </c>
      <c r="Q107" s="62" t="s">
        <v>3908</v>
      </c>
      <c r="R107" s="62" t="s">
        <v>3875</v>
      </c>
      <c r="S107" s="5" t="s">
        <v>3915</v>
      </c>
      <c r="T107" s="60" t="s">
        <v>3322</v>
      </c>
      <c r="U107" s="93" t="s">
        <v>3916</v>
      </c>
    </row>
    <row r="108" customFormat="false" ht="58.2" hidden="false" customHeight="false" outlineLevel="0" collapsed="false">
      <c r="A108" s="62" t="s">
        <v>3917</v>
      </c>
      <c r="B108" s="6" t="s">
        <v>3918</v>
      </c>
      <c r="C108" s="6" t="s">
        <v>3919</v>
      </c>
      <c r="D108" s="124" t="n">
        <f aca="false">Cap_In!$C$294</f>
        <v>926.018518518519</v>
      </c>
      <c r="E108" s="94" t="n">
        <f aca="false">Cap_In!$D$294</f>
        <v>462.962962962963</v>
      </c>
      <c r="F108" s="94" t="n">
        <f aca="false">Cap_In!$E$294</f>
        <v>1851.85185185185</v>
      </c>
      <c r="G108" s="62" t="s">
        <v>1893</v>
      </c>
      <c r="H108" s="5" t="s">
        <v>3920</v>
      </c>
      <c r="I108" s="5" t="s">
        <v>3921</v>
      </c>
      <c r="J108" s="5" t="s">
        <v>3922</v>
      </c>
      <c r="K108" s="6" t="s">
        <v>3923</v>
      </c>
      <c r="L108" s="62" t="s">
        <v>3343</v>
      </c>
      <c r="M108" s="94" t="n">
        <f aca="false">SRC_MOD_055_Lo</f>
        <v>5E+026</v>
      </c>
      <c r="N108" s="94" t="n">
        <f aca="false">SRC_MOD_055_Hi</f>
        <v>2E+027</v>
      </c>
      <c r="O108" s="77" t="n">
        <f aca="false">IF(AND(ISNUMBER(D108),ISNUMBER(M108),ISNUMBER(N108)),D108/((M108+N108)/2),"—")</f>
        <v>7.40814814814815E-025</v>
      </c>
      <c r="P108" s="61" t="str">
        <f aca="false">IF(ISNUMBER(D108),IF(AND(ISNUMBER(M108),ISNUMBER(N108)),IF(M108=N108,IF(ABS(D108/M108-1)&lt;=0.2,"±20% 內","差距 &gt;20%"),IF(D108&lt;M108,"低於外部區間",IF(D108&gt;N108,"高於外部區間","落在外部區間"))),"無外部對照"),"推算值非數字（本情境）")</f>
        <v>低於外部區間</v>
      </c>
      <c r="Q108" s="62" t="s">
        <v>3917</v>
      </c>
      <c r="R108" s="62" t="s">
        <v>3875</v>
      </c>
      <c r="S108" s="5" t="s">
        <v>3799</v>
      </c>
      <c r="T108" s="60" t="s">
        <v>3302</v>
      </c>
      <c r="U108" s="87" t="s">
        <v>3924</v>
      </c>
      <c r="V108" s="74" t="s">
        <v>3925</v>
      </c>
    </row>
    <row r="109" customFormat="false" ht="58.2" hidden="false" customHeight="false" outlineLevel="0" collapsed="false">
      <c r="A109" s="62" t="s">
        <v>3926</v>
      </c>
      <c r="B109" s="6" t="s">
        <v>3927</v>
      </c>
      <c r="C109" s="6" t="s">
        <v>3919</v>
      </c>
      <c r="D109" s="124" t="n">
        <f aca="false">Cap_In!$C$295</f>
        <v>416.708333333333</v>
      </c>
      <c r="E109" s="94" t="n">
        <f aca="false">Cap_In!$D$295</f>
        <v>208.333333333333</v>
      </c>
      <c r="F109" s="94" t="n">
        <f aca="false">Cap_In!$E$295</f>
        <v>833.333333333333</v>
      </c>
      <c r="G109" s="62" t="s">
        <v>1893</v>
      </c>
      <c r="H109" s="5" t="s">
        <v>3920</v>
      </c>
      <c r="I109" s="5" t="s">
        <v>3921</v>
      </c>
      <c r="J109" s="5" t="s">
        <v>3922</v>
      </c>
      <c r="K109" s="6" t="s">
        <v>3923</v>
      </c>
      <c r="L109" s="62" t="s">
        <v>3343</v>
      </c>
      <c r="M109" s="94" t="n">
        <f aca="false">SRC_MOD_055_Lo</f>
        <v>5E+026</v>
      </c>
      <c r="N109" s="94" t="n">
        <f aca="false">SRC_MOD_055_Hi</f>
        <v>2E+027</v>
      </c>
      <c r="O109" s="77" t="n">
        <f aca="false">IF(AND(ISNUMBER(D109),ISNUMBER(M109),ISNUMBER(N109)),D109/((M109+N109)/2),"—")</f>
        <v>3.33366666666667E-025</v>
      </c>
      <c r="P109" s="61" t="str">
        <f aca="false">IF(ISNUMBER(D109),IF(AND(ISNUMBER(M109),ISNUMBER(N109)),IF(M109=N109,IF(ABS(D109/M109-1)&lt;=0.2,"±20% 內","差距 &gt;20%"),IF(D109&lt;M109,"低於外部區間",IF(D109&gt;N109,"高於外部區間","落在外部區間"))),"無外部對照"),"推算值非數字（本情境）")</f>
        <v>低於外部區間</v>
      </c>
      <c r="Q109" s="62" t="s">
        <v>3926</v>
      </c>
      <c r="R109" s="62" t="s">
        <v>3875</v>
      </c>
      <c r="S109" s="5" t="s">
        <v>3799</v>
      </c>
      <c r="T109" s="60" t="s">
        <v>3302</v>
      </c>
      <c r="U109" s="87" t="s">
        <v>3924</v>
      </c>
      <c r="V109" s="74" t="s">
        <v>3928</v>
      </c>
    </row>
    <row r="110" customFormat="false" ht="58.2" hidden="false" customHeight="false" outlineLevel="0" collapsed="false">
      <c r="A110" s="62" t="s">
        <v>3929</v>
      </c>
      <c r="B110" s="6" t="s">
        <v>3930</v>
      </c>
      <c r="C110" s="6" t="s">
        <v>3919</v>
      </c>
      <c r="D110" s="124" t="n">
        <f aca="false">Cap_In!$C$296</f>
        <v>208.354166666667</v>
      </c>
      <c r="E110" s="94" t="n">
        <f aca="false">Cap_In!$D$296</f>
        <v>104.166666666667</v>
      </c>
      <c r="F110" s="94" t="n">
        <f aca="false">Cap_In!$E$296</f>
        <v>416.666666666667</v>
      </c>
      <c r="G110" s="62" t="s">
        <v>1893</v>
      </c>
      <c r="H110" s="5" t="s">
        <v>3920</v>
      </c>
      <c r="I110" s="5" t="s">
        <v>3921</v>
      </c>
      <c r="J110" s="5" t="s">
        <v>3922</v>
      </c>
      <c r="K110" s="6" t="s">
        <v>3923</v>
      </c>
      <c r="L110" s="62" t="s">
        <v>3343</v>
      </c>
      <c r="M110" s="94" t="n">
        <f aca="false">SRC_MOD_055_Lo</f>
        <v>5E+026</v>
      </c>
      <c r="N110" s="94" t="n">
        <f aca="false">SRC_MOD_055_Hi</f>
        <v>2E+027</v>
      </c>
      <c r="O110" s="77" t="n">
        <f aca="false">IF(AND(ISNUMBER(D110),ISNUMBER(M110),ISNUMBER(N110)),D110/((M110+N110)/2),"—")</f>
        <v>1.66683333333333E-025</v>
      </c>
      <c r="P110" s="61" t="str">
        <f aca="false">IF(ISNUMBER(D110),IF(AND(ISNUMBER(M110),ISNUMBER(N110)),IF(M110=N110,IF(ABS(D110/M110-1)&lt;=0.2,"±20% 內","差距 &gt;20%"),IF(D110&lt;M110,"低於外部區間",IF(D110&gt;N110,"高於外部區間","落在外部區間"))),"無外部對照"),"推算值非數字（本情境）")</f>
        <v>低於外部區間</v>
      </c>
      <c r="Q110" s="62" t="s">
        <v>3929</v>
      </c>
      <c r="R110" s="62" t="s">
        <v>3875</v>
      </c>
      <c r="S110" s="5" t="s">
        <v>3799</v>
      </c>
      <c r="T110" s="60" t="s">
        <v>3302</v>
      </c>
      <c r="U110" s="87" t="s">
        <v>3924</v>
      </c>
      <c r="V110" s="74" t="s">
        <v>3931</v>
      </c>
    </row>
    <row r="111" customFormat="false" ht="72.35" hidden="false" customHeight="false" outlineLevel="0" collapsed="false">
      <c r="A111" s="62" t="s">
        <v>3932</v>
      </c>
      <c r="B111" s="5" t="s">
        <v>3933</v>
      </c>
      <c r="C111" s="6" t="s">
        <v>3934</v>
      </c>
      <c r="D111" s="125" t="n">
        <f aca="false">IF(AND(ISNUMBER(L1_ScaleServe2000),ISNUMBER(L1_GapProduct)),IF(L1_GapProduct&gt;0,L1_ScaleServe2000/L1_GapProduct,AL_UnavailTxt),AL_UnavailTxt)</f>
        <v>4.99275872112842</v>
      </c>
      <c r="E111" s="116" t="n">
        <f aca="false">IF(AND(ISNUMBER(L1_ScaleServe2000),ISNUMBER(L1_GapProduct_Hi)),IF(L1_GapProduct_Hi&gt;0,L1_ScaleServe2000/L1_GapProduct_Hi,AL_UnavailTxt),AL_UnavailTxt)</f>
        <v>0.949148349491231</v>
      </c>
      <c r="F111" s="116" t="n">
        <f aca="false">IF(AND(ISNUMBER(L1_ScaleServe2000),ISNUMBER(L1_GapProduct_Lo)),IF(L1_GapProduct_Lo&gt;0,L1_ScaleServe2000/L1_GapProduct_Lo,AL_UnavailTxt),AL_UnavailTxt)</f>
        <v>14.4306689800303</v>
      </c>
      <c r="G111" s="62" t="s">
        <v>118</v>
      </c>
      <c r="H111" s="5" t="s">
        <v>3935</v>
      </c>
      <c r="I111" s="6" t="s">
        <v>3936</v>
      </c>
      <c r="J111" s="6" t="s">
        <v>3937</v>
      </c>
      <c r="K111" s="5" t="s">
        <v>3938</v>
      </c>
      <c r="L111" s="61" t="s">
        <v>3799</v>
      </c>
      <c r="M111" s="116" t="s">
        <v>751</v>
      </c>
      <c r="N111" s="116" t="s">
        <v>751</v>
      </c>
      <c r="O111" s="77"/>
      <c r="P111" s="61" t="str">
        <f aca="false">IF(ISNUMBER(D111),IF(AND(ISNUMBER(M111),ISNUMBER(N111)),IF(M111=N111,IF(ABS(D111/M111-1)&lt;=0.2,"±20% 內","差距 &gt;20%"),IF(D111&lt;M111,"低於外部區間",IF(D111&gt;N111,"高於外部區間","落在外部區間"))),"無外部對照"),"推算值非數字（本情境）")</f>
        <v>無外部對照</v>
      </c>
      <c r="Q111" s="62" t="s">
        <v>3932</v>
      </c>
      <c r="R111" s="62" t="s">
        <v>3932</v>
      </c>
      <c r="S111" s="6" t="s">
        <v>3939</v>
      </c>
      <c r="T111" s="60" t="s">
        <v>3562</v>
      </c>
      <c r="U111" s="93" t="s">
        <v>3940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3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26"/>
    <col collapsed="false" customWidth="true" hidden="false" outlineLevel="0" max="14" min="14" style="0" width="10"/>
  </cols>
  <sheetData>
    <row r="1" customFormat="false" ht="20.1" hidden="false" customHeight="false" outlineLevel="0" collapsed="false">
      <c r="A1" s="58" t="s">
        <v>3941</v>
      </c>
    </row>
    <row r="2" customFormat="false" ht="15" hidden="false" customHeight="false" outlineLevel="0" collapsed="false">
      <c r="A2" s="59" t="s">
        <v>3942</v>
      </c>
    </row>
    <row r="3" customFormat="false" ht="15" hidden="false" customHeight="false" outlineLevel="0" collapsed="false">
      <c r="A3" s="74" t="s">
        <v>3943</v>
      </c>
      <c r="C3" s="62" t="s">
        <v>3944</v>
      </c>
    </row>
    <row r="4" customFormat="false" ht="58.2" hidden="false" customHeight="false" outlineLevel="0" collapsed="false">
      <c r="A4" s="84" t="s">
        <v>3945</v>
      </c>
      <c r="B4" s="83" t="s">
        <v>12</v>
      </c>
      <c r="C4" s="83" t="s">
        <v>3946</v>
      </c>
      <c r="D4" s="83" t="s">
        <v>3947</v>
      </c>
      <c r="E4" s="83" t="s">
        <v>3948</v>
      </c>
      <c r="F4" s="83" t="s">
        <v>1308</v>
      </c>
      <c r="G4" s="83" t="s">
        <v>1309</v>
      </c>
      <c r="H4" s="84" t="s">
        <v>3949</v>
      </c>
      <c r="I4" s="84" t="s">
        <v>3950</v>
      </c>
      <c r="J4" s="83" t="s">
        <v>3951</v>
      </c>
      <c r="K4" s="83" t="s">
        <v>3952</v>
      </c>
      <c r="L4" s="83" t="s">
        <v>3953</v>
      </c>
      <c r="M4" s="83" t="s">
        <v>3954</v>
      </c>
      <c r="N4" s="83" t="s">
        <v>3955</v>
      </c>
    </row>
    <row r="5" customFormat="false" ht="356.7" hidden="false" customHeight="false" outlineLevel="0" collapsed="false">
      <c r="A5" s="92" t="str">
        <f aca="false">Gov_Map!$A$98</f>
        <v>GM094</v>
      </c>
      <c r="B5" s="92" t="str">
        <f aca="false">Gov_Map!$C$98</f>
        <v>Spec_Rack</v>
      </c>
      <c r="C5" s="92" t="str">
        <f aca="false">Gov_Map!$D$98</f>
        <v>G12</v>
      </c>
      <c r="D5" s="217" t="str">
        <f aca="false">Gov_Map!$E$98</f>
        <v>機架價格 基準（$M）</v>
      </c>
      <c r="E5" s="92" t="str">
        <f aca="false">Gov_Map!$F$98</f>
        <v>Assumed</v>
      </c>
      <c r="F5" s="98" t="n">
        <f aca="false">Gov_Map!$K$98</f>
        <v>12.6</v>
      </c>
      <c r="G5" s="98" t="n">
        <f aca="false">Gov_Map!$L$98</f>
        <v>21</v>
      </c>
      <c r="H5" s="92" t="str">
        <f aca="false">Gov_Map!$P$98</f>
        <v>高</v>
      </c>
      <c r="I5" s="92" t="str">
        <f aca="false">Gov_Map!$T$98</f>
        <v>—</v>
      </c>
      <c r="J5" s="87" t="s">
        <v>3956</v>
      </c>
      <c r="K5" s="217" t="str">
        <f aca="false">IF(Gov_Map!$AK$98="","—",Gov_Map!$AK$98)</f>
        <v>—</v>
      </c>
      <c r="L5" s="92" t="str">
        <f aca="false">IF(ISNUMBER(Gov_Map!$AF$98),INDEX(IDX_SrcDate,Gov_Map!$AF$98),"—")</f>
        <v>—</v>
      </c>
      <c r="M5" s="93" t="s">
        <v>3957</v>
      </c>
      <c r="N5" s="105" t="str">
        <f aca="false">IF(AND(ISTEXT(L5),LEN(L5)=10),IF(ISNUMBER(VALUE(SUBSTITUTE(L5,"-",""))),DATE(VALUE(LEFT($C$3,4)),VALUE(MID($C$3,6,2)),VALUE(RIGHT($C$3,2)))-DATE(VALUE(LEFT(L5,4)),VALUE(MID(L5,6,2)),VALUE(RIGHT(L5,2))),"—"),"—")</f>
        <v>—</v>
      </c>
    </row>
    <row r="6" customFormat="false" ht="369.4" hidden="false" customHeight="false" outlineLevel="0" collapsed="false">
      <c r="A6" s="92" t="str">
        <f aca="false">Gov_Map!$A$207</f>
        <v>GM203</v>
      </c>
      <c r="B6" s="92" t="str">
        <f aca="false">Gov_Map!$C$207</f>
        <v>Arch</v>
      </c>
      <c r="C6" s="92" t="str">
        <f aca="false">Gov_Map!$D$207</f>
        <v>E6</v>
      </c>
      <c r="D6" s="217" t="str">
        <f aca="false">Gov_Map!$E$207</f>
        <v>總參數</v>
      </c>
      <c r="E6" s="92" t="str">
        <f aca="false">Gov_Map!$F$207</f>
        <v>Assumed</v>
      </c>
      <c r="F6" s="92" t="n">
        <f aca="false">Gov_Map!$K$207</f>
        <v>2000</v>
      </c>
      <c r="G6" s="92" t="n">
        <f aca="false">Gov_Map!$L$207</f>
        <v>10000</v>
      </c>
      <c r="H6" s="92" t="str">
        <f aca="false">Gov_Map!$P$207</f>
        <v>高</v>
      </c>
      <c r="I6" s="92" t="str">
        <f aca="false">Gov_Map!$T$207</f>
        <v>—</v>
      </c>
      <c r="J6" s="87" t="s">
        <v>3958</v>
      </c>
      <c r="K6" s="217" t="str">
        <f aca="false">IF(Gov_Map!$AK$207="","—",Gov_Map!$AK$207)</f>
        <v>—</v>
      </c>
      <c r="L6" s="92" t="str">
        <f aca="false">IF(ISNUMBER(Gov_Map!$AF$207),INDEX(IDX_SrcDate,Gov_Map!$AF$207),"—")</f>
        <v>—</v>
      </c>
      <c r="M6" s="93" t="s">
        <v>3959</v>
      </c>
      <c r="N6" s="105" t="str">
        <f aca="false">IF(AND(ISTEXT(L6),LEN(L6)=10),IF(ISNUMBER(VALUE(SUBSTITUTE(L6,"-",""))),DATE(VALUE(LEFT($C$3,4)),VALUE(MID($C$3,6,2)),VALUE(RIGHT($C$3,2)))-DATE(VALUE(LEFT(L6,4)),VALUE(MID(L6,6,2)),VALUE(RIGHT(L6,2))),"—"),"—")</f>
        <v>—</v>
      </c>
    </row>
    <row r="7" customFormat="false" ht="392.5" hidden="false" customHeight="false" outlineLevel="0" collapsed="false">
      <c r="A7" s="92" t="str">
        <f aca="false">Gov_Map!$A$208</f>
        <v>GM204</v>
      </c>
      <c r="B7" s="92" t="str">
        <f aca="false">Gov_Map!$C$208</f>
        <v>Arch</v>
      </c>
      <c r="C7" s="92" t="str">
        <f aca="false">Gov_Map!$D$208</f>
        <v>E7</v>
      </c>
      <c r="D7" s="217" t="str">
        <f aca="false">Gov_Map!$E$208</f>
        <v>啟用參數</v>
      </c>
      <c r="E7" s="92" t="str">
        <f aca="false">Gov_Map!$F$208</f>
        <v>Assumed</v>
      </c>
      <c r="F7" s="92" t="n">
        <f aca="false">Gov_Map!$K$208</f>
        <v>60</v>
      </c>
      <c r="G7" s="92" t="n">
        <f aca="false">Gov_Map!$L$208</f>
        <v>250</v>
      </c>
      <c r="H7" s="92" t="str">
        <f aca="false">Gov_Map!$P$208</f>
        <v>高</v>
      </c>
      <c r="I7" s="92" t="str">
        <f aca="false">Gov_Map!$T$208</f>
        <v>—</v>
      </c>
      <c r="J7" s="87" t="s">
        <v>3960</v>
      </c>
      <c r="K7" s="217" t="str">
        <f aca="false">IF(Gov_Map!$AK$208="","—",Gov_Map!$AK$208)</f>
        <v>—</v>
      </c>
      <c r="L7" s="92" t="str">
        <f aca="false">IF(ISNUMBER(Gov_Map!$AF$208),INDEX(IDX_SrcDate,Gov_Map!$AF$208),"—")</f>
        <v>—</v>
      </c>
      <c r="M7" s="93" t="s">
        <v>3961</v>
      </c>
      <c r="N7" s="105" t="str">
        <f aca="false">IF(AND(ISTEXT(L7),LEN(L7)=10),IF(ISNUMBER(VALUE(SUBSTITUTE(L7,"-",""))),DATE(VALUE(LEFT($C$3,4)),VALUE(MID($C$3,6,2)),VALUE(RIGHT($C$3,2)))-DATE(VALUE(LEFT(L7,4)),VALUE(MID(L7,6,2)),VALUE(RIGHT(L7,2))),"—"),"—")</f>
        <v>—</v>
      </c>
    </row>
    <row r="8" customFormat="false" ht="382.05" hidden="false" customHeight="false" outlineLevel="0" collapsed="false">
      <c r="A8" s="92" t="str">
        <f aca="false">Gov_Map!$A$209</f>
        <v>GM205</v>
      </c>
      <c r="B8" s="92" t="str">
        <f aca="false">Gov_Map!$C$209</f>
        <v>Arch</v>
      </c>
      <c r="C8" s="92" t="str">
        <f aca="false">Gov_Map!$D$209</f>
        <v>E8</v>
      </c>
      <c r="D8" s="217" t="str">
        <f aca="false">Gov_Map!$E$209</f>
        <v>層數</v>
      </c>
      <c r="E8" s="92" t="str">
        <f aca="false">Gov_Map!$F$209</f>
        <v>Assumed</v>
      </c>
      <c r="F8" s="92" t="n">
        <f aca="false">Gov_Map!$K$209</f>
        <v>80</v>
      </c>
      <c r="G8" s="92" t="n">
        <f aca="false">Gov_Map!$L$209</f>
        <v>160</v>
      </c>
      <c r="H8" s="92" t="str">
        <f aca="false">Gov_Map!$P$209</f>
        <v>高</v>
      </c>
      <c r="I8" s="92" t="str">
        <f aca="false">Gov_Map!$T$209</f>
        <v>—</v>
      </c>
      <c r="J8" s="87" t="s">
        <v>3962</v>
      </c>
      <c r="K8" s="217" t="str">
        <f aca="false">IF(Gov_Map!$AK$209="","—",Gov_Map!$AK$209)</f>
        <v>—</v>
      </c>
      <c r="L8" s="92" t="str">
        <f aca="false">IF(ISNUMBER(Gov_Map!$AF$209),INDEX(IDX_SrcDate,Gov_Map!$AF$209),"—")</f>
        <v>—</v>
      </c>
      <c r="M8" s="93" t="s">
        <v>3963</v>
      </c>
      <c r="N8" s="105" t="str">
        <f aca="false">IF(AND(ISTEXT(L8),LEN(L8)=10),IF(ISNUMBER(VALUE(SUBSTITUTE(L8,"-",""))),DATE(VALUE(LEFT($C$3,4)),VALUE(MID($C$3,6,2)),VALUE(RIGHT($C$3,2)))-DATE(VALUE(LEFT(L8,4)),VALUE(MID(L8,6,2)),VALUE(RIGHT(L8,2))),"—"),"—")</f>
        <v>—</v>
      </c>
    </row>
    <row r="9" customFormat="false" ht="267.9" hidden="false" customHeight="false" outlineLevel="0" collapsed="false">
      <c r="A9" s="92" t="str">
        <f aca="false">Gov_Map!$A$240</f>
        <v>GM236</v>
      </c>
      <c r="B9" s="92" t="str">
        <f aca="false">Gov_Map!$C$240</f>
        <v>Serving</v>
      </c>
      <c r="C9" s="92" t="str">
        <f aca="false">Gov_Map!$D$240</f>
        <v>C17</v>
      </c>
      <c r="D9" s="217" t="str">
        <f aca="false">Gov_Map!$E$240</f>
        <v>基準利用率（第 0 層）</v>
      </c>
      <c r="E9" s="92" t="str">
        <f aca="false">Gov_Map!$F$240</f>
        <v>Assumed</v>
      </c>
      <c r="F9" s="92" t="n">
        <f aca="false">Gov_Map!$K$240</f>
        <v>0.4</v>
      </c>
      <c r="G9" s="92" t="n">
        <f aca="false">Gov_Map!$L$240</f>
        <v>0.8</v>
      </c>
      <c r="H9" s="92" t="str">
        <f aca="false">Gov_Map!$P$240</f>
        <v>高</v>
      </c>
      <c r="I9" s="92" t="str">
        <f aca="false">Gov_Map!$T$240</f>
        <v>—</v>
      </c>
      <c r="J9" s="87" t="s">
        <v>3964</v>
      </c>
      <c r="K9" s="217" t="str">
        <f aca="false">IF(Gov_Map!$AK$240="","—",Gov_Map!$AK$240)</f>
        <v>—</v>
      </c>
      <c r="L9" s="92" t="str">
        <f aca="false">IF(ISNUMBER(Gov_Map!$AF$240),INDEX(IDX_SrcDate,Gov_Map!$AF$240),"—")</f>
        <v>—</v>
      </c>
      <c r="M9" s="93" t="s">
        <v>3965</v>
      </c>
      <c r="N9" s="105" t="str">
        <f aca="false">IF(AND(ISTEXT(L9),LEN(L9)=10),IF(ISNUMBER(VALUE(SUBSTITUTE(L9,"-",""))),DATE(VALUE(LEFT($C$3,4)),VALUE(MID($C$3,6,2)),VALUE(RIGHT($C$3,2)))-DATE(VALUE(LEFT(L9,4)),VALUE(MID(L9,6,2)),VALUE(RIGHT(L9,2))),"—"),"—")</f>
        <v>—</v>
      </c>
    </row>
    <row r="10" customFormat="false" ht="369.4" hidden="false" customHeight="false" outlineLevel="0" collapsed="false">
      <c r="A10" s="92" t="str">
        <f aca="false">Gov_Map!$A$241</f>
        <v>GM237</v>
      </c>
      <c r="B10" s="92" t="str">
        <f aca="false">Gov_Map!$C$241</f>
        <v>Serving</v>
      </c>
      <c r="C10" s="92" t="str">
        <f aca="false">Gov_Map!$D$241</f>
        <v>C18</v>
      </c>
      <c r="D10" s="217" t="str">
        <f aca="false">Gov_Map!$E$241</f>
        <v>實測→生產效率折減</v>
      </c>
      <c r="E10" s="92" t="str">
        <f aca="false">Gov_Map!$F$241</f>
        <v>Assumed</v>
      </c>
      <c r="F10" s="92" t="n">
        <f aca="false">Gov_Map!$K$241</f>
        <v>0.7</v>
      </c>
      <c r="G10" s="92" t="n">
        <f aca="false">Gov_Map!$L$241</f>
        <v>1</v>
      </c>
      <c r="H10" s="92" t="str">
        <f aca="false">Gov_Map!$P$241</f>
        <v>高</v>
      </c>
      <c r="I10" s="92" t="str">
        <f aca="false">Gov_Map!$T$241</f>
        <v>—</v>
      </c>
      <c r="J10" s="87" t="s">
        <v>3958</v>
      </c>
      <c r="K10" s="217" t="str">
        <f aca="false">IF(Gov_Map!$AK$241="","—",Gov_Map!$AK$241)</f>
        <v>—</v>
      </c>
      <c r="L10" s="92" t="str">
        <f aca="false">IF(ISNUMBER(Gov_Map!$AF$241),INDEX(IDX_SrcDate,Gov_Map!$AF$241),"—")</f>
        <v>—</v>
      </c>
      <c r="M10" s="93" t="s">
        <v>3966</v>
      </c>
      <c r="N10" s="105" t="str">
        <f aca="false">IF(AND(ISTEXT(L10),LEN(L10)=10),IF(ISNUMBER(VALUE(SUBSTITUTE(L10,"-",""))),DATE(VALUE(LEFT($C$3,4)),VALUE(MID($C$3,6,2)),VALUE(RIGHT($C$3,2)))-DATE(VALUE(LEFT(L10,4)),VALUE(MID(L10,6,2)),VALUE(RIGHT(L10,2))),"—"),"—")</f>
        <v>—</v>
      </c>
    </row>
    <row r="11" customFormat="false" ht="356.7" hidden="false" customHeight="false" outlineLevel="0" collapsed="false">
      <c r="A11" s="92" t="str">
        <f aca="false">Gov_Map!$A$249</f>
        <v>GM245</v>
      </c>
      <c r="B11" s="92" t="str">
        <f aca="false">Gov_Map!$C$249</f>
        <v>Serving</v>
      </c>
      <c r="C11" s="92" t="str">
        <f aca="false">Gov_Map!$D$249</f>
        <v>C23</v>
      </c>
      <c r="D11" s="217" t="str">
        <f aca="false">Gov_Map!$E$249</f>
        <v>參考 ISL（每次請求輸入）</v>
      </c>
      <c r="E11" s="92" t="str">
        <f aca="false">Gov_Map!$F$249</f>
        <v>Assumed</v>
      </c>
      <c r="F11" s="92" t="n">
        <f aca="false">Gov_Map!$K$249</f>
        <v>4096</v>
      </c>
      <c r="G11" s="92" t="n">
        <f aca="false">Gov_Map!$L$249</f>
        <v>16384</v>
      </c>
      <c r="H11" s="92" t="str">
        <f aca="false">Gov_Map!$P$249</f>
        <v>高</v>
      </c>
      <c r="I11" s="92" t="str">
        <f aca="false">Gov_Map!$T$249</f>
        <v>—</v>
      </c>
      <c r="J11" s="87" t="s">
        <v>3967</v>
      </c>
      <c r="K11" s="217" t="str">
        <f aca="false">IF(Gov_Map!$AK$249="","—",Gov_Map!$AK$249)</f>
        <v>—</v>
      </c>
      <c r="L11" s="92" t="str">
        <f aca="false">IF(ISNUMBER(Gov_Map!$AF$249),INDEX(IDX_SrcDate,Gov_Map!$AF$249),"—")</f>
        <v>—</v>
      </c>
      <c r="M11" s="93" t="s">
        <v>3968</v>
      </c>
      <c r="N11" s="105" t="str">
        <f aca="false">IF(AND(ISTEXT(L11),LEN(L11)=10),IF(ISNUMBER(VALUE(SUBSTITUTE(L11,"-",""))),DATE(VALUE(LEFT($C$3,4)),VALUE(MID($C$3,6,2)),VALUE(RIGHT($C$3,2)))-DATE(VALUE(LEFT(L11,4)),VALUE(MID(L11,6,2)),VALUE(RIGHT(L11,2))),"—"),"—")</f>
        <v>—</v>
      </c>
    </row>
    <row r="12" customFormat="false" ht="356.7" hidden="false" customHeight="false" outlineLevel="0" collapsed="false">
      <c r="A12" s="92" t="str">
        <f aca="false">Gov_Map!$A$250</f>
        <v>GM246</v>
      </c>
      <c r="B12" s="92" t="str">
        <f aca="false">Gov_Map!$C$250</f>
        <v>Serving</v>
      </c>
      <c r="C12" s="92" t="str">
        <f aca="false">Gov_Map!$D$250</f>
        <v>D23</v>
      </c>
      <c r="D12" s="217" t="str">
        <f aca="false">Gov_Map!$E$250</f>
        <v>參考 ISL（每次請求輸入）</v>
      </c>
      <c r="E12" s="92" t="str">
        <f aca="false">Gov_Map!$F$250</f>
        <v>Assumed</v>
      </c>
      <c r="F12" s="92" t="n">
        <f aca="false">Gov_Map!$K$250</f>
        <v>8192</v>
      </c>
      <c r="G12" s="92" t="n">
        <f aca="false">Gov_Map!$L$250</f>
        <v>68000</v>
      </c>
      <c r="H12" s="92" t="str">
        <f aca="false">Gov_Map!$P$250</f>
        <v>高</v>
      </c>
      <c r="I12" s="92" t="str">
        <f aca="false">Gov_Map!$T$250</f>
        <v>—</v>
      </c>
      <c r="J12" s="87" t="s">
        <v>3967</v>
      </c>
      <c r="K12" s="217" t="str">
        <f aca="false">IF(Gov_Map!$AK$250="","—",Gov_Map!$AK$250)</f>
        <v>—</v>
      </c>
      <c r="L12" s="92" t="str">
        <f aca="false">IF(ISNUMBER(Gov_Map!$AF$250),INDEX(IDX_SrcDate,Gov_Map!$AF$250),"—")</f>
        <v>—</v>
      </c>
      <c r="M12" s="93" t="s">
        <v>3969</v>
      </c>
      <c r="N12" s="105" t="str">
        <f aca="false">IF(AND(ISTEXT(L12),LEN(L12)=10),IF(ISNUMBER(VALUE(SUBSTITUTE(L12,"-",""))),DATE(VALUE(LEFT($C$3,4)),VALUE(MID($C$3,6,2)),VALUE(RIGHT($C$3,2)))-DATE(VALUE(LEFT(L12,4)),VALUE(MID(L12,6,2)),VALUE(RIGHT(L12,2))),"—"),"—")</f>
        <v>—</v>
      </c>
    </row>
    <row r="13" customFormat="false" ht="356.7" hidden="false" customHeight="false" outlineLevel="0" collapsed="false">
      <c r="A13" s="92" t="str">
        <f aca="false">Gov_Map!$A$251</f>
        <v>GM247</v>
      </c>
      <c r="B13" s="92" t="str">
        <f aca="false">Gov_Map!$C$251</f>
        <v>Serving</v>
      </c>
      <c r="C13" s="92" t="str">
        <f aca="false">Gov_Map!$D$251</f>
        <v>E23</v>
      </c>
      <c r="D13" s="217" t="str">
        <f aca="false">Gov_Map!$E$251</f>
        <v>參考 ISL（每次請求輸入）</v>
      </c>
      <c r="E13" s="92" t="str">
        <f aca="false">Gov_Map!$F$251</f>
        <v>Assumed</v>
      </c>
      <c r="F13" s="92" t="n">
        <f aca="false">Gov_Map!$K$251</f>
        <v>16384</v>
      </c>
      <c r="G13" s="92" t="n">
        <f aca="false">Gov_Map!$L$251</f>
        <v>68000</v>
      </c>
      <c r="H13" s="92" t="str">
        <f aca="false">Gov_Map!$P$251</f>
        <v>高</v>
      </c>
      <c r="I13" s="92" t="str">
        <f aca="false">Gov_Map!$T$251</f>
        <v>—</v>
      </c>
      <c r="J13" s="87" t="s">
        <v>3967</v>
      </c>
      <c r="K13" s="217" t="str">
        <f aca="false">IF(Gov_Map!$AK$251="","—",Gov_Map!$AK$251)</f>
        <v>—</v>
      </c>
      <c r="L13" s="92" t="str">
        <f aca="false">IF(ISNUMBER(Gov_Map!$AF$251),INDEX(IDX_SrcDate,Gov_Map!$AF$251),"—")</f>
        <v>—</v>
      </c>
      <c r="M13" s="93" t="s">
        <v>3970</v>
      </c>
      <c r="N13" s="105" t="str">
        <f aca="false">IF(AND(ISTEXT(L13),LEN(L13)=10),IF(ISNUMBER(VALUE(SUBSTITUTE(L13,"-",""))),DATE(VALUE(LEFT($C$3,4)),VALUE(MID($C$3,6,2)),VALUE(RIGHT($C$3,2)))-DATE(VALUE(LEFT(L13,4)),VALUE(MID(L13,6,2)),VALUE(RIGHT(L13,2))),"—"),"—")</f>
        <v>—</v>
      </c>
    </row>
    <row r="14" customFormat="false" ht="356.7" hidden="false" customHeight="false" outlineLevel="0" collapsed="false">
      <c r="A14" s="92" t="str">
        <f aca="false">Gov_Map!$A$252</f>
        <v>GM248</v>
      </c>
      <c r="B14" s="92" t="str">
        <f aca="false">Gov_Map!$C$252</f>
        <v>Serving</v>
      </c>
      <c r="C14" s="92" t="str">
        <f aca="false">Gov_Map!$D$252</f>
        <v>C24</v>
      </c>
      <c r="D14" s="217" t="str">
        <f aca="false">Gov_Map!$E$252</f>
        <v>參考 OSL（含思考）</v>
      </c>
      <c r="E14" s="92" t="str">
        <f aca="false">Gov_Map!$F$252</f>
        <v>Assumed</v>
      </c>
      <c r="F14" s="92" t="n">
        <f aca="false">Gov_Map!$K$252</f>
        <v>400</v>
      </c>
      <c r="G14" s="92" t="n">
        <f aca="false">Gov_Map!$L$252</f>
        <v>2048</v>
      </c>
      <c r="H14" s="92" t="str">
        <f aca="false">Gov_Map!$P$252</f>
        <v>高</v>
      </c>
      <c r="I14" s="92" t="str">
        <f aca="false">Gov_Map!$T$252</f>
        <v>—</v>
      </c>
      <c r="J14" s="87" t="s">
        <v>3967</v>
      </c>
      <c r="K14" s="217" t="str">
        <f aca="false">IF(Gov_Map!$AK$252="","—",Gov_Map!$AK$252)</f>
        <v>—</v>
      </c>
      <c r="L14" s="92" t="str">
        <f aca="false">IF(ISNUMBER(Gov_Map!$AF$252),INDEX(IDX_SrcDate,Gov_Map!$AF$252),"—")</f>
        <v>—</v>
      </c>
      <c r="M14" s="93" t="s">
        <v>3971</v>
      </c>
      <c r="N14" s="105" t="str">
        <f aca="false">IF(AND(ISTEXT(L14),LEN(L14)=10),IF(ISNUMBER(VALUE(SUBSTITUTE(L14,"-",""))),DATE(VALUE(LEFT($C$3,4)),VALUE(MID($C$3,6,2)),VALUE(RIGHT($C$3,2)))-DATE(VALUE(LEFT(L14,4)),VALUE(MID(L14,6,2)),VALUE(RIGHT(L14,2))),"—"),"—")</f>
        <v>—</v>
      </c>
    </row>
    <row r="15" customFormat="false" ht="356.7" hidden="false" customHeight="false" outlineLevel="0" collapsed="false">
      <c r="A15" s="92" t="str">
        <f aca="false">Gov_Map!$A$253</f>
        <v>GM249</v>
      </c>
      <c r="B15" s="92" t="str">
        <f aca="false">Gov_Map!$C$253</f>
        <v>Serving</v>
      </c>
      <c r="C15" s="92" t="str">
        <f aca="false">Gov_Map!$D$253</f>
        <v>D24</v>
      </c>
      <c r="D15" s="217" t="str">
        <f aca="false">Gov_Map!$E$253</f>
        <v>參考 OSL（含思考）</v>
      </c>
      <c r="E15" s="92" t="str">
        <f aca="false">Gov_Map!$F$253</f>
        <v>Assumed</v>
      </c>
      <c r="F15" s="92" t="n">
        <f aca="false">Gov_Map!$K$253</f>
        <v>1024</v>
      </c>
      <c r="G15" s="92" t="n">
        <f aca="false">Gov_Map!$L$253</f>
        <v>4096</v>
      </c>
      <c r="H15" s="92" t="str">
        <f aca="false">Gov_Map!$P$253</f>
        <v>高</v>
      </c>
      <c r="I15" s="92" t="str">
        <f aca="false">Gov_Map!$T$253</f>
        <v>—</v>
      </c>
      <c r="J15" s="87" t="s">
        <v>3967</v>
      </c>
      <c r="K15" s="217" t="str">
        <f aca="false">IF(Gov_Map!$AK$253="","—",Gov_Map!$AK$253)</f>
        <v>—</v>
      </c>
      <c r="L15" s="92" t="str">
        <f aca="false">IF(ISNUMBER(Gov_Map!$AF$253),INDEX(IDX_SrcDate,Gov_Map!$AF$253),"—")</f>
        <v>—</v>
      </c>
      <c r="M15" s="93" t="s">
        <v>3972</v>
      </c>
      <c r="N15" s="105" t="str">
        <f aca="false">IF(AND(ISTEXT(L15),LEN(L15)=10),IF(ISNUMBER(VALUE(SUBSTITUTE(L15,"-",""))),DATE(VALUE(LEFT($C$3,4)),VALUE(MID($C$3,6,2)),VALUE(RIGHT($C$3,2)))-DATE(VALUE(LEFT(L15,4)),VALUE(MID(L15,6,2)),VALUE(RIGHT(L15,2))),"—"),"—")</f>
        <v>—</v>
      </c>
    </row>
    <row r="16" customFormat="false" ht="356.7" hidden="false" customHeight="false" outlineLevel="0" collapsed="false">
      <c r="A16" s="92" t="str">
        <f aca="false">Gov_Map!$A$254</f>
        <v>GM250</v>
      </c>
      <c r="B16" s="92" t="str">
        <f aca="false">Gov_Map!$C$254</f>
        <v>Serving</v>
      </c>
      <c r="C16" s="92" t="str">
        <f aca="false">Gov_Map!$D$254</f>
        <v>E24</v>
      </c>
      <c r="D16" s="217" t="str">
        <f aca="false">Gov_Map!$E$254</f>
        <v>參考 OSL（含思考）</v>
      </c>
      <c r="E16" s="92" t="str">
        <f aca="false">Gov_Map!$F$254</f>
        <v>Assumed</v>
      </c>
      <c r="F16" s="92" t="n">
        <f aca="false">Gov_Map!$K$254</f>
        <v>2048</v>
      </c>
      <c r="G16" s="92" t="n">
        <f aca="false">Gov_Map!$L$254</f>
        <v>8192</v>
      </c>
      <c r="H16" s="92" t="str">
        <f aca="false">Gov_Map!$P$254</f>
        <v>高</v>
      </c>
      <c r="I16" s="92" t="str">
        <f aca="false">Gov_Map!$T$254</f>
        <v>—</v>
      </c>
      <c r="J16" s="87" t="s">
        <v>3967</v>
      </c>
      <c r="K16" s="217" t="str">
        <f aca="false">IF(Gov_Map!$AK$254="","—",Gov_Map!$AK$254)</f>
        <v>—</v>
      </c>
      <c r="L16" s="92" t="str">
        <f aca="false">IF(ISNUMBER(Gov_Map!$AF$254),INDEX(IDX_SrcDate,Gov_Map!$AF$254),"—")</f>
        <v>—</v>
      </c>
      <c r="M16" s="93" t="s">
        <v>3973</v>
      </c>
      <c r="N16" s="105" t="str">
        <f aca="false">IF(AND(ISTEXT(L16),LEN(L16)=10),IF(ISNUMBER(VALUE(SUBSTITUTE(L16,"-",""))),DATE(VALUE(LEFT($C$3,4)),VALUE(MID($C$3,6,2)),VALUE(RIGHT($C$3,2)))-DATE(VALUE(LEFT(L16,4)),VALUE(MID(L16,6,2)),VALUE(RIGHT(L16,2))),"—"),"—")</f>
        <v>—</v>
      </c>
    </row>
    <row r="17" customFormat="false" ht="49.95" hidden="false" customHeight="false" outlineLevel="0" collapsed="false">
      <c r="A17" s="92" t="str">
        <f aca="false">Gov_Map!$A$255</f>
        <v>GM251</v>
      </c>
      <c r="B17" s="92" t="str">
        <f aca="false">Gov_Map!$C$255</f>
        <v>Workload</v>
      </c>
      <c r="C17" s="92" t="str">
        <f aca="false">Gov_Map!$D$255</f>
        <v>C5</v>
      </c>
      <c r="D17" s="217" t="str">
        <f aca="false">Gov_Map!$E$255</f>
        <v>輪數 T</v>
      </c>
      <c r="E17" s="92" t="str">
        <f aca="false">Gov_Map!$F$255</f>
        <v>Assumed</v>
      </c>
      <c r="F17" s="92" t="n">
        <f aca="false">Gov_Map!$K$255</f>
        <v>1</v>
      </c>
      <c r="G17" s="92" t="n">
        <f aca="false">Gov_Map!$L$255</f>
        <v>2</v>
      </c>
      <c r="H17" s="92" t="str">
        <f aca="false">Gov_Map!$P$255</f>
        <v>高</v>
      </c>
      <c r="I17" s="92" t="str">
        <f aca="false">Gov_Map!$T$255</f>
        <v>—</v>
      </c>
      <c r="J17" s="87" t="s">
        <v>3974</v>
      </c>
      <c r="K17" s="217" t="str">
        <f aca="false">IF(Gov_Map!$AK$255="","—",Gov_Map!$AK$255)</f>
        <v>—</v>
      </c>
      <c r="L17" s="92" t="str">
        <f aca="false">IF(ISNUMBER(Gov_Map!$AF$255),INDEX(IDX_SrcDate,Gov_Map!$AF$255),"—")</f>
        <v>—</v>
      </c>
      <c r="M17" s="93" t="s">
        <v>3975</v>
      </c>
      <c r="N17" s="105" t="str">
        <f aca="false">IF(AND(ISTEXT(L17),LEN(L17)=10),IF(ISNUMBER(VALUE(SUBSTITUTE(L17,"-",""))),DATE(VALUE(LEFT($C$3,4)),VALUE(MID($C$3,6,2)),VALUE(RIGHT($C$3,2)))-DATE(VALUE(LEFT(L17,4)),VALUE(MID(L17,6,2)),VALUE(RIGHT(L17,2))),"—"),"—")</f>
        <v>—</v>
      </c>
    </row>
    <row r="18" customFormat="false" ht="49.95" hidden="false" customHeight="false" outlineLevel="0" collapsed="false">
      <c r="A18" s="92" t="str">
        <f aca="false">Gov_Map!$A$256</f>
        <v>GM252</v>
      </c>
      <c r="B18" s="92" t="str">
        <f aca="false">Gov_Map!$C$256</f>
        <v>Workload</v>
      </c>
      <c r="C18" s="92" t="str">
        <f aca="false">Gov_Map!$D$256</f>
        <v>D5</v>
      </c>
      <c r="D18" s="217" t="str">
        <f aca="false">Gov_Map!$E$256</f>
        <v>輪數 T</v>
      </c>
      <c r="E18" s="92" t="str">
        <f aca="false">Gov_Map!$F$256</f>
        <v>Assumed</v>
      </c>
      <c r="F18" s="92" t="n">
        <f aca="false">Gov_Map!$K$256</f>
        <v>1</v>
      </c>
      <c r="G18" s="92" t="n">
        <f aca="false">Gov_Map!$L$256</f>
        <v>2</v>
      </c>
      <c r="H18" s="92" t="str">
        <f aca="false">Gov_Map!$P$256</f>
        <v>高</v>
      </c>
      <c r="I18" s="92" t="str">
        <f aca="false">Gov_Map!$T$256</f>
        <v>—</v>
      </c>
      <c r="J18" s="87" t="s">
        <v>3974</v>
      </c>
      <c r="K18" s="217" t="str">
        <f aca="false">IF(Gov_Map!$AK$256="","—",Gov_Map!$AK$256)</f>
        <v>—</v>
      </c>
      <c r="L18" s="92" t="str">
        <f aca="false">IF(ISNUMBER(Gov_Map!$AF$256),INDEX(IDX_SrcDate,Gov_Map!$AF$256),"—")</f>
        <v>—</v>
      </c>
      <c r="M18" s="93" t="s">
        <v>3976</v>
      </c>
      <c r="N18" s="105" t="str">
        <f aca="false">IF(AND(ISTEXT(L18),LEN(L18)=10),IF(ISNUMBER(VALUE(SUBSTITUTE(L18,"-",""))),DATE(VALUE(LEFT($C$3,4)),VALUE(MID($C$3,6,2)),VALUE(RIGHT($C$3,2)))-DATE(VALUE(LEFT(L18,4)),VALUE(MID(L18,6,2)),VALUE(RIGHT(L18,2))),"—"),"—")</f>
        <v>—</v>
      </c>
    </row>
    <row r="19" customFormat="false" ht="49.95" hidden="false" customHeight="false" outlineLevel="0" collapsed="false">
      <c r="A19" s="92" t="str">
        <f aca="false">Gov_Map!$A$257</f>
        <v>GM253</v>
      </c>
      <c r="B19" s="92" t="str">
        <f aca="false">Gov_Map!$C$257</f>
        <v>Workload</v>
      </c>
      <c r="C19" s="92" t="str">
        <f aca="false">Gov_Map!$D$257</f>
        <v>E5</v>
      </c>
      <c r="D19" s="217" t="str">
        <f aca="false">Gov_Map!$E$257</f>
        <v>輪數 T</v>
      </c>
      <c r="E19" s="92" t="str">
        <f aca="false">Gov_Map!$F$257</f>
        <v>Assumed</v>
      </c>
      <c r="F19" s="92" t="n">
        <f aca="false">Gov_Map!$K$257</f>
        <v>2</v>
      </c>
      <c r="G19" s="92" t="n">
        <f aca="false">Gov_Map!$L$257</f>
        <v>8</v>
      </c>
      <c r="H19" s="92" t="str">
        <f aca="false">Gov_Map!$P$257</f>
        <v>高</v>
      </c>
      <c r="I19" s="92" t="str">
        <f aca="false">Gov_Map!$T$257</f>
        <v>—</v>
      </c>
      <c r="J19" s="87" t="s">
        <v>3974</v>
      </c>
      <c r="K19" s="217" t="str">
        <f aca="false">IF(Gov_Map!$AK$257="","—",Gov_Map!$AK$257)</f>
        <v>—</v>
      </c>
      <c r="L19" s="92" t="str">
        <f aca="false">IF(ISNUMBER(Gov_Map!$AF$257),INDEX(IDX_SrcDate,Gov_Map!$AF$257),"—")</f>
        <v>—</v>
      </c>
      <c r="M19" s="93" t="s">
        <v>3977</v>
      </c>
      <c r="N19" s="105" t="str">
        <f aca="false">IF(AND(ISTEXT(L19),LEN(L19)=10),IF(ISNUMBER(VALUE(SUBSTITUTE(L19,"-",""))),DATE(VALUE(LEFT($C$3,4)),VALUE(MID($C$3,6,2)),VALUE(RIGHT($C$3,2)))-DATE(VALUE(LEFT(L19,4)),VALUE(MID(L19,6,2)),VALUE(RIGHT(L19,2))),"—"),"—")</f>
        <v>—</v>
      </c>
    </row>
    <row r="20" customFormat="false" ht="49.95" hidden="false" customHeight="false" outlineLevel="0" collapsed="false">
      <c r="A20" s="92" t="str">
        <f aca="false">Gov_Map!$A$258</f>
        <v>GM254</v>
      </c>
      <c r="B20" s="92" t="str">
        <f aca="false">Gov_Map!$C$258</f>
        <v>Workload</v>
      </c>
      <c r="C20" s="92" t="str">
        <f aca="false">Gov_Map!$D$258</f>
        <v>F5</v>
      </c>
      <c r="D20" s="217" t="str">
        <f aca="false">Gov_Map!$E$258</f>
        <v>輪數 T</v>
      </c>
      <c r="E20" s="92" t="str">
        <f aca="false">Gov_Map!$F$258</f>
        <v>Assumed</v>
      </c>
      <c r="F20" s="92" t="n">
        <f aca="false">Gov_Map!$K$258</f>
        <v>2</v>
      </c>
      <c r="G20" s="92" t="n">
        <f aca="false">Gov_Map!$L$258</f>
        <v>8</v>
      </c>
      <c r="H20" s="92" t="str">
        <f aca="false">Gov_Map!$P$258</f>
        <v>高</v>
      </c>
      <c r="I20" s="92" t="str">
        <f aca="false">Gov_Map!$T$258</f>
        <v>—</v>
      </c>
      <c r="J20" s="87" t="s">
        <v>3974</v>
      </c>
      <c r="K20" s="217" t="str">
        <f aca="false">IF(Gov_Map!$AK$258="","—",Gov_Map!$AK$258)</f>
        <v>—</v>
      </c>
      <c r="L20" s="92" t="str">
        <f aca="false">IF(ISNUMBER(Gov_Map!$AF$258),INDEX(IDX_SrcDate,Gov_Map!$AF$258),"—")</f>
        <v>—</v>
      </c>
      <c r="M20" s="93" t="s">
        <v>3978</v>
      </c>
      <c r="N20" s="105" t="str">
        <f aca="false">IF(AND(ISTEXT(L20),LEN(L20)=10),IF(ISNUMBER(VALUE(SUBSTITUTE(L20,"-",""))),DATE(VALUE(LEFT($C$3,4)),VALUE(MID($C$3,6,2)),VALUE(RIGHT($C$3,2)))-DATE(VALUE(LEFT(L20,4)),VALUE(MID(L20,6,2)),VALUE(RIGHT(L20,2))),"—"),"—")</f>
        <v>—</v>
      </c>
    </row>
    <row r="21" customFormat="false" ht="49.95" hidden="false" customHeight="false" outlineLevel="0" collapsed="false">
      <c r="A21" s="92" t="str">
        <f aca="false">Gov_Map!$A$259</f>
        <v>GM255</v>
      </c>
      <c r="B21" s="92" t="str">
        <f aca="false">Gov_Map!$C$259</f>
        <v>Workload</v>
      </c>
      <c r="C21" s="92" t="str">
        <f aca="false">Gov_Map!$D$259</f>
        <v>G5</v>
      </c>
      <c r="D21" s="217" t="str">
        <f aca="false">Gov_Map!$E$259</f>
        <v>輪數 T</v>
      </c>
      <c r="E21" s="92" t="str">
        <f aca="false">Gov_Map!$F$259</f>
        <v>Assumed</v>
      </c>
      <c r="F21" s="92" t="n">
        <f aca="false">Gov_Map!$K$259</f>
        <v>15</v>
      </c>
      <c r="G21" s="92" t="n">
        <f aca="false">Gov_Map!$L$259</f>
        <v>60</v>
      </c>
      <c r="H21" s="92" t="str">
        <f aca="false">Gov_Map!$P$259</f>
        <v>高</v>
      </c>
      <c r="I21" s="92" t="str">
        <f aca="false">Gov_Map!$T$259</f>
        <v>—</v>
      </c>
      <c r="J21" s="87" t="s">
        <v>3974</v>
      </c>
      <c r="K21" s="217" t="str">
        <f aca="false">IF(Gov_Map!$AK$259="","—",Gov_Map!$AK$259)</f>
        <v>—</v>
      </c>
      <c r="L21" s="92" t="str">
        <f aca="false">IF(ISNUMBER(Gov_Map!$AF$259),INDEX(IDX_SrcDate,Gov_Map!$AF$259),"—")</f>
        <v>—</v>
      </c>
      <c r="M21" s="93" t="s">
        <v>3979</v>
      </c>
      <c r="N21" s="105" t="str">
        <f aca="false">IF(AND(ISTEXT(L21),LEN(L21)=10),IF(ISNUMBER(VALUE(SUBSTITUTE(L21,"-",""))),DATE(VALUE(LEFT($C$3,4)),VALUE(MID($C$3,6,2)),VALUE(RIGHT($C$3,2)))-DATE(VALUE(LEFT(L21,4)),VALUE(MID(L21,6,2)),VALUE(RIGHT(L21,2))),"—"),"—")</f>
        <v>—</v>
      </c>
    </row>
    <row r="22" customFormat="false" ht="49.95" hidden="false" customHeight="false" outlineLevel="0" collapsed="false">
      <c r="A22" s="92" t="str">
        <f aca="false">Gov_Map!$A$274</f>
        <v>GM270</v>
      </c>
      <c r="B22" s="92" t="str">
        <f aca="false">Gov_Map!$C$274</f>
        <v>Workload</v>
      </c>
      <c r="C22" s="92" t="str">
        <f aca="false">Gov_Map!$D$274</f>
        <v>G8</v>
      </c>
      <c r="D22" s="217" t="str">
        <f aca="false">Gov_Map!$E$274</f>
        <v>每輪思考 token h</v>
      </c>
      <c r="E22" s="92" t="str">
        <f aca="false">Gov_Map!$F$274</f>
        <v>Assumed</v>
      </c>
      <c r="F22" s="92" t="n">
        <f aca="false">Gov_Map!$K$274</f>
        <v>300</v>
      </c>
      <c r="G22" s="92" t="n">
        <f aca="false">Gov_Map!$L$274</f>
        <v>1200</v>
      </c>
      <c r="H22" s="92" t="str">
        <f aca="false">Gov_Map!$P$274</f>
        <v>高</v>
      </c>
      <c r="I22" s="92" t="str">
        <f aca="false">Gov_Map!$T$274</f>
        <v>—</v>
      </c>
      <c r="J22" s="87" t="s">
        <v>3974</v>
      </c>
      <c r="K22" s="217" t="str">
        <f aca="false">IF(Gov_Map!$AK$274="","—",Gov_Map!$AK$274)</f>
        <v>—</v>
      </c>
      <c r="L22" s="92" t="str">
        <f aca="false">IF(ISNUMBER(Gov_Map!$AF$274),INDEX(IDX_SrcDate,Gov_Map!$AF$274),"—")</f>
        <v>—</v>
      </c>
      <c r="M22" s="93" t="s">
        <v>3980</v>
      </c>
      <c r="N22" s="105" t="str">
        <f aca="false">IF(AND(ISTEXT(L22),LEN(L22)=10),IF(ISNUMBER(VALUE(SUBSTITUTE(L22,"-",""))),DATE(VALUE(LEFT($C$3,4)),VALUE(MID($C$3,6,2)),VALUE(RIGHT($C$3,2)))-DATE(VALUE(LEFT(L22,4)),VALUE(MID(L22,6,2)),VALUE(RIGHT(L22,2))),"—"),"—")</f>
        <v>—</v>
      </c>
    </row>
    <row r="23" customFormat="false" ht="49.95" hidden="false" customHeight="false" outlineLevel="0" collapsed="false">
      <c r="A23" s="92" t="str">
        <f aca="false">Gov_Map!$A$279</f>
        <v>GM275</v>
      </c>
      <c r="B23" s="92" t="str">
        <f aca="false">Gov_Map!$C$279</f>
        <v>Workload</v>
      </c>
      <c r="C23" s="92" t="str">
        <f aca="false">Gov_Map!$D$279</f>
        <v>G9</v>
      </c>
      <c r="D23" s="217" t="str">
        <f aca="false">Gov_Map!$E$279</f>
        <v>每輪可見輸出 o</v>
      </c>
      <c r="E23" s="92" t="str">
        <f aca="false">Gov_Map!$F$279</f>
        <v>Assumed</v>
      </c>
      <c r="F23" s="92" t="n">
        <f aca="false">Gov_Map!$K$279</f>
        <v>200</v>
      </c>
      <c r="G23" s="92" t="n">
        <f aca="false">Gov_Map!$L$279</f>
        <v>800</v>
      </c>
      <c r="H23" s="92" t="str">
        <f aca="false">Gov_Map!$P$279</f>
        <v>高</v>
      </c>
      <c r="I23" s="92" t="str">
        <f aca="false">Gov_Map!$T$279</f>
        <v>—</v>
      </c>
      <c r="J23" s="87" t="s">
        <v>3974</v>
      </c>
      <c r="K23" s="217" t="str">
        <f aca="false">IF(Gov_Map!$AK$279="","—",Gov_Map!$AK$279)</f>
        <v>—</v>
      </c>
      <c r="L23" s="92" t="str">
        <f aca="false">IF(ISNUMBER(Gov_Map!$AF$279),INDEX(IDX_SrcDate,Gov_Map!$AF$279),"—")</f>
        <v>—</v>
      </c>
      <c r="M23" s="93" t="s">
        <v>3981</v>
      </c>
      <c r="N23" s="105" t="str">
        <f aca="false">IF(AND(ISTEXT(L23),LEN(L23)=10),IF(ISNUMBER(VALUE(SUBSTITUTE(L23,"-",""))),DATE(VALUE(LEFT($C$3,4)),VALUE(MID($C$3,6,2)),VALUE(RIGHT($C$3,2)))-DATE(VALUE(LEFT(L23,4)),VALUE(MID(L23,6,2)),VALUE(RIGHT(L23,2))),"—"),"—")</f>
        <v>—</v>
      </c>
    </row>
    <row r="24" customFormat="false" ht="49.95" hidden="false" customHeight="false" outlineLevel="0" collapsed="false">
      <c r="A24" s="92" t="str">
        <f aca="false">Gov_Map!$A$285</f>
        <v>GM281</v>
      </c>
      <c r="B24" s="92" t="str">
        <f aca="false">Gov_Map!$C$285</f>
        <v>Workload</v>
      </c>
      <c r="C24" s="92" t="str">
        <f aca="false">Gov_Map!$D$285</f>
        <v>C11</v>
      </c>
      <c r="D24" s="217" t="str">
        <f aca="false">Gov_Map!$E$285</f>
        <v>歷史快取命中率 χ</v>
      </c>
      <c r="E24" s="92" t="str">
        <f aca="false">Gov_Map!$F$285</f>
        <v>Assumed</v>
      </c>
      <c r="F24" s="92" t="n">
        <f aca="false">Gov_Map!$K$285</f>
        <v>0.3</v>
      </c>
      <c r="G24" s="92" t="n">
        <f aca="false">Gov_Map!$L$285</f>
        <v>0.7</v>
      </c>
      <c r="H24" s="92" t="str">
        <f aca="false">Gov_Map!$P$285</f>
        <v>高</v>
      </c>
      <c r="I24" s="92" t="str">
        <f aca="false">Gov_Map!$T$285</f>
        <v>—</v>
      </c>
      <c r="J24" s="87" t="s">
        <v>3974</v>
      </c>
      <c r="K24" s="217" t="str">
        <f aca="false">IF(Gov_Map!$AK$285="","—",Gov_Map!$AK$285)</f>
        <v>—</v>
      </c>
      <c r="L24" s="92" t="str">
        <f aca="false">IF(ISNUMBER(Gov_Map!$AF$285),INDEX(IDX_SrcDate,Gov_Map!$AF$285),"—")</f>
        <v>—</v>
      </c>
      <c r="M24" s="93" t="s">
        <v>3982</v>
      </c>
      <c r="N24" s="105" t="str">
        <f aca="false">IF(AND(ISTEXT(L24),LEN(L24)=10),IF(ISNUMBER(VALUE(SUBSTITUTE(L24,"-",""))),DATE(VALUE(LEFT($C$3,4)),VALUE(MID($C$3,6,2)),VALUE(RIGHT($C$3,2)))-DATE(VALUE(LEFT(L24,4)),VALUE(MID(L24,6,2)),VALUE(RIGHT(L24,2))),"—"),"—")</f>
        <v>—</v>
      </c>
    </row>
    <row r="25" customFormat="false" ht="49.95" hidden="false" customHeight="false" outlineLevel="0" collapsed="false">
      <c r="A25" s="92" t="str">
        <f aca="false">Gov_Map!$A$286</f>
        <v>GM282</v>
      </c>
      <c r="B25" s="92" t="str">
        <f aca="false">Gov_Map!$C$286</f>
        <v>Workload</v>
      </c>
      <c r="C25" s="92" t="str">
        <f aca="false">Gov_Map!$D$286</f>
        <v>D11</v>
      </c>
      <c r="D25" s="217" t="str">
        <f aca="false">Gov_Map!$E$286</f>
        <v>歷史快取命中率 χ</v>
      </c>
      <c r="E25" s="92" t="str">
        <f aca="false">Gov_Map!$F$286</f>
        <v>Assumed</v>
      </c>
      <c r="F25" s="92" t="n">
        <f aca="false">Gov_Map!$K$286</f>
        <v>0.3</v>
      </c>
      <c r="G25" s="92" t="n">
        <f aca="false">Gov_Map!$L$286</f>
        <v>0.7</v>
      </c>
      <c r="H25" s="92" t="str">
        <f aca="false">Gov_Map!$P$286</f>
        <v>高</v>
      </c>
      <c r="I25" s="92" t="str">
        <f aca="false">Gov_Map!$T$286</f>
        <v>—</v>
      </c>
      <c r="J25" s="87" t="s">
        <v>3974</v>
      </c>
      <c r="K25" s="217" t="str">
        <f aca="false">IF(Gov_Map!$AK$286="","—",Gov_Map!$AK$286)</f>
        <v>—</v>
      </c>
      <c r="L25" s="92" t="str">
        <f aca="false">IF(ISNUMBER(Gov_Map!$AF$286),INDEX(IDX_SrcDate,Gov_Map!$AF$286),"—")</f>
        <v>—</v>
      </c>
      <c r="M25" s="93" t="s">
        <v>3983</v>
      </c>
      <c r="N25" s="105" t="str">
        <f aca="false">IF(AND(ISTEXT(L25),LEN(L25)=10),IF(ISNUMBER(VALUE(SUBSTITUTE(L25,"-",""))),DATE(VALUE(LEFT($C$3,4)),VALUE(MID($C$3,6,2)),VALUE(RIGHT($C$3,2)))-DATE(VALUE(LEFT(L25,4)),VALUE(MID(L25,6,2)),VALUE(RIGHT(L25,2))),"—"),"—")</f>
        <v>—</v>
      </c>
    </row>
    <row r="26" customFormat="false" ht="49.95" hidden="false" customHeight="false" outlineLevel="0" collapsed="false">
      <c r="A26" s="92" t="str">
        <f aca="false">Gov_Map!$A$287</f>
        <v>GM283</v>
      </c>
      <c r="B26" s="92" t="str">
        <f aca="false">Gov_Map!$C$287</f>
        <v>Workload</v>
      </c>
      <c r="C26" s="92" t="str">
        <f aca="false">Gov_Map!$D$287</f>
        <v>E11</v>
      </c>
      <c r="D26" s="217" t="str">
        <f aca="false">Gov_Map!$E$287</f>
        <v>歷史快取命中率 χ</v>
      </c>
      <c r="E26" s="92" t="str">
        <f aca="false">Gov_Map!$F$287</f>
        <v>Assumed</v>
      </c>
      <c r="F26" s="92" t="n">
        <f aca="false">Gov_Map!$K$287</f>
        <v>0.7</v>
      </c>
      <c r="G26" s="92" t="n">
        <f aca="false">Gov_Map!$L$287</f>
        <v>0.95</v>
      </c>
      <c r="H26" s="92" t="str">
        <f aca="false">Gov_Map!$P$287</f>
        <v>高</v>
      </c>
      <c r="I26" s="92" t="str">
        <f aca="false">Gov_Map!$T$287</f>
        <v>—</v>
      </c>
      <c r="J26" s="87" t="s">
        <v>3974</v>
      </c>
      <c r="K26" s="217" t="str">
        <f aca="false">IF(Gov_Map!$AK$287="","—",Gov_Map!$AK$287)</f>
        <v>—</v>
      </c>
      <c r="L26" s="92" t="str">
        <f aca="false">IF(ISNUMBER(Gov_Map!$AF$287),INDEX(IDX_SrcDate,Gov_Map!$AF$287),"—")</f>
        <v>—</v>
      </c>
      <c r="M26" s="93" t="s">
        <v>3984</v>
      </c>
      <c r="N26" s="105" t="str">
        <f aca="false">IF(AND(ISTEXT(L26),LEN(L26)=10),IF(ISNUMBER(VALUE(SUBSTITUTE(L26,"-",""))),DATE(VALUE(LEFT($C$3,4)),VALUE(MID($C$3,6,2)),VALUE(RIGHT($C$3,2)))-DATE(VALUE(LEFT(L26,4)),VALUE(MID(L26,6,2)),VALUE(RIGHT(L26,2))),"—"),"—")</f>
        <v>—</v>
      </c>
    </row>
    <row r="27" customFormat="false" ht="49.95" hidden="false" customHeight="false" outlineLevel="0" collapsed="false">
      <c r="A27" s="92" t="str">
        <f aca="false">Gov_Map!$A$288</f>
        <v>GM284</v>
      </c>
      <c r="B27" s="92" t="str">
        <f aca="false">Gov_Map!$C$288</f>
        <v>Workload</v>
      </c>
      <c r="C27" s="92" t="str">
        <f aca="false">Gov_Map!$D$288</f>
        <v>F11</v>
      </c>
      <c r="D27" s="217" t="str">
        <f aca="false">Gov_Map!$E$288</f>
        <v>歷史快取命中率 χ</v>
      </c>
      <c r="E27" s="92" t="str">
        <f aca="false">Gov_Map!$F$288</f>
        <v>Assumed</v>
      </c>
      <c r="F27" s="92" t="n">
        <f aca="false">Gov_Map!$K$288</f>
        <v>0.7</v>
      </c>
      <c r="G27" s="92" t="n">
        <f aca="false">Gov_Map!$L$288</f>
        <v>0.95</v>
      </c>
      <c r="H27" s="92" t="str">
        <f aca="false">Gov_Map!$P$288</f>
        <v>高</v>
      </c>
      <c r="I27" s="92" t="str">
        <f aca="false">Gov_Map!$T$288</f>
        <v>—</v>
      </c>
      <c r="J27" s="87" t="s">
        <v>3974</v>
      </c>
      <c r="K27" s="217" t="str">
        <f aca="false">IF(Gov_Map!$AK$288="","—",Gov_Map!$AK$288)</f>
        <v>—</v>
      </c>
      <c r="L27" s="92" t="str">
        <f aca="false">IF(ISNUMBER(Gov_Map!$AF$288),INDEX(IDX_SrcDate,Gov_Map!$AF$288),"—")</f>
        <v>—</v>
      </c>
      <c r="M27" s="93" t="s">
        <v>3985</v>
      </c>
      <c r="N27" s="105" t="str">
        <f aca="false">IF(AND(ISTEXT(L27),LEN(L27)=10),IF(ISNUMBER(VALUE(SUBSTITUTE(L27,"-",""))),DATE(VALUE(LEFT($C$3,4)),VALUE(MID($C$3,6,2)),VALUE(RIGHT($C$3,2)))-DATE(VALUE(LEFT(L27,4)),VALUE(MID(L27,6,2)),VALUE(RIGHT(L27,2))),"—"),"—")</f>
        <v>—</v>
      </c>
    </row>
    <row r="28" customFormat="false" ht="49.95" hidden="false" customHeight="false" outlineLevel="0" collapsed="false">
      <c r="A28" s="92" t="str">
        <f aca="false">Gov_Map!$A$289</f>
        <v>GM285</v>
      </c>
      <c r="B28" s="92" t="str">
        <f aca="false">Gov_Map!$C$289</f>
        <v>Workload</v>
      </c>
      <c r="C28" s="92" t="str">
        <f aca="false">Gov_Map!$D$289</f>
        <v>G11</v>
      </c>
      <c r="D28" s="217" t="str">
        <f aca="false">Gov_Map!$E$289</f>
        <v>歷史快取命中率 χ</v>
      </c>
      <c r="E28" s="92" t="str">
        <f aca="false">Gov_Map!$F$289</f>
        <v>Assumed</v>
      </c>
      <c r="F28" s="92" t="n">
        <f aca="false">Gov_Map!$K$289</f>
        <v>0.7</v>
      </c>
      <c r="G28" s="92" t="n">
        <f aca="false">Gov_Map!$L$289</f>
        <v>0.95</v>
      </c>
      <c r="H28" s="92" t="str">
        <f aca="false">Gov_Map!$P$289</f>
        <v>高</v>
      </c>
      <c r="I28" s="92" t="str">
        <f aca="false">Gov_Map!$T$289</f>
        <v>—</v>
      </c>
      <c r="J28" s="87" t="s">
        <v>3974</v>
      </c>
      <c r="K28" s="217" t="str">
        <f aca="false">IF(Gov_Map!$AK$289="","—",Gov_Map!$AK$289)</f>
        <v>—</v>
      </c>
      <c r="L28" s="92" t="str">
        <f aca="false">IF(ISNUMBER(Gov_Map!$AF$289),INDEX(IDX_SrcDate,Gov_Map!$AF$289),"—")</f>
        <v>—</v>
      </c>
      <c r="M28" s="93" t="s">
        <v>3986</v>
      </c>
      <c r="N28" s="105" t="str">
        <f aca="false">IF(AND(ISTEXT(L28),LEN(L28)=10),IF(ISNUMBER(VALUE(SUBSTITUTE(L28,"-",""))),DATE(VALUE(LEFT($C$3,4)),VALUE(MID($C$3,6,2)),VALUE(RIGHT($C$3,2)))-DATE(VALUE(LEFT(L28,4)),VALUE(MID(L28,6,2)),VALUE(RIGHT(L28,2))),"—"),"—")</f>
        <v>—</v>
      </c>
    </row>
    <row r="29" customFormat="false" ht="49.95" hidden="false" customHeight="false" outlineLevel="0" collapsed="false">
      <c r="A29" s="92" t="str">
        <f aca="false">Gov_Map!$A$294</f>
        <v>GM290</v>
      </c>
      <c r="B29" s="92" t="str">
        <f aca="false">Gov_Map!$C$294</f>
        <v>Workload</v>
      </c>
      <c r="C29" s="92" t="str">
        <f aca="false">Gov_Map!$D$294</f>
        <v>G12</v>
      </c>
      <c r="D29" s="217" t="str">
        <f aca="false">Gov_Map!$E$294</f>
        <v>並行子代理數 m</v>
      </c>
      <c r="E29" s="92" t="str">
        <f aca="false">Gov_Map!$F$294</f>
        <v>Assumed</v>
      </c>
      <c r="F29" s="92" t="n">
        <f aca="false">Gov_Map!$K$294</f>
        <v>0</v>
      </c>
      <c r="G29" s="92" t="n">
        <f aca="false">Gov_Map!$L$294</f>
        <v>1</v>
      </c>
      <c r="H29" s="92" t="str">
        <f aca="false">Gov_Map!$P$294</f>
        <v>高</v>
      </c>
      <c r="I29" s="92" t="str">
        <f aca="false">Gov_Map!$T$294</f>
        <v>—</v>
      </c>
      <c r="J29" s="87" t="s">
        <v>3974</v>
      </c>
      <c r="K29" s="217" t="str">
        <f aca="false">IF(Gov_Map!$AK$294="","—",Gov_Map!$AK$294)</f>
        <v>—</v>
      </c>
      <c r="L29" s="92" t="str">
        <f aca="false">IF(ISNUMBER(Gov_Map!$AF$294),INDEX(IDX_SrcDate,Gov_Map!$AF$294),"—")</f>
        <v>—</v>
      </c>
      <c r="M29" s="93" t="s">
        <v>3987</v>
      </c>
      <c r="N29" s="105" t="str">
        <f aca="false">IF(AND(ISTEXT(L29),LEN(L29)=10),IF(ISNUMBER(VALUE(SUBSTITUTE(L29,"-",""))),DATE(VALUE(LEFT($C$3,4)),VALUE(MID($C$3,6,2)),VALUE(RIGHT($C$3,2)))-DATE(VALUE(LEFT(L29,4)),VALUE(MID(L29,6,2)),VALUE(RIGHT(L29,2))),"—"),"—")</f>
        <v>—</v>
      </c>
    </row>
    <row r="30" customFormat="false" ht="369.4" hidden="false" customHeight="false" outlineLevel="0" collapsed="false">
      <c r="A30" s="92" t="str">
        <f aca="false">Gov_Map!$A$308</f>
        <v>GM304</v>
      </c>
      <c r="B30" s="92" t="str">
        <f aca="false">Gov_Map!$C$308</f>
        <v>Calib</v>
      </c>
      <c r="C30" s="92" t="str">
        <f aca="false">Gov_Map!$D$308</f>
        <v>C5</v>
      </c>
      <c r="D30" s="217" t="str">
        <f aca="false">Gov_Map!$E$308</f>
        <v>η_p：prefill 達成峰值比例</v>
      </c>
      <c r="E30" s="92" t="str">
        <f aca="false">Gov_Map!$F$308</f>
        <v>Analogy</v>
      </c>
      <c r="F30" s="92" t="n">
        <f aca="false">Gov_Map!$K$308</f>
        <v>0.15</v>
      </c>
      <c r="G30" s="92" t="n">
        <f aca="false">Gov_Map!$L$308</f>
        <v>0.45</v>
      </c>
      <c r="H30" s="92" t="str">
        <f aca="false">Gov_Map!$P$308</f>
        <v>高</v>
      </c>
      <c r="I30" s="92" t="n">
        <f aca="false">Gov_Map!$T$308</f>
        <v>1</v>
      </c>
      <c r="J30" s="87" t="s">
        <v>3958</v>
      </c>
      <c r="K30" s="217" t="str">
        <f aca="false">IF(Gov_Map!$AK$308="","—",Gov_Map!$AK$308)</f>
        <v>—</v>
      </c>
      <c r="L30" s="92" t="str">
        <f aca="false">IF(ISNUMBER(Gov_Map!$AF$308),INDEX(IDX_SrcDate,Gov_Map!$AF$308),"—")</f>
        <v>—</v>
      </c>
      <c r="M30" s="93" t="s">
        <v>3988</v>
      </c>
      <c r="N30" s="105" t="str">
        <f aca="false">IF(AND(ISTEXT(L30),LEN(L30)=10),IF(ISNUMBER(VALUE(SUBSTITUTE(L30,"-",""))),DATE(VALUE(LEFT($C$3,4)),VALUE(MID($C$3,6,2)),VALUE(RIGHT($C$3,2)))-DATE(VALUE(LEFT(L30,4)),VALUE(MID(L30,6,2)),VALUE(RIGHT(L30,2))),"—"),"—")</f>
        <v>—</v>
      </c>
    </row>
    <row r="31" customFormat="false" ht="369.4" hidden="false" customHeight="false" outlineLevel="0" collapsed="false">
      <c r="A31" s="92" t="str">
        <f aca="false">Gov_Map!$A$346</f>
        <v>GM342</v>
      </c>
      <c r="B31" s="92" t="str">
        <f aca="false">Gov_Map!$C$346</f>
        <v>Calib</v>
      </c>
      <c r="C31" s="92" t="str">
        <f aca="false">Gov_Map!$D$346</f>
        <v>D67</v>
      </c>
      <c r="D31" s="217" t="str">
        <f aca="false">Gov_Map!$E$346</f>
        <v>η_d 倍數</v>
      </c>
      <c r="E31" s="92" t="str">
        <f aca="false">Gov_Map!$F$346</f>
        <v>Analogy</v>
      </c>
      <c r="F31" s="92" t="n">
        <f aca="false">Gov_Map!$K$346</f>
        <v>0.5</v>
      </c>
      <c r="G31" s="92" t="n">
        <f aca="false">Gov_Map!$L$346</f>
        <v>1.5</v>
      </c>
      <c r="H31" s="92" t="str">
        <f aca="false">Gov_Map!$P$346</f>
        <v>高</v>
      </c>
      <c r="I31" s="92" t="n">
        <f aca="false">Gov_Map!$T$346</f>
        <v>2</v>
      </c>
      <c r="J31" s="87" t="s">
        <v>3958</v>
      </c>
      <c r="K31" s="217" t="str">
        <f aca="false">IF(Gov_Map!$AK$346="","—",Gov_Map!$AK$346)</f>
        <v>—</v>
      </c>
      <c r="L31" s="92" t="str">
        <f aca="false">IF(ISNUMBER(Gov_Map!$AF$346),INDEX(IDX_SrcDate,Gov_Map!$AF$346),"—")</f>
        <v>2026-10-05</v>
      </c>
      <c r="M31" s="93" t="s">
        <v>3989</v>
      </c>
      <c r="N31" s="105" t="n">
        <f aca="false">IF(AND(ISTEXT(L31),LEN(L31)=10),IF(ISNUMBER(VALUE(SUBSTITUTE(L31,"-",""))),DATE(VALUE(LEFT($C$3,4)),VALUE(MID($C$3,6,2)),VALUE(RIGHT($C$3,2)))-DATE(VALUE(LEFT(L31,4)),VALUE(MID(L31,6,2)),VALUE(RIGHT(L31,2))),"—"),"—")</f>
        <v>3</v>
      </c>
    </row>
    <row r="32" customFormat="false" ht="369.4" hidden="false" customHeight="false" outlineLevel="0" collapsed="false">
      <c r="A32" s="92" t="str">
        <f aca="false">Gov_Map!$A$347</f>
        <v>GM343</v>
      </c>
      <c r="B32" s="92" t="str">
        <f aca="false">Gov_Map!$C$347</f>
        <v>Calib</v>
      </c>
      <c r="C32" s="92" t="str">
        <f aca="false">Gov_Map!$D$347</f>
        <v>E67</v>
      </c>
      <c r="D32" s="217" t="str">
        <f aca="false">Gov_Map!$E$347</f>
        <v>η_d 倍數</v>
      </c>
      <c r="E32" s="92" t="str">
        <f aca="false">Gov_Map!$F$347</f>
        <v>Analogy</v>
      </c>
      <c r="F32" s="92" t="n">
        <f aca="false">Gov_Map!$K$347</f>
        <v>0.5</v>
      </c>
      <c r="G32" s="92" t="n">
        <f aca="false">Gov_Map!$L$347</f>
        <v>1.5</v>
      </c>
      <c r="H32" s="92" t="str">
        <f aca="false">Gov_Map!$P$347</f>
        <v>高</v>
      </c>
      <c r="I32" s="92" t="n">
        <f aca="false">Gov_Map!$T$347</f>
        <v>2</v>
      </c>
      <c r="J32" s="87" t="s">
        <v>3958</v>
      </c>
      <c r="K32" s="217" t="str">
        <f aca="false">IF(Gov_Map!$AK$347="","—",Gov_Map!$AK$347)</f>
        <v>—</v>
      </c>
      <c r="L32" s="92" t="str">
        <f aca="false">IF(ISNUMBER(Gov_Map!$AF$347),INDEX(IDX_SrcDate,Gov_Map!$AF$347),"—")</f>
        <v>2026-10-05</v>
      </c>
      <c r="M32" s="93" t="s">
        <v>3990</v>
      </c>
      <c r="N32" s="105" t="n">
        <f aca="false">IF(AND(ISTEXT(L32),LEN(L32)=10),IF(ISNUMBER(VALUE(SUBSTITUTE(L32,"-",""))),DATE(VALUE(LEFT($C$3,4)),VALUE(MID($C$3,6,2)),VALUE(RIGHT($C$3,2)))-DATE(VALUE(LEFT(L32,4)),VALUE(MID(L32,6,2)),VALUE(RIGHT(L32,2))),"—"),"—")</f>
        <v>3</v>
      </c>
    </row>
    <row r="33" customFormat="false" ht="369.4" hidden="false" customHeight="false" outlineLevel="0" collapsed="false">
      <c r="A33" s="92" t="str">
        <f aca="false">Gov_Map!$A$348</f>
        <v>GM344</v>
      </c>
      <c r="B33" s="92" t="str">
        <f aca="false">Gov_Map!$C$348</f>
        <v>Calib</v>
      </c>
      <c r="C33" s="92" t="str">
        <f aca="false">Gov_Map!$D$348</f>
        <v>F67</v>
      </c>
      <c r="D33" s="217" t="str">
        <f aca="false">Gov_Map!$E$348</f>
        <v>η_d 倍數</v>
      </c>
      <c r="E33" s="92" t="str">
        <f aca="false">Gov_Map!$F$348</f>
        <v>Analogy</v>
      </c>
      <c r="F33" s="92" t="n">
        <f aca="false">Gov_Map!$K$348</f>
        <v>0.5</v>
      </c>
      <c r="G33" s="92" t="n">
        <f aca="false">Gov_Map!$L$348</f>
        <v>1.5</v>
      </c>
      <c r="H33" s="92" t="str">
        <f aca="false">Gov_Map!$P$348</f>
        <v>高</v>
      </c>
      <c r="I33" s="92" t="n">
        <f aca="false">Gov_Map!$T$348</f>
        <v>2</v>
      </c>
      <c r="J33" s="87" t="s">
        <v>3958</v>
      </c>
      <c r="K33" s="217" t="str">
        <f aca="false">IF(Gov_Map!$AK$348="","—",Gov_Map!$AK$348)</f>
        <v>—</v>
      </c>
      <c r="L33" s="92" t="str">
        <f aca="false">IF(ISNUMBER(Gov_Map!$AF$348),INDEX(IDX_SrcDate,Gov_Map!$AF$348),"—")</f>
        <v>2026-10-05</v>
      </c>
      <c r="M33" s="93" t="s">
        <v>3991</v>
      </c>
      <c r="N33" s="105" t="n">
        <f aca="false">IF(AND(ISTEXT(L33),LEN(L33)=10),IF(ISNUMBER(VALUE(SUBSTITUTE(L33,"-",""))),DATE(VALUE(LEFT($C$3,4)),VALUE(MID($C$3,6,2)),VALUE(RIGHT($C$3,2)))-DATE(VALUE(LEFT(L33,4)),VALUE(MID(L33,6,2)),VALUE(RIGHT(L33,2))),"—"),"—")</f>
        <v>3</v>
      </c>
    </row>
    <row r="34" customFormat="false" ht="369.4" hidden="false" customHeight="false" outlineLevel="0" collapsed="false">
      <c r="A34" s="92" t="str">
        <f aca="false">Gov_Map!$A$349</f>
        <v>GM345</v>
      </c>
      <c r="B34" s="92" t="str">
        <f aca="false">Gov_Map!$C$349</f>
        <v>Calib</v>
      </c>
      <c r="C34" s="92" t="str">
        <f aca="false">Gov_Map!$D$349</f>
        <v>G67</v>
      </c>
      <c r="D34" s="217" t="str">
        <f aca="false">Gov_Map!$E$349</f>
        <v>η_d 倍數</v>
      </c>
      <c r="E34" s="92" t="str">
        <f aca="false">Gov_Map!$F$349</f>
        <v>Analogy</v>
      </c>
      <c r="F34" s="92" t="n">
        <f aca="false">Gov_Map!$K$349</f>
        <v>0.5</v>
      </c>
      <c r="G34" s="92" t="n">
        <f aca="false">Gov_Map!$L$349</f>
        <v>1.5</v>
      </c>
      <c r="H34" s="92" t="str">
        <f aca="false">Gov_Map!$P$349</f>
        <v>高</v>
      </c>
      <c r="I34" s="92" t="n">
        <f aca="false">Gov_Map!$T$349</f>
        <v>2</v>
      </c>
      <c r="J34" s="87" t="s">
        <v>3958</v>
      </c>
      <c r="K34" s="217" t="str">
        <f aca="false">IF(Gov_Map!$AK$349="","—",Gov_Map!$AK$349)</f>
        <v>—</v>
      </c>
      <c r="L34" s="92" t="str">
        <f aca="false">IF(ISNUMBER(Gov_Map!$AF$349),INDEX(IDX_SrcDate,Gov_Map!$AF$349),"—")</f>
        <v>2026-10-05</v>
      </c>
      <c r="M34" s="93" t="s">
        <v>3992</v>
      </c>
      <c r="N34" s="105" t="n">
        <f aca="false">IF(AND(ISTEXT(L34),LEN(L34)=10),IF(ISNUMBER(VALUE(SUBSTITUTE(L34,"-",""))),DATE(VALUE(LEFT($C$3,4)),VALUE(MID($C$3,6,2)),VALUE(RIGHT($C$3,2)))-DATE(VALUE(LEFT(L34,4)),VALUE(MID(L34,6,2)),VALUE(RIGHT(L34,2))),"—"),"—")</f>
        <v>3</v>
      </c>
    </row>
    <row r="35" customFormat="false" ht="369.4" hidden="false" customHeight="false" outlineLevel="0" collapsed="false">
      <c r="A35" s="92" t="str">
        <f aca="false">Gov_Map!$A$351</f>
        <v>GM347</v>
      </c>
      <c r="B35" s="92" t="str">
        <f aca="false">Gov_Map!$C$351</f>
        <v>Calib</v>
      </c>
      <c r="C35" s="92" t="str">
        <f aca="false">Gov_Map!$D$351</f>
        <v>D68</v>
      </c>
      <c r="D35" s="217" t="str">
        <f aca="false">Gov_Map!$E$351</f>
        <v>每層延遲倍數</v>
      </c>
      <c r="E35" s="92" t="str">
        <f aca="false">Gov_Map!$F$351</f>
        <v>Assumed</v>
      </c>
      <c r="F35" s="92" t="n">
        <f aca="false">Gov_Map!$K$351</f>
        <v>1</v>
      </c>
      <c r="G35" s="92" t="n">
        <f aca="false">Gov_Map!$L$351</f>
        <v>1.5</v>
      </c>
      <c r="H35" s="92" t="str">
        <f aca="false">Gov_Map!$P$351</f>
        <v>高</v>
      </c>
      <c r="I35" s="92" t="str">
        <f aca="false">Gov_Map!$T$351</f>
        <v>—</v>
      </c>
      <c r="J35" s="87" t="s">
        <v>3958</v>
      </c>
      <c r="K35" s="217" t="str">
        <f aca="false">IF(Gov_Map!$AK$351="","—",Gov_Map!$AK$351)</f>
        <v>—</v>
      </c>
      <c r="L35" s="92" t="str">
        <f aca="false">IF(ISNUMBER(Gov_Map!$AF$351),INDEX(IDX_SrcDate,Gov_Map!$AF$351),"—")</f>
        <v>—</v>
      </c>
      <c r="M35" s="93" t="s">
        <v>3993</v>
      </c>
      <c r="N35" s="105" t="str">
        <f aca="false">IF(AND(ISTEXT(L35),LEN(L35)=10),IF(ISNUMBER(VALUE(SUBSTITUTE(L35,"-",""))),DATE(VALUE(LEFT($C$3,4)),VALUE(MID($C$3,6,2)),VALUE(RIGHT($C$3,2)))-DATE(VALUE(LEFT(L35,4)),VALUE(MID(L35,6,2)),VALUE(RIGHT(L35,2))),"—"),"—")</f>
        <v>—</v>
      </c>
    </row>
    <row r="36" customFormat="false" ht="369.4" hidden="false" customHeight="false" outlineLevel="0" collapsed="false">
      <c r="A36" s="92" t="str">
        <f aca="false">Gov_Map!$A$352</f>
        <v>GM348</v>
      </c>
      <c r="B36" s="92" t="str">
        <f aca="false">Gov_Map!$C$352</f>
        <v>Calib</v>
      </c>
      <c r="C36" s="92" t="str">
        <f aca="false">Gov_Map!$D$352</f>
        <v>E68</v>
      </c>
      <c r="D36" s="217" t="str">
        <f aca="false">Gov_Map!$E$352</f>
        <v>每層延遲倍數</v>
      </c>
      <c r="E36" s="92" t="str">
        <f aca="false">Gov_Map!$F$352</f>
        <v>Assumed</v>
      </c>
      <c r="F36" s="92" t="n">
        <f aca="false">Gov_Map!$K$352</f>
        <v>1</v>
      </c>
      <c r="G36" s="92" t="n">
        <f aca="false">Gov_Map!$L$352</f>
        <v>1.5</v>
      </c>
      <c r="H36" s="92" t="str">
        <f aca="false">Gov_Map!$P$352</f>
        <v>高</v>
      </c>
      <c r="I36" s="92" t="str">
        <f aca="false">Gov_Map!$T$352</f>
        <v>—</v>
      </c>
      <c r="J36" s="87" t="s">
        <v>3958</v>
      </c>
      <c r="K36" s="217" t="str">
        <f aca="false">IF(Gov_Map!$AK$352="","—",Gov_Map!$AK$352)</f>
        <v>—</v>
      </c>
      <c r="L36" s="92" t="str">
        <f aca="false">IF(ISNUMBER(Gov_Map!$AF$352),INDEX(IDX_SrcDate,Gov_Map!$AF$352),"—")</f>
        <v>—</v>
      </c>
      <c r="M36" s="93" t="s">
        <v>3994</v>
      </c>
      <c r="N36" s="105" t="str">
        <f aca="false">IF(AND(ISTEXT(L36),LEN(L36)=10),IF(ISNUMBER(VALUE(SUBSTITUTE(L36,"-",""))),DATE(VALUE(LEFT($C$3,4)),VALUE(MID($C$3,6,2)),VALUE(RIGHT($C$3,2)))-DATE(VALUE(LEFT(L36,4)),VALUE(MID(L36,6,2)),VALUE(RIGHT(L36,2))),"—"),"—")</f>
        <v>—</v>
      </c>
    </row>
    <row r="37" customFormat="false" ht="369.4" hidden="false" customHeight="false" outlineLevel="0" collapsed="false">
      <c r="A37" s="92" t="str">
        <f aca="false">Gov_Map!$A$353</f>
        <v>GM349</v>
      </c>
      <c r="B37" s="92" t="str">
        <f aca="false">Gov_Map!$C$353</f>
        <v>Calib</v>
      </c>
      <c r="C37" s="92" t="str">
        <f aca="false">Gov_Map!$D$353</f>
        <v>F68</v>
      </c>
      <c r="D37" s="217" t="str">
        <f aca="false">Gov_Map!$E$353</f>
        <v>每層延遲倍數</v>
      </c>
      <c r="E37" s="92" t="str">
        <f aca="false">Gov_Map!$F$353</f>
        <v>Assumed</v>
      </c>
      <c r="F37" s="92" t="n">
        <f aca="false">Gov_Map!$K$353</f>
        <v>1</v>
      </c>
      <c r="G37" s="92" t="n">
        <f aca="false">Gov_Map!$L$353</f>
        <v>1.5</v>
      </c>
      <c r="H37" s="92" t="str">
        <f aca="false">Gov_Map!$P$353</f>
        <v>高</v>
      </c>
      <c r="I37" s="92" t="str">
        <f aca="false">Gov_Map!$T$353</f>
        <v>—</v>
      </c>
      <c r="J37" s="87" t="s">
        <v>3958</v>
      </c>
      <c r="K37" s="217" t="str">
        <f aca="false">IF(Gov_Map!$AK$353="","—",Gov_Map!$AK$353)</f>
        <v>—</v>
      </c>
      <c r="L37" s="92" t="str">
        <f aca="false">IF(ISNUMBER(Gov_Map!$AF$353),INDEX(IDX_SrcDate,Gov_Map!$AF$353),"—")</f>
        <v>—</v>
      </c>
      <c r="M37" s="93" t="s">
        <v>3995</v>
      </c>
      <c r="N37" s="105" t="str">
        <f aca="false">IF(AND(ISTEXT(L37),LEN(L37)=10),IF(ISNUMBER(VALUE(SUBSTITUTE(L37,"-",""))),DATE(VALUE(LEFT($C$3,4)),VALUE(MID($C$3,6,2)),VALUE(RIGHT($C$3,2)))-DATE(VALUE(LEFT(L37,4)),VALUE(MID(L37,6,2)),VALUE(RIGHT(L37,2))),"—"),"—")</f>
        <v>—</v>
      </c>
    </row>
    <row r="38" customFormat="false" ht="369.4" hidden="false" customHeight="false" outlineLevel="0" collapsed="false">
      <c r="A38" s="92" t="str">
        <f aca="false">Gov_Map!$A$354</f>
        <v>GM350</v>
      </c>
      <c r="B38" s="92" t="str">
        <f aca="false">Gov_Map!$C$354</f>
        <v>Calib</v>
      </c>
      <c r="C38" s="92" t="str">
        <f aca="false">Gov_Map!$D$354</f>
        <v>G68</v>
      </c>
      <c r="D38" s="217" t="str">
        <f aca="false">Gov_Map!$E$354</f>
        <v>每層延遲倍數</v>
      </c>
      <c r="E38" s="92" t="str">
        <f aca="false">Gov_Map!$F$354</f>
        <v>Assumed</v>
      </c>
      <c r="F38" s="92" t="n">
        <f aca="false">Gov_Map!$K$354</f>
        <v>1</v>
      </c>
      <c r="G38" s="92" t="n">
        <f aca="false">Gov_Map!$L$354</f>
        <v>1.5</v>
      </c>
      <c r="H38" s="92" t="str">
        <f aca="false">Gov_Map!$P$354</f>
        <v>高</v>
      </c>
      <c r="I38" s="92" t="str">
        <f aca="false">Gov_Map!$T$354</f>
        <v>—</v>
      </c>
      <c r="J38" s="87" t="s">
        <v>3958</v>
      </c>
      <c r="K38" s="217" t="str">
        <f aca="false">IF(Gov_Map!$AK$354="","—",Gov_Map!$AK$354)</f>
        <v>—</v>
      </c>
      <c r="L38" s="92" t="str">
        <f aca="false">IF(ISNUMBER(Gov_Map!$AF$354),INDEX(IDX_SrcDate,Gov_Map!$AF$354),"—")</f>
        <v>—</v>
      </c>
      <c r="M38" s="93" t="s">
        <v>3996</v>
      </c>
      <c r="N38" s="105" t="str">
        <f aca="false">IF(AND(ISTEXT(L38),LEN(L38)=10),IF(ISNUMBER(VALUE(SUBSTITUTE(L38,"-",""))),DATE(VALUE(LEFT($C$3,4)),VALUE(MID($C$3,6,2)),VALUE(RIGHT($C$3,2)))-DATE(VALUE(LEFT(L38,4)),VALUE(MID(L38,6,2)),VALUE(RIGHT(L38,2))),"—"),"—")</f>
        <v>—</v>
      </c>
    </row>
    <row r="39" customFormat="false" ht="369.4" hidden="false" customHeight="false" outlineLevel="0" collapsed="false">
      <c r="A39" s="92" t="str">
        <f aca="false">Gov_Map!$A$358</f>
        <v>GM354</v>
      </c>
      <c r="B39" s="92" t="str">
        <f aca="false">Gov_Map!$C$358</f>
        <v>Calib</v>
      </c>
      <c r="C39" s="92" t="str">
        <f aca="false">Gov_Map!$D$358</f>
        <v>F69</v>
      </c>
      <c r="D39" s="217" t="str">
        <f aca="false">Gov_Map!$E$358</f>
        <v>η_p 倍數</v>
      </c>
      <c r="E39" s="92" t="str">
        <f aca="false">Gov_Map!$F$358</f>
        <v>Assumed</v>
      </c>
      <c r="F39" s="92" t="n">
        <f aca="false">Gov_Map!$K$358</f>
        <v>0.5</v>
      </c>
      <c r="G39" s="92" t="n">
        <f aca="false">Gov_Map!$L$358</f>
        <v>1.5</v>
      </c>
      <c r="H39" s="92" t="str">
        <f aca="false">Gov_Map!$P$358</f>
        <v>高</v>
      </c>
      <c r="I39" s="92" t="str">
        <f aca="false">Gov_Map!$T$358</f>
        <v>—</v>
      </c>
      <c r="J39" s="87" t="s">
        <v>3958</v>
      </c>
      <c r="K39" s="217" t="str">
        <f aca="false">IF(Gov_Map!$AK$358="","—",Gov_Map!$AK$358)</f>
        <v>—</v>
      </c>
      <c r="L39" s="92" t="str">
        <f aca="false">IF(ISNUMBER(Gov_Map!$AF$358),INDEX(IDX_SrcDate,Gov_Map!$AF$358),"—")</f>
        <v>—</v>
      </c>
      <c r="M39" s="93" t="s">
        <v>3997</v>
      </c>
      <c r="N39" s="105" t="str">
        <f aca="false">IF(AND(ISTEXT(L39),LEN(L39)=10),IF(ISNUMBER(VALUE(SUBSTITUTE(L39,"-",""))),DATE(VALUE(LEFT($C$3,4)),VALUE(MID($C$3,6,2)),VALUE(RIGHT($C$3,2)))-DATE(VALUE(LEFT(L39,4)),VALUE(MID(L39,6,2)),VALUE(RIGHT(L39,2))),"—"),"—")</f>
        <v>—</v>
      </c>
    </row>
    <row r="40" customFormat="false" ht="39.55" hidden="false" customHeight="false" outlineLevel="0" collapsed="false">
      <c r="A40" s="92" t="str">
        <f aca="false">Gov_Map!$A$458</f>
        <v>GM454</v>
      </c>
      <c r="B40" s="92" t="str">
        <f aca="false">Gov_Map!$C$458</f>
        <v>Cap_In</v>
      </c>
      <c r="C40" s="92" t="str">
        <f aca="false">Gov_Map!$D$458</f>
        <v>D28:E28</v>
      </c>
      <c r="D40" s="217" t="str">
        <f aca="false">Gov_Map!$E$458</f>
        <v>對外服務占機隊</v>
      </c>
      <c r="E40" s="92" t="str">
        <f aca="false">Gov_Map!$F$458</f>
        <v>Assumed</v>
      </c>
      <c r="F40" s="92" t="n">
        <f aca="false">Gov_Map!$K$458</f>
        <v>0</v>
      </c>
      <c r="G40" s="92" t="n">
        <f aca="false">Gov_Map!$L$458</f>
        <v>0</v>
      </c>
      <c r="H40" s="92" t="str">
        <f aca="false">Gov_Map!$P$458</f>
        <v>高</v>
      </c>
      <c r="I40" s="92" t="str">
        <f aca="false">Gov_Map!$T$458</f>
        <v>—</v>
      </c>
      <c r="J40" s="87" t="s">
        <v>751</v>
      </c>
      <c r="K40" s="217" t="str">
        <f aca="false">IF(Gov_Map!$AK$458="","—",Gov_Map!$AK$458)</f>
        <v>—</v>
      </c>
      <c r="L40" s="92" t="str">
        <f aca="false">IF(ISNUMBER(Gov_Map!$AF$458),INDEX(IDX_SrcDate,Gov_Map!$AF$458),"—")</f>
        <v>—</v>
      </c>
      <c r="M40" s="93" t="s">
        <v>3998</v>
      </c>
      <c r="N40" s="105" t="str">
        <f aca="false">IF(AND(ISTEXT(L40),LEN(L40)=10),IF(ISNUMBER(VALUE(SUBSTITUTE(L40,"-",""))),DATE(VALUE(LEFT($C$3,4)),VALUE(MID($C$3,6,2)),VALUE(RIGHT($C$3,2)))-DATE(VALUE(LEFT(L40,4)),VALUE(MID(L40,6,2)),VALUE(RIGHT(L40,2))),"—"),"—")</f>
        <v>—</v>
      </c>
    </row>
    <row r="41" customFormat="false" ht="39.55" hidden="false" customHeight="false" outlineLevel="0" collapsed="false">
      <c r="A41" s="92" t="str">
        <f aca="false">Gov_Map!$A$460</f>
        <v>GM456</v>
      </c>
      <c r="B41" s="92" t="str">
        <f aca="false">Gov_Map!$C$460</f>
        <v>Cap_In</v>
      </c>
      <c r="C41" s="92" t="str">
        <f aca="false">Gov_Map!$D$460</f>
        <v>D29:E29</v>
      </c>
      <c r="D41" s="217" t="str">
        <f aca="false">Gov_Map!$E$460</f>
        <v>其中免費服務占服務</v>
      </c>
      <c r="E41" s="92" t="str">
        <f aca="false">Gov_Map!$F$460</f>
        <v>Assumed</v>
      </c>
      <c r="F41" s="92" t="n">
        <f aca="false">Gov_Map!$K$460</f>
        <v>0</v>
      </c>
      <c r="G41" s="92" t="n">
        <f aca="false">Gov_Map!$L$460</f>
        <v>0</v>
      </c>
      <c r="H41" s="92" t="str">
        <f aca="false">Gov_Map!$P$460</f>
        <v>高</v>
      </c>
      <c r="I41" s="92" t="str">
        <f aca="false">Gov_Map!$T$460</f>
        <v>—</v>
      </c>
      <c r="J41" s="87" t="s">
        <v>751</v>
      </c>
      <c r="K41" s="217" t="str">
        <f aca="false">IF(Gov_Map!$AK$460="","—",Gov_Map!$AK$460)</f>
        <v>—</v>
      </c>
      <c r="L41" s="92" t="str">
        <f aca="false">IF(ISNUMBER(Gov_Map!$AF$460),INDEX(IDX_SrcDate,Gov_Map!$AF$460),"—")</f>
        <v>—</v>
      </c>
      <c r="M41" s="93" t="s">
        <v>3999</v>
      </c>
      <c r="N41" s="105" t="str">
        <f aca="false">IF(AND(ISTEXT(L41),LEN(L41)=10),IF(ISNUMBER(VALUE(SUBSTITUTE(L41,"-",""))),DATE(VALUE(LEFT($C$3,4)),VALUE(MID($C$3,6,2)),VALUE(RIGHT($C$3,2)))-DATE(VALUE(LEFT(L41,4)),VALUE(MID(L41,6,2)),VALUE(RIGHT(L41,2))),"—"),"—")</f>
        <v>—</v>
      </c>
    </row>
    <row r="42" customFormat="false" ht="62.65" hidden="false" customHeight="false" outlineLevel="0" collapsed="false">
      <c r="A42" s="92" t="str">
        <f aca="false">Gov_Map!$A$463</f>
        <v>GM459</v>
      </c>
      <c r="B42" s="92" t="str">
        <f aca="false">Gov_Map!$C$463</f>
        <v>Cap_In</v>
      </c>
      <c r="C42" s="92" t="str">
        <f aca="false">Gov_Map!$D$463</f>
        <v>C36</v>
      </c>
      <c r="D42" s="217" t="str">
        <f aca="false">Gov_Map!$E$463</f>
        <v>儲存層（1＝SSD；2＝DRAM；3＝HBM）</v>
      </c>
      <c r="E42" s="92" t="str">
        <f aca="false">Gov_Map!$F$463</f>
        <v>Assumed</v>
      </c>
      <c r="F42" s="89" t="n">
        <f aca="false">Gov_Map!$K$463</f>
        <v>1</v>
      </c>
      <c r="G42" s="89" t="n">
        <f aca="false">Gov_Map!$L$463</f>
        <v>3</v>
      </c>
      <c r="H42" s="92" t="str">
        <f aca="false">Gov_Map!$P$463</f>
        <v>高</v>
      </c>
      <c r="I42" s="92" t="str">
        <f aca="false">Gov_Map!$T$463</f>
        <v>—</v>
      </c>
      <c r="J42" s="87" t="s">
        <v>4000</v>
      </c>
      <c r="K42" s="217" t="str">
        <f aca="false">IF(Gov_Map!$AK$463="","—",Gov_Map!$AK$463)</f>
        <v>—</v>
      </c>
      <c r="L42" s="92" t="str">
        <f aca="false">IF(ISNUMBER(Gov_Map!$AF$463),INDEX(IDX_SrcDate,Gov_Map!$AF$463),"—")</f>
        <v>—</v>
      </c>
      <c r="M42" s="93" t="s">
        <v>4001</v>
      </c>
      <c r="N42" s="105" t="str">
        <f aca="false">IF(AND(ISTEXT(L42),LEN(L42)=10),IF(ISNUMBER(VALUE(SUBSTITUTE(L42,"-",""))),DATE(VALUE(LEFT($C$3,4)),VALUE(MID($C$3,6,2)),VALUE(RIGHT($C$3,2)))-DATE(VALUE(LEFT(L42,4)),VALUE(MID(L42,6,2)),VALUE(RIGHT(L42,2))),"—"),"—")</f>
        <v>—</v>
      </c>
    </row>
    <row r="43" customFormat="false" ht="52.2" hidden="false" customHeight="false" outlineLevel="0" collapsed="false">
      <c r="A43" s="92" t="str">
        <f aca="false">Gov_Map!$A$523</f>
        <v>GM519</v>
      </c>
      <c r="B43" s="92" t="str">
        <f aca="false">Gov_Map!$C$523</f>
        <v>Train_In</v>
      </c>
      <c r="C43" s="92" t="str">
        <f aca="false">Gov_Map!$D$523</f>
        <v>C6</v>
      </c>
      <c r="D43" s="217" t="str">
        <f aca="false">Gov_Map!$E$523</f>
        <v>預訓練 MFU 基準（FP8 分母；GB200／GB300）</v>
      </c>
      <c r="E43" s="92" t="str">
        <f aca="false">Gov_Map!$F$523</f>
        <v>Analogy</v>
      </c>
      <c r="F43" s="92" t="n">
        <f aca="false">Gov_Map!$K$523</f>
        <v>0.18</v>
      </c>
      <c r="G43" s="92" t="n">
        <f aca="false">Gov_Map!$L$523</f>
        <v>0.35</v>
      </c>
      <c r="H43" s="92" t="str">
        <f aca="false">Gov_Map!$P$523</f>
        <v>高</v>
      </c>
      <c r="I43" s="92" t="n">
        <f aca="false">Gov_Map!$T$523</f>
        <v>1</v>
      </c>
      <c r="J43" s="87" t="s">
        <v>4002</v>
      </c>
      <c r="K43" s="217" t="str">
        <f aca="false">IF(Gov_Map!$AK$523="","—",Gov_Map!$AK$523)</f>
        <v>—</v>
      </c>
      <c r="L43" s="92" t="str">
        <f aca="false">IF(ISNUMBER(Gov_Map!$AF$523),INDEX(IDX_SrcDate,Gov_Map!$AF$523),"—")</f>
        <v>2026-10-05</v>
      </c>
      <c r="M43" s="93" t="s">
        <v>4003</v>
      </c>
      <c r="N43" s="105" t="n">
        <f aca="false">IF(AND(ISTEXT(L43),LEN(L43)=10),IF(ISNUMBER(VALUE(SUBSTITUTE(L43,"-",""))),DATE(VALUE(LEFT($C$3,4)),VALUE(MID($C$3,6,2)),VALUE(RIGHT($C$3,2)))-DATE(VALUE(LEFT(L43,4)),VALUE(MID(L43,6,2)),VALUE(RIGHT(L43,2))),"—"),"—")</f>
        <v>3</v>
      </c>
    </row>
    <row r="44" customFormat="false" ht="52.2" hidden="false" customHeight="false" outlineLevel="0" collapsed="false">
      <c r="A44" s="92" t="str">
        <f aca="false">Gov_Map!$A$524</f>
        <v>GM520</v>
      </c>
      <c r="B44" s="92" t="str">
        <f aca="false">Gov_Map!$C$524</f>
        <v>Train_In</v>
      </c>
      <c r="C44" s="92" t="str">
        <f aca="false">Gov_Map!$D$524</f>
        <v>C7</v>
      </c>
      <c r="D44" s="217" t="str">
        <f aca="false">Gov_Map!$E$524</f>
        <v>goodput（扣除故障、重啟、checkpoint 的有效時間比）</v>
      </c>
      <c r="E44" s="92" t="str">
        <f aca="false">Gov_Map!$F$524</f>
        <v>Analogy</v>
      </c>
      <c r="F44" s="92" t="n">
        <f aca="false">Gov_Map!$K$524</f>
        <v>0.8</v>
      </c>
      <c r="G44" s="92" t="n">
        <f aca="false">Gov_Map!$L$524</f>
        <v>0.95</v>
      </c>
      <c r="H44" s="92" t="str">
        <f aca="false">Gov_Map!$P$524</f>
        <v>高</v>
      </c>
      <c r="I44" s="92" t="n">
        <f aca="false">Gov_Map!$T$524</f>
        <v>1</v>
      </c>
      <c r="J44" s="87" t="s">
        <v>4002</v>
      </c>
      <c r="K44" s="217" t="str">
        <f aca="false">IF(Gov_Map!$AK$524="","—",Gov_Map!$AK$524)</f>
        <v>—</v>
      </c>
      <c r="L44" s="92" t="str">
        <f aca="false">IF(ISNUMBER(Gov_Map!$AF$524),INDEX(IDX_SrcDate,Gov_Map!$AF$524),"—")</f>
        <v>2026-10-05</v>
      </c>
      <c r="M44" s="93" t="s">
        <v>4004</v>
      </c>
      <c r="N44" s="105" t="n">
        <f aca="false">IF(AND(ISTEXT(L44),LEN(L44)=10),IF(ISNUMBER(VALUE(SUBSTITUTE(L44,"-",""))),DATE(VALUE(LEFT($C$3,4)),VALUE(MID($C$3,6,2)),VALUE(RIGHT($C$3,2)))-DATE(VALUE(LEFT(L44,4)),VALUE(MID(L44,6,2)),VALUE(RIGHT(L44,2))),"—"),"—")</f>
        <v>3</v>
      </c>
    </row>
    <row r="45" customFormat="false" ht="39.55" hidden="false" customHeight="false" outlineLevel="0" collapsed="false">
      <c r="A45" s="92" t="str">
        <f aca="false">Gov_Map!$A$530</f>
        <v>GM526</v>
      </c>
      <c r="B45" s="92" t="str">
        <f aca="false">Gov_Map!$C$530</f>
        <v>Train_In</v>
      </c>
      <c r="C45" s="92" t="str">
        <f aca="false">Gov_Map!$D$530</f>
        <v>C13</v>
      </c>
      <c r="D45" s="217" t="str">
        <f aca="false">Gov_Map!$E$530</f>
        <v>研發倍數（研發總 GPU 小時 ÷ 最終訓練）</v>
      </c>
      <c r="E45" s="92" t="str">
        <f aca="false">Gov_Map!$F$530</f>
        <v>Analogy</v>
      </c>
      <c r="F45" s="111" t="n">
        <f aca="false">Gov_Map!$K$530</f>
        <v>4.4</v>
      </c>
      <c r="G45" s="111" t="n">
        <f aca="false">Gov_Map!$L$530</f>
        <v>10.4</v>
      </c>
      <c r="H45" s="92" t="str">
        <f aca="false">Gov_Map!$P$530</f>
        <v>高</v>
      </c>
      <c r="I45" s="92" t="n">
        <f aca="false">Gov_Map!$T$530</f>
        <v>1</v>
      </c>
      <c r="J45" s="87" t="s">
        <v>4005</v>
      </c>
      <c r="K45" s="217" t="str">
        <f aca="false">IF(Gov_Map!$AK$530="","—",Gov_Map!$AK$530)</f>
        <v>—</v>
      </c>
      <c r="L45" s="92" t="str">
        <f aca="false">IF(ISNUMBER(Gov_Map!$AF$530),INDEX(IDX_SrcDate,Gov_Map!$AF$530),"—")</f>
        <v>—</v>
      </c>
      <c r="M45" s="93" t="s">
        <v>4006</v>
      </c>
      <c r="N45" s="105" t="str">
        <f aca="false">IF(AND(ISTEXT(L45),LEN(L45)=10),IF(ISNUMBER(VALUE(SUBSTITUTE(L45,"-",""))),DATE(VALUE(LEFT($C$3,4)),VALUE(MID($C$3,6,2)),VALUE(RIGHT($C$3,2)))-DATE(VALUE(LEFT(L45,4)),VALUE(MID(L45,6,2)),VALUE(RIGHT(L45,2))),"—"),"—")</f>
        <v>—</v>
      </c>
    </row>
    <row r="46" customFormat="false" ht="52.2" hidden="false" customHeight="false" outlineLevel="0" collapsed="false">
      <c r="A46" s="92" t="str">
        <f aca="false">Gov_Map!$A$534</f>
        <v>GM530</v>
      </c>
      <c r="B46" s="92" t="str">
        <f aca="false">Gov_Map!$C$534</f>
        <v>Train_In</v>
      </c>
      <c r="C46" s="92" t="str">
        <f aca="false">Gov_Map!$D$534</f>
        <v>C21:G21</v>
      </c>
      <c r="D46" s="217" t="str">
        <f aca="false">Gov_Map!$E$534</f>
        <v>預訓練 MFU 世代倍數</v>
      </c>
      <c r="E46" s="92" t="str">
        <f aca="false">Gov_Map!$F$534</f>
        <v>Assumed</v>
      </c>
      <c r="F46" s="92" t="n">
        <f aca="false">Gov_Map!$K$534</f>
        <v>0</v>
      </c>
      <c r="G46" s="92" t="n">
        <f aca="false">Gov_Map!$L$534</f>
        <v>0</v>
      </c>
      <c r="H46" s="92" t="str">
        <f aca="false">Gov_Map!$P$534</f>
        <v>高</v>
      </c>
      <c r="I46" s="92" t="str">
        <f aca="false">Gov_Map!$T$534</f>
        <v>—</v>
      </c>
      <c r="J46" s="87" t="s">
        <v>4002</v>
      </c>
      <c r="K46" s="217" t="str">
        <f aca="false">IF(Gov_Map!$AK$534="","—",Gov_Map!$AK$534)</f>
        <v>—</v>
      </c>
      <c r="L46" s="92" t="str">
        <f aca="false">IF(ISNUMBER(Gov_Map!$AF$534),INDEX(IDX_SrcDate,Gov_Map!$AF$534),"—")</f>
        <v>—</v>
      </c>
      <c r="M46" s="93" t="s">
        <v>4007</v>
      </c>
      <c r="N46" s="105" t="str">
        <f aca="false">IF(AND(ISTEXT(L46),LEN(L46)=10),IF(ISNUMBER(VALUE(SUBSTITUTE(L46,"-",""))),DATE(VALUE(LEFT($C$3,4)),VALUE(MID($C$3,6,2)),VALUE(RIGHT($C$3,2)))-DATE(VALUE(LEFT(L46,4)),VALUE(MID(L46,6,2)),VALUE(RIGHT(L46,2))),"—"),"—")</f>
        <v>—</v>
      </c>
    </row>
    <row r="47" customFormat="false" ht="64.9" hidden="false" customHeight="false" outlineLevel="0" collapsed="false">
      <c r="A47" s="92" t="str">
        <f aca="false">Gov_Map!$A$535</f>
        <v>GM531</v>
      </c>
      <c r="B47" s="92" t="str">
        <f aca="false">Gov_Map!$C$535</f>
        <v>Train_In</v>
      </c>
      <c r="C47" s="92" t="str">
        <f aca="false">Gov_Map!$D$535</f>
        <v>E25</v>
      </c>
      <c r="D47" s="217" t="str">
        <f aca="false">Gov_Map!$E$535</f>
        <v>預訓練 token</v>
      </c>
      <c r="E47" s="92" t="str">
        <f aca="false">Gov_Map!$F$535</f>
        <v>Assumed</v>
      </c>
      <c r="F47" s="92" t="n">
        <f aca="false">Gov_Map!$K$535</f>
        <v>30</v>
      </c>
      <c r="G47" s="92" t="n">
        <f aca="false">Gov_Map!$L$535</f>
        <v>100</v>
      </c>
      <c r="H47" s="92" t="str">
        <f aca="false">Gov_Map!$P$535</f>
        <v>高</v>
      </c>
      <c r="I47" s="92" t="str">
        <f aca="false">Gov_Map!$T$535</f>
        <v>—</v>
      </c>
      <c r="J47" s="87" t="s">
        <v>4008</v>
      </c>
      <c r="K47" s="217" t="str">
        <f aca="false">IF(Gov_Map!$AK$535="","—",Gov_Map!$AK$535)</f>
        <v>—</v>
      </c>
      <c r="L47" s="92" t="str">
        <f aca="false">IF(ISNUMBER(Gov_Map!$AF$535),INDEX(IDX_SrcDate,Gov_Map!$AF$535),"—")</f>
        <v>—</v>
      </c>
      <c r="M47" s="93" t="s">
        <v>4009</v>
      </c>
      <c r="N47" s="105" t="str">
        <f aca="false">IF(AND(ISTEXT(L47),LEN(L47)=10),IF(ISNUMBER(VALUE(SUBSTITUTE(L47,"-",""))),DATE(VALUE(LEFT($C$3,4)),VALUE(MID($C$3,6,2)),VALUE(RIGHT($C$3,2)))-DATE(VALUE(LEFT(L47,4)),VALUE(MID(L47,6,2)),VALUE(RIGHT(L47,2))),"—"),"—")</f>
        <v>—</v>
      </c>
    </row>
    <row r="48" customFormat="false" ht="52.2" hidden="false" customHeight="false" outlineLevel="0" collapsed="false">
      <c r="A48" s="92" t="str">
        <f aca="false">Gov_Map!$A$544</f>
        <v>GM540</v>
      </c>
      <c r="B48" s="92" t="str">
        <f aca="false">Gov_Map!$C$544</f>
        <v>Train_In</v>
      </c>
      <c r="C48" s="92" t="str">
        <f aca="false">Gov_Map!$D$544</f>
        <v>（停用）C34:E34</v>
      </c>
      <c r="D48" s="217" t="str">
        <f aca="false">Gov_Map!$E$544</f>
        <v>RL rollout 輸出 token（含各領域專家）</v>
      </c>
      <c r="E48" s="92" t="str">
        <f aca="false">Gov_Map!$F$544</f>
        <v>Assumed</v>
      </c>
      <c r="F48" s="92" t="n">
        <f aca="false">Gov_Map!$K$544</f>
        <v>0</v>
      </c>
      <c r="G48" s="92" t="n">
        <f aca="false">Gov_Map!$L$544</f>
        <v>0</v>
      </c>
      <c r="H48" s="92" t="str">
        <f aca="false">Gov_Map!$P$544</f>
        <v>高</v>
      </c>
      <c r="I48" s="92" t="str">
        <f aca="false">Gov_Map!$T$544</f>
        <v>—</v>
      </c>
      <c r="J48" s="87" t="s">
        <v>4010</v>
      </c>
      <c r="K48" s="217" t="str">
        <f aca="false">IF(Gov_Map!$AK$544="","—",Gov_Map!$AK$544)</f>
        <v>—</v>
      </c>
      <c r="L48" s="92" t="str">
        <f aca="false">IF(ISNUMBER(Gov_Map!$AF$544),INDEX(IDX_SrcDate,Gov_Map!$AF$544),"—")</f>
        <v>—</v>
      </c>
      <c r="M48" s="93" t="s">
        <v>4011</v>
      </c>
      <c r="N48" s="105" t="str">
        <f aca="false">IF(AND(ISTEXT(L48),LEN(L48)=10),IF(ISNUMBER(VALUE(SUBSTITUTE(L48,"-",""))),DATE(VALUE(LEFT($C$3,4)),VALUE(MID($C$3,6,2)),VALUE(RIGHT($C$3,2)))-DATE(VALUE(LEFT(L48,4)),VALUE(MID(L48,6,2)),VALUE(RIGHT(L48,2))),"—"),"—")</f>
        <v>—</v>
      </c>
    </row>
    <row r="49" customFormat="false" ht="39.55" hidden="false" customHeight="false" outlineLevel="0" collapsed="false">
      <c r="A49" s="92" t="str">
        <f aca="false">Gov_Map!$A$580</f>
        <v>GM576</v>
      </c>
      <c r="B49" s="92" t="str">
        <f aca="false">Gov_Map!$C$580</f>
        <v>Alloc_In</v>
      </c>
      <c r="C49" s="92" t="str">
        <f aca="false">Gov_Map!$D$580</f>
        <v>C6</v>
      </c>
      <c r="D49" s="217" t="str">
        <f aca="false">Gov_Map!$E$580</f>
        <v>家族計畫數 N_major（個／年）</v>
      </c>
      <c r="E49" s="92" t="str">
        <f aca="false">Gov_Map!$F$580</f>
        <v>Assumed</v>
      </c>
      <c r="F49" s="111" t="n">
        <f aca="false">Gov_Map!$K$580</f>
        <v>1</v>
      </c>
      <c r="G49" s="111" t="n">
        <f aca="false">Gov_Map!$L$580</f>
        <v>2</v>
      </c>
      <c r="H49" s="92" t="str">
        <f aca="false">Gov_Map!$P$580</f>
        <v>高</v>
      </c>
      <c r="I49" s="92" t="str">
        <f aca="false">Gov_Map!$T$580</f>
        <v>—</v>
      </c>
      <c r="J49" s="87" t="s">
        <v>4012</v>
      </c>
      <c r="K49" s="217" t="str">
        <f aca="false">IF(Gov_Map!$AK$580="","—",Gov_Map!$AK$580)</f>
        <v>—</v>
      </c>
      <c r="L49" s="92" t="str">
        <f aca="false">IF(ISNUMBER(Gov_Map!$AF$580),INDEX(IDX_SrcDate,Gov_Map!$AF$580),"—")</f>
        <v>—</v>
      </c>
      <c r="M49" s="93" t="s">
        <v>4013</v>
      </c>
      <c r="N49" s="105" t="str">
        <f aca="false">IF(AND(ISTEXT(L49),LEN(L49)=10),IF(ISNUMBER(VALUE(SUBSTITUTE(L49,"-",""))),DATE(VALUE(LEFT($C$3,4)),VALUE(MID($C$3,6,2)),VALUE(RIGHT($C$3,2)))-DATE(VALUE(LEFT(L49,4)),VALUE(MID(L49,6,2)),VALUE(RIGHT(L49,2))),"—"),"—")</f>
        <v>—</v>
      </c>
    </row>
    <row r="50" customFormat="false" ht="39.55" hidden="false" customHeight="false" outlineLevel="0" collapsed="false">
      <c r="A50" s="92" t="str">
        <f aca="false">Gov_Map!$A$582</f>
        <v>GM578</v>
      </c>
      <c r="B50" s="92" t="str">
        <f aca="false">Gov_Map!$C$582</f>
        <v>Alloc_In</v>
      </c>
      <c r="C50" s="92" t="str">
        <f aca="false">Gov_Map!$D$582</f>
        <v>C7</v>
      </c>
      <c r="D50" s="217" t="str">
        <f aca="false">Gov_Map!$E$582</f>
        <v>改版計畫數 N_refresh（個／年）</v>
      </c>
      <c r="E50" s="92" t="str">
        <f aca="false">Gov_Map!$F$582</f>
        <v>Assumed</v>
      </c>
      <c r="F50" s="111" t="n">
        <f aca="false">Gov_Map!$K$582</f>
        <v>0</v>
      </c>
      <c r="G50" s="111" t="n">
        <f aca="false">Gov_Map!$L$582</f>
        <v>6</v>
      </c>
      <c r="H50" s="92" t="str">
        <f aca="false">Gov_Map!$P$582</f>
        <v>高</v>
      </c>
      <c r="I50" s="92" t="str">
        <f aca="false">Gov_Map!$T$582</f>
        <v>—</v>
      </c>
      <c r="J50" s="87" t="s">
        <v>4012</v>
      </c>
      <c r="K50" s="217" t="str">
        <f aca="false">IF(Gov_Map!$AK$582="","—",Gov_Map!$AK$582)</f>
        <v>—</v>
      </c>
      <c r="L50" s="92" t="str">
        <f aca="false">IF(ISNUMBER(Gov_Map!$AF$582),INDEX(IDX_SrcDate,Gov_Map!$AF$582),"—")</f>
        <v>—</v>
      </c>
      <c r="M50" s="93" t="s">
        <v>4014</v>
      </c>
      <c r="N50" s="105" t="str">
        <f aca="false">IF(AND(ISTEXT(L50),LEN(L50)=10),IF(ISNUMBER(VALUE(SUBSTITUTE(L50,"-",""))),DATE(VALUE(LEFT($C$3,4)),VALUE(MID($C$3,6,2)),VALUE(RIGHT($C$3,2)))-DATE(VALUE(LEFT(L50,4)),VALUE(MID(L50,6,2)),VALUE(RIGHT(L50,2))),"—"),"—")</f>
        <v>—</v>
      </c>
    </row>
    <row r="51" customFormat="false" ht="39.55" hidden="false" customHeight="false" outlineLevel="0" collapsed="false">
      <c r="A51" s="92" t="str">
        <f aca="false">Gov_Map!$A$584</f>
        <v>GM580</v>
      </c>
      <c r="B51" s="92" t="str">
        <f aca="false">Gov_Map!$C$584</f>
        <v>Alloc_In</v>
      </c>
      <c r="C51" s="92" t="str">
        <f aca="false">Gov_Map!$D$584</f>
        <v>C8</v>
      </c>
      <c r="D51" s="217" t="str">
        <f aca="false">Gov_Map!$E$584</f>
        <v>計畫規模倍數 k（相對 Block 3）</v>
      </c>
      <c r="E51" s="92" t="str">
        <f aca="false">Gov_Map!$F$584</f>
        <v>Assumed</v>
      </c>
      <c r="F51" s="111" t="n">
        <f aca="false">Gov_Map!$K$584</f>
        <v>0.5</v>
      </c>
      <c r="G51" s="111" t="n">
        <f aca="false">Gov_Map!$L$584</f>
        <v>7</v>
      </c>
      <c r="H51" s="92" t="str">
        <f aca="false">Gov_Map!$P$584</f>
        <v>高</v>
      </c>
      <c r="I51" s="92" t="str">
        <f aca="false">Gov_Map!$T$584</f>
        <v>—</v>
      </c>
      <c r="J51" s="87" t="s">
        <v>4012</v>
      </c>
      <c r="K51" s="217" t="str">
        <f aca="false">IF(Gov_Map!$AK$584="","—",Gov_Map!$AK$584)</f>
        <v>—</v>
      </c>
      <c r="L51" s="92" t="str">
        <f aca="false">IF(ISNUMBER(Gov_Map!$AF$584),INDEX(IDX_SrcDate,Gov_Map!$AF$584),"—")</f>
        <v>—</v>
      </c>
      <c r="M51" s="93" t="s">
        <v>4015</v>
      </c>
      <c r="N51" s="105" t="str">
        <f aca="false">IF(AND(ISTEXT(L51),LEN(L51)=10),IF(ISNUMBER(VALUE(SUBSTITUTE(L51,"-",""))),DATE(VALUE(LEFT($C$3,4)),VALUE(MID($C$3,6,2)),VALUE(RIGHT($C$3,2)))-DATE(VALUE(LEFT(L51,4)),VALUE(MID(L51,6,2)),VALUE(RIGHT(L51,2))),"—"),"—")</f>
        <v>—</v>
      </c>
    </row>
    <row r="52" customFormat="false" ht="166.4" hidden="false" customHeight="false" outlineLevel="0" collapsed="false">
      <c r="A52" s="92" t="str">
        <f aca="false">Gov_Map!$A$590</f>
        <v>GM586</v>
      </c>
      <c r="B52" s="92" t="str">
        <f aca="false">Gov_Map!$C$590</f>
        <v>Alloc_In</v>
      </c>
      <c r="C52" s="92" t="str">
        <f aca="false">Gov_Map!$D$590</f>
        <v>C15</v>
      </c>
      <c r="D52" s="217" t="str">
        <f aca="false">Gov_Map!$E$590</f>
        <v>每則提示 token 數</v>
      </c>
      <c r="E52" s="92" t="str">
        <f aca="false">Gov_Map!$F$590</f>
        <v>Assumed</v>
      </c>
      <c r="F52" s="63" t="n">
        <f aca="false">Gov_Map!$K$590</f>
        <v>2000</v>
      </c>
      <c r="G52" s="63" t="n">
        <f aca="false">Gov_Map!$L$590</f>
        <v>11000</v>
      </c>
      <c r="H52" s="92" t="str">
        <f aca="false">Gov_Map!$P$590</f>
        <v>高</v>
      </c>
      <c r="I52" s="92" t="n">
        <f aca="false">Gov_Map!$T$590</f>
        <v>2</v>
      </c>
      <c r="J52" s="87" t="s">
        <v>4016</v>
      </c>
      <c r="K52" s="217" t="str">
        <f aca="false">IF(Gov_Map!$AK$590="","—",Gov_Map!$AK$590)</f>
        <v>—</v>
      </c>
      <c r="L52" s="92" t="str">
        <f aca="false">IF(ISNUMBER(Gov_Map!$AF$590),INDEX(IDX_SrcDate,Gov_Map!$AF$590),"—")</f>
        <v>—</v>
      </c>
      <c r="M52" s="93" t="s">
        <v>4017</v>
      </c>
      <c r="N52" s="105" t="str">
        <f aca="false">IF(AND(ISTEXT(L52),LEN(L52)=10),IF(ISNUMBER(VALUE(SUBSTITUTE(L52,"-",""))),DATE(VALUE(LEFT($C$3,4)),VALUE(MID($C$3,6,2)),VALUE(RIGHT($C$3,2)))-DATE(VALUE(LEFT(L52,4)),VALUE(MID(L52,6,2)),VALUE(RIGHT(L52,2))),"—"),"—")</f>
        <v>—</v>
      </c>
    </row>
    <row r="53" customFormat="false" ht="75.35" hidden="false" customHeight="false" outlineLevel="0" collapsed="false">
      <c r="A53" s="92" t="str">
        <f aca="false">Gov_Map!$A$596</f>
        <v>GM592</v>
      </c>
      <c r="B53" s="92" t="str">
        <f aca="false">Gov_Map!$C$596</f>
        <v>Serving</v>
      </c>
      <c r="C53" s="92" t="str">
        <f aca="false">Gov_Map!$D$596</f>
        <v>C28</v>
      </c>
      <c r="D53" s="217" t="str">
        <f aca="false">Gov_Map!$E$596</f>
        <v>並列輸出用生產折減（CTL_ProdDerate）</v>
      </c>
      <c r="E53" s="92" t="str">
        <f aca="false">Gov_Map!$F$596</f>
        <v>Assumed</v>
      </c>
      <c r="F53" s="92" t="n">
        <f aca="false">Gov_Map!$K$596</f>
        <v>0.7</v>
      </c>
      <c r="G53" s="92" t="n">
        <f aca="false">Gov_Map!$L$596</f>
        <v>1</v>
      </c>
      <c r="H53" s="92" t="str">
        <f aca="false">Gov_Map!$P$596</f>
        <v>高</v>
      </c>
      <c r="I53" s="92" t="str">
        <f aca="false">Gov_Map!$T$596</f>
        <v>—</v>
      </c>
      <c r="J53" s="87" t="s">
        <v>4018</v>
      </c>
      <c r="K53" s="217" t="str">
        <f aca="false">IF(Gov_Map!$AK$596="","—",Gov_Map!$AK$596)</f>
        <v>—</v>
      </c>
      <c r="L53" s="92" t="str">
        <f aca="false">IF(ISNUMBER(Gov_Map!$AF$596),INDEX(IDX_SrcDate,Gov_Map!$AF$596),"—")</f>
        <v>—</v>
      </c>
      <c r="M53" s="93" t="s">
        <v>4019</v>
      </c>
      <c r="N53" s="105" t="str">
        <f aca="false">IF(AND(ISTEXT(L53),LEN(L53)=10),IF(ISNUMBER(VALUE(SUBSTITUTE(L53,"-",""))),DATE(VALUE(LEFT($C$3,4)),VALUE(MID($C$3,6,2)),VALUE(RIGHT($C$3,2)))-DATE(VALUE(LEFT(L53,4)),VALUE(MID(L53,6,2)),VALUE(RIGHT(L53,2))),"—"),"—")</f>
        <v>—</v>
      </c>
    </row>
    <row r="54" customFormat="false" ht="52.2" hidden="false" customHeight="false" outlineLevel="0" collapsed="false">
      <c r="A54" s="92" t="str">
        <f aca="false">Gov_Map!$A$656</f>
        <v>GM652</v>
      </c>
      <c r="B54" s="92" t="str">
        <f aca="false">Gov_Map!$C$656</f>
        <v>Train_In</v>
      </c>
      <c r="C54" s="92" t="str">
        <f aca="false">Gov_Map!$D$656</f>
        <v>C34</v>
      </c>
      <c r="D54" s="217" t="str">
        <f aca="false">Gov_Map!$E$656</f>
        <v>RL rollout 輸出 token（Luna）</v>
      </c>
      <c r="E54" s="92" t="str">
        <f aca="false">Gov_Map!$F$656</f>
        <v>Assumed</v>
      </c>
      <c r="F54" s="92" t="n">
        <f aca="false">Gov_Map!$K$656</f>
        <v>0.787</v>
      </c>
      <c r="G54" s="92" t="n">
        <f aca="false">Gov_Map!$L$656</f>
        <v>2.36</v>
      </c>
      <c r="H54" s="92" t="str">
        <f aca="false">Gov_Map!$P$656</f>
        <v>高</v>
      </c>
      <c r="I54" s="92" t="str">
        <f aca="false">Gov_Map!$T$656</f>
        <v>—</v>
      </c>
      <c r="J54" s="87" t="s">
        <v>4010</v>
      </c>
      <c r="K54" s="217" t="str">
        <f aca="false">IF(Gov_Map!$AK$656="","—",Gov_Map!$AK$656)</f>
        <v>—</v>
      </c>
      <c r="L54" s="92" t="str">
        <f aca="false">IF(ISNUMBER(Gov_Map!$AF$656),INDEX(IDX_SrcDate,Gov_Map!$AF$656),"—")</f>
        <v>—</v>
      </c>
      <c r="M54" s="93" t="s">
        <v>4020</v>
      </c>
      <c r="N54" s="105" t="str">
        <f aca="false">IF(AND(ISTEXT(L54),LEN(L54)=10),IF(ISNUMBER(VALUE(SUBSTITUTE(L54,"-",""))),DATE(VALUE(LEFT($C$3,4)),VALUE(MID($C$3,6,2)),VALUE(RIGHT($C$3,2)))-DATE(VALUE(LEFT(L54,4)),VALUE(MID(L54,6,2)),VALUE(RIGHT(L54,2))),"—"),"—")</f>
        <v>—</v>
      </c>
    </row>
    <row r="55" customFormat="false" ht="52.2" hidden="false" customHeight="false" outlineLevel="0" collapsed="false">
      <c r="A55" s="92" t="str">
        <f aca="false">Gov_Map!$A$657</f>
        <v>GM653</v>
      </c>
      <c r="B55" s="92" t="str">
        <f aca="false">Gov_Map!$C$657</f>
        <v>Train_In</v>
      </c>
      <c r="C55" s="92" t="str">
        <f aca="false">Gov_Map!$D$657</f>
        <v>D34</v>
      </c>
      <c r="D55" s="217" t="str">
        <f aca="false">Gov_Map!$E$657</f>
        <v>RL rollout 輸出 token（Sol）</v>
      </c>
      <c r="E55" s="92" t="str">
        <f aca="false">Gov_Map!$F$657</f>
        <v>Assumed</v>
      </c>
      <c r="F55" s="92" t="n">
        <f aca="false">Gov_Map!$K$657</f>
        <v>0.787</v>
      </c>
      <c r="G55" s="92" t="n">
        <f aca="false">Gov_Map!$L$657</f>
        <v>2.36</v>
      </c>
      <c r="H55" s="92" t="str">
        <f aca="false">Gov_Map!$P$657</f>
        <v>高</v>
      </c>
      <c r="I55" s="92" t="str">
        <f aca="false">Gov_Map!$T$657</f>
        <v>—</v>
      </c>
      <c r="J55" s="87" t="s">
        <v>4010</v>
      </c>
      <c r="K55" s="217" t="str">
        <f aca="false">IF(Gov_Map!$AK$657="","—",Gov_Map!$AK$657)</f>
        <v>—</v>
      </c>
      <c r="L55" s="92" t="str">
        <f aca="false">IF(ISNUMBER(Gov_Map!$AF$657),INDEX(IDX_SrcDate,Gov_Map!$AF$657),"—")</f>
        <v>—</v>
      </c>
      <c r="M55" s="93" t="s">
        <v>4021</v>
      </c>
      <c r="N55" s="105" t="str">
        <f aca="false">IF(AND(ISTEXT(L55),LEN(L55)=10),IF(ISNUMBER(VALUE(SUBSTITUTE(L55,"-",""))),DATE(VALUE(LEFT($C$3,4)),VALUE(MID($C$3,6,2)),VALUE(RIGHT($C$3,2)))-DATE(VALUE(LEFT(L55,4)),VALUE(MID(L55,6,2)),VALUE(RIGHT(L55,2))),"—"),"—")</f>
        <v>—</v>
      </c>
    </row>
    <row r="56" customFormat="false" ht="52.2" hidden="false" customHeight="false" outlineLevel="0" collapsed="false">
      <c r="A56" s="92" t="str">
        <f aca="false">Gov_Map!$A$658</f>
        <v>GM654</v>
      </c>
      <c r="B56" s="92" t="str">
        <f aca="false">Gov_Map!$C$658</f>
        <v>Train_In</v>
      </c>
      <c r="C56" s="92" t="str">
        <f aca="false">Gov_Map!$D$658</f>
        <v>E34</v>
      </c>
      <c r="D56" s="217" t="str">
        <f aca="false">Gov_Map!$E$658</f>
        <v>RL rollout 輸出 token（Astra）</v>
      </c>
      <c r="E56" s="92" t="str">
        <f aca="false">Gov_Map!$F$658</f>
        <v>Assumed</v>
      </c>
      <c r="F56" s="92" t="n">
        <f aca="false">Gov_Map!$K$658</f>
        <v>0.96</v>
      </c>
      <c r="G56" s="92" t="n">
        <f aca="false">Gov_Map!$L$658</f>
        <v>19.2</v>
      </c>
      <c r="H56" s="92" t="str">
        <f aca="false">Gov_Map!$P$658</f>
        <v>高</v>
      </c>
      <c r="I56" s="92" t="str">
        <f aca="false">Gov_Map!$T$658</f>
        <v>—</v>
      </c>
      <c r="J56" s="87" t="s">
        <v>4010</v>
      </c>
      <c r="K56" s="217" t="str">
        <f aca="false">IF(Gov_Map!$AK$658="","—",Gov_Map!$AK$658)</f>
        <v>—</v>
      </c>
      <c r="L56" s="92" t="str">
        <f aca="false">IF(ISNUMBER(Gov_Map!$AF$658),INDEX(IDX_SrcDate,Gov_Map!$AF$658),"—")</f>
        <v>—</v>
      </c>
      <c r="M56" s="93" t="s">
        <v>4022</v>
      </c>
      <c r="N56" s="105" t="str">
        <f aca="false">IF(AND(ISTEXT(L56),LEN(L56)=10),IF(ISNUMBER(VALUE(SUBSTITUTE(L56,"-",""))),DATE(VALUE(LEFT($C$3,4)),VALUE(MID($C$3,6,2)),VALUE(RIGHT($C$3,2)))-DATE(VALUE(LEFT(L56,4)),VALUE(MID(L56,6,2)),VALUE(RIGHT(L56,2))),"—"),"—")</f>
        <v>—</v>
      </c>
    </row>
    <row r="57" customFormat="false" ht="392.5" hidden="false" customHeight="false" outlineLevel="0" collapsed="false">
      <c r="A57" s="92" t="str">
        <f aca="false">Gov_Map!$A$660</f>
        <v>GM656</v>
      </c>
      <c r="B57" s="92" t="str">
        <f aca="false">Gov_Map!$C$660</f>
        <v>Spec_Rack</v>
      </c>
      <c r="C57" s="92" t="str">
        <f aca="false">Gov_Map!$D$660</f>
        <v>C44:G44</v>
      </c>
      <c r="D57" s="217" t="str">
        <f aca="false">Gov_Map!$E$660</f>
        <v>模型規模倍數（基準；ARCH_ScaleGen）</v>
      </c>
      <c r="E57" s="92" t="str">
        <f aca="false">Gov_Map!$F$660</f>
        <v>Assumed</v>
      </c>
      <c r="F57" s="92" t="n">
        <f aca="false">Gov_Map!$K$660</f>
        <v>0</v>
      </c>
      <c r="G57" s="92" t="n">
        <f aca="false">Gov_Map!$L$660</f>
        <v>0</v>
      </c>
      <c r="H57" s="92" t="str">
        <f aca="false">Gov_Map!$P$660</f>
        <v>高</v>
      </c>
      <c r="I57" s="92" t="str">
        <f aca="false">Gov_Map!$T$660</f>
        <v>—</v>
      </c>
      <c r="J57" s="87" t="s">
        <v>3960</v>
      </c>
      <c r="K57" s="217" t="str">
        <f aca="false">IF(Gov_Map!$AK$660="","—",Gov_Map!$AK$660)</f>
        <v>—</v>
      </c>
      <c r="L57" s="92" t="str">
        <f aca="false">IF(ISNUMBER(Gov_Map!$AF$660),INDEX(IDX_SrcDate,Gov_Map!$AF$660),"—")</f>
        <v>—</v>
      </c>
      <c r="M57" s="93" t="s">
        <v>4023</v>
      </c>
      <c r="N57" s="105" t="str">
        <f aca="false">IF(AND(ISTEXT(L57),LEN(L57)=10),IF(ISNUMBER(VALUE(SUBSTITUTE(L57,"-",""))),DATE(VALUE(LEFT($C$3,4)),VALUE(MID($C$3,6,2)),VALUE(RIGHT($C$3,2)))-DATE(VALUE(LEFT(L57,4)),VALUE(MID(L57,6,2)),VALUE(RIGHT(L57,2))),"—"),"—")</f>
        <v>—</v>
      </c>
    </row>
    <row r="58" customFormat="false" ht="39.55" hidden="false" customHeight="false" outlineLevel="0" collapsed="false">
      <c r="A58" s="92" t="str">
        <f aca="false">Gov_Map!$A$661</f>
        <v>GM657</v>
      </c>
      <c r="B58" s="92" t="str">
        <f aca="false">Gov_Map!$C$661</f>
        <v>Spec_Rack</v>
      </c>
      <c r="C58" s="92" t="str">
        <f aca="false">Gov_Map!$D$661</f>
        <v>C45:G45</v>
      </c>
      <c r="D58" s="217" t="str">
        <f aca="false">Gov_Map!$E$661</f>
        <v>模型規模倍數（低；ARCH_ScaleGen_Lo）</v>
      </c>
      <c r="E58" s="92" t="str">
        <f aca="false">Gov_Map!$F$661</f>
        <v>Assumed</v>
      </c>
      <c r="F58" s="92" t="n">
        <f aca="false">Gov_Map!$K$661</f>
        <v>0</v>
      </c>
      <c r="G58" s="92" t="n">
        <f aca="false">Gov_Map!$L$661</f>
        <v>0</v>
      </c>
      <c r="H58" s="92" t="str">
        <f aca="false">Gov_Map!$P$661</f>
        <v>高</v>
      </c>
      <c r="I58" s="92" t="str">
        <f aca="false">Gov_Map!$T$661</f>
        <v>—</v>
      </c>
      <c r="J58" s="87" t="s">
        <v>751</v>
      </c>
      <c r="K58" s="217" t="str">
        <f aca="false">IF(Gov_Map!$AK$661="","—",Gov_Map!$AK$661)</f>
        <v>—</v>
      </c>
      <c r="L58" s="92" t="str">
        <f aca="false">IF(ISNUMBER(Gov_Map!$AF$661),INDEX(IDX_SrcDate,Gov_Map!$AF$661),"—")</f>
        <v>—</v>
      </c>
      <c r="M58" s="93" t="s">
        <v>4024</v>
      </c>
      <c r="N58" s="105" t="str">
        <f aca="false">IF(AND(ISTEXT(L58),LEN(L58)=10),IF(ISNUMBER(VALUE(SUBSTITUTE(L58,"-",""))),DATE(VALUE(LEFT($C$3,4)),VALUE(MID($C$3,6,2)),VALUE(RIGHT($C$3,2)))-DATE(VALUE(LEFT(L58,4)),VALUE(MID(L58,6,2)),VALUE(RIGHT(L58,2))),"—"),"—")</f>
        <v>—</v>
      </c>
    </row>
    <row r="59" customFormat="false" ht="39.55" hidden="false" customHeight="false" outlineLevel="0" collapsed="false">
      <c r="A59" s="92" t="str">
        <f aca="false">Gov_Map!$A$662</f>
        <v>GM658</v>
      </c>
      <c r="B59" s="92" t="str">
        <f aca="false">Gov_Map!$C$662</f>
        <v>Spec_Rack</v>
      </c>
      <c r="C59" s="92" t="str">
        <f aca="false">Gov_Map!$D$662</f>
        <v>C46:G46</v>
      </c>
      <c r="D59" s="217" t="str">
        <f aca="false">Gov_Map!$E$662</f>
        <v>模型規模倍數（高；ARCH_ScaleGen_Hi）</v>
      </c>
      <c r="E59" s="92" t="str">
        <f aca="false">Gov_Map!$F$662</f>
        <v>Assumed</v>
      </c>
      <c r="F59" s="92" t="n">
        <f aca="false">Gov_Map!$K$662</f>
        <v>0</v>
      </c>
      <c r="G59" s="92" t="n">
        <f aca="false">Gov_Map!$L$662</f>
        <v>0</v>
      </c>
      <c r="H59" s="92" t="str">
        <f aca="false">Gov_Map!$P$662</f>
        <v>高</v>
      </c>
      <c r="I59" s="92" t="str">
        <f aca="false">Gov_Map!$T$662</f>
        <v>—</v>
      </c>
      <c r="J59" s="87" t="s">
        <v>751</v>
      </c>
      <c r="K59" s="217" t="str">
        <f aca="false">IF(Gov_Map!$AK$662="","—",Gov_Map!$AK$662)</f>
        <v>—</v>
      </c>
      <c r="L59" s="92" t="str">
        <f aca="false">IF(ISNUMBER(Gov_Map!$AF$662),INDEX(IDX_SrcDate,Gov_Map!$AF$662),"—")</f>
        <v>—</v>
      </c>
      <c r="M59" s="93" t="s">
        <v>4025</v>
      </c>
      <c r="N59" s="105" t="str">
        <f aca="false">IF(AND(ISTEXT(L59),LEN(L59)=10),IF(ISNUMBER(VALUE(SUBSTITUTE(L59,"-",""))),DATE(VALUE(LEFT($C$3,4)),VALUE(MID($C$3,6,2)),VALUE(RIGHT($C$3,2)))-DATE(VALUE(LEFT(L59,4)),VALUE(MID(L59,6,2)),VALUE(RIGHT(L59,2))),"—"),"—")</f>
        <v>—</v>
      </c>
    </row>
    <row r="61" customFormat="false" ht="15" hidden="false" customHeight="false" outlineLevel="0" collapsed="false">
      <c r="A61" s="60" t="s">
        <v>4026</v>
      </c>
      <c r="J61" s="89" t="n">
        <f aca="false">SUMPRODUCT((Gov_Map!$P$5:$P$700="高")*((Gov_Map!$F$5:$F$700="Assumed")+(Gov_Map!$F$5:$F$700="Analogy")))</f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80"/>
  </cols>
  <sheetData>
    <row r="1" customFormat="false" ht="20.1" hidden="false" customHeight="false" outlineLevel="0" collapsed="false">
      <c r="A1" s="58" t="s">
        <v>4027</v>
      </c>
    </row>
    <row r="2" customFormat="false" ht="15" hidden="false" customHeight="false" outlineLevel="0" collapsed="false">
      <c r="A2" s="74" t="s">
        <v>4028</v>
      </c>
    </row>
    <row r="4" customFormat="false" ht="15" hidden="false" customHeight="false" outlineLevel="0" collapsed="false">
      <c r="A4" s="60" t="s">
        <v>4029</v>
      </c>
    </row>
    <row r="5" customFormat="false" ht="15" hidden="false" customHeight="false" outlineLevel="0" collapsed="false">
      <c r="A5" s="62" t="s">
        <v>4030</v>
      </c>
      <c r="B5" s="62" t="s">
        <v>113</v>
      </c>
      <c r="C5" s="66" t="n">
        <v>0.6</v>
      </c>
      <c r="F5" s="59" t="s">
        <v>4031</v>
      </c>
    </row>
    <row r="6" customFormat="false" ht="15" hidden="false" customHeight="false" outlineLevel="0" collapsed="false">
      <c r="A6" s="62" t="s">
        <v>4032</v>
      </c>
      <c r="B6" s="62" t="s">
        <v>4033</v>
      </c>
      <c r="C6" s="67" t="n">
        <v>10</v>
      </c>
      <c r="F6" s="59" t="s">
        <v>4034</v>
      </c>
    </row>
    <row r="7" customFormat="false" ht="15" hidden="false" customHeight="false" outlineLevel="0" collapsed="false">
      <c r="A7" s="62" t="s">
        <v>4035</v>
      </c>
      <c r="B7" s="62" t="s">
        <v>4033</v>
      </c>
      <c r="C7" s="67" t="n">
        <v>40</v>
      </c>
      <c r="F7" s="59" t="s">
        <v>4036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9"/>
    <col collapsed="false" customWidth="true" hidden="false" outlineLevel="0" max="8" min="8" style="0" width="11"/>
    <col collapsed="false" customWidth="true" hidden="false" outlineLevel="0" max="10" min="9" style="0" width="9"/>
    <col collapsed="false" customWidth="true" hidden="false" outlineLevel="0" max="11" min="11" style="0" width="10"/>
    <col collapsed="false" customWidth="true" hidden="false" outlineLevel="0" max="12" min="12" style="0" width="70"/>
    <col collapsed="false" customWidth="true" hidden="false" outlineLevel="0" max="13" min="13" style="0" width="46"/>
  </cols>
  <sheetData>
    <row r="1" customFormat="false" ht="20.1" hidden="false" customHeight="false" outlineLevel="0" collapsed="false">
      <c r="A1" s="58" t="s">
        <v>4037</v>
      </c>
    </row>
    <row r="2" customFormat="false" ht="15" hidden="false" customHeight="false" outlineLevel="0" collapsed="false">
      <c r="A2" s="74" t="s">
        <v>4038</v>
      </c>
    </row>
    <row r="3" customFormat="false" ht="15" hidden="false" customHeight="false" outlineLevel="0" collapsed="false">
      <c r="M3" s="60" t="s">
        <v>2</v>
      </c>
    </row>
    <row r="4" customFormat="false" ht="30" hidden="false" customHeight="true" outlineLevel="0" collapsed="false">
      <c r="A4" s="83" t="s">
        <v>4039</v>
      </c>
      <c r="B4" s="83" t="s">
        <v>4040</v>
      </c>
      <c r="C4" s="83" t="s">
        <v>4041</v>
      </c>
      <c r="D4" s="83" t="s">
        <v>4042</v>
      </c>
      <c r="E4" s="83" t="s">
        <v>4043</v>
      </c>
      <c r="F4" s="83" t="s">
        <v>4044</v>
      </c>
      <c r="G4" s="83" t="s">
        <v>4045</v>
      </c>
      <c r="H4" s="83" t="s">
        <v>4046</v>
      </c>
      <c r="I4" s="83" t="s">
        <v>4047</v>
      </c>
      <c r="J4" s="83" t="s">
        <v>4048</v>
      </c>
      <c r="K4" s="83" t="s">
        <v>99</v>
      </c>
      <c r="L4" s="83" t="s">
        <v>354</v>
      </c>
    </row>
    <row r="5" customFormat="false" ht="15" hidden="false" customHeight="false" outlineLevel="0" collapsed="false">
      <c r="A5" s="62" t="s">
        <v>4049</v>
      </c>
      <c r="B5" s="79" t="n">
        <v>0.5</v>
      </c>
      <c r="C5" s="79" t="n">
        <v>0.7</v>
      </c>
      <c r="D5" s="79" t="n">
        <v>1</v>
      </c>
      <c r="E5" s="79" t="n">
        <v>0.8</v>
      </c>
      <c r="F5" s="79" t="n">
        <v>0.9</v>
      </c>
      <c r="G5" s="79" t="n">
        <v>1</v>
      </c>
      <c r="H5" s="104" t="n">
        <f aca="false">F5/C5</f>
        <v>1.28571428571429</v>
      </c>
      <c r="I5" s="77" t="n">
        <f aca="false">E5/D5</f>
        <v>0.8</v>
      </c>
      <c r="J5" s="77" t="n">
        <f aca="false">G5/B5</f>
        <v>2</v>
      </c>
      <c r="K5" s="59" t="s">
        <v>114</v>
      </c>
      <c r="L5" s="59" t="s">
        <v>4050</v>
      </c>
      <c r="M5" s="74" t="s">
        <v>4051</v>
      </c>
    </row>
    <row r="6" customFormat="false" ht="15" hidden="false" customHeight="false" outlineLevel="0" collapsed="false">
      <c r="A6" s="62" t="s">
        <v>4052</v>
      </c>
      <c r="B6" s="79" t="n">
        <v>0.6</v>
      </c>
      <c r="C6" s="79" t="n">
        <v>0.8</v>
      </c>
      <c r="D6" s="79" t="n">
        <v>1.1</v>
      </c>
      <c r="E6" s="79" t="n">
        <v>0.7</v>
      </c>
      <c r="F6" s="79" t="n">
        <v>0.8</v>
      </c>
      <c r="G6" s="79" t="n">
        <v>1</v>
      </c>
      <c r="H6" s="104" t="n">
        <f aca="false">F6/C6</f>
        <v>1</v>
      </c>
      <c r="I6" s="77" t="n">
        <f aca="false">E6/D6</f>
        <v>0.636363636363636</v>
      </c>
      <c r="J6" s="77" t="n">
        <f aca="false">G6/B6</f>
        <v>1.66666666666667</v>
      </c>
      <c r="K6" s="59" t="s">
        <v>114</v>
      </c>
      <c r="L6" s="74" t="s">
        <v>4053</v>
      </c>
      <c r="M6" s="74" t="s">
        <v>4054</v>
      </c>
    </row>
    <row r="7" customFormat="false" ht="15" hidden="false" customHeight="false" outlineLevel="0" collapsed="false">
      <c r="A7" s="62" t="s">
        <v>4055</v>
      </c>
      <c r="B7" s="79" t="n">
        <v>0.3</v>
      </c>
      <c r="C7" s="79" t="n">
        <v>0.5</v>
      </c>
      <c r="D7" s="79" t="n">
        <v>0.8</v>
      </c>
      <c r="E7" s="79" t="n">
        <v>0.6</v>
      </c>
      <c r="F7" s="79" t="n">
        <v>0.7</v>
      </c>
      <c r="G7" s="79" t="n">
        <v>0.9</v>
      </c>
      <c r="H7" s="104" t="n">
        <f aca="false">F7/C7</f>
        <v>1.4</v>
      </c>
      <c r="I7" s="77" t="n">
        <f aca="false">E7/D7</f>
        <v>0.75</v>
      </c>
      <c r="J7" s="77" t="n">
        <f aca="false">G7/B7</f>
        <v>3</v>
      </c>
      <c r="K7" s="59" t="s">
        <v>114</v>
      </c>
      <c r="L7" s="59" t="s">
        <v>4056</v>
      </c>
      <c r="M7" s="74" t="s">
        <v>4057</v>
      </c>
    </row>
    <row r="8" customFormat="false" ht="15" hidden="false" customHeight="false" outlineLevel="0" collapsed="false">
      <c r="A8" s="62" t="s">
        <v>4058</v>
      </c>
      <c r="B8" s="79" t="n">
        <v>0.2</v>
      </c>
      <c r="C8" s="79" t="n">
        <v>0.4</v>
      </c>
      <c r="D8" s="79" t="n">
        <v>0.8</v>
      </c>
      <c r="E8" s="79" t="n">
        <v>0.8</v>
      </c>
      <c r="F8" s="79" t="n">
        <v>1</v>
      </c>
      <c r="G8" s="79" t="n">
        <v>1.2</v>
      </c>
      <c r="H8" s="104" t="n">
        <f aca="false">F8/C8</f>
        <v>2.5</v>
      </c>
      <c r="I8" s="77" t="n">
        <f aca="false">E8/D8</f>
        <v>1</v>
      </c>
      <c r="J8" s="77" t="n">
        <f aca="false">G8/B8</f>
        <v>6</v>
      </c>
      <c r="K8" s="59" t="s">
        <v>114</v>
      </c>
      <c r="L8" s="74" t="s">
        <v>4059</v>
      </c>
      <c r="M8" s="74" t="s">
        <v>4060</v>
      </c>
    </row>
    <row r="9" customFormat="false" ht="15" hidden="false" customHeight="false" outlineLevel="0" collapsed="false">
      <c r="A9" s="62" t="s">
        <v>4061</v>
      </c>
      <c r="B9" s="79" t="n">
        <v>0.4</v>
      </c>
      <c r="C9" s="79" t="n">
        <v>0.6</v>
      </c>
      <c r="D9" s="79" t="n">
        <v>0.9</v>
      </c>
      <c r="E9" s="79" t="n">
        <v>0.7</v>
      </c>
      <c r="F9" s="79" t="n">
        <v>0.8</v>
      </c>
      <c r="G9" s="79" t="n">
        <v>1</v>
      </c>
      <c r="H9" s="104" t="n">
        <f aca="false">F9/C9</f>
        <v>1.33333333333333</v>
      </c>
      <c r="I9" s="77" t="n">
        <f aca="false">E9/D9</f>
        <v>0.777777777777778</v>
      </c>
      <c r="J9" s="77" t="n">
        <f aca="false">G9/B9</f>
        <v>2.5</v>
      </c>
      <c r="K9" s="59" t="s">
        <v>114</v>
      </c>
      <c r="L9" s="74" t="s">
        <v>4062</v>
      </c>
      <c r="M9" s="74" t="s">
        <v>4063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1" width="10"/>
    <col collapsed="false" customWidth="true" hidden="false" outlineLevel="0" max="25" min="3" style="1" width="11"/>
  </cols>
  <sheetData>
    <row r="1" customFormat="false" ht="19.5" hidden="false" customHeight="true" outlineLevel="0" collapsed="false">
      <c r="A1" s="2" t="s">
        <v>4064</v>
      </c>
    </row>
    <row r="2" customFormat="false" ht="15" hidden="false" customHeight="true" outlineLevel="0" collapsed="false">
      <c r="A2" s="11" t="s">
        <v>4065</v>
      </c>
    </row>
    <row r="4" customFormat="false" ht="30" hidden="false" customHeight="true" outlineLevel="0" collapsed="false">
      <c r="A4" s="22" t="s">
        <v>959</v>
      </c>
      <c r="C4" s="218" t="s">
        <v>97</v>
      </c>
      <c r="D4" s="218" t="s">
        <v>4066</v>
      </c>
      <c r="E4" s="218" t="s">
        <v>4067</v>
      </c>
      <c r="F4" s="218" t="s">
        <v>4068</v>
      </c>
      <c r="G4" s="218" t="s">
        <v>4069</v>
      </c>
      <c r="H4" s="218" t="s">
        <v>4070</v>
      </c>
      <c r="I4" s="218" t="s">
        <v>4071</v>
      </c>
      <c r="J4" s="218" t="s">
        <v>4072</v>
      </c>
      <c r="K4" s="218" t="s">
        <v>4073</v>
      </c>
      <c r="L4" s="218" t="s">
        <v>4074</v>
      </c>
      <c r="M4" s="218" t="s">
        <v>4075</v>
      </c>
      <c r="N4" s="219" t="s">
        <v>4076</v>
      </c>
      <c r="O4" s="219" t="s">
        <v>4077</v>
      </c>
      <c r="P4" s="219" t="s">
        <v>4078</v>
      </c>
      <c r="Q4" s="219" t="s">
        <v>4079</v>
      </c>
      <c r="R4" s="218" t="s">
        <v>4080</v>
      </c>
      <c r="S4" s="218" t="s">
        <v>4081</v>
      </c>
      <c r="T4" s="219" t="s">
        <v>4082</v>
      </c>
      <c r="U4" s="219" t="s">
        <v>4083</v>
      </c>
      <c r="V4" s="218" t="s">
        <v>4084</v>
      </c>
      <c r="W4" s="218" t="s">
        <v>4085</v>
      </c>
      <c r="X4" s="218" t="s">
        <v>4086</v>
      </c>
      <c r="Y4" s="218" t="s">
        <v>4087</v>
      </c>
    </row>
    <row r="6" customFormat="false" ht="15" hidden="false" customHeight="true" outlineLevel="0" collapsed="false">
      <c r="A6" s="27" t="s">
        <v>1012</v>
      </c>
      <c r="B6" s="15"/>
      <c r="C6" s="15"/>
    </row>
    <row r="7" customFormat="false" ht="15" hidden="false" customHeight="true" outlineLevel="0" collapsed="false">
      <c r="A7" s="16" t="s">
        <v>4088</v>
      </c>
      <c r="B7" s="17" t="s">
        <v>1014</v>
      </c>
      <c r="C7" s="18" t="n">
        <f aca="false">1000</f>
        <v>1000</v>
      </c>
      <c r="D7" s="18" t="n">
        <f aca="false">1000</f>
        <v>1000</v>
      </c>
      <c r="E7" s="18" t="n">
        <f aca="false">1000</f>
        <v>1000</v>
      </c>
      <c r="F7" s="18" t="n">
        <f aca="false">1000</f>
        <v>1000</v>
      </c>
      <c r="G7" s="18" t="n">
        <f aca="false">1000</f>
        <v>1000</v>
      </c>
      <c r="H7" s="18" t="n">
        <f aca="false">1000</f>
        <v>1000</v>
      </c>
      <c r="I7" s="18" t="n">
        <f aca="false">1000</f>
        <v>1000</v>
      </c>
      <c r="J7" s="18" t="n">
        <f aca="false">1000</f>
        <v>1000</v>
      </c>
      <c r="K7" s="18" t="n">
        <f aca="false">1000</f>
        <v>1000</v>
      </c>
      <c r="L7" s="18" t="n">
        <f aca="false">1000</f>
        <v>1000</v>
      </c>
      <c r="M7" s="18" t="n">
        <f aca="false">1000</f>
        <v>1000</v>
      </c>
      <c r="N7" s="18" t="n">
        <f aca="false">1000</f>
        <v>1000</v>
      </c>
      <c r="O7" s="18" t="n">
        <f aca="false">1000</f>
        <v>1000</v>
      </c>
      <c r="P7" s="18" t="n">
        <f aca="false">1000</f>
        <v>1000</v>
      </c>
      <c r="Q7" s="18" t="n">
        <f aca="false">1000</f>
        <v>1000</v>
      </c>
      <c r="R7" s="18" t="n">
        <f aca="false">1000</f>
        <v>1000</v>
      </c>
      <c r="S7" s="18" t="n">
        <f aca="false">1000</f>
        <v>1000</v>
      </c>
      <c r="T7" s="18" t="n">
        <f aca="false">1000</f>
        <v>1000</v>
      </c>
      <c r="U7" s="18" t="n">
        <f aca="false">1000</f>
        <v>1000</v>
      </c>
      <c r="V7" s="18" t="n">
        <f aca="false">1000</f>
        <v>1000</v>
      </c>
      <c r="W7" s="18" t="n">
        <f aca="false">1000</f>
        <v>1000</v>
      </c>
      <c r="X7" s="18" t="n">
        <f aca="false">1000</f>
        <v>1000</v>
      </c>
      <c r="Y7" s="18" t="n">
        <f aca="false">1000</f>
        <v>1000</v>
      </c>
    </row>
    <row r="8" customFormat="false" ht="15" hidden="false" customHeight="true" outlineLevel="0" collapsed="false">
      <c r="A8" s="22" t="s">
        <v>112</v>
      </c>
      <c r="B8" s="17" t="s">
        <v>113</v>
      </c>
      <c r="C8" s="28" t="n">
        <f aca="false">Inputs!$E$8</f>
        <v>0.08</v>
      </c>
      <c r="D8" s="28" t="n">
        <f aca="false">Inputs!$E$8</f>
        <v>0.08</v>
      </c>
      <c r="E8" s="28" t="n">
        <f aca="false">Inputs!$E$8</f>
        <v>0.08</v>
      </c>
      <c r="F8" s="28" t="n">
        <f aca="false">Inputs!$E$8</f>
        <v>0.08</v>
      </c>
      <c r="G8" s="28" t="n">
        <f aca="false">Inputs!$E$8</f>
        <v>0.08</v>
      </c>
      <c r="H8" s="28" t="n">
        <f aca="false">Inputs!$E$8</f>
        <v>0.08</v>
      </c>
      <c r="I8" s="28" t="n">
        <f aca="false">Inputs!$E$8</f>
        <v>0.08</v>
      </c>
      <c r="J8" s="28" t="n">
        <f aca="false">Inputs!$E$8</f>
        <v>0.08</v>
      </c>
      <c r="K8" s="28" t="n">
        <f aca="false">Inputs!$E$8</f>
        <v>0.08</v>
      </c>
      <c r="L8" s="28" t="n">
        <f aca="false">Inputs!$E$8</f>
        <v>0.08</v>
      </c>
      <c r="M8" s="28" t="n">
        <f aca="false">Inputs!$E$8</f>
        <v>0.08</v>
      </c>
      <c r="N8" s="28" t="n">
        <f aca="false">Inputs!$E$8</f>
        <v>0.08</v>
      </c>
      <c r="O8" s="28" t="n">
        <f aca="false">Inputs!$E$8</f>
        <v>0.08</v>
      </c>
      <c r="P8" s="28" t="n">
        <f aca="false">Inputs!$E$8</f>
        <v>0.08</v>
      </c>
      <c r="Q8" s="28" t="n">
        <f aca="false">Inputs!$E$8</f>
        <v>0.08</v>
      </c>
      <c r="R8" s="28" t="n">
        <f aca="false">Inputs!$E$8</f>
        <v>0.08</v>
      </c>
      <c r="S8" s="28" t="n">
        <f aca="false">Inputs!$E$8</f>
        <v>0.08</v>
      </c>
      <c r="T8" s="28" t="n">
        <f aca="false">Inputs!$E$8</f>
        <v>0.08</v>
      </c>
      <c r="U8" s="28" t="n">
        <f aca="false">Inputs!$E$8</f>
        <v>0.08</v>
      </c>
      <c r="V8" s="28" t="n">
        <f aca="false">Inputs!$E$8</f>
        <v>0.08</v>
      </c>
      <c r="W8" s="28" t="n">
        <f aca="false">Inputs!$E$8</f>
        <v>0.08</v>
      </c>
      <c r="X8" s="220" t="n">
        <v>0.05</v>
      </c>
      <c r="Y8" s="220" t="n">
        <v>0.12</v>
      </c>
    </row>
    <row r="9" customFormat="false" ht="15" hidden="false" customHeight="true" outlineLevel="0" collapsed="false">
      <c r="A9" s="22" t="s">
        <v>1015</v>
      </c>
      <c r="B9" s="17" t="s">
        <v>1014</v>
      </c>
      <c r="C9" s="18" t="n">
        <f aca="false">C7*(1-C8)</f>
        <v>920</v>
      </c>
      <c r="D9" s="18" t="n">
        <f aca="false">D7*(1-D8)</f>
        <v>920</v>
      </c>
      <c r="E9" s="18" t="n">
        <f aca="false">E7*(1-E8)</f>
        <v>920</v>
      </c>
      <c r="F9" s="18" t="n">
        <f aca="false">F7*(1-F8)</f>
        <v>920</v>
      </c>
      <c r="G9" s="18" t="n">
        <f aca="false">G7*(1-G8)</f>
        <v>920</v>
      </c>
      <c r="H9" s="18" t="n">
        <f aca="false">H7*(1-H8)</f>
        <v>920</v>
      </c>
      <c r="I9" s="18" t="n">
        <f aca="false">I7*(1-I8)</f>
        <v>920</v>
      </c>
      <c r="J9" s="18" t="n">
        <f aca="false">J7*(1-J8)</f>
        <v>920</v>
      </c>
      <c r="K9" s="18" t="n">
        <f aca="false">K7*(1-K8)</f>
        <v>920</v>
      </c>
      <c r="L9" s="18" t="n">
        <f aca="false">L7*(1-L8)</f>
        <v>920</v>
      </c>
      <c r="M9" s="18" t="n">
        <f aca="false">M7*(1-M8)</f>
        <v>920</v>
      </c>
      <c r="N9" s="18" t="n">
        <f aca="false">N7*(1-N8)</f>
        <v>920</v>
      </c>
      <c r="O9" s="18" t="n">
        <f aca="false">O7*(1-O8)</f>
        <v>920</v>
      </c>
      <c r="P9" s="18" t="n">
        <f aca="false">P7*(1-P8)</f>
        <v>920</v>
      </c>
      <c r="Q9" s="18" t="n">
        <f aca="false">Q7*(1-Q8)</f>
        <v>920</v>
      </c>
      <c r="R9" s="18" t="n">
        <f aca="false">R7*(1-R8)</f>
        <v>920</v>
      </c>
      <c r="S9" s="18" t="n">
        <f aca="false">S7*(1-S8)</f>
        <v>920</v>
      </c>
      <c r="T9" s="18" t="n">
        <f aca="false">T7*(1-T8)</f>
        <v>920</v>
      </c>
      <c r="U9" s="18" t="n">
        <f aca="false">U7*(1-U8)</f>
        <v>920</v>
      </c>
      <c r="V9" s="18" t="n">
        <f aca="false">V7*(1-V8)</f>
        <v>920</v>
      </c>
      <c r="W9" s="18" t="n">
        <f aca="false">W7*(1-W8)</f>
        <v>920</v>
      </c>
      <c r="X9" s="18" t="n">
        <f aca="false">X7*(1-X8)</f>
        <v>950</v>
      </c>
      <c r="Y9" s="18" t="n">
        <f aca="false">Y7*(1-Y8)</f>
        <v>880</v>
      </c>
    </row>
    <row r="10" customFormat="false" ht="15" hidden="false" customHeight="true" outlineLevel="0" collapsed="false">
      <c r="A10" s="22" t="s">
        <v>874</v>
      </c>
      <c r="B10" s="17" t="s">
        <v>875</v>
      </c>
      <c r="C10" s="29" t="n">
        <f aca="false">Spec_Rack!F9</f>
        <v>227</v>
      </c>
      <c r="D10" s="29" t="n">
        <f aca="false">Spec_Rack!F9</f>
        <v>227</v>
      </c>
      <c r="E10" s="29" t="n">
        <f aca="false">Spec_Rack!F9</f>
        <v>227</v>
      </c>
      <c r="F10" s="183" t="n">
        <f aca="false">Spec_Rack!F8</f>
        <v>188</v>
      </c>
      <c r="G10" s="183" t="n">
        <f aca="false">Spec_Rack!F10</f>
        <v>230</v>
      </c>
      <c r="H10" s="29" t="n">
        <f aca="false">Spec_Rack!F9</f>
        <v>227</v>
      </c>
      <c r="I10" s="29" t="n">
        <f aca="false">Spec_Rack!F9</f>
        <v>227</v>
      </c>
      <c r="J10" s="29" t="n">
        <f aca="false">Spec_Rack!F9</f>
        <v>227</v>
      </c>
      <c r="K10" s="29" t="n">
        <f aca="false">Spec_Rack!F9</f>
        <v>227</v>
      </c>
      <c r="L10" s="29" t="n">
        <f aca="false">Spec_Rack!F9</f>
        <v>227</v>
      </c>
      <c r="M10" s="29" t="n">
        <f aca="false">Spec_Rack!F9</f>
        <v>227</v>
      </c>
      <c r="N10" s="29" t="n">
        <f aca="false">Spec_Rack!F9</f>
        <v>227</v>
      </c>
      <c r="O10" s="29" t="n">
        <f aca="false">Spec_Rack!F9</f>
        <v>227</v>
      </c>
      <c r="P10" s="29" t="n">
        <f aca="false">Spec_Rack!F9</f>
        <v>227</v>
      </c>
      <c r="Q10" s="29" t="n">
        <f aca="false">Spec_Rack!F9</f>
        <v>227</v>
      </c>
      <c r="R10" s="29" t="n">
        <f aca="false">Spec_Rack!F9</f>
        <v>227</v>
      </c>
      <c r="S10" s="29" t="n">
        <f aca="false">Spec_Rack!F9</f>
        <v>227</v>
      </c>
      <c r="T10" s="29" t="n">
        <f aca="false">Spec_Rack!F9</f>
        <v>227</v>
      </c>
      <c r="U10" s="29" t="n">
        <f aca="false">Spec_Rack!F9</f>
        <v>227</v>
      </c>
      <c r="V10" s="29" t="n">
        <f aca="false">Spec_Rack!F9</f>
        <v>227</v>
      </c>
      <c r="W10" s="29" t="n">
        <f aca="false">Spec_Rack!F9</f>
        <v>227</v>
      </c>
      <c r="X10" s="29" t="n">
        <f aca="false">Spec_Rack!F9</f>
        <v>227</v>
      </c>
      <c r="Y10" s="29" t="n">
        <f aca="false">Spec_Rack!F9</f>
        <v>227</v>
      </c>
    </row>
    <row r="11" customFormat="false" ht="15" hidden="false" customHeight="true" outlineLevel="0" collapsed="false">
      <c r="A11" s="22" t="s">
        <v>2772</v>
      </c>
      <c r="B11" s="23" t="s">
        <v>873</v>
      </c>
      <c r="C11" s="128" t="n">
        <f aca="false">FLOOR(C9*1000/C10,1)</f>
        <v>4052</v>
      </c>
      <c r="D11" s="128" t="n">
        <f aca="false">FLOOR(D9*1000/D10,1)</f>
        <v>4052</v>
      </c>
      <c r="E11" s="128" t="n">
        <f aca="false">FLOOR(E9*1000/E10,1)</f>
        <v>4052</v>
      </c>
      <c r="F11" s="128" t="n">
        <f aca="false">FLOOR(F9*1000/F10,1)</f>
        <v>4893</v>
      </c>
      <c r="G11" s="128" t="n">
        <f aca="false">FLOOR(G9*1000/G10,1)</f>
        <v>4000</v>
      </c>
      <c r="H11" s="128" t="n">
        <f aca="false">FLOOR(H9*1000/H10,1)</f>
        <v>4052</v>
      </c>
      <c r="I11" s="128" t="n">
        <f aca="false">FLOOR(I9*1000/I10,1)</f>
        <v>4052</v>
      </c>
      <c r="J11" s="128" t="n">
        <f aca="false">FLOOR(J9*1000/J10,1)</f>
        <v>4052</v>
      </c>
      <c r="K11" s="128" t="n">
        <f aca="false">FLOOR(K9*1000/K10,1)</f>
        <v>4052</v>
      </c>
      <c r="L11" s="128" t="n">
        <f aca="false">FLOOR(L9*1000/L10,1)</f>
        <v>4052</v>
      </c>
      <c r="M11" s="128" t="n">
        <f aca="false">FLOOR(M9*1000/M10,1)</f>
        <v>4052</v>
      </c>
      <c r="N11" s="128" t="n">
        <f aca="false">FLOOR(N9*1000/N10,1)</f>
        <v>4052</v>
      </c>
      <c r="O11" s="128" t="n">
        <f aca="false">FLOOR(O9*1000/O10,1)</f>
        <v>4052</v>
      </c>
      <c r="P11" s="128" t="n">
        <f aca="false">FLOOR(P9*1000/P10,1)</f>
        <v>4052</v>
      </c>
      <c r="Q11" s="128" t="n">
        <f aca="false">FLOOR(Q9*1000/Q10,1)</f>
        <v>4052</v>
      </c>
      <c r="R11" s="128" t="n">
        <f aca="false">FLOOR(R9*1000/R10,1)</f>
        <v>4052</v>
      </c>
      <c r="S11" s="128" t="n">
        <f aca="false">FLOOR(S9*1000/S10,1)</f>
        <v>4052</v>
      </c>
      <c r="T11" s="128" t="n">
        <f aca="false">FLOOR(T9*1000/T10,1)</f>
        <v>4052</v>
      </c>
      <c r="U11" s="128" t="n">
        <f aca="false">FLOOR(U9*1000/U10,1)</f>
        <v>4052</v>
      </c>
      <c r="V11" s="128" t="n">
        <f aca="false">FLOOR(V9*1000/V10,1)</f>
        <v>4052</v>
      </c>
      <c r="W11" s="128" t="n">
        <f aca="false">FLOOR(W9*1000/W10,1)</f>
        <v>4052</v>
      </c>
      <c r="X11" s="128" t="n">
        <f aca="false">FLOOR(X9*1000/X10,1)</f>
        <v>4185</v>
      </c>
      <c r="Y11" s="128" t="n">
        <f aca="false">FLOOR(Y9*1000/Y10,1)</f>
        <v>3876</v>
      </c>
    </row>
    <row r="12" customFormat="false" ht="15" hidden="false" customHeight="true" outlineLevel="0" collapsed="false">
      <c r="A12" s="16" t="s">
        <v>199</v>
      </c>
      <c r="B12" s="23" t="s">
        <v>867</v>
      </c>
      <c r="C12" s="29" t="n">
        <f aca="false">Spec_Rack!F6</f>
        <v>72</v>
      </c>
      <c r="D12" s="29" t="n">
        <f aca="false">Spec_Rack!F6</f>
        <v>72</v>
      </c>
      <c r="E12" s="29" t="n">
        <f aca="false">Spec_Rack!F6</f>
        <v>72</v>
      </c>
      <c r="F12" s="29" t="n">
        <f aca="false">Spec_Rack!F6</f>
        <v>72</v>
      </c>
      <c r="G12" s="29" t="n">
        <f aca="false">Spec_Rack!F6</f>
        <v>72</v>
      </c>
      <c r="H12" s="29" t="n">
        <f aca="false">Spec_Rack!F6</f>
        <v>72</v>
      </c>
      <c r="I12" s="29" t="n">
        <f aca="false">Spec_Rack!F6</f>
        <v>72</v>
      </c>
      <c r="J12" s="29" t="n">
        <f aca="false">Spec_Rack!F6</f>
        <v>72</v>
      </c>
      <c r="K12" s="29" t="n">
        <f aca="false">Spec_Rack!F6</f>
        <v>72</v>
      </c>
      <c r="L12" s="29" t="n">
        <f aca="false">Spec_Rack!F6</f>
        <v>72</v>
      </c>
      <c r="M12" s="29" t="n">
        <f aca="false">Spec_Rack!F6</f>
        <v>72</v>
      </c>
      <c r="N12" s="29" t="n">
        <f aca="false">Spec_Rack!F6</f>
        <v>72</v>
      </c>
      <c r="O12" s="29" t="n">
        <f aca="false">Spec_Rack!F6</f>
        <v>72</v>
      </c>
      <c r="P12" s="29" t="n">
        <f aca="false">Spec_Rack!F6</f>
        <v>72</v>
      </c>
      <c r="Q12" s="29" t="n">
        <f aca="false">Spec_Rack!F6</f>
        <v>72</v>
      </c>
      <c r="R12" s="29" t="n">
        <f aca="false">Spec_Rack!F6</f>
        <v>72</v>
      </c>
      <c r="S12" s="29" t="n">
        <f aca="false">Spec_Rack!F6</f>
        <v>72</v>
      </c>
      <c r="T12" s="29" t="n">
        <f aca="false">Spec_Rack!F6</f>
        <v>72</v>
      </c>
      <c r="U12" s="29" t="n">
        <f aca="false">Spec_Rack!F6</f>
        <v>72</v>
      </c>
      <c r="V12" s="29" t="n">
        <f aca="false">Spec_Rack!F6</f>
        <v>72</v>
      </c>
      <c r="W12" s="29" t="n">
        <f aca="false">Spec_Rack!F6</f>
        <v>72</v>
      </c>
      <c r="X12" s="29" t="n">
        <f aca="false">Spec_Rack!F6</f>
        <v>72</v>
      </c>
      <c r="Y12" s="29" t="n">
        <f aca="false">Spec_Rack!F6</f>
        <v>72</v>
      </c>
    </row>
    <row r="13" customFormat="false" ht="15" hidden="false" customHeight="true" outlineLevel="0" collapsed="false">
      <c r="A13" s="22" t="s">
        <v>2774</v>
      </c>
      <c r="B13" s="23" t="s">
        <v>867</v>
      </c>
      <c r="C13" s="18" t="n">
        <f aca="false">C11*C12</f>
        <v>291744</v>
      </c>
      <c r="D13" s="18" t="n">
        <f aca="false">D11*D12</f>
        <v>291744</v>
      </c>
      <c r="E13" s="18" t="n">
        <f aca="false">E11*E12</f>
        <v>291744</v>
      </c>
      <c r="F13" s="18" t="n">
        <f aca="false">F11*F12</f>
        <v>352296</v>
      </c>
      <c r="G13" s="18" t="n">
        <f aca="false">G11*G12</f>
        <v>288000</v>
      </c>
      <c r="H13" s="18" t="n">
        <f aca="false">H11*H12</f>
        <v>291744</v>
      </c>
      <c r="I13" s="18" t="n">
        <f aca="false">I11*I12</f>
        <v>291744</v>
      </c>
      <c r="J13" s="18" t="n">
        <f aca="false">J11*J12</f>
        <v>291744</v>
      </c>
      <c r="K13" s="18" t="n">
        <f aca="false">K11*K12</f>
        <v>291744</v>
      </c>
      <c r="L13" s="18" t="n">
        <f aca="false">L11*L12</f>
        <v>291744</v>
      </c>
      <c r="M13" s="18" t="n">
        <f aca="false">M11*M12</f>
        <v>291744</v>
      </c>
      <c r="N13" s="18" t="n">
        <f aca="false">N11*N12</f>
        <v>291744</v>
      </c>
      <c r="O13" s="18" t="n">
        <f aca="false">O11*O12</f>
        <v>291744</v>
      </c>
      <c r="P13" s="18" t="n">
        <f aca="false">P11*P12</f>
        <v>291744</v>
      </c>
      <c r="Q13" s="18" t="n">
        <f aca="false">Q11*Q12</f>
        <v>291744</v>
      </c>
      <c r="R13" s="18" t="n">
        <f aca="false">R11*R12</f>
        <v>291744</v>
      </c>
      <c r="S13" s="18" t="n">
        <f aca="false">S11*S12</f>
        <v>291744</v>
      </c>
      <c r="T13" s="18" t="n">
        <f aca="false">T11*T12</f>
        <v>291744</v>
      </c>
      <c r="U13" s="18" t="n">
        <f aca="false">U11*U12</f>
        <v>291744</v>
      </c>
      <c r="V13" s="18" t="n">
        <f aca="false">V11*V12</f>
        <v>291744</v>
      </c>
      <c r="W13" s="18" t="n">
        <f aca="false">W11*W12</f>
        <v>291744</v>
      </c>
      <c r="X13" s="18" t="n">
        <f aca="false">X11*X12</f>
        <v>301320</v>
      </c>
      <c r="Y13" s="18" t="n">
        <f aca="false">Y11*Y12</f>
        <v>279072</v>
      </c>
    </row>
    <row r="14" customFormat="false" ht="15" hidden="false" customHeight="true" outlineLevel="0" collapsed="false">
      <c r="A14" s="16" t="s">
        <v>117</v>
      </c>
      <c r="B14" s="17" t="s">
        <v>118</v>
      </c>
      <c r="C14" s="130" t="n">
        <f aca="false">Inputs!$E$9</f>
        <v>1.2</v>
      </c>
      <c r="D14" s="130" t="n">
        <f aca="false">Inputs!$E$9</f>
        <v>1.2</v>
      </c>
      <c r="E14" s="130" t="n">
        <f aca="false">Inputs!$E$9</f>
        <v>1.2</v>
      </c>
      <c r="F14" s="130" t="n">
        <f aca="false">Inputs!$E$9</f>
        <v>1.2</v>
      </c>
      <c r="G14" s="130" t="n">
        <f aca="false">Inputs!$E$9</f>
        <v>1.2</v>
      </c>
      <c r="H14" s="130" t="n">
        <f aca="false">Inputs!$E$9</f>
        <v>1.2</v>
      </c>
      <c r="I14" s="130" t="n">
        <f aca="false">Inputs!$E$9</f>
        <v>1.2</v>
      </c>
      <c r="J14" s="130" t="n">
        <f aca="false">Inputs!$E$9</f>
        <v>1.2</v>
      </c>
      <c r="K14" s="130" t="n">
        <f aca="false">Inputs!$E$9</f>
        <v>1.2</v>
      </c>
      <c r="L14" s="130" t="n">
        <f aca="false">Inputs!$E$9</f>
        <v>1.2</v>
      </c>
      <c r="M14" s="130" t="n">
        <f aca="false">Inputs!$E$9</f>
        <v>1.2</v>
      </c>
      <c r="N14" s="130" t="n">
        <f aca="false">Inputs!$E$9</f>
        <v>1.2</v>
      </c>
      <c r="O14" s="130" t="n">
        <f aca="false">Inputs!$E$9</f>
        <v>1.2</v>
      </c>
      <c r="P14" s="130" t="n">
        <f aca="false">Inputs!$E$9</f>
        <v>1.2</v>
      </c>
      <c r="Q14" s="130" t="n">
        <f aca="false">Inputs!$E$9</f>
        <v>1.2</v>
      </c>
      <c r="R14" s="130" t="n">
        <f aca="false">Inputs!$E$9</f>
        <v>1.2</v>
      </c>
      <c r="S14" s="130" t="n">
        <f aca="false">Inputs!$E$9</f>
        <v>1.2</v>
      </c>
      <c r="T14" s="185" t="n">
        <f aca="false">Inputs!$D$9</f>
        <v>1.1</v>
      </c>
      <c r="U14" s="185" t="n">
        <f aca="false">Inputs!$F$9</f>
        <v>1.3</v>
      </c>
      <c r="V14" s="130" t="n">
        <f aca="false">Inputs!$E$9</f>
        <v>1.2</v>
      </c>
      <c r="W14" s="130" t="n">
        <f aca="false">Inputs!$E$9</f>
        <v>1.2</v>
      </c>
      <c r="X14" s="130" t="n">
        <f aca="false">Inputs!$E$9</f>
        <v>1.2</v>
      </c>
      <c r="Y14" s="130" t="n">
        <f aca="false">Inputs!$E$9</f>
        <v>1.2</v>
      </c>
    </row>
    <row r="15" customFormat="false" ht="15" hidden="false" customHeight="true" outlineLevel="0" collapsed="false">
      <c r="A15" s="22" t="s">
        <v>1018</v>
      </c>
      <c r="B15" s="17" t="s">
        <v>1014</v>
      </c>
      <c r="C15" s="18" t="n">
        <f aca="false">C7*C14</f>
        <v>1200</v>
      </c>
      <c r="D15" s="18" t="n">
        <f aca="false">D7*D14</f>
        <v>1200</v>
      </c>
      <c r="E15" s="18" t="n">
        <f aca="false">E7*E14</f>
        <v>1200</v>
      </c>
      <c r="F15" s="18" t="n">
        <f aca="false">F7*F14</f>
        <v>1200</v>
      </c>
      <c r="G15" s="18" t="n">
        <f aca="false">G7*G14</f>
        <v>1200</v>
      </c>
      <c r="H15" s="18" t="n">
        <f aca="false">H7*H14</f>
        <v>1200</v>
      </c>
      <c r="I15" s="18" t="n">
        <f aca="false">I7*I14</f>
        <v>1200</v>
      </c>
      <c r="J15" s="18" t="n">
        <f aca="false">J7*J14</f>
        <v>1200</v>
      </c>
      <c r="K15" s="18" t="n">
        <f aca="false">K7*K14</f>
        <v>1200</v>
      </c>
      <c r="L15" s="18" t="n">
        <f aca="false">L7*L14</f>
        <v>1200</v>
      </c>
      <c r="M15" s="18" t="n">
        <f aca="false">M7*M14</f>
        <v>1200</v>
      </c>
      <c r="N15" s="18" t="n">
        <f aca="false">N7*N14</f>
        <v>1200</v>
      </c>
      <c r="O15" s="18" t="n">
        <f aca="false">O7*O14</f>
        <v>1200</v>
      </c>
      <c r="P15" s="18" t="n">
        <f aca="false">P7*P14</f>
        <v>1200</v>
      </c>
      <c r="Q15" s="18" t="n">
        <f aca="false">Q7*Q14</f>
        <v>1200</v>
      </c>
      <c r="R15" s="18" t="n">
        <f aca="false">R7*R14</f>
        <v>1200</v>
      </c>
      <c r="S15" s="18" t="n">
        <f aca="false">S7*S14</f>
        <v>1200</v>
      </c>
      <c r="T15" s="18" t="n">
        <f aca="false">T7*T14</f>
        <v>1100</v>
      </c>
      <c r="U15" s="18" t="n">
        <f aca="false">U7*U14</f>
        <v>1300</v>
      </c>
      <c r="V15" s="18" t="n">
        <f aca="false">V7*V14</f>
        <v>1200</v>
      </c>
      <c r="W15" s="18" t="n">
        <f aca="false">W7*W14</f>
        <v>1200</v>
      </c>
      <c r="X15" s="18" t="n">
        <f aca="false">X7*X14</f>
        <v>1200</v>
      </c>
      <c r="Y15" s="18" t="n">
        <f aca="false">Y7*Y14</f>
        <v>1200</v>
      </c>
    </row>
    <row r="16" customFormat="false" ht="15" hidden="false" customHeight="true" outlineLevel="0" collapsed="false">
      <c r="A16" s="27" t="s">
        <v>4089</v>
      </c>
      <c r="B16" s="15"/>
      <c r="C16" s="15"/>
    </row>
    <row r="17" customFormat="false" ht="15" hidden="false" customHeight="true" outlineLevel="0" collapsed="false">
      <c r="A17" s="22" t="s">
        <v>1020</v>
      </c>
      <c r="B17" s="17" t="s">
        <v>1021</v>
      </c>
      <c r="C17" s="38" t="n">
        <f aca="false">Spec_Rack!F12</f>
        <v>8.4</v>
      </c>
      <c r="D17" s="186" t="n">
        <f aca="false">Spec_Rack!F11</f>
        <v>7.8</v>
      </c>
      <c r="E17" s="186" t="n">
        <f aca="false">Spec_Rack!F13</f>
        <v>9.1</v>
      </c>
      <c r="F17" s="38" t="n">
        <f aca="false">Spec_Rack!F12</f>
        <v>8.4</v>
      </c>
      <c r="G17" s="38" t="n">
        <f aca="false">Spec_Rack!F12</f>
        <v>8.4</v>
      </c>
      <c r="H17" s="38" t="n">
        <f aca="false">Spec_Rack!F12</f>
        <v>8.4</v>
      </c>
      <c r="I17" s="38" t="n">
        <f aca="false">Spec_Rack!F12</f>
        <v>8.4</v>
      </c>
      <c r="J17" s="38" t="n">
        <f aca="false">Spec_Rack!F12</f>
        <v>8.4</v>
      </c>
      <c r="K17" s="38" t="n">
        <f aca="false">Spec_Rack!F12</f>
        <v>8.4</v>
      </c>
      <c r="L17" s="38" t="n">
        <f aca="false">Spec_Rack!F12</f>
        <v>8.4</v>
      </c>
      <c r="M17" s="38" t="n">
        <f aca="false">Spec_Rack!F12</f>
        <v>8.4</v>
      </c>
      <c r="N17" s="38" t="n">
        <f aca="false">Spec_Rack!F12</f>
        <v>8.4</v>
      </c>
      <c r="O17" s="38" t="n">
        <f aca="false">Spec_Rack!F12</f>
        <v>8.4</v>
      </c>
      <c r="P17" s="38" t="n">
        <f aca="false">Spec_Rack!F12</f>
        <v>8.4</v>
      </c>
      <c r="Q17" s="38" t="n">
        <f aca="false">Spec_Rack!F12</f>
        <v>8.4</v>
      </c>
      <c r="R17" s="38" t="n">
        <f aca="false">Spec_Rack!F12</f>
        <v>8.4</v>
      </c>
      <c r="S17" s="38" t="n">
        <f aca="false">Spec_Rack!F12</f>
        <v>8.4</v>
      </c>
      <c r="T17" s="38" t="n">
        <f aca="false">Spec_Rack!F12</f>
        <v>8.4</v>
      </c>
      <c r="U17" s="38" t="n">
        <f aca="false">Spec_Rack!F12</f>
        <v>8.4</v>
      </c>
      <c r="V17" s="38" t="n">
        <f aca="false">Spec_Rack!F12</f>
        <v>8.4</v>
      </c>
      <c r="W17" s="38" t="n">
        <f aca="false">Spec_Rack!F12</f>
        <v>8.4</v>
      </c>
      <c r="X17" s="38" t="n">
        <f aca="false">Spec_Rack!F12</f>
        <v>8.4</v>
      </c>
      <c r="Y17" s="38" t="n">
        <f aca="false">Spec_Rack!F12</f>
        <v>8.4</v>
      </c>
    </row>
    <row r="18" customFormat="false" ht="15" hidden="false" customHeight="true" outlineLevel="0" collapsed="false">
      <c r="A18" s="22" t="s">
        <v>1022</v>
      </c>
      <c r="B18" s="17" t="s">
        <v>1023</v>
      </c>
      <c r="C18" s="131" t="n">
        <f aca="false">C11*C17/1000</f>
        <v>34.0368</v>
      </c>
      <c r="D18" s="131" t="n">
        <f aca="false">D11*D17/1000</f>
        <v>31.6056</v>
      </c>
      <c r="E18" s="131" t="n">
        <f aca="false">E11*E17/1000</f>
        <v>36.8732</v>
      </c>
      <c r="F18" s="131" t="n">
        <f aca="false">F11*F17/1000</f>
        <v>41.1012</v>
      </c>
      <c r="G18" s="131" t="n">
        <f aca="false">G11*G17/1000</f>
        <v>33.6</v>
      </c>
      <c r="H18" s="131" t="n">
        <f aca="false">H11*H17/1000</f>
        <v>34.0368</v>
      </c>
      <c r="I18" s="131" t="n">
        <f aca="false">I11*I17/1000</f>
        <v>34.0368</v>
      </c>
      <c r="J18" s="131" t="n">
        <f aca="false">J11*J17/1000</f>
        <v>34.0368</v>
      </c>
      <c r="K18" s="131" t="n">
        <f aca="false">K11*K17/1000</f>
        <v>34.0368</v>
      </c>
      <c r="L18" s="131" t="n">
        <f aca="false">L11*L17/1000</f>
        <v>34.0368</v>
      </c>
      <c r="M18" s="131" t="n">
        <f aca="false">M11*M17/1000</f>
        <v>34.0368</v>
      </c>
      <c r="N18" s="131" t="n">
        <f aca="false">N11*N17/1000</f>
        <v>34.0368</v>
      </c>
      <c r="O18" s="131" t="n">
        <f aca="false">O11*O17/1000</f>
        <v>34.0368</v>
      </c>
      <c r="P18" s="131" t="n">
        <f aca="false">P11*P17/1000</f>
        <v>34.0368</v>
      </c>
      <c r="Q18" s="131" t="n">
        <f aca="false">Q11*Q17/1000</f>
        <v>34.0368</v>
      </c>
      <c r="R18" s="131" t="n">
        <f aca="false">R11*R17/1000</f>
        <v>34.0368</v>
      </c>
      <c r="S18" s="131" t="n">
        <f aca="false">S11*S17/1000</f>
        <v>34.0368</v>
      </c>
      <c r="T18" s="131" t="n">
        <f aca="false">T11*T17/1000</f>
        <v>34.0368</v>
      </c>
      <c r="U18" s="131" t="n">
        <f aca="false">U11*U17/1000</f>
        <v>34.0368</v>
      </c>
      <c r="V18" s="131" t="n">
        <f aca="false">V11*V17/1000</f>
        <v>34.0368</v>
      </c>
      <c r="W18" s="131" t="n">
        <f aca="false">W11*W17/1000</f>
        <v>34.0368</v>
      </c>
      <c r="X18" s="131" t="n">
        <f aca="false">X11*X17/1000</f>
        <v>35.154</v>
      </c>
      <c r="Y18" s="131" t="n">
        <f aca="false">Y11*Y17/1000</f>
        <v>32.5584</v>
      </c>
    </row>
    <row r="19" customFormat="false" ht="15" hidden="false" customHeight="true" outlineLevel="0" collapsed="false">
      <c r="A19" s="16" t="s">
        <v>128</v>
      </c>
      <c r="B19" s="17" t="s">
        <v>113</v>
      </c>
      <c r="C19" s="28" t="n">
        <f aca="false">Inputs!$E$13</f>
        <v>0.1</v>
      </c>
      <c r="D19" s="28" t="n">
        <f aca="false">Inputs!$E$13</f>
        <v>0.1</v>
      </c>
      <c r="E19" s="28" t="n">
        <f aca="false">Inputs!$E$13</f>
        <v>0.1</v>
      </c>
      <c r="F19" s="28" t="n">
        <f aca="false">Inputs!$E$13</f>
        <v>0.1</v>
      </c>
      <c r="G19" s="28" t="n">
        <f aca="false">Inputs!$E$13</f>
        <v>0.1</v>
      </c>
      <c r="H19" s="221" t="n">
        <f aca="false">Inputs!$D$13</f>
        <v>0.05</v>
      </c>
      <c r="I19" s="221" t="n">
        <f aca="false">Inputs!$F$13</f>
        <v>0.15</v>
      </c>
      <c r="J19" s="28" t="n">
        <f aca="false">Inputs!$E$13</f>
        <v>0.1</v>
      </c>
      <c r="K19" s="28" t="n">
        <f aca="false">Inputs!$E$13</f>
        <v>0.1</v>
      </c>
      <c r="L19" s="28" t="n">
        <f aca="false">Inputs!$E$13</f>
        <v>0.1</v>
      </c>
      <c r="M19" s="28" t="n">
        <f aca="false">Inputs!$E$13</f>
        <v>0.1</v>
      </c>
      <c r="N19" s="28" t="n">
        <f aca="false">Inputs!$E$13</f>
        <v>0.1</v>
      </c>
      <c r="O19" s="28" t="n">
        <f aca="false">Inputs!$E$13</f>
        <v>0.1</v>
      </c>
      <c r="P19" s="28" t="n">
        <f aca="false">Inputs!$E$13</f>
        <v>0.1</v>
      </c>
      <c r="Q19" s="28" t="n">
        <f aca="false">Inputs!$E$13</f>
        <v>0.1</v>
      </c>
      <c r="R19" s="28" t="n">
        <f aca="false">Inputs!$E$13</f>
        <v>0.1</v>
      </c>
      <c r="S19" s="28" t="n">
        <f aca="false">Inputs!$E$13</f>
        <v>0.1</v>
      </c>
      <c r="T19" s="28" t="n">
        <f aca="false">Inputs!$E$13</f>
        <v>0.1</v>
      </c>
      <c r="U19" s="28" t="n">
        <f aca="false">Inputs!$E$13</f>
        <v>0.1</v>
      </c>
      <c r="V19" s="28" t="n">
        <f aca="false">Inputs!$E$13</f>
        <v>0.1</v>
      </c>
      <c r="W19" s="28" t="n">
        <f aca="false">Inputs!$E$13</f>
        <v>0.1</v>
      </c>
      <c r="X19" s="28" t="n">
        <f aca="false">Inputs!$E$13</f>
        <v>0.1</v>
      </c>
      <c r="Y19" s="28" t="n">
        <f aca="false">Inputs!$E$13</f>
        <v>0.1</v>
      </c>
    </row>
    <row r="20" customFormat="false" ht="15" hidden="false" customHeight="true" outlineLevel="0" collapsed="false">
      <c r="A20" s="16" t="s">
        <v>1024</v>
      </c>
      <c r="B20" s="17" t="s">
        <v>1023</v>
      </c>
      <c r="C20" s="131" t="n">
        <f aca="false">C18*C19</f>
        <v>3.40368</v>
      </c>
      <c r="D20" s="131" t="n">
        <f aca="false">D18*D19</f>
        <v>3.16056</v>
      </c>
      <c r="E20" s="131" t="n">
        <f aca="false">E18*E19</f>
        <v>3.68732</v>
      </c>
      <c r="F20" s="131" t="n">
        <f aca="false">F18*F19</f>
        <v>4.11012</v>
      </c>
      <c r="G20" s="131" t="n">
        <f aca="false">G18*G19</f>
        <v>3.36</v>
      </c>
      <c r="H20" s="131" t="n">
        <f aca="false">H18*H19</f>
        <v>1.70184</v>
      </c>
      <c r="I20" s="131" t="n">
        <f aca="false">I18*I19</f>
        <v>5.10552</v>
      </c>
      <c r="J20" s="131" t="n">
        <f aca="false">J18*J19</f>
        <v>3.40368</v>
      </c>
      <c r="K20" s="131" t="n">
        <f aca="false">K18*K19</f>
        <v>3.40368</v>
      </c>
      <c r="L20" s="131" t="n">
        <f aca="false">L18*L19</f>
        <v>3.40368</v>
      </c>
      <c r="M20" s="131" t="n">
        <f aca="false">M18*M19</f>
        <v>3.40368</v>
      </c>
      <c r="N20" s="131" t="n">
        <f aca="false">N18*N19</f>
        <v>3.40368</v>
      </c>
      <c r="O20" s="131" t="n">
        <f aca="false">O18*O19</f>
        <v>3.40368</v>
      </c>
      <c r="P20" s="131" t="n">
        <f aca="false">P18*P19</f>
        <v>3.40368</v>
      </c>
      <c r="Q20" s="131" t="n">
        <f aca="false">Q18*Q19</f>
        <v>3.40368</v>
      </c>
      <c r="R20" s="131" t="n">
        <f aca="false">R18*R19</f>
        <v>3.40368</v>
      </c>
      <c r="S20" s="131" t="n">
        <f aca="false">S18*S19</f>
        <v>3.40368</v>
      </c>
      <c r="T20" s="131" t="n">
        <f aca="false">T18*T19</f>
        <v>3.40368</v>
      </c>
      <c r="U20" s="131" t="n">
        <f aca="false">U18*U19</f>
        <v>3.40368</v>
      </c>
      <c r="V20" s="131" t="n">
        <f aca="false">V18*V19</f>
        <v>3.40368</v>
      </c>
      <c r="W20" s="131" t="n">
        <f aca="false">W18*W19</f>
        <v>3.40368</v>
      </c>
      <c r="X20" s="131" t="n">
        <f aca="false">X18*X19</f>
        <v>3.5154</v>
      </c>
      <c r="Y20" s="131" t="n">
        <f aca="false">Y18*Y19</f>
        <v>3.25584</v>
      </c>
    </row>
    <row r="21" customFormat="false" ht="15" hidden="false" customHeight="true" outlineLevel="0" collapsed="false">
      <c r="A21" s="22" t="s">
        <v>1025</v>
      </c>
      <c r="B21" s="17" t="s">
        <v>131</v>
      </c>
      <c r="C21" s="29" t="n">
        <f aca="false">Inputs!$E$14</f>
        <v>500</v>
      </c>
      <c r="D21" s="29" t="n">
        <f aca="false">Inputs!$E$14</f>
        <v>500</v>
      </c>
      <c r="E21" s="29" t="n">
        <f aca="false">Inputs!$E$14</f>
        <v>500</v>
      </c>
      <c r="F21" s="29" t="n">
        <f aca="false">Inputs!$E$14</f>
        <v>500</v>
      </c>
      <c r="G21" s="29" t="n">
        <f aca="false">Inputs!$E$14</f>
        <v>500</v>
      </c>
      <c r="H21" s="29" t="n">
        <f aca="false">Inputs!$E$14</f>
        <v>500</v>
      </c>
      <c r="I21" s="29" t="n">
        <f aca="false">Inputs!$E$14</f>
        <v>500</v>
      </c>
      <c r="J21" s="29" t="n">
        <f aca="false">Inputs!$E$14</f>
        <v>500</v>
      </c>
      <c r="K21" s="29" t="n">
        <f aca="false">Inputs!$E$14</f>
        <v>500</v>
      </c>
      <c r="L21" s="29" t="n">
        <f aca="false">Inputs!$E$14</f>
        <v>500</v>
      </c>
      <c r="M21" s="29" t="n">
        <f aca="false">Inputs!$E$14</f>
        <v>500</v>
      </c>
      <c r="N21" s="29" t="n">
        <f aca="false">Inputs!$E$14</f>
        <v>500</v>
      </c>
      <c r="O21" s="29" t="n">
        <f aca="false">Inputs!$E$14</f>
        <v>500</v>
      </c>
      <c r="P21" s="29" t="n">
        <f aca="false">Inputs!$E$14</f>
        <v>500</v>
      </c>
      <c r="Q21" s="29" t="n">
        <f aca="false">Inputs!$E$14</f>
        <v>500</v>
      </c>
      <c r="R21" s="29" t="n">
        <f aca="false">Inputs!$E$14</f>
        <v>500</v>
      </c>
      <c r="S21" s="29" t="n">
        <f aca="false">Inputs!$E$14</f>
        <v>500</v>
      </c>
      <c r="T21" s="29" t="n">
        <f aca="false">Inputs!$E$14</f>
        <v>500</v>
      </c>
      <c r="U21" s="29" t="n">
        <f aca="false">Inputs!$E$14</f>
        <v>500</v>
      </c>
      <c r="V21" s="29" t="n">
        <f aca="false">Inputs!$E$14</f>
        <v>500</v>
      </c>
      <c r="W21" s="29" t="n">
        <f aca="false">Inputs!$E$14</f>
        <v>500</v>
      </c>
      <c r="X21" s="29" t="n">
        <f aca="false">Inputs!$E$14</f>
        <v>500</v>
      </c>
      <c r="Y21" s="29" t="n">
        <f aca="false">Inputs!$E$14</f>
        <v>500</v>
      </c>
    </row>
    <row r="22" customFormat="false" ht="15" hidden="false" customHeight="true" outlineLevel="0" collapsed="false">
      <c r="A22" s="22" t="s">
        <v>1025</v>
      </c>
      <c r="B22" s="17" t="s">
        <v>1023</v>
      </c>
      <c r="C22" s="131" t="n">
        <f aca="false">C13*C21/1000000000</f>
        <v>0.145872</v>
      </c>
      <c r="D22" s="131" t="n">
        <f aca="false">D13*D21/1000000000</f>
        <v>0.145872</v>
      </c>
      <c r="E22" s="131" t="n">
        <f aca="false">E13*E21/1000000000</f>
        <v>0.145872</v>
      </c>
      <c r="F22" s="131" t="n">
        <f aca="false">F13*F21/1000000000</f>
        <v>0.176148</v>
      </c>
      <c r="G22" s="131" t="n">
        <f aca="false">G13*G21/1000000000</f>
        <v>0.144</v>
      </c>
      <c r="H22" s="131" t="n">
        <f aca="false">H13*H21/1000000000</f>
        <v>0.145872</v>
      </c>
      <c r="I22" s="131" t="n">
        <f aca="false">I13*I21/1000000000</f>
        <v>0.145872</v>
      </c>
      <c r="J22" s="131" t="n">
        <f aca="false">J13*J21/1000000000</f>
        <v>0.145872</v>
      </c>
      <c r="K22" s="131" t="n">
        <f aca="false">K13*K21/1000000000</f>
        <v>0.145872</v>
      </c>
      <c r="L22" s="131" t="n">
        <f aca="false">L13*L21/1000000000</f>
        <v>0.145872</v>
      </c>
      <c r="M22" s="131" t="n">
        <f aca="false">M13*M21/1000000000</f>
        <v>0.145872</v>
      </c>
      <c r="N22" s="131" t="n">
        <f aca="false">N13*N21/1000000000</f>
        <v>0.145872</v>
      </c>
      <c r="O22" s="131" t="n">
        <f aca="false">O13*O21/1000000000</f>
        <v>0.145872</v>
      </c>
      <c r="P22" s="131" t="n">
        <f aca="false">P13*P21/1000000000</f>
        <v>0.145872</v>
      </c>
      <c r="Q22" s="131" t="n">
        <f aca="false">Q13*Q21/1000000000</f>
        <v>0.145872</v>
      </c>
      <c r="R22" s="131" t="n">
        <f aca="false">R13*R21/1000000000</f>
        <v>0.145872</v>
      </c>
      <c r="S22" s="131" t="n">
        <f aca="false">S13*S21/1000000000</f>
        <v>0.145872</v>
      </c>
      <c r="T22" s="131" t="n">
        <f aca="false">T13*T21/1000000000</f>
        <v>0.145872</v>
      </c>
      <c r="U22" s="131" t="n">
        <f aca="false">U13*U21/1000000000</f>
        <v>0.145872</v>
      </c>
      <c r="V22" s="131" t="n">
        <f aca="false">V13*V21/1000000000</f>
        <v>0.145872</v>
      </c>
      <c r="W22" s="131" t="n">
        <f aca="false">W13*W21/1000000000</f>
        <v>0.145872</v>
      </c>
      <c r="X22" s="131" t="n">
        <f aca="false">X13*X21/1000000000</f>
        <v>0.15066</v>
      </c>
      <c r="Y22" s="131" t="n">
        <f aca="false">Y13*Y21/1000000000</f>
        <v>0.139536</v>
      </c>
    </row>
    <row r="23" customFormat="false" ht="15" hidden="false" customHeight="true" outlineLevel="0" collapsed="false">
      <c r="A23" s="16" t="s">
        <v>1026</v>
      </c>
      <c r="B23" s="17" t="s">
        <v>1023</v>
      </c>
      <c r="C23" s="131" t="n">
        <f aca="false">C18+C20+C22</f>
        <v>37.586352</v>
      </c>
      <c r="D23" s="131" t="n">
        <f aca="false">D18+D20+D22</f>
        <v>34.912032</v>
      </c>
      <c r="E23" s="131" t="n">
        <f aca="false">E18+E20+E22</f>
        <v>40.706392</v>
      </c>
      <c r="F23" s="131" t="n">
        <f aca="false">F18+F20+F22</f>
        <v>45.387468</v>
      </c>
      <c r="G23" s="131" t="n">
        <f aca="false">G18+G20+G22</f>
        <v>37.104</v>
      </c>
      <c r="H23" s="131" t="n">
        <f aca="false">H18+H20+H22</f>
        <v>35.884512</v>
      </c>
      <c r="I23" s="131" t="n">
        <f aca="false">I18+I20+I22</f>
        <v>39.288192</v>
      </c>
      <c r="J23" s="131" t="n">
        <f aca="false">J18+J20+J22</f>
        <v>37.586352</v>
      </c>
      <c r="K23" s="131" t="n">
        <f aca="false">K18+K20+K22</f>
        <v>37.586352</v>
      </c>
      <c r="L23" s="131" t="n">
        <f aca="false">L18+L20+L22</f>
        <v>37.586352</v>
      </c>
      <c r="M23" s="131" t="n">
        <f aca="false">M18+M20+M22</f>
        <v>37.586352</v>
      </c>
      <c r="N23" s="131" t="n">
        <f aca="false">N18+N20+N22</f>
        <v>37.586352</v>
      </c>
      <c r="O23" s="131" t="n">
        <f aca="false">O18+O20+O22</f>
        <v>37.586352</v>
      </c>
      <c r="P23" s="131" t="n">
        <f aca="false">P18+P20+P22</f>
        <v>37.586352</v>
      </c>
      <c r="Q23" s="131" t="n">
        <f aca="false">Q18+Q20+Q22</f>
        <v>37.586352</v>
      </c>
      <c r="R23" s="131" t="n">
        <f aca="false">R18+R20+R22</f>
        <v>37.586352</v>
      </c>
      <c r="S23" s="131" t="n">
        <f aca="false">S18+S20+S22</f>
        <v>37.586352</v>
      </c>
      <c r="T23" s="131" t="n">
        <f aca="false">T18+T20+T22</f>
        <v>37.586352</v>
      </c>
      <c r="U23" s="131" t="n">
        <f aca="false">U18+U20+U22</f>
        <v>37.586352</v>
      </c>
      <c r="V23" s="131" t="n">
        <f aca="false">V18+V20+V22</f>
        <v>37.586352</v>
      </c>
      <c r="W23" s="131" t="n">
        <f aca="false">W18+W20+W22</f>
        <v>37.586352</v>
      </c>
      <c r="X23" s="131" t="n">
        <f aca="false">X18+X20+X22</f>
        <v>38.82006</v>
      </c>
      <c r="Y23" s="131" t="n">
        <f aca="false">Y18+Y20+Y22</f>
        <v>35.953776</v>
      </c>
    </row>
    <row r="24" customFormat="false" ht="15" hidden="false" customHeight="true" outlineLevel="0" collapsed="false">
      <c r="A24" s="22" t="s">
        <v>134</v>
      </c>
      <c r="B24" s="17" t="s">
        <v>1023</v>
      </c>
      <c r="C24" s="131" t="n">
        <f aca="false">C7*Inputs!$E$16/1000</f>
        <v>0.02</v>
      </c>
      <c r="D24" s="131" t="n">
        <f aca="false">D7*Inputs!$E$16/1000</f>
        <v>0.02</v>
      </c>
      <c r="E24" s="131" t="n">
        <f aca="false">E7*Inputs!$E$16/1000</f>
        <v>0.02</v>
      </c>
      <c r="F24" s="131" t="n">
        <f aca="false">F7*Inputs!$E$16/1000</f>
        <v>0.02</v>
      </c>
      <c r="G24" s="131" t="n">
        <f aca="false">G7*Inputs!$E$16/1000</f>
        <v>0.02</v>
      </c>
      <c r="H24" s="131" t="n">
        <f aca="false">H7*Inputs!$E$16/1000</f>
        <v>0.02</v>
      </c>
      <c r="I24" s="131" t="n">
        <f aca="false">I7*Inputs!$E$16/1000</f>
        <v>0.02</v>
      </c>
      <c r="J24" s="131" t="n">
        <f aca="false">J7*Inputs!$E$16/1000</f>
        <v>0.02</v>
      </c>
      <c r="K24" s="131" t="n">
        <f aca="false">K7*Inputs!$E$16/1000</f>
        <v>0.02</v>
      </c>
      <c r="L24" s="131" t="n">
        <f aca="false">L7*Inputs!$E$16/1000</f>
        <v>0.02</v>
      </c>
      <c r="M24" s="131" t="n">
        <f aca="false">M7*Inputs!$E$16/1000</f>
        <v>0.02</v>
      </c>
      <c r="N24" s="131" t="n">
        <f aca="false">N7*Inputs!$E$16/1000</f>
        <v>0.02</v>
      </c>
      <c r="O24" s="131" t="n">
        <f aca="false">O7*Inputs!$E$16/1000</f>
        <v>0.02</v>
      </c>
      <c r="P24" s="131" t="n">
        <f aca="false">P7*Inputs!$E$16/1000</f>
        <v>0.02</v>
      </c>
      <c r="Q24" s="131" t="n">
        <f aca="false">Q7*Inputs!$E$16/1000</f>
        <v>0.02</v>
      </c>
      <c r="R24" s="131" t="n">
        <f aca="false">R7*Inputs!$E$16/1000</f>
        <v>0.02</v>
      </c>
      <c r="S24" s="131" t="n">
        <f aca="false">S7*Inputs!$E$16/1000</f>
        <v>0.02</v>
      </c>
      <c r="T24" s="131" t="n">
        <f aca="false">T7*Inputs!$E$16/1000</f>
        <v>0.02</v>
      </c>
      <c r="U24" s="131" t="n">
        <f aca="false">U7*Inputs!$E$16/1000</f>
        <v>0.02</v>
      </c>
      <c r="V24" s="131" t="n">
        <f aca="false">V7*Inputs!$E$16/1000</f>
        <v>0.02</v>
      </c>
      <c r="W24" s="131" t="n">
        <f aca="false">W7*Inputs!$E$16/1000</f>
        <v>0.02</v>
      </c>
      <c r="X24" s="131" t="n">
        <f aca="false">X7*Inputs!$E$16/1000</f>
        <v>0.02</v>
      </c>
      <c r="Y24" s="131" t="n">
        <f aca="false">Y7*Inputs!$E$16/1000</f>
        <v>0.02</v>
      </c>
    </row>
    <row r="25" customFormat="false" ht="15" hidden="false" customHeight="true" outlineLevel="0" collapsed="false">
      <c r="A25" s="22" t="s">
        <v>1027</v>
      </c>
      <c r="B25" s="17" t="s">
        <v>1023</v>
      </c>
      <c r="C25" s="131" t="n">
        <f aca="false">C7*Inputs!$E$17/1000</f>
        <v>3.6</v>
      </c>
      <c r="D25" s="131" t="n">
        <f aca="false">D7*Inputs!$E$17/1000</f>
        <v>3.6</v>
      </c>
      <c r="E25" s="131" t="n">
        <f aca="false">E7*Inputs!$E$17/1000</f>
        <v>3.6</v>
      </c>
      <c r="F25" s="131" t="n">
        <f aca="false">F7*Inputs!$E$17/1000</f>
        <v>3.6</v>
      </c>
      <c r="G25" s="131" t="n">
        <f aca="false">G7*Inputs!$E$17/1000</f>
        <v>3.6</v>
      </c>
      <c r="H25" s="131" t="n">
        <f aca="false">H7*Inputs!$E$17/1000</f>
        <v>3.6</v>
      </c>
      <c r="I25" s="131" t="n">
        <f aca="false">I7*Inputs!$E$17/1000</f>
        <v>3.6</v>
      </c>
      <c r="J25" s="132" t="n">
        <f aca="false">J7*Inputs!$D$17/1000</f>
        <v>3</v>
      </c>
      <c r="K25" s="132" t="n">
        <f aca="false">K7*Inputs!$F$17/1000</f>
        <v>4.5</v>
      </c>
      <c r="L25" s="131" t="n">
        <f aca="false">L7*Inputs!$E$17/1000</f>
        <v>3.6</v>
      </c>
      <c r="M25" s="131" t="n">
        <f aca="false">M7*Inputs!$E$17/1000</f>
        <v>3.6</v>
      </c>
      <c r="N25" s="131" t="n">
        <f aca="false">N7*Inputs!$E$17/1000</f>
        <v>3.6</v>
      </c>
      <c r="O25" s="131" t="n">
        <f aca="false">O7*Inputs!$E$17/1000</f>
        <v>3.6</v>
      </c>
      <c r="P25" s="131" t="n">
        <f aca="false">P7*Inputs!$E$17/1000</f>
        <v>3.6</v>
      </c>
      <c r="Q25" s="131" t="n">
        <f aca="false">Q7*Inputs!$E$17/1000</f>
        <v>3.6</v>
      </c>
      <c r="R25" s="131" t="n">
        <f aca="false">R7*Inputs!$E$17/1000</f>
        <v>3.6</v>
      </c>
      <c r="S25" s="131" t="n">
        <f aca="false">S7*Inputs!$E$17/1000</f>
        <v>3.6</v>
      </c>
      <c r="T25" s="131" t="n">
        <f aca="false">T7*Inputs!$E$17/1000</f>
        <v>3.6</v>
      </c>
      <c r="U25" s="131" t="n">
        <f aca="false">U7*Inputs!$E$17/1000</f>
        <v>3.6</v>
      </c>
      <c r="V25" s="131" t="n">
        <f aca="false">V7*Inputs!$E$17/1000</f>
        <v>3.6</v>
      </c>
      <c r="W25" s="131" t="n">
        <f aca="false">W7*Inputs!$E$17/1000</f>
        <v>3.6</v>
      </c>
      <c r="X25" s="131" t="n">
        <f aca="false">X7*Inputs!$E$17/1000</f>
        <v>3.6</v>
      </c>
      <c r="Y25" s="131" t="n">
        <f aca="false">Y7*Inputs!$E$17/1000</f>
        <v>3.6</v>
      </c>
    </row>
    <row r="26" customFormat="false" ht="15" hidden="false" customHeight="true" outlineLevel="0" collapsed="false">
      <c r="A26" s="22" t="s">
        <v>1028</v>
      </c>
      <c r="B26" s="17" t="s">
        <v>1023</v>
      </c>
      <c r="C26" s="131" t="n">
        <f aca="false">C7*Inputs!$E$18/1000</f>
        <v>4.5</v>
      </c>
      <c r="D26" s="131" t="n">
        <f aca="false">D7*Inputs!$E$18/1000</f>
        <v>4.5</v>
      </c>
      <c r="E26" s="131" t="n">
        <f aca="false">E7*Inputs!$E$18/1000</f>
        <v>4.5</v>
      </c>
      <c r="F26" s="131" t="n">
        <f aca="false">F7*Inputs!$E$18/1000</f>
        <v>4.5</v>
      </c>
      <c r="G26" s="131" t="n">
        <f aca="false">G7*Inputs!$E$18/1000</f>
        <v>4.5</v>
      </c>
      <c r="H26" s="131" t="n">
        <f aca="false">H7*Inputs!$E$18/1000</f>
        <v>4.5</v>
      </c>
      <c r="I26" s="131" t="n">
        <f aca="false">I7*Inputs!$E$18/1000</f>
        <v>4.5</v>
      </c>
      <c r="J26" s="131" t="n">
        <f aca="false">J7*Inputs!$E$18/1000</f>
        <v>4.5</v>
      </c>
      <c r="K26" s="131" t="n">
        <f aca="false">K7*Inputs!$E$18/1000</f>
        <v>4.5</v>
      </c>
      <c r="L26" s="132" t="n">
        <f aca="false">L7*Inputs!$D$18/1000</f>
        <v>3.8</v>
      </c>
      <c r="M26" s="132" t="n">
        <f aca="false">M7*Inputs!$F$18/1000</f>
        <v>5.5</v>
      </c>
      <c r="N26" s="131" t="n">
        <f aca="false">N7*Inputs!$E$18/1000</f>
        <v>4.5</v>
      </c>
      <c r="O26" s="131" t="n">
        <f aca="false">O7*Inputs!$E$18/1000</f>
        <v>4.5</v>
      </c>
      <c r="P26" s="131" t="n">
        <f aca="false">P7*Inputs!$E$18/1000</f>
        <v>4.5</v>
      </c>
      <c r="Q26" s="131" t="n">
        <f aca="false">Q7*Inputs!$E$18/1000</f>
        <v>4.5</v>
      </c>
      <c r="R26" s="131" t="n">
        <f aca="false">R7*Inputs!$E$18/1000</f>
        <v>4.5</v>
      </c>
      <c r="S26" s="131" t="n">
        <f aca="false">S7*Inputs!$E$18/1000</f>
        <v>4.5</v>
      </c>
      <c r="T26" s="131" t="n">
        <f aca="false">T7*Inputs!$E$18/1000</f>
        <v>4.5</v>
      </c>
      <c r="U26" s="131" t="n">
        <f aca="false">U7*Inputs!$E$18/1000</f>
        <v>4.5</v>
      </c>
      <c r="V26" s="131" t="n">
        <f aca="false">V7*Inputs!$E$18/1000</f>
        <v>4.5</v>
      </c>
      <c r="W26" s="131" t="n">
        <f aca="false">W7*Inputs!$E$18/1000</f>
        <v>4.5</v>
      </c>
      <c r="X26" s="131" t="n">
        <f aca="false">X7*Inputs!$E$18/1000</f>
        <v>4.5</v>
      </c>
      <c r="Y26" s="131" t="n">
        <f aca="false">Y7*Inputs!$E$18/1000</f>
        <v>4.5</v>
      </c>
    </row>
    <row r="27" customFormat="false" ht="15" hidden="false" customHeight="true" outlineLevel="0" collapsed="false">
      <c r="A27" s="22" t="s">
        <v>1029</v>
      </c>
      <c r="B27" s="17" t="s">
        <v>1023</v>
      </c>
      <c r="C27" s="131" t="n">
        <f aca="false">C7*Inputs!$E$19/1000</f>
        <v>2.5</v>
      </c>
      <c r="D27" s="131" t="n">
        <f aca="false">D7*Inputs!$E$19/1000</f>
        <v>2.5</v>
      </c>
      <c r="E27" s="131" t="n">
        <f aca="false">E7*Inputs!$E$19/1000</f>
        <v>2.5</v>
      </c>
      <c r="F27" s="131" t="n">
        <f aca="false">F7*Inputs!$E$19/1000</f>
        <v>2.5</v>
      </c>
      <c r="G27" s="131" t="n">
        <f aca="false">G7*Inputs!$E$19/1000</f>
        <v>2.5</v>
      </c>
      <c r="H27" s="131" t="n">
        <f aca="false">H7*Inputs!$E$19/1000</f>
        <v>2.5</v>
      </c>
      <c r="I27" s="131" t="n">
        <f aca="false">I7*Inputs!$E$19/1000</f>
        <v>2.5</v>
      </c>
      <c r="J27" s="131" t="n">
        <f aca="false">J7*Inputs!$E$19/1000</f>
        <v>2.5</v>
      </c>
      <c r="K27" s="131" t="n">
        <f aca="false">K7*Inputs!$E$19/1000</f>
        <v>2.5</v>
      </c>
      <c r="L27" s="131" t="n">
        <f aca="false">L7*Inputs!$E$19/1000</f>
        <v>2.5</v>
      </c>
      <c r="M27" s="131" t="n">
        <f aca="false">M7*Inputs!$E$19/1000</f>
        <v>2.5</v>
      </c>
      <c r="N27" s="131" t="n">
        <f aca="false">N7*Inputs!$E$19/1000</f>
        <v>2.5</v>
      </c>
      <c r="O27" s="131" t="n">
        <f aca="false">O7*Inputs!$E$19/1000</f>
        <v>2.5</v>
      </c>
      <c r="P27" s="131" t="n">
        <f aca="false">P7*Inputs!$E$19/1000</f>
        <v>2.5</v>
      </c>
      <c r="Q27" s="131" t="n">
        <f aca="false">Q7*Inputs!$E$19/1000</f>
        <v>2.5</v>
      </c>
      <c r="R27" s="131" t="n">
        <f aca="false">R7*Inputs!$E$19/1000</f>
        <v>2.5</v>
      </c>
      <c r="S27" s="131" t="n">
        <f aca="false">S7*Inputs!$E$19/1000</f>
        <v>2.5</v>
      </c>
      <c r="T27" s="131" t="n">
        <f aca="false">T7*Inputs!$E$19/1000</f>
        <v>2.5</v>
      </c>
      <c r="U27" s="131" t="n">
        <f aca="false">U7*Inputs!$E$19/1000</f>
        <v>2.5</v>
      </c>
      <c r="V27" s="131" t="n">
        <f aca="false">V7*Inputs!$E$19/1000</f>
        <v>2.5</v>
      </c>
      <c r="W27" s="131" t="n">
        <f aca="false">W7*Inputs!$E$19/1000</f>
        <v>2.5</v>
      </c>
      <c r="X27" s="131" t="n">
        <f aca="false">X7*Inputs!$E$19/1000</f>
        <v>2.5</v>
      </c>
      <c r="Y27" s="131" t="n">
        <f aca="false">Y7*Inputs!$E$19/1000</f>
        <v>2.5</v>
      </c>
    </row>
    <row r="28" customFormat="false" ht="15" hidden="false" customHeight="true" outlineLevel="0" collapsed="false">
      <c r="A28" s="22" t="s">
        <v>1030</v>
      </c>
      <c r="B28" s="17" t="s">
        <v>1023</v>
      </c>
      <c r="C28" s="131" t="n">
        <f aca="false">C7*Inputs!$E$20/1000</f>
        <v>0.4</v>
      </c>
      <c r="D28" s="131" t="n">
        <f aca="false">D7*Inputs!$E$20/1000</f>
        <v>0.4</v>
      </c>
      <c r="E28" s="131" t="n">
        <f aca="false">E7*Inputs!$E$20/1000</f>
        <v>0.4</v>
      </c>
      <c r="F28" s="131" t="n">
        <f aca="false">F7*Inputs!$E$20/1000</f>
        <v>0.4</v>
      </c>
      <c r="G28" s="131" t="n">
        <f aca="false">G7*Inputs!$E$20/1000</f>
        <v>0.4</v>
      </c>
      <c r="H28" s="131" t="n">
        <f aca="false">H7*Inputs!$E$20/1000</f>
        <v>0.4</v>
      </c>
      <c r="I28" s="131" t="n">
        <f aca="false">I7*Inputs!$E$20/1000</f>
        <v>0.4</v>
      </c>
      <c r="J28" s="131" t="n">
        <f aca="false">J7*Inputs!$E$20/1000</f>
        <v>0.4</v>
      </c>
      <c r="K28" s="131" t="n">
        <f aca="false">K7*Inputs!$E$20/1000</f>
        <v>0.4</v>
      </c>
      <c r="L28" s="131" t="n">
        <f aca="false">L7*Inputs!$E$20/1000</f>
        <v>0.4</v>
      </c>
      <c r="M28" s="131" t="n">
        <f aca="false">M7*Inputs!$E$20/1000</f>
        <v>0.4</v>
      </c>
      <c r="N28" s="131" t="n">
        <f aca="false">N7*Inputs!$E$20/1000</f>
        <v>0.4</v>
      </c>
      <c r="O28" s="131" t="n">
        <f aca="false">O7*Inputs!$E$20/1000</f>
        <v>0.4</v>
      </c>
      <c r="P28" s="131" t="n">
        <f aca="false">P7*Inputs!$E$20/1000</f>
        <v>0.4</v>
      </c>
      <c r="Q28" s="131" t="n">
        <f aca="false">Q7*Inputs!$E$20/1000</f>
        <v>0.4</v>
      </c>
      <c r="R28" s="131" t="n">
        <f aca="false">R7*Inputs!$E$20/1000</f>
        <v>0.4</v>
      </c>
      <c r="S28" s="131" t="n">
        <f aca="false">S7*Inputs!$E$20/1000</f>
        <v>0.4</v>
      </c>
      <c r="T28" s="131" t="n">
        <f aca="false">T7*Inputs!$E$20/1000</f>
        <v>0.4</v>
      </c>
      <c r="U28" s="131" t="n">
        <f aca="false">U7*Inputs!$E$20/1000</f>
        <v>0.4</v>
      </c>
      <c r="V28" s="131" t="n">
        <f aca="false">V7*Inputs!$E$20/1000</f>
        <v>0.4</v>
      </c>
      <c r="W28" s="131" t="n">
        <f aca="false">W7*Inputs!$E$20/1000</f>
        <v>0.4</v>
      </c>
      <c r="X28" s="131" t="n">
        <f aca="false">X7*Inputs!$E$20/1000</f>
        <v>0.4</v>
      </c>
      <c r="Y28" s="131" t="n">
        <f aca="false">Y7*Inputs!$E$20/1000</f>
        <v>0.4</v>
      </c>
    </row>
    <row r="29" customFormat="false" ht="15" hidden="false" customHeight="true" outlineLevel="0" collapsed="false">
      <c r="A29" s="22" t="s">
        <v>1031</v>
      </c>
      <c r="B29" s="17" t="s">
        <v>113</v>
      </c>
      <c r="C29" s="28" t="n">
        <f aca="false">Inputs!$E$21</f>
        <v>0.15</v>
      </c>
      <c r="D29" s="28" t="n">
        <f aca="false">Inputs!$E$21</f>
        <v>0.15</v>
      </c>
      <c r="E29" s="28" t="n">
        <f aca="false">Inputs!$E$21</f>
        <v>0.15</v>
      </c>
      <c r="F29" s="28" t="n">
        <f aca="false">Inputs!$E$21</f>
        <v>0.15</v>
      </c>
      <c r="G29" s="28" t="n">
        <f aca="false">Inputs!$E$21</f>
        <v>0.15</v>
      </c>
      <c r="H29" s="28" t="n">
        <f aca="false">Inputs!$E$21</f>
        <v>0.15</v>
      </c>
      <c r="I29" s="28" t="n">
        <f aca="false">Inputs!$E$21</f>
        <v>0.15</v>
      </c>
      <c r="J29" s="28" t="n">
        <f aca="false">Inputs!$E$21</f>
        <v>0.15</v>
      </c>
      <c r="K29" s="28" t="n">
        <f aca="false">Inputs!$E$21</f>
        <v>0.15</v>
      </c>
      <c r="L29" s="28" t="n">
        <f aca="false">Inputs!$E$21</f>
        <v>0.15</v>
      </c>
      <c r="M29" s="28" t="n">
        <f aca="false">Inputs!$E$21</f>
        <v>0.15</v>
      </c>
      <c r="N29" s="28" t="n">
        <f aca="false">Inputs!$E$21</f>
        <v>0.15</v>
      </c>
      <c r="O29" s="28" t="n">
        <f aca="false">Inputs!$E$21</f>
        <v>0.15</v>
      </c>
      <c r="P29" s="28" t="n">
        <f aca="false">Inputs!$E$21</f>
        <v>0.15</v>
      </c>
      <c r="Q29" s="28" t="n">
        <f aca="false">Inputs!$E$21</f>
        <v>0.15</v>
      </c>
      <c r="R29" s="28" t="n">
        <f aca="false">Inputs!$E$21</f>
        <v>0.15</v>
      </c>
      <c r="S29" s="28" t="n">
        <f aca="false">Inputs!$E$21</f>
        <v>0.15</v>
      </c>
      <c r="T29" s="28" t="n">
        <f aca="false">Inputs!$E$21</f>
        <v>0.15</v>
      </c>
      <c r="U29" s="28" t="n">
        <f aca="false">Inputs!$E$21</f>
        <v>0.15</v>
      </c>
      <c r="V29" s="28" t="n">
        <f aca="false">Inputs!$E$21</f>
        <v>0.15</v>
      </c>
      <c r="W29" s="28" t="n">
        <f aca="false">Inputs!$E$21</f>
        <v>0.15</v>
      </c>
      <c r="X29" s="28" t="n">
        <f aca="false">Inputs!$E$21</f>
        <v>0.15</v>
      </c>
      <c r="Y29" s="28" t="n">
        <f aca="false">Inputs!$E$21</f>
        <v>0.15</v>
      </c>
    </row>
    <row r="30" customFormat="false" ht="15" hidden="false" customHeight="true" outlineLevel="0" collapsed="false">
      <c r="A30" s="22" t="s">
        <v>144</v>
      </c>
      <c r="B30" s="17" t="s">
        <v>1023</v>
      </c>
      <c r="C30" s="131" t="n">
        <f aca="false">(C25+C26+C27+C28)*C29</f>
        <v>1.65</v>
      </c>
      <c r="D30" s="131" t="n">
        <f aca="false">(D25+D26+D27+D28)*D29</f>
        <v>1.65</v>
      </c>
      <c r="E30" s="131" t="n">
        <f aca="false">(E25+E26+E27+E28)*E29</f>
        <v>1.65</v>
      </c>
      <c r="F30" s="131" t="n">
        <f aca="false">(F25+F26+F27+F28)*F29</f>
        <v>1.65</v>
      </c>
      <c r="G30" s="131" t="n">
        <f aca="false">(G25+G26+G27+G28)*G29</f>
        <v>1.65</v>
      </c>
      <c r="H30" s="131" t="n">
        <f aca="false">(H25+H26+H27+H28)*H29</f>
        <v>1.65</v>
      </c>
      <c r="I30" s="131" t="n">
        <f aca="false">(I25+I26+I27+I28)*I29</f>
        <v>1.65</v>
      </c>
      <c r="J30" s="131" t="n">
        <f aca="false">(J25+J26+J27+J28)*J29</f>
        <v>1.56</v>
      </c>
      <c r="K30" s="131" t="n">
        <f aca="false">(K25+K26+K27+K28)*K29</f>
        <v>1.785</v>
      </c>
      <c r="L30" s="131" t="n">
        <f aca="false">(L25+L26+L27+L28)*L29</f>
        <v>1.545</v>
      </c>
      <c r="M30" s="131" t="n">
        <f aca="false">(M25+M26+M27+M28)*M29</f>
        <v>1.8</v>
      </c>
      <c r="N30" s="131" t="n">
        <f aca="false">(N25+N26+N27+N28)*N29</f>
        <v>1.65</v>
      </c>
      <c r="O30" s="131" t="n">
        <f aca="false">(O25+O26+O27+O28)*O29</f>
        <v>1.65</v>
      </c>
      <c r="P30" s="131" t="n">
        <f aca="false">(P25+P26+P27+P28)*P29</f>
        <v>1.65</v>
      </c>
      <c r="Q30" s="131" t="n">
        <f aca="false">(Q25+Q26+Q27+Q28)*Q29</f>
        <v>1.65</v>
      </c>
      <c r="R30" s="131" t="n">
        <f aca="false">(R25+R26+R27+R28)*R29</f>
        <v>1.65</v>
      </c>
      <c r="S30" s="131" t="n">
        <f aca="false">(S25+S26+S27+S28)*S29</f>
        <v>1.65</v>
      </c>
      <c r="T30" s="131" t="n">
        <f aca="false">(T25+T26+T27+T28)*T29</f>
        <v>1.65</v>
      </c>
      <c r="U30" s="131" t="n">
        <f aca="false">(U25+U26+U27+U28)*U29</f>
        <v>1.65</v>
      </c>
      <c r="V30" s="131" t="n">
        <f aca="false">(V25+V26+V27+V28)*V29</f>
        <v>1.65</v>
      </c>
      <c r="W30" s="131" t="n">
        <f aca="false">(W25+W26+W27+W28)*W29</f>
        <v>1.65</v>
      </c>
      <c r="X30" s="131" t="n">
        <f aca="false">(X25+X26+X27+X28)*X29</f>
        <v>1.65</v>
      </c>
      <c r="Y30" s="131" t="n">
        <f aca="false">(Y25+Y26+Y27+Y28)*Y29</f>
        <v>1.65</v>
      </c>
    </row>
    <row r="31" customFormat="false" ht="15" hidden="false" customHeight="true" outlineLevel="0" collapsed="false">
      <c r="A31" s="22" t="s">
        <v>1032</v>
      </c>
      <c r="B31" s="17" t="s">
        <v>1023</v>
      </c>
      <c r="C31" s="131" t="n">
        <f aca="false">C24+C25+C26+C27+C28+C30</f>
        <v>12.67</v>
      </c>
      <c r="D31" s="131" t="n">
        <f aca="false">D24+D25+D26+D27+D28+D30</f>
        <v>12.67</v>
      </c>
      <c r="E31" s="131" t="n">
        <f aca="false">E24+E25+E26+E27+E28+E30</f>
        <v>12.67</v>
      </c>
      <c r="F31" s="131" t="n">
        <f aca="false">F24+F25+F26+F27+F28+F30</f>
        <v>12.67</v>
      </c>
      <c r="G31" s="131" t="n">
        <f aca="false">G24+G25+G26+G27+G28+G30</f>
        <v>12.67</v>
      </c>
      <c r="H31" s="131" t="n">
        <f aca="false">H24+H25+H26+H27+H28+H30</f>
        <v>12.67</v>
      </c>
      <c r="I31" s="131" t="n">
        <f aca="false">I24+I25+I26+I27+I28+I30</f>
        <v>12.67</v>
      </c>
      <c r="J31" s="131" t="n">
        <f aca="false">J24+J25+J26+J27+J28+J30</f>
        <v>11.98</v>
      </c>
      <c r="K31" s="131" t="n">
        <f aca="false">K24+K25+K26+K27+K28+K30</f>
        <v>13.705</v>
      </c>
      <c r="L31" s="131" t="n">
        <f aca="false">L24+L25+L26+L27+L28+L30</f>
        <v>11.865</v>
      </c>
      <c r="M31" s="131" t="n">
        <f aca="false">M24+M25+M26+M27+M28+M30</f>
        <v>13.82</v>
      </c>
      <c r="N31" s="131" t="n">
        <f aca="false">N24+N25+N26+N27+N28+N30</f>
        <v>12.67</v>
      </c>
      <c r="O31" s="131" t="n">
        <f aca="false">O24+O25+O26+O27+O28+O30</f>
        <v>12.67</v>
      </c>
      <c r="P31" s="131" t="n">
        <f aca="false">P24+P25+P26+P27+P28+P30</f>
        <v>12.67</v>
      </c>
      <c r="Q31" s="131" t="n">
        <f aca="false">Q24+Q25+Q26+Q27+Q28+Q30</f>
        <v>12.67</v>
      </c>
      <c r="R31" s="131" t="n">
        <f aca="false">R24+R25+R26+R27+R28+R30</f>
        <v>12.67</v>
      </c>
      <c r="S31" s="131" t="n">
        <f aca="false">S24+S25+S26+S27+S28+S30</f>
        <v>12.67</v>
      </c>
      <c r="T31" s="131" t="n">
        <f aca="false">T24+T25+T26+T27+T28+T30</f>
        <v>12.67</v>
      </c>
      <c r="U31" s="131" t="n">
        <f aca="false">U24+U25+U26+U27+U28+U30</f>
        <v>12.67</v>
      </c>
      <c r="V31" s="131" t="n">
        <f aca="false">V24+V25+V26+V27+V28+V30</f>
        <v>12.67</v>
      </c>
      <c r="W31" s="131" t="n">
        <f aca="false">W24+W25+W26+W27+W28+W30</f>
        <v>12.67</v>
      </c>
      <c r="X31" s="131" t="n">
        <f aca="false">X24+X25+X26+X27+X28+X30</f>
        <v>12.67</v>
      </c>
      <c r="Y31" s="131" t="n">
        <f aca="false">Y24+Y25+Y26+Y27+Y28+Y30</f>
        <v>12.67</v>
      </c>
    </row>
    <row r="32" customFormat="false" ht="15" hidden="false" customHeight="true" outlineLevel="0" collapsed="false">
      <c r="A32" s="22" t="s">
        <v>4090</v>
      </c>
      <c r="B32" s="17" t="s">
        <v>1023</v>
      </c>
      <c r="C32" s="132" t="n">
        <f aca="false">C23+C31</f>
        <v>50.256352</v>
      </c>
      <c r="D32" s="132" t="n">
        <f aca="false">D23+D31</f>
        <v>47.582032</v>
      </c>
      <c r="E32" s="132" t="n">
        <f aca="false">E23+E31</f>
        <v>53.376392</v>
      </c>
      <c r="F32" s="132" t="n">
        <f aca="false">F23+F31</f>
        <v>58.057468</v>
      </c>
      <c r="G32" s="132" t="n">
        <f aca="false">G23+G31</f>
        <v>49.774</v>
      </c>
      <c r="H32" s="132" t="n">
        <f aca="false">H23+H31</f>
        <v>48.554512</v>
      </c>
      <c r="I32" s="132" t="n">
        <f aca="false">I23+I31</f>
        <v>51.958192</v>
      </c>
      <c r="J32" s="132" t="n">
        <f aca="false">J23+J31</f>
        <v>49.566352</v>
      </c>
      <c r="K32" s="132" t="n">
        <f aca="false">K23+K31</f>
        <v>51.291352</v>
      </c>
      <c r="L32" s="132" t="n">
        <f aca="false">L23+L31</f>
        <v>49.451352</v>
      </c>
      <c r="M32" s="132" t="n">
        <f aca="false">M23+M31</f>
        <v>51.406352</v>
      </c>
      <c r="N32" s="132" t="n">
        <f aca="false">N23+N31</f>
        <v>50.256352</v>
      </c>
      <c r="O32" s="132" t="n">
        <f aca="false">O23+O31</f>
        <v>50.256352</v>
      </c>
      <c r="P32" s="132" t="n">
        <f aca="false">P23+P31</f>
        <v>50.256352</v>
      </c>
      <c r="Q32" s="132" t="n">
        <f aca="false">Q23+Q31</f>
        <v>50.256352</v>
      </c>
      <c r="R32" s="132" t="n">
        <f aca="false">R23+R31</f>
        <v>50.256352</v>
      </c>
      <c r="S32" s="132" t="n">
        <f aca="false">S23+S31</f>
        <v>50.256352</v>
      </c>
      <c r="T32" s="132" t="n">
        <f aca="false">T23+T31</f>
        <v>50.256352</v>
      </c>
      <c r="U32" s="132" t="n">
        <f aca="false">U23+U31</f>
        <v>50.256352</v>
      </c>
      <c r="V32" s="132" t="n">
        <f aca="false">V23+V31</f>
        <v>50.256352</v>
      </c>
      <c r="W32" s="132" t="n">
        <f aca="false">W23+W31</f>
        <v>50.256352</v>
      </c>
      <c r="X32" s="132" t="n">
        <f aca="false">X23+X31</f>
        <v>51.49006</v>
      </c>
      <c r="Y32" s="132" t="n">
        <f aca="false">Y23+Y31</f>
        <v>48.623776</v>
      </c>
    </row>
    <row r="33" customFormat="false" ht="15" hidden="false" customHeight="true" outlineLevel="0" collapsed="false">
      <c r="A33" s="22" t="s">
        <v>1034</v>
      </c>
      <c r="B33" s="17" t="s">
        <v>1035</v>
      </c>
      <c r="C33" s="39" t="n">
        <f aca="false">C32*1000000/C13</f>
        <v>172.261818580673</v>
      </c>
      <c r="D33" s="39" t="n">
        <f aca="false">D32*1000000/D13</f>
        <v>163.095151914007</v>
      </c>
      <c r="E33" s="39" t="n">
        <f aca="false">E32*1000000/E13</f>
        <v>182.956263025118</v>
      </c>
      <c r="F33" s="39" t="n">
        <f aca="false">F32*1000000/F13</f>
        <v>164.79740899698</v>
      </c>
      <c r="G33" s="39" t="n">
        <f aca="false">G32*1000000/G13</f>
        <v>172.826388888889</v>
      </c>
      <c r="H33" s="39" t="n">
        <f aca="false">H32*1000000/H13</f>
        <v>166.42848524734</v>
      </c>
      <c r="I33" s="39" t="n">
        <f aca="false">I32*1000000/I13</f>
        <v>178.095151914007</v>
      </c>
      <c r="J33" s="39" t="n">
        <f aca="false">J32*1000000/J13</f>
        <v>169.896731380937</v>
      </c>
      <c r="K33" s="39" t="n">
        <f aca="false">K32*1000000/K13</f>
        <v>175.809449380279</v>
      </c>
      <c r="L33" s="39" t="n">
        <f aca="false">L32*1000000/L13</f>
        <v>169.502550180981</v>
      </c>
      <c r="M33" s="39" t="n">
        <f aca="false">M32*1000000/M13</f>
        <v>176.203630580235</v>
      </c>
      <c r="N33" s="39" t="n">
        <f aca="false">N32*1000000/N13</f>
        <v>172.261818580673</v>
      </c>
      <c r="O33" s="39" t="n">
        <f aca="false">O32*1000000/O13</f>
        <v>172.261818580673</v>
      </c>
      <c r="P33" s="39" t="n">
        <f aca="false">P32*1000000/P13</f>
        <v>172.261818580673</v>
      </c>
      <c r="Q33" s="39" t="n">
        <f aca="false">Q32*1000000/Q13</f>
        <v>172.261818580673</v>
      </c>
      <c r="R33" s="39" t="n">
        <f aca="false">R32*1000000/R13</f>
        <v>172.261818580673</v>
      </c>
      <c r="S33" s="39" t="n">
        <f aca="false">S32*1000000/S13</f>
        <v>172.261818580673</v>
      </c>
      <c r="T33" s="39" t="n">
        <f aca="false">T32*1000000/T13</f>
        <v>172.261818580673</v>
      </c>
      <c r="U33" s="39" t="n">
        <f aca="false">U32*1000000/U13</f>
        <v>172.261818580673</v>
      </c>
      <c r="V33" s="39" t="n">
        <f aca="false">V32*1000000/V13</f>
        <v>172.261818580673</v>
      </c>
      <c r="W33" s="39" t="n">
        <f aca="false">W32*1000000/W13</f>
        <v>172.261818580673</v>
      </c>
      <c r="X33" s="39" t="n">
        <f aca="false">X32*1000000/X13</f>
        <v>170.881654055489</v>
      </c>
      <c r="Y33" s="39" t="n">
        <f aca="false">Y32*1000000/Y13</f>
        <v>174.233803462906</v>
      </c>
    </row>
    <row r="34" customFormat="false" ht="15" hidden="false" customHeight="true" outlineLevel="0" collapsed="false">
      <c r="A34" s="22" t="s">
        <v>1036</v>
      </c>
      <c r="B34" s="17" t="s">
        <v>1021</v>
      </c>
      <c r="C34" s="39" t="n">
        <f aca="false">C32*1000/C7</f>
        <v>50.256352</v>
      </c>
      <c r="D34" s="39" t="n">
        <f aca="false">D32*1000/D7</f>
        <v>47.582032</v>
      </c>
      <c r="E34" s="39" t="n">
        <f aca="false">E32*1000/E7</f>
        <v>53.376392</v>
      </c>
      <c r="F34" s="39" t="n">
        <f aca="false">F32*1000/F7</f>
        <v>58.057468</v>
      </c>
      <c r="G34" s="39" t="n">
        <f aca="false">G32*1000/G7</f>
        <v>49.774</v>
      </c>
      <c r="H34" s="39" t="n">
        <f aca="false">H32*1000/H7</f>
        <v>48.554512</v>
      </c>
      <c r="I34" s="39" t="n">
        <f aca="false">I32*1000/I7</f>
        <v>51.958192</v>
      </c>
      <c r="J34" s="39" t="n">
        <f aca="false">J32*1000/J7</f>
        <v>49.566352</v>
      </c>
      <c r="K34" s="39" t="n">
        <f aca="false">K32*1000/K7</f>
        <v>51.291352</v>
      </c>
      <c r="L34" s="39" t="n">
        <f aca="false">L32*1000/L7</f>
        <v>49.451352</v>
      </c>
      <c r="M34" s="39" t="n">
        <f aca="false">M32*1000/M7</f>
        <v>51.406352</v>
      </c>
      <c r="N34" s="39" t="n">
        <f aca="false">N32*1000/N7</f>
        <v>50.256352</v>
      </c>
      <c r="O34" s="39" t="n">
        <f aca="false">O32*1000/O7</f>
        <v>50.256352</v>
      </c>
      <c r="P34" s="39" t="n">
        <f aca="false">P32*1000/P7</f>
        <v>50.256352</v>
      </c>
      <c r="Q34" s="39" t="n">
        <f aca="false">Q32*1000/Q7</f>
        <v>50.256352</v>
      </c>
      <c r="R34" s="39" t="n">
        <f aca="false">R32*1000/R7</f>
        <v>50.256352</v>
      </c>
      <c r="S34" s="39" t="n">
        <f aca="false">S32*1000/S7</f>
        <v>50.256352</v>
      </c>
      <c r="T34" s="39" t="n">
        <f aca="false">T32*1000/T7</f>
        <v>50.256352</v>
      </c>
      <c r="U34" s="39" t="n">
        <f aca="false">U32*1000/U7</f>
        <v>50.256352</v>
      </c>
      <c r="V34" s="39" t="n">
        <f aca="false">V32*1000/V7</f>
        <v>50.256352</v>
      </c>
      <c r="W34" s="39" t="n">
        <f aca="false">W32*1000/W7</f>
        <v>50.256352</v>
      </c>
      <c r="X34" s="39" t="n">
        <f aca="false">X32*1000/X7</f>
        <v>51.49006</v>
      </c>
      <c r="Y34" s="39" t="n">
        <f aca="false">Y32*1000/Y7</f>
        <v>48.623776</v>
      </c>
    </row>
    <row r="35" customFormat="false" ht="15" hidden="false" customHeight="true" outlineLevel="0" collapsed="false">
      <c r="A35" s="22" t="s">
        <v>1037</v>
      </c>
      <c r="B35" s="17" t="s">
        <v>1021</v>
      </c>
      <c r="C35" s="131" t="n">
        <f aca="false">C31*1000/C7</f>
        <v>12.67</v>
      </c>
      <c r="D35" s="131" t="n">
        <f aca="false">D31*1000/D7</f>
        <v>12.67</v>
      </c>
      <c r="E35" s="131" t="n">
        <f aca="false">E31*1000/E7</f>
        <v>12.67</v>
      </c>
      <c r="F35" s="131" t="n">
        <f aca="false">F31*1000/F7</f>
        <v>12.67</v>
      </c>
      <c r="G35" s="131" t="n">
        <f aca="false">G31*1000/G7</f>
        <v>12.67</v>
      </c>
      <c r="H35" s="131" t="n">
        <f aca="false">H31*1000/H7</f>
        <v>12.67</v>
      </c>
      <c r="I35" s="131" t="n">
        <f aca="false">I31*1000/I7</f>
        <v>12.67</v>
      </c>
      <c r="J35" s="131" t="n">
        <f aca="false">J31*1000/J7</f>
        <v>11.98</v>
      </c>
      <c r="K35" s="131" t="n">
        <f aca="false">K31*1000/K7</f>
        <v>13.705</v>
      </c>
      <c r="L35" s="131" t="n">
        <f aca="false">L31*1000/L7</f>
        <v>11.865</v>
      </c>
      <c r="M35" s="131" t="n">
        <f aca="false">M31*1000/M7</f>
        <v>13.82</v>
      </c>
      <c r="N35" s="131" t="n">
        <f aca="false">N31*1000/N7</f>
        <v>12.67</v>
      </c>
      <c r="O35" s="131" t="n">
        <f aca="false">O31*1000/O7</f>
        <v>12.67</v>
      </c>
      <c r="P35" s="131" t="n">
        <f aca="false">P31*1000/P7</f>
        <v>12.67</v>
      </c>
      <c r="Q35" s="131" t="n">
        <f aca="false">Q31*1000/Q7</f>
        <v>12.67</v>
      </c>
      <c r="R35" s="131" t="n">
        <f aca="false">R31*1000/R7</f>
        <v>12.67</v>
      </c>
      <c r="S35" s="131" t="n">
        <f aca="false">S31*1000/S7</f>
        <v>12.67</v>
      </c>
      <c r="T35" s="131" t="n">
        <f aca="false">T31*1000/T7</f>
        <v>12.67</v>
      </c>
      <c r="U35" s="131" t="n">
        <f aca="false">U31*1000/U7</f>
        <v>12.67</v>
      </c>
      <c r="V35" s="131" t="n">
        <f aca="false">V31*1000/V7</f>
        <v>12.67</v>
      </c>
      <c r="W35" s="131" t="n">
        <f aca="false">W31*1000/W7</f>
        <v>12.67</v>
      </c>
      <c r="X35" s="131" t="n">
        <f aca="false">X31*1000/X7</f>
        <v>12.67</v>
      </c>
      <c r="Y35" s="131" t="n">
        <f aca="false">Y31*1000/Y7</f>
        <v>12.67</v>
      </c>
    </row>
    <row r="36" customFormat="false" ht="15" hidden="false" customHeight="true" outlineLevel="0" collapsed="false">
      <c r="A36" s="27" t="s">
        <v>4091</v>
      </c>
      <c r="B36" s="15"/>
      <c r="C36" s="15"/>
    </row>
    <row r="37" customFormat="false" ht="15" hidden="false" customHeight="true" outlineLevel="0" collapsed="false">
      <c r="A37" s="16" t="s">
        <v>1040</v>
      </c>
      <c r="B37" s="23" t="s">
        <v>149</v>
      </c>
      <c r="C37" s="133" t="n">
        <f aca="false">Inputs!$E$23</f>
        <v>6</v>
      </c>
      <c r="D37" s="133" t="n">
        <f aca="false">Inputs!$E$23</f>
        <v>6</v>
      </c>
      <c r="E37" s="133" t="n">
        <f aca="false">Inputs!$E$23</f>
        <v>6</v>
      </c>
      <c r="F37" s="133" t="n">
        <f aca="false">Inputs!$E$23</f>
        <v>6</v>
      </c>
      <c r="G37" s="133" t="n">
        <f aca="false">Inputs!$E$23</f>
        <v>6</v>
      </c>
      <c r="H37" s="133" t="n">
        <f aca="false">Inputs!$E$23</f>
        <v>6</v>
      </c>
      <c r="I37" s="133" t="n">
        <f aca="false">Inputs!$E$23</f>
        <v>6</v>
      </c>
      <c r="J37" s="133" t="n">
        <f aca="false">Inputs!$E$23</f>
        <v>6</v>
      </c>
      <c r="K37" s="133" t="n">
        <f aca="false">Inputs!$E$23</f>
        <v>6</v>
      </c>
      <c r="L37" s="133" t="n">
        <f aca="false">Inputs!$E$23</f>
        <v>6</v>
      </c>
      <c r="M37" s="133" t="n">
        <f aca="false">Inputs!$E$23</f>
        <v>6</v>
      </c>
      <c r="N37" s="222" t="n">
        <v>7</v>
      </c>
      <c r="O37" s="223" t="n">
        <f aca="false">Inputs!$F$23</f>
        <v>4</v>
      </c>
      <c r="P37" s="133" t="n">
        <f aca="false">Inputs!$E$23</f>
        <v>6</v>
      </c>
      <c r="Q37" s="133" t="n">
        <f aca="false">Inputs!$E$23</f>
        <v>6</v>
      </c>
      <c r="R37" s="133" t="n">
        <f aca="false">Inputs!$E$23</f>
        <v>6</v>
      </c>
      <c r="S37" s="133" t="n">
        <f aca="false">Inputs!$E$23</f>
        <v>6</v>
      </c>
      <c r="T37" s="133" t="n">
        <f aca="false">Inputs!$E$23</f>
        <v>6</v>
      </c>
      <c r="U37" s="133" t="n">
        <f aca="false">Inputs!$E$23</f>
        <v>6</v>
      </c>
      <c r="V37" s="133" t="n">
        <f aca="false">Inputs!$E$23</f>
        <v>6</v>
      </c>
      <c r="W37" s="133" t="n">
        <f aca="false">Inputs!$E$23</f>
        <v>6</v>
      </c>
      <c r="X37" s="133" t="n">
        <f aca="false">Inputs!$E$23</f>
        <v>6</v>
      </c>
      <c r="Y37" s="133" t="n">
        <f aca="false">Inputs!$E$23</f>
        <v>6</v>
      </c>
    </row>
    <row r="38" customFormat="false" ht="15" hidden="false" customHeight="true" outlineLevel="0" collapsed="false">
      <c r="A38" s="16" t="s">
        <v>1041</v>
      </c>
      <c r="B38" s="17" t="s">
        <v>1023</v>
      </c>
      <c r="C38" s="131" t="n">
        <f aca="false">C23/C37</f>
        <v>6.264392</v>
      </c>
      <c r="D38" s="131" t="n">
        <f aca="false">D23/D37</f>
        <v>5.818672</v>
      </c>
      <c r="E38" s="131" t="n">
        <f aca="false">E23/E37</f>
        <v>6.78439866666667</v>
      </c>
      <c r="F38" s="131" t="n">
        <f aca="false">F23/F37</f>
        <v>7.564578</v>
      </c>
      <c r="G38" s="131" t="n">
        <f aca="false">G23/G37</f>
        <v>6.184</v>
      </c>
      <c r="H38" s="131" t="n">
        <f aca="false">H23/H37</f>
        <v>5.980752</v>
      </c>
      <c r="I38" s="131" t="n">
        <f aca="false">I23/I37</f>
        <v>6.548032</v>
      </c>
      <c r="J38" s="131" t="n">
        <f aca="false">J23/J37</f>
        <v>6.264392</v>
      </c>
      <c r="K38" s="131" t="n">
        <f aca="false">K23/K37</f>
        <v>6.264392</v>
      </c>
      <c r="L38" s="131" t="n">
        <f aca="false">L23/L37</f>
        <v>6.264392</v>
      </c>
      <c r="M38" s="131" t="n">
        <f aca="false">M23/M37</f>
        <v>6.264392</v>
      </c>
      <c r="N38" s="131" t="n">
        <f aca="false">N23/N37</f>
        <v>5.36947885714286</v>
      </c>
      <c r="O38" s="131" t="n">
        <f aca="false">O23/O37</f>
        <v>9.396588</v>
      </c>
      <c r="P38" s="131" t="n">
        <f aca="false">P23/P37</f>
        <v>6.264392</v>
      </c>
      <c r="Q38" s="131" t="n">
        <f aca="false">Q23/Q37</f>
        <v>6.264392</v>
      </c>
      <c r="R38" s="131" t="n">
        <f aca="false">R23/R37</f>
        <v>6.264392</v>
      </c>
      <c r="S38" s="131" t="n">
        <f aca="false">S23/S37</f>
        <v>6.264392</v>
      </c>
      <c r="T38" s="131" t="n">
        <f aca="false">T23/T37</f>
        <v>6.264392</v>
      </c>
      <c r="U38" s="131" t="n">
        <f aca="false">U23/U37</f>
        <v>6.264392</v>
      </c>
      <c r="V38" s="131" t="n">
        <f aca="false">V23/V37</f>
        <v>6.264392</v>
      </c>
      <c r="W38" s="131" t="n">
        <f aca="false">W23/W37</f>
        <v>6.264392</v>
      </c>
      <c r="X38" s="131" t="n">
        <f aca="false">X23/X37</f>
        <v>6.47001</v>
      </c>
      <c r="Y38" s="131" t="n">
        <f aca="false">Y23/Y37</f>
        <v>5.992296</v>
      </c>
    </row>
    <row r="39" customFormat="false" ht="15" hidden="false" customHeight="true" outlineLevel="0" collapsed="false">
      <c r="A39" s="22" t="s">
        <v>1042</v>
      </c>
      <c r="B39" s="17" t="s">
        <v>1023</v>
      </c>
      <c r="C39" s="131" t="n">
        <f aca="false">(C25/Inputs!$E$24+C26/Inputs!$E$25+C27/Inputs!$E$26+C28/Inputs!$E$27)*(1+C29)</f>
        <v>0.634416666666667</v>
      </c>
      <c r="D39" s="131" t="n">
        <f aca="false">(D25/Inputs!$E$24+D26/Inputs!$E$25+D27/Inputs!$E$26+D28/Inputs!$E$27)*(1+D29)</f>
        <v>0.634416666666667</v>
      </c>
      <c r="E39" s="131" t="n">
        <f aca="false">(E25/Inputs!$E$24+E26/Inputs!$E$25+E27/Inputs!$E$26+E28/Inputs!$E$27)*(1+E29)</f>
        <v>0.634416666666667</v>
      </c>
      <c r="F39" s="131" t="n">
        <f aca="false">(F25/Inputs!$E$24+F26/Inputs!$E$25+F27/Inputs!$E$26+F28/Inputs!$E$27)*(1+F29)</f>
        <v>0.634416666666667</v>
      </c>
      <c r="G39" s="131" t="n">
        <f aca="false">(G25/Inputs!$E$24+G26/Inputs!$E$25+G27/Inputs!$E$26+G28/Inputs!$E$27)*(1+G29)</f>
        <v>0.634416666666667</v>
      </c>
      <c r="H39" s="131" t="n">
        <f aca="false">(H25/Inputs!$E$24+H26/Inputs!$E$25+H27/Inputs!$E$26+H28/Inputs!$E$27)*(1+H29)</f>
        <v>0.634416666666667</v>
      </c>
      <c r="I39" s="131" t="n">
        <f aca="false">(I25/Inputs!$E$24+I26/Inputs!$E$25+I27/Inputs!$E$26+I28/Inputs!$E$27)*(1+I29)</f>
        <v>0.634416666666667</v>
      </c>
      <c r="J39" s="131" t="n">
        <f aca="false">(J25/Inputs!$E$24+J26/Inputs!$E$25+J27/Inputs!$E$26+J28/Inputs!$E$27)*(1+J29)</f>
        <v>0.611416666666667</v>
      </c>
      <c r="K39" s="131" t="n">
        <f aca="false">(K25/Inputs!$E$24+K26/Inputs!$E$25+K27/Inputs!$E$26+K28/Inputs!$E$27)*(1+K29)</f>
        <v>0.668916666666667</v>
      </c>
      <c r="L39" s="131" t="n">
        <f aca="false">(L25/Inputs!$E$24+L26/Inputs!$E$25+L27/Inputs!$E$26+L28/Inputs!$E$27)*(1+L29)</f>
        <v>0.594166666666667</v>
      </c>
      <c r="M39" s="131" t="n">
        <f aca="false">(M25/Inputs!$E$24+M26/Inputs!$E$25+M27/Inputs!$E$26+M28/Inputs!$E$27)*(1+M29)</f>
        <v>0.691916666666667</v>
      </c>
      <c r="N39" s="131" t="n">
        <f aca="false">(N25/Inputs!$E$24+N26/Inputs!$E$25+N27/Inputs!$E$26+N28/Inputs!$E$27)*(1+N29)</f>
        <v>0.634416666666667</v>
      </c>
      <c r="O39" s="131" t="n">
        <f aca="false">(O25/Inputs!$E$24+O26/Inputs!$E$25+O27/Inputs!$E$26+O28/Inputs!$E$27)*(1+O29)</f>
        <v>0.634416666666667</v>
      </c>
      <c r="P39" s="131" t="n">
        <f aca="false">(P25/Inputs!$E$24+P26/Inputs!$E$25+P27/Inputs!$E$26+P28/Inputs!$E$27)*(1+P29)</f>
        <v>0.634416666666667</v>
      </c>
      <c r="Q39" s="131" t="n">
        <f aca="false">(Q25/Inputs!$E$24+Q26/Inputs!$E$25+Q27/Inputs!$E$26+Q28/Inputs!$E$27)*(1+Q29)</f>
        <v>0.634416666666667</v>
      </c>
      <c r="R39" s="131" t="n">
        <f aca="false">(R25/Inputs!$E$24+R26/Inputs!$E$25+R27/Inputs!$E$26+R28/Inputs!$E$27)*(1+R29)</f>
        <v>0.634416666666667</v>
      </c>
      <c r="S39" s="131" t="n">
        <f aca="false">(S25/Inputs!$E$24+S26/Inputs!$E$25+S27/Inputs!$E$26+S28/Inputs!$E$27)*(1+S29)</f>
        <v>0.634416666666667</v>
      </c>
      <c r="T39" s="131" t="n">
        <f aca="false">(T25/Inputs!$E$24+T26/Inputs!$E$25+T27/Inputs!$E$26+T28/Inputs!$E$27)*(1+T29)</f>
        <v>0.634416666666667</v>
      </c>
      <c r="U39" s="131" t="n">
        <f aca="false">(U25/Inputs!$E$24+U26/Inputs!$E$25+U27/Inputs!$E$26+U28/Inputs!$E$27)*(1+U29)</f>
        <v>0.634416666666667</v>
      </c>
      <c r="V39" s="131" t="n">
        <f aca="false">(V25/Inputs!$E$24+V26/Inputs!$E$25+V27/Inputs!$E$26+V28/Inputs!$E$27)*(1+V29)</f>
        <v>0.634416666666667</v>
      </c>
      <c r="W39" s="131" t="n">
        <f aca="false">(W25/Inputs!$E$24+W26/Inputs!$E$25+W27/Inputs!$E$26+W28/Inputs!$E$27)*(1+W29)</f>
        <v>0.634416666666667</v>
      </c>
      <c r="X39" s="131" t="n">
        <f aca="false">(X25/Inputs!$E$24+X26/Inputs!$E$25+X27/Inputs!$E$26+X28/Inputs!$E$27)*(1+X29)</f>
        <v>0.634416666666667</v>
      </c>
      <c r="Y39" s="131" t="n">
        <f aca="false">(Y25/Inputs!$E$24+Y26/Inputs!$E$25+Y27/Inputs!$E$26+Y28/Inputs!$E$27)*(1+Y29)</f>
        <v>0.634416666666667</v>
      </c>
    </row>
    <row r="40" customFormat="false" ht="15" hidden="false" customHeight="true" outlineLevel="0" collapsed="false">
      <c r="A40" s="22" t="s">
        <v>121</v>
      </c>
      <c r="B40" s="17" t="s">
        <v>113</v>
      </c>
      <c r="C40" s="28" t="n">
        <f aca="false">Inputs!$E$10</f>
        <v>0.8</v>
      </c>
      <c r="D40" s="28" t="n">
        <f aca="false">Inputs!$E$10</f>
        <v>0.8</v>
      </c>
      <c r="E40" s="28" t="n">
        <f aca="false">Inputs!$E$10</f>
        <v>0.8</v>
      </c>
      <c r="F40" s="28" t="n">
        <f aca="false">Inputs!$E$10</f>
        <v>0.8</v>
      </c>
      <c r="G40" s="28" t="n">
        <f aca="false">Inputs!$E$10</f>
        <v>0.8</v>
      </c>
      <c r="H40" s="28" t="n">
        <f aca="false">Inputs!$E$10</f>
        <v>0.8</v>
      </c>
      <c r="I40" s="28" t="n">
        <f aca="false">Inputs!$E$10</f>
        <v>0.8</v>
      </c>
      <c r="J40" s="28" t="n">
        <f aca="false">Inputs!$E$10</f>
        <v>0.8</v>
      </c>
      <c r="K40" s="28" t="n">
        <f aca="false">Inputs!$E$10</f>
        <v>0.8</v>
      </c>
      <c r="L40" s="28" t="n">
        <f aca="false">Inputs!$E$10</f>
        <v>0.8</v>
      </c>
      <c r="M40" s="28" t="n">
        <f aca="false">Inputs!$E$10</f>
        <v>0.8</v>
      </c>
      <c r="N40" s="28" t="n">
        <f aca="false">Inputs!$E$10</f>
        <v>0.8</v>
      </c>
      <c r="O40" s="28" t="n">
        <f aca="false">Inputs!$E$10</f>
        <v>0.8</v>
      </c>
      <c r="P40" s="28" t="n">
        <f aca="false">Inputs!$E$10</f>
        <v>0.8</v>
      </c>
      <c r="Q40" s="28" t="n">
        <f aca="false">Inputs!$E$10</f>
        <v>0.8</v>
      </c>
      <c r="R40" s="28" t="n">
        <f aca="false">Inputs!$E$10</f>
        <v>0.8</v>
      </c>
      <c r="S40" s="28" t="n">
        <f aca="false">Inputs!$E$10</f>
        <v>0.8</v>
      </c>
      <c r="T40" s="28" t="n">
        <f aca="false">Inputs!$E$10</f>
        <v>0.8</v>
      </c>
      <c r="U40" s="28" t="n">
        <f aca="false">Inputs!$E$10</f>
        <v>0.8</v>
      </c>
      <c r="V40" s="221" t="n">
        <f aca="false">Inputs!$D$10</f>
        <v>0.7</v>
      </c>
      <c r="W40" s="221" t="n">
        <f aca="false">Inputs!$F$10</f>
        <v>0.9</v>
      </c>
      <c r="X40" s="28" t="n">
        <f aca="false">Inputs!$E$10</f>
        <v>0.8</v>
      </c>
      <c r="Y40" s="28" t="n">
        <f aca="false">Inputs!$E$10</f>
        <v>0.8</v>
      </c>
    </row>
    <row r="41" customFormat="false" ht="15" hidden="false" customHeight="true" outlineLevel="0" collapsed="false">
      <c r="A41" s="22" t="s">
        <v>123</v>
      </c>
      <c r="B41" s="17" t="s">
        <v>124</v>
      </c>
      <c r="C41" s="134" t="n">
        <f aca="false">Inputs!$E$11</f>
        <v>0.08</v>
      </c>
      <c r="D41" s="134" t="n">
        <f aca="false">Inputs!$E$11</f>
        <v>0.08</v>
      </c>
      <c r="E41" s="134" t="n">
        <f aca="false">Inputs!$E$11</f>
        <v>0.08</v>
      </c>
      <c r="F41" s="134" t="n">
        <f aca="false">Inputs!$E$11</f>
        <v>0.08</v>
      </c>
      <c r="G41" s="134" t="n">
        <f aca="false">Inputs!$E$11</f>
        <v>0.08</v>
      </c>
      <c r="H41" s="134" t="n">
        <f aca="false">Inputs!$E$11</f>
        <v>0.08</v>
      </c>
      <c r="I41" s="134" t="n">
        <f aca="false">Inputs!$E$11</f>
        <v>0.08</v>
      </c>
      <c r="J41" s="134" t="n">
        <f aca="false">Inputs!$E$11</f>
        <v>0.08</v>
      </c>
      <c r="K41" s="134" t="n">
        <f aca="false">Inputs!$E$11</f>
        <v>0.08</v>
      </c>
      <c r="L41" s="134" t="n">
        <f aca="false">Inputs!$E$11</f>
        <v>0.08</v>
      </c>
      <c r="M41" s="134" t="n">
        <f aca="false">Inputs!$E$11</f>
        <v>0.08</v>
      </c>
      <c r="N41" s="134" t="n">
        <f aca="false">Inputs!$E$11</f>
        <v>0.08</v>
      </c>
      <c r="O41" s="134" t="n">
        <f aca="false">Inputs!$E$11</f>
        <v>0.08</v>
      </c>
      <c r="P41" s="134" t="n">
        <f aca="false">Inputs!$E$11</f>
        <v>0.08</v>
      </c>
      <c r="Q41" s="134" t="n">
        <f aca="false">Inputs!$E$11</f>
        <v>0.08</v>
      </c>
      <c r="R41" s="224" t="n">
        <f aca="false">Inputs!$D$11</f>
        <v>0.06</v>
      </c>
      <c r="S41" s="224" t="n">
        <f aca="false">Inputs!$F$11</f>
        <v>0.1</v>
      </c>
      <c r="T41" s="134" t="n">
        <f aca="false">Inputs!$E$11</f>
        <v>0.08</v>
      </c>
      <c r="U41" s="134" t="n">
        <f aca="false">Inputs!$E$11</f>
        <v>0.08</v>
      </c>
      <c r="V41" s="134" t="n">
        <f aca="false">Inputs!$E$11</f>
        <v>0.08</v>
      </c>
      <c r="W41" s="134" t="n">
        <f aca="false">Inputs!$E$11</f>
        <v>0.08</v>
      </c>
      <c r="X41" s="134" t="n">
        <f aca="false">Inputs!$E$11</f>
        <v>0.08</v>
      </c>
      <c r="Y41" s="134" t="n">
        <f aca="false">Inputs!$E$11</f>
        <v>0.08</v>
      </c>
    </row>
    <row r="42" customFormat="false" ht="15" hidden="false" customHeight="true" outlineLevel="0" collapsed="false">
      <c r="A42" s="22" t="s">
        <v>1043</v>
      </c>
      <c r="B42" s="17" t="s">
        <v>1023</v>
      </c>
      <c r="C42" s="131" t="n">
        <f aca="false">C7*1000*C40*C14*8760*C41/1000000000</f>
        <v>0.672768</v>
      </c>
      <c r="D42" s="131" t="n">
        <f aca="false">D7*1000*D40*D14*8760*D41/1000000000</f>
        <v>0.672768</v>
      </c>
      <c r="E42" s="131" t="n">
        <f aca="false">E7*1000*E40*E14*8760*E41/1000000000</f>
        <v>0.672768</v>
      </c>
      <c r="F42" s="131" t="n">
        <f aca="false">F7*1000*F40*F14*8760*F41/1000000000</f>
        <v>0.672768</v>
      </c>
      <c r="G42" s="131" t="n">
        <f aca="false">G7*1000*G40*G14*8760*G41/1000000000</f>
        <v>0.672768</v>
      </c>
      <c r="H42" s="131" t="n">
        <f aca="false">H7*1000*H40*H14*8760*H41/1000000000</f>
        <v>0.672768</v>
      </c>
      <c r="I42" s="131" t="n">
        <f aca="false">I7*1000*I40*I14*8760*I41/1000000000</f>
        <v>0.672768</v>
      </c>
      <c r="J42" s="131" t="n">
        <f aca="false">J7*1000*J40*J14*8760*J41/1000000000</f>
        <v>0.672768</v>
      </c>
      <c r="K42" s="131" t="n">
        <f aca="false">K7*1000*K40*K14*8760*K41/1000000000</f>
        <v>0.672768</v>
      </c>
      <c r="L42" s="131" t="n">
        <f aca="false">L7*1000*L40*L14*8760*L41/1000000000</f>
        <v>0.672768</v>
      </c>
      <c r="M42" s="131" t="n">
        <f aca="false">M7*1000*M40*M14*8760*M41/1000000000</f>
        <v>0.672768</v>
      </c>
      <c r="N42" s="131" t="n">
        <f aca="false">N7*1000*N40*N14*8760*N41/1000000000</f>
        <v>0.672768</v>
      </c>
      <c r="O42" s="131" t="n">
        <f aca="false">O7*1000*O40*O14*8760*O41/1000000000</f>
        <v>0.672768</v>
      </c>
      <c r="P42" s="131" t="n">
        <f aca="false">P7*1000*P40*P14*8760*P41/1000000000</f>
        <v>0.672768</v>
      </c>
      <c r="Q42" s="131" t="n">
        <f aca="false">Q7*1000*Q40*Q14*8760*Q41/1000000000</f>
        <v>0.672768</v>
      </c>
      <c r="R42" s="131" t="n">
        <f aca="false">R7*1000*R40*R14*8760*R41/1000000000</f>
        <v>0.504576</v>
      </c>
      <c r="S42" s="131" t="n">
        <f aca="false">S7*1000*S40*S14*8760*S41/1000000000</f>
        <v>0.84096</v>
      </c>
      <c r="T42" s="131" t="n">
        <f aca="false">T7*1000*T40*T14*8760*T41/1000000000</f>
        <v>0.616704</v>
      </c>
      <c r="U42" s="131" t="n">
        <f aca="false">U7*1000*U40*U14*8760*U41/1000000000</f>
        <v>0.728832</v>
      </c>
      <c r="V42" s="131" t="n">
        <f aca="false">V7*1000*V40*V14*8760*V41/1000000000</f>
        <v>0.588672</v>
      </c>
      <c r="W42" s="131" t="n">
        <f aca="false">W7*1000*W40*W14*8760*W41/1000000000</f>
        <v>0.756864</v>
      </c>
      <c r="X42" s="131" t="n">
        <f aca="false">X7*1000*X40*X14*8760*X41/1000000000</f>
        <v>0.672768</v>
      </c>
      <c r="Y42" s="131" t="n">
        <f aca="false">Y7*1000*Y40*Y14*8760*Y41/1000000000</f>
        <v>0.672768</v>
      </c>
    </row>
    <row r="43" customFormat="false" ht="15" hidden="false" customHeight="true" outlineLevel="0" collapsed="false">
      <c r="A43" s="16" t="s">
        <v>1044</v>
      </c>
      <c r="B43" s="17" t="s">
        <v>1023</v>
      </c>
      <c r="C43" s="131" t="n">
        <f aca="false">C23*Inputs!$E$30</f>
        <v>0.591045788314028</v>
      </c>
      <c r="D43" s="131" t="n">
        <f aca="false">D23*Inputs!$E$30</f>
        <v>0.548992077631918</v>
      </c>
      <c r="E43" s="131" t="n">
        <f aca="false">E23*Inputs!$E$30</f>
        <v>0.640108450776491</v>
      </c>
      <c r="F43" s="131" t="n">
        <f aca="false">F23*Inputs!$E$30</f>
        <v>0.713718421081081</v>
      </c>
      <c r="G43" s="131" t="n">
        <f aca="false">G23*Inputs!$E$30</f>
        <v>0.583460797940798</v>
      </c>
      <c r="H43" s="131" t="n">
        <f aca="false">H23*Inputs!$E$30</f>
        <v>0.564284336061776</v>
      </c>
      <c r="I43" s="131" t="n">
        <f aca="false">I23*Inputs!$E$30</f>
        <v>0.61780724056628</v>
      </c>
      <c r="J43" s="131" t="n">
        <f aca="false">J23*Inputs!$E$30</f>
        <v>0.591045788314028</v>
      </c>
      <c r="K43" s="131" t="n">
        <f aca="false">K23*Inputs!$E$30</f>
        <v>0.591045788314028</v>
      </c>
      <c r="L43" s="131" t="n">
        <f aca="false">L23*Inputs!$E$30</f>
        <v>0.591045788314028</v>
      </c>
      <c r="M43" s="131" t="n">
        <f aca="false">M23*Inputs!$E$30</f>
        <v>0.591045788314028</v>
      </c>
      <c r="N43" s="131" t="n">
        <f aca="false">N23*Inputs!$E$30</f>
        <v>0.591045788314028</v>
      </c>
      <c r="O43" s="131" t="n">
        <f aca="false">O23*Inputs!$E$30</f>
        <v>0.591045788314028</v>
      </c>
      <c r="P43" s="131" t="n">
        <f aca="false">P23*Inputs!$E$30</f>
        <v>0.591045788314028</v>
      </c>
      <c r="Q43" s="131" t="n">
        <f aca="false">Q23*Inputs!$E$30</f>
        <v>0.591045788314028</v>
      </c>
      <c r="R43" s="131" t="n">
        <f aca="false">R23*Inputs!$E$30</f>
        <v>0.591045788314028</v>
      </c>
      <c r="S43" s="131" t="n">
        <f aca="false">S23*Inputs!$E$30</f>
        <v>0.591045788314028</v>
      </c>
      <c r="T43" s="131" t="n">
        <f aca="false">T23*Inputs!$E$30</f>
        <v>0.591045788314028</v>
      </c>
      <c r="U43" s="131" t="n">
        <f aca="false">U23*Inputs!$E$30</f>
        <v>0.591045788314028</v>
      </c>
      <c r="V43" s="131" t="n">
        <f aca="false">V23*Inputs!$E$30</f>
        <v>0.591045788314028</v>
      </c>
      <c r="W43" s="131" t="n">
        <f aca="false">W23*Inputs!$E$30</f>
        <v>0.591045788314028</v>
      </c>
      <c r="X43" s="131" t="n">
        <f aca="false">X23*Inputs!$E$30</f>
        <v>0.61044585984556</v>
      </c>
      <c r="Y43" s="131" t="n">
        <f aca="false">Y23*Inputs!$E$30</f>
        <v>0.565373513204633</v>
      </c>
    </row>
    <row r="44" customFormat="false" ht="15" hidden="false" customHeight="true" outlineLevel="0" collapsed="false">
      <c r="A44" s="22" t="s">
        <v>164</v>
      </c>
      <c r="B44" s="17" t="s">
        <v>1023</v>
      </c>
      <c r="C44" s="131" t="n">
        <f aca="false">C31*Inputs!$E$31</f>
        <v>0.2534</v>
      </c>
      <c r="D44" s="131" t="n">
        <f aca="false">D31*Inputs!$E$31</f>
        <v>0.2534</v>
      </c>
      <c r="E44" s="131" t="n">
        <f aca="false">E31*Inputs!$E$31</f>
        <v>0.2534</v>
      </c>
      <c r="F44" s="131" t="n">
        <f aca="false">F31*Inputs!$E$31</f>
        <v>0.2534</v>
      </c>
      <c r="G44" s="131" t="n">
        <f aca="false">G31*Inputs!$E$31</f>
        <v>0.2534</v>
      </c>
      <c r="H44" s="131" t="n">
        <f aca="false">H31*Inputs!$E$31</f>
        <v>0.2534</v>
      </c>
      <c r="I44" s="131" t="n">
        <f aca="false">I31*Inputs!$E$31</f>
        <v>0.2534</v>
      </c>
      <c r="J44" s="131" t="n">
        <f aca="false">J31*Inputs!$E$31</f>
        <v>0.2396</v>
      </c>
      <c r="K44" s="131" t="n">
        <f aca="false">K31*Inputs!$E$31</f>
        <v>0.2741</v>
      </c>
      <c r="L44" s="131" t="n">
        <f aca="false">L31*Inputs!$E$31</f>
        <v>0.2373</v>
      </c>
      <c r="M44" s="131" t="n">
        <f aca="false">M31*Inputs!$E$31</f>
        <v>0.2764</v>
      </c>
      <c r="N44" s="131" t="n">
        <f aca="false">N31*Inputs!$E$31</f>
        <v>0.2534</v>
      </c>
      <c r="O44" s="131" t="n">
        <f aca="false">O31*Inputs!$E$31</f>
        <v>0.2534</v>
      </c>
      <c r="P44" s="131" t="n">
        <f aca="false">P31*Inputs!$E$31</f>
        <v>0.2534</v>
      </c>
      <c r="Q44" s="131" t="n">
        <f aca="false">Q31*Inputs!$E$31</f>
        <v>0.2534</v>
      </c>
      <c r="R44" s="131" t="n">
        <f aca="false">R31*Inputs!$E$31</f>
        <v>0.2534</v>
      </c>
      <c r="S44" s="131" t="n">
        <f aca="false">S31*Inputs!$E$31</f>
        <v>0.2534</v>
      </c>
      <c r="T44" s="131" t="n">
        <f aca="false">T31*Inputs!$E$31</f>
        <v>0.2534</v>
      </c>
      <c r="U44" s="131" t="n">
        <f aca="false">U31*Inputs!$E$31</f>
        <v>0.2534</v>
      </c>
      <c r="V44" s="131" t="n">
        <f aca="false">V31*Inputs!$E$31</f>
        <v>0.2534</v>
      </c>
      <c r="W44" s="131" t="n">
        <f aca="false">W31*Inputs!$E$31</f>
        <v>0.2534</v>
      </c>
      <c r="X44" s="131" t="n">
        <f aca="false">X31*Inputs!$E$31</f>
        <v>0.2534</v>
      </c>
      <c r="Y44" s="131" t="n">
        <f aca="false">Y31*Inputs!$E$31</f>
        <v>0.2534</v>
      </c>
    </row>
    <row r="45" customFormat="false" ht="15" hidden="false" customHeight="true" outlineLevel="0" collapsed="false">
      <c r="A45" s="22" t="s">
        <v>4092</v>
      </c>
      <c r="B45" s="17" t="s">
        <v>1023</v>
      </c>
      <c r="C45" s="131" t="n">
        <f aca="false">(Inputs!$E$32*C7/1000+Inputs!$E$33*C7/1000+Inputs!$E$34*C7)/1000</f>
        <v>0.325</v>
      </c>
      <c r="D45" s="131" t="n">
        <f aca="false">(Inputs!$E$32*D7/1000+Inputs!$E$33*D7/1000+Inputs!$E$34*D7)/1000</f>
        <v>0.325</v>
      </c>
      <c r="E45" s="131" t="n">
        <f aca="false">(Inputs!$E$32*E7/1000+Inputs!$E$33*E7/1000+Inputs!$E$34*E7)/1000</f>
        <v>0.325</v>
      </c>
      <c r="F45" s="131" t="n">
        <f aca="false">(Inputs!$E$32*F7/1000+Inputs!$E$33*F7/1000+Inputs!$E$34*F7)/1000</f>
        <v>0.325</v>
      </c>
      <c r="G45" s="131" t="n">
        <f aca="false">(Inputs!$E$32*G7/1000+Inputs!$E$33*G7/1000+Inputs!$E$34*G7)/1000</f>
        <v>0.325</v>
      </c>
      <c r="H45" s="131" t="n">
        <f aca="false">(Inputs!$E$32*H7/1000+Inputs!$E$33*H7/1000+Inputs!$E$34*H7)/1000</f>
        <v>0.325</v>
      </c>
      <c r="I45" s="131" t="n">
        <f aca="false">(Inputs!$E$32*I7/1000+Inputs!$E$33*I7/1000+Inputs!$E$34*I7)/1000</f>
        <v>0.325</v>
      </c>
      <c r="J45" s="131" t="n">
        <f aca="false">(Inputs!$E$32*J7/1000+Inputs!$E$33*J7/1000+Inputs!$E$34*J7)/1000</f>
        <v>0.325</v>
      </c>
      <c r="K45" s="131" t="n">
        <f aca="false">(Inputs!$E$32*K7/1000+Inputs!$E$33*K7/1000+Inputs!$E$34*K7)/1000</f>
        <v>0.325</v>
      </c>
      <c r="L45" s="131" t="n">
        <f aca="false">(Inputs!$E$32*L7/1000+Inputs!$E$33*L7/1000+Inputs!$E$34*L7)/1000</f>
        <v>0.325</v>
      </c>
      <c r="M45" s="131" t="n">
        <f aca="false">(Inputs!$E$32*M7/1000+Inputs!$E$33*M7/1000+Inputs!$E$34*M7)/1000</f>
        <v>0.325</v>
      </c>
      <c r="N45" s="131" t="n">
        <f aca="false">(Inputs!$E$32*N7/1000+Inputs!$E$33*N7/1000+Inputs!$E$34*N7)/1000</f>
        <v>0.325</v>
      </c>
      <c r="O45" s="131" t="n">
        <f aca="false">(Inputs!$E$32*O7/1000+Inputs!$E$33*O7/1000+Inputs!$E$34*O7)/1000</f>
        <v>0.325</v>
      </c>
      <c r="P45" s="131" t="n">
        <f aca="false">(Inputs!$E$32*P7/1000+Inputs!$E$33*P7/1000+Inputs!$E$34*P7)/1000</f>
        <v>0.325</v>
      </c>
      <c r="Q45" s="131" t="n">
        <f aca="false">(Inputs!$E$32*Q7/1000+Inputs!$E$33*Q7/1000+Inputs!$E$34*Q7)/1000</f>
        <v>0.325</v>
      </c>
      <c r="R45" s="131" t="n">
        <f aca="false">(Inputs!$E$32*R7/1000+Inputs!$E$33*R7/1000+Inputs!$E$34*R7)/1000</f>
        <v>0.325</v>
      </c>
      <c r="S45" s="131" t="n">
        <f aca="false">(Inputs!$E$32*S7/1000+Inputs!$E$33*S7/1000+Inputs!$E$34*S7)/1000</f>
        <v>0.325</v>
      </c>
      <c r="T45" s="131" t="n">
        <f aca="false">(Inputs!$E$32*T7/1000+Inputs!$E$33*T7/1000+Inputs!$E$34*T7)/1000</f>
        <v>0.325</v>
      </c>
      <c r="U45" s="131" t="n">
        <f aca="false">(Inputs!$E$32*U7/1000+Inputs!$E$33*U7/1000+Inputs!$E$34*U7)/1000</f>
        <v>0.325</v>
      </c>
      <c r="V45" s="131" t="n">
        <f aca="false">(Inputs!$E$32*V7/1000+Inputs!$E$33*V7/1000+Inputs!$E$34*V7)/1000</f>
        <v>0.325</v>
      </c>
      <c r="W45" s="131" t="n">
        <f aca="false">(Inputs!$E$32*W7/1000+Inputs!$E$33*W7/1000+Inputs!$E$34*W7)/1000</f>
        <v>0.325</v>
      </c>
      <c r="X45" s="131" t="n">
        <f aca="false">(Inputs!$E$32*X7/1000+Inputs!$E$33*X7/1000+Inputs!$E$34*X7)/1000</f>
        <v>0.325</v>
      </c>
      <c r="Y45" s="131" t="n">
        <f aca="false">(Inputs!$E$32*Y7/1000+Inputs!$E$33*Y7/1000+Inputs!$E$34*Y7)/1000</f>
        <v>0.325</v>
      </c>
    </row>
    <row r="46" customFormat="false" ht="15" hidden="false" customHeight="true" outlineLevel="0" collapsed="false">
      <c r="A46" s="22" t="s">
        <v>175</v>
      </c>
      <c r="B46" s="17" t="s">
        <v>1023</v>
      </c>
      <c r="C46" s="131" t="n">
        <f aca="false">C32*Inputs!$E$35</f>
        <v>0.25128176</v>
      </c>
      <c r="D46" s="131" t="n">
        <f aca="false">D32*Inputs!$E$35</f>
        <v>0.23791016</v>
      </c>
      <c r="E46" s="131" t="n">
        <f aca="false">E32*Inputs!$E$35</f>
        <v>0.26688196</v>
      </c>
      <c r="F46" s="131" t="n">
        <f aca="false">F32*Inputs!$E$35</f>
        <v>0.29028734</v>
      </c>
      <c r="G46" s="131" t="n">
        <f aca="false">G32*Inputs!$E$35</f>
        <v>0.24887</v>
      </c>
      <c r="H46" s="131" t="n">
        <f aca="false">H32*Inputs!$E$35</f>
        <v>0.24277256</v>
      </c>
      <c r="I46" s="131" t="n">
        <f aca="false">I32*Inputs!$E$35</f>
        <v>0.25979096</v>
      </c>
      <c r="J46" s="131" t="n">
        <f aca="false">J32*Inputs!$E$35</f>
        <v>0.24783176</v>
      </c>
      <c r="K46" s="131" t="n">
        <f aca="false">K32*Inputs!$E$35</f>
        <v>0.25645676</v>
      </c>
      <c r="L46" s="131" t="n">
        <f aca="false">L32*Inputs!$E$35</f>
        <v>0.24725676</v>
      </c>
      <c r="M46" s="131" t="n">
        <f aca="false">M32*Inputs!$E$35</f>
        <v>0.25703176</v>
      </c>
      <c r="N46" s="131" t="n">
        <f aca="false">N32*Inputs!$E$35</f>
        <v>0.25128176</v>
      </c>
      <c r="O46" s="131" t="n">
        <f aca="false">O32*Inputs!$E$35</f>
        <v>0.25128176</v>
      </c>
      <c r="P46" s="131" t="n">
        <f aca="false">P32*Inputs!$E$35</f>
        <v>0.25128176</v>
      </c>
      <c r="Q46" s="131" t="n">
        <f aca="false">Q32*Inputs!$E$35</f>
        <v>0.25128176</v>
      </c>
      <c r="R46" s="131" t="n">
        <f aca="false">R32*Inputs!$E$35</f>
        <v>0.25128176</v>
      </c>
      <c r="S46" s="131" t="n">
        <f aca="false">S32*Inputs!$E$35</f>
        <v>0.25128176</v>
      </c>
      <c r="T46" s="131" t="n">
        <f aca="false">T32*Inputs!$E$35</f>
        <v>0.25128176</v>
      </c>
      <c r="U46" s="131" t="n">
        <f aca="false">U32*Inputs!$E$35</f>
        <v>0.25128176</v>
      </c>
      <c r="V46" s="131" t="n">
        <f aca="false">V32*Inputs!$E$35</f>
        <v>0.25128176</v>
      </c>
      <c r="W46" s="131" t="n">
        <f aca="false">W32*Inputs!$E$35</f>
        <v>0.25128176</v>
      </c>
      <c r="X46" s="131" t="n">
        <f aca="false">X32*Inputs!$E$35</f>
        <v>0.2574503</v>
      </c>
      <c r="Y46" s="131" t="n">
        <f aca="false">Y32*Inputs!$E$35</f>
        <v>0.24311888</v>
      </c>
    </row>
    <row r="47" customFormat="false" ht="15" hidden="false" customHeight="true" outlineLevel="0" collapsed="false">
      <c r="A47" s="22" t="s">
        <v>1046</v>
      </c>
      <c r="B47" s="17" t="s">
        <v>1023</v>
      </c>
      <c r="C47" s="131" t="n">
        <f aca="false">C42+C43+C44+C45+C46</f>
        <v>2.09349554831403</v>
      </c>
      <c r="D47" s="131" t="n">
        <f aca="false">D42+D43+D44+D45+D46</f>
        <v>2.03807023763192</v>
      </c>
      <c r="E47" s="131" t="n">
        <f aca="false">E42+E43+E44+E45+E46</f>
        <v>2.15815841077649</v>
      </c>
      <c r="F47" s="131" t="n">
        <f aca="false">F42+F43+F44+F45+F46</f>
        <v>2.25517376108108</v>
      </c>
      <c r="G47" s="131" t="n">
        <f aca="false">G42+G43+G44+G45+G46</f>
        <v>2.0834987979408</v>
      </c>
      <c r="H47" s="131" t="n">
        <f aca="false">H42+H43+H44+H45+H46</f>
        <v>2.05822489606178</v>
      </c>
      <c r="I47" s="131" t="n">
        <f aca="false">I42+I43+I44+I45+I46</f>
        <v>2.12876620056628</v>
      </c>
      <c r="J47" s="131" t="n">
        <f aca="false">J42+J43+J44+J45+J46</f>
        <v>2.07624554831403</v>
      </c>
      <c r="K47" s="131" t="n">
        <f aca="false">K42+K43+K44+K45+K46</f>
        <v>2.11937054831403</v>
      </c>
      <c r="L47" s="131" t="n">
        <f aca="false">L42+L43+L44+L45+L46</f>
        <v>2.07337054831403</v>
      </c>
      <c r="M47" s="131" t="n">
        <f aca="false">M42+M43+M44+M45+M46</f>
        <v>2.12224554831403</v>
      </c>
      <c r="N47" s="131" t="n">
        <f aca="false">N42+N43+N44+N45+N46</f>
        <v>2.09349554831403</v>
      </c>
      <c r="O47" s="131" t="n">
        <f aca="false">O42+O43+O44+O45+O46</f>
        <v>2.09349554831403</v>
      </c>
      <c r="P47" s="131" t="n">
        <f aca="false">P42+P43+P44+P45+P46</f>
        <v>2.09349554831403</v>
      </c>
      <c r="Q47" s="131" t="n">
        <f aca="false">Q42+Q43+Q44+Q45+Q46</f>
        <v>2.09349554831403</v>
      </c>
      <c r="R47" s="131" t="n">
        <f aca="false">R42+R43+R44+R45+R46</f>
        <v>1.92530354831403</v>
      </c>
      <c r="S47" s="131" t="n">
        <f aca="false">S42+S43+S44+S45+S46</f>
        <v>2.26168754831403</v>
      </c>
      <c r="T47" s="131" t="n">
        <f aca="false">T42+T43+T44+T45+T46</f>
        <v>2.03743154831403</v>
      </c>
      <c r="U47" s="131" t="n">
        <f aca="false">U42+U43+U44+U45+U46</f>
        <v>2.14955954831403</v>
      </c>
      <c r="V47" s="131" t="n">
        <f aca="false">V42+V43+V44+V45+V46</f>
        <v>2.00939954831403</v>
      </c>
      <c r="W47" s="131" t="n">
        <f aca="false">W42+W43+W44+W45+W46</f>
        <v>2.17759154831403</v>
      </c>
      <c r="X47" s="131" t="n">
        <f aca="false">X42+X43+X44+X45+X46</f>
        <v>2.11906415984556</v>
      </c>
      <c r="Y47" s="131" t="n">
        <f aca="false">Y42+Y43+Y44+Y45+Y46</f>
        <v>2.05966039320463</v>
      </c>
    </row>
    <row r="48" customFormat="false" ht="15" hidden="false" customHeight="true" outlineLevel="0" collapsed="false">
      <c r="A48" s="22" t="s">
        <v>1047</v>
      </c>
      <c r="B48" s="17" t="s">
        <v>1023</v>
      </c>
      <c r="C48" s="132" t="n">
        <f aca="false">C38+C39+C47</f>
        <v>8.9923042149807</v>
      </c>
      <c r="D48" s="132" t="n">
        <f aca="false">D38+D39+D47</f>
        <v>8.49115890429858</v>
      </c>
      <c r="E48" s="132" t="n">
        <f aca="false">E38+E39+E47</f>
        <v>9.57697374410982</v>
      </c>
      <c r="F48" s="132" t="n">
        <f aca="false">F38+F39+F47</f>
        <v>10.4541684277478</v>
      </c>
      <c r="G48" s="132" t="n">
        <f aca="false">G38+G39+G47</f>
        <v>8.90191546460746</v>
      </c>
      <c r="H48" s="132" t="n">
        <f aca="false">H38+H39+H47</f>
        <v>8.67339356272844</v>
      </c>
      <c r="I48" s="132" t="n">
        <f aca="false">I38+I39+I47</f>
        <v>9.31121486723295</v>
      </c>
      <c r="J48" s="132" t="n">
        <f aca="false">J38+J39+J47</f>
        <v>8.9520542149807</v>
      </c>
      <c r="K48" s="132" t="n">
        <f aca="false">K38+K39+K47</f>
        <v>9.0526792149807</v>
      </c>
      <c r="L48" s="132" t="n">
        <f aca="false">L38+L39+L47</f>
        <v>8.9319292149807</v>
      </c>
      <c r="M48" s="132" t="n">
        <f aca="false">M38+M39+M47</f>
        <v>9.0785542149807</v>
      </c>
      <c r="N48" s="132" t="n">
        <f aca="false">N38+N39+N47</f>
        <v>8.09739107212355</v>
      </c>
      <c r="O48" s="132" t="n">
        <f aca="false">O38+O39+O47</f>
        <v>12.1245002149807</v>
      </c>
      <c r="P48" s="132" t="n">
        <f aca="false">P38+P39+P47</f>
        <v>8.9923042149807</v>
      </c>
      <c r="Q48" s="132" t="n">
        <f aca="false">Q38+Q39+Q47</f>
        <v>8.9923042149807</v>
      </c>
      <c r="R48" s="132" t="n">
        <f aca="false">R38+R39+R47</f>
        <v>8.82411221498069</v>
      </c>
      <c r="S48" s="132" t="n">
        <f aca="false">S38+S39+S47</f>
        <v>9.1604962149807</v>
      </c>
      <c r="T48" s="132" t="n">
        <f aca="false">T38+T39+T47</f>
        <v>8.9362402149807</v>
      </c>
      <c r="U48" s="132" t="n">
        <f aca="false">U38+U39+U47</f>
        <v>9.0483682149807</v>
      </c>
      <c r="V48" s="132" t="n">
        <f aca="false">V38+V39+V47</f>
        <v>8.9082082149807</v>
      </c>
      <c r="W48" s="132" t="n">
        <f aca="false">W38+W39+W47</f>
        <v>9.07640021498069</v>
      </c>
      <c r="X48" s="132" t="n">
        <f aca="false">X38+X39+X47</f>
        <v>9.22349082651223</v>
      </c>
      <c r="Y48" s="132" t="n">
        <f aca="false">Y38+Y39+Y47</f>
        <v>8.6863730598713</v>
      </c>
    </row>
    <row r="49" customFormat="false" ht="15" hidden="false" customHeight="true" outlineLevel="0" collapsed="false">
      <c r="A49" s="27" t="s">
        <v>4093</v>
      </c>
      <c r="B49" s="15"/>
      <c r="C49" s="15"/>
    </row>
    <row r="50" customFormat="false" ht="15" hidden="false" customHeight="true" outlineLevel="0" collapsed="false">
      <c r="A50" s="16" t="s">
        <v>1049</v>
      </c>
      <c r="B50" s="17" t="s">
        <v>113</v>
      </c>
      <c r="C50" s="28" t="n">
        <f aca="false">Inputs!$E$28</f>
        <v>0.1</v>
      </c>
      <c r="D50" s="28" t="n">
        <f aca="false">Inputs!$E$28</f>
        <v>0.1</v>
      </c>
      <c r="E50" s="28" t="n">
        <f aca="false">Inputs!$E$28</f>
        <v>0.1</v>
      </c>
      <c r="F50" s="28" t="n">
        <f aca="false">Inputs!$E$28</f>
        <v>0.1</v>
      </c>
      <c r="G50" s="28" t="n">
        <f aca="false">Inputs!$E$28</f>
        <v>0.1</v>
      </c>
      <c r="H50" s="28" t="n">
        <f aca="false">Inputs!$E$28</f>
        <v>0.1</v>
      </c>
      <c r="I50" s="28" t="n">
        <f aca="false">Inputs!$E$28</f>
        <v>0.1</v>
      </c>
      <c r="J50" s="28" t="n">
        <f aca="false">Inputs!$E$28</f>
        <v>0.1</v>
      </c>
      <c r="K50" s="28" t="n">
        <f aca="false">Inputs!$E$28</f>
        <v>0.1</v>
      </c>
      <c r="L50" s="28" t="n">
        <f aca="false">Inputs!$E$28</f>
        <v>0.1</v>
      </c>
      <c r="M50" s="28" t="n">
        <f aca="false">Inputs!$E$28</f>
        <v>0.1</v>
      </c>
      <c r="N50" s="28" t="n">
        <f aca="false">Inputs!$E$28</f>
        <v>0.1</v>
      </c>
      <c r="O50" s="28" t="n">
        <f aca="false">Inputs!$E$28</f>
        <v>0.1</v>
      </c>
      <c r="P50" s="221" t="n">
        <f aca="false">Inputs!$D$28</f>
        <v>0.08</v>
      </c>
      <c r="Q50" s="221" t="n">
        <f aca="false">Inputs!$F$28</f>
        <v>0.13</v>
      </c>
      <c r="R50" s="28" t="n">
        <f aca="false">Inputs!$E$28</f>
        <v>0.1</v>
      </c>
      <c r="S50" s="28" t="n">
        <f aca="false">Inputs!$E$28</f>
        <v>0.1</v>
      </c>
      <c r="T50" s="28" t="n">
        <f aca="false">Inputs!$E$28</f>
        <v>0.1</v>
      </c>
      <c r="U50" s="28" t="n">
        <f aca="false">Inputs!$E$28</f>
        <v>0.1</v>
      </c>
      <c r="V50" s="28" t="n">
        <f aca="false">Inputs!$E$28</f>
        <v>0.1</v>
      </c>
      <c r="W50" s="28" t="n">
        <f aca="false">Inputs!$E$28</f>
        <v>0.1</v>
      </c>
      <c r="X50" s="28" t="n">
        <f aca="false">Inputs!$E$28</f>
        <v>0.1</v>
      </c>
      <c r="Y50" s="28" t="n">
        <f aca="false">Inputs!$E$28</f>
        <v>0.1</v>
      </c>
    </row>
    <row r="51" customFormat="false" ht="15" hidden="false" customHeight="true" outlineLevel="0" collapsed="false">
      <c r="A51" s="16" t="s">
        <v>1050</v>
      </c>
      <c r="B51" s="17" t="s">
        <v>118</v>
      </c>
      <c r="C51" s="135" t="n">
        <f aca="false">C50/(1-(1+C50)^(-C37))</f>
        <v>0.229607380362667</v>
      </c>
      <c r="D51" s="135" t="n">
        <f aca="false">D50/(1-(1+D50)^(-D37))</f>
        <v>0.229607380362667</v>
      </c>
      <c r="E51" s="135" t="n">
        <f aca="false">E50/(1-(1+E50)^(-E37))</f>
        <v>0.229607380362667</v>
      </c>
      <c r="F51" s="135" t="n">
        <f aca="false">F50/(1-(1+F50)^(-F37))</f>
        <v>0.229607380362667</v>
      </c>
      <c r="G51" s="135" t="n">
        <f aca="false">G50/(1-(1+G50)^(-G37))</f>
        <v>0.229607380362667</v>
      </c>
      <c r="H51" s="135" t="n">
        <f aca="false">H50/(1-(1+H50)^(-H37))</f>
        <v>0.229607380362667</v>
      </c>
      <c r="I51" s="135" t="n">
        <f aca="false">I50/(1-(1+I50)^(-I37))</f>
        <v>0.229607380362667</v>
      </c>
      <c r="J51" s="135" t="n">
        <f aca="false">J50/(1-(1+J50)^(-J37))</f>
        <v>0.229607380362667</v>
      </c>
      <c r="K51" s="135" t="n">
        <f aca="false">K50/(1-(1+K50)^(-K37))</f>
        <v>0.229607380362667</v>
      </c>
      <c r="L51" s="135" t="n">
        <f aca="false">L50/(1-(1+L50)^(-L37))</f>
        <v>0.229607380362667</v>
      </c>
      <c r="M51" s="135" t="n">
        <f aca="false">M50/(1-(1+M50)^(-M37))</f>
        <v>0.229607380362667</v>
      </c>
      <c r="N51" s="135" t="n">
        <f aca="false">N50/(1-(1+N50)^(-N37))</f>
        <v>0.205405499700596</v>
      </c>
      <c r="O51" s="135" t="n">
        <f aca="false">O50/(1-(1+O50)^(-O37))</f>
        <v>0.315470803706098</v>
      </c>
      <c r="P51" s="135" t="n">
        <f aca="false">P50/(1-(1+P50)^(-P37))</f>
        <v>0.21631538622901</v>
      </c>
      <c r="Q51" s="135" t="n">
        <f aca="false">Q50/(1-(1+Q50)^(-Q37))</f>
        <v>0.250153232051725</v>
      </c>
      <c r="R51" s="135" t="n">
        <f aca="false">R50/(1-(1+R50)^(-R37))</f>
        <v>0.229607380362667</v>
      </c>
      <c r="S51" s="135" t="n">
        <f aca="false">S50/(1-(1+S50)^(-S37))</f>
        <v>0.229607380362667</v>
      </c>
      <c r="T51" s="135" t="n">
        <f aca="false">T50/(1-(1+T50)^(-T37))</f>
        <v>0.229607380362667</v>
      </c>
      <c r="U51" s="135" t="n">
        <f aca="false">U50/(1-(1+U50)^(-U37))</f>
        <v>0.229607380362667</v>
      </c>
      <c r="V51" s="135" t="n">
        <f aca="false">V50/(1-(1+V50)^(-V37))</f>
        <v>0.229607380362667</v>
      </c>
      <c r="W51" s="135" t="n">
        <f aca="false">W50/(1-(1+W50)^(-W37))</f>
        <v>0.229607380362667</v>
      </c>
      <c r="X51" s="135" t="n">
        <f aca="false">X50/(1-(1+X50)^(-X37))</f>
        <v>0.229607380362667</v>
      </c>
      <c r="Y51" s="135" t="n">
        <f aca="false">Y50/(1-(1+Y50)^(-Y37))</f>
        <v>0.229607380362667</v>
      </c>
    </row>
    <row r="52" customFormat="false" ht="15" hidden="false" customHeight="true" outlineLevel="0" collapsed="false">
      <c r="A52" s="16" t="s">
        <v>1051</v>
      </c>
      <c r="B52" s="17" t="s">
        <v>1023</v>
      </c>
      <c r="C52" s="131" t="n">
        <f aca="false">C23*C51</f>
        <v>8.6301038201091</v>
      </c>
      <c r="D52" s="131" t="n">
        <f aca="false">D23*D51</f>
        <v>8.01606021065761</v>
      </c>
      <c r="E52" s="131" t="n">
        <f aca="false">E23*E51</f>
        <v>9.34648803113583</v>
      </c>
      <c r="F52" s="131" t="n">
        <f aca="false">F23*F51</f>
        <v>10.4212976287744</v>
      </c>
      <c r="G52" s="131" t="n">
        <f aca="false">G23*G51</f>
        <v>8.5193522409764</v>
      </c>
      <c r="H52" s="131" t="n">
        <f aca="false">H23*H51</f>
        <v>8.23934879591269</v>
      </c>
      <c r="I52" s="131" t="n">
        <f aca="false">I23*I51</f>
        <v>9.0208588443055</v>
      </c>
      <c r="J52" s="131" t="n">
        <f aca="false">J23*J51</f>
        <v>8.6301038201091</v>
      </c>
      <c r="K52" s="131" t="n">
        <f aca="false">K23*K51</f>
        <v>8.6301038201091</v>
      </c>
      <c r="L52" s="131" t="n">
        <f aca="false">L23*L51</f>
        <v>8.6301038201091</v>
      </c>
      <c r="M52" s="131" t="n">
        <f aca="false">M23*M51</f>
        <v>8.6301038201091</v>
      </c>
      <c r="N52" s="131" t="n">
        <f aca="false">N23*N51</f>
        <v>7.72044341448248</v>
      </c>
      <c r="O52" s="131" t="n">
        <f aca="false">O23*O51</f>
        <v>11.8573966738203</v>
      </c>
      <c r="P52" s="131" t="n">
        <f aca="false">P23*P51</f>
        <v>8.13050624981951</v>
      </c>
      <c r="Q52" s="131" t="n">
        <f aca="false">Q23*Q51</f>
        <v>9.40234743383383</v>
      </c>
      <c r="R52" s="131" t="n">
        <f aca="false">R23*R51</f>
        <v>8.6301038201091</v>
      </c>
      <c r="S52" s="131" t="n">
        <f aca="false">S23*S51</f>
        <v>8.6301038201091</v>
      </c>
      <c r="T52" s="131" t="n">
        <f aca="false">T23*T51</f>
        <v>8.6301038201091</v>
      </c>
      <c r="U52" s="131" t="n">
        <f aca="false">U23*U51</f>
        <v>8.6301038201091</v>
      </c>
      <c r="V52" s="131" t="n">
        <f aca="false">V23*V51</f>
        <v>8.6301038201091</v>
      </c>
      <c r="W52" s="131" t="n">
        <f aca="false">W23*W51</f>
        <v>8.6301038201091</v>
      </c>
      <c r="X52" s="131" t="n">
        <f aca="false">X23*X51</f>
        <v>8.91337228212156</v>
      </c>
      <c r="Y52" s="131" t="n">
        <f aca="false">Y23*Y51</f>
        <v>8.25525232150613</v>
      </c>
    </row>
    <row r="53" customFormat="false" ht="15" hidden="false" customHeight="true" outlineLevel="0" collapsed="false">
      <c r="A53" s="22" t="s">
        <v>1052</v>
      </c>
      <c r="B53" s="17" t="s">
        <v>1023</v>
      </c>
      <c r="C53" s="131" t="n">
        <f aca="false">(C25*C50/(1-(1+C50)^(-Inputs!$E$24))+C26*C50/(1-(1+C50)^(-Inputs!$E$25))+C27*C50/(1-(1+C50)^(-Inputs!$E$26))+C28*C50/(1-(1+C50)^(-Inputs!$E$27)))*(1+C29)+C24*C50</f>
        <v>1.50187163616098</v>
      </c>
      <c r="D53" s="131" t="n">
        <f aca="false">(D25*D50/(1-(1+D50)^(-Inputs!$E$24))+D26*D50/(1-(1+D50)^(-Inputs!$E$25))+D27*D50/(1-(1+D50)^(-Inputs!$E$26))+D28*D50/(1-(1+D50)^(-Inputs!$E$27)))*(1+D29)+D24*D50</f>
        <v>1.50187163616098</v>
      </c>
      <c r="E53" s="131" t="n">
        <f aca="false">(E25*E50/(1-(1+E50)^(-Inputs!$E$24))+E26*E50/(1-(1+E50)^(-Inputs!$E$25))+E27*E50/(1-(1+E50)^(-Inputs!$E$26))+E28*E50/(1-(1+E50)^(-Inputs!$E$27)))*(1+E29)+E24*E50</f>
        <v>1.50187163616098</v>
      </c>
      <c r="F53" s="131" t="n">
        <f aca="false">(F25*F50/(1-(1+F50)^(-Inputs!$E$24))+F26*F50/(1-(1+F50)^(-Inputs!$E$25))+F27*F50/(1-(1+F50)^(-Inputs!$E$26))+F28*F50/(1-(1+F50)^(-Inputs!$E$27)))*(1+F29)+F24*F50</f>
        <v>1.50187163616098</v>
      </c>
      <c r="G53" s="131" t="n">
        <f aca="false">(G25*G50/(1-(1+G50)^(-Inputs!$E$24))+G26*G50/(1-(1+G50)^(-Inputs!$E$25))+G27*G50/(1-(1+G50)^(-Inputs!$E$26))+G28*G50/(1-(1+G50)^(-Inputs!$E$27)))*(1+G29)+G24*G50</f>
        <v>1.50187163616098</v>
      </c>
      <c r="H53" s="131" t="n">
        <f aca="false">(H25*H50/(1-(1+H50)^(-Inputs!$E$24))+H26*H50/(1-(1+H50)^(-Inputs!$E$25))+H27*H50/(1-(1+H50)^(-Inputs!$E$26))+H28*H50/(1-(1+H50)^(-Inputs!$E$27)))*(1+H29)+H24*H50</f>
        <v>1.50187163616098</v>
      </c>
      <c r="I53" s="131" t="n">
        <f aca="false">(I25*I50/(1-(1+I50)^(-Inputs!$E$24))+I26*I50/(1-(1+I50)^(-Inputs!$E$25))+I27*I50/(1-(1+I50)^(-Inputs!$E$26))+I28*I50/(1-(1+I50)^(-Inputs!$E$27)))*(1+I29)+I24*I50</f>
        <v>1.50187163616098</v>
      </c>
      <c r="J53" s="131" t="n">
        <f aca="false">(J25*J50/(1-(1+J50)^(-Inputs!$E$24))+J26*J50/(1-(1+J50)^(-Inputs!$E$25))+J27*J50/(1-(1+J50)^(-Inputs!$E$26))+J28*J50/(1-(1+J50)^(-Inputs!$E$27)))*(1+J29)+J24*J50</f>
        <v>1.42867695486666</v>
      </c>
      <c r="K53" s="131" t="n">
        <f aca="false">(K25*K50/(1-(1+K50)^(-Inputs!$E$24))+K26*K50/(1-(1+K50)^(-Inputs!$E$25))+K27*K50/(1-(1+K50)^(-Inputs!$E$26))+K28*K50/(1-(1+K50)^(-Inputs!$E$27)))*(1+K29)+K24*K50</f>
        <v>1.61166365810245</v>
      </c>
      <c r="L53" s="131" t="n">
        <f aca="false">(L25*L50/(1-(1+L50)^(-Inputs!$E$24))+L26*L50/(1-(1+L50)^(-Inputs!$E$25))+L27*L50/(1-(1+L50)^(-Inputs!$E$26))+L28*L50/(1-(1+L50)^(-Inputs!$E$27)))*(1+L29)+L24*L50</f>
        <v>1.40731663821908</v>
      </c>
      <c r="M53" s="131" t="n">
        <f aca="false">(M25*M50/(1-(1+M50)^(-Inputs!$E$24))+M26*M50/(1-(1+M50)^(-Inputs!$E$25))+M27*M50/(1-(1+M50)^(-Inputs!$E$26))+M28*M50/(1-(1+M50)^(-Inputs!$E$27)))*(1+M29)+M24*M50</f>
        <v>1.63695020464941</v>
      </c>
      <c r="N53" s="131" t="n">
        <f aca="false">(N25*N50/(1-(1+N50)^(-Inputs!$E$24))+N26*N50/(1-(1+N50)^(-Inputs!$E$25))+N27*N50/(1-(1+N50)^(-Inputs!$E$26))+N28*N50/(1-(1+N50)^(-Inputs!$E$27)))*(1+N29)+N24*N50</f>
        <v>1.50187163616098</v>
      </c>
      <c r="O53" s="131" t="n">
        <f aca="false">(O25*O50/(1-(1+O50)^(-Inputs!$E$24))+O26*O50/(1-(1+O50)^(-Inputs!$E$25))+O27*O50/(1-(1+O50)^(-Inputs!$E$26))+O28*O50/(1-(1+O50)^(-Inputs!$E$27)))*(1+O29)+O24*O50</f>
        <v>1.50187163616098</v>
      </c>
      <c r="P53" s="131" t="n">
        <f aca="false">(P25*P50/(1-(1+P50)^(-Inputs!$E$24))+P26*P50/(1-(1+P50)^(-Inputs!$E$25))+P27*P50/(1-(1+P50)^(-Inputs!$E$26))+P28*P50/(1-(1+P50)^(-Inputs!$E$27)))*(1+P29)+P24*P50</f>
        <v>1.30086926137482</v>
      </c>
      <c r="Q53" s="131" t="n">
        <f aca="false">(Q25*Q50/(1-(1+Q50)^(-Inputs!$E$24))+Q26*Q50/(1-(1+Q50)^(-Inputs!$E$25))+Q27*Q50/(1-(1+Q50)^(-Inputs!$E$26))+Q28*Q50/(1-(1+Q50)^(-Inputs!$E$27)))*(1+Q29)+Q24*Q50</f>
        <v>1.82125675978435</v>
      </c>
      <c r="R53" s="131" t="n">
        <f aca="false">(R25*R50/(1-(1+R50)^(-Inputs!$E$24))+R26*R50/(1-(1+R50)^(-Inputs!$E$25))+R27*R50/(1-(1+R50)^(-Inputs!$E$26))+R28*R50/(1-(1+R50)^(-Inputs!$E$27)))*(1+R29)+R24*R50</f>
        <v>1.50187163616098</v>
      </c>
      <c r="S53" s="131" t="n">
        <f aca="false">(S25*S50/(1-(1+S50)^(-Inputs!$E$24))+S26*S50/(1-(1+S50)^(-Inputs!$E$25))+S27*S50/(1-(1+S50)^(-Inputs!$E$26))+S28*S50/(1-(1+S50)^(-Inputs!$E$27)))*(1+S29)+S24*S50</f>
        <v>1.50187163616098</v>
      </c>
      <c r="T53" s="131" t="n">
        <f aca="false">(T25*T50/(1-(1+T50)^(-Inputs!$E$24))+T26*T50/(1-(1+T50)^(-Inputs!$E$25))+T27*T50/(1-(1+T50)^(-Inputs!$E$26))+T28*T50/(1-(1+T50)^(-Inputs!$E$27)))*(1+T29)+T24*T50</f>
        <v>1.50187163616098</v>
      </c>
      <c r="U53" s="131" t="n">
        <f aca="false">(U25*U50/(1-(1+U50)^(-Inputs!$E$24))+U26*U50/(1-(1+U50)^(-Inputs!$E$25))+U27*U50/(1-(1+U50)^(-Inputs!$E$26))+U28*U50/(1-(1+U50)^(-Inputs!$E$27)))*(1+U29)+U24*U50</f>
        <v>1.50187163616098</v>
      </c>
      <c r="V53" s="131" t="n">
        <f aca="false">(V25*V50/(1-(1+V50)^(-Inputs!$E$24))+V26*V50/(1-(1+V50)^(-Inputs!$E$25))+V27*V50/(1-(1+V50)^(-Inputs!$E$26))+V28*V50/(1-(1+V50)^(-Inputs!$E$27)))*(1+V29)+V24*V50</f>
        <v>1.50187163616098</v>
      </c>
      <c r="W53" s="131" t="n">
        <f aca="false">(W25*W50/(1-(1+W50)^(-Inputs!$E$24))+W26*W50/(1-(1+W50)^(-Inputs!$E$25))+W27*W50/(1-(1+W50)^(-Inputs!$E$26))+W28*W50/(1-(1+W50)^(-Inputs!$E$27)))*(1+W29)+W24*W50</f>
        <v>1.50187163616098</v>
      </c>
      <c r="X53" s="131" t="n">
        <f aca="false">(X25*X50/(1-(1+X50)^(-Inputs!$E$24))+X26*X50/(1-(1+X50)^(-Inputs!$E$25))+X27*X50/(1-(1+X50)^(-Inputs!$E$26))+X28*X50/(1-(1+X50)^(-Inputs!$E$27)))*(1+X29)+X24*X50</f>
        <v>1.50187163616098</v>
      </c>
      <c r="Y53" s="131" t="n">
        <f aca="false">(Y25*Y50/(1-(1+Y50)^(-Inputs!$E$24))+Y26*Y50/(1-(1+Y50)^(-Inputs!$E$25))+Y27*Y50/(1-(1+Y50)^(-Inputs!$E$26))+Y28*Y50/(1-(1+Y50)^(-Inputs!$E$27)))*(1+Y29)+Y24*Y50</f>
        <v>1.50187163616098</v>
      </c>
    </row>
    <row r="54" customFormat="false" ht="15" hidden="false" customHeight="true" outlineLevel="0" collapsed="false">
      <c r="A54" s="22" t="s">
        <v>1053</v>
      </c>
      <c r="B54" s="17" t="s">
        <v>1023</v>
      </c>
      <c r="C54" s="132" t="n">
        <f aca="false">C52+C53+C47</f>
        <v>12.2254710045841</v>
      </c>
      <c r="D54" s="132" t="n">
        <f aca="false">D52+D53+D47</f>
        <v>11.5560020844505</v>
      </c>
      <c r="E54" s="132" t="n">
        <f aca="false">E52+E53+E47</f>
        <v>13.0065180780733</v>
      </c>
      <c r="F54" s="132" t="n">
        <f aca="false">F52+F53+F47</f>
        <v>14.1783430260165</v>
      </c>
      <c r="G54" s="132" t="n">
        <f aca="false">G52+G53+G47</f>
        <v>12.1047226750782</v>
      </c>
      <c r="H54" s="132" t="n">
        <f aca="false">H52+H53+H47</f>
        <v>11.7994453281354</v>
      </c>
      <c r="I54" s="132" t="n">
        <f aca="false">I52+I53+I47</f>
        <v>12.6514966810328</v>
      </c>
      <c r="J54" s="132" t="n">
        <f aca="false">J52+J53+J47</f>
        <v>12.1350263232898</v>
      </c>
      <c r="K54" s="132" t="n">
        <f aca="false">K52+K53+K47</f>
        <v>12.3611380265256</v>
      </c>
      <c r="L54" s="132" t="n">
        <f aca="false">L52+L53+L47</f>
        <v>12.1107910066422</v>
      </c>
      <c r="M54" s="132" t="n">
        <f aca="false">M52+M53+M47</f>
        <v>12.3892995730725</v>
      </c>
      <c r="N54" s="132" t="n">
        <f aca="false">N52+N53+N47</f>
        <v>11.3158105989575</v>
      </c>
      <c r="O54" s="132" t="n">
        <f aca="false">O52+O53+O47</f>
        <v>15.4527638582953</v>
      </c>
      <c r="P54" s="132" t="n">
        <f aca="false">P52+P53+P47</f>
        <v>11.5248710595084</v>
      </c>
      <c r="Q54" s="132" t="n">
        <f aca="false">Q52+Q53+Q47</f>
        <v>13.3170997419322</v>
      </c>
      <c r="R54" s="132" t="n">
        <f aca="false">R52+R53+R47</f>
        <v>12.0572790045841</v>
      </c>
      <c r="S54" s="132" t="n">
        <f aca="false">S52+S53+S47</f>
        <v>12.3936630045841</v>
      </c>
      <c r="T54" s="132" t="n">
        <f aca="false">T52+T53+T47</f>
        <v>12.1694070045841</v>
      </c>
      <c r="U54" s="132" t="n">
        <f aca="false">U52+U53+U47</f>
        <v>12.2815350045841</v>
      </c>
      <c r="V54" s="132" t="n">
        <f aca="false">V52+V53+V47</f>
        <v>12.1413750045841</v>
      </c>
      <c r="W54" s="132" t="n">
        <f aca="false">W52+W53+W47</f>
        <v>12.3095670045841</v>
      </c>
      <c r="X54" s="132" t="n">
        <f aca="false">X52+X53+X47</f>
        <v>12.5343080781281</v>
      </c>
      <c r="Y54" s="132" t="n">
        <f aca="false">Y52+Y53+Y47</f>
        <v>11.8167843508717</v>
      </c>
    </row>
    <row r="55" customFormat="false" ht="15" hidden="false" customHeight="true" outlineLevel="0" collapsed="false">
      <c r="A55" s="27" t="s">
        <v>1054</v>
      </c>
      <c r="B55" s="15"/>
      <c r="C55" s="15"/>
    </row>
    <row r="56" customFormat="false" ht="15" hidden="false" customHeight="true" outlineLevel="0" collapsed="false">
      <c r="A56" s="22" t="s">
        <v>1055</v>
      </c>
      <c r="B56" s="17" t="s">
        <v>985</v>
      </c>
      <c r="C56" s="131" t="n">
        <f aca="false">C48*1000000000/(C13*8760)</f>
        <v>3.51855992240582</v>
      </c>
      <c r="D56" s="131" t="n">
        <f aca="false">D48*1000000000/(D13*8760)</f>
        <v>3.32246893578972</v>
      </c>
      <c r="E56" s="131" t="n">
        <f aca="false">E48*1000000000/(E13*8760)</f>
        <v>3.7473327401246</v>
      </c>
      <c r="F56" s="131" t="n">
        <f aca="false">F48*1000000000/(F13*8760)</f>
        <v>3.38748729007889</v>
      </c>
      <c r="G56" s="131" t="n">
        <f aca="false">G48*1000000000/(G13*8760)</f>
        <v>3.528473595497</v>
      </c>
      <c r="H56" s="131" t="n">
        <f aca="false">H48*1000000000/(H13*8760)</f>
        <v>3.39377474910466</v>
      </c>
      <c r="I56" s="131" t="n">
        <f aca="false">I48*1000000000/(I13*8760)</f>
        <v>3.64334509570697</v>
      </c>
      <c r="J56" s="131" t="n">
        <f aca="false">J48*1000000000/(J13*8760)</f>
        <v>3.50281067354912</v>
      </c>
      <c r="K56" s="131" t="n">
        <f aca="false">K48*1000000000/(K13*8760)</f>
        <v>3.54218379569086</v>
      </c>
      <c r="L56" s="131" t="n">
        <f aca="false">L48*1000000000/(L13*8760)</f>
        <v>3.49493604912077</v>
      </c>
      <c r="M56" s="131" t="n">
        <f aca="false">M48*1000000000/(M13*8760)</f>
        <v>3.55230831281302</v>
      </c>
      <c r="N56" s="131" t="n">
        <f aca="false">N48*1000000000/(N13*8760)</f>
        <v>3.16839321949939</v>
      </c>
      <c r="O56" s="131" t="n">
        <f aca="false">O48*1000000000/(O13*8760)</f>
        <v>4.74414338257832</v>
      </c>
      <c r="P56" s="131" t="n">
        <f aca="false">P48*1000000000/(P13*8760)</f>
        <v>3.51855992240582</v>
      </c>
      <c r="Q56" s="131" t="n">
        <f aca="false">Q48*1000000000/(Q13*8760)</f>
        <v>3.51855992240582</v>
      </c>
      <c r="R56" s="131" t="n">
        <f aca="false">R48*1000000000/(R13*8760)</f>
        <v>3.45274880032618</v>
      </c>
      <c r="S56" s="131" t="n">
        <f aca="false">S48*1000000000/(S13*8760)</f>
        <v>3.58437104448545</v>
      </c>
      <c r="T56" s="131" t="n">
        <f aca="false">T48*1000000000/(T13*8760)</f>
        <v>3.49662288171261</v>
      </c>
      <c r="U56" s="131" t="n">
        <f aca="false">U48*1000000000/(U13*8760)</f>
        <v>3.54049696309903</v>
      </c>
      <c r="V56" s="131" t="n">
        <f aca="false">V48*1000000000/(V13*8760)</f>
        <v>3.485654361366</v>
      </c>
      <c r="W56" s="131" t="n">
        <f aca="false">W48*1000000000/(W13*8760)</f>
        <v>3.55146548344563</v>
      </c>
      <c r="X56" s="131" t="n">
        <f aca="false">X48*1000000000/(X13*8760)</f>
        <v>3.49432467709515</v>
      </c>
      <c r="Y56" s="131" t="n">
        <f aca="false">Y48*1000000000/(Y13*8760)</f>
        <v>3.55318734290371</v>
      </c>
    </row>
    <row r="57" customFormat="false" ht="15" hidden="false" customHeight="true" outlineLevel="0" collapsed="false">
      <c r="A57" s="22" t="s">
        <v>1056</v>
      </c>
      <c r="B57" s="17" t="s">
        <v>985</v>
      </c>
      <c r="C57" s="132" t="n">
        <f aca="false">C54*1000000000/(C13*8760)</f>
        <v>4.78365180724219</v>
      </c>
      <c r="D57" s="132" t="n">
        <f aca="false">D54*1000000000/(D13*8760)</f>
        <v>4.52169820165197</v>
      </c>
      <c r="E57" s="132" t="n">
        <f aca="false">E54*1000000000/(E13*8760)</f>
        <v>5.08926434709746</v>
      </c>
      <c r="F57" s="132" t="n">
        <f aca="false">F54*1000000000/(F13*8760)</f>
        <v>4.59423981227714</v>
      </c>
      <c r="G57" s="132" t="n">
        <f aca="false">G54*1000000000/(G13*8760)</f>
        <v>4.79797797559859</v>
      </c>
      <c r="H57" s="132" t="n">
        <f aca="false">H54*1000000000/(H13*8760)</f>
        <v>4.61695405823023</v>
      </c>
      <c r="I57" s="132" t="n">
        <f aca="false">I54*1000000000/(I13*8760)</f>
        <v>4.95034955625416</v>
      </c>
      <c r="J57" s="132" t="n">
        <f aca="false">J54*1000000000/(J13*8760)</f>
        <v>4.74826209808769</v>
      </c>
      <c r="K57" s="132" t="n">
        <f aca="false">K54*1000000000/(K13*8760)</f>
        <v>4.83673637097394</v>
      </c>
      <c r="L57" s="132" t="n">
        <f aca="false">L54*1000000000/(L13*8760)</f>
        <v>4.73877916559071</v>
      </c>
      <c r="M57" s="132" t="n">
        <f aca="false">M54*1000000000/(M13*8760)</f>
        <v>4.84775558103003</v>
      </c>
      <c r="N57" s="132" t="n">
        <f aca="false">N54*1000000000/(N13*8760)</f>
        <v>4.42771471150815</v>
      </c>
      <c r="O57" s="132" t="n">
        <f aca="false">O54*1000000000/(O13*8760)</f>
        <v>6.04644530504417</v>
      </c>
      <c r="P57" s="132" t="n">
        <f aca="false">P54*1000000000/(P13*8760)</f>
        <v>4.50951707720531</v>
      </c>
      <c r="Q57" s="132" t="n">
        <f aca="false">Q54*1000000000/(Q13*8760)</f>
        <v>5.21079050646243</v>
      </c>
      <c r="R57" s="132" t="n">
        <f aca="false">R54*1000000000/(R13*8760)</f>
        <v>4.71784068516256</v>
      </c>
      <c r="S57" s="132" t="n">
        <f aca="false">S54*1000000000/(S13*8760)</f>
        <v>4.84946292932183</v>
      </c>
      <c r="T57" s="132" t="n">
        <f aca="false">T54*1000000000/(T13*8760)</f>
        <v>4.76171476654898</v>
      </c>
      <c r="U57" s="132" t="n">
        <f aca="false">U54*1000000000/(U13*8760)</f>
        <v>4.80558884793541</v>
      </c>
      <c r="V57" s="132" t="n">
        <f aca="false">V54*1000000000/(V13*8760)</f>
        <v>4.75074624620238</v>
      </c>
      <c r="W57" s="132" t="n">
        <f aca="false">W54*1000000000/(W13*8760)</f>
        <v>4.81655736828201</v>
      </c>
      <c r="X57" s="132" t="n">
        <f aca="false">X54*1000000000/(X13*8760)</f>
        <v>4.74862965134841</v>
      </c>
      <c r="Y57" s="132" t="n">
        <f aca="false">Y54*1000000000/(Y13*8760)</f>
        <v>4.83369161097972</v>
      </c>
    </row>
    <row r="58" customFormat="false" ht="15" hidden="false" customHeight="true" outlineLevel="0" collapsed="false">
      <c r="A58" s="22" t="s">
        <v>1057</v>
      </c>
      <c r="B58" s="17" t="s">
        <v>1058</v>
      </c>
      <c r="C58" s="18" t="n">
        <f aca="false">C54*1000000000/(C11*8760)</f>
        <v>344.422930121438</v>
      </c>
      <c r="D58" s="18" t="n">
        <f aca="false">D54*1000000000/(D11*8760)</f>
        <v>325.562270518942</v>
      </c>
      <c r="E58" s="18" t="n">
        <f aca="false">E54*1000000000/(E11*8760)</f>
        <v>366.427032991017</v>
      </c>
      <c r="F58" s="18" t="n">
        <f aca="false">F54*1000000000/(F11*8760)</f>
        <v>330.785266483954</v>
      </c>
      <c r="G58" s="18" t="n">
        <f aca="false">G54*1000000000/(G11*8760)</f>
        <v>345.454414243099</v>
      </c>
      <c r="H58" s="18" t="n">
        <f aca="false">H54*1000000000/(H11*8760)</f>
        <v>332.420692192577</v>
      </c>
      <c r="I58" s="18" t="n">
        <f aca="false">I54*1000000000/(I11*8760)</f>
        <v>356.425168050299</v>
      </c>
      <c r="J58" s="18" t="n">
        <f aca="false">J54*1000000000/(J11*8760)</f>
        <v>341.874871062314</v>
      </c>
      <c r="K58" s="18" t="n">
        <f aca="false">K54*1000000000/(K11*8760)</f>
        <v>348.245018710124</v>
      </c>
      <c r="L58" s="18" t="n">
        <f aca="false">L54*1000000000/(L11*8760)</f>
        <v>341.192099922531</v>
      </c>
      <c r="M58" s="18" t="n">
        <f aca="false">M54*1000000000/(M11*8760)</f>
        <v>349.038401834162</v>
      </c>
      <c r="N58" s="18" t="n">
        <f aca="false">N54*1000000000/(N11*8760)</f>
        <v>318.795459228587</v>
      </c>
      <c r="O58" s="18" t="n">
        <f aca="false">O54*1000000000/(O11*8760)</f>
        <v>435.34406196318</v>
      </c>
      <c r="P58" s="18" t="n">
        <f aca="false">P54*1000000000/(P11*8760)</f>
        <v>324.685229558783</v>
      </c>
      <c r="Q58" s="18" t="n">
        <f aca="false">Q54*1000000000/(Q11*8760)</f>
        <v>375.176916465295</v>
      </c>
      <c r="R58" s="18" t="n">
        <f aca="false">R54*1000000000/(R11*8760)</f>
        <v>339.684529331705</v>
      </c>
      <c r="S58" s="18" t="n">
        <f aca="false">S54*1000000000/(S11*8760)</f>
        <v>349.161330911172</v>
      </c>
      <c r="T58" s="18" t="n">
        <f aca="false">T54*1000000000/(T11*8760)</f>
        <v>342.843463191527</v>
      </c>
      <c r="U58" s="18" t="n">
        <f aca="false">U54*1000000000/(U11*8760)</f>
        <v>346.002397051349</v>
      </c>
      <c r="V58" s="18" t="n">
        <f aca="false">V54*1000000000/(V11*8760)</f>
        <v>342.053729726571</v>
      </c>
      <c r="W58" s="18" t="n">
        <f aca="false">W54*1000000000/(W11*8760)</f>
        <v>346.792130516305</v>
      </c>
      <c r="X58" s="18" t="n">
        <f aca="false">X54*1000000000/(X11*8760)</f>
        <v>341.901334897086</v>
      </c>
      <c r="Y58" s="18" t="n">
        <f aca="false">Y54*1000000000/(Y11*8760)</f>
        <v>348.02579599054</v>
      </c>
    </row>
    <row r="59" customFormat="false" ht="15" hidden="false" customHeight="true" outlineLevel="0" collapsed="false">
      <c r="A59" s="22" t="s">
        <v>1059</v>
      </c>
      <c r="B59" s="17" t="s">
        <v>1060</v>
      </c>
      <c r="C59" s="131" t="n">
        <f aca="false">C7*C40*C14*8760/1000000</f>
        <v>8.4096</v>
      </c>
      <c r="D59" s="131" t="n">
        <f aca="false">D7*D40*D14*8760/1000000</f>
        <v>8.4096</v>
      </c>
      <c r="E59" s="131" t="n">
        <f aca="false">E7*E40*E14*8760/1000000</f>
        <v>8.4096</v>
      </c>
      <c r="F59" s="131" t="n">
        <f aca="false">F7*F40*F14*8760/1000000</f>
        <v>8.4096</v>
      </c>
      <c r="G59" s="131" t="n">
        <f aca="false">G7*G40*G14*8760/1000000</f>
        <v>8.4096</v>
      </c>
      <c r="H59" s="131" t="n">
        <f aca="false">H7*H40*H14*8760/1000000</f>
        <v>8.4096</v>
      </c>
      <c r="I59" s="131" t="n">
        <f aca="false">I7*I40*I14*8760/1000000</f>
        <v>8.4096</v>
      </c>
      <c r="J59" s="131" t="n">
        <f aca="false">J7*J40*J14*8760/1000000</f>
        <v>8.4096</v>
      </c>
      <c r="K59" s="131" t="n">
        <f aca="false">K7*K40*K14*8760/1000000</f>
        <v>8.4096</v>
      </c>
      <c r="L59" s="131" t="n">
        <f aca="false">L7*L40*L14*8760/1000000</f>
        <v>8.4096</v>
      </c>
      <c r="M59" s="131" t="n">
        <f aca="false">M7*M40*M14*8760/1000000</f>
        <v>8.4096</v>
      </c>
      <c r="N59" s="131" t="n">
        <f aca="false">N7*N40*N14*8760/1000000</f>
        <v>8.4096</v>
      </c>
      <c r="O59" s="131" t="n">
        <f aca="false">O7*O40*O14*8760/1000000</f>
        <v>8.4096</v>
      </c>
      <c r="P59" s="131" t="n">
        <f aca="false">P7*P40*P14*8760/1000000</f>
        <v>8.4096</v>
      </c>
      <c r="Q59" s="131" t="n">
        <f aca="false">Q7*Q40*Q14*8760/1000000</f>
        <v>8.4096</v>
      </c>
      <c r="R59" s="131" t="n">
        <f aca="false">R7*R40*R14*8760/1000000</f>
        <v>8.4096</v>
      </c>
      <c r="S59" s="131" t="n">
        <f aca="false">S7*S40*S14*8760/1000000</f>
        <v>8.4096</v>
      </c>
      <c r="T59" s="131" t="n">
        <f aca="false">T7*T40*T14*8760/1000000</f>
        <v>7.7088</v>
      </c>
      <c r="U59" s="131" t="n">
        <f aca="false">U7*U40*U14*8760/1000000</f>
        <v>9.1104</v>
      </c>
      <c r="V59" s="131" t="n">
        <f aca="false">V7*V40*V14*8760/1000000</f>
        <v>7.3584</v>
      </c>
      <c r="W59" s="131" t="n">
        <f aca="false">W7*W40*W14*8760/1000000</f>
        <v>9.4608</v>
      </c>
      <c r="X59" s="131" t="n">
        <f aca="false">X7*X40*X14*8760/1000000</f>
        <v>8.4096</v>
      </c>
      <c r="Y59" s="131" t="n">
        <f aca="false">Y7*Y40*Y14*8760/1000000</f>
        <v>8.4096</v>
      </c>
    </row>
    <row r="60" customFormat="false" ht="15" hidden="false" customHeight="true" outlineLevel="0" collapsed="false">
      <c r="A60" s="22" t="s">
        <v>1061</v>
      </c>
      <c r="B60" s="17" t="s">
        <v>113</v>
      </c>
      <c r="C60" s="24" t="n">
        <f aca="false">(C52+C53)/C54</f>
        <v>0.82875951793358</v>
      </c>
      <c r="D60" s="24" t="n">
        <f aca="false">(D52+D53)/D54</f>
        <v>0.823635352197254</v>
      </c>
      <c r="E60" s="24" t="n">
        <f aca="false">(E52+E53)/E54</f>
        <v>0.834071009795099</v>
      </c>
      <c r="F60" s="24" t="n">
        <f aca="false">(F52+F53)/F54</f>
        <v>0.840942361392797</v>
      </c>
      <c r="G60" s="24" t="n">
        <f aca="false">(G52+G53)/G54</f>
        <v>0.827877196870407</v>
      </c>
      <c r="H60" s="24" t="n">
        <f aca="false">(H52+H53)/H54</f>
        <v>0.825565961888565</v>
      </c>
      <c r="I60" s="24" t="n">
        <f aca="false">(I52+I53)/I54</f>
        <v>0.83173799478146</v>
      </c>
      <c r="J60" s="24" t="n">
        <f aca="false">(J52+J53)/J54</f>
        <v>0.828904734691077</v>
      </c>
      <c r="K60" s="24" t="n">
        <f aca="false">(K52+K53)/K54</f>
        <v>0.828545677285853</v>
      </c>
      <c r="L60" s="24" t="n">
        <f aca="false">(L52+L53)/L54</f>
        <v>0.828799741719853</v>
      </c>
      <c r="M60" s="24" t="n">
        <f aca="false">(M52+M53)/M54</f>
        <v>0.828703347126531</v>
      </c>
      <c r="N60" s="24" t="n">
        <f aca="false">(N52+N53)/N54</f>
        <v>0.81499376204592</v>
      </c>
      <c r="O60" s="24" t="n">
        <f aca="false">(O52+O53)/O54</f>
        <v>0.864522905577813</v>
      </c>
      <c r="P60" s="24" t="n">
        <f aca="false">(P52+P53)/P54</f>
        <v>0.818349763957938</v>
      </c>
      <c r="Q60" s="24" t="n">
        <f aca="false">(Q52+Q53)/Q54</f>
        <v>0.842796435493974</v>
      </c>
      <c r="R60" s="24" t="n">
        <f aca="false">(R52+R53)/R54</f>
        <v>0.840320229167622</v>
      </c>
      <c r="S60" s="24" t="n">
        <f aca="false">(S52+S53)/S54</f>
        <v>0.817512583045264</v>
      </c>
      <c r="T60" s="24" t="n">
        <f aca="false">(T52+T53)/T54</f>
        <v>0.832577581837262</v>
      </c>
      <c r="U60" s="24" t="n">
        <f aca="false">(U52+U53)/U54</f>
        <v>0.824976312202693</v>
      </c>
      <c r="V60" s="24" t="n">
        <f aca="false">(V52+V53)/V54</f>
        <v>0.834499836504897</v>
      </c>
      <c r="W60" s="24" t="n">
        <f aca="false">(W52+W53)/W54</f>
        <v>0.823097632312892</v>
      </c>
      <c r="X60" s="24" t="n">
        <f aca="false">(X52+X53)/X54</f>
        <v>0.830938880180929</v>
      </c>
      <c r="Y60" s="24" t="n">
        <f aca="false">(Y52+Y53)/Y54</f>
        <v>0.825700433210268</v>
      </c>
    </row>
    <row r="61" customFormat="false" ht="15" hidden="false" customHeight="true" outlineLevel="0" collapsed="false">
      <c r="A61" s="22" t="s">
        <v>1062</v>
      </c>
      <c r="B61" s="17" t="s">
        <v>113</v>
      </c>
      <c r="C61" s="24" t="n">
        <f aca="false">C42/C54</f>
        <v>0.0550300270433537</v>
      </c>
      <c r="D61" s="24" t="n">
        <f aca="false">D42/D54</f>
        <v>0.0582180580345569</v>
      </c>
      <c r="E61" s="24" t="n">
        <f aca="false">E42/E54</f>
        <v>0.0517254499599065</v>
      </c>
      <c r="F61" s="24" t="n">
        <f aca="false">F42/F54</f>
        <v>0.0474503966200782</v>
      </c>
      <c r="G61" s="24" t="n">
        <f aca="false">G42/G54</f>
        <v>0.0555789684785699</v>
      </c>
      <c r="H61" s="24" t="n">
        <f aca="false">H42/H54</f>
        <v>0.0570169174305002</v>
      </c>
      <c r="I61" s="24" t="n">
        <f aca="false">I42/I54</f>
        <v>0.0531769494915665</v>
      </c>
      <c r="J61" s="24" t="n">
        <f aca="false">J42/J54</f>
        <v>0.0554401764014974</v>
      </c>
      <c r="K61" s="24" t="n">
        <f aca="false">K42/K54</f>
        <v>0.0544260567721449</v>
      </c>
      <c r="L61" s="24" t="n">
        <f aca="false">L42/L54</f>
        <v>0.0555511196280258</v>
      </c>
      <c r="M61" s="24" t="n">
        <f aca="false">M42/M54</f>
        <v>0.0543023434078731</v>
      </c>
      <c r="N61" s="24" t="n">
        <f aca="false">N42/N54</f>
        <v>0.0594538052856754</v>
      </c>
      <c r="O61" s="24" t="n">
        <f aca="false">O42/O54</f>
        <v>0.0435370660012285</v>
      </c>
      <c r="P61" s="24" t="n">
        <f aca="false">P42/P54</f>
        <v>0.0583753168713282</v>
      </c>
      <c r="Q61" s="24" t="n">
        <f aca="false">Q42/Q54</f>
        <v>0.0505191079917816</v>
      </c>
      <c r="R61" s="24" t="n">
        <f aca="false">R42/R54</f>
        <v>0.041848247835035</v>
      </c>
      <c r="S61" s="24" t="n">
        <f aca="false">S42/S54</f>
        <v>0.0678540315069847</v>
      </c>
      <c r="T61" s="24" t="n">
        <f aca="false">T42/T54</f>
        <v>0.0506765859476714</v>
      </c>
      <c r="U61" s="24" t="n">
        <f aca="false">U42/U54</f>
        <v>0.0593437220777339</v>
      </c>
      <c r="V61" s="24" t="n">
        <f aca="false">V42/V54</f>
        <v>0.048484788566183</v>
      </c>
      <c r="W61" s="24" t="n">
        <f aca="false">W42/W54</f>
        <v>0.0614858345316405</v>
      </c>
      <c r="X61" s="24" t="n">
        <f aca="false">X42/X54</f>
        <v>0.0536741235181506</v>
      </c>
      <c r="Y61" s="24" t="n">
        <f aca="false">Y42/Y54</f>
        <v>0.0569332552768782</v>
      </c>
    </row>
    <row r="64" customFormat="false" ht="15" hidden="false" customHeight="true" outlineLevel="0" collapsed="false">
      <c r="A64" s="14" t="s">
        <v>4094</v>
      </c>
      <c r="B64" s="15"/>
      <c r="C64" s="15"/>
      <c r="D64" s="15"/>
      <c r="E64" s="15"/>
      <c r="F64" s="15"/>
      <c r="G64" s="15"/>
      <c r="H64" s="15"/>
      <c r="I64" s="15"/>
      <c r="J64" s="15"/>
    </row>
    <row r="65" customFormat="false" ht="15" hidden="false" customHeight="true" outlineLevel="0" collapsed="false">
      <c r="A65" s="36" t="s">
        <v>4095</v>
      </c>
      <c r="B65" s="36"/>
      <c r="C65" s="36" t="s">
        <v>4096</v>
      </c>
      <c r="D65" s="36" t="s">
        <v>4097</v>
      </c>
      <c r="E65" s="36" t="s">
        <v>4098</v>
      </c>
      <c r="F65" s="36" t="s">
        <v>4099</v>
      </c>
      <c r="G65" s="36" t="s">
        <v>4100</v>
      </c>
      <c r="H65" s="36" t="s">
        <v>4101</v>
      </c>
      <c r="I65" s="225" t="s">
        <v>4102</v>
      </c>
      <c r="J65" s="225" t="s">
        <v>4103</v>
      </c>
    </row>
    <row r="66" customFormat="false" ht="15" hidden="false" customHeight="true" outlineLevel="0" collapsed="false">
      <c r="A66" s="22" t="s">
        <v>97</v>
      </c>
      <c r="C66" s="39" t="n">
        <f aca="false">C32</f>
        <v>50.256352</v>
      </c>
      <c r="F66" s="131" t="n">
        <f aca="false">C54</f>
        <v>12.2254710045841</v>
      </c>
      <c r="I66" s="131" t="n">
        <f aca="false">C57</f>
        <v>4.78365180724219</v>
      </c>
    </row>
    <row r="67" customFormat="false" ht="15" hidden="false" customHeight="true" outlineLevel="0" collapsed="false">
      <c r="A67" s="22" t="s">
        <v>4104</v>
      </c>
      <c r="C67" s="39" t="n">
        <f aca="false">D32</f>
        <v>47.582032</v>
      </c>
      <c r="D67" s="39" t="n">
        <f aca="false">E32</f>
        <v>53.376392</v>
      </c>
      <c r="E67" s="226" t="n">
        <f aca="false">ABS(D67-C67)</f>
        <v>5.79436</v>
      </c>
      <c r="F67" s="131" t="n">
        <f aca="false">D54</f>
        <v>11.5560020844505</v>
      </c>
      <c r="G67" s="131" t="n">
        <f aca="false">E54</f>
        <v>13.0065180780733</v>
      </c>
      <c r="H67" s="132" t="n">
        <f aca="false">ABS(G67-F67)</f>
        <v>1.4505159936228</v>
      </c>
      <c r="I67" s="131" t="n">
        <f aca="false">D57</f>
        <v>4.52169820165197</v>
      </c>
      <c r="J67" s="131" t="n">
        <f aca="false">E57</f>
        <v>5.08926434709746</v>
      </c>
    </row>
    <row r="68" customFormat="false" ht="15" hidden="false" customHeight="true" outlineLevel="0" collapsed="false">
      <c r="A68" s="22" t="s">
        <v>4105</v>
      </c>
      <c r="C68" s="39" t="n">
        <f aca="false">F32</f>
        <v>58.057468</v>
      </c>
      <c r="D68" s="39" t="n">
        <f aca="false">G32</f>
        <v>49.774</v>
      </c>
      <c r="E68" s="226" t="n">
        <f aca="false">ABS(D68-C68)</f>
        <v>8.28346800000001</v>
      </c>
      <c r="F68" s="131" t="n">
        <f aca="false">F54</f>
        <v>14.1783430260165</v>
      </c>
      <c r="G68" s="131" t="n">
        <f aca="false">G54</f>
        <v>12.1047226750782</v>
      </c>
      <c r="H68" s="132" t="n">
        <f aca="false">ABS(G68-F68)</f>
        <v>2.07362035093827</v>
      </c>
      <c r="I68" s="131" t="n">
        <f aca="false">F57</f>
        <v>4.59423981227714</v>
      </c>
      <c r="J68" s="131" t="n">
        <f aca="false">G57</f>
        <v>4.79797797559859</v>
      </c>
    </row>
    <row r="69" customFormat="false" ht="15" hidden="false" customHeight="true" outlineLevel="0" collapsed="false">
      <c r="A69" s="22" t="s">
        <v>4106</v>
      </c>
      <c r="C69" s="39" t="n">
        <f aca="false">H32</f>
        <v>48.554512</v>
      </c>
      <c r="D69" s="39" t="n">
        <f aca="false">I32</f>
        <v>51.958192</v>
      </c>
      <c r="E69" s="226" t="n">
        <f aca="false">ABS(D69-C69)</f>
        <v>3.40368</v>
      </c>
      <c r="F69" s="131" t="n">
        <f aca="false">H54</f>
        <v>11.7994453281354</v>
      </c>
      <c r="G69" s="131" t="n">
        <f aca="false">I54</f>
        <v>12.6514966810328</v>
      </c>
      <c r="H69" s="132" t="n">
        <f aca="false">ABS(G69-F69)</f>
        <v>0.852051352897309</v>
      </c>
      <c r="I69" s="131" t="n">
        <f aca="false">H57</f>
        <v>4.61695405823023</v>
      </c>
      <c r="J69" s="131" t="n">
        <f aca="false">I57</f>
        <v>4.95034955625416</v>
      </c>
    </row>
    <row r="70" customFormat="false" ht="15" hidden="false" customHeight="true" outlineLevel="0" collapsed="false">
      <c r="A70" s="22" t="s">
        <v>4107</v>
      </c>
      <c r="C70" s="39" t="n">
        <f aca="false">J32</f>
        <v>49.566352</v>
      </c>
      <c r="D70" s="39" t="n">
        <f aca="false">K32</f>
        <v>51.291352</v>
      </c>
      <c r="E70" s="226" t="n">
        <f aca="false">ABS(D70-C70)</f>
        <v>1.725</v>
      </c>
      <c r="F70" s="131" t="n">
        <f aca="false">J54</f>
        <v>12.1350263232898</v>
      </c>
      <c r="G70" s="131" t="n">
        <f aca="false">K54</f>
        <v>12.3611380265256</v>
      </c>
      <c r="H70" s="132" t="n">
        <f aca="false">ABS(G70-F70)</f>
        <v>0.226111703235794</v>
      </c>
      <c r="I70" s="131" t="n">
        <f aca="false">J57</f>
        <v>4.74826209808769</v>
      </c>
      <c r="J70" s="131" t="n">
        <f aca="false">K57</f>
        <v>4.83673637097394</v>
      </c>
    </row>
    <row r="71" customFormat="false" ht="15" hidden="false" customHeight="true" outlineLevel="0" collapsed="false">
      <c r="A71" s="22" t="s">
        <v>4108</v>
      </c>
      <c r="C71" s="39" t="n">
        <f aca="false">L32</f>
        <v>49.451352</v>
      </c>
      <c r="D71" s="39" t="n">
        <f aca="false">M32</f>
        <v>51.406352</v>
      </c>
      <c r="E71" s="226" t="n">
        <f aca="false">ABS(D71-C71)</f>
        <v>1.955</v>
      </c>
      <c r="F71" s="131" t="n">
        <f aca="false">L54</f>
        <v>12.1107910066422</v>
      </c>
      <c r="G71" s="131" t="n">
        <f aca="false">M54</f>
        <v>12.3892995730725</v>
      </c>
      <c r="H71" s="132" t="n">
        <f aca="false">ABS(G71-F71)</f>
        <v>0.278508566430327</v>
      </c>
      <c r="I71" s="131" t="n">
        <f aca="false">L57</f>
        <v>4.73877916559071</v>
      </c>
      <c r="J71" s="131" t="n">
        <f aca="false">M57</f>
        <v>4.84775558103003</v>
      </c>
    </row>
    <row r="72" customFormat="false" ht="15" hidden="false" customHeight="true" outlineLevel="0" collapsed="false">
      <c r="A72" s="16" t="s">
        <v>4109</v>
      </c>
      <c r="C72" s="39" t="n">
        <f aca="false">N32</f>
        <v>50.256352</v>
      </c>
      <c r="D72" s="39" t="n">
        <f aca="false">O32</f>
        <v>50.256352</v>
      </c>
      <c r="E72" s="226" t="n">
        <f aca="false">ABS(D72-C72)</f>
        <v>0</v>
      </c>
      <c r="F72" s="131" t="n">
        <f aca="false">N54</f>
        <v>11.3158105989575</v>
      </c>
      <c r="G72" s="131" t="n">
        <f aca="false">O54</f>
        <v>15.4527638582953</v>
      </c>
      <c r="H72" s="132" t="n">
        <f aca="false">ABS(G72-F72)</f>
        <v>4.13695325933781</v>
      </c>
      <c r="I72" s="131" t="n">
        <f aca="false">N57</f>
        <v>4.42771471150815</v>
      </c>
      <c r="J72" s="131" t="n">
        <f aca="false">O57</f>
        <v>6.04644530504417</v>
      </c>
    </row>
    <row r="73" customFormat="false" ht="15" hidden="false" customHeight="true" outlineLevel="0" collapsed="false">
      <c r="A73" s="16" t="s">
        <v>1049</v>
      </c>
      <c r="C73" s="39" t="n">
        <f aca="false">P32</f>
        <v>50.256352</v>
      </c>
      <c r="D73" s="39" t="n">
        <f aca="false">Q32</f>
        <v>50.256352</v>
      </c>
      <c r="E73" s="226" t="n">
        <f aca="false">ABS(D73-C73)</f>
        <v>0</v>
      </c>
      <c r="F73" s="131" t="n">
        <f aca="false">P54</f>
        <v>11.5248710595084</v>
      </c>
      <c r="G73" s="131" t="n">
        <f aca="false">Q54</f>
        <v>13.3170997419322</v>
      </c>
      <c r="H73" s="132" t="n">
        <f aca="false">ABS(G73-F73)</f>
        <v>1.79222868242385</v>
      </c>
      <c r="I73" s="131" t="n">
        <f aca="false">P57</f>
        <v>4.50951707720531</v>
      </c>
      <c r="J73" s="131" t="n">
        <f aca="false">Q57</f>
        <v>5.21079050646243</v>
      </c>
    </row>
    <row r="74" customFormat="false" ht="15" hidden="false" customHeight="true" outlineLevel="0" collapsed="false">
      <c r="A74" s="22" t="s">
        <v>123</v>
      </c>
      <c r="C74" s="39" t="n">
        <f aca="false">R32</f>
        <v>50.256352</v>
      </c>
      <c r="D74" s="39" t="n">
        <f aca="false">S32</f>
        <v>50.256352</v>
      </c>
      <c r="E74" s="226" t="n">
        <f aca="false">ABS(D74-C74)</f>
        <v>0</v>
      </c>
      <c r="F74" s="131" t="n">
        <f aca="false">R54</f>
        <v>12.0572790045841</v>
      </c>
      <c r="G74" s="131" t="n">
        <f aca="false">S54</f>
        <v>12.3936630045841</v>
      </c>
      <c r="H74" s="132" t="n">
        <f aca="false">ABS(G74-F74)</f>
        <v>0.336384000000001</v>
      </c>
      <c r="I74" s="131" t="n">
        <f aca="false">R57</f>
        <v>4.71784068516256</v>
      </c>
      <c r="J74" s="131" t="n">
        <f aca="false">S57</f>
        <v>4.84946292932183</v>
      </c>
    </row>
    <row r="75" customFormat="false" ht="15" hidden="false" customHeight="true" outlineLevel="0" collapsed="false">
      <c r="A75" s="16" t="s">
        <v>117</v>
      </c>
      <c r="C75" s="39" t="n">
        <f aca="false">T32</f>
        <v>50.256352</v>
      </c>
      <c r="D75" s="39" t="n">
        <f aca="false">U32</f>
        <v>50.256352</v>
      </c>
      <c r="E75" s="226" t="n">
        <f aca="false">ABS(D75-C75)</f>
        <v>0</v>
      </c>
      <c r="F75" s="131" t="n">
        <f aca="false">T54</f>
        <v>12.1694070045841</v>
      </c>
      <c r="G75" s="131" t="n">
        <f aca="false">U54</f>
        <v>12.2815350045841</v>
      </c>
      <c r="H75" s="132" t="n">
        <f aca="false">ABS(G75-F75)</f>
        <v>0.112128</v>
      </c>
      <c r="I75" s="131" t="n">
        <f aca="false">T57</f>
        <v>4.76171476654898</v>
      </c>
      <c r="J75" s="131" t="n">
        <f aca="false">U57</f>
        <v>4.80558884793541</v>
      </c>
    </row>
    <row r="76" customFormat="false" ht="15" hidden="false" customHeight="true" outlineLevel="0" collapsed="false">
      <c r="A76" s="22" t="s">
        <v>4110</v>
      </c>
      <c r="C76" s="39" t="n">
        <f aca="false">V32</f>
        <v>50.256352</v>
      </c>
      <c r="D76" s="39" t="n">
        <f aca="false">W32</f>
        <v>50.256352</v>
      </c>
      <c r="E76" s="226" t="n">
        <f aca="false">ABS(D76-C76)</f>
        <v>0</v>
      </c>
      <c r="F76" s="131" t="n">
        <f aca="false">V54</f>
        <v>12.1413750045841</v>
      </c>
      <c r="G76" s="131" t="n">
        <f aca="false">W54</f>
        <v>12.3095670045841</v>
      </c>
      <c r="H76" s="132" t="n">
        <f aca="false">ABS(G76-F76)</f>
        <v>0.168191999999999</v>
      </c>
      <c r="I76" s="131" t="n">
        <f aca="false">V57</f>
        <v>4.75074624620238</v>
      </c>
      <c r="J76" s="131" t="n">
        <f aca="false">W57</f>
        <v>4.81655736828201</v>
      </c>
    </row>
    <row r="77" customFormat="false" ht="15" hidden="false" customHeight="true" outlineLevel="0" collapsed="false">
      <c r="A77" s="22" t="s">
        <v>4111</v>
      </c>
      <c r="C77" s="39" t="n">
        <f aca="false">X32</f>
        <v>51.49006</v>
      </c>
      <c r="D77" s="39" t="n">
        <f aca="false">Y32</f>
        <v>48.623776</v>
      </c>
      <c r="E77" s="226" t="n">
        <f aca="false">ABS(D77-C77)</f>
        <v>2.86628400000001</v>
      </c>
      <c r="F77" s="131" t="n">
        <f aca="false">X54</f>
        <v>12.5343080781281</v>
      </c>
      <c r="G77" s="131" t="n">
        <f aca="false">Y54</f>
        <v>11.8167843508717</v>
      </c>
      <c r="H77" s="132" t="n">
        <f aca="false">ABS(G77-F77)</f>
        <v>0.717523727256358</v>
      </c>
      <c r="I77" s="131" t="n">
        <f aca="false">X57</f>
        <v>4.74862965134841</v>
      </c>
      <c r="J77" s="131" t="n">
        <f aca="false">Y57</f>
        <v>4.83369161097972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5" min="5" style="1" width="26"/>
    <col collapsed="false" customWidth="true" hidden="false" outlineLevel="0" max="6" min="6" style="1" width="80"/>
    <col collapsed="false" customWidth="true" hidden="false" outlineLevel="0" max="7" min="7" style="1" width="24"/>
  </cols>
  <sheetData>
    <row r="1" customFormat="false" ht="19.5" hidden="false" customHeight="true" outlineLevel="0" collapsed="false">
      <c r="A1" s="2" t="s">
        <v>4112</v>
      </c>
    </row>
    <row r="2" customFormat="false" ht="15" hidden="false" customHeight="true" outlineLevel="0" collapsed="false">
      <c r="A2" s="3" t="s">
        <v>4113</v>
      </c>
    </row>
    <row r="3" customFormat="false" ht="15" hidden="false" customHeight="true" outlineLevel="0" collapsed="false">
      <c r="A3" s="12" t="s">
        <v>386</v>
      </c>
      <c r="B3" s="12" t="s">
        <v>4114</v>
      </c>
      <c r="C3" s="12" t="s">
        <v>4115</v>
      </c>
      <c r="D3" s="12" t="s">
        <v>95</v>
      </c>
      <c r="E3" s="12" t="s">
        <v>615</v>
      </c>
      <c r="F3" s="12" t="s">
        <v>487</v>
      </c>
      <c r="G3" s="9" t="s">
        <v>4116</v>
      </c>
    </row>
    <row r="4" customFormat="false" ht="15" hidden="false" customHeight="true" outlineLevel="0" collapsed="false">
      <c r="A4" s="16" t="s">
        <v>4117</v>
      </c>
      <c r="B4" s="187" t="n">
        <f aca="false">(DC_Cost!M33)/CTL_GW</f>
        <v>50.256352</v>
      </c>
      <c r="C4" s="227" t="str">
        <f aca="false">TEXT(SRC_DC_010_Lo,"0")&amp;"–"&amp;TEXT(SRC_DC_010_Hi,"0")</f>
        <v>50–60</v>
      </c>
      <c r="D4" s="17" t="s">
        <v>3163</v>
      </c>
      <c r="E4" s="22" t="str">
        <f aca="false">IF(AND(B4&gt;=SRC_DC_010_Lo,B4&lt;=SRC_DC_010_Hi),"落在區間",IF(B4&lt;SRC_DC_010_Lo,"低於參照","高於參照"))</f>
        <v>落在區間</v>
      </c>
      <c r="F4" s="20" t="s">
        <v>4118</v>
      </c>
      <c r="G4" s="21" t="s">
        <v>4119</v>
      </c>
    </row>
    <row r="5" customFormat="false" ht="15" hidden="false" customHeight="true" outlineLevel="0" collapsed="false">
      <c r="A5" s="16" t="s">
        <v>4120</v>
      </c>
      <c r="B5" s="187" t="n">
        <f aca="false">(DC_Cost!M19)/CTL_GW</f>
        <v>34.0368</v>
      </c>
      <c r="C5" s="187" t="n">
        <f aca="false">SRC_DC_011</f>
        <v>35</v>
      </c>
      <c r="D5" s="17" t="s">
        <v>3163</v>
      </c>
      <c r="E5" s="22" t="str">
        <f aca="false">IF(ABS(B5-C5)/C5&lt;=0.2,"±20% 內","差距 &gt;20%")</f>
        <v>±20% 內</v>
      </c>
      <c r="F5" s="20" t="s">
        <v>4121</v>
      </c>
      <c r="G5" s="21" t="s">
        <v>4119</v>
      </c>
    </row>
    <row r="6" customFormat="false" ht="15" hidden="false" customHeight="true" outlineLevel="0" collapsed="false">
      <c r="A6" s="22" t="s">
        <v>1037</v>
      </c>
      <c r="B6" s="187" t="n">
        <f aca="false">DC_Cost!M36</f>
        <v>12.67</v>
      </c>
      <c r="C6" s="227" t="str">
        <f aca="false">TEXT(SRC_DC_003,"0.0")&amp;" × "&amp;TEXT(1+SRC_DC_004_Lo,"0.00")&amp;"–"&amp;TEXT(1+SRC_DC_004_Hi,"0.00")</f>
        <v>11.3 × 1.07–1.10</v>
      </c>
      <c r="D6" s="17" t="s">
        <v>135</v>
      </c>
      <c r="E6" s="22" t="str">
        <f aca="false">IF(AND(B6&gt;=SRC_DC_003*(1+SRC_DC_004_Lo)*0.9,B6&lt;=SRC_DC_003*(1+SRC_DC_004_Hi)*1.3),"合理區間","需檢查")</f>
        <v>合理區間</v>
      </c>
      <c r="F6" s="6" t="s">
        <v>4122</v>
      </c>
      <c r="G6" s="21" t="s">
        <v>4119</v>
      </c>
    </row>
    <row r="7" customFormat="false" ht="15" hidden="false" customHeight="true" outlineLevel="0" collapsed="false">
      <c r="A7" s="16" t="s">
        <v>4123</v>
      </c>
      <c r="B7" s="187" t="n">
        <f aca="false">DC_Cost!G58</f>
        <v>2.00846099652078</v>
      </c>
      <c r="C7" s="187" t="n">
        <f aca="false">SRC_DC_012</f>
        <v>2.21</v>
      </c>
      <c r="D7" s="17" t="s">
        <v>985</v>
      </c>
      <c r="E7" s="22" t="str">
        <f aca="false">IF(B7&gt;C7,"高於參照（參照假設未知）","低於參照")</f>
        <v>低於參照</v>
      </c>
      <c r="F7" s="6" t="s">
        <v>4124</v>
      </c>
      <c r="G7" s="21" t="s">
        <v>4119</v>
      </c>
    </row>
    <row r="8" customFormat="false" ht="15" hidden="false" customHeight="true" outlineLevel="0" collapsed="false">
      <c r="A8" s="16" t="s">
        <v>4125</v>
      </c>
      <c r="B8" s="187" t="n">
        <f aca="false">DC_Cost!J58</f>
        <v>2.55178761329595</v>
      </c>
      <c r="C8" s="187" t="n">
        <f aca="false">SRC_DC_013</f>
        <v>2.65</v>
      </c>
      <c r="D8" s="17" t="s">
        <v>985</v>
      </c>
      <c r="E8" s="22" t="str">
        <f aca="false">IF(B8&gt;C8,"高於參照（參照假設未知）","低於參照")</f>
        <v>低於參照</v>
      </c>
      <c r="F8" s="20" t="s">
        <v>4126</v>
      </c>
      <c r="G8" s="21" t="s">
        <v>4119</v>
      </c>
    </row>
    <row r="9" customFormat="false" ht="15" hidden="false" customHeight="true" outlineLevel="0" collapsed="false">
      <c r="A9" s="16" t="s">
        <v>4127</v>
      </c>
      <c r="B9" s="187" t="n">
        <f aca="false">DC_Cost!G58</f>
        <v>2.00846099652078</v>
      </c>
      <c r="C9" s="187" t="n">
        <f aca="false">L1!$M$30</f>
        <v>10.5</v>
      </c>
      <c r="D9" s="17" t="s">
        <v>985</v>
      </c>
      <c r="E9" s="22" t="str">
        <f aca="false">"牌價 ÷ 持有成本＝"&amp;TEXT(C9/B9,"0.0")&amp;" 倍"</f>
        <v>牌價 ÷ 持有成本＝5.2 倍</v>
      </c>
      <c r="F9" s="6" t="s">
        <v>4128</v>
      </c>
      <c r="G9" s="21" t="s">
        <v>4119</v>
      </c>
    </row>
    <row r="10" customFormat="false" ht="15" hidden="false" customHeight="true" outlineLevel="0" collapsed="false">
      <c r="A10" s="22" t="s">
        <v>4129</v>
      </c>
      <c r="B10" s="187" t="n">
        <f aca="false">DC_Cost!J58</f>
        <v>2.55178761329595</v>
      </c>
      <c r="C10" s="187" t="n">
        <f aca="false">L1!$M$31</f>
        <v>3.57</v>
      </c>
      <c r="D10" s="17" t="s">
        <v>985</v>
      </c>
      <c r="E10" s="22" t="str">
        <f aca="false">"參照 ÷ 本模型＝"&amp;TEXT(C10/B10,"0.00")</f>
        <v>參照 ÷ 本模型＝1.40</v>
      </c>
      <c r="F10" s="20" t="s">
        <v>4130</v>
      </c>
      <c r="G10" s="21" t="s">
        <v>4119</v>
      </c>
    </row>
    <row r="12" customFormat="false" ht="15" hidden="false" customHeight="true" outlineLevel="0" collapsed="false">
      <c r="A12" s="43" t="s">
        <v>4131</v>
      </c>
      <c r="B12" s="15"/>
      <c r="C12" s="15"/>
      <c r="D12" s="15"/>
      <c r="E12" s="15"/>
      <c r="F12" s="15"/>
    </row>
    <row r="13" customFormat="false" ht="15" hidden="false" customHeight="true" outlineLevel="0" collapsed="false">
      <c r="A13" s="9" t="s">
        <v>386</v>
      </c>
      <c r="B13" s="9" t="s">
        <v>4132</v>
      </c>
      <c r="C13" s="9" t="s">
        <v>4115</v>
      </c>
      <c r="D13" s="9" t="s">
        <v>95</v>
      </c>
      <c r="E13" s="9" t="s">
        <v>615</v>
      </c>
      <c r="F13" s="9" t="s">
        <v>487</v>
      </c>
      <c r="G13" s="9" t="s">
        <v>4116</v>
      </c>
    </row>
    <row r="14" customFormat="false" ht="15" hidden="false" customHeight="true" outlineLevel="0" collapsed="false">
      <c r="A14" s="5" t="s">
        <v>4133</v>
      </c>
      <c r="B14" s="206" t="n">
        <f aca="false">Calib!C86</f>
        <v>1</v>
      </c>
      <c r="C14" s="30" t="s">
        <v>4134</v>
      </c>
      <c r="D14" s="30" t="s">
        <v>118</v>
      </c>
      <c r="E14" s="93" t="s">
        <v>4135</v>
      </c>
      <c r="F14" s="45" t="s">
        <v>4136</v>
      </c>
      <c r="G14" s="21" t="s">
        <v>4137</v>
      </c>
    </row>
    <row r="15" customFormat="false" ht="26.25" hidden="false" customHeight="true" outlineLevel="0" collapsed="false">
      <c r="A15" s="5" t="s">
        <v>4138</v>
      </c>
      <c r="B15" s="206" t="n">
        <f aca="false">Calib!E86</f>
        <v>0.99108369917347</v>
      </c>
      <c r="C15" s="49" t="n">
        <f aca="false">SRC_PERF_004</f>
        <v>11200</v>
      </c>
      <c r="D15" s="44" t="s">
        <v>4139</v>
      </c>
      <c r="E15" s="87" t="s">
        <v>4140</v>
      </c>
      <c r="F15" s="45" t="s">
        <v>4141</v>
      </c>
      <c r="G15" s="9" t="s">
        <v>4142</v>
      </c>
    </row>
    <row r="16" customFormat="false" ht="26.25" hidden="false" customHeight="true" outlineLevel="0" collapsed="false">
      <c r="A16" s="5" t="s">
        <v>4143</v>
      </c>
      <c r="B16" s="206" t="n">
        <f aca="false">Calib!F86</f>
        <v>2.18428412747673</v>
      </c>
      <c r="C16" s="49" t="n">
        <f aca="false">SRC_PERF_001</f>
        <v>6182</v>
      </c>
      <c r="D16" s="44" t="s">
        <v>4139</v>
      </c>
      <c r="E16" s="93" t="s">
        <v>4144</v>
      </c>
      <c r="F16" s="45" t="s">
        <v>4145</v>
      </c>
      <c r="G16" s="9" t="s">
        <v>4142</v>
      </c>
    </row>
    <row r="17" customFormat="false" ht="26.25" hidden="false" customHeight="true" outlineLevel="0" collapsed="false">
      <c r="A17" s="5" t="s">
        <v>4146</v>
      </c>
      <c r="B17" s="206" t="n">
        <f aca="false">Calib!G86</f>
        <v>4.1124545381639</v>
      </c>
      <c r="C17" s="49" t="n">
        <f aca="false">SRC_PERF_002</f>
        <v>2189</v>
      </c>
      <c r="D17" s="44" t="s">
        <v>4139</v>
      </c>
      <c r="E17" s="93" t="s">
        <v>4147</v>
      </c>
      <c r="F17" s="45" t="s">
        <v>4148</v>
      </c>
      <c r="G17" s="9" t="s">
        <v>4142</v>
      </c>
    </row>
    <row r="18" customFormat="false" ht="15" hidden="false" customHeight="true" outlineLevel="0" collapsed="false">
      <c r="A18" s="5" t="s">
        <v>4149</v>
      </c>
      <c r="B18" s="206" t="n">
        <f aca="false">Calib!H86</f>
        <v>1.00253190991747</v>
      </c>
      <c r="C18" s="49" t="n">
        <f aca="false">SRC_PERF_014</f>
        <v>3795.5</v>
      </c>
      <c r="D18" s="44" t="s">
        <v>4139</v>
      </c>
      <c r="E18" s="93" t="s">
        <v>4150</v>
      </c>
      <c r="F18" s="45" t="s">
        <v>4151</v>
      </c>
      <c r="G18" s="21" t="s">
        <v>4119</v>
      </c>
    </row>
    <row r="19" customFormat="false" ht="29.25" hidden="false" customHeight="true" outlineLevel="0" collapsed="false">
      <c r="A19" s="6" t="s">
        <v>4152</v>
      </c>
      <c r="B19" s="206" t="n">
        <f aca="false">DC_Cost!J58/(Calib!C17*3600)*1000000</f>
        <v>0.0758747918114994</v>
      </c>
      <c r="C19" s="184" t="n">
        <f aca="false">SRC_PERF_011</f>
        <v>0.078</v>
      </c>
      <c r="D19" s="30" t="s">
        <v>3251</v>
      </c>
      <c r="E19" s="93" t="s">
        <v>4153</v>
      </c>
      <c r="F19" s="45" t="s">
        <v>4154</v>
      </c>
      <c r="G19" s="21" t="s">
        <v>4119</v>
      </c>
    </row>
    <row r="20" customFormat="false" ht="39" hidden="false" customHeight="true" outlineLevel="0" collapsed="false">
      <c r="A20" s="6" t="s">
        <v>4155</v>
      </c>
      <c r="B20" s="206" t="n">
        <f aca="false">Sens_Perf!C120</f>
        <v>1.50227667238619</v>
      </c>
      <c r="C20" s="184" t="n">
        <f aca="false">DC_Cost!M55/DC_Cost!J55</f>
        <v>1.12300288885056</v>
      </c>
      <c r="D20" s="30" t="s">
        <v>118</v>
      </c>
      <c r="E20" s="93" t="s">
        <v>4156</v>
      </c>
      <c r="F20" s="45" t="s">
        <v>4157</v>
      </c>
      <c r="G20" s="21" t="s">
        <v>4119</v>
      </c>
    </row>
    <row r="21" customFormat="false" ht="39" hidden="false" customHeight="true" outlineLevel="0" collapsed="false">
      <c r="A21" s="6" t="s">
        <v>4158</v>
      </c>
      <c r="B21" s="206" t="n">
        <f aca="false">DC_Cost!J11*Inputs!$E$10/72</f>
        <v>1.51111111111111</v>
      </c>
      <c r="C21" s="30" t="s">
        <v>4159</v>
      </c>
      <c r="D21" s="30" t="s">
        <v>4160</v>
      </c>
      <c r="E21" s="87" t="s">
        <v>4161</v>
      </c>
      <c r="F21" s="45" t="s">
        <v>488</v>
      </c>
      <c r="G21" s="21" t="s">
        <v>4119</v>
      </c>
    </row>
    <row r="22" customFormat="false" ht="29.25" hidden="false" customHeight="true" outlineLevel="0" collapsed="false">
      <c r="A22" s="6" t="s">
        <v>4162</v>
      </c>
      <c r="B22" s="206" t="n">
        <f aca="false">Sens_Perf!C121</f>
        <v>0.736636921680274</v>
      </c>
      <c r="C22" s="30" t="s">
        <v>4163</v>
      </c>
      <c r="D22" s="30" t="s">
        <v>118</v>
      </c>
      <c r="E22" s="93"/>
      <c r="F22" s="45" t="s">
        <v>4157</v>
      </c>
      <c r="G22" s="21" t="s">
        <v>4119</v>
      </c>
    </row>
    <row r="23" customFormat="false" ht="15" hidden="false" customHeight="true" outlineLevel="0" collapsed="false">
      <c r="A23" s="5" t="s">
        <v>4164</v>
      </c>
      <c r="B23" s="206" t="n">
        <f aca="false">Calib!C149</f>
        <v>0.702796711119185</v>
      </c>
      <c r="C23" s="30" t="s">
        <v>4134</v>
      </c>
      <c r="D23" s="30" t="s">
        <v>118</v>
      </c>
      <c r="E23" s="87" t="s">
        <v>4165</v>
      </c>
      <c r="F23" s="45" t="s">
        <v>4166</v>
      </c>
      <c r="G23" s="9" t="s">
        <v>4142</v>
      </c>
    </row>
    <row r="24" customFormat="false" ht="15" hidden="false" customHeight="true" outlineLevel="0" collapsed="false">
      <c r="A24" s="5" t="s">
        <v>4167</v>
      </c>
      <c r="B24" s="206" t="n">
        <f aca="false">Calib!C150</f>
        <v>2.5251262330147</v>
      </c>
      <c r="C24" s="192" t="n">
        <f aca="false">Calib!C151</f>
        <v>2.5748897461993</v>
      </c>
      <c r="D24" s="30" t="s">
        <v>118</v>
      </c>
      <c r="E24" s="93" t="s">
        <v>4168</v>
      </c>
      <c r="F24" s="45" t="s">
        <v>4169</v>
      </c>
      <c r="G24" s="21" t="s">
        <v>4119</v>
      </c>
    </row>
    <row r="25" customFormat="false" ht="39" hidden="false" customHeight="true" outlineLevel="0" collapsed="false">
      <c r="A25" s="5" t="s">
        <v>4170</v>
      </c>
      <c r="B25" s="206" t="n">
        <f aca="false">Calib!C152</f>
        <v>1.5</v>
      </c>
      <c r="C25" s="192" t="n">
        <f aca="false">Calib!D152</f>
        <v>1.05487728759394</v>
      </c>
      <c r="D25" s="30" t="s">
        <v>118</v>
      </c>
      <c r="E25" s="87" t="s">
        <v>4171</v>
      </c>
      <c r="F25" s="45" t="s">
        <v>4172</v>
      </c>
      <c r="G25" s="21" t="s">
        <v>4119</v>
      </c>
    </row>
    <row r="26" customFormat="false" ht="15" hidden="false" customHeight="true" outlineLevel="0" collapsed="false">
      <c r="A26" s="5" t="s">
        <v>4173</v>
      </c>
      <c r="B26" s="228" t="n">
        <f aca="false">MAX(Perf!C116:Q116)</f>
        <v>0.0852702650102943</v>
      </c>
      <c r="C26" s="30" t="s">
        <v>4174</v>
      </c>
      <c r="D26" s="30" t="s">
        <v>113</v>
      </c>
      <c r="E26" s="93" t="s">
        <v>4175</v>
      </c>
      <c r="F26" s="45" t="s">
        <v>4176</v>
      </c>
      <c r="G26" s="9" t="s">
        <v>4142</v>
      </c>
    </row>
    <row r="27" customFormat="false" ht="15" hidden="false" customHeight="true" outlineLevel="0" collapsed="false">
      <c r="A27" s="6" t="s">
        <v>4177</v>
      </c>
      <c r="B27" s="206" t="n">
        <f aca="false">COUNTIF(Perf!C90:Q90,"SLO 不可達")+COUNTIF(Perf!C90:Q90,"TTFT 不可達")</f>
        <v>0</v>
      </c>
      <c r="C27" s="30" t="s">
        <v>751</v>
      </c>
      <c r="D27" s="44" t="s">
        <v>4178</v>
      </c>
      <c r="E27" s="87" t="s">
        <v>4179</v>
      </c>
      <c r="F27" s="45" t="s">
        <v>4180</v>
      </c>
      <c r="G27" s="21" t="s">
        <v>4119</v>
      </c>
    </row>
    <row r="28" customFormat="false" ht="39" hidden="false" customHeight="true" outlineLevel="0" collapsed="false">
      <c r="A28" s="5" t="s">
        <v>4181</v>
      </c>
      <c r="B28" s="206" t="n">
        <f aca="false">((8*1.32+3.96)/9)/((8*Unit_Cost!J32+Unit_Cost!J34)/9)</f>
        <v>15.740792564158</v>
      </c>
      <c r="C28" s="30" t="s">
        <v>751</v>
      </c>
      <c r="D28" s="30" t="s">
        <v>118</v>
      </c>
      <c r="E28" s="87" t="s">
        <v>4182</v>
      </c>
      <c r="F28" s="45" t="s">
        <v>4183</v>
      </c>
      <c r="G28" s="21" t="s">
        <v>4119</v>
      </c>
    </row>
    <row r="30" customFormat="false" ht="15" hidden="false" customHeight="true" outlineLevel="0" collapsed="false">
      <c r="A30" s="43" t="s">
        <v>4184</v>
      </c>
      <c r="B30" s="15"/>
      <c r="C30" s="15"/>
      <c r="D30" s="15"/>
      <c r="E30" s="15"/>
      <c r="F30" s="15"/>
    </row>
    <row r="31" customFormat="false" ht="15" hidden="false" customHeight="true" outlineLevel="0" collapsed="false">
      <c r="A31" s="9" t="s">
        <v>386</v>
      </c>
      <c r="B31" s="9" t="s">
        <v>4132</v>
      </c>
      <c r="C31" s="9" t="s">
        <v>4115</v>
      </c>
      <c r="D31" s="9" t="s">
        <v>95</v>
      </c>
      <c r="E31" s="9" t="s">
        <v>615</v>
      </c>
      <c r="F31" s="9" t="s">
        <v>487</v>
      </c>
      <c r="G31" s="9" t="s">
        <v>4116</v>
      </c>
    </row>
    <row r="32" customFormat="false" ht="39" hidden="false" customHeight="true" outlineLevel="0" collapsed="false">
      <c r="A32" s="6" t="s">
        <v>4185</v>
      </c>
      <c r="B32" s="197" t="n">
        <f aca="false">3*(2*Calib!$C$101*1000000000+Calib!$C$109*Train_In!$C$43/2)*Train_In!$C$41*1000000000000/(Train_In!$C$42*1000000*3600*Spec_Rack!$C$40*1000000000000000)</f>
        <v>0.197055428667677</v>
      </c>
      <c r="C32" s="196" t="n">
        <f aca="false">Training!C16</f>
        <v>0.25</v>
      </c>
      <c r="D32" s="30" t="s">
        <v>113</v>
      </c>
      <c r="E32" s="93" t="s">
        <v>4186</v>
      </c>
      <c r="F32" s="45" t="s">
        <v>1134</v>
      </c>
      <c r="G32" s="21" t="s">
        <v>4119</v>
      </c>
    </row>
    <row r="33" customFormat="false" ht="26.25" hidden="false" customHeight="true" outlineLevel="0" collapsed="false">
      <c r="A33" s="6" t="s">
        <v>4187</v>
      </c>
      <c r="B33" s="206" t="n">
        <f aca="false">Training!N78</f>
        <v>1.12717162997901</v>
      </c>
      <c r="C33" s="51" t="n">
        <f aca="false">L1!$M$33</f>
        <v>1</v>
      </c>
      <c r="D33" s="30" t="s">
        <v>118</v>
      </c>
      <c r="E33" s="87" t="s">
        <v>4188</v>
      </c>
      <c r="F33" s="45" t="s">
        <v>4189</v>
      </c>
      <c r="G33" s="21" t="s">
        <v>4119</v>
      </c>
    </row>
    <row r="34" customFormat="false" ht="26.25" hidden="false" customHeight="true" outlineLevel="0" collapsed="false">
      <c r="A34" s="6" t="s">
        <v>4190</v>
      </c>
      <c r="B34" s="206" t="n">
        <f aca="false">Training!M78</f>
        <v>0.371397626434424</v>
      </c>
      <c r="C34" s="51" t="n">
        <f aca="false">L1!$M$32</f>
        <v>0.0551801801801802</v>
      </c>
      <c r="D34" s="30" t="s">
        <v>118</v>
      </c>
      <c r="E34" s="87" t="s">
        <v>4191</v>
      </c>
      <c r="F34" s="45" t="s">
        <v>4192</v>
      </c>
      <c r="G34" s="21" t="s">
        <v>4119</v>
      </c>
    </row>
    <row r="35" customFormat="false" ht="15" hidden="false" customHeight="true" outlineLevel="0" collapsed="false">
      <c r="A35" s="6" t="s">
        <v>4193</v>
      </c>
      <c r="B35" s="197" t="n">
        <f aca="false">Training!N77</f>
        <v>0.0679835504547044</v>
      </c>
      <c r="C35" s="212" t="s">
        <v>4194</v>
      </c>
      <c r="D35" s="30" t="s">
        <v>113</v>
      </c>
      <c r="E35" s="93" t="s">
        <v>4195</v>
      </c>
      <c r="F35" s="21" t="s">
        <v>4196</v>
      </c>
      <c r="G35" s="21" t="s">
        <v>4119</v>
      </c>
    </row>
    <row r="36" customFormat="false" ht="29.25" hidden="false" customHeight="true" outlineLevel="0" collapsed="false">
      <c r="A36" s="5" t="s">
        <v>4197</v>
      </c>
      <c r="B36" s="197" t="n">
        <f aca="false">IF(AND(ISNUMBER(Training!N111),ISNUMBER(Training!N110)),Training!N111-Training!N110,Training!N111)</f>
        <v>0.252262860133895</v>
      </c>
      <c r="C36" s="212" t="s">
        <v>4198</v>
      </c>
      <c r="D36" s="30" t="s">
        <v>113</v>
      </c>
      <c r="E36" s="87" t="s">
        <v>4199</v>
      </c>
      <c r="F36" s="45" t="s">
        <v>4200</v>
      </c>
      <c r="G36" s="9" t="s">
        <v>4142</v>
      </c>
    </row>
    <row r="37" customFormat="false" ht="15" hidden="false" customHeight="true" outlineLevel="0" collapsed="false">
      <c r="A37" s="5" t="s">
        <v>4201</v>
      </c>
      <c r="B37" s="197" t="n">
        <f aca="false">1/Train_In!$C$13</f>
        <v>0.125</v>
      </c>
      <c r="C37" s="196" t="str">
        <f aca="false">TEXT(L1!$M$34*100,"0.0")&amp;"%–"&amp;TEXT(L1!$N$34*100,"0.0")&amp;"%"</f>
        <v>9.6%–22.6%</v>
      </c>
      <c r="D37" s="30" t="s">
        <v>113</v>
      </c>
      <c r="E37" s="87" t="s">
        <v>4202</v>
      </c>
      <c r="F37" s="45" t="s">
        <v>4203</v>
      </c>
      <c r="G37" s="21" t="s">
        <v>4119</v>
      </c>
    </row>
    <row r="38" customFormat="false" ht="36.75" hidden="false" customHeight="true" outlineLevel="0" collapsed="false">
      <c r="A38" s="5" t="s">
        <v>4204</v>
      </c>
      <c r="B38" s="206" t="n">
        <f aca="false">Train_In!$C$47/(Training!N34*1000000000)/1000000000000</f>
        <v>438.443429242364</v>
      </c>
      <c r="C38" s="51" t="n">
        <f aca="false">Training!N31</f>
        <v>60</v>
      </c>
      <c r="D38" s="30" t="s">
        <v>1103</v>
      </c>
      <c r="E38" s="87" t="s">
        <v>4205</v>
      </c>
      <c r="F38" s="45" t="s">
        <v>4206</v>
      </c>
      <c r="G38" s="21" t="s">
        <v>4119</v>
      </c>
    </row>
    <row r="39" customFormat="false" ht="29.25" hidden="false" customHeight="true" outlineLevel="0" collapsed="false">
      <c r="A39" s="6" t="s">
        <v>4207</v>
      </c>
      <c r="B39" s="197" t="n">
        <f aca="false">Training!N117</f>
        <v>0.00500223043232874</v>
      </c>
      <c r="C39" s="196" t="n">
        <f aca="false">Training!K117</f>
        <v>0.00819830093710954</v>
      </c>
      <c r="D39" s="30" t="s">
        <v>113</v>
      </c>
      <c r="E39" s="93" t="s">
        <v>4208</v>
      </c>
      <c r="F39" s="45" t="s">
        <v>4209</v>
      </c>
      <c r="G39" s="21" t="s">
        <v>4119</v>
      </c>
    </row>
    <row r="41" customFormat="false" ht="15" hidden="false" customHeight="true" outlineLevel="0" collapsed="false">
      <c r="A41" s="43" t="s">
        <v>4210</v>
      </c>
      <c r="B41" s="15"/>
      <c r="C41" s="15"/>
      <c r="D41" s="15"/>
      <c r="E41" s="15"/>
      <c r="F41" s="15"/>
    </row>
    <row r="42" customFormat="false" ht="15" hidden="false" customHeight="true" outlineLevel="0" collapsed="false">
      <c r="A42" s="9" t="s">
        <v>386</v>
      </c>
      <c r="B42" s="9" t="s">
        <v>4132</v>
      </c>
      <c r="C42" s="9" t="s">
        <v>4115</v>
      </c>
      <c r="D42" s="9" t="s">
        <v>95</v>
      </c>
      <c r="E42" s="9" t="s">
        <v>615</v>
      </c>
      <c r="F42" s="9" t="s">
        <v>487</v>
      </c>
      <c r="G42" s="9" t="s">
        <v>4116</v>
      </c>
      <c r="H42" s="9" t="s">
        <v>4211</v>
      </c>
    </row>
    <row r="43" customFormat="false" ht="51.75" hidden="false" customHeight="true" outlineLevel="0" collapsed="false">
      <c r="A43" s="6" t="s">
        <v>4212</v>
      </c>
      <c r="B43" s="206" t="n">
        <f aca="false">IF(AND(ISNUMBER(Theory_Rev!D67),ISNUMBER(Theory_Rev!G67)),AL_MixHopper*Theory_Rev!D67+(1-AL_MixHopper)*Theory_Rev!G67,"SLO 不可達")</f>
        <v>15.6767673146921</v>
      </c>
      <c r="C43" s="51" t="n">
        <f aca="false">L1!$M$35</f>
        <v>10.456</v>
      </c>
      <c r="D43" s="30" t="s">
        <v>4213</v>
      </c>
      <c r="E43" s="93" t="s">
        <v>4214</v>
      </c>
      <c r="F43" s="45" t="s">
        <v>4215</v>
      </c>
      <c r="G43" s="21" t="s">
        <v>4119</v>
      </c>
      <c r="H43" s="45" t="s">
        <v>4216</v>
      </c>
      <c r="I43" s="192" t="n">
        <f aca="false">SRC_DEM_007</f>
        <v>13.07</v>
      </c>
    </row>
    <row r="44" customFormat="false" ht="43.5" hidden="false" customHeight="true" outlineLevel="0" collapsed="false">
      <c r="A44" s="6" t="s">
        <v>4217</v>
      </c>
      <c r="B44" s="206" t="n">
        <f aca="false">IF(ISNUMBER(Unit_Cost!D34),INDEX(B4_MktOut,8,1)/Unit_Cost!D34,"SLO 不可達")</f>
        <v>1.24663255293038</v>
      </c>
      <c r="C44" s="229" t="str">
        <f aca="false">"約 "&amp;TEXT(MIN(B44:B46),"0.0")&amp;"–"&amp;TEXT(MAX(B44:B46),"0.0")&amp;"（對照，無通過條件）"</f>
        <v>約 1.0–1.2（對照，無通過條件）</v>
      </c>
      <c r="D44" s="30" t="s">
        <v>118</v>
      </c>
      <c r="E44" s="93" t="str">
        <f aca="false">"本列現值 "&amp;IF(ISNUMBER(B44),TEXT(B44,"0.00"),"—")&amp;"（舊說明寫「≈1」；三列比值 "&amp;TEXT(MIN(B44:B46),"0.00")&amp;"–"&amp;TEXT(MAX(B44:B46),"0.00")&amp;"，同量級）：中國廠商定價與 Hopper 級物理成本同量級；前緣由接近成本者決定（K4 理由 2）"</f>
        <v>本列現值 1.25（舊說明寫「≈1」；三列比值 1.04–1.25，同量級）：中國廠商定價與 Hopper 級物理成本同量級；前緣由接近成本者決定（K4 理由 2）</v>
      </c>
      <c r="F44" s="45" t="s">
        <v>4218</v>
      </c>
      <c r="G44" s="21" t="s">
        <v>4119</v>
      </c>
      <c r="H44" s="45" t="s">
        <v>4219</v>
      </c>
      <c r="I44" s="192" t="n">
        <f aca="false">SRC_DEM_008</f>
        <v>0.6</v>
      </c>
    </row>
    <row r="45" customFormat="false" ht="29.25" hidden="false" customHeight="true" outlineLevel="0" collapsed="false">
      <c r="A45" s="6" t="s">
        <v>4220</v>
      </c>
      <c r="B45" s="206" t="n">
        <f aca="false">IF(ISNUMBER(Unit_Cost!D31),INDEX(B4_MktOut,8,1)*B4_OffPeak/Unit_Cost!D31,"SLO 不可達")</f>
        <v>1.03886046077532</v>
      </c>
      <c r="C45" s="229" t="str">
        <f aca="false">"約 "&amp;TEXT(MIN(B44:B46),"0.0")&amp;"–"&amp;TEXT(MAX(B44:B46),"0.0")&amp;"（對照，無通過條件）"</f>
        <v>約 1.0–1.2（對照，無通過條件）</v>
      </c>
      <c r="D45" s="30" t="s">
        <v>118</v>
      </c>
      <c r="E45" s="93"/>
      <c r="F45" s="45" t="s">
        <v>4221</v>
      </c>
      <c r="G45" s="21" t="s">
        <v>4119</v>
      </c>
      <c r="H45" s="45" t="s">
        <v>4222</v>
      </c>
      <c r="I45" s="192" t="n">
        <f aca="false">SRC_DEM_009</f>
        <v>1.9</v>
      </c>
    </row>
    <row r="46" customFormat="false" ht="43.5" hidden="false" customHeight="true" outlineLevel="0" collapsed="false">
      <c r="A46" s="6" t="s">
        <v>4223</v>
      </c>
      <c r="B46" s="206" t="n">
        <f aca="false">IF(ISNUMBER(Unit_Cost!D21),INDEX(B4_MktOut,7,1)/Unit_Cost!D21,"SLO 不可達")</f>
        <v>1.24307888854465</v>
      </c>
      <c r="C46" s="229" t="str">
        <f aca="false">"約 "&amp;TEXT(MIN(B44:B46),"0.0")&amp;"–"&amp;TEXT(MAX(B44:B46),"0.0")&amp;"（對照，無通過條件）"</f>
        <v>約 1.0–1.2（對照，無通過條件）</v>
      </c>
      <c r="D46" s="30" t="s">
        <v>118</v>
      </c>
      <c r="E46" s="87" t="s">
        <v>4224</v>
      </c>
      <c r="F46" s="45" t="s">
        <v>4221</v>
      </c>
      <c r="G46" s="21" t="s">
        <v>4119</v>
      </c>
      <c r="H46" s="45" t="s">
        <v>4225</v>
      </c>
      <c r="I46" s="54" t="n">
        <v>0.57</v>
      </c>
      <c r="J46" s="45" t="s">
        <v>4226</v>
      </c>
    </row>
    <row r="47" customFormat="false" ht="15" hidden="false" customHeight="true" outlineLevel="0" collapsed="false">
      <c r="A47" s="5" t="s">
        <v>4227</v>
      </c>
      <c r="B47" s="206" t="str">
        <f aca="false">Price_Frontier!C26</f>
        <v>GPT-6 Luna</v>
      </c>
      <c r="C47" s="229" t="s">
        <v>751</v>
      </c>
      <c r="D47" s="44"/>
      <c r="E47" s="87" t="s">
        <v>4228</v>
      </c>
      <c r="F47" s="45" t="s">
        <v>4229</v>
      </c>
      <c r="G47" s="21" t="s">
        <v>4119</v>
      </c>
    </row>
    <row r="48" customFormat="false" ht="15" hidden="false" customHeight="true" outlineLevel="0" collapsed="false">
      <c r="A48" s="5" t="s">
        <v>4230</v>
      </c>
      <c r="B48" s="206" t="str">
        <f aca="false">Price_Frontier!D26</f>
        <v>GPT-6 Sol</v>
      </c>
      <c r="C48" s="229" t="s">
        <v>751</v>
      </c>
      <c r="D48" s="44"/>
      <c r="E48" s="93"/>
      <c r="F48" s="45" t="s">
        <v>4229</v>
      </c>
      <c r="G48" s="21" t="s">
        <v>4119</v>
      </c>
    </row>
    <row r="49" customFormat="false" ht="39" hidden="false" customHeight="true" outlineLevel="0" collapsed="false">
      <c r="A49" s="5" t="s">
        <v>4231</v>
      </c>
      <c r="B49" s="206" t="str">
        <f aca="false">Price_Frontier!E26</f>
        <v>Claude Fable 5.1</v>
      </c>
      <c r="C49" s="229" t="s">
        <v>751</v>
      </c>
      <c r="D49" s="44"/>
      <c r="E49" s="87" t="s">
        <v>4232</v>
      </c>
      <c r="F49" s="45" t="s">
        <v>4229</v>
      </c>
      <c r="G49" s="21" t="s">
        <v>4119</v>
      </c>
    </row>
    <row r="50" customFormat="false" ht="26.25" hidden="false" customHeight="true" outlineLevel="0" collapsed="false">
      <c r="A50" s="5" t="s">
        <v>4233</v>
      </c>
      <c r="B50" s="206" t="n">
        <f aca="false">Price_Frontier!C33</f>
        <v>1.29646017699115</v>
      </c>
      <c r="C50" s="229" t="s">
        <v>4234</v>
      </c>
      <c r="D50" s="30" t="s">
        <v>118</v>
      </c>
      <c r="E50" s="87" t="s">
        <v>4235</v>
      </c>
      <c r="F50" s="45" t="s">
        <v>4229</v>
      </c>
      <c r="G50" s="21" t="s">
        <v>4119</v>
      </c>
    </row>
    <row r="51" customFormat="false" ht="29.25" hidden="false" customHeight="true" outlineLevel="0" collapsed="false">
      <c r="A51" s="5" t="s">
        <v>4236</v>
      </c>
      <c r="B51" s="206" t="n">
        <f aca="false">Fleet_1GW!M34</f>
        <v>12.1291102743968</v>
      </c>
      <c r="C51" s="229" t="s">
        <v>4237</v>
      </c>
      <c r="D51" s="44" t="s">
        <v>345</v>
      </c>
      <c r="E51" s="93" t="s">
        <v>4238</v>
      </c>
      <c r="F51" s="45" t="s">
        <v>4239</v>
      </c>
      <c r="G51" s="21" t="s">
        <v>4119</v>
      </c>
    </row>
    <row r="52" customFormat="false" ht="29.25" hidden="false" customHeight="true" outlineLevel="0" collapsed="false">
      <c r="A52" s="6" t="s">
        <v>4240</v>
      </c>
      <c r="B52" s="206" t="n">
        <f aca="false">Fleet_1GW!M30</f>
        <v>0</v>
      </c>
      <c r="C52" s="229" t="s">
        <v>4241</v>
      </c>
      <c r="D52" s="30" t="s">
        <v>103</v>
      </c>
      <c r="E52" s="93"/>
      <c r="F52" s="45" t="s">
        <v>4239</v>
      </c>
      <c r="G52" s="21" t="s">
        <v>4137</v>
      </c>
    </row>
    <row r="53" customFormat="false" ht="29.25" hidden="false" customHeight="true" outlineLevel="0" collapsed="false">
      <c r="A53" s="5" t="s">
        <v>4242</v>
      </c>
      <c r="B53" s="198" t="n">
        <f aca="false">IF(ISNUMBER(Amortize!M22),Amortize!M22/INDEX(B4_EffRef,1,2),Amortize!M22)</f>
        <v>0.00322644622893335</v>
      </c>
      <c r="C53" s="229" t="s">
        <v>751</v>
      </c>
      <c r="D53" s="30" t="s">
        <v>113</v>
      </c>
      <c r="E53" s="93" t="s">
        <v>4243</v>
      </c>
      <c r="F53" s="45" t="s">
        <v>4244</v>
      </c>
      <c r="G53" s="21" t="s">
        <v>4119</v>
      </c>
    </row>
    <row r="54" customFormat="false" ht="39" hidden="false" customHeight="true" outlineLevel="0" collapsed="false">
      <c r="A54" s="6" t="s">
        <v>4245</v>
      </c>
      <c r="B54" s="206" t="n">
        <f aca="false">Amortize!M41</f>
        <v>9.53746747046569</v>
      </c>
      <c r="C54" s="229" t="s">
        <v>4246</v>
      </c>
      <c r="D54" s="30" t="s">
        <v>118</v>
      </c>
      <c r="E54" s="93" t="s">
        <v>4247</v>
      </c>
      <c r="F54" s="45" t="s">
        <v>4244</v>
      </c>
      <c r="G54" s="21" t="s">
        <v>4119</v>
      </c>
    </row>
    <row r="55" customFormat="false" ht="29.25" hidden="false" customHeight="true" outlineLevel="0" collapsed="false">
      <c r="A55" s="6" t="s">
        <v>4248</v>
      </c>
      <c r="B55" s="198" t="n">
        <f aca="false">IF(ISNUMBER(Amortize!M47),Amortize!M47/INDEX(B4_EffRef,1,3),Amortize!M47)</f>
        <v>0.153422945244743</v>
      </c>
      <c r="C55" s="229" t="s">
        <v>751</v>
      </c>
      <c r="D55" s="30" t="s">
        <v>113</v>
      </c>
      <c r="E55" s="93" t="s">
        <v>4249</v>
      </c>
      <c r="F55" s="45" t="s">
        <v>4244</v>
      </c>
      <c r="G55" s="21" t="s">
        <v>4119</v>
      </c>
    </row>
    <row r="56" customFormat="false" ht="29.25" hidden="false" customHeight="true" outlineLevel="0" collapsed="false">
      <c r="A56" s="5" t="s">
        <v>4250</v>
      </c>
      <c r="B56" s="206" t="n">
        <f aca="false">Theory_Rev!M64+Theory_Rev!M65+Theory_Rev!M66-Theory_Rev!M67</f>
        <v>0</v>
      </c>
      <c r="C56" s="229" t="s">
        <v>4241</v>
      </c>
      <c r="D56" s="30" t="s">
        <v>2048</v>
      </c>
      <c r="E56" s="93"/>
      <c r="F56" s="45" t="s">
        <v>4251</v>
      </c>
      <c r="G56" s="21" t="s">
        <v>4137</v>
      </c>
    </row>
    <row r="58" customFormat="false" ht="15" hidden="false" customHeight="true" outlineLevel="0" collapsed="false">
      <c r="A58" s="43" t="s">
        <v>4252</v>
      </c>
      <c r="B58" s="15"/>
      <c r="C58" s="15"/>
      <c r="D58" s="15"/>
      <c r="E58" s="15"/>
      <c r="F58" s="15"/>
    </row>
    <row r="59" customFormat="false" ht="15" hidden="false" customHeight="true" outlineLevel="0" collapsed="false">
      <c r="A59" s="9" t="s">
        <v>386</v>
      </c>
      <c r="B59" s="9" t="s">
        <v>4132</v>
      </c>
      <c r="C59" s="9" t="s">
        <v>4115</v>
      </c>
      <c r="D59" s="9" t="s">
        <v>95</v>
      </c>
      <c r="E59" s="9" t="s">
        <v>615</v>
      </c>
      <c r="F59" s="9" t="s">
        <v>487</v>
      </c>
      <c r="G59" s="9" t="s">
        <v>4116</v>
      </c>
    </row>
    <row r="60" customFormat="false" ht="39" hidden="false" customHeight="true" outlineLevel="0" collapsed="false">
      <c r="A60" s="5" t="s">
        <v>4253</v>
      </c>
      <c r="B60" s="230" t="n">
        <f aca="false">B5_W</f>
        <v>0</v>
      </c>
      <c r="C60" s="229" t="s">
        <v>4241</v>
      </c>
      <c r="D60" s="30" t="s">
        <v>118</v>
      </c>
      <c r="E60" s="87" t="s">
        <v>4254</v>
      </c>
      <c r="F60" s="45" t="s">
        <v>4255</v>
      </c>
      <c r="G60" s="21" t="s">
        <v>4137</v>
      </c>
    </row>
    <row r="61" customFormat="false" ht="29.25" hidden="false" customHeight="true" outlineLevel="0" collapsed="false">
      <c r="A61" s="6" t="s">
        <v>4256</v>
      </c>
      <c r="B61" s="206" t="n">
        <f aca="false">ABS(Workload!C35-Harness!C21)+ABS(Workload!D35-Harness!D21)+ABS(Workload!E35-Harness!E21)+ABS(Workload!F35-Harness!F21)+ABS(Workload!G35-Harness!G21)</f>
        <v>0</v>
      </c>
      <c r="C61" s="229" t="s">
        <v>4257</v>
      </c>
      <c r="D61" s="30" t="s">
        <v>308</v>
      </c>
      <c r="E61" s="87" t="s">
        <v>4258</v>
      </c>
      <c r="F61" s="45" t="s">
        <v>4259</v>
      </c>
      <c r="G61" s="21" t="s">
        <v>4137</v>
      </c>
    </row>
    <row r="62" customFormat="false" ht="39" hidden="false" customHeight="true" outlineLevel="0" collapsed="false">
      <c r="A62" s="6" t="s">
        <v>4260</v>
      </c>
      <c r="B62" s="206" t="n">
        <f aca="false">Harness!G45</f>
        <v>0.492530120481928</v>
      </c>
      <c r="C62" s="51" t="n">
        <f aca="false">Har_In!E72</f>
        <v>0.51</v>
      </c>
      <c r="D62" s="30" t="s">
        <v>118</v>
      </c>
      <c r="E62" s="93" t="s">
        <v>4261</v>
      </c>
      <c r="F62" s="45" t="s">
        <v>2221</v>
      </c>
      <c r="G62" s="21" t="s">
        <v>4119</v>
      </c>
    </row>
    <row r="63" customFormat="false" ht="39" hidden="false" customHeight="true" outlineLevel="0" collapsed="false">
      <c r="A63" s="6" t="s">
        <v>4262</v>
      </c>
      <c r="B63" s="206" t="n">
        <f aca="false">Harness!G138</f>
        <v>0.519237863316496</v>
      </c>
      <c r="C63" s="51" t="n">
        <f aca="false">(Har_In!D71/Har_In!C71)/(Har_In!D70/Har_In!C70)</f>
        <v>0.422310694422661</v>
      </c>
      <c r="D63" s="30" t="s">
        <v>118</v>
      </c>
      <c r="E63" s="93" t="s">
        <v>4263</v>
      </c>
      <c r="F63" s="45" t="s">
        <v>2221</v>
      </c>
      <c r="G63" s="21" t="s">
        <v>4119</v>
      </c>
    </row>
    <row r="64" customFormat="false" ht="39" hidden="false" customHeight="true" outlineLevel="0" collapsed="false">
      <c r="A64" s="6" t="s">
        <v>4264</v>
      </c>
      <c r="B64" s="206" t="n">
        <f aca="false">((1/Har_In!C70-1)/(1/Har_In!C71-1))^(1/B5_Beta)</f>
        <v>145.519176037217</v>
      </c>
      <c r="C64" s="229" t="s">
        <v>4265</v>
      </c>
      <c r="D64" s="30" t="s">
        <v>118</v>
      </c>
      <c r="E64" s="93" t="s">
        <v>4266</v>
      </c>
      <c r="F64" s="45" t="s">
        <v>4267</v>
      </c>
      <c r="G64" s="21" t="s">
        <v>4119</v>
      </c>
    </row>
    <row r="65" customFormat="false" ht="15" hidden="false" customHeight="true" outlineLevel="0" collapsed="false">
      <c r="A65" s="6" t="s">
        <v>4268</v>
      </c>
      <c r="B65" s="206" t="n">
        <f aca="false">AVERAGE(Har_In!F77:F80)</f>
        <v>0.80134078201291</v>
      </c>
      <c r="C65" s="229" t="n">
        <f aca="false">B5_Beta</f>
        <v>0.75</v>
      </c>
      <c r="D65" s="30" t="s">
        <v>118</v>
      </c>
      <c r="E65" s="93" t="s">
        <v>4269</v>
      </c>
      <c r="F65" s="45" t="s">
        <v>2241</v>
      </c>
      <c r="G65" s="21" t="s">
        <v>4119</v>
      </c>
    </row>
    <row r="66" customFormat="false" ht="29.25" hidden="false" customHeight="true" outlineLevel="0" collapsed="false">
      <c r="A66" s="6" t="s">
        <v>4270</v>
      </c>
      <c r="B66" s="197" t="n">
        <f aca="false">Harness!G62</f>
        <v>0.627115119175411</v>
      </c>
      <c r="C66" s="229" t="s">
        <v>751</v>
      </c>
      <c r="D66" s="30" t="s">
        <v>113</v>
      </c>
      <c r="E66" s="93" t="s">
        <v>4271</v>
      </c>
      <c r="F66" s="45" t="s">
        <v>4272</v>
      </c>
      <c r="G66" s="21" t="s">
        <v>4119</v>
      </c>
    </row>
    <row r="67" customFormat="false" ht="29.25" hidden="false" customHeight="true" outlineLevel="0" collapsed="false">
      <c r="A67" s="5" t="s">
        <v>4273</v>
      </c>
      <c r="B67" s="206" t="str">
        <f aca="false">Harness!G152</f>
        <v>Sol｜選定</v>
      </c>
      <c r="C67" s="51" t="str">
        <f aca="false">Harness!G148</f>
        <v>Luna｜選定</v>
      </c>
      <c r="D67" s="44"/>
      <c r="E67" s="93" t="s">
        <v>4274</v>
      </c>
      <c r="F67" s="45" t="s">
        <v>4275</v>
      </c>
      <c r="G67" s="21" t="s">
        <v>4119</v>
      </c>
    </row>
    <row r="68" customFormat="false" ht="29.25" hidden="false" customHeight="true" outlineLevel="0" collapsed="false">
      <c r="A68" s="6" t="s">
        <v>4276</v>
      </c>
      <c r="B68" s="206" t="n">
        <f aca="false">MIN(Sens_Har!C37:Z37)</f>
        <v>0.46224248549693</v>
      </c>
      <c r="C68" s="51" t="n">
        <f aca="false">MAX(Sens_Har!C37:Z37)</f>
        <v>1.44258441630667</v>
      </c>
      <c r="D68" s="30" t="s">
        <v>118</v>
      </c>
      <c r="E68" s="93" t="s">
        <v>4277</v>
      </c>
      <c r="F68" s="45" t="s">
        <v>4278</v>
      </c>
      <c r="G68" s="21" t="s">
        <v>4119</v>
      </c>
    </row>
    <row r="69" customFormat="false" ht="26.25" hidden="false" customHeight="true" outlineLevel="0" collapsed="false">
      <c r="A69" s="5" t="s">
        <v>4279</v>
      </c>
      <c r="B69" s="211" t="n">
        <f aca="false">B5_PFloor</f>
        <v>0.5</v>
      </c>
      <c r="C69" s="229" t="s">
        <v>4280</v>
      </c>
      <c r="D69" s="30" t="s">
        <v>113</v>
      </c>
      <c r="E69" s="93" t="s">
        <v>4281</v>
      </c>
      <c r="F69" s="45" t="s">
        <v>4282</v>
      </c>
      <c r="G69" s="21" t="s">
        <v>4119</v>
      </c>
    </row>
    <row r="70" customFormat="false" ht="29.25" hidden="false" customHeight="true" outlineLevel="0" collapsed="false">
      <c r="A70" s="5" t="s">
        <v>4283</v>
      </c>
      <c r="B70" s="206" t="n">
        <f aca="false">COUNTIF(Harness!C152:G152,"無合格")</f>
        <v>0</v>
      </c>
      <c r="C70" s="229" t="s">
        <v>4284</v>
      </c>
      <c r="D70" s="44"/>
      <c r="E70" s="87" t="s">
        <v>4285</v>
      </c>
      <c r="F70" s="45" t="s">
        <v>4275</v>
      </c>
      <c r="G70" s="21" t="s">
        <v>4119</v>
      </c>
    </row>
    <row r="72" customFormat="false" ht="15" hidden="false" customHeight="true" outlineLevel="0" collapsed="false">
      <c r="A72" s="43" t="s">
        <v>4286</v>
      </c>
      <c r="B72" s="15"/>
      <c r="C72" s="15"/>
      <c r="D72" s="15"/>
      <c r="E72" s="15"/>
      <c r="F72" s="15"/>
    </row>
    <row r="73" customFormat="false" ht="15" hidden="false" customHeight="true" outlineLevel="0" collapsed="false">
      <c r="A73" s="9" t="s">
        <v>4287</v>
      </c>
      <c r="B73" s="9" t="s">
        <v>4288</v>
      </c>
      <c r="C73" s="9" t="s">
        <v>4289</v>
      </c>
      <c r="D73" s="9" t="s">
        <v>4290</v>
      </c>
      <c r="E73" s="9" t="s">
        <v>4291</v>
      </c>
      <c r="G73" s="9" t="s">
        <v>4116</v>
      </c>
    </row>
    <row r="74" customFormat="false" ht="15" hidden="false" customHeight="true" outlineLevel="0" collapsed="false">
      <c r="A74" s="30" t="s">
        <v>4292</v>
      </c>
      <c r="B74" s="44" t="s">
        <v>4293</v>
      </c>
      <c r="C74" s="8" t="s">
        <v>4294</v>
      </c>
      <c r="D74" s="32" t="n">
        <f aca="false">COUNTIF(Gov_Map!$V$5:$V$700,1)</f>
        <v>0</v>
      </c>
      <c r="E74" s="45" t="s">
        <v>4295</v>
      </c>
      <c r="G74" s="21" t="s">
        <v>4296</v>
      </c>
    </row>
    <row r="75" customFormat="false" ht="15" hidden="false" customHeight="true" outlineLevel="0" collapsed="false">
      <c r="A75" s="30" t="s">
        <v>4297</v>
      </c>
      <c r="B75" s="30" t="s">
        <v>4298</v>
      </c>
      <c r="C75" s="8" t="s">
        <v>4294</v>
      </c>
      <c r="D75" s="32" t="n">
        <f aca="false">COUNTIF(Gov_Map!$W$5:$W$700,1)</f>
        <v>0</v>
      </c>
      <c r="E75" s="45" t="s">
        <v>4299</v>
      </c>
      <c r="G75" s="21" t="s">
        <v>4296</v>
      </c>
    </row>
    <row r="76" customFormat="false" ht="15" hidden="false" customHeight="true" outlineLevel="0" collapsed="false">
      <c r="A76" s="30" t="s">
        <v>4300</v>
      </c>
      <c r="B76" s="30" t="s">
        <v>4301</v>
      </c>
      <c r="C76" s="8" t="s">
        <v>4294</v>
      </c>
      <c r="D76" s="32" t="n">
        <f aca="false">COUNTIF(Gov_Map!$X$5:$X$700,1)</f>
        <v>0</v>
      </c>
      <c r="E76" s="45" t="s">
        <v>4302</v>
      </c>
      <c r="G76" s="21" t="s">
        <v>4296</v>
      </c>
    </row>
    <row r="77" customFormat="false" ht="15" hidden="false" customHeight="true" outlineLevel="0" collapsed="false">
      <c r="A77" s="30" t="s">
        <v>4303</v>
      </c>
      <c r="B77" s="30" t="s">
        <v>4304</v>
      </c>
      <c r="C77" s="8" t="s">
        <v>4294</v>
      </c>
      <c r="D77" s="32" t="n">
        <f aca="false">COUNTIF(Gov_Map!$Y$5:$Y$700,1)</f>
        <v>0</v>
      </c>
      <c r="E77" s="45" t="s">
        <v>4299</v>
      </c>
      <c r="G77" s="21" t="s">
        <v>4296</v>
      </c>
    </row>
    <row r="78" customFormat="false" ht="15" hidden="false" customHeight="true" outlineLevel="0" collapsed="false">
      <c r="A78" s="30" t="s">
        <v>4305</v>
      </c>
      <c r="B78" s="30" t="s">
        <v>4306</v>
      </c>
      <c r="C78" s="8" t="s">
        <v>4294</v>
      </c>
      <c r="D78" s="32" t="n">
        <f aca="false">COUNTIF(Gov_Map!$Z$5:$Z$700,1)</f>
        <v>0</v>
      </c>
      <c r="E78" s="45" t="s">
        <v>4299</v>
      </c>
      <c r="G78" s="21" t="s">
        <v>4296</v>
      </c>
    </row>
    <row r="79" customFormat="false" ht="15" hidden="false" customHeight="true" outlineLevel="0" collapsed="false">
      <c r="A79" s="30" t="s">
        <v>4307</v>
      </c>
      <c r="B79" s="44" t="s">
        <v>4308</v>
      </c>
      <c r="C79" s="8" t="s">
        <v>4294</v>
      </c>
      <c r="D79" s="32" t="n">
        <f aca="false">COUNTIF(Gov_Map!$AA$5:$AA$700,1)</f>
        <v>0</v>
      </c>
      <c r="E79" s="45" t="s">
        <v>4309</v>
      </c>
      <c r="G79" s="21" t="s">
        <v>4296</v>
      </c>
    </row>
    <row r="80" customFormat="false" ht="15" hidden="false" customHeight="true" outlineLevel="0" collapsed="false">
      <c r="A80" s="30" t="s">
        <v>4310</v>
      </c>
      <c r="B80" s="44" t="s">
        <v>4311</v>
      </c>
      <c r="C80" s="8" t="s">
        <v>4294</v>
      </c>
      <c r="D80" s="32" t="n">
        <f aca="false">COUNTIF(SRC_HW!$X$5:$X$400,"&gt;1")+COUNTIF(SRC_DC!$X$5:$X$400,"&gt;1")+COUNTIF(SRC_Model!$X$5:$X$400,"&gt;1")+COUNTIF(SRC_Perf!$X$5:$X$400,"&gt;1")+COUNTIF(SRC_Price!$AC$5:$AC$400,"&gt;1")+COUNTIF(SRC_Cap!$X$5:$X$400,"&gt;1")+COUNTIF(SRC_Harness!$X$5:$X$400,"&gt;1")+COUNTIF(SRC_Demand!$X$5:$X$400,"&gt;1")</f>
        <v>0</v>
      </c>
      <c r="E80" s="45" t="s">
        <v>4312</v>
      </c>
      <c r="G80" s="21" t="s">
        <v>4296</v>
      </c>
    </row>
    <row r="81" customFormat="false" ht="15" hidden="false" customHeight="true" outlineLevel="0" collapsed="false">
      <c r="A81" s="30" t="s">
        <v>4313</v>
      </c>
      <c r="B81" s="30" t="s">
        <v>4314</v>
      </c>
      <c r="C81" s="8" t="s">
        <v>4294</v>
      </c>
      <c r="D81" s="32" t="n">
        <f aca="false">COUNTIF(SRC_HW!$Y$5:$Y$400,"1")+COUNTIF(SRC_DC!$Y$5:$Y$400,"1")+COUNTIF(SRC_Model!$Y$5:$Y$400,"1")+COUNTIF(SRC_Perf!$Y$5:$Y$400,"1")+COUNTIF(SRC_Price!$AD$5:$AD$400,"1")+COUNTIF(SRC_Cap!$Y$5:$Y$400,"1")+COUNTIF(SRC_Harness!$Y$5:$Y$400,"1")+COUNTIF(SRC_Demand!$Y$5:$Y$400,"1")</f>
        <v>0</v>
      </c>
      <c r="E81" s="45" t="s">
        <v>4315</v>
      </c>
      <c r="G81" s="21" t="s">
        <v>4296</v>
      </c>
    </row>
    <row r="82" customFormat="false" ht="15" hidden="false" customHeight="true" outlineLevel="0" collapsed="false">
      <c r="A82" s="30" t="s">
        <v>4316</v>
      </c>
      <c r="B82" s="44" t="s">
        <v>4317</v>
      </c>
      <c r="C82" s="8" t="s">
        <v>4294</v>
      </c>
      <c r="D82" s="32" t="n">
        <f aca="false">COUNTIF(Gov_Map!$AB$5:$AB$700,1)</f>
        <v>0</v>
      </c>
      <c r="E82" s="45" t="s">
        <v>4318</v>
      </c>
      <c r="G82" s="21" t="s">
        <v>4296</v>
      </c>
    </row>
    <row r="83" customFormat="false" ht="15" hidden="false" customHeight="true" outlineLevel="0" collapsed="false">
      <c r="A83" s="30" t="s">
        <v>4319</v>
      </c>
      <c r="B83" s="44" t="s">
        <v>4320</v>
      </c>
      <c r="C83" s="8" t="s">
        <v>4294</v>
      </c>
      <c r="D83" s="32" t="n">
        <f aca="false">COUNTIF(Gov_Map!$AC$5:$AC$700,1)</f>
        <v>0</v>
      </c>
      <c r="E83" s="45" t="s">
        <v>4321</v>
      </c>
      <c r="G83" s="21" t="s">
        <v>4296</v>
      </c>
    </row>
    <row r="84" customFormat="false" ht="15" hidden="false" customHeight="true" outlineLevel="0" collapsed="false">
      <c r="A84" s="30" t="s">
        <v>4322</v>
      </c>
      <c r="B84" s="30" t="s">
        <v>4323</v>
      </c>
      <c r="C84" s="8" t="s">
        <v>4294</v>
      </c>
      <c r="D84" s="32" t="n">
        <v>0</v>
      </c>
      <c r="E84" s="21" t="s">
        <v>4324</v>
      </c>
      <c r="G84" s="21" t="s">
        <v>4296</v>
      </c>
    </row>
    <row r="85" customFormat="false" ht="15" hidden="false" customHeight="true" outlineLevel="0" collapsed="false">
      <c r="A85" s="30" t="s">
        <v>4325</v>
      </c>
      <c r="B85" s="44" t="s">
        <v>4326</v>
      </c>
      <c r="C85" s="8" t="s">
        <v>4294</v>
      </c>
      <c r="D85" s="32" t="n">
        <f aca="false">COUNTIF(Gov_Map!$AE$5:$AE$700,1)</f>
        <v>0</v>
      </c>
      <c r="E85" s="45" t="s">
        <v>4299</v>
      </c>
      <c r="G85" s="21" t="s">
        <v>4296</v>
      </c>
    </row>
    <row r="86" customFormat="false" ht="15" hidden="false" customHeight="true" outlineLevel="0" collapsed="false">
      <c r="A86" s="30" t="s">
        <v>4327</v>
      </c>
      <c r="B86" s="30" t="s">
        <v>4328</v>
      </c>
      <c r="C86" s="8" t="s">
        <v>4294</v>
      </c>
      <c r="D86" s="32" t="n">
        <f aca="false">COUNTIF(SRC_HW!$A$121:$A$400,"&lt;&gt;—")-COUNTIF(SRC_HW!$A$121:$A$400,"")+COUNTIF(SRC_DC!$A$72:$A$400,"&lt;&gt;—")-COUNTIF(SRC_DC!$A$72:$A$400,"")+COUNTIF(SRC_Model!$A$116:$A$400,"&lt;&gt;—")-COUNTIF(SRC_Model!$A$116:$A$400,"")+COUNTIF(SRC_Perf!$A$133:$A$400,"&lt;&gt;—")-COUNTIF(SRC_Perf!$A$133:$A$400,"")+COUNTIF(SRC_Price!$A$99:$A$400,"&lt;&gt;—")-COUNTIF(SRC_Price!$A$99:$A$400,"")+COUNTIF(SRC_Cap!$A$76:$A$400,"&lt;&gt;—")-COUNTIF(SRC_Cap!$A$76:$A$400,"")+COUNTIF(SRC_Harness!$A$71:$A$400,"&lt;&gt;—")-COUNTIF(SRC_Harness!$A$71:$A$400,"")+COUNTIF(SRC_Demand!$A$128:$A$400,"&lt;&gt;—")-COUNTIF(SRC_Demand!$A$128:$A$400,"")</f>
        <v>0</v>
      </c>
      <c r="E86" s="21" t="s">
        <v>4329</v>
      </c>
      <c r="G86" s="21" t="s">
        <v>4296</v>
      </c>
    </row>
    <row r="87" customFormat="false" ht="15" hidden="false" customHeight="true" outlineLevel="0" collapsed="false">
      <c r="A87" s="30" t="s">
        <v>4330</v>
      </c>
      <c r="B87" s="44" t="s">
        <v>4331</v>
      </c>
      <c r="C87" s="30" t="s">
        <v>4332</v>
      </c>
      <c r="D87" s="32" t="n">
        <f aca="false">COUNTIF(SRC_HW!$Z$5:$Z$400,"1")+COUNTIF(SRC_DC!$Z$5:$Z$400,"1")+COUNTIF(SRC_Model!$Z$5:$Z$400,"1")+COUNTIF(SRC_Perf!$Z$5:$Z$400,"1")+COUNTIF(SRC_Price!$AE$5:$AE$400,"1")+COUNTIF(SRC_Cap!$Z$5:$Z$400,"1")+COUNTIF(SRC_Harness!$Z$5:$Z$400,"1")+COUNTIF(SRC_Demand!$Z$5:$Z$400,"1")</f>
        <v>277</v>
      </c>
      <c r="E87" s="45" t="s">
        <v>4333</v>
      </c>
      <c r="G87" s="21" t="s">
        <v>4296</v>
      </c>
    </row>
    <row r="88" customFormat="false" ht="15" hidden="false" customHeight="true" outlineLevel="0" collapsed="false">
      <c r="A88" s="30" t="s">
        <v>4334</v>
      </c>
      <c r="B88" s="30" t="s">
        <v>4335</v>
      </c>
      <c r="C88" s="30" t="s">
        <v>4332</v>
      </c>
      <c r="D88" s="32" t="n">
        <f aca="false">COUNTIF(Gov_Map!$AD$5:$AD$700,1)</f>
        <v>0</v>
      </c>
      <c r="E88" s="45" t="s">
        <v>4336</v>
      </c>
      <c r="G88" s="21" t="s">
        <v>4296</v>
      </c>
    </row>
    <row r="89" customFormat="false" ht="15" hidden="false" customHeight="true" outlineLevel="0" collapsed="false">
      <c r="A89" s="30" t="s">
        <v>4337</v>
      </c>
      <c r="B89" s="30" t="s">
        <v>4338</v>
      </c>
      <c r="C89" s="30" t="s">
        <v>4339</v>
      </c>
      <c r="D89" s="32" t="n">
        <f aca="false">COUNTIF(DB_Evidence!$L$5:$L$500,"待判定")</f>
        <v>4</v>
      </c>
      <c r="E89" s="45" t="s">
        <v>4340</v>
      </c>
      <c r="G89" s="21" t="s">
        <v>4296</v>
      </c>
    </row>
    <row r="90" customFormat="false" ht="15" hidden="false" customHeight="true" outlineLevel="0" collapsed="false">
      <c r="A90" s="30" t="s">
        <v>4341</v>
      </c>
      <c r="B90" s="30" t="s">
        <v>4342</v>
      </c>
      <c r="C90" s="30" t="s">
        <v>4339</v>
      </c>
      <c r="D90" s="32" t="n">
        <f aca="false">COUNTIF(DB_Evidence!$L$5:$L$500,"待 Andy")</f>
        <v>0</v>
      </c>
      <c r="E90" s="45" t="s">
        <v>4340</v>
      </c>
      <c r="G90" s="21" t="s">
        <v>4296</v>
      </c>
    </row>
    <row r="91" customFormat="false" ht="15" hidden="false" customHeight="true" outlineLevel="0" collapsed="false">
      <c r="A91" s="30" t="s">
        <v>4343</v>
      </c>
      <c r="B91" s="30" t="s">
        <v>4344</v>
      </c>
      <c r="C91" s="30" t="s">
        <v>4339</v>
      </c>
      <c r="D91" s="32" t="n">
        <f aca="false">COUNTIF(L1!$P$5:$P$200,"低於外部區間")+COUNTIF(L1!$P$5:$P$200,"高於外部區間")+COUNTIF(L1!$P$5:$P$200,"差距 &gt;20%")</f>
        <v>20</v>
      </c>
      <c r="E91" s="45" t="s">
        <v>4345</v>
      </c>
      <c r="G91" s="21" t="s">
        <v>4296</v>
      </c>
    </row>
    <row r="92" customFormat="false" ht="15" hidden="false" customHeight="true" outlineLevel="0" collapsed="false">
      <c r="A92" s="30" t="s">
        <v>4346</v>
      </c>
      <c r="B92" s="44" t="s">
        <v>4347</v>
      </c>
      <c r="C92" s="30" t="s">
        <v>4339</v>
      </c>
      <c r="D92" s="32" t="n">
        <f aca="false">COUNTIF(Gov_Map!$F$5:$F$700,"原始數據（G0-2 保留）")</f>
        <v>14</v>
      </c>
      <c r="E92" s="45" t="s">
        <v>4299</v>
      </c>
      <c r="G92" s="21" t="s">
        <v>4296</v>
      </c>
    </row>
    <row r="93" customFormat="false" ht="15" hidden="false" customHeight="true" outlineLevel="0" collapsed="false">
      <c r="A93" s="30" t="s">
        <v>4348</v>
      </c>
      <c r="B93" s="30" t="s">
        <v>4349</v>
      </c>
      <c r="C93" s="30" t="s">
        <v>4339</v>
      </c>
      <c r="D93" s="32" t="n">
        <f aca="false">COUNTIF(Gov_Map!$F$5:$F$700,"Derived（待改公式）")</f>
        <v>0</v>
      </c>
      <c r="E93" s="45" t="s">
        <v>4350</v>
      </c>
      <c r="G93" s="21" t="s">
        <v>4296</v>
      </c>
    </row>
    <row r="94" customFormat="false" ht="15" hidden="false" customHeight="true" outlineLevel="0" collapsed="false">
      <c r="A94" s="30" t="s">
        <v>4351</v>
      </c>
      <c r="B94" s="44" t="s">
        <v>4352</v>
      </c>
      <c r="C94" s="30" t="s">
        <v>4339</v>
      </c>
      <c r="D94" s="32" t="n">
        <f aca="false">COUNTIF(Gov_Map!$M$5:$M$700,"結構選擇（無數值區間）")</f>
        <v>26</v>
      </c>
      <c r="E94" s="45" t="s">
        <v>4299</v>
      </c>
      <c r="G94" s="21" t="s">
        <v>4296</v>
      </c>
    </row>
    <row r="95" customFormat="false" ht="15" hidden="false" customHeight="true" outlineLevel="0" collapsed="false">
      <c r="A95" s="30" t="s">
        <v>4353</v>
      </c>
      <c r="B95" s="44" t="s">
        <v>4354</v>
      </c>
      <c r="C95" s="30" t="s">
        <v>4339</v>
      </c>
      <c r="D95" s="32" t="n">
        <f aca="false">COUNTIF(Gov_Map!$F$5:$F$700,"原始數據（切片二）")</f>
        <v>3</v>
      </c>
      <c r="E95" s="45" t="s">
        <v>4355</v>
      </c>
      <c r="G95" s="21" t="s">
        <v>4296</v>
      </c>
    </row>
    <row r="96" customFormat="false" ht="15" hidden="false" customHeight="true" outlineLevel="0" collapsed="false">
      <c r="A96" s="30" t="s">
        <v>4356</v>
      </c>
      <c r="B96" s="44" t="s">
        <v>4357</v>
      </c>
      <c r="C96" s="30" t="s">
        <v>4339</v>
      </c>
      <c r="D96" s="32" t="n">
        <f aca="false">COUNTIF(Gov_Map!$O$5:$O$700,"&lt;&gt;—")-COUNTIF(Gov_Map!$O$5:$O$700,"")</f>
        <v>57</v>
      </c>
      <c r="E96" s="45" t="s">
        <v>4358</v>
      </c>
      <c r="G96" s="21" t="s">
        <v>4296</v>
      </c>
    </row>
    <row r="97" customFormat="false" ht="15" hidden="false" customHeight="true" outlineLevel="0" collapsed="false">
      <c r="B97" s="8" t="s">
        <v>4359</v>
      </c>
      <c r="D97" s="231" t="n">
        <f aca="false">D74+D75+D76+D77+D78+D79+D80+D81+D82+D83+D84+D85+D86+D104+D105+D110+D114+D119+D120+D136+D140</f>
        <v>0</v>
      </c>
    </row>
    <row r="98" customFormat="false" ht="15" hidden="false" customHeight="true" outlineLevel="0" collapsed="false">
      <c r="B98" s="8" t="s">
        <v>4360</v>
      </c>
      <c r="D98" s="32" t="n">
        <f aca="false">D87+D88+D106+D118+D128+D129+D130+D131</f>
        <v>279</v>
      </c>
    </row>
    <row r="99" customFormat="false" ht="15" hidden="false" customHeight="true" outlineLevel="0" collapsed="false">
      <c r="B99" s="8" t="s">
        <v>4361</v>
      </c>
      <c r="D99" s="32" t="n">
        <f aca="false">D89+D90+D91+D92+D93+D94+D95+D96+D121+D122+D123+D124+D132</f>
        <v>179</v>
      </c>
    </row>
    <row r="100" customFormat="false" ht="15" hidden="false" customHeight="true" outlineLevel="0" collapsed="false">
      <c r="B100" s="21" t="s">
        <v>4362</v>
      </c>
    </row>
    <row r="102" customFormat="false" ht="15" hidden="false" customHeight="true" outlineLevel="0" collapsed="false">
      <c r="A102" s="43" t="s">
        <v>4363</v>
      </c>
      <c r="B102" s="15"/>
      <c r="C102" s="15"/>
      <c r="D102" s="15"/>
      <c r="E102" s="15"/>
      <c r="F102" s="15"/>
    </row>
    <row r="103" customFormat="false" ht="15" hidden="false" customHeight="true" outlineLevel="0" collapsed="false">
      <c r="A103" s="9" t="s">
        <v>4287</v>
      </c>
      <c r="B103" s="9" t="s">
        <v>4288</v>
      </c>
      <c r="C103" s="9" t="s">
        <v>4289</v>
      </c>
      <c r="D103" s="9" t="s">
        <v>4290</v>
      </c>
      <c r="E103" s="9" t="s">
        <v>4291</v>
      </c>
      <c r="G103" s="9" t="s">
        <v>4116</v>
      </c>
    </row>
    <row r="104" customFormat="false" ht="15" hidden="false" customHeight="true" outlineLevel="0" collapsed="false">
      <c r="A104" s="30" t="s">
        <v>4364</v>
      </c>
      <c r="B104" s="44" t="s">
        <v>4365</v>
      </c>
      <c r="C104" s="8" t="s">
        <v>4294</v>
      </c>
      <c r="D104" s="32" t="n">
        <f aca="false">IF(ABS(SUM(AL_MixGen)-1)&gt;0.000000001,1,0)</f>
        <v>0</v>
      </c>
      <c r="E104" s="45" t="s">
        <v>4366</v>
      </c>
      <c r="G104" s="21" t="s">
        <v>4137</v>
      </c>
    </row>
    <row r="105" customFormat="false" ht="15" hidden="false" customHeight="true" outlineLevel="0" collapsed="false">
      <c r="A105" s="30" t="s">
        <v>4367</v>
      </c>
      <c r="B105" s="30" t="s">
        <v>4368</v>
      </c>
      <c r="C105" s="8" t="s">
        <v>4294</v>
      </c>
      <c r="D105" s="32" t="n">
        <f aca="false">SUM(AL_SensCheck)</f>
        <v>0</v>
      </c>
      <c r="E105" s="45" t="s">
        <v>4369</v>
      </c>
      <c r="G105" s="21" t="s">
        <v>4137</v>
      </c>
    </row>
    <row r="106" customFormat="false" ht="15" hidden="false" customHeight="true" outlineLevel="0" collapsed="false">
      <c r="A106" s="30" t="s">
        <v>4370</v>
      </c>
      <c r="B106" s="30" t="s">
        <v>4371</v>
      </c>
      <c r="C106" s="8" t="s">
        <v>4332</v>
      </c>
      <c r="D106" s="33" t="n">
        <f aca="false">SUMPRODUCT(ISNUMBER(L1!$D$5:$D$200)*ISNUMBER(L1!$E$5:$E$200)*ISNUMBER(L1!$F$5:$F$200)*(((L1!$E$5:$E$200&gt;L1!$D$5:$D$200)+(L1!$D$5:$D$200&gt;L1!$F$5:$F$200))&gt;0))</f>
        <v>0</v>
      </c>
      <c r="E106" s="45" t="s">
        <v>4372</v>
      </c>
      <c r="G106" s="21" t="s">
        <v>4296</v>
      </c>
    </row>
    <row r="108" customFormat="false" ht="15" hidden="false" customHeight="true" outlineLevel="0" collapsed="false">
      <c r="A108" s="43" t="s">
        <v>4373</v>
      </c>
      <c r="B108" s="15"/>
      <c r="C108" s="15"/>
      <c r="D108" s="15"/>
      <c r="E108" s="15"/>
      <c r="F108" s="15"/>
    </row>
    <row r="109" customFormat="false" ht="15" hidden="false" customHeight="true" outlineLevel="0" collapsed="false">
      <c r="A109" s="9" t="s">
        <v>4287</v>
      </c>
      <c r="B109" s="9" t="s">
        <v>4288</v>
      </c>
      <c r="C109" s="9" t="s">
        <v>4289</v>
      </c>
      <c r="D109" s="9" t="s">
        <v>4290</v>
      </c>
      <c r="E109" s="9" t="s">
        <v>4291</v>
      </c>
      <c r="G109" s="9" t="s">
        <v>4116</v>
      </c>
    </row>
    <row r="110" customFormat="false" ht="15" hidden="false" customHeight="true" outlineLevel="0" collapsed="false">
      <c r="A110" s="30" t="s">
        <v>4374</v>
      </c>
      <c r="B110" s="44" t="s">
        <v>4375</v>
      </c>
      <c r="C110" s="8" t="s">
        <v>4294</v>
      </c>
      <c r="D110" s="33" t="n">
        <f aca="false">SUM(Theory_Rev_Prod!C90:Q96)</f>
        <v>0</v>
      </c>
      <c r="E110" s="45" t="s">
        <v>4376</v>
      </c>
      <c r="G110" s="21" t="s">
        <v>4137</v>
      </c>
    </row>
    <row r="112" customFormat="false" ht="15" hidden="false" customHeight="true" outlineLevel="0" collapsed="false">
      <c r="A112" s="43" t="s">
        <v>4377</v>
      </c>
      <c r="B112" s="15"/>
      <c r="C112" s="15"/>
      <c r="D112" s="15"/>
      <c r="E112" s="15"/>
      <c r="F112" s="15"/>
    </row>
    <row r="113" customFormat="false" ht="15" hidden="false" customHeight="true" outlineLevel="0" collapsed="false">
      <c r="A113" s="9" t="s">
        <v>4287</v>
      </c>
      <c r="B113" s="9" t="s">
        <v>4288</v>
      </c>
      <c r="C113" s="9" t="s">
        <v>4289</v>
      </c>
      <c r="D113" s="9" t="s">
        <v>4290</v>
      </c>
      <c r="E113" s="9" t="s">
        <v>4291</v>
      </c>
      <c r="G113" s="9" t="s">
        <v>4116</v>
      </c>
    </row>
    <row r="114" customFormat="false" ht="15" hidden="false" customHeight="true" outlineLevel="0" collapsed="false">
      <c r="A114" s="30" t="s">
        <v>4378</v>
      </c>
      <c r="B114" s="44" t="s">
        <v>4379</v>
      </c>
      <c r="C114" s="8" t="s">
        <v>4294</v>
      </c>
      <c r="D114" s="33" t="n">
        <f aca="false">SUM(Theory_Rev!C96:Q99)</f>
        <v>0</v>
      </c>
      <c r="E114" s="45" t="s">
        <v>4380</v>
      </c>
      <c r="G114" s="21" t="s">
        <v>4137</v>
      </c>
    </row>
    <row r="116" customFormat="false" ht="15" hidden="false" customHeight="true" outlineLevel="0" collapsed="false">
      <c r="A116" s="43" t="s">
        <v>4381</v>
      </c>
      <c r="B116" s="15"/>
      <c r="C116" s="15"/>
      <c r="D116" s="15"/>
      <c r="E116" s="15"/>
      <c r="F116" s="15"/>
    </row>
    <row r="117" customFormat="false" ht="15" hidden="false" customHeight="true" outlineLevel="0" collapsed="false">
      <c r="A117" s="9" t="s">
        <v>4287</v>
      </c>
      <c r="B117" s="9" t="s">
        <v>4288</v>
      </c>
      <c r="C117" s="9" t="s">
        <v>4289</v>
      </c>
      <c r="D117" s="9" t="s">
        <v>4290</v>
      </c>
      <c r="E117" s="9" t="s">
        <v>4291</v>
      </c>
      <c r="G117" s="9" t="s">
        <v>4116</v>
      </c>
    </row>
    <row r="118" customFormat="false" ht="57.75" hidden="false" customHeight="true" outlineLevel="0" collapsed="false">
      <c r="A118" s="30" t="s">
        <v>4382</v>
      </c>
      <c r="B118" s="6" t="s">
        <v>4383</v>
      </c>
      <c r="C118" s="30" t="s">
        <v>4332</v>
      </c>
      <c r="D118" s="32" t="n">
        <f aca="false">COUNTIF(Interface!$R$6:$R$328,"—")</f>
        <v>0</v>
      </c>
      <c r="E118" s="45" t="s">
        <v>4384</v>
      </c>
      <c r="G118" s="21" t="s">
        <v>4296</v>
      </c>
    </row>
    <row r="119" customFormat="false" ht="72" hidden="false" customHeight="true" outlineLevel="0" collapsed="false">
      <c r="A119" s="30" t="s">
        <v>4385</v>
      </c>
      <c r="B119" s="6" t="s">
        <v>4386</v>
      </c>
      <c r="C119" s="8" t="s">
        <v>4294</v>
      </c>
      <c r="D119" s="32" t="n">
        <f aca="false">SUMPRODUCT((Interface!$R$6:$R$328="A")*(Interface!$Y$6:$Y$328=1)*(Interface!$X$6:$X$328=0))</f>
        <v>0</v>
      </c>
      <c r="E119" s="45" t="s">
        <v>4387</v>
      </c>
      <c r="G119" s="21" t="s">
        <v>4296</v>
      </c>
    </row>
    <row r="120" customFormat="false" ht="86.25" hidden="false" customHeight="true" outlineLevel="0" collapsed="false">
      <c r="A120" s="30" t="s">
        <v>4388</v>
      </c>
      <c r="B120" s="5" t="s">
        <v>4389</v>
      </c>
      <c r="C120" s="8" t="s">
        <v>4294</v>
      </c>
      <c r="D120" s="32" t="n">
        <f aca="false">SUM(Interface!C289:Q310)</f>
        <v>0</v>
      </c>
      <c r="E120" s="45" t="s">
        <v>4390</v>
      </c>
      <c r="G120" s="21" t="s">
        <v>4137</v>
      </c>
    </row>
    <row r="121" customFormat="false" ht="170.25" hidden="false" customHeight="true" outlineLevel="0" collapsed="false">
      <c r="A121" s="30" t="s">
        <v>4391</v>
      </c>
      <c r="B121" s="6" t="s">
        <v>4392</v>
      </c>
      <c r="C121" s="30" t="s">
        <v>4339</v>
      </c>
      <c r="D121" s="32" t="n">
        <f aca="false">IF(AND(ISNUMBER(L1_FleetMargin),ISNUMBER(INDEX(IF_RevGWFleet_Prod,1,11)),ISNUMBER(INDEX(IF_HoldEcon,1,11))),IF(ABS(L1_FleetMargin-INDEX(IF_RevGWFleet_Prod,1,11)/INDEX(IF_HoldEcon,1,11)*CTL_PriceLife*CTL_Monetize)&lt;=0.000000001,0,1),1)</f>
        <v>0</v>
      </c>
      <c r="E121" s="45" t="s">
        <v>4393</v>
      </c>
      <c r="G121" s="21" t="s">
        <v>4137</v>
      </c>
    </row>
    <row r="122" customFormat="false" ht="108.75" hidden="false" customHeight="true" outlineLevel="0" collapsed="false">
      <c r="A122" s="30" t="s">
        <v>4394</v>
      </c>
      <c r="B122" s="6" t="s">
        <v>4395</v>
      </c>
      <c r="C122" s="30" t="s">
        <v>4339</v>
      </c>
      <c r="D122" s="32" t="n">
        <f aca="false">LB_LiveCount</f>
        <v>55</v>
      </c>
      <c r="E122" s="45" t="s">
        <v>4396</v>
      </c>
      <c r="G122" s="21" t="s">
        <v>4296</v>
      </c>
    </row>
    <row r="123" customFormat="false" ht="54.75" hidden="false" customHeight="true" outlineLevel="0" collapsed="false">
      <c r="A123" s="30" t="s">
        <v>4397</v>
      </c>
      <c r="B123" s="6" t="s">
        <v>4398</v>
      </c>
      <c r="C123" s="30" t="s">
        <v>4339</v>
      </c>
      <c r="D123" s="32" t="n">
        <f aca="false">COUNTIF(LB_Days,"&gt;90")</f>
        <v>0</v>
      </c>
      <c r="E123" s="45" t="s">
        <v>4399</v>
      </c>
      <c r="G123" s="21" t="s">
        <v>4296</v>
      </c>
    </row>
    <row r="124" customFormat="false" ht="69" hidden="false" customHeight="true" outlineLevel="0" collapsed="false">
      <c r="A124" s="30" t="s">
        <v>4400</v>
      </c>
      <c r="B124" s="6" t="s">
        <v>4401</v>
      </c>
      <c r="C124" s="30" t="s">
        <v>4339</v>
      </c>
      <c r="D124" s="32" t="n">
        <f aca="false">IF(AND(ISNUMBER(L1_GapProduct_Lo),ISNUMBER(L1_GapProduct_Hi),ISNUMBER(L1_ScaleServe)),IF(AND(L1_GapProduct_Lo&lt;=L1_ScaleServe,L1_ScaleServe&lt;=L1_GapProduct_Hi),0,1),1)</f>
        <v>0</v>
      </c>
      <c r="E124" s="45" t="s">
        <v>4402</v>
      </c>
      <c r="G124" s="21" t="s">
        <v>4119</v>
      </c>
    </row>
    <row r="126" customFormat="false" ht="15" hidden="false" customHeight="true" outlineLevel="0" collapsed="false">
      <c r="A126" s="43" t="s">
        <v>4403</v>
      </c>
      <c r="B126" s="15"/>
      <c r="C126" s="15"/>
      <c r="D126" s="15"/>
      <c r="E126" s="15"/>
      <c r="F126" s="15"/>
    </row>
    <row r="127" customFormat="false" ht="15" hidden="false" customHeight="true" outlineLevel="0" collapsed="false">
      <c r="A127" s="9" t="s">
        <v>4287</v>
      </c>
      <c r="B127" s="9" t="s">
        <v>4288</v>
      </c>
      <c r="C127" s="9" t="s">
        <v>4289</v>
      </c>
      <c r="D127" s="9" t="s">
        <v>4290</v>
      </c>
      <c r="E127" s="9" t="s">
        <v>4291</v>
      </c>
      <c r="G127" s="9" t="s">
        <v>4116</v>
      </c>
    </row>
    <row r="128" customFormat="false" ht="111.75" hidden="false" customHeight="true" outlineLevel="0" collapsed="false">
      <c r="A128" s="30" t="s">
        <v>4404</v>
      </c>
      <c r="B128" s="6" t="s">
        <v>4405</v>
      </c>
      <c r="C128" s="30" t="s">
        <v>4332</v>
      </c>
      <c r="D128" s="32" t="n">
        <f aca="false">IF(ISNUMBER(L1_MImplied),IF(OR(L1_MImplied&lt;Gov_Map!$K$598,L1_MImplied&gt;Gov_Map!$L$598),1,0),0)</f>
        <v>1</v>
      </c>
      <c r="E128" s="45" t="s">
        <v>4406</v>
      </c>
      <c r="G128" s="21" t="s">
        <v>4407</v>
      </c>
    </row>
    <row r="129" customFormat="false" ht="97.5" hidden="false" customHeight="true" outlineLevel="0" collapsed="false">
      <c r="A129" s="30" t="s">
        <v>4408</v>
      </c>
      <c r="B129" s="5" t="s">
        <v>4409</v>
      </c>
      <c r="C129" s="30" t="s">
        <v>4332</v>
      </c>
      <c r="D129" s="32" t="n">
        <f aca="false">IF(AND(ISNUMBER(AL_DPaid),ISNUMBER(L1_TokCeiling)),IF(AL_DPaid&gt;L1_TokCeiling,1,0),0)</f>
        <v>0</v>
      </c>
      <c r="E129" s="45" t="s">
        <v>4410</v>
      </c>
      <c r="G129" s="21" t="s">
        <v>4407</v>
      </c>
    </row>
    <row r="130" customFormat="false" ht="97.5" hidden="false" customHeight="true" outlineLevel="0" collapsed="false">
      <c r="A130" s="30" t="s">
        <v>4411</v>
      </c>
      <c r="B130" s="6" t="s">
        <v>4412</v>
      </c>
      <c r="C130" s="30" t="s">
        <v>4332</v>
      </c>
      <c r="D130" s="32" t="n">
        <f aca="false">IF(ISNUMBER(L1_MFleet),IF(OR(L1_MFleet&lt;Gov_Map!$K$598,L1_MFleet&gt;Gov_Map!$L$598),1,0),0)</f>
        <v>0</v>
      </c>
      <c r="E130" s="45" t="s">
        <v>4413</v>
      </c>
      <c r="G130" s="21" t="s">
        <v>4407</v>
      </c>
    </row>
    <row r="131" customFormat="false" ht="86.25" hidden="false" customHeight="true" outlineLevel="0" collapsed="false">
      <c r="A131" s="30" t="s">
        <v>4414</v>
      </c>
      <c r="B131" s="5" t="s">
        <v>4415</v>
      </c>
      <c r="C131" s="30" t="s">
        <v>4332</v>
      </c>
      <c r="D131" s="32" t="n">
        <f aca="false">IF(ISNUMBER(Cap_In!$C$174),IF(OR(Cap_In!$C$174&lt;0.5,Cap_In!$C$174&gt;2),1,0),0)</f>
        <v>1</v>
      </c>
      <c r="E131" s="21" t="str">
        <f aca="false">"Cap_In H9 第 174 列（AL_DPaid ÷ H7 機隊付費 token 點估計）；現值 "&amp;IF(ISNUMBER(Cap_In!$C$174),TEXT(Cap_In!$C$174,"0.000"),"—")&amp;IF(D131=1," → 觸發，屬預期"," → 未觸發")&amp;"（舊說明寫 0.465，為歷史值；v5.34 B3）"</f>
        <v>Cap_In H9 第 174 列（AL_DPaid ÷ H7 機隊付費 token 點估計）；現值 0.200 → 觸發，屬預期（舊說明寫 0.465，為歷史值；v5.34 B3）</v>
      </c>
      <c r="G131" s="21" t="s">
        <v>4407</v>
      </c>
    </row>
    <row r="132" customFormat="false" ht="143.25" hidden="false" customHeight="true" outlineLevel="0" collapsed="false">
      <c r="A132" s="30" t="s">
        <v>4416</v>
      </c>
      <c r="B132" s="5" t="s">
        <v>4417</v>
      </c>
      <c r="C132" s="30" t="s">
        <v>4339</v>
      </c>
      <c r="D132" s="32" t="n">
        <f aca="false">IF(ISNUMBER(Cap_In!$C$256),IF(ABS(Cap_In!$C$256)&gt;0.000000001,1,0),0)</f>
        <v>0</v>
      </c>
      <c r="E132" s="45" t="s">
        <v>4418</v>
      </c>
      <c r="G132" s="21" t="s">
        <v>4137</v>
      </c>
    </row>
    <row r="134" customFormat="false" ht="15" hidden="false" customHeight="true" outlineLevel="0" collapsed="false">
      <c r="A134" s="43" t="s">
        <v>4419</v>
      </c>
      <c r="B134" s="15"/>
      <c r="C134" s="15"/>
      <c r="D134" s="15"/>
      <c r="E134" s="15"/>
      <c r="F134" s="15"/>
    </row>
    <row r="135" customFormat="false" ht="15" hidden="false" customHeight="true" outlineLevel="0" collapsed="false">
      <c r="A135" s="9" t="s">
        <v>4287</v>
      </c>
      <c r="B135" s="9" t="s">
        <v>4288</v>
      </c>
      <c r="C135" s="9" t="s">
        <v>4289</v>
      </c>
      <c r="D135" s="9" t="s">
        <v>4290</v>
      </c>
      <c r="E135" s="9" t="s">
        <v>4291</v>
      </c>
      <c r="G135" s="9" t="s">
        <v>4116</v>
      </c>
    </row>
    <row r="136" customFormat="false" ht="15" hidden="false" customHeight="true" outlineLevel="0" collapsed="false">
      <c r="A136" s="30" t="s">
        <v>4420</v>
      </c>
      <c r="B136" s="30" t="s">
        <v>4421</v>
      </c>
      <c r="C136" s="8" t="s">
        <v>4294</v>
      </c>
      <c r="D136" s="33" t="n">
        <f aca="false">SUM(Theory_Rev!C102:Q107)</f>
        <v>0</v>
      </c>
      <c r="E136" s="45" t="s">
        <v>4422</v>
      </c>
      <c r="G136" s="21" t="s">
        <v>4137</v>
      </c>
    </row>
    <row r="138" customFormat="false" ht="15" hidden="false" customHeight="true" outlineLevel="0" collapsed="false">
      <c r="A138" s="43" t="s">
        <v>4423</v>
      </c>
      <c r="B138" s="15"/>
      <c r="C138" s="15"/>
      <c r="D138" s="15"/>
      <c r="E138" s="15"/>
      <c r="F138" s="15"/>
    </row>
    <row r="139" customFormat="false" ht="15" hidden="false" customHeight="true" outlineLevel="0" collapsed="false">
      <c r="A139" s="9" t="s">
        <v>4287</v>
      </c>
      <c r="B139" s="9" t="s">
        <v>4288</v>
      </c>
      <c r="C139" s="9" t="s">
        <v>4289</v>
      </c>
      <c r="D139" s="9" t="s">
        <v>4290</v>
      </c>
      <c r="E139" s="9" t="s">
        <v>4291</v>
      </c>
      <c r="G139" s="232" t="s">
        <v>4424</v>
      </c>
    </row>
    <row r="140" customFormat="false" ht="15" hidden="false" customHeight="true" outlineLevel="0" collapsed="false">
      <c r="A140" s="30" t="s">
        <v>4425</v>
      </c>
      <c r="B140" s="44" t="s">
        <v>4426</v>
      </c>
      <c r="C140" s="8" t="s">
        <v>4294</v>
      </c>
      <c r="D140" s="32" t="n">
        <f aca="false">IF(ABS(AL_RDMixHopper+AL_RDMixGB200+AL_RDMixGB300+AL_RDMixVR200-1)&gt;0.000000001,1,0)</f>
        <v>0</v>
      </c>
      <c r="E140" s="45" t="s">
        <v>4427</v>
      </c>
      <c r="G140" s="21" t="s">
        <v>4137</v>
      </c>
    </row>
    <row r="142" customFormat="false" ht="15" hidden="false" customHeight="true" outlineLevel="0" collapsed="false">
      <c r="A142" s="43" t="s">
        <v>4428</v>
      </c>
      <c r="B142" s="15"/>
      <c r="C142" s="15"/>
      <c r="D142" s="15"/>
      <c r="E142" s="15"/>
      <c r="F142" s="15"/>
      <c r="G142" s="15"/>
      <c r="H142" s="15"/>
      <c r="I142" s="15"/>
      <c r="J142" s="15"/>
    </row>
    <row r="143" customFormat="false" ht="15" hidden="false" customHeight="true" outlineLevel="0" collapsed="false">
      <c r="A143" s="21" t="s">
        <v>4429</v>
      </c>
    </row>
    <row r="144" customFormat="false" ht="15" hidden="false" customHeight="true" outlineLevel="0" collapsed="false">
      <c r="A144" s="30" t="s">
        <v>4430</v>
      </c>
      <c r="B144" s="9" t="s">
        <v>4431</v>
      </c>
      <c r="F144" s="233" t="n">
        <f aca="false">COUNT(F148:F164)</f>
        <v>17</v>
      </c>
    </row>
    <row r="145" customFormat="false" ht="15" hidden="false" customHeight="true" outlineLevel="0" collapsed="false">
      <c r="A145" s="30" t="s">
        <v>4432</v>
      </c>
      <c r="B145" s="9" t="s">
        <v>4433</v>
      </c>
      <c r="F145" s="233" t="n">
        <f aca="false">SUM(F148:F164)</f>
        <v>9</v>
      </c>
    </row>
    <row r="146" customFormat="false" ht="15" hidden="false" customHeight="true" outlineLevel="0" collapsed="false">
      <c r="A146" s="30" t="s">
        <v>4434</v>
      </c>
      <c r="B146" s="9" t="s">
        <v>4435</v>
      </c>
      <c r="F146" s="233" t="n">
        <f aca="false">F144-F145</f>
        <v>8</v>
      </c>
    </row>
    <row r="147" customFormat="false" ht="29.25" hidden="false" customHeight="true" outlineLevel="0" collapsed="false">
      <c r="A147" s="83" t="s">
        <v>4287</v>
      </c>
      <c r="B147" s="83" t="s">
        <v>4436</v>
      </c>
      <c r="C147" s="83" t="s">
        <v>4437</v>
      </c>
      <c r="D147" s="83" t="s">
        <v>4438</v>
      </c>
      <c r="E147" s="83" t="s">
        <v>4439</v>
      </c>
      <c r="F147" s="83" t="s">
        <v>4440</v>
      </c>
      <c r="G147" s="83" t="s">
        <v>4441</v>
      </c>
      <c r="H147" s="83" t="s">
        <v>4442</v>
      </c>
      <c r="I147" s="83" t="s">
        <v>4443</v>
      </c>
      <c r="J147" s="83" t="s">
        <v>4444</v>
      </c>
    </row>
    <row r="148" customFormat="false" ht="258.75" hidden="false" customHeight="true" outlineLevel="0" collapsed="false">
      <c r="A148" s="30" t="s">
        <v>4445</v>
      </c>
      <c r="B148" s="6" t="s">
        <v>4446</v>
      </c>
      <c r="C148" s="46" t="n">
        <f aca="false">Calib!G148</f>
        <v>677.028015156497</v>
      </c>
      <c r="D148" s="46" t="n">
        <f aca="false">Calib!G120</f>
        <v>556</v>
      </c>
      <c r="E148" s="234" t="n">
        <f aca="false">IF(AND(ISNUMBER(C148),ISNUMBER(D148)),IF(D148&gt;0,C148/D148,"—"),"—")</f>
        <v>1.21767628625269</v>
      </c>
      <c r="F148" s="233" t="n">
        <f aca="false">IF(AND(ISNUMBER(E148),ISNUMBER(H148)),IF(AND(E148&gt;=H148,IF(ISNUMBER(I148),E148&lt;=I148,TRUE())),1,0),"—")</f>
        <v>0</v>
      </c>
      <c r="G148" s="21" t="s">
        <v>466</v>
      </c>
      <c r="H148" s="208" t="n">
        <v>0</v>
      </c>
      <c r="I148" s="208" t="n">
        <v>1</v>
      </c>
      <c r="J148" s="87" t="s">
        <v>4447</v>
      </c>
    </row>
    <row r="149" customFormat="false" ht="96" hidden="false" customHeight="true" outlineLevel="0" collapsed="false">
      <c r="A149" s="30" t="s">
        <v>4448</v>
      </c>
      <c r="B149" s="6" t="s">
        <v>4449</v>
      </c>
      <c r="C149" s="46" t="n">
        <f aca="false">Calib!H148</f>
        <v>3353.7046978872</v>
      </c>
      <c r="D149" s="46" t="n">
        <f aca="false">Calib!H120</f>
        <v>4668.1</v>
      </c>
      <c r="E149" s="234" t="n">
        <f aca="false">IF(AND(ISNUMBER(C149),ISNUMBER(D149)),IF(D149&gt;0,C149/D149,"—"),"—")</f>
        <v>0.718430345941003</v>
      </c>
      <c r="F149" s="233" t="n">
        <f aca="false">IF(AND(ISNUMBER(E149),ISNUMBER(H149)),IF(AND(E149&gt;=H149,IF(ISNUMBER(I149),E149&lt;=I149,TRUE())),1,0),"—")</f>
        <v>1</v>
      </c>
      <c r="G149" s="21" t="s">
        <v>466</v>
      </c>
      <c r="H149" s="208" t="n">
        <v>0</v>
      </c>
      <c r="I149" s="208" t="n">
        <v>1</v>
      </c>
      <c r="J149" s="87" t="s">
        <v>4450</v>
      </c>
    </row>
    <row r="150" customFormat="false" ht="108.75" hidden="false" customHeight="true" outlineLevel="0" collapsed="false">
      <c r="A150" s="30" t="s">
        <v>4451</v>
      </c>
      <c r="B150" s="6" t="s">
        <v>4452</v>
      </c>
      <c r="C150" s="46" t="n">
        <f aca="false">Calib!F148</f>
        <v>5030.5570468308</v>
      </c>
      <c r="D150" s="46" t="n">
        <f aca="false">Calib!F120</f>
        <v>5561.6</v>
      </c>
      <c r="E150" s="234" t="n">
        <f aca="false">IF(AND(ISNUMBER(C150),ISNUMBER(D150)),IF(D150&gt;0,C150/D150,"—"),"—")</f>
        <v>0.904516154853064</v>
      </c>
      <c r="F150" s="233" t="n">
        <f aca="false">IF(AND(ISNUMBER(E150),ISNUMBER(H150)),IF(AND(E150&gt;=H150,IF(ISNUMBER(I150),E150&lt;=I150,TRUE())),1,0),"—")</f>
        <v>1</v>
      </c>
      <c r="G150" s="21" t="s">
        <v>466</v>
      </c>
      <c r="H150" s="208" t="n">
        <v>0</v>
      </c>
      <c r="I150" s="208" t="n">
        <v>1</v>
      </c>
      <c r="J150" s="87" t="s">
        <v>4453</v>
      </c>
    </row>
    <row r="151" customFormat="false" ht="121.5" hidden="false" customHeight="true" outlineLevel="0" collapsed="false">
      <c r="A151" s="30" t="s">
        <v>4454</v>
      </c>
      <c r="B151" s="6" t="s">
        <v>4455</v>
      </c>
      <c r="C151" s="46" t="n">
        <f aca="false">Calib!C148</f>
        <v>2474.48865345806</v>
      </c>
      <c r="D151" s="46" t="n">
        <f aca="false">Calib!C120</f>
        <v>3520.91666666667</v>
      </c>
      <c r="E151" s="234" t="n">
        <f aca="false">IF(AND(ISNUMBER(C151),ISNUMBER(D151)),IF(D151&gt;0,C151/D151,"—"),"—")</f>
        <v>0.702796711119185</v>
      </c>
      <c r="F151" s="233" t="n">
        <f aca="false">IF(AND(ISNUMBER(E151),ISNUMBER(H151)),IF(AND(E151&gt;=H151,IF(ISNUMBER(I151),E151&lt;=I151,TRUE())),1,0),"—")</f>
        <v>1</v>
      </c>
      <c r="G151" s="21" t="s">
        <v>466</v>
      </c>
      <c r="H151" s="208" t="n">
        <v>0</v>
      </c>
      <c r="I151" s="208" t="n">
        <v>1</v>
      </c>
      <c r="J151" s="87" t="s">
        <v>4456</v>
      </c>
    </row>
    <row r="152" customFormat="false" ht="121.5" hidden="false" customHeight="true" outlineLevel="0" collapsed="false">
      <c r="A152" s="30" t="s">
        <v>4457</v>
      </c>
      <c r="B152" s="6" t="s">
        <v>4458</v>
      </c>
      <c r="C152" s="46" t="n">
        <f aca="false">Calib!D148</f>
        <v>1649.65910230537</v>
      </c>
      <c r="D152" s="46" t="n">
        <f aca="false">Calib!D120</f>
        <v>3337.75</v>
      </c>
      <c r="E152" s="234" t="n">
        <f aca="false">IF(AND(ISNUMBER(C152),ISNUMBER(D152)),IF(D152&gt;0,C152/D152,"—"),"—")</f>
        <v>0.494242858903564</v>
      </c>
      <c r="F152" s="233" t="n">
        <f aca="false">IF(AND(ISNUMBER(E152),ISNUMBER(H152)),IF(AND(E152&gt;=H152,IF(ISNUMBER(I152),E152&lt;=I152,TRUE())),1,0),"—")</f>
        <v>1</v>
      </c>
      <c r="G152" s="21" t="s">
        <v>466</v>
      </c>
      <c r="H152" s="208" t="n">
        <v>0</v>
      </c>
      <c r="I152" s="208" t="n">
        <v>1</v>
      </c>
      <c r="J152" s="87" t="s">
        <v>4459</v>
      </c>
    </row>
    <row r="153" customFormat="false" ht="134.25" hidden="false" customHeight="true" outlineLevel="0" collapsed="false">
      <c r="A153" s="30" t="s">
        <v>4460</v>
      </c>
      <c r="B153" s="6" t="s">
        <v>4461</v>
      </c>
      <c r="C153" s="46" t="n">
        <f aca="false">Calib!E148</f>
        <v>6248.39621214415</v>
      </c>
      <c r="D153" s="46" t="n">
        <f aca="false">Calib!E120</f>
        <v>9065.97222222222</v>
      </c>
      <c r="E153" s="234" t="n">
        <f aca="false">IF(AND(ISNUMBER(C153),ISNUMBER(D153)),IF(D153&gt;0,C153/D153,"—"),"—")</f>
        <v>0.689214136000581</v>
      </c>
      <c r="F153" s="233" t="n">
        <f aca="false">IF(AND(ISNUMBER(E153),ISNUMBER(H153)),IF(AND(E153&gt;=H153,IF(ISNUMBER(I153),E153&lt;=I153,TRUE())),1,0),"—")</f>
        <v>1</v>
      </c>
      <c r="G153" s="21" t="s">
        <v>466</v>
      </c>
      <c r="H153" s="208" t="n">
        <v>0</v>
      </c>
      <c r="I153" s="208" t="n">
        <v>1</v>
      </c>
      <c r="J153" s="87" t="s">
        <v>4462</v>
      </c>
    </row>
    <row r="154" customFormat="false" ht="271.5" hidden="false" customHeight="true" outlineLevel="0" collapsed="false">
      <c r="A154" s="30" t="s">
        <v>4463</v>
      </c>
      <c r="B154" s="6" t="s">
        <v>4464</v>
      </c>
      <c r="C154" s="46" t="n">
        <f aca="false">Calib!F194</f>
        <v>744.336162908493</v>
      </c>
      <c r="D154" s="48" t="n">
        <f aca="false">SRC_PERF_062</f>
        <v>2785</v>
      </c>
      <c r="E154" s="234" t="n">
        <f aca="false">IF(AND(ISNUMBER(C154),ISNUMBER(D154)),IF(D154&gt;0,C154/D154,"—"),"—")</f>
        <v>0.267266126717592</v>
      </c>
      <c r="F154" s="233" t="n">
        <f aca="false">IF(AND(ISNUMBER(E154),ISNUMBER(H154)),IF(AND(E154&gt;=H154,IF(ISNUMBER(I154),E154&lt;=I154,TRUE())),1,0),"—")</f>
        <v>0</v>
      </c>
      <c r="G154" s="21" t="s">
        <v>466</v>
      </c>
      <c r="H154" s="208" t="n">
        <v>0.5</v>
      </c>
      <c r="I154" s="208" t="n">
        <v>2</v>
      </c>
      <c r="J154" s="87" t="s">
        <v>4465</v>
      </c>
    </row>
    <row r="155" customFormat="false" ht="256.5" hidden="false" customHeight="true" outlineLevel="0" collapsed="false">
      <c r="A155" s="30" t="s">
        <v>4466</v>
      </c>
      <c r="B155" s="6" t="s">
        <v>4467</v>
      </c>
      <c r="C155" s="46" t="n">
        <f aca="false">Calib!G194</f>
        <v>3494.49310816584</v>
      </c>
      <c r="D155" s="48" t="n">
        <f aca="false">SRC_PERF_063</f>
        <v>13386</v>
      </c>
      <c r="E155" s="234" t="n">
        <f aca="false">IF(AND(ISNUMBER(C155),ISNUMBER(D155)),IF(D155&gt;0,C155/D155,"—"),"—")</f>
        <v>0.261055812652461</v>
      </c>
      <c r="F155" s="233" t="n">
        <f aca="false">IF(AND(ISNUMBER(E155),ISNUMBER(H155)),IF(AND(E155&gt;=H155,IF(ISNUMBER(I155),E155&lt;=I155,TRUE())),1,0),"—")</f>
        <v>0</v>
      </c>
      <c r="G155" s="21" t="s">
        <v>466</v>
      </c>
      <c r="H155" s="208" t="n">
        <v>0.5</v>
      </c>
      <c r="I155" s="208" t="n">
        <v>2</v>
      </c>
      <c r="J155" s="87" t="s">
        <v>4468</v>
      </c>
    </row>
    <row r="156" customFormat="false" ht="292.5" hidden="false" customHeight="true" outlineLevel="0" collapsed="false">
      <c r="A156" s="30" t="s">
        <v>4469</v>
      </c>
      <c r="B156" s="6" t="s">
        <v>4470</v>
      </c>
      <c r="C156" s="48" t="n">
        <f aca="false">INDEX(TRN_RLRatioH,1,10)</f>
        <v>0.379829822080908</v>
      </c>
      <c r="D156" s="48" t="n">
        <f aca="false">SRC_PERF_064</f>
        <v>0.11</v>
      </c>
      <c r="E156" s="234" t="n">
        <f aca="false">C156</f>
        <v>0.379829822080908</v>
      </c>
      <c r="F156" s="233" t="n">
        <f aca="false">IF(AND(ISNUMBER(E156),ISNUMBER(H156)),IF(AND(E156&gt;=H156,IF(ISNUMBER(I156),E156&lt;=I156,TRUE())),1,0),"—")</f>
        <v>0</v>
      </c>
      <c r="G156" s="21" t="s">
        <v>466</v>
      </c>
      <c r="H156" s="208" t="n">
        <v>0.1</v>
      </c>
      <c r="I156" s="208" t="n">
        <v>0.3</v>
      </c>
      <c r="J156" s="93" t="s">
        <v>4471</v>
      </c>
    </row>
    <row r="157" customFormat="false" ht="69" hidden="false" customHeight="true" outlineLevel="0" collapsed="false">
      <c r="A157" s="30" t="s">
        <v>4472</v>
      </c>
      <c r="B157" s="6" t="s">
        <v>4473</v>
      </c>
      <c r="C157" s="48" t="n">
        <f aca="false">INDEX(TRN_RLRatioH,1,11)</f>
        <v>0.371397626434424</v>
      </c>
      <c r="D157" s="48" t="n">
        <f aca="false">SRC_PERF_064</f>
        <v>0.11</v>
      </c>
      <c r="E157" s="234" t="n">
        <f aca="false">C157</f>
        <v>0.371397626434424</v>
      </c>
      <c r="F157" s="233" t="n">
        <f aca="false">IF(AND(ISNUMBER(E157),ISNUMBER(H157)),IF(AND(E157&gt;=H157,IF(ISNUMBER(I157),E157&lt;=I157,TRUE())),1,0),"—")</f>
        <v>0</v>
      </c>
      <c r="G157" s="21" t="s">
        <v>466</v>
      </c>
      <c r="H157" s="208" t="n">
        <v>0.1</v>
      </c>
      <c r="I157" s="208" t="n">
        <v>0.3</v>
      </c>
      <c r="J157" s="93" t="s">
        <v>4474</v>
      </c>
    </row>
    <row r="158" customFormat="false" ht="294.75" hidden="false" customHeight="true" outlineLevel="0" collapsed="false">
      <c r="A158" s="30" t="s">
        <v>4475</v>
      </c>
      <c r="B158" s="6" t="s">
        <v>4476</v>
      </c>
      <c r="C158" s="48" t="n">
        <f aca="false">INDEX(B5_SelT,1,5)</f>
        <v>0.7</v>
      </c>
      <c r="D158" s="48" t="n">
        <f aca="false">SRC_HAR_016_Lo</f>
        <v>1.5</v>
      </c>
      <c r="E158" s="234" t="n">
        <f aca="false">C158</f>
        <v>0.7</v>
      </c>
      <c r="F158" s="233" t="n">
        <f aca="false">IF(AND(ISNUMBER(E158),ISNUMBER(H158)),IF(AND(E158&gt;=H158,IF(ISNUMBER(I158),E158&lt;=I158,TRUE())),1,0),"—")</f>
        <v>0</v>
      </c>
      <c r="G158" s="21" t="s">
        <v>466</v>
      </c>
      <c r="H158" s="208" t="n">
        <v>1</v>
      </c>
      <c r="J158" s="87" t="s">
        <v>4477</v>
      </c>
    </row>
    <row r="159" customFormat="false" ht="98.25" hidden="false" customHeight="true" outlineLevel="0" collapsed="false">
      <c r="A159" s="30" t="s">
        <v>4478</v>
      </c>
      <c r="B159" s="5" t="s">
        <v>4479</v>
      </c>
      <c r="C159" s="48" t="s">
        <v>751</v>
      </c>
      <c r="D159" s="46" t="n">
        <f aca="false">Checks!C15</f>
        <v>11200</v>
      </c>
      <c r="E159" s="214" t="n">
        <f aca="false">Checks!B15</f>
        <v>0.99108369917347</v>
      </c>
      <c r="F159" s="233" t="n">
        <f aca="false">IF(AND(ISNUMBER(E159),ISNUMBER(H159)),IF(AND(E159&gt;=H159,IF(ISNUMBER(I159),E159&lt;=I159,TRUE())),1,0),"—")</f>
        <v>1</v>
      </c>
      <c r="G159" s="21" t="s">
        <v>466</v>
      </c>
      <c r="H159" s="208" t="n">
        <v>0.9</v>
      </c>
      <c r="I159" s="208" t="n">
        <v>1.1</v>
      </c>
      <c r="J159" s="87" t="s">
        <v>4480</v>
      </c>
    </row>
    <row r="160" customFormat="false" ht="86.25" hidden="false" customHeight="true" outlineLevel="0" collapsed="false">
      <c r="A160" s="30" t="s">
        <v>4481</v>
      </c>
      <c r="B160" s="5" t="s">
        <v>4482</v>
      </c>
      <c r="C160" s="48" t="s">
        <v>751</v>
      </c>
      <c r="D160" s="46" t="n">
        <f aca="false">Checks!C16</f>
        <v>6182</v>
      </c>
      <c r="E160" s="214" t="n">
        <f aca="false">Checks!B16</f>
        <v>2.18428412747673</v>
      </c>
      <c r="F160" s="233" t="n">
        <f aca="false">IF(AND(ISNUMBER(E160),ISNUMBER(H160)),IF(AND(E160&gt;=H160,IF(ISNUMBER(I160),E160&lt;=I160,TRUE())),1,0),"—")</f>
        <v>1</v>
      </c>
      <c r="G160" s="21" t="s">
        <v>466</v>
      </c>
      <c r="H160" s="208" t="n">
        <v>1</v>
      </c>
      <c r="I160" s="77" t="n">
        <v>3</v>
      </c>
      <c r="J160" s="87" t="s">
        <v>4483</v>
      </c>
    </row>
    <row r="161" customFormat="false" ht="111" hidden="false" customHeight="true" outlineLevel="0" collapsed="false">
      <c r="A161" s="30" t="s">
        <v>4484</v>
      </c>
      <c r="B161" s="5" t="s">
        <v>4485</v>
      </c>
      <c r="C161" s="48" t="s">
        <v>751</v>
      </c>
      <c r="D161" s="46" t="n">
        <f aca="false">Checks!C17</f>
        <v>2189</v>
      </c>
      <c r="E161" s="214" t="n">
        <f aca="false">Checks!B17</f>
        <v>4.1124545381639</v>
      </c>
      <c r="F161" s="233" t="n">
        <f aca="false">IF(AND(ISNUMBER(E161),ISNUMBER(H161)),IF(AND(E161&gt;=H161,IF(ISNUMBER(I161),E161&lt;=I161,TRUE())),1,0),"—")</f>
        <v>0</v>
      </c>
      <c r="G161" s="21" t="s">
        <v>466</v>
      </c>
      <c r="H161" s="208" t="n">
        <v>1</v>
      </c>
      <c r="I161" s="77" t="n">
        <v>3</v>
      </c>
      <c r="J161" s="87" t="s">
        <v>4486</v>
      </c>
    </row>
    <row r="162" customFormat="false" ht="244" hidden="false" customHeight="false" outlineLevel="0" collapsed="false">
      <c r="A162" s="62" t="s">
        <v>4487</v>
      </c>
      <c r="B162" s="6" t="s">
        <v>4488</v>
      </c>
      <c r="C162" s="94" t="n">
        <f aca="false">Calib!E194</f>
        <v>492.632569994785</v>
      </c>
      <c r="D162" s="116" t="n">
        <f aca="false">SRC_PERF_073</f>
        <v>1850</v>
      </c>
      <c r="E162" s="107" t="n">
        <f aca="false">IF(AND(ISNUMBER(C162),ISNUMBER(D162)),IF(D162&gt;0,C162/D162,"—"),"—")</f>
        <v>0.266287875672857</v>
      </c>
      <c r="F162" s="235" t="n">
        <f aca="false">IF(AND(ISNUMBER(E162),ISNUMBER(H162)),IF(AND(E162&gt;=H162,IF(ISNUMBER(I162),E162&lt;=I162,TRUE())),1,0),"—")</f>
        <v>0</v>
      </c>
      <c r="G162" s="74" t="s">
        <v>466</v>
      </c>
      <c r="H162" s="77" t="n">
        <v>0.5</v>
      </c>
      <c r="I162" s="77" t="n">
        <v>2</v>
      </c>
      <c r="J162" s="87" t="s">
        <v>4489</v>
      </c>
    </row>
    <row r="163" customFormat="false" ht="128.35" hidden="false" customHeight="false" outlineLevel="0" collapsed="false">
      <c r="A163" s="62" t="s">
        <v>4490</v>
      </c>
      <c r="B163" s="5" t="s">
        <v>4491</v>
      </c>
      <c r="C163" s="116" t="s">
        <v>751</v>
      </c>
      <c r="D163" s="116" t="s">
        <v>751</v>
      </c>
      <c r="E163" s="108" t="n">
        <f aca="false">Checks!B26</f>
        <v>0.0852702650102943</v>
      </c>
      <c r="F163" s="235" t="n">
        <f aca="false">IF(AND(ISNUMBER(E163),ISNUMBER(H163)),IF(AND(E163&gt;=H163,IF(ISNUMBER(I163),E163&lt;=I163,TRUE())),1,0),"—")</f>
        <v>1</v>
      </c>
      <c r="G163" s="74" t="s">
        <v>466</v>
      </c>
      <c r="H163" s="77" t="n">
        <v>0</v>
      </c>
      <c r="I163" s="77" t="n">
        <v>1</v>
      </c>
      <c r="J163" s="93" t="s">
        <v>4492</v>
      </c>
    </row>
    <row r="164" customFormat="false" ht="128.35" hidden="false" customHeight="false" outlineLevel="0" collapsed="false">
      <c r="A164" s="62" t="s">
        <v>4493</v>
      </c>
      <c r="B164" s="5" t="s">
        <v>4494</v>
      </c>
      <c r="C164" s="116" t="s">
        <v>751</v>
      </c>
      <c r="D164" s="116" t="s">
        <v>751</v>
      </c>
      <c r="E164" s="108" t="n">
        <f aca="false">Checks!B36</f>
        <v>0.252262860133895</v>
      </c>
      <c r="F164" s="235" t="n">
        <f aca="false">IF(AND(ISNUMBER(E164),ISNUMBER(H164)),IF(AND(E164&gt;=H164,IF(ISNUMBER(I164),E164&lt;=I164,TRUE())),1,0),"—")</f>
        <v>1</v>
      </c>
      <c r="G164" s="74" t="s">
        <v>466</v>
      </c>
      <c r="H164" s="77" t="n">
        <v>0</v>
      </c>
      <c r="J164" s="93" t="s">
        <v>4492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6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0"/>
    <col collapsed="false" customWidth="true" hidden="false" outlineLevel="0" max="3" min="3" style="1" width="11"/>
    <col collapsed="false" customWidth="true" hidden="false" outlineLevel="0" max="4" min="4" style="1" width="9"/>
    <col collapsed="false" customWidth="true" hidden="false" outlineLevel="0" max="5" min="5" style="1" width="26"/>
    <col collapsed="false" customWidth="true" hidden="false" outlineLevel="0" max="6" min="6" style="1" width="16"/>
    <col collapsed="false" customWidth="true" hidden="false" outlineLevel="0" max="7" min="7" style="1" width="7"/>
    <col collapsed="false" customWidth="true" hidden="false" outlineLevel="0" max="8" min="8" style="1" width="14"/>
    <col collapsed="false" customWidth="true" hidden="false" outlineLevel="0" max="9" min="9" style="1" width="22"/>
    <col collapsed="false" customWidth="true" hidden="false" outlineLevel="0" max="10" min="10" style="1" width="8"/>
    <col collapsed="false" customWidth="true" hidden="false" outlineLevel="0" max="12" min="11" style="1" width="9"/>
    <col collapsed="false" customWidth="true" hidden="false" outlineLevel="0" max="13" min="13" style="1" width="18"/>
    <col collapsed="false" customWidth="true" hidden="false" outlineLevel="0" max="14" min="14" style="1" width="36"/>
    <col collapsed="false" customWidth="true" hidden="false" outlineLevel="0" max="15" min="15" style="1" width="22"/>
    <col collapsed="false" customWidth="true" hidden="false" outlineLevel="0" max="16" min="16" style="1" width="7"/>
    <col collapsed="false" customWidth="true" hidden="false" outlineLevel="0" max="31" min="17" style="1" width="9"/>
    <col collapsed="false" customWidth="true" hidden="false" outlineLevel="0" max="36" min="33" style="1" width="9"/>
    <col collapsed="false" customWidth="true" hidden="false" outlineLevel="0" max="37" min="37" style="1" width="18"/>
  </cols>
  <sheetData>
    <row r="1" customFormat="false" ht="19.5" hidden="false" customHeight="true" outlineLevel="0" collapsed="false">
      <c r="A1" s="236" t="s">
        <v>4495</v>
      </c>
    </row>
    <row r="2" customFormat="false" ht="15" hidden="false" customHeight="true" outlineLevel="0" collapsed="false">
      <c r="A2" s="45" t="s">
        <v>4496</v>
      </c>
    </row>
    <row r="4" customFormat="false" ht="43.5" hidden="false" customHeight="true" outlineLevel="0" collapsed="false">
      <c r="A4" s="84" t="s">
        <v>3945</v>
      </c>
      <c r="B4" s="237" t="s">
        <v>4497</v>
      </c>
      <c r="C4" s="237" t="s">
        <v>12</v>
      </c>
      <c r="D4" s="237" t="s">
        <v>3946</v>
      </c>
      <c r="E4" s="237" t="s">
        <v>3947</v>
      </c>
      <c r="F4" s="237" t="s">
        <v>3948</v>
      </c>
      <c r="G4" s="237" t="s">
        <v>4498</v>
      </c>
      <c r="H4" s="84" t="s">
        <v>4499</v>
      </c>
      <c r="I4" s="237" t="s">
        <v>4500</v>
      </c>
      <c r="J4" s="237" t="s">
        <v>4501</v>
      </c>
      <c r="K4" s="237" t="s">
        <v>1308</v>
      </c>
      <c r="L4" s="237" t="s">
        <v>1309</v>
      </c>
      <c r="M4" s="237" t="s">
        <v>4502</v>
      </c>
      <c r="N4" s="237" t="s">
        <v>4503</v>
      </c>
      <c r="O4" s="237" t="s">
        <v>4504</v>
      </c>
      <c r="P4" s="84" t="s">
        <v>3949</v>
      </c>
      <c r="Q4" s="237" t="s">
        <v>4437</v>
      </c>
      <c r="R4" s="84" t="s">
        <v>4505</v>
      </c>
      <c r="S4" s="84" t="s">
        <v>4506</v>
      </c>
      <c r="T4" s="84" t="s">
        <v>3950</v>
      </c>
      <c r="U4" s="237" t="s">
        <v>4507</v>
      </c>
      <c r="V4" s="84" t="s">
        <v>4508</v>
      </c>
      <c r="W4" s="84" t="s">
        <v>4509</v>
      </c>
      <c r="X4" s="84" t="s">
        <v>4510</v>
      </c>
      <c r="Y4" s="84" t="s">
        <v>4511</v>
      </c>
      <c r="Z4" s="84" t="s">
        <v>4512</v>
      </c>
      <c r="AA4" s="84" t="s">
        <v>4513</v>
      </c>
      <c r="AB4" s="84" t="s">
        <v>4514</v>
      </c>
      <c r="AC4" s="84" t="s">
        <v>4515</v>
      </c>
      <c r="AD4" s="84" t="s">
        <v>4516</v>
      </c>
      <c r="AE4" s="84" t="s">
        <v>4517</v>
      </c>
      <c r="AF4" s="84" t="s">
        <v>4518</v>
      </c>
      <c r="AG4" s="84" t="s">
        <v>4519</v>
      </c>
      <c r="AH4" s="84" t="s">
        <v>4520</v>
      </c>
      <c r="AI4" s="84" t="s">
        <v>4521</v>
      </c>
      <c r="AJ4" s="84" t="s">
        <v>4522</v>
      </c>
      <c r="AK4" s="238" t="s">
        <v>4523</v>
      </c>
    </row>
    <row r="5" customFormat="false" ht="15" hidden="false" customHeight="true" outlineLevel="0" collapsed="false">
      <c r="A5" s="30" t="s">
        <v>4524</v>
      </c>
      <c r="B5" s="239" t="s">
        <v>4525</v>
      </c>
      <c r="C5" s="30" t="s">
        <v>4526</v>
      </c>
      <c r="D5" s="30" t="s">
        <v>4305</v>
      </c>
      <c r="E5" s="6" t="s">
        <v>102</v>
      </c>
      <c r="F5" s="30" t="s">
        <v>104</v>
      </c>
      <c r="G5" s="239" t="s">
        <v>4527</v>
      </c>
      <c r="H5" s="30" t="s">
        <v>751</v>
      </c>
      <c r="I5" s="6" t="s">
        <v>751</v>
      </c>
      <c r="J5" s="30" t="s">
        <v>4528</v>
      </c>
      <c r="K5" s="239"/>
      <c r="L5" s="239"/>
      <c r="M5" s="30" t="s">
        <v>751</v>
      </c>
      <c r="N5" s="6" t="s">
        <v>4529</v>
      </c>
      <c r="O5" s="6" t="s">
        <v>751</v>
      </c>
      <c r="P5" s="239" t="s">
        <v>4530</v>
      </c>
      <c r="Q5" s="49" t="n">
        <f aca="false">Inputs!E5</f>
        <v>1</v>
      </c>
      <c r="R5" s="30" t="s">
        <v>751</v>
      </c>
      <c r="S5" s="44" t="str">
        <f aca="false">IF(ISNUMBER($AF5),INDEX(IDX_SrcStat,$AF5),"—")</f>
        <v>—</v>
      </c>
      <c r="T5" s="44" t="str">
        <f aca="false">IF(ISNUMBER($AF5),INDEX(IDX_SrcGrade,$AF5),"—")</f>
        <v>—</v>
      </c>
      <c r="U5" s="44" t="s">
        <v>4531</v>
      </c>
      <c r="V5" s="32" t="n">
        <f aca="false">IF(AND($F5="原始數據",$U5&lt;&gt;"連結 SRC"),1,0)</f>
        <v>0</v>
      </c>
      <c r="W5" s="32" t="n">
        <f aca="false">IF(AND($F5="Analogy",OR($H5="—",$H5="")),1,0)</f>
        <v>0</v>
      </c>
      <c r="X5" s="32" t="n">
        <f aca="false">IF(AND(OR($F5="Analogy",$F5="Assumed"),$G5&lt;&gt;"低",$G5&lt;&gt;"高",NOT(ISNUMBER($K5)),NOT(ISNUMBER($L5)),OR($M5="—",$M5="")),1,0)</f>
        <v>0</v>
      </c>
      <c r="Y5" s="32" t="n">
        <f aca="false">IF(AND(OR($F5="Analogy",$F5="Assumed",$F5="Derived（待改公式）",$F5="Derived（公式）"),OR($N5="—",$N5="",$N5=0)),1,0)</f>
        <v>0</v>
      </c>
      <c r="Z5" s="32" t="n">
        <f aca="false">IF(AND($F5="Decision",OR($J5="—",$J5="")),1,0)</f>
        <v>0</v>
      </c>
      <c r="AA5" s="33" t="n">
        <f aca="false">IF(OR($J5="—",$J5=""),0,IF(COUNTIF(Decisions!$A$5:$A$300,$J5)=0,1,0))</f>
        <v>0</v>
      </c>
      <c r="AB5" s="32" t="n">
        <f aca="false">IF(AND($F5="原始數據",$S5&lt;&gt;"Active"),1,0)</f>
        <v>0</v>
      </c>
      <c r="AC5" s="32" t="n">
        <f aca="false">IF(AND(ISNUMBER($K5),ISNUMBER($L5),ISNUMBER($Q5)),IF(OR($Q5&lt;MIN($K5,$L5),$Q5&gt;MAX($K5,$L5)),1,0),0)</f>
        <v>0</v>
      </c>
      <c r="AD5" s="32" t="n">
        <f aca="false">IF(AND(ISNUMBER($T5),$P5="高"),IF($T5=3,1,0),0)</f>
        <v>0</v>
      </c>
      <c r="AE5" s="32" t="n">
        <f aca="false">IF($S5="不存在",1,0)</f>
        <v>0</v>
      </c>
      <c r="AF5" s="44" t="str">
        <f aca="false">IF(OR($H5="—",$H5=""),"—",MATCH($H5,IDX_SrcID,0))</f>
        <v>—</v>
      </c>
      <c r="AG5" s="32" t="n">
        <f aca="false">IF(AND($P5="高",OR($AD5=1,$X5=1)),1,0)</f>
        <v>0</v>
      </c>
      <c r="AH5" s="32" t="n">
        <f aca="false">IF(AND($P5="高",$AG5=0,OR($F5&lt;&gt;"原始數據",$T5&lt;&gt;1)),1,0)</f>
        <v>0</v>
      </c>
      <c r="AI5" s="44" t="str">
        <f aca="false">IF(AND($P5="高",ISNUMBER($AF5)),INDEX(IDX_SrcDate,$AF5),"—")</f>
        <v>—</v>
      </c>
      <c r="AJ5" s="32" t="n">
        <f aca="false">IF(AND(ISTEXT($AI5),LEN($AI5)=10),IF(ISNUMBER(VALUE(SUBSTITUTE($AI5,"-",""))),VALUE(SUBSTITUTE($AI5,"-","")),0),0)</f>
        <v>0</v>
      </c>
    </row>
    <row r="6" customFormat="false" ht="29.25" hidden="false" customHeight="true" outlineLevel="0" collapsed="false">
      <c r="A6" s="30" t="s">
        <v>4532</v>
      </c>
      <c r="B6" s="239" t="s">
        <v>4525</v>
      </c>
      <c r="C6" s="30" t="s">
        <v>4526</v>
      </c>
      <c r="D6" s="30" t="s">
        <v>4307</v>
      </c>
      <c r="E6" s="20" t="s">
        <v>107</v>
      </c>
      <c r="F6" s="30" t="s">
        <v>104</v>
      </c>
      <c r="G6" s="239" t="s">
        <v>4527</v>
      </c>
      <c r="H6" s="30" t="s">
        <v>751</v>
      </c>
      <c r="I6" s="6" t="s">
        <v>751</v>
      </c>
      <c r="J6" s="30" t="s">
        <v>4533</v>
      </c>
      <c r="K6" s="239"/>
      <c r="L6" s="239"/>
      <c r="M6" s="30" t="s">
        <v>751</v>
      </c>
      <c r="N6" s="6" t="s">
        <v>4534</v>
      </c>
      <c r="O6" s="6" t="s">
        <v>751</v>
      </c>
      <c r="P6" s="239" t="s">
        <v>4530</v>
      </c>
      <c r="Q6" s="49" t="n">
        <f aca="false">Inputs!E6</f>
        <v>2</v>
      </c>
      <c r="R6" s="30" t="s">
        <v>751</v>
      </c>
      <c r="S6" s="44" t="str">
        <f aca="false">IF(ISNUMBER($AF6),INDEX(IDX_SrcStat,$AF6),"—")</f>
        <v>—</v>
      </c>
      <c r="T6" s="44" t="str">
        <f aca="false">IF(ISNUMBER($AF6),INDEX(IDX_SrcGrade,$AF6),"—")</f>
        <v>—</v>
      </c>
      <c r="U6" s="44" t="s">
        <v>4531</v>
      </c>
      <c r="V6" s="32" t="n">
        <f aca="false">IF(AND($F6="原始數據",$U6&lt;&gt;"連結 SRC"),1,0)</f>
        <v>0</v>
      </c>
      <c r="W6" s="32" t="n">
        <f aca="false">IF(AND($F6="Analogy",OR($H6="—",$H6="")),1,0)</f>
        <v>0</v>
      </c>
      <c r="X6" s="32" t="n">
        <f aca="false">IF(AND(OR($F6="Analogy",$F6="Assumed"),$G6&lt;&gt;"低",$G6&lt;&gt;"高",NOT(ISNUMBER($K6)),NOT(ISNUMBER($L6)),OR($M6="—",$M6="")),1,0)</f>
        <v>0</v>
      </c>
      <c r="Y6" s="32" t="n">
        <f aca="false">IF(AND(OR($F6="Analogy",$F6="Assumed",$F6="Derived（待改公式）",$F6="Derived（公式）"),OR($N6="—",$N6="",$N6=0)),1,0)</f>
        <v>0</v>
      </c>
      <c r="Z6" s="32" t="n">
        <f aca="false">IF(AND($F6="Decision",OR($J6="—",$J6="")),1,0)</f>
        <v>0</v>
      </c>
      <c r="AA6" s="33" t="n">
        <f aca="false">IF(OR($J6="—",$J6=""),0,IF(COUNTIF(Decisions!$A$5:$A$300,$J6)=0,1,0))</f>
        <v>0</v>
      </c>
      <c r="AB6" s="32" t="n">
        <f aca="false">IF(AND($F6="原始數據",$S6&lt;&gt;"Active"),1,0)</f>
        <v>0</v>
      </c>
      <c r="AC6" s="32" t="n">
        <f aca="false">IF(AND(ISNUMBER($K6),ISNUMBER($L6),ISNUMBER($Q6)),IF(OR($Q6&lt;MIN($K6,$L6),$Q6&gt;MAX($K6,$L6)),1,0),0)</f>
        <v>0</v>
      </c>
      <c r="AD6" s="32" t="n">
        <f aca="false">IF(AND(ISNUMBER($T6),$P6="高"),IF($T6=3,1,0),0)</f>
        <v>0</v>
      </c>
      <c r="AE6" s="32" t="n">
        <f aca="false">IF($S6="不存在",1,0)</f>
        <v>0</v>
      </c>
      <c r="AF6" s="44" t="str">
        <f aca="false">IF(OR($H6="—",$H6=""),"—",MATCH($H6,IDX_SrcID,0))</f>
        <v>—</v>
      </c>
      <c r="AG6" s="32" t="n">
        <f aca="false">IF(AND($P6="高",OR($AD6=1,$X6=1)),1,0)</f>
        <v>0</v>
      </c>
      <c r="AH6" s="32" t="n">
        <f aca="false">IF(AND($P6="高",$AG6=0,OR($F6&lt;&gt;"原始數據",$T6&lt;&gt;1)),1,0)</f>
        <v>0</v>
      </c>
      <c r="AI6" s="44" t="str">
        <f aca="false">IF(AND($P6="高",ISNUMBER($AF6)),INDEX(IDX_SrcDate,$AF6),"—")</f>
        <v>—</v>
      </c>
      <c r="AJ6" s="32" t="n">
        <f aca="false">IF(AND(ISTEXT($AI6),LEN($AI6)=10),IF(ISNUMBER(VALUE(SUBSTITUTE($AI6,"-",""))),VALUE(SUBSTITUTE($AI6,"-","")),0),0)</f>
        <v>0</v>
      </c>
    </row>
    <row r="7" customFormat="false" ht="29.25" hidden="false" customHeight="true" outlineLevel="0" collapsed="false">
      <c r="A7" s="30" t="s">
        <v>4535</v>
      </c>
      <c r="B7" s="239" t="s">
        <v>4525</v>
      </c>
      <c r="C7" s="30" t="s">
        <v>4526</v>
      </c>
      <c r="D7" s="30" t="s">
        <v>4313</v>
      </c>
      <c r="E7" s="20" t="s">
        <v>112</v>
      </c>
      <c r="F7" s="30" t="s">
        <v>114</v>
      </c>
      <c r="G7" s="239" t="s">
        <v>97</v>
      </c>
      <c r="H7" s="30" t="s">
        <v>751</v>
      </c>
      <c r="I7" s="6" t="s">
        <v>751</v>
      </c>
      <c r="J7" s="30" t="s">
        <v>751</v>
      </c>
      <c r="K7" s="196" t="n">
        <f aca="false">Sensitivity!$X$8</f>
        <v>0.05</v>
      </c>
      <c r="L7" s="196" t="n">
        <f aca="false">Sensitivity!$Y$8</f>
        <v>0.12</v>
      </c>
      <c r="M7" s="30" t="s">
        <v>4536</v>
      </c>
      <c r="N7" s="240" t="str">
        <f aca="false">Inputs!$H$8&amp;" ｜補充旗標（IF 全欄分段，非分段依據）：中"</f>
        <v>管理、儲存、網路機櫃等；區間 5–12%（見 Sensitivity）。v4 未計 ｜補充旗標（IF 全欄分段，非分段依據）：中</v>
      </c>
      <c r="O7" s="6" t="s">
        <v>751</v>
      </c>
      <c r="P7" s="239" t="s">
        <v>1308</v>
      </c>
      <c r="Q7" s="196" t="n">
        <f aca="false">Inputs!E8</f>
        <v>0.08</v>
      </c>
      <c r="R7" s="30" t="s">
        <v>751</v>
      </c>
      <c r="S7" s="44" t="str">
        <f aca="false">IF(ISNUMBER($AF7),INDEX(IDX_SrcStat,$AF7),"—")</f>
        <v>—</v>
      </c>
      <c r="T7" s="44" t="str">
        <f aca="false">IF(ISNUMBER($AF7),INDEX(IDX_SrcGrade,$AF7),"—")</f>
        <v>—</v>
      </c>
      <c r="U7" s="44" t="s">
        <v>4531</v>
      </c>
      <c r="V7" s="32" t="n">
        <f aca="false">IF(AND($F7="原始數據",$U7&lt;&gt;"連結 SRC"),1,0)</f>
        <v>0</v>
      </c>
      <c r="W7" s="32" t="n">
        <f aca="false">IF(AND($F7="Analogy",OR($H7="—",$H7="")),1,0)</f>
        <v>0</v>
      </c>
      <c r="X7" s="32" t="n">
        <f aca="false">IF(AND(OR($F7="Analogy",$F7="Assumed"),$G7&lt;&gt;"低",$G7&lt;&gt;"高",NOT(ISNUMBER($K7)),NOT(ISNUMBER($L7)),OR($M7="—",$M7="")),1,0)</f>
        <v>0</v>
      </c>
      <c r="Y7" s="32" t="n">
        <f aca="false">IF(AND(OR($F7="Analogy",$F7="Assumed",$F7="Derived（待改公式）",$F7="Derived（公式）"),OR($N7="—",$N7="",$N7=0)),1,0)</f>
        <v>0</v>
      </c>
      <c r="Z7" s="32" t="n">
        <f aca="false">IF(AND($F7="Decision",OR($J7="—",$J7="")),1,0)</f>
        <v>0</v>
      </c>
      <c r="AA7" s="33" t="n">
        <f aca="false">IF(OR($J7="—",$J7=""),0,IF(COUNTIF(Decisions!$A$5:$A$300,$J7)=0,1,0))</f>
        <v>0</v>
      </c>
      <c r="AB7" s="32" t="n">
        <f aca="false">IF(AND($F7="原始數據",$S7&lt;&gt;"Active"),1,0)</f>
        <v>0</v>
      </c>
      <c r="AC7" s="32" t="n">
        <f aca="false">IF(AND(ISNUMBER($K7),ISNUMBER($L7),ISNUMBER($Q7)),IF(OR($Q7&lt;MIN($K7,$L7),$Q7&gt;MAX($K7,$L7)),1,0),0)</f>
        <v>0</v>
      </c>
      <c r="AD7" s="32" t="n">
        <f aca="false">IF(AND(ISNUMBER($T7),$P7="高"),IF($T7=3,1,0),0)</f>
        <v>0</v>
      </c>
      <c r="AE7" s="32" t="n">
        <f aca="false">IF($S7="不存在",1,0)</f>
        <v>0</v>
      </c>
      <c r="AF7" s="44" t="str">
        <f aca="false">IF(OR($H7="—",$H7=""),"—",MATCH($H7,IDX_SrcID,0))</f>
        <v>—</v>
      </c>
      <c r="AG7" s="32" t="n">
        <f aca="false">IF(AND($P7="高",OR($AD7=1,$X7=1)),1,0)</f>
        <v>0</v>
      </c>
      <c r="AH7" s="32" t="n">
        <f aca="false">IF(AND($P7="高",$AG7=0,OR($F7&lt;&gt;"原始數據",$T7&lt;&gt;1)),1,0)</f>
        <v>0</v>
      </c>
      <c r="AI7" s="44" t="str">
        <f aca="false">IF(AND($P7="高",ISNUMBER($AF7)),INDEX(IDX_SrcDate,$AF7),"—")</f>
        <v>—</v>
      </c>
      <c r="AJ7" s="32" t="n">
        <f aca="false">IF(AND(ISTEXT($AI7),LEN($AI7)=10),IF(ISNUMBER(VALUE(SUBSTITUTE($AI7,"-",""))),VALUE(SUBSTITUTE($AI7,"-","")),0),0)</f>
        <v>0</v>
      </c>
    </row>
    <row r="8" customFormat="false" ht="43.5" hidden="false" customHeight="true" outlineLevel="0" collapsed="false">
      <c r="A8" s="30" t="s">
        <v>4537</v>
      </c>
      <c r="B8" s="239" t="s">
        <v>4525</v>
      </c>
      <c r="C8" s="30" t="s">
        <v>4526</v>
      </c>
      <c r="D8" s="30" t="s">
        <v>4316</v>
      </c>
      <c r="E8" s="6" t="s">
        <v>117</v>
      </c>
      <c r="F8" s="30" t="s">
        <v>114</v>
      </c>
      <c r="G8" s="239" t="s">
        <v>97</v>
      </c>
      <c r="H8" s="30" t="s">
        <v>751</v>
      </c>
      <c r="I8" s="6" t="s">
        <v>751</v>
      </c>
      <c r="J8" s="30" t="s">
        <v>751</v>
      </c>
      <c r="K8" s="192" t="n">
        <f aca="false">Inputs!$D$9</f>
        <v>1.1</v>
      </c>
      <c r="L8" s="192" t="n">
        <f aca="false">Inputs!$F$9</f>
        <v>1.3</v>
      </c>
      <c r="M8" s="30" t="s">
        <v>751</v>
      </c>
      <c r="N8" s="240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8" s="6" t="s">
        <v>4538</v>
      </c>
      <c r="P8" s="239" t="s">
        <v>1308</v>
      </c>
      <c r="Q8" s="192" t="n">
        <f aca="false">Inputs!E9</f>
        <v>1.2</v>
      </c>
      <c r="R8" s="30" t="s">
        <v>751</v>
      </c>
      <c r="S8" s="44" t="str">
        <f aca="false">IF(ISNUMBER($AF8),INDEX(IDX_SrcStat,$AF8),"—")</f>
        <v>—</v>
      </c>
      <c r="T8" s="44" t="str">
        <f aca="false">IF(ISNUMBER($AF8),INDEX(IDX_SrcGrade,$AF8),"—")</f>
        <v>—</v>
      </c>
      <c r="U8" s="44" t="s">
        <v>4531</v>
      </c>
      <c r="V8" s="32" t="n">
        <f aca="false">IF(AND($F8="原始數據",$U8&lt;&gt;"連結 SRC"),1,0)</f>
        <v>0</v>
      </c>
      <c r="W8" s="32" t="n">
        <f aca="false">IF(AND($F8="Analogy",OR($H8="—",$H8="")),1,0)</f>
        <v>0</v>
      </c>
      <c r="X8" s="32" t="n">
        <f aca="false">IF(AND(OR($F8="Analogy",$F8="Assumed"),$G8&lt;&gt;"低",$G8&lt;&gt;"高",NOT(ISNUMBER($K8)),NOT(ISNUMBER($L8)),OR($M8="—",$M8="")),1,0)</f>
        <v>0</v>
      </c>
      <c r="Y8" s="32" t="n">
        <f aca="false">IF(AND(OR($F8="Analogy",$F8="Assumed",$F8="Derived（待改公式）",$F8="Derived（公式）"),OR($N8="—",$N8="",$N8=0)),1,0)</f>
        <v>0</v>
      </c>
      <c r="Z8" s="32" t="n">
        <f aca="false">IF(AND($F8="Decision",OR($J8="—",$J8="")),1,0)</f>
        <v>0</v>
      </c>
      <c r="AA8" s="33" t="n">
        <f aca="false">IF(OR($J8="—",$J8=""),0,IF(COUNTIF(Decisions!$A$5:$A$300,$J8)=0,1,0))</f>
        <v>0</v>
      </c>
      <c r="AB8" s="32" t="n">
        <f aca="false">IF(AND($F8="原始數據",$S8&lt;&gt;"Active"),1,0)</f>
        <v>0</v>
      </c>
      <c r="AC8" s="32" t="n">
        <f aca="false">IF(AND(ISNUMBER($K8),ISNUMBER($L8),ISNUMBER($Q8)),IF(OR($Q8&lt;MIN($K8,$L8),$Q8&gt;MAX($K8,$L8)),1,0),0)</f>
        <v>0</v>
      </c>
      <c r="AD8" s="32" t="n">
        <f aca="false">IF(AND(ISNUMBER($T8),$P8="高"),IF($T8=3,1,0),0)</f>
        <v>0</v>
      </c>
      <c r="AE8" s="32" t="n">
        <f aca="false">IF($S8="不存在",1,0)</f>
        <v>0</v>
      </c>
      <c r="AF8" s="44" t="str">
        <f aca="false">IF(OR($H8="—",$H8=""),"—",MATCH($H8,IDX_SrcID,0))</f>
        <v>—</v>
      </c>
      <c r="AG8" s="32" t="n">
        <f aca="false">IF(AND($P8="高",OR($AD8=1,$X8=1)),1,0)</f>
        <v>0</v>
      </c>
      <c r="AH8" s="32" t="n">
        <f aca="false">IF(AND($P8="高",$AG8=0,OR($F8&lt;&gt;"原始數據",$T8&lt;&gt;1)),1,0)</f>
        <v>0</v>
      </c>
      <c r="AI8" s="44" t="str">
        <f aca="false">IF(AND($P8="高",ISNUMBER($AF8)),INDEX(IDX_SrcDate,$AF8),"—")</f>
        <v>—</v>
      </c>
      <c r="AJ8" s="32" t="n">
        <f aca="false">IF(AND(ISTEXT($AI8),LEN($AI8)=10),IF(ISNUMBER(VALUE(SUBSTITUTE($AI8,"-",""))),VALUE(SUBSTITUTE($AI8,"-","")),0),0)</f>
        <v>0</v>
      </c>
    </row>
    <row r="9" customFormat="false" ht="43.5" hidden="false" customHeight="true" outlineLevel="0" collapsed="false">
      <c r="A9" s="30" t="s">
        <v>4539</v>
      </c>
      <c r="B9" s="239" t="s">
        <v>4525</v>
      </c>
      <c r="C9" s="30" t="s">
        <v>4526</v>
      </c>
      <c r="D9" s="30" t="s">
        <v>4540</v>
      </c>
      <c r="E9" s="6" t="s">
        <v>117</v>
      </c>
      <c r="F9" s="30" t="s">
        <v>114</v>
      </c>
      <c r="G9" s="239" t="s">
        <v>1308</v>
      </c>
      <c r="H9" s="30" t="s">
        <v>751</v>
      </c>
      <c r="I9" s="6" t="s">
        <v>751</v>
      </c>
      <c r="J9" s="30" t="s">
        <v>751</v>
      </c>
      <c r="K9" s="239"/>
      <c r="L9" s="239"/>
      <c r="M9" s="30" t="s">
        <v>751</v>
      </c>
      <c r="N9" s="240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9" s="6" t="s">
        <v>4538</v>
      </c>
      <c r="P9" s="239" t="s">
        <v>1308</v>
      </c>
      <c r="Q9" s="192" t="n">
        <f aca="false">Inputs!D9</f>
        <v>1.1</v>
      </c>
      <c r="R9" s="30" t="s">
        <v>751</v>
      </c>
      <c r="S9" s="44" t="str">
        <f aca="false">IF(ISNUMBER($AF9),INDEX(IDX_SrcStat,$AF9),"—")</f>
        <v>—</v>
      </c>
      <c r="T9" s="44" t="str">
        <f aca="false">IF(ISNUMBER($AF9),INDEX(IDX_SrcGrade,$AF9),"—")</f>
        <v>—</v>
      </c>
      <c r="U9" s="44" t="s">
        <v>4531</v>
      </c>
      <c r="V9" s="32" t="n">
        <f aca="false">IF(AND($F9="原始數據",$U9&lt;&gt;"連結 SRC"),1,0)</f>
        <v>0</v>
      </c>
      <c r="W9" s="32" t="n">
        <f aca="false">IF(AND($F9="Analogy",OR($H9="—",$H9="")),1,0)</f>
        <v>0</v>
      </c>
      <c r="X9" s="32" t="n">
        <f aca="false">IF(AND(OR($F9="Analogy",$F9="Assumed"),$G9&lt;&gt;"低",$G9&lt;&gt;"高",NOT(ISNUMBER($K9)),NOT(ISNUMBER($L9)),OR($M9="—",$M9="")),1,0)</f>
        <v>0</v>
      </c>
      <c r="Y9" s="32" t="n">
        <f aca="false">IF(AND(OR($F9="Analogy",$F9="Assumed",$F9="Derived（待改公式）",$F9="Derived（公式）"),OR($N9="—",$N9="",$N9=0)),1,0)</f>
        <v>0</v>
      </c>
      <c r="Z9" s="32" t="n">
        <f aca="false">IF(AND($F9="Decision",OR($J9="—",$J9="")),1,0)</f>
        <v>0</v>
      </c>
      <c r="AA9" s="33" t="n">
        <f aca="false">IF(OR($J9="—",$J9=""),0,IF(COUNTIF(Decisions!$A$5:$A$300,$J9)=0,1,0))</f>
        <v>0</v>
      </c>
      <c r="AB9" s="32" t="n">
        <f aca="false">IF(AND($F9="原始數據",$S9&lt;&gt;"Active"),1,0)</f>
        <v>0</v>
      </c>
      <c r="AC9" s="32" t="n">
        <f aca="false">IF(AND(ISNUMBER($K9),ISNUMBER($L9),ISNUMBER($Q9)),IF(OR($Q9&lt;MIN($K9,$L9),$Q9&gt;MAX($K9,$L9)),1,0),0)</f>
        <v>0</v>
      </c>
      <c r="AD9" s="32" t="n">
        <f aca="false">IF(AND(ISNUMBER($T9),$P9="高"),IF($T9=3,1,0),0)</f>
        <v>0</v>
      </c>
      <c r="AE9" s="32" t="n">
        <f aca="false">IF($S9="不存在",1,0)</f>
        <v>0</v>
      </c>
      <c r="AF9" s="44" t="str">
        <f aca="false">IF(OR($H9="—",$H9=""),"—",MATCH($H9,IDX_SrcID,0))</f>
        <v>—</v>
      </c>
      <c r="AG9" s="32" t="n">
        <f aca="false">IF(AND($P9="高",OR($AD9=1,$X9=1)),1,0)</f>
        <v>0</v>
      </c>
      <c r="AH9" s="32" t="n">
        <f aca="false">IF(AND($P9="高",$AG9=0,OR($F9&lt;&gt;"原始數據",$T9&lt;&gt;1)),1,0)</f>
        <v>0</v>
      </c>
      <c r="AI9" s="44" t="str">
        <f aca="false">IF(AND($P9="高",ISNUMBER($AF9)),INDEX(IDX_SrcDate,$AF9),"—")</f>
        <v>—</v>
      </c>
      <c r="AJ9" s="32" t="n">
        <f aca="false">IF(AND(ISTEXT($AI9),LEN($AI9)=10),IF(ISNUMBER(VALUE(SUBSTITUTE($AI9,"-",""))),VALUE(SUBSTITUTE($AI9,"-","")),0),0)</f>
        <v>0</v>
      </c>
    </row>
    <row r="10" customFormat="false" ht="43.5" hidden="false" customHeight="true" outlineLevel="0" collapsed="false">
      <c r="A10" s="30" t="s">
        <v>4541</v>
      </c>
      <c r="B10" s="239" t="s">
        <v>4525</v>
      </c>
      <c r="C10" s="30" t="s">
        <v>4526</v>
      </c>
      <c r="D10" s="30" t="s">
        <v>4542</v>
      </c>
      <c r="E10" s="6" t="s">
        <v>117</v>
      </c>
      <c r="F10" s="30" t="s">
        <v>114</v>
      </c>
      <c r="G10" s="239" t="s">
        <v>1309</v>
      </c>
      <c r="H10" s="30" t="s">
        <v>751</v>
      </c>
      <c r="I10" s="6" t="s">
        <v>751</v>
      </c>
      <c r="J10" s="30" t="s">
        <v>751</v>
      </c>
      <c r="K10" s="239"/>
      <c r="L10" s="239"/>
      <c r="M10" s="30" t="s">
        <v>751</v>
      </c>
      <c r="N10" s="240" t="str">
        <f aca="false">Inputs!$H$9&amp;" ｜補充旗標（IF 全欄分段，非分段依據）：高"</f>
        <v>液冷 AI 設施；v4＝1.2。S14 ｜全機型共用；未分氣冷 Hopper。3A Q6a：超大規模業者 1.10–1.17、colo 1.4–1.6；影響 m_fleet ≤ ±1.3%（稽核 2，Y4）。 ｜補充旗標（IF 全欄分段，非分段依據）：高</v>
      </c>
      <c r="O10" s="6" t="s">
        <v>4538</v>
      </c>
      <c r="P10" s="239" t="s">
        <v>1308</v>
      </c>
      <c r="Q10" s="192" t="n">
        <f aca="false">Inputs!F9</f>
        <v>1.3</v>
      </c>
      <c r="R10" s="30" t="s">
        <v>751</v>
      </c>
      <c r="S10" s="44" t="str">
        <f aca="false">IF(ISNUMBER($AF10),INDEX(IDX_SrcStat,$AF10),"—")</f>
        <v>—</v>
      </c>
      <c r="T10" s="44" t="str">
        <f aca="false">IF(ISNUMBER($AF10),INDEX(IDX_SrcGrade,$AF10),"—")</f>
        <v>—</v>
      </c>
      <c r="U10" s="44" t="s">
        <v>4531</v>
      </c>
      <c r="V10" s="32" t="n">
        <f aca="false">IF(AND($F10="原始數據",$U10&lt;&gt;"連結 SRC"),1,0)</f>
        <v>0</v>
      </c>
      <c r="W10" s="32" t="n">
        <f aca="false">IF(AND($F10="Analogy",OR($H10="—",$H10="")),1,0)</f>
        <v>0</v>
      </c>
      <c r="X10" s="32" t="n">
        <f aca="false">IF(AND(OR($F10="Analogy",$F10="Assumed"),$G10&lt;&gt;"低",$G10&lt;&gt;"高",NOT(ISNUMBER($K10)),NOT(ISNUMBER($L10)),OR($M10="—",$M10="")),1,0)</f>
        <v>0</v>
      </c>
      <c r="Y10" s="32" t="n">
        <f aca="false">IF(AND(OR($F10="Analogy",$F10="Assumed",$F10="Derived（待改公式）",$F10="Derived（公式）"),OR($N10="—",$N10="",$N10=0)),1,0)</f>
        <v>0</v>
      </c>
      <c r="Z10" s="32" t="n">
        <f aca="false">IF(AND($F10="Decision",OR($J10="—",$J10="")),1,0)</f>
        <v>0</v>
      </c>
      <c r="AA10" s="33" t="n">
        <f aca="false">IF(OR($J10="—",$J10=""),0,IF(COUNTIF(Decisions!$A$5:$A$300,$J10)=0,1,0))</f>
        <v>0</v>
      </c>
      <c r="AB10" s="32" t="n">
        <f aca="false">IF(AND($F10="原始數據",$S10&lt;&gt;"Active"),1,0)</f>
        <v>0</v>
      </c>
      <c r="AC10" s="32" t="n">
        <f aca="false">IF(AND(ISNUMBER($K10),ISNUMBER($L10),ISNUMBER($Q10)),IF(OR($Q10&lt;MIN($K10,$L10),$Q10&gt;MAX($K10,$L10)),1,0),0)</f>
        <v>0</v>
      </c>
      <c r="AD10" s="32" t="n">
        <f aca="false">IF(AND(ISNUMBER($T10),$P10="高"),IF($T10=3,1,0),0)</f>
        <v>0</v>
      </c>
      <c r="AE10" s="32" t="n">
        <f aca="false">IF($S10="不存在",1,0)</f>
        <v>0</v>
      </c>
      <c r="AF10" s="44" t="str">
        <f aca="false">IF(OR($H10="—",$H10=""),"—",MATCH($H10,IDX_SrcID,0))</f>
        <v>—</v>
      </c>
      <c r="AG10" s="32" t="n">
        <f aca="false">IF(AND($P10="高",OR($AD10=1,$X10=1)),1,0)</f>
        <v>0</v>
      </c>
      <c r="AH10" s="32" t="n">
        <f aca="false">IF(AND($P10="高",$AG10=0,OR($F10&lt;&gt;"原始數據",$T10&lt;&gt;1)),1,0)</f>
        <v>0</v>
      </c>
      <c r="AI10" s="44" t="str">
        <f aca="false">IF(AND($P10="高",ISNUMBER($AF10)),INDEX(IDX_SrcDate,$AF10),"—")</f>
        <v>—</v>
      </c>
      <c r="AJ10" s="32" t="n">
        <f aca="false">IF(AND(ISTEXT($AI10),LEN($AI10)=10),IF(ISNUMBER(VALUE(SUBSTITUTE($AI10,"-",""))),VALUE(SUBSTITUTE($AI10,"-","")),0),0)</f>
        <v>0</v>
      </c>
    </row>
    <row r="11" customFormat="false" ht="15" hidden="false" customHeight="true" outlineLevel="0" collapsed="false">
      <c r="A11" s="30" t="s">
        <v>4543</v>
      </c>
      <c r="B11" s="239" t="s">
        <v>4525</v>
      </c>
      <c r="C11" s="30" t="s">
        <v>4526</v>
      </c>
      <c r="D11" s="30" t="s">
        <v>4319</v>
      </c>
      <c r="E11" s="20" t="s">
        <v>121</v>
      </c>
      <c r="F11" s="30" t="s">
        <v>114</v>
      </c>
      <c r="G11" s="239" t="s">
        <v>97</v>
      </c>
      <c r="H11" s="30" t="s">
        <v>751</v>
      </c>
      <c r="I11" s="6" t="s">
        <v>751</v>
      </c>
      <c r="J11" s="30" t="s">
        <v>751</v>
      </c>
      <c r="K11" s="196" t="n">
        <f aca="false">Inputs!$D$10</f>
        <v>0.7</v>
      </c>
      <c r="L11" s="196" t="n">
        <f aca="false">Inputs!$F$10</f>
        <v>0.9</v>
      </c>
      <c r="M11" s="30" t="s">
        <v>751</v>
      </c>
      <c r="N11" s="240" t="str">
        <f aca="false">Inputs!$H$10&amp;" ｜補充旗標（IF 全欄分段，非分段依據）：高"</f>
        <v>Block 2 以逐步能量模型閉合檢查 ｜補充旗標（IF 全欄分段，非分段依據）：高</v>
      </c>
      <c r="O11" s="6" t="s">
        <v>751</v>
      </c>
      <c r="P11" s="239" t="s">
        <v>1308</v>
      </c>
      <c r="Q11" s="196" t="n">
        <f aca="false">Inputs!E10</f>
        <v>0.8</v>
      </c>
      <c r="R11" s="30" t="s">
        <v>751</v>
      </c>
      <c r="S11" s="44" t="str">
        <f aca="false">IF(ISNUMBER($AF11),INDEX(IDX_SrcStat,$AF11),"—")</f>
        <v>—</v>
      </c>
      <c r="T11" s="44" t="str">
        <f aca="false">IF(ISNUMBER($AF11),INDEX(IDX_SrcGrade,$AF11),"—")</f>
        <v>—</v>
      </c>
      <c r="U11" s="44" t="s">
        <v>4531</v>
      </c>
      <c r="V11" s="32" t="n">
        <f aca="false">IF(AND($F11="原始數據",$U11&lt;&gt;"連結 SRC"),1,0)</f>
        <v>0</v>
      </c>
      <c r="W11" s="32" t="n">
        <f aca="false">IF(AND($F11="Analogy",OR($H11="—",$H11="")),1,0)</f>
        <v>0</v>
      </c>
      <c r="X11" s="32" t="n">
        <f aca="false">IF(AND(OR($F11="Analogy",$F11="Assumed"),$G11&lt;&gt;"低",$G11&lt;&gt;"高",NOT(ISNUMBER($K11)),NOT(ISNUMBER($L11)),OR($M11="—",$M11="")),1,0)</f>
        <v>0</v>
      </c>
      <c r="Y11" s="32" t="n">
        <f aca="false">IF(AND(OR($F11="Analogy",$F11="Assumed",$F11="Derived（待改公式）",$F11="Derived（公式）"),OR($N11="—",$N11="",$N11=0)),1,0)</f>
        <v>0</v>
      </c>
      <c r="Z11" s="32" t="n">
        <f aca="false">IF(AND($F11="Decision",OR($J11="—",$J11="")),1,0)</f>
        <v>0</v>
      </c>
      <c r="AA11" s="33" t="n">
        <f aca="false">IF(OR($J11="—",$J11=""),0,IF(COUNTIF(Decisions!$A$5:$A$300,$J11)=0,1,0))</f>
        <v>0</v>
      </c>
      <c r="AB11" s="32" t="n">
        <f aca="false">IF(AND($F11="原始數據",$S11&lt;&gt;"Active"),1,0)</f>
        <v>0</v>
      </c>
      <c r="AC11" s="32" t="n">
        <f aca="false">IF(AND(ISNUMBER($K11),ISNUMBER($L11),ISNUMBER($Q11)),IF(OR($Q11&lt;MIN($K11,$L11),$Q11&gt;MAX($K11,$L11)),1,0),0)</f>
        <v>0</v>
      </c>
      <c r="AD11" s="32" t="n">
        <f aca="false">IF(AND(ISNUMBER($T11),$P11="高"),IF($T11=3,1,0),0)</f>
        <v>0</v>
      </c>
      <c r="AE11" s="32" t="n">
        <f aca="false">IF($S11="不存在",1,0)</f>
        <v>0</v>
      </c>
      <c r="AF11" s="44" t="str">
        <f aca="false">IF(OR($H11="—",$H11=""),"—",MATCH($H11,IDX_SrcID,0))</f>
        <v>—</v>
      </c>
      <c r="AG11" s="32" t="n">
        <f aca="false">IF(AND($P11="高",OR($AD11=1,$X11=1)),1,0)</f>
        <v>0</v>
      </c>
      <c r="AH11" s="32" t="n">
        <f aca="false">IF(AND($P11="高",$AG11=0,OR($F11&lt;&gt;"原始數據",$T11&lt;&gt;1)),1,0)</f>
        <v>0</v>
      </c>
      <c r="AI11" s="44" t="str">
        <f aca="false">IF(AND($P11="高",ISNUMBER($AF11)),INDEX(IDX_SrcDate,$AF11),"—")</f>
        <v>—</v>
      </c>
      <c r="AJ11" s="32" t="n">
        <f aca="false">IF(AND(ISTEXT($AI11),LEN($AI11)=10),IF(ISNUMBER(VALUE(SUBSTITUTE($AI11,"-",""))),VALUE(SUBSTITUTE($AI11,"-","")),0),0)</f>
        <v>0</v>
      </c>
    </row>
    <row r="12" customFormat="false" ht="15" hidden="false" customHeight="true" outlineLevel="0" collapsed="false">
      <c r="A12" s="30" t="s">
        <v>4544</v>
      </c>
      <c r="B12" s="239" t="s">
        <v>4525</v>
      </c>
      <c r="C12" s="30" t="s">
        <v>4526</v>
      </c>
      <c r="D12" s="30" t="s">
        <v>4545</v>
      </c>
      <c r="E12" s="20" t="s">
        <v>121</v>
      </c>
      <c r="F12" s="30" t="s">
        <v>114</v>
      </c>
      <c r="G12" s="239" t="s">
        <v>1308</v>
      </c>
      <c r="H12" s="30" t="s">
        <v>751</v>
      </c>
      <c r="I12" s="6" t="s">
        <v>751</v>
      </c>
      <c r="J12" s="30" t="s">
        <v>751</v>
      </c>
      <c r="K12" s="239"/>
      <c r="L12" s="239"/>
      <c r="M12" s="30" t="s">
        <v>751</v>
      </c>
      <c r="N12" s="240" t="str">
        <f aca="false">Inputs!$H$10&amp;" ｜補充旗標（IF 全欄分段，非分段依據）：高"</f>
        <v>Block 2 以逐步能量模型閉合檢查 ｜補充旗標（IF 全欄分段，非分段依據）：高</v>
      </c>
      <c r="O12" s="6" t="s">
        <v>751</v>
      </c>
      <c r="P12" s="239" t="s">
        <v>1308</v>
      </c>
      <c r="Q12" s="196" t="n">
        <f aca="false">Inputs!D10</f>
        <v>0.7</v>
      </c>
      <c r="R12" s="30" t="s">
        <v>751</v>
      </c>
      <c r="S12" s="44" t="str">
        <f aca="false">IF(ISNUMBER($AF12),INDEX(IDX_SrcStat,$AF12),"—")</f>
        <v>—</v>
      </c>
      <c r="T12" s="44" t="str">
        <f aca="false">IF(ISNUMBER($AF12),INDEX(IDX_SrcGrade,$AF12),"—")</f>
        <v>—</v>
      </c>
      <c r="U12" s="44" t="s">
        <v>4531</v>
      </c>
      <c r="V12" s="32" t="n">
        <f aca="false">IF(AND($F12="原始數據",$U12&lt;&gt;"連結 SRC"),1,0)</f>
        <v>0</v>
      </c>
      <c r="W12" s="32" t="n">
        <f aca="false">IF(AND($F12="Analogy",OR($H12="—",$H12="")),1,0)</f>
        <v>0</v>
      </c>
      <c r="X12" s="32" t="n">
        <f aca="false">IF(AND(OR($F12="Analogy",$F12="Assumed"),$G12&lt;&gt;"低",$G12&lt;&gt;"高",NOT(ISNUMBER($K12)),NOT(ISNUMBER($L12)),OR($M12="—",$M12="")),1,0)</f>
        <v>0</v>
      </c>
      <c r="Y12" s="32" t="n">
        <f aca="false">IF(AND(OR($F12="Analogy",$F12="Assumed",$F12="Derived（待改公式）",$F12="Derived（公式）"),OR($N12="—",$N12="",$N12=0)),1,0)</f>
        <v>0</v>
      </c>
      <c r="Z12" s="32" t="n">
        <f aca="false">IF(AND($F12="Decision",OR($J12="—",$J12="")),1,0)</f>
        <v>0</v>
      </c>
      <c r="AA12" s="33" t="n">
        <f aca="false">IF(OR($J12="—",$J12=""),0,IF(COUNTIF(Decisions!$A$5:$A$300,$J12)=0,1,0))</f>
        <v>0</v>
      </c>
      <c r="AB12" s="32" t="n">
        <f aca="false">IF(AND($F12="原始數據",$S12&lt;&gt;"Active"),1,0)</f>
        <v>0</v>
      </c>
      <c r="AC12" s="32" t="n">
        <f aca="false">IF(AND(ISNUMBER($K12),ISNUMBER($L12),ISNUMBER($Q12)),IF(OR($Q12&lt;MIN($K12,$L12),$Q12&gt;MAX($K12,$L12)),1,0),0)</f>
        <v>0</v>
      </c>
      <c r="AD12" s="32" t="n">
        <f aca="false">IF(AND(ISNUMBER($T12),$P12="高"),IF($T12=3,1,0),0)</f>
        <v>0</v>
      </c>
      <c r="AE12" s="32" t="n">
        <f aca="false">IF($S12="不存在",1,0)</f>
        <v>0</v>
      </c>
      <c r="AF12" s="44" t="str">
        <f aca="false">IF(OR($H12="—",$H12=""),"—",MATCH($H12,IDX_SrcID,0))</f>
        <v>—</v>
      </c>
      <c r="AG12" s="32" t="n">
        <f aca="false">IF(AND($P12="高",OR($AD12=1,$X12=1)),1,0)</f>
        <v>0</v>
      </c>
      <c r="AH12" s="32" t="n">
        <f aca="false">IF(AND($P12="高",$AG12=0,OR($F12&lt;&gt;"原始數據",$T12&lt;&gt;1)),1,0)</f>
        <v>0</v>
      </c>
      <c r="AI12" s="44" t="str">
        <f aca="false">IF(AND($P12="高",ISNUMBER($AF12)),INDEX(IDX_SrcDate,$AF12),"—")</f>
        <v>—</v>
      </c>
      <c r="AJ12" s="32" t="n">
        <f aca="false">IF(AND(ISTEXT($AI12),LEN($AI12)=10),IF(ISNUMBER(VALUE(SUBSTITUTE($AI12,"-",""))),VALUE(SUBSTITUTE($AI12,"-","")),0),0)</f>
        <v>0</v>
      </c>
    </row>
    <row r="13" customFormat="false" ht="15" hidden="false" customHeight="true" outlineLevel="0" collapsed="false">
      <c r="A13" s="30" t="s">
        <v>4546</v>
      </c>
      <c r="B13" s="239" t="s">
        <v>4525</v>
      </c>
      <c r="C13" s="30" t="s">
        <v>4526</v>
      </c>
      <c r="D13" s="30" t="s">
        <v>4547</v>
      </c>
      <c r="E13" s="20" t="s">
        <v>121</v>
      </c>
      <c r="F13" s="30" t="s">
        <v>114</v>
      </c>
      <c r="G13" s="239" t="s">
        <v>1309</v>
      </c>
      <c r="H13" s="30" t="s">
        <v>751</v>
      </c>
      <c r="I13" s="6" t="s">
        <v>751</v>
      </c>
      <c r="J13" s="30" t="s">
        <v>751</v>
      </c>
      <c r="K13" s="239"/>
      <c r="L13" s="239"/>
      <c r="M13" s="30" t="s">
        <v>751</v>
      </c>
      <c r="N13" s="240" t="str">
        <f aca="false">Inputs!$H$10&amp;" ｜補充旗標（IF 全欄分段，非分段依據）：高"</f>
        <v>Block 2 以逐步能量模型閉合檢查 ｜補充旗標（IF 全欄分段，非分段依據）：高</v>
      </c>
      <c r="O13" s="6" t="s">
        <v>751</v>
      </c>
      <c r="P13" s="239" t="s">
        <v>1308</v>
      </c>
      <c r="Q13" s="196" t="n">
        <f aca="false">Inputs!F10</f>
        <v>0.9</v>
      </c>
      <c r="R13" s="30" t="s">
        <v>751</v>
      </c>
      <c r="S13" s="44" t="str">
        <f aca="false">IF(ISNUMBER($AF13),INDEX(IDX_SrcStat,$AF13),"—")</f>
        <v>—</v>
      </c>
      <c r="T13" s="44" t="str">
        <f aca="false">IF(ISNUMBER($AF13),INDEX(IDX_SrcGrade,$AF13),"—")</f>
        <v>—</v>
      </c>
      <c r="U13" s="44" t="s">
        <v>4531</v>
      </c>
      <c r="V13" s="32" t="n">
        <f aca="false">IF(AND($F13="原始數據",$U13&lt;&gt;"連結 SRC"),1,0)</f>
        <v>0</v>
      </c>
      <c r="W13" s="32" t="n">
        <f aca="false">IF(AND($F13="Analogy",OR($H13="—",$H13="")),1,0)</f>
        <v>0</v>
      </c>
      <c r="X13" s="32" t="n">
        <f aca="false">IF(AND(OR($F13="Analogy",$F13="Assumed"),$G13&lt;&gt;"低",$G13&lt;&gt;"高",NOT(ISNUMBER($K13)),NOT(ISNUMBER($L13)),OR($M13="—",$M13="")),1,0)</f>
        <v>0</v>
      </c>
      <c r="Y13" s="32" t="n">
        <f aca="false">IF(AND(OR($F13="Analogy",$F13="Assumed",$F13="Derived（待改公式）",$F13="Derived（公式）"),OR($N13="—",$N13="",$N13=0)),1,0)</f>
        <v>0</v>
      </c>
      <c r="Z13" s="32" t="n">
        <f aca="false">IF(AND($F13="Decision",OR($J13="—",$J13="")),1,0)</f>
        <v>0</v>
      </c>
      <c r="AA13" s="33" t="n">
        <f aca="false">IF(OR($J13="—",$J13=""),0,IF(COUNTIF(Decisions!$A$5:$A$300,$J13)=0,1,0))</f>
        <v>0</v>
      </c>
      <c r="AB13" s="32" t="n">
        <f aca="false">IF(AND($F13="原始數據",$S13&lt;&gt;"Active"),1,0)</f>
        <v>0</v>
      </c>
      <c r="AC13" s="32" t="n">
        <f aca="false">IF(AND(ISNUMBER($K13),ISNUMBER($L13),ISNUMBER($Q13)),IF(OR($Q13&lt;MIN($K13,$L13),$Q13&gt;MAX($K13,$L13)),1,0),0)</f>
        <v>0</v>
      </c>
      <c r="AD13" s="32" t="n">
        <f aca="false">IF(AND(ISNUMBER($T13),$P13="高"),IF($T13=3,1,0),0)</f>
        <v>0</v>
      </c>
      <c r="AE13" s="32" t="n">
        <f aca="false">IF($S13="不存在",1,0)</f>
        <v>0</v>
      </c>
      <c r="AF13" s="44" t="str">
        <f aca="false">IF(OR($H13="—",$H13=""),"—",MATCH($H13,IDX_SrcID,0))</f>
        <v>—</v>
      </c>
      <c r="AG13" s="32" t="n">
        <f aca="false">IF(AND($P13="高",OR($AD13=1,$X13=1)),1,0)</f>
        <v>0</v>
      </c>
      <c r="AH13" s="32" t="n">
        <f aca="false">IF(AND($P13="高",$AG13=0,OR($F13&lt;&gt;"原始數據",$T13&lt;&gt;1)),1,0)</f>
        <v>0</v>
      </c>
      <c r="AI13" s="44" t="str">
        <f aca="false">IF(AND($P13="高",ISNUMBER($AF13)),INDEX(IDX_SrcDate,$AF13),"—")</f>
        <v>—</v>
      </c>
      <c r="AJ13" s="32" t="n">
        <f aca="false">IF(AND(ISTEXT($AI13),LEN($AI13)=10),IF(ISNUMBER(VALUE(SUBSTITUTE($AI13,"-",""))),VALUE(SUBSTITUTE($AI13,"-","")),0),0)</f>
        <v>0</v>
      </c>
    </row>
    <row r="14" customFormat="false" ht="29.25" hidden="false" customHeight="true" outlineLevel="0" collapsed="false">
      <c r="A14" s="30" t="s">
        <v>4548</v>
      </c>
      <c r="B14" s="239" t="s">
        <v>4525</v>
      </c>
      <c r="C14" s="30" t="s">
        <v>4526</v>
      </c>
      <c r="D14" s="30" t="s">
        <v>4322</v>
      </c>
      <c r="E14" s="20" t="s">
        <v>123</v>
      </c>
      <c r="F14" s="30" t="s">
        <v>119</v>
      </c>
      <c r="G14" s="239" t="s">
        <v>97</v>
      </c>
      <c r="H14" s="30" t="s">
        <v>4549</v>
      </c>
      <c r="I14" s="20" t="s">
        <v>4550</v>
      </c>
      <c r="J14" s="30" t="s">
        <v>751</v>
      </c>
      <c r="K14" s="192" t="n">
        <f aca="false">Inputs!$D$11</f>
        <v>0.06</v>
      </c>
      <c r="L14" s="192" t="n">
        <f aca="false">Inputs!$F$11</f>
        <v>0.1</v>
      </c>
      <c r="M14" s="30" t="s">
        <v>751</v>
      </c>
      <c r="N14" s="240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4" s="6" t="s">
        <v>751</v>
      </c>
      <c r="P14" s="239" t="s">
        <v>1308</v>
      </c>
      <c r="Q14" s="192" t="n">
        <f aca="false">Inputs!E11</f>
        <v>0.08</v>
      </c>
      <c r="R14" s="184" t="n">
        <f aca="false">SRC_DC_006</f>
        <v>0.0871</v>
      </c>
      <c r="S14" s="44" t="str">
        <f aca="false">IF(ISNUMBER($AF14),INDEX(IDX_SrcStat,$AF14),"—")</f>
        <v>Active</v>
      </c>
      <c r="T14" s="44" t="n">
        <f aca="false">IF(ISNUMBER($AF14),INDEX(IDX_SrcGrade,$AF14),"—")</f>
        <v>2</v>
      </c>
      <c r="U14" s="44" t="s">
        <v>4531</v>
      </c>
      <c r="V14" s="32" t="n">
        <f aca="false">IF(AND($F14="原始數據",$U14&lt;&gt;"連結 SRC"),1,0)</f>
        <v>0</v>
      </c>
      <c r="W14" s="32" t="n">
        <f aca="false">IF(AND($F14="Analogy",OR($H14="—",$H14="")),1,0)</f>
        <v>0</v>
      </c>
      <c r="X14" s="32" t="n">
        <f aca="false">IF(AND(OR($F14="Analogy",$F14="Assumed"),$G14&lt;&gt;"低",$G14&lt;&gt;"高",NOT(ISNUMBER($K14)),NOT(ISNUMBER($L14)),OR($M14="—",$M14="")),1,0)</f>
        <v>0</v>
      </c>
      <c r="Y14" s="32" t="n">
        <f aca="false">IF(AND(OR($F14="Analogy",$F14="Assumed",$F14="Derived（待改公式）",$F14="Derived（公式）"),OR($N14="—",$N14="",$N14=0)),1,0)</f>
        <v>0</v>
      </c>
      <c r="Z14" s="32" t="n">
        <f aca="false">IF(AND($F14="Decision",OR($J14="—",$J14="")),1,0)</f>
        <v>0</v>
      </c>
      <c r="AA14" s="33" t="n">
        <f aca="false">IF(OR($J14="—",$J14=""),0,IF(COUNTIF(Decisions!$A$5:$A$300,$J14)=0,1,0))</f>
        <v>0</v>
      </c>
      <c r="AB14" s="32" t="n">
        <f aca="false">IF(AND($F14="原始數據",$S14&lt;&gt;"Active"),1,0)</f>
        <v>0</v>
      </c>
      <c r="AC14" s="32" t="n">
        <f aca="false">IF(AND(ISNUMBER($K14),ISNUMBER($L14),ISNUMBER($Q14)),IF(OR($Q14&lt;MIN($K14,$L14),$Q14&gt;MAX($K14,$L14)),1,0),0)</f>
        <v>0</v>
      </c>
      <c r="AD14" s="32" t="n">
        <f aca="false">IF(AND(ISNUMBER($T14),$P14="高"),IF($T14=3,1,0),0)</f>
        <v>0</v>
      </c>
      <c r="AE14" s="32" t="n">
        <f aca="false">IF($S14="不存在",1,0)</f>
        <v>0</v>
      </c>
      <c r="AF14" s="44" t="n">
        <f aca="false">IF(OR($H14="—",$H14=""),"—",MATCH($H14,IDX_SrcID,0))</f>
        <v>122</v>
      </c>
      <c r="AG14" s="32" t="n">
        <f aca="false">IF(AND($P14="高",OR($AD14=1,$X14=1)),1,0)</f>
        <v>0</v>
      </c>
      <c r="AH14" s="32" t="n">
        <f aca="false">IF(AND($P14="高",$AG14=0,OR($F14&lt;&gt;"原始數據",$T14&lt;&gt;1)),1,0)</f>
        <v>0</v>
      </c>
      <c r="AI14" s="44" t="str">
        <f aca="false">IF(AND($P14="高",ISNUMBER($AF14)),INDEX(IDX_SrcDate,$AF14),"—")</f>
        <v>—</v>
      </c>
      <c r="AJ14" s="32" t="n">
        <f aca="false">IF(AND(ISTEXT($AI14),LEN($AI14)=10),IF(ISNUMBER(VALUE(SUBSTITUTE($AI14,"-",""))),VALUE(SUBSTITUTE($AI14,"-","")),0),0)</f>
        <v>0</v>
      </c>
    </row>
    <row r="15" customFormat="false" ht="29.25" hidden="false" customHeight="true" outlineLevel="0" collapsed="false">
      <c r="A15" s="30" t="s">
        <v>4551</v>
      </c>
      <c r="B15" s="239" t="s">
        <v>4525</v>
      </c>
      <c r="C15" s="30" t="s">
        <v>4526</v>
      </c>
      <c r="D15" s="30" t="s">
        <v>4552</v>
      </c>
      <c r="E15" s="20" t="s">
        <v>123</v>
      </c>
      <c r="F15" s="30" t="s">
        <v>119</v>
      </c>
      <c r="G15" s="239" t="s">
        <v>1308</v>
      </c>
      <c r="H15" s="30" t="s">
        <v>4549</v>
      </c>
      <c r="I15" s="20" t="s">
        <v>4550</v>
      </c>
      <c r="J15" s="30" t="s">
        <v>751</v>
      </c>
      <c r="K15" s="239"/>
      <c r="L15" s="239"/>
      <c r="M15" s="30" t="s">
        <v>751</v>
      </c>
      <c r="N15" s="240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5" s="6" t="s">
        <v>751</v>
      </c>
      <c r="P15" s="239" t="s">
        <v>1308</v>
      </c>
      <c r="Q15" s="192" t="n">
        <f aca="false">Inputs!D11</f>
        <v>0.06</v>
      </c>
      <c r="R15" s="184" t="n">
        <f aca="false">SRC_DC_006</f>
        <v>0.0871</v>
      </c>
      <c r="S15" s="44" t="str">
        <f aca="false">IF(ISNUMBER($AF15),INDEX(IDX_SrcStat,$AF15),"—")</f>
        <v>Active</v>
      </c>
      <c r="T15" s="44" t="n">
        <f aca="false">IF(ISNUMBER($AF15),INDEX(IDX_SrcGrade,$AF15),"—")</f>
        <v>2</v>
      </c>
      <c r="U15" s="44" t="s">
        <v>4531</v>
      </c>
      <c r="V15" s="32" t="n">
        <f aca="false">IF(AND($F15="原始數據",$U15&lt;&gt;"連結 SRC"),1,0)</f>
        <v>0</v>
      </c>
      <c r="W15" s="32" t="n">
        <f aca="false">IF(AND($F15="Analogy",OR($H15="—",$H15="")),1,0)</f>
        <v>0</v>
      </c>
      <c r="X15" s="32" t="n">
        <f aca="false">IF(AND(OR($F15="Analogy",$F15="Assumed"),$G15&lt;&gt;"低",$G15&lt;&gt;"高",NOT(ISNUMBER($K15)),NOT(ISNUMBER($L15)),OR($M15="—",$M15="")),1,0)</f>
        <v>0</v>
      </c>
      <c r="Y15" s="32" t="n">
        <f aca="false">IF(AND(OR($F15="Analogy",$F15="Assumed",$F15="Derived（待改公式）",$F15="Derived（公式）"),OR($N15="—",$N15="",$N15=0)),1,0)</f>
        <v>0</v>
      </c>
      <c r="Z15" s="32" t="n">
        <f aca="false">IF(AND($F15="Decision",OR($J15="—",$J15="")),1,0)</f>
        <v>0</v>
      </c>
      <c r="AA15" s="33" t="n">
        <f aca="false">IF(OR($J15="—",$J15=""),0,IF(COUNTIF(Decisions!$A$5:$A$300,$J15)=0,1,0))</f>
        <v>0</v>
      </c>
      <c r="AB15" s="32" t="n">
        <f aca="false">IF(AND($F15="原始數據",$S15&lt;&gt;"Active"),1,0)</f>
        <v>0</v>
      </c>
      <c r="AC15" s="32" t="n">
        <f aca="false">IF(AND(ISNUMBER($K15),ISNUMBER($L15),ISNUMBER($Q15)),IF(OR($Q15&lt;MIN($K15,$L15),$Q15&gt;MAX($K15,$L15)),1,0),0)</f>
        <v>0</v>
      </c>
      <c r="AD15" s="32" t="n">
        <f aca="false">IF(AND(ISNUMBER($T15),$P15="高"),IF($T15=3,1,0),0)</f>
        <v>0</v>
      </c>
      <c r="AE15" s="32" t="n">
        <f aca="false">IF($S15="不存在",1,0)</f>
        <v>0</v>
      </c>
      <c r="AF15" s="44" t="n">
        <f aca="false">IF(OR($H15="—",$H15=""),"—",MATCH($H15,IDX_SrcID,0))</f>
        <v>122</v>
      </c>
      <c r="AG15" s="32" t="n">
        <f aca="false">IF(AND($P15="高",OR($AD15=1,$X15=1)),1,0)</f>
        <v>0</v>
      </c>
      <c r="AH15" s="32" t="n">
        <f aca="false">IF(AND($P15="高",$AG15=0,OR($F15&lt;&gt;"原始數據",$T15&lt;&gt;1)),1,0)</f>
        <v>0</v>
      </c>
      <c r="AI15" s="44" t="str">
        <f aca="false">IF(AND($P15="高",ISNUMBER($AF15)),INDEX(IDX_SrcDate,$AF15),"—")</f>
        <v>—</v>
      </c>
      <c r="AJ15" s="32" t="n">
        <f aca="false">IF(AND(ISTEXT($AI15),LEN($AI15)=10),IF(ISNUMBER(VALUE(SUBSTITUTE($AI15,"-",""))),VALUE(SUBSTITUTE($AI15,"-","")),0),0)</f>
        <v>0</v>
      </c>
    </row>
    <row r="16" customFormat="false" ht="29.25" hidden="false" customHeight="true" outlineLevel="0" collapsed="false">
      <c r="A16" s="30" t="s">
        <v>4553</v>
      </c>
      <c r="B16" s="239" t="s">
        <v>4525</v>
      </c>
      <c r="C16" s="30" t="s">
        <v>4526</v>
      </c>
      <c r="D16" s="30" t="s">
        <v>4554</v>
      </c>
      <c r="E16" s="20" t="s">
        <v>123</v>
      </c>
      <c r="F16" s="30" t="s">
        <v>119</v>
      </c>
      <c r="G16" s="239" t="s">
        <v>1309</v>
      </c>
      <c r="H16" s="30" t="s">
        <v>4549</v>
      </c>
      <c r="I16" s="20" t="s">
        <v>4550</v>
      </c>
      <c r="J16" s="30" t="s">
        <v>751</v>
      </c>
      <c r="K16" s="239"/>
      <c r="L16" s="239"/>
      <c r="M16" s="30" t="s">
        <v>751</v>
      </c>
      <c r="N16" s="240" t="str">
        <f aca="false">Inputs!$H$11&amp;" ｜補充旗標（IF 全欄分段，非分段依據）：高"</f>
        <v>EIA 美國工業電價 2026 年約 8.6–8.7¢（S13）；低端為 PPA（v4＝0.06） ｜補充旗標（IF 全欄分段，非分段依據）：高</v>
      </c>
      <c r="O16" s="6" t="s">
        <v>751</v>
      </c>
      <c r="P16" s="239" t="s">
        <v>1308</v>
      </c>
      <c r="Q16" s="192" t="n">
        <f aca="false">Inputs!F11</f>
        <v>0.1</v>
      </c>
      <c r="R16" s="184" t="n">
        <f aca="false">SRC_DC_006</f>
        <v>0.0871</v>
      </c>
      <c r="S16" s="44" t="str">
        <f aca="false">IF(ISNUMBER($AF16),INDEX(IDX_SrcStat,$AF16),"—")</f>
        <v>Active</v>
      </c>
      <c r="T16" s="44" t="n">
        <f aca="false">IF(ISNUMBER($AF16),INDEX(IDX_SrcGrade,$AF16),"—")</f>
        <v>2</v>
      </c>
      <c r="U16" s="44" t="s">
        <v>4531</v>
      </c>
      <c r="V16" s="32" t="n">
        <f aca="false">IF(AND($F16="原始數據",$U16&lt;&gt;"連結 SRC"),1,0)</f>
        <v>0</v>
      </c>
      <c r="W16" s="32" t="n">
        <f aca="false">IF(AND($F16="Analogy",OR($H16="—",$H16="")),1,0)</f>
        <v>0</v>
      </c>
      <c r="X16" s="32" t="n">
        <f aca="false">IF(AND(OR($F16="Analogy",$F16="Assumed"),$G16&lt;&gt;"低",$G16&lt;&gt;"高",NOT(ISNUMBER($K16)),NOT(ISNUMBER($L16)),OR($M16="—",$M16="")),1,0)</f>
        <v>0</v>
      </c>
      <c r="Y16" s="32" t="n">
        <f aca="false">IF(AND(OR($F16="Analogy",$F16="Assumed",$F16="Derived（待改公式）",$F16="Derived（公式）"),OR($N16="—",$N16="",$N16=0)),1,0)</f>
        <v>0</v>
      </c>
      <c r="Z16" s="32" t="n">
        <f aca="false">IF(AND($F16="Decision",OR($J16="—",$J16="")),1,0)</f>
        <v>0</v>
      </c>
      <c r="AA16" s="33" t="n">
        <f aca="false">IF(OR($J16="—",$J16=""),0,IF(COUNTIF(Decisions!$A$5:$A$300,$J16)=0,1,0))</f>
        <v>0</v>
      </c>
      <c r="AB16" s="32" t="n">
        <f aca="false">IF(AND($F16="原始數據",$S16&lt;&gt;"Active"),1,0)</f>
        <v>0</v>
      </c>
      <c r="AC16" s="32" t="n">
        <f aca="false">IF(AND(ISNUMBER($K16),ISNUMBER($L16),ISNUMBER($Q16)),IF(OR($Q16&lt;MIN($K16,$L16),$Q16&gt;MAX($K16,$L16)),1,0),0)</f>
        <v>0</v>
      </c>
      <c r="AD16" s="32" t="n">
        <f aca="false">IF(AND(ISNUMBER($T16),$P16="高"),IF($T16=3,1,0),0)</f>
        <v>0</v>
      </c>
      <c r="AE16" s="32" t="n">
        <f aca="false">IF($S16="不存在",1,0)</f>
        <v>0</v>
      </c>
      <c r="AF16" s="44" t="n">
        <f aca="false">IF(OR($H16="—",$H16=""),"—",MATCH($H16,IDX_SrcID,0))</f>
        <v>122</v>
      </c>
      <c r="AG16" s="32" t="n">
        <f aca="false">IF(AND($P16="高",OR($AD16=1,$X16=1)),1,0)</f>
        <v>0</v>
      </c>
      <c r="AH16" s="32" t="n">
        <f aca="false">IF(AND($P16="高",$AG16=0,OR($F16&lt;&gt;"原始數據",$T16&lt;&gt;1)),1,0)</f>
        <v>0</v>
      </c>
      <c r="AI16" s="44" t="str">
        <f aca="false">IF(AND($P16="高",ISNUMBER($AF16)),INDEX(IDX_SrcDate,$AF16),"—")</f>
        <v>—</v>
      </c>
      <c r="AJ16" s="32" t="n">
        <f aca="false">IF(AND(ISTEXT($AI16),LEN($AI16)=10),IF(ISNUMBER(VALUE(SUBSTITUTE($AI16,"-",""))),VALUE(SUBSTITUTE($AI16,"-","")),0),0)</f>
        <v>0</v>
      </c>
    </row>
    <row r="17" customFormat="false" ht="40.5" hidden="false" customHeight="true" outlineLevel="0" collapsed="false">
      <c r="A17" s="30" t="s">
        <v>4555</v>
      </c>
      <c r="B17" s="239" t="s">
        <v>4525</v>
      </c>
      <c r="C17" s="30" t="s">
        <v>4526</v>
      </c>
      <c r="D17" s="30" t="s">
        <v>4327</v>
      </c>
      <c r="E17" s="6" t="s">
        <v>128</v>
      </c>
      <c r="F17" s="30" t="s">
        <v>119</v>
      </c>
      <c r="G17" s="239" t="s">
        <v>97</v>
      </c>
      <c r="H17" s="30" t="s">
        <v>4556</v>
      </c>
      <c r="I17" s="20" t="s">
        <v>4550</v>
      </c>
      <c r="J17" s="30" t="s">
        <v>751</v>
      </c>
      <c r="K17" s="196" t="n">
        <f aca="false">Inputs!$D$13</f>
        <v>0.05</v>
      </c>
      <c r="L17" s="196" t="n">
        <f aca="false">Inputs!$F$13</f>
        <v>0.15</v>
      </c>
      <c r="M17" s="30" t="s">
        <v>751</v>
      </c>
      <c r="N17" s="240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7" s="6" t="s">
        <v>751</v>
      </c>
      <c r="P17" s="239" t="s">
        <v>1308</v>
      </c>
      <c r="Q17" s="196" t="n">
        <f aca="false">Inputs!E13</f>
        <v>0.1</v>
      </c>
      <c r="R17" s="184" t="n">
        <f aca="false">SRC_DC_001_Lo</f>
        <v>0.04</v>
      </c>
      <c r="S17" s="44" t="str">
        <f aca="false">IF(ISNUMBER($AF17),INDEX(IDX_SrcStat,$AF17),"—")</f>
        <v>Active</v>
      </c>
      <c r="T17" s="44" t="n">
        <f aca="false">IF(ISNUMBER($AF17),INDEX(IDX_SrcGrade,$AF17),"—")</f>
        <v>3</v>
      </c>
      <c r="U17" s="44" t="s">
        <v>4531</v>
      </c>
      <c r="V17" s="32" t="n">
        <f aca="false">IF(AND($F17="原始數據",$U17&lt;&gt;"連結 SRC"),1,0)</f>
        <v>0</v>
      </c>
      <c r="W17" s="32" t="n">
        <f aca="false">IF(AND($F17="Analogy",OR($H17="—",$H17="")),1,0)</f>
        <v>0</v>
      </c>
      <c r="X17" s="32" t="n">
        <f aca="false">IF(AND(OR($F17="Analogy",$F17="Assumed"),$G17&lt;&gt;"低",$G17&lt;&gt;"高",NOT(ISNUMBER($K17)),NOT(ISNUMBER($L17)),OR($M17="—",$M17="")),1,0)</f>
        <v>0</v>
      </c>
      <c r="Y17" s="32" t="n">
        <f aca="false">IF(AND(OR($F17="Analogy",$F17="Assumed",$F17="Derived（待改公式）",$F17="Derived（公式）"),OR($N17="—",$N17="",$N17=0)),1,0)</f>
        <v>0</v>
      </c>
      <c r="Z17" s="32" t="n">
        <f aca="false">IF(AND($F17="Decision",OR($J17="—",$J17="")),1,0)</f>
        <v>0</v>
      </c>
      <c r="AA17" s="33" t="n">
        <f aca="false">IF(OR($J17="—",$J17=""),0,IF(COUNTIF(Decisions!$A$5:$A$300,$J17)=0,1,0))</f>
        <v>0</v>
      </c>
      <c r="AB17" s="32" t="n">
        <f aca="false">IF(AND($F17="原始數據",$S17&lt;&gt;"Active"),1,0)</f>
        <v>0</v>
      </c>
      <c r="AC17" s="32" t="n">
        <f aca="false">IF(AND(ISNUMBER($K17),ISNUMBER($L17),ISNUMBER($Q17)),IF(OR($Q17&lt;MIN($K17,$L17),$Q17&gt;MAX($K17,$L17)),1,0),0)</f>
        <v>0</v>
      </c>
      <c r="AD17" s="32" t="n">
        <f aca="false">IF(AND(ISNUMBER($T17),$P17="高"),IF($T17=3,1,0),0)</f>
        <v>0</v>
      </c>
      <c r="AE17" s="32" t="n">
        <f aca="false">IF($S17="不存在",1,0)</f>
        <v>0</v>
      </c>
      <c r="AF17" s="44" t="n">
        <f aca="false">IF(OR($H17="—",$H17=""),"—",MATCH($H17,IDX_SrcID,0))</f>
        <v>117</v>
      </c>
      <c r="AG17" s="32" t="n">
        <f aca="false">IF(AND($P17="高",OR($AD17=1,$X17=1)),1,0)</f>
        <v>0</v>
      </c>
      <c r="AH17" s="32" t="n">
        <f aca="false">IF(AND($P17="高",$AG17=0,OR($F17&lt;&gt;"原始數據",$T17&lt;&gt;1)),1,0)</f>
        <v>0</v>
      </c>
      <c r="AI17" s="44" t="str">
        <f aca="false">IF(AND($P17="高",ISNUMBER($AF17)),INDEX(IDX_SrcDate,$AF17),"—")</f>
        <v>—</v>
      </c>
      <c r="AJ17" s="32" t="n">
        <f aca="false">IF(AND(ISTEXT($AI17),LEN($AI17)=10),IF(ISNUMBER(VALUE(SUBSTITUTE($AI17,"-",""))),VALUE(SUBSTITUTE($AI17,"-","")),0),0)</f>
        <v>0</v>
      </c>
    </row>
    <row r="18" customFormat="false" ht="40.5" hidden="false" customHeight="true" outlineLevel="0" collapsed="false">
      <c r="A18" s="30" t="s">
        <v>4557</v>
      </c>
      <c r="B18" s="239" t="s">
        <v>4525</v>
      </c>
      <c r="C18" s="30" t="s">
        <v>4526</v>
      </c>
      <c r="D18" s="30" t="s">
        <v>4558</v>
      </c>
      <c r="E18" s="6" t="s">
        <v>128</v>
      </c>
      <c r="F18" s="30" t="s">
        <v>119</v>
      </c>
      <c r="G18" s="239" t="s">
        <v>1308</v>
      </c>
      <c r="H18" s="30" t="s">
        <v>4556</v>
      </c>
      <c r="I18" s="20" t="s">
        <v>4550</v>
      </c>
      <c r="J18" s="30" t="s">
        <v>751</v>
      </c>
      <c r="K18" s="239"/>
      <c r="L18" s="239"/>
      <c r="M18" s="30" t="s">
        <v>751</v>
      </c>
      <c r="N18" s="240" t="str">
        <f aca="false">Inputs!$H$13&amp;" ｜補充旗標（IF 全欄分段，非分段依據）：中"</f>
        <v>1,024 GPU 叢集網路約為 GPU BOM 4–8%（S10）；GW 級多一層以上交換，取 5–15% ｜補充旗標（IF 全欄分段，非分段依據）：中</v>
      </c>
      <c r="O18" s="6" t="s">
        <v>751</v>
      </c>
      <c r="P18" s="239" t="s">
        <v>1308</v>
      </c>
      <c r="Q18" s="196" t="n">
        <f aca="false">Inputs!D13</f>
        <v>0.05</v>
      </c>
      <c r="R18" s="184" t="n">
        <f aca="false">SRC_DC_001_Lo</f>
        <v>0.04</v>
      </c>
      <c r="S18" s="44" t="str">
        <f aca="false">IF(ISNUMBER($AF18),INDEX(IDX_SrcStat,$AF18),"—")</f>
        <v>Active</v>
      </c>
      <c r="T18" s="44" t="n">
        <f aca="false">IF(ISNUMBER($AF18),INDEX(IDX_SrcGrade,$AF18),"—")</f>
        <v>3</v>
      </c>
      <c r="U18" s="44" t="s">
        <v>4531</v>
      </c>
      <c r="V18" s="32" t="n">
        <f aca="false">IF(AND($F18="原始數據",$U18&lt;&gt;"連結 SRC"),1,0)</f>
        <v>0</v>
      </c>
      <c r="W18" s="32" t="n">
        <f aca="false">IF(AND($F18="Analogy",OR($H18="—",$H18="")),1,0)</f>
        <v>0</v>
      </c>
      <c r="X18" s="32" t="n">
        <f aca="false">IF(AND(OR($F18="Analogy",$F18="Assumed"),$G18&lt;&gt;"低",$G18&lt;&gt;"高",NOT(ISNUMBER($K18)),NOT(ISNUMBER($L18)),OR($M18="—",$M18="")),1,0)</f>
        <v>0</v>
      </c>
      <c r="Y18" s="32" t="n">
        <f aca="false">IF(AND(OR($F18="Analogy",$F18="Assumed",$F18="Derived（待改公式）",$F18="Derived（公式）"),OR($N18="—",$N18="",$N18=0)),1,0)</f>
        <v>0</v>
      </c>
      <c r="Z18" s="32" t="n">
        <f aca="false">IF(AND($F18="Decision",OR($J18="—",$J18="")),1,0)</f>
        <v>0</v>
      </c>
      <c r="AA18" s="33" t="n">
        <f aca="false">IF(OR($J18="—",$J18=""),0,IF(COUNTIF(Decisions!$A$5:$A$300,$J18)=0,1,0))</f>
        <v>0</v>
      </c>
      <c r="AB18" s="32" t="n">
        <f aca="false">IF(AND($F18="原始數據",$S18&lt;&gt;"Active"),1,0)</f>
        <v>0</v>
      </c>
      <c r="AC18" s="32" t="n">
        <f aca="false">IF(AND(ISNUMBER($K18),ISNUMBER($L18),ISNUMBER($Q18)),IF(OR($Q18&lt;MIN($K18,$L18),$Q18&gt;MAX($K18,$L18)),1,0),0)</f>
        <v>0</v>
      </c>
      <c r="AD18" s="32" t="n">
        <f aca="false">IF(AND(ISNUMBER($T18),$P18="高"),IF($T18=3,1,0),0)</f>
        <v>0</v>
      </c>
      <c r="AE18" s="32" t="n">
        <f aca="false">IF($S18="不存在",1,0)</f>
        <v>0</v>
      </c>
      <c r="AF18" s="44" t="n">
        <f aca="false">IF(OR($H18="—",$H18=""),"—",MATCH($H18,IDX_SrcID,0))</f>
        <v>117</v>
      </c>
      <c r="AG18" s="32" t="n">
        <f aca="false">IF(AND($P18="高",OR($AD18=1,$X18=1)),1,0)</f>
        <v>0</v>
      </c>
      <c r="AH18" s="32" t="n">
        <f aca="false">IF(AND($P18="高",$AG18=0,OR($F18&lt;&gt;"原始數據",$T18&lt;&gt;1)),1,0)</f>
        <v>0</v>
      </c>
      <c r="AI18" s="44" t="str">
        <f aca="false">IF(AND($P18="高",ISNUMBER($AF18)),INDEX(IDX_SrcDate,$AF18),"—")</f>
        <v>—</v>
      </c>
      <c r="AJ18" s="32" t="n">
        <f aca="false">IF(AND(ISTEXT($AI18),LEN($AI18)=10),IF(ISNUMBER(VALUE(SUBSTITUTE($AI18,"-",""))),VALUE(SUBSTITUTE($AI18,"-","")),0),0)</f>
        <v>0</v>
      </c>
    </row>
    <row r="19" customFormat="false" ht="15" hidden="false" customHeight="true" outlineLevel="0" collapsed="false">
      <c r="A19" s="30" t="s">
        <v>4559</v>
      </c>
      <c r="B19" s="239" t="s">
        <v>4525</v>
      </c>
      <c r="C19" s="30" t="s">
        <v>4526</v>
      </c>
      <c r="D19" s="30" t="s">
        <v>4560</v>
      </c>
      <c r="E19" s="6" t="s">
        <v>128</v>
      </c>
      <c r="F19" s="239" t="s">
        <v>348</v>
      </c>
      <c r="G19" s="239" t="s">
        <v>4527</v>
      </c>
      <c r="H19" s="30" t="s">
        <v>4561</v>
      </c>
      <c r="I19" s="20" t="s">
        <v>4562</v>
      </c>
      <c r="J19" s="30" t="s">
        <v>751</v>
      </c>
      <c r="K19" s="239"/>
      <c r="L19" s="239"/>
      <c r="M19" s="30" t="s">
        <v>751</v>
      </c>
      <c r="N19" s="20" t="s">
        <v>4563</v>
      </c>
      <c r="O19" s="6" t="s">
        <v>751</v>
      </c>
      <c r="P19" s="239" t="s">
        <v>1308</v>
      </c>
      <c r="Q19" s="196" t="n">
        <f aca="false">Inputs!F13</f>
        <v>0.15</v>
      </c>
      <c r="R19" s="184" t="n">
        <f aca="false">SRC_DC_002</f>
        <v>0.15</v>
      </c>
      <c r="S19" s="44" t="str">
        <f aca="false">IF(ISNUMBER($AF19),INDEX(IDX_SrcStat,$AF19),"—")</f>
        <v>Active</v>
      </c>
      <c r="T19" s="44" t="n">
        <f aca="false">IF(ISNUMBER($AF19),INDEX(IDX_SrcGrade,$AF19),"—")</f>
        <v>3</v>
      </c>
      <c r="U19" s="44" t="s">
        <v>4564</v>
      </c>
      <c r="V19" s="32" t="n">
        <f aca="false">IF(AND($F19="原始數據",$U19&lt;&gt;"連結 SRC"),1,0)</f>
        <v>0</v>
      </c>
      <c r="W19" s="32" t="n">
        <f aca="false">IF(AND($F19="Analogy",OR($H19="—",$H19="")),1,0)</f>
        <v>0</v>
      </c>
      <c r="X19" s="32" t="n">
        <f aca="false">IF(AND(OR($F19="Analogy",$F19="Assumed"),$G19&lt;&gt;"低",$G19&lt;&gt;"高",NOT(ISNUMBER($K19)),NOT(ISNUMBER($L19)),OR($M19="—",$M19="")),1,0)</f>
        <v>0</v>
      </c>
      <c r="Y19" s="32" t="n">
        <f aca="false">IF(AND(OR($F19="Analogy",$F19="Assumed",$F19="Derived（待改公式）",$F19="Derived（公式）"),OR($N19="—",$N19="",$N19=0)),1,0)</f>
        <v>0</v>
      </c>
      <c r="Z19" s="32" t="n">
        <f aca="false">IF(AND($F19="Decision",OR($J19="—",$J19="")),1,0)</f>
        <v>0</v>
      </c>
      <c r="AA19" s="33" t="n">
        <f aca="false">IF(OR($J19="—",$J19=""),0,IF(COUNTIF(Decisions!$A$5:$A$300,$J19)=0,1,0))</f>
        <v>0</v>
      </c>
      <c r="AB19" s="32" t="n">
        <f aca="false">IF(AND($F19="原始數據",$S19&lt;&gt;"Active"),1,0)</f>
        <v>0</v>
      </c>
      <c r="AC19" s="32" t="n">
        <f aca="false">IF(AND(ISNUMBER($K19),ISNUMBER($L19),ISNUMBER($Q19)),IF(OR($Q19&lt;MIN($K19,$L19),$Q19&gt;MAX($K19,$L19)),1,0),0)</f>
        <v>0</v>
      </c>
      <c r="AD19" s="32" t="n">
        <f aca="false">IF(AND(ISNUMBER($T19),$P19="高"),IF($T19=3,1,0),0)</f>
        <v>0</v>
      </c>
      <c r="AE19" s="32" t="n">
        <f aca="false">IF($S19="不存在",1,0)</f>
        <v>0</v>
      </c>
      <c r="AF19" s="44" t="n">
        <f aca="false">IF(OR($H19="—",$H19=""),"—",MATCH($H19,IDX_SrcID,0))</f>
        <v>118</v>
      </c>
      <c r="AG19" s="32" t="n">
        <f aca="false">IF(AND($P19="高",OR($AD19=1,$X19=1)),1,0)</f>
        <v>0</v>
      </c>
      <c r="AH19" s="32" t="n">
        <f aca="false">IF(AND($P19="高",$AG19=0,OR($F19&lt;&gt;"原始數據",$T19&lt;&gt;1)),1,0)</f>
        <v>0</v>
      </c>
      <c r="AI19" s="44" t="str">
        <f aca="false">IF(AND($P19="高",ISNUMBER($AF19)),INDEX(IDX_SrcDate,$AF19),"—")</f>
        <v>—</v>
      </c>
      <c r="AJ19" s="32" t="n">
        <f aca="false">IF(AND(ISTEXT($AI19),LEN($AI19)=10),IF(ISNUMBER(VALUE(SUBSTITUTE($AI19,"-",""))),VALUE(SUBSTITUTE($AI19,"-","")),0),0)</f>
        <v>0</v>
      </c>
    </row>
    <row r="20" customFormat="false" ht="15" hidden="false" customHeight="true" outlineLevel="0" collapsed="false">
      <c r="A20" s="30" t="s">
        <v>4565</v>
      </c>
      <c r="B20" s="239" t="s">
        <v>4525</v>
      </c>
      <c r="C20" s="30" t="s">
        <v>4526</v>
      </c>
      <c r="D20" s="30" t="s">
        <v>4566</v>
      </c>
      <c r="E20" s="20" t="s">
        <v>130</v>
      </c>
      <c r="F20" s="30" t="s">
        <v>114</v>
      </c>
      <c r="G20" s="239" t="s">
        <v>97</v>
      </c>
      <c r="H20" s="30" t="s">
        <v>751</v>
      </c>
      <c r="I20" s="6" t="s">
        <v>751</v>
      </c>
      <c r="J20" s="30" t="s">
        <v>751</v>
      </c>
      <c r="K20" s="49" t="n">
        <f aca="false">Inputs!$D$14</f>
        <v>300</v>
      </c>
      <c r="L20" s="49" t="n">
        <f aca="false">Inputs!$F$14</f>
        <v>800</v>
      </c>
      <c r="M20" s="30" t="s">
        <v>751</v>
      </c>
      <c r="N20" s="240" t="str">
        <f aca="false">Inputs!$H$14</f>
        <v>v4 約 $350/GPU（$25K/架）</v>
      </c>
      <c r="O20" s="6" t="s">
        <v>751</v>
      </c>
      <c r="P20" s="239" t="s">
        <v>1308</v>
      </c>
      <c r="Q20" s="49" t="n">
        <f aca="false">Inputs!E14</f>
        <v>500</v>
      </c>
      <c r="R20" s="30" t="s">
        <v>751</v>
      </c>
      <c r="S20" s="44" t="str">
        <f aca="false">IF(ISNUMBER($AF20),INDEX(IDX_SrcStat,$AF20),"—")</f>
        <v>—</v>
      </c>
      <c r="T20" s="44" t="str">
        <f aca="false">IF(ISNUMBER($AF20),INDEX(IDX_SrcGrade,$AF20),"—")</f>
        <v>—</v>
      </c>
      <c r="U20" s="44" t="s">
        <v>4531</v>
      </c>
      <c r="V20" s="32" t="n">
        <f aca="false">IF(AND($F20="原始數據",$U20&lt;&gt;"連結 SRC"),1,0)</f>
        <v>0</v>
      </c>
      <c r="W20" s="32" t="n">
        <f aca="false">IF(AND($F20="Analogy",OR($H20="—",$H20="")),1,0)</f>
        <v>0</v>
      </c>
      <c r="X20" s="32" t="n">
        <f aca="false">IF(AND(OR($F20="Analogy",$F20="Assumed"),$G20&lt;&gt;"低",$G20&lt;&gt;"高",NOT(ISNUMBER($K20)),NOT(ISNUMBER($L20)),OR($M20="—",$M20="")),1,0)</f>
        <v>0</v>
      </c>
      <c r="Y20" s="32" t="n">
        <f aca="false">IF(AND(OR($F20="Analogy",$F20="Assumed",$F20="Derived（待改公式）",$F20="Derived（公式）"),OR($N20="—",$N20="",$N20=0)),1,0)</f>
        <v>0</v>
      </c>
      <c r="Z20" s="32" t="n">
        <f aca="false">IF(AND($F20="Decision",OR($J20="—",$J20="")),1,0)</f>
        <v>0</v>
      </c>
      <c r="AA20" s="33" t="n">
        <f aca="false">IF(OR($J20="—",$J20=""),0,IF(COUNTIF(Decisions!$A$5:$A$300,$J20)=0,1,0))</f>
        <v>0</v>
      </c>
      <c r="AB20" s="32" t="n">
        <f aca="false">IF(AND($F20="原始數據",$S20&lt;&gt;"Active"),1,0)</f>
        <v>0</v>
      </c>
      <c r="AC20" s="32" t="n">
        <f aca="false">IF(AND(ISNUMBER($K20),ISNUMBER($L20),ISNUMBER($Q20)),IF(OR($Q20&lt;MIN($K20,$L20),$Q20&gt;MAX($K20,$L20)),1,0),0)</f>
        <v>0</v>
      </c>
      <c r="AD20" s="32" t="n">
        <f aca="false">IF(AND(ISNUMBER($T20),$P20="高"),IF($T20=3,1,0),0)</f>
        <v>0</v>
      </c>
      <c r="AE20" s="32" t="n">
        <f aca="false">IF($S20="不存在",1,0)</f>
        <v>0</v>
      </c>
      <c r="AF20" s="44" t="str">
        <f aca="false">IF(OR($H20="—",$H20=""),"—",MATCH($H20,IDX_SrcID,0))</f>
        <v>—</v>
      </c>
      <c r="AG20" s="32" t="n">
        <f aca="false">IF(AND($P20="高",OR($AD20=1,$X20=1)),1,0)</f>
        <v>0</v>
      </c>
      <c r="AH20" s="32" t="n">
        <f aca="false">IF(AND($P20="高",$AG20=0,OR($F20&lt;&gt;"原始數據",$T20&lt;&gt;1)),1,0)</f>
        <v>0</v>
      </c>
      <c r="AI20" s="44" t="str">
        <f aca="false">IF(AND($P20="高",ISNUMBER($AF20)),INDEX(IDX_SrcDate,$AF20),"—")</f>
        <v>—</v>
      </c>
      <c r="AJ20" s="32" t="n">
        <f aca="false">IF(AND(ISTEXT($AI20),LEN($AI20)=10),IF(ISNUMBER(VALUE(SUBSTITUTE($AI20,"-",""))),VALUE(SUBSTITUTE($AI20,"-","")),0),0)</f>
        <v>0</v>
      </c>
    </row>
    <row r="21" customFormat="false" ht="15" hidden="false" customHeight="true" outlineLevel="0" collapsed="false">
      <c r="A21" s="30" t="s">
        <v>4567</v>
      </c>
      <c r="B21" s="239" t="s">
        <v>4525</v>
      </c>
      <c r="C21" s="30" t="s">
        <v>4526</v>
      </c>
      <c r="D21" s="30" t="s">
        <v>4568</v>
      </c>
      <c r="E21" s="20" t="s">
        <v>130</v>
      </c>
      <c r="F21" s="30" t="s">
        <v>114</v>
      </c>
      <c r="G21" s="239" t="s">
        <v>1308</v>
      </c>
      <c r="H21" s="30" t="s">
        <v>751</v>
      </c>
      <c r="I21" s="6" t="s">
        <v>751</v>
      </c>
      <c r="J21" s="30" t="s">
        <v>751</v>
      </c>
      <c r="K21" s="239"/>
      <c r="L21" s="239"/>
      <c r="M21" s="30" t="s">
        <v>751</v>
      </c>
      <c r="N21" s="240" t="str">
        <f aca="false">Inputs!$H$14</f>
        <v>v4 約 $350/GPU（$25K/架）</v>
      </c>
      <c r="O21" s="6" t="s">
        <v>751</v>
      </c>
      <c r="P21" s="239" t="s">
        <v>1308</v>
      </c>
      <c r="Q21" s="49" t="n">
        <f aca="false">Inputs!D14</f>
        <v>300</v>
      </c>
      <c r="R21" s="30" t="s">
        <v>751</v>
      </c>
      <c r="S21" s="44" t="str">
        <f aca="false">IF(ISNUMBER($AF21),INDEX(IDX_SrcStat,$AF21),"—")</f>
        <v>—</v>
      </c>
      <c r="T21" s="44" t="str">
        <f aca="false">IF(ISNUMBER($AF21),INDEX(IDX_SrcGrade,$AF21),"—")</f>
        <v>—</v>
      </c>
      <c r="U21" s="44" t="s">
        <v>4531</v>
      </c>
      <c r="V21" s="32" t="n">
        <f aca="false">IF(AND($F21="原始數據",$U21&lt;&gt;"連結 SRC"),1,0)</f>
        <v>0</v>
      </c>
      <c r="W21" s="32" t="n">
        <f aca="false">IF(AND($F21="Analogy",OR($H21="—",$H21="")),1,0)</f>
        <v>0</v>
      </c>
      <c r="X21" s="32" t="n">
        <f aca="false">IF(AND(OR($F21="Analogy",$F21="Assumed"),$G21&lt;&gt;"低",$G21&lt;&gt;"高",NOT(ISNUMBER($K21)),NOT(ISNUMBER($L21)),OR($M21="—",$M21="")),1,0)</f>
        <v>0</v>
      </c>
      <c r="Y21" s="32" t="n">
        <f aca="false">IF(AND(OR($F21="Analogy",$F21="Assumed",$F21="Derived（待改公式）",$F21="Derived（公式）"),OR($N21="—",$N21="",$N21=0)),1,0)</f>
        <v>0</v>
      </c>
      <c r="Z21" s="32" t="n">
        <f aca="false">IF(AND($F21="Decision",OR($J21="—",$J21="")),1,0)</f>
        <v>0</v>
      </c>
      <c r="AA21" s="33" t="n">
        <f aca="false">IF(OR($J21="—",$J21=""),0,IF(COUNTIF(Decisions!$A$5:$A$300,$J21)=0,1,0))</f>
        <v>0</v>
      </c>
      <c r="AB21" s="32" t="n">
        <f aca="false">IF(AND($F21="原始數據",$S21&lt;&gt;"Active"),1,0)</f>
        <v>0</v>
      </c>
      <c r="AC21" s="32" t="n">
        <f aca="false">IF(AND(ISNUMBER($K21),ISNUMBER($L21),ISNUMBER($Q21)),IF(OR($Q21&lt;MIN($K21,$L21),$Q21&gt;MAX($K21,$L21)),1,0),0)</f>
        <v>0</v>
      </c>
      <c r="AD21" s="32" t="n">
        <f aca="false">IF(AND(ISNUMBER($T21),$P21="高"),IF($T21=3,1,0),0)</f>
        <v>0</v>
      </c>
      <c r="AE21" s="32" t="n">
        <f aca="false">IF($S21="不存在",1,0)</f>
        <v>0</v>
      </c>
      <c r="AF21" s="44" t="str">
        <f aca="false">IF(OR($H21="—",$H21=""),"—",MATCH($H21,IDX_SrcID,0))</f>
        <v>—</v>
      </c>
      <c r="AG21" s="32" t="n">
        <f aca="false">IF(AND($P21="高",OR($AD21=1,$X21=1)),1,0)</f>
        <v>0</v>
      </c>
      <c r="AH21" s="32" t="n">
        <f aca="false">IF(AND($P21="高",$AG21=0,OR($F21&lt;&gt;"原始數據",$T21&lt;&gt;1)),1,0)</f>
        <v>0</v>
      </c>
      <c r="AI21" s="44" t="str">
        <f aca="false">IF(AND($P21="高",ISNUMBER($AF21)),INDEX(IDX_SrcDate,$AF21),"—")</f>
        <v>—</v>
      </c>
      <c r="AJ21" s="32" t="n">
        <f aca="false">IF(AND(ISTEXT($AI21),LEN($AI21)=10),IF(ISNUMBER(VALUE(SUBSTITUTE($AI21,"-",""))),VALUE(SUBSTITUTE($AI21,"-","")),0),0)</f>
        <v>0</v>
      </c>
    </row>
    <row r="22" customFormat="false" ht="15" hidden="false" customHeight="true" outlineLevel="0" collapsed="false">
      <c r="A22" s="30" t="s">
        <v>4569</v>
      </c>
      <c r="B22" s="239" t="s">
        <v>4525</v>
      </c>
      <c r="C22" s="30" t="s">
        <v>4526</v>
      </c>
      <c r="D22" s="30" t="s">
        <v>4570</v>
      </c>
      <c r="E22" s="20" t="s">
        <v>130</v>
      </c>
      <c r="F22" s="30" t="s">
        <v>114</v>
      </c>
      <c r="G22" s="239" t="s">
        <v>1309</v>
      </c>
      <c r="H22" s="30" t="s">
        <v>751</v>
      </c>
      <c r="I22" s="6" t="s">
        <v>751</v>
      </c>
      <c r="J22" s="30" t="s">
        <v>751</v>
      </c>
      <c r="K22" s="239"/>
      <c r="L22" s="239"/>
      <c r="M22" s="30" t="s">
        <v>751</v>
      </c>
      <c r="N22" s="240" t="str">
        <f aca="false">Inputs!$H$14</f>
        <v>v4 約 $350/GPU（$25K/架）</v>
      </c>
      <c r="O22" s="6" t="s">
        <v>751</v>
      </c>
      <c r="P22" s="239" t="s">
        <v>1308</v>
      </c>
      <c r="Q22" s="49" t="n">
        <f aca="false">Inputs!F14</f>
        <v>800</v>
      </c>
      <c r="R22" s="30" t="s">
        <v>751</v>
      </c>
      <c r="S22" s="44" t="str">
        <f aca="false">IF(ISNUMBER($AF22),INDEX(IDX_SrcStat,$AF22),"—")</f>
        <v>—</v>
      </c>
      <c r="T22" s="44" t="str">
        <f aca="false">IF(ISNUMBER($AF22),INDEX(IDX_SrcGrade,$AF22),"—")</f>
        <v>—</v>
      </c>
      <c r="U22" s="44" t="s">
        <v>4531</v>
      </c>
      <c r="V22" s="32" t="n">
        <f aca="false">IF(AND($F22="原始數據",$U22&lt;&gt;"連結 SRC"),1,0)</f>
        <v>0</v>
      </c>
      <c r="W22" s="32" t="n">
        <f aca="false">IF(AND($F22="Analogy",OR($H22="—",$H22="")),1,0)</f>
        <v>0</v>
      </c>
      <c r="X22" s="32" t="n">
        <f aca="false">IF(AND(OR($F22="Analogy",$F22="Assumed"),$G22&lt;&gt;"低",$G22&lt;&gt;"高",NOT(ISNUMBER($K22)),NOT(ISNUMBER($L22)),OR($M22="—",$M22="")),1,0)</f>
        <v>0</v>
      </c>
      <c r="Y22" s="32" t="n">
        <f aca="false">IF(AND(OR($F22="Analogy",$F22="Assumed",$F22="Derived（待改公式）",$F22="Derived（公式）"),OR($N22="—",$N22="",$N22=0)),1,0)</f>
        <v>0</v>
      </c>
      <c r="Z22" s="32" t="n">
        <f aca="false">IF(AND($F22="Decision",OR($J22="—",$J22="")),1,0)</f>
        <v>0</v>
      </c>
      <c r="AA22" s="33" t="n">
        <f aca="false">IF(OR($J22="—",$J22=""),0,IF(COUNTIF(Decisions!$A$5:$A$300,$J22)=0,1,0))</f>
        <v>0</v>
      </c>
      <c r="AB22" s="32" t="n">
        <f aca="false">IF(AND($F22="原始數據",$S22&lt;&gt;"Active"),1,0)</f>
        <v>0</v>
      </c>
      <c r="AC22" s="32" t="n">
        <f aca="false">IF(AND(ISNUMBER($K22),ISNUMBER($L22),ISNUMBER($Q22)),IF(OR($Q22&lt;MIN($K22,$L22),$Q22&gt;MAX($K22,$L22)),1,0),0)</f>
        <v>0</v>
      </c>
      <c r="AD22" s="32" t="n">
        <f aca="false">IF(AND(ISNUMBER($T22),$P22="高"),IF($T22=3,1,0),0)</f>
        <v>0</v>
      </c>
      <c r="AE22" s="32" t="n">
        <f aca="false">IF($S22="不存在",1,0)</f>
        <v>0</v>
      </c>
      <c r="AF22" s="44" t="str">
        <f aca="false">IF(OR($H22="—",$H22=""),"—",MATCH($H22,IDX_SrcID,0))</f>
        <v>—</v>
      </c>
      <c r="AG22" s="32" t="n">
        <f aca="false">IF(AND($P22="高",OR($AD22=1,$X22=1)),1,0)</f>
        <v>0</v>
      </c>
      <c r="AH22" s="32" t="n">
        <f aca="false">IF(AND($P22="高",$AG22=0,OR($F22&lt;&gt;"原始數據",$T22&lt;&gt;1)),1,0)</f>
        <v>0</v>
      </c>
      <c r="AI22" s="44" t="str">
        <f aca="false">IF(AND($P22="高",ISNUMBER($AF22)),INDEX(IDX_SrcDate,$AF22),"—")</f>
        <v>—</v>
      </c>
      <c r="AJ22" s="32" t="n">
        <f aca="false">IF(AND(ISTEXT($AI22),LEN($AI22)=10),IF(ISNUMBER(VALUE(SUBSTITUTE($AI22,"-",""))),VALUE(SUBSTITUTE($AI22,"-","")),0),0)</f>
        <v>0</v>
      </c>
    </row>
    <row r="23" customFormat="false" ht="15" hidden="false" customHeight="true" outlineLevel="0" collapsed="false">
      <c r="A23" s="30" t="s">
        <v>4571</v>
      </c>
      <c r="B23" s="239" t="s">
        <v>4525</v>
      </c>
      <c r="C23" s="30" t="s">
        <v>4526</v>
      </c>
      <c r="D23" s="30" t="s">
        <v>4572</v>
      </c>
      <c r="E23" s="20" t="s">
        <v>134</v>
      </c>
      <c r="F23" s="30" t="s">
        <v>114</v>
      </c>
      <c r="G23" s="239" t="s">
        <v>97</v>
      </c>
      <c r="H23" s="30" t="s">
        <v>751</v>
      </c>
      <c r="I23" s="6" t="s">
        <v>751</v>
      </c>
      <c r="J23" s="30" t="s">
        <v>751</v>
      </c>
      <c r="K23" s="192" t="n">
        <f aca="false">Inputs!$D$16</f>
        <v>0.02</v>
      </c>
      <c r="L23" s="192" t="n">
        <f aca="false">Inputs!$F$16</f>
        <v>0.02</v>
      </c>
      <c r="M23" s="30" t="s">
        <v>751</v>
      </c>
      <c r="N23" s="240" t="str">
        <f aca="false">Inputs!$H$16</f>
        <v>v4：100 英畝 × $200K／GW</v>
      </c>
      <c r="O23" s="6" t="s">
        <v>751</v>
      </c>
      <c r="P23" s="239" t="s">
        <v>1308</v>
      </c>
      <c r="Q23" s="192" t="n">
        <f aca="false">Inputs!E16</f>
        <v>0.02</v>
      </c>
      <c r="R23" s="30" t="s">
        <v>751</v>
      </c>
      <c r="S23" s="44" t="str">
        <f aca="false">IF(ISNUMBER($AF23),INDEX(IDX_SrcStat,$AF23),"—")</f>
        <v>—</v>
      </c>
      <c r="T23" s="44" t="str">
        <f aca="false">IF(ISNUMBER($AF23),INDEX(IDX_SrcGrade,$AF23),"—")</f>
        <v>—</v>
      </c>
      <c r="U23" s="44" t="s">
        <v>4531</v>
      </c>
      <c r="V23" s="32" t="n">
        <f aca="false">IF(AND($F23="原始數據",$U23&lt;&gt;"連結 SRC"),1,0)</f>
        <v>0</v>
      </c>
      <c r="W23" s="32" t="n">
        <f aca="false">IF(AND($F23="Analogy",OR($H23="—",$H23="")),1,0)</f>
        <v>0</v>
      </c>
      <c r="X23" s="32" t="n">
        <f aca="false">IF(AND(OR($F23="Analogy",$F23="Assumed"),$G23&lt;&gt;"低",$G23&lt;&gt;"高",NOT(ISNUMBER($K23)),NOT(ISNUMBER($L23)),OR($M23="—",$M23="")),1,0)</f>
        <v>0</v>
      </c>
      <c r="Y23" s="32" t="n">
        <f aca="false">IF(AND(OR($F23="Analogy",$F23="Assumed",$F23="Derived（待改公式）",$F23="Derived（公式）"),OR($N23="—",$N23="",$N23=0)),1,0)</f>
        <v>0</v>
      </c>
      <c r="Z23" s="32" t="n">
        <f aca="false">IF(AND($F23="Decision",OR($J23="—",$J23="")),1,0)</f>
        <v>0</v>
      </c>
      <c r="AA23" s="33" t="n">
        <f aca="false">IF(OR($J23="—",$J23=""),0,IF(COUNTIF(Decisions!$A$5:$A$300,$J23)=0,1,0))</f>
        <v>0</v>
      </c>
      <c r="AB23" s="32" t="n">
        <f aca="false">IF(AND($F23="原始數據",$S23&lt;&gt;"Active"),1,0)</f>
        <v>0</v>
      </c>
      <c r="AC23" s="32" t="n">
        <f aca="false">IF(AND(ISNUMBER($K23),ISNUMBER($L23),ISNUMBER($Q23)),IF(OR($Q23&lt;MIN($K23,$L23),$Q23&gt;MAX($K23,$L23)),1,0),0)</f>
        <v>0</v>
      </c>
      <c r="AD23" s="32" t="n">
        <f aca="false">IF(AND(ISNUMBER($T23),$P23="高"),IF($T23=3,1,0),0)</f>
        <v>0</v>
      </c>
      <c r="AE23" s="32" t="n">
        <f aca="false">IF($S23="不存在",1,0)</f>
        <v>0</v>
      </c>
      <c r="AF23" s="44" t="str">
        <f aca="false">IF(OR($H23="—",$H23=""),"—",MATCH($H23,IDX_SrcID,0))</f>
        <v>—</v>
      </c>
      <c r="AG23" s="32" t="n">
        <f aca="false">IF(AND($P23="高",OR($AD23=1,$X23=1)),1,0)</f>
        <v>0</v>
      </c>
      <c r="AH23" s="32" t="n">
        <f aca="false">IF(AND($P23="高",$AG23=0,OR($F23&lt;&gt;"原始數據",$T23&lt;&gt;1)),1,0)</f>
        <v>0</v>
      </c>
      <c r="AI23" s="44" t="str">
        <f aca="false">IF(AND($P23="高",ISNUMBER($AF23)),INDEX(IDX_SrcDate,$AF23),"—")</f>
        <v>—</v>
      </c>
      <c r="AJ23" s="32" t="n">
        <f aca="false">IF(AND(ISTEXT($AI23),LEN($AI23)=10),IF(ISNUMBER(VALUE(SUBSTITUTE($AI23,"-",""))),VALUE(SUBSTITUTE($AI23,"-","")),0),0)</f>
        <v>0</v>
      </c>
    </row>
    <row r="24" customFormat="false" ht="15" hidden="false" customHeight="true" outlineLevel="0" collapsed="false">
      <c r="A24" s="30" t="s">
        <v>4573</v>
      </c>
      <c r="B24" s="239" t="s">
        <v>4525</v>
      </c>
      <c r="C24" s="30" t="s">
        <v>4526</v>
      </c>
      <c r="D24" s="30" t="s">
        <v>4574</v>
      </c>
      <c r="E24" s="20" t="s">
        <v>134</v>
      </c>
      <c r="F24" s="30" t="s">
        <v>114</v>
      </c>
      <c r="G24" s="239" t="s">
        <v>1308</v>
      </c>
      <c r="H24" s="30" t="s">
        <v>751</v>
      </c>
      <c r="I24" s="6" t="s">
        <v>751</v>
      </c>
      <c r="J24" s="30" t="s">
        <v>751</v>
      </c>
      <c r="K24" s="239"/>
      <c r="L24" s="239"/>
      <c r="M24" s="30" t="s">
        <v>751</v>
      </c>
      <c r="N24" s="240" t="str">
        <f aca="false">Inputs!$H$16</f>
        <v>v4：100 英畝 × $200K／GW</v>
      </c>
      <c r="O24" s="6" t="s">
        <v>751</v>
      </c>
      <c r="P24" s="239" t="s">
        <v>1308</v>
      </c>
      <c r="Q24" s="192" t="n">
        <f aca="false">Inputs!D16</f>
        <v>0.02</v>
      </c>
      <c r="R24" s="30" t="s">
        <v>751</v>
      </c>
      <c r="S24" s="44" t="str">
        <f aca="false">IF(ISNUMBER($AF24),INDEX(IDX_SrcStat,$AF24),"—")</f>
        <v>—</v>
      </c>
      <c r="T24" s="44" t="str">
        <f aca="false">IF(ISNUMBER($AF24),INDEX(IDX_SrcGrade,$AF24),"—")</f>
        <v>—</v>
      </c>
      <c r="U24" s="44" t="s">
        <v>4531</v>
      </c>
      <c r="V24" s="32" t="n">
        <f aca="false">IF(AND($F24="原始數據",$U24&lt;&gt;"連結 SRC"),1,0)</f>
        <v>0</v>
      </c>
      <c r="W24" s="32" t="n">
        <f aca="false">IF(AND($F24="Analogy",OR($H24="—",$H24="")),1,0)</f>
        <v>0</v>
      </c>
      <c r="X24" s="32" t="n">
        <f aca="false">IF(AND(OR($F24="Analogy",$F24="Assumed"),$G24&lt;&gt;"低",$G24&lt;&gt;"高",NOT(ISNUMBER($K24)),NOT(ISNUMBER($L24)),OR($M24="—",$M24="")),1,0)</f>
        <v>0</v>
      </c>
      <c r="Y24" s="32" t="n">
        <f aca="false">IF(AND(OR($F24="Analogy",$F24="Assumed",$F24="Derived（待改公式）",$F24="Derived（公式）"),OR($N24="—",$N24="",$N24=0)),1,0)</f>
        <v>0</v>
      </c>
      <c r="Z24" s="32" t="n">
        <f aca="false">IF(AND($F24="Decision",OR($J24="—",$J24="")),1,0)</f>
        <v>0</v>
      </c>
      <c r="AA24" s="33" t="n">
        <f aca="false">IF(OR($J24="—",$J24=""),0,IF(COUNTIF(Decisions!$A$5:$A$300,$J24)=0,1,0))</f>
        <v>0</v>
      </c>
      <c r="AB24" s="32" t="n">
        <f aca="false">IF(AND($F24="原始數據",$S24&lt;&gt;"Active"),1,0)</f>
        <v>0</v>
      </c>
      <c r="AC24" s="32" t="n">
        <f aca="false">IF(AND(ISNUMBER($K24),ISNUMBER($L24),ISNUMBER($Q24)),IF(OR($Q24&lt;MIN($K24,$L24),$Q24&gt;MAX($K24,$L24)),1,0),0)</f>
        <v>0</v>
      </c>
      <c r="AD24" s="32" t="n">
        <f aca="false">IF(AND(ISNUMBER($T24),$P24="高"),IF($T24=3,1,0),0)</f>
        <v>0</v>
      </c>
      <c r="AE24" s="32" t="n">
        <f aca="false">IF($S24="不存在",1,0)</f>
        <v>0</v>
      </c>
      <c r="AF24" s="44" t="str">
        <f aca="false">IF(OR($H24="—",$H24=""),"—",MATCH($H24,IDX_SrcID,0))</f>
        <v>—</v>
      </c>
      <c r="AG24" s="32" t="n">
        <f aca="false">IF(AND($P24="高",OR($AD24=1,$X24=1)),1,0)</f>
        <v>0</v>
      </c>
      <c r="AH24" s="32" t="n">
        <f aca="false">IF(AND($P24="高",$AG24=0,OR($F24&lt;&gt;"原始數據",$T24&lt;&gt;1)),1,0)</f>
        <v>0</v>
      </c>
      <c r="AI24" s="44" t="str">
        <f aca="false">IF(AND($P24="高",ISNUMBER($AF24)),INDEX(IDX_SrcDate,$AF24),"—")</f>
        <v>—</v>
      </c>
      <c r="AJ24" s="32" t="n">
        <f aca="false">IF(AND(ISTEXT($AI24),LEN($AI24)=10),IF(ISNUMBER(VALUE(SUBSTITUTE($AI24,"-",""))),VALUE(SUBSTITUTE($AI24,"-","")),0),0)</f>
        <v>0</v>
      </c>
    </row>
    <row r="25" customFormat="false" ht="15" hidden="false" customHeight="true" outlineLevel="0" collapsed="false">
      <c r="A25" s="30" t="s">
        <v>4575</v>
      </c>
      <c r="B25" s="239" t="s">
        <v>4525</v>
      </c>
      <c r="C25" s="30" t="s">
        <v>4526</v>
      </c>
      <c r="D25" s="30" t="s">
        <v>4576</v>
      </c>
      <c r="E25" s="20" t="s">
        <v>134</v>
      </c>
      <c r="F25" s="30" t="s">
        <v>114</v>
      </c>
      <c r="G25" s="239" t="s">
        <v>1309</v>
      </c>
      <c r="H25" s="30" t="s">
        <v>751</v>
      </c>
      <c r="I25" s="6" t="s">
        <v>751</v>
      </c>
      <c r="J25" s="30" t="s">
        <v>751</v>
      </c>
      <c r="K25" s="239"/>
      <c r="L25" s="239"/>
      <c r="M25" s="30" t="s">
        <v>751</v>
      </c>
      <c r="N25" s="240" t="str">
        <f aca="false">Inputs!$H$16</f>
        <v>v4：100 英畝 × $200K／GW</v>
      </c>
      <c r="O25" s="6" t="s">
        <v>751</v>
      </c>
      <c r="P25" s="239" t="s">
        <v>1308</v>
      </c>
      <c r="Q25" s="192" t="n">
        <f aca="false">Inputs!F16</f>
        <v>0.02</v>
      </c>
      <c r="R25" s="30" t="s">
        <v>751</v>
      </c>
      <c r="S25" s="44" t="str">
        <f aca="false">IF(ISNUMBER($AF25),INDEX(IDX_SrcStat,$AF25),"—")</f>
        <v>—</v>
      </c>
      <c r="T25" s="44" t="str">
        <f aca="false">IF(ISNUMBER($AF25),INDEX(IDX_SrcGrade,$AF25),"—")</f>
        <v>—</v>
      </c>
      <c r="U25" s="44" t="s">
        <v>4531</v>
      </c>
      <c r="V25" s="32" t="n">
        <f aca="false">IF(AND($F25="原始數據",$U25&lt;&gt;"連結 SRC"),1,0)</f>
        <v>0</v>
      </c>
      <c r="W25" s="32" t="n">
        <f aca="false">IF(AND($F25="Analogy",OR($H25="—",$H25="")),1,0)</f>
        <v>0</v>
      </c>
      <c r="X25" s="32" t="n">
        <f aca="false">IF(AND(OR($F25="Analogy",$F25="Assumed"),$G25&lt;&gt;"低",$G25&lt;&gt;"高",NOT(ISNUMBER($K25)),NOT(ISNUMBER($L25)),OR($M25="—",$M25="")),1,0)</f>
        <v>0</v>
      </c>
      <c r="Y25" s="32" t="n">
        <f aca="false">IF(AND(OR($F25="Analogy",$F25="Assumed",$F25="Derived（待改公式）",$F25="Derived（公式）"),OR($N25="—",$N25="",$N25=0)),1,0)</f>
        <v>0</v>
      </c>
      <c r="Z25" s="32" t="n">
        <f aca="false">IF(AND($F25="Decision",OR($J25="—",$J25="")),1,0)</f>
        <v>0</v>
      </c>
      <c r="AA25" s="33" t="n">
        <f aca="false">IF(OR($J25="—",$J25=""),0,IF(COUNTIF(Decisions!$A$5:$A$300,$J25)=0,1,0))</f>
        <v>0</v>
      </c>
      <c r="AB25" s="32" t="n">
        <f aca="false">IF(AND($F25="原始數據",$S25&lt;&gt;"Active"),1,0)</f>
        <v>0</v>
      </c>
      <c r="AC25" s="32" t="n">
        <f aca="false">IF(AND(ISNUMBER($K25),ISNUMBER($L25),ISNUMBER($Q25)),IF(OR($Q25&lt;MIN($K25,$L25),$Q25&gt;MAX($K25,$L25)),1,0),0)</f>
        <v>0</v>
      </c>
      <c r="AD25" s="32" t="n">
        <f aca="false">IF(AND(ISNUMBER($T25),$P25="高"),IF($T25=3,1,0),0)</f>
        <v>0</v>
      </c>
      <c r="AE25" s="32" t="n">
        <f aca="false">IF($S25="不存在",1,0)</f>
        <v>0</v>
      </c>
      <c r="AF25" s="44" t="str">
        <f aca="false">IF(OR($H25="—",$H25=""),"—",MATCH($H25,IDX_SrcID,0))</f>
        <v>—</v>
      </c>
      <c r="AG25" s="32" t="n">
        <f aca="false">IF(AND($P25="高",OR($AD25=1,$X25=1)),1,0)</f>
        <v>0</v>
      </c>
      <c r="AH25" s="32" t="n">
        <f aca="false">IF(AND($P25="高",$AG25=0,OR($F25&lt;&gt;"原始數據",$T25&lt;&gt;1)),1,0)</f>
        <v>0</v>
      </c>
      <c r="AI25" s="44" t="str">
        <f aca="false">IF(AND($P25="高",ISNUMBER($AF25)),INDEX(IDX_SrcDate,$AF25),"—")</f>
        <v>—</v>
      </c>
      <c r="AJ25" s="32" t="n">
        <f aca="false">IF(AND(ISTEXT($AI25),LEN($AI25)=10),IF(ISNUMBER(VALUE(SUBSTITUTE($AI25,"-",""))),VALUE(SUBSTITUTE($AI25,"-","")),0),0)</f>
        <v>0</v>
      </c>
    </row>
    <row r="26" customFormat="false" ht="15" hidden="false" customHeight="true" outlineLevel="0" collapsed="false">
      <c r="A26" s="30" t="s">
        <v>4577</v>
      </c>
      <c r="B26" s="239" t="s">
        <v>4525</v>
      </c>
      <c r="C26" s="30" t="s">
        <v>4526</v>
      </c>
      <c r="D26" s="30" t="s">
        <v>4578</v>
      </c>
      <c r="E26" s="20" t="s">
        <v>137</v>
      </c>
      <c r="F26" s="30" t="s">
        <v>114</v>
      </c>
      <c r="G26" s="239" t="s">
        <v>97</v>
      </c>
      <c r="H26" s="30" t="s">
        <v>751</v>
      </c>
      <c r="I26" s="6" t="s">
        <v>751</v>
      </c>
      <c r="J26" s="30" t="s">
        <v>751</v>
      </c>
      <c r="K26" s="192" t="n">
        <f aca="false">Inputs!$D$17</f>
        <v>3</v>
      </c>
      <c r="L26" s="192" t="n">
        <f aca="false">Inputs!$F$17</f>
        <v>4.5</v>
      </c>
      <c r="M26" s="30" t="s">
        <v>751</v>
      </c>
      <c r="N26" s="240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6" s="6" t="s">
        <v>751</v>
      </c>
      <c r="P26" s="239" t="s">
        <v>1308</v>
      </c>
      <c r="Q26" s="192" t="n">
        <f aca="false">Inputs!E17</f>
        <v>3.6</v>
      </c>
      <c r="R26" s="30" t="s">
        <v>751</v>
      </c>
      <c r="S26" s="44" t="str">
        <f aca="false">IF(ISNUMBER($AF26),INDEX(IDX_SrcStat,$AF26),"—")</f>
        <v>—</v>
      </c>
      <c r="T26" s="44" t="str">
        <f aca="false">IF(ISNUMBER($AF26),INDEX(IDX_SrcGrade,$AF26),"—")</f>
        <v>—</v>
      </c>
      <c r="U26" s="44" t="s">
        <v>4531</v>
      </c>
      <c r="V26" s="32" t="n">
        <f aca="false">IF(AND($F26="原始數據",$U26&lt;&gt;"連結 SRC"),1,0)</f>
        <v>0</v>
      </c>
      <c r="W26" s="32" t="n">
        <f aca="false">IF(AND($F26="Analogy",OR($H26="—",$H26="")),1,0)</f>
        <v>0</v>
      </c>
      <c r="X26" s="32" t="n">
        <f aca="false">IF(AND(OR($F26="Analogy",$F26="Assumed"),$G26&lt;&gt;"低",$G26&lt;&gt;"高",NOT(ISNUMBER($K26)),NOT(ISNUMBER($L26)),OR($M26="—",$M26="")),1,0)</f>
        <v>0</v>
      </c>
      <c r="Y26" s="32" t="n">
        <f aca="false">IF(AND(OR($F26="Analogy",$F26="Assumed",$F26="Derived（待改公式）",$F26="Derived（公式）"),OR($N26="—",$N26="",$N26=0)),1,0)</f>
        <v>0</v>
      </c>
      <c r="Z26" s="32" t="n">
        <f aca="false">IF(AND($F26="Decision",OR($J26="—",$J26="")),1,0)</f>
        <v>0</v>
      </c>
      <c r="AA26" s="33" t="n">
        <f aca="false">IF(OR($J26="—",$J26=""),0,IF(COUNTIF(Decisions!$A$5:$A$300,$J26)=0,1,0))</f>
        <v>0</v>
      </c>
      <c r="AB26" s="32" t="n">
        <f aca="false">IF(AND($F26="原始數據",$S26&lt;&gt;"Active"),1,0)</f>
        <v>0</v>
      </c>
      <c r="AC26" s="32" t="n">
        <f aca="false">IF(AND(ISNUMBER($K26),ISNUMBER($L26),ISNUMBER($Q26)),IF(OR($Q26&lt;MIN($K26,$L26),$Q26&gt;MAX($K26,$L26)),1,0),0)</f>
        <v>0</v>
      </c>
      <c r="AD26" s="32" t="n">
        <f aca="false">IF(AND(ISNUMBER($T26),$P26="高"),IF($T26=3,1,0),0)</f>
        <v>0</v>
      </c>
      <c r="AE26" s="32" t="n">
        <f aca="false">IF($S26="不存在",1,0)</f>
        <v>0</v>
      </c>
      <c r="AF26" s="44" t="str">
        <f aca="false">IF(OR($H26="—",$H26=""),"—",MATCH($H26,IDX_SrcID,0))</f>
        <v>—</v>
      </c>
      <c r="AG26" s="32" t="n">
        <f aca="false">IF(AND($P26="高",OR($AD26=1,$X26=1)),1,0)</f>
        <v>0</v>
      </c>
      <c r="AH26" s="32" t="n">
        <f aca="false">IF(AND($P26="高",$AG26=0,OR($F26&lt;&gt;"原始數據",$T26&lt;&gt;1)),1,0)</f>
        <v>0</v>
      </c>
      <c r="AI26" s="44" t="str">
        <f aca="false">IF(AND($P26="高",ISNUMBER($AF26)),INDEX(IDX_SrcDate,$AF26),"—")</f>
        <v>—</v>
      </c>
      <c r="AJ26" s="32" t="n">
        <f aca="false">IF(AND(ISTEXT($AI26),LEN($AI26)=10),IF(ISNUMBER(VALUE(SUBSTITUTE($AI26,"-",""))),VALUE(SUBSTITUTE($AI26,"-","")),0),0)</f>
        <v>0</v>
      </c>
    </row>
    <row r="27" customFormat="false" ht="15" hidden="false" customHeight="true" outlineLevel="0" collapsed="false">
      <c r="A27" s="30" t="s">
        <v>4579</v>
      </c>
      <c r="B27" s="239" t="s">
        <v>4525</v>
      </c>
      <c r="C27" s="30" t="s">
        <v>4526</v>
      </c>
      <c r="D27" s="30" t="s">
        <v>4580</v>
      </c>
      <c r="E27" s="20" t="s">
        <v>137</v>
      </c>
      <c r="F27" s="30" t="s">
        <v>114</v>
      </c>
      <c r="G27" s="239" t="s">
        <v>1308</v>
      </c>
      <c r="H27" s="30" t="s">
        <v>751</v>
      </c>
      <c r="I27" s="6" t="s">
        <v>751</v>
      </c>
      <c r="J27" s="30" t="s">
        <v>751</v>
      </c>
      <c r="K27" s="239"/>
      <c r="L27" s="239"/>
      <c r="M27" s="30" t="s">
        <v>751</v>
      </c>
      <c r="N27" s="240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7" s="6" t="s">
        <v>751</v>
      </c>
      <c r="P27" s="239" t="s">
        <v>1308</v>
      </c>
      <c r="Q27" s="192" t="n">
        <f aca="false">Inputs!D17</f>
        <v>3</v>
      </c>
      <c r="R27" s="30" t="s">
        <v>751</v>
      </c>
      <c r="S27" s="44" t="str">
        <f aca="false">IF(ISNUMBER($AF27),INDEX(IDX_SrcStat,$AF27),"—")</f>
        <v>—</v>
      </c>
      <c r="T27" s="44" t="str">
        <f aca="false">IF(ISNUMBER($AF27),INDEX(IDX_SrcGrade,$AF27),"—")</f>
        <v>—</v>
      </c>
      <c r="U27" s="44" t="s">
        <v>4531</v>
      </c>
      <c r="V27" s="32" t="n">
        <f aca="false">IF(AND($F27="原始數據",$U27&lt;&gt;"連結 SRC"),1,0)</f>
        <v>0</v>
      </c>
      <c r="W27" s="32" t="n">
        <f aca="false">IF(AND($F27="Analogy",OR($H27="—",$H27="")),1,0)</f>
        <v>0</v>
      </c>
      <c r="X27" s="32" t="n">
        <f aca="false">IF(AND(OR($F27="Analogy",$F27="Assumed"),$G27&lt;&gt;"低",$G27&lt;&gt;"高",NOT(ISNUMBER($K27)),NOT(ISNUMBER($L27)),OR($M27="—",$M27="")),1,0)</f>
        <v>0</v>
      </c>
      <c r="Y27" s="32" t="n">
        <f aca="false">IF(AND(OR($F27="Analogy",$F27="Assumed",$F27="Derived（待改公式）",$F27="Derived（公式）"),OR($N27="—",$N27="",$N27=0)),1,0)</f>
        <v>0</v>
      </c>
      <c r="Z27" s="32" t="n">
        <f aca="false">IF(AND($F27="Decision",OR($J27="—",$J27="")),1,0)</f>
        <v>0</v>
      </c>
      <c r="AA27" s="33" t="n">
        <f aca="false">IF(OR($J27="—",$J27=""),0,IF(COUNTIF(Decisions!$A$5:$A$300,$J27)=0,1,0))</f>
        <v>0</v>
      </c>
      <c r="AB27" s="32" t="n">
        <f aca="false">IF(AND($F27="原始數據",$S27&lt;&gt;"Active"),1,0)</f>
        <v>0</v>
      </c>
      <c r="AC27" s="32" t="n">
        <f aca="false">IF(AND(ISNUMBER($K27),ISNUMBER($L27),ISNUMBER($Q27)),IF(OR($Q27&lt;MIN($K27,$L27),$Q27&gt;MAX($K27,$L27)),1,0),0)</f>
        <v>0</v>
      </c>
      <c r="AD27" s="32" t="n">
        <f aca="false">IF(AND(ISNUMBER($T27),$P27="高"),IF($T27=3,1,0),0)</f>
        <v>0</v>
      </c>
      <c r="AE27" s="32" t="n">
        <f aca="false">IF($S27="不存在",1,0)</f>
        <v>0</v>
      </c>
      <c r="AF27" s="44" t="str">
        <f aca="false">IF(OR($H27="—",$H27=""),"—",MATCH($H27,IDX_SrcID,0))</f>
        <v>—</v>
      </c>
      <c r="AG27" s="32" t="n">
        <f aca="false">IF(AND($P27="高",OR($AD27=1,$X27=1)),1,0)</f>
        <v>0</v>
      </c>
      <c r="AH27" s="32" t="n">
        <f aca="false">IF(AND($P27="高",$AG27=0,OR($F27&lt;&gt;"原始數據",$T27&lt;&gt;1)),1,0)</f>
        <v>0</v>
      </c>
      <c r="AI27" s="44" t="str">
        <f aca="false">IF(AND($P27="高",ISNUMBER($AF27)),INDEX(IDX_SrcDate,$AF27),"—")</f>
        <v>—</v>
      </c>
      <c r="AJ27" s="32" t="n">
        <f aca="false">IF(AND(ISTEXT($AI27),LEN($AI27)=10),IF(ISNUMBER(VALUE(SUBSTITUTE($AI27,"-",""))),VALUE(SUBSTITUTE($AI27,"-","")),0),0)</f>
        <v>0</v>
      </c>
    </row>
    <row r="28" customFormat="false" ht="15" hidden="false" customHeight="true" outlineLevel="0" collapsed="false">
      <c r="A28" s="30" t="s">
        <v>4581</v>
      </c>
      <c r="B28" s="239" t="s">
        <v>4525</v>
      </c>
      <c r="C28" s="30" t="s">
        <v>4526</v>
      </c>
      <c r="D28" s="30" t="s">
        <v>4582</v>
      </c>
      <c r="E28" s="20" t="s">
        <v>137</v>
      </c>
      <c r="F28" s="30" t="s">
        <v>114</v>
      </c>
      <c r="G28" s="239" t="s">
        <v>1309</v>
      </c>
      <c r="H28" s="30" t="s">
        <v>751</v>
      </c>
      <c r="I28" s="6" t="s">
        <v>751</v>
      </c>
      <c r="J28" s="30" t="s">
        <v>751</v>
      </c>
      <c r="K28" s="239"/>
      <c r="L28" s="239"/>
      <c r="M28" s="30" t="s">
        <v>751</v>
      </c>
      <c r="N28" s="240" t="str">
        <f aca="false">Inputs!$H$17&amp;" ｜補充旗標（IF 全欄分段，非分段依據）：中"</f>
        <v>分項為假設；總額以 JLL 校準（S12） ｜各世代同值；建物造價未分氣冷 Hopper。3A Q6a：超大規模業者 1.10–1.17、colo 1.4–1.6；影響 m_fleet ≤ ±1.3%（稽核 2，Y4）。 ｜補充旗標（IF 全欄分段，非分段依據）：中</v>
      </c>
      <c r="O28" s="6" t="s">
        <v>751</v>
      </c>
      <c r="P28" s="239" t="s">
        <v>1308</v>
      </c>
      <c r="Q28" s="192" t="n">
        <f aca="false">Inputs!F17</f>
        <v>4.5</v>
      </c>
      <c r="R28" s="30" t="s">
        <v>751</v>
      </c>
      <c r="S28" s="44" t="str">
        <f aca="false">IF(ISNUMBER($AF28),INDEX(IDX_SrcStat,$AF28),"—")</f>
        <v>—</v>
      </c>
      <c r="T28" s="44" t="str">
        <f aca="false">IF(ISNUMBER($AF28),INDEX(IDX_SrcGrade,$AF28),"—")</f>
        <v>—</v>
      </c>
      <c r="U28" s="44" t="s">
        <v>4531</v>
      </c>
      <c r="V28" s="32" t="n">
        <f aca="false">IF(AND($F28="原始數據",$U28&lt;&gt;"連結 SRC"),1,0)</f>
        <v>0</v>
      </c>
      <c r="W28" s="32" t="n">
        <f aca="false">IF(AND($F28="Analogy",OR($H28="—",$H28="")),1,0)</f>
        <v>0</v>
      </c>
      <c r="X28" s="32" t="n">
        <f aca="false">IF(AND(OR($F28="Analogy",$F28="Assumed"),$G28&lt;&gt;"低",$G28&lt;&gt;"高",NOT(ISNUMBER($K28)),NOT(ISNUMBER($L28)),OR($M28="—",$M28="")),1,0)</f>
        <v>0</v>
      </c>
      <c r="Y28" s="32" t="n">
        <f aca="false">IF(AND(OR($F28="Analogy",$F28="Assumed",$F28="Derived（待改公式）",$F28="Derived（公式）"),OR($N28="—",$N28="",$N28=0)),1,0)</f>
        <v>0</v>
      </c>
      <c r="Z28" s="32" t="n">
        <f aca="false">IF(AND($F28="Decision",OR($J28="—",$J28="")),1,0)</f>
        <v>0</v>
      </c>
      <c r="AA28" s="33" t="n">
        <f aca="false">IF(OR($J28="—",$J28=""),0,IF(COUNTIF(Decisions!$A$5:$A$300,$J28)=0,1,0))</f>
        <v>0</v>
      </c>
      <c r="AB28" s="32" t="n">
        <f aca="false">IF(AND($F28="原始數據",$S28&lt;&gt;"Active"),1,0)</f>
        <v>0</v>
      </c>
      <c r="AC28" s="32" t="n">
        <f aca="false">IF(AND(ISNUMBER($K28),ISNUMBER($L28),ISNUMBER($Q28)),IF(OR($Q28&lt;MIN($K28,$L28),$Q28&gt;MAX($K28,$L28)),1,0),0)</f>
        <v>0</v>
      </c>
      <c r="AD28" s="32" t="n">
        <f aca="false">IF(AND(ISNUMBER($T28),$P28="高"),IF($T28=3,1,0),0)</f>
        <v>0</v>
      </c>
      <c r="AE28" s="32" t="n">
        <f aca="false">IF($S28="不存在",1,0)</f>
        <v>0</v>
      </c>
      <c r="AF28" s="44" t="str">
        <f aca="false">IF(OR($H28="—",$H28=""),"—",MATCH($H28,IDX_SrcID,0))</f>
        <v>—</v>
      </c>
      <c r="AG28" s="32" t="n">
        <f aca="false">IF(AND($P28="高",OR($AD28=1,$X28=1)),1,0)</f>
        <v>0</v>
      </c>
      <c r="AH28" s="32" t="n">
        <f aca="false">IF(AND($P28="高",$AG28=0,OR($F28&lt;&gt;"原始數據",$T28&lt;&gt;1)),1,0)</f>
        <v>0</v>
      </c>
      <c r="AI28" s="44" t="str">
        <f aca="false">IF(AND($P28="高",ISNUMBER($AF28)),INDEX(IDX_SrcDate,$AF28),"—")</f>
        <v>—</v>
      </c>
      <c r="AJ28" s="32" t="n">
        <f aca="false">IF(AND(ISTEXT($AI28),LEN($AI28)=10),IF(ISNUMBER(VALUE(SUBSTITUTE($AI28,"-",""))),VALUE(SUBSTITUTE($AI28,"-","")),0),0)</f>
        <v>0</v>
      </c>
    </row>
    <row r="29" customFormat="false" ht="29.25" hidden="false" customHeight="true" outlineLevel="0" collapsed="false">
      <c r="A29" s="30" t="s">
        <v>4583</v>
      </c>
      <c r="B29" s="239" t="s">
        <v>4525</v>
      </c>
      <c r="C29" s="30" t="s">
        <v>4526</v>
      </c>
      <c r="D29" s="30" t="s">
        <v>4584</v>
      </c>
      <c r="E29" s="20" t="s">
        <v>139</v>
      </c>
      <c r="F29" s="30" t="s">
        <v>114</v>
      </c>
      <c r="G29" s="239" t="s">
        <v>97</v>
      </c>
      <c r="H29" s="30" t="s">
        <v>751</v>
      </c>
      <c r="I29" s="6" t="s">
        <v>751</v>
      </c>
      <c r="J29" s="30" t="s">
        <v>751</v>
      </c>
      <c r="K29" s="192" t="n">
        <f aca="false">Inputs!$D$18</f>
        <v>3.8</v>
      </c>
      <c r="L29" s="192" t="n">
        <f aca="false">Inputs!$F$18</f>
        <v>5.5</v>
      </c>
      <c r="M29" s="30" t="s">
        <v>751</v>
      </c>
      <c r="N29" s="20" t="s">
        <v>4585</v>
      </c>
      <c r="O29" s="6" t="s">
        <v>751</v>
      </c>
      <c r="P29" s="239" t="s">
        <v>4586</v>
      </c>
      <c r="Q29" s="192" t="n">
        <f aca="false">Inputs!E18</f>
        <v>4.5</v>
      </c>
      <c r="R29" s="30" t="s">
        <v>751</v>
      </c>
      <c r="S29" s="44" t="str">
        <f aca="false">IF(ISNUMBER($AF29),INDEX(IDX_SrcStat,$AF29),"—")</f>
        <v>—</v>
      </c>
      <c r="T29" s="44" t="str">
        <f aca="false">IF(ISNUMBER($AF29),INDEX(IDX_SrcGrade,$AF29),"—")</f>
        <v>—</v>
      </c>
      <c r="U29" s="44" t="s">
        <v>4531</v>
      </c>
      <c r="V29" s="32" t="n">
        <f aca="false">IF(AND($F29="原始數據",$U29&lt;&gt;"連結 SRC"),1,0)</f>
        <v>0</v>
      </c>
      <c r="W29" s="32" t="n">
        <f aca="false">IF(AND($F29="Analogy",OR($H29="—",$H29="")),1,0)</f>
        <v>0</v>
      </c>
      <c r="X29" s="32" t="n">
        <f aca="false">IF(AND(OR($F29="Analogy",$F29="Assumed"),$G29&lt;&gt;"低",$G29&lt;&gt;"高",NOT(ISNUMBER($K29)),NOT(ISNUMBER($L29)),OR($M29="—",$M29="")),1,0)</f>
        <v>0</v>
      </c>
      <c r="Y29" s="32" t="n">
        <f aca="false">IF(AND(OR($F29="Analogy",$F29="Assumed",$F29="Derived（待改公式）",$F29="Derived（公式）"),OR($N29="—",$N29="",$N29=0)),1,0)</f>
        <v>0</v>
      </c>
      <c r="Z29" s="32" t="n">
        <f aca="false">IF(AND($F29="Decision",OR($J29="—",$J29="")),1,0)</f>
        <v>0</v>
      </c>
      <c r="AA29" s="33" t="n">
        <f aca="false">IF(OR($J29="—",$J29=""),0,IF(COUNTIF(Decisions!$A$5:$A$300,$J29)=0,1,0))</f>
        <v>0</v>
      </c>
      <c r="AB29" s="32" t="n">
        <f aca="false">IF(AND($F29="原始數據",$S29&lt;&gt;"Active"),1,0)</f>
        <v>0</v>
      </c>
      <c r="AC29" s="32" t="n">
        <f aca="false">IF(AND(ISNUMBER($K29),ISNUMBER($L29),ISNUMBER($Q29)),IF(OR($Q29&lt;MIN($K29,$L29),$Q29&gt;MAX($K29,$L29)),1,0),0)</f>
        <v>0</v>
      </c>
      <c r="AD29" s="32" t="n">
        <f aca="false">IF(AND(ISNUMBER($T29),$P29="高"),IF($T29=3,1,0),0)</f>
        <v>0</v>
      </c>
      <c r="AE29" s="32" t="n">
        <f aca="false">IF($S29="不存在",1,0)</f>
        <v>0</v>
      </c>
      <c r="AF29" s="44" t="str">
        <f aca="false">IF(OR($H29="—",$H29=""),"—",MATCH($H29,IDX_SrcID,0))</f>
        <v>—</v>
      </c>
      <c r="AG29" s="32" t="n">
        <f aca="false">IF(AND($P29="高",OR($AD29=1,$X29=1)),1,0)</f>
        <v>0</v>
      </c>
      <c r="AH29" s="32" t="n">
        <f aca="false">IF(AND($P29="高",$AG29=0,OR($F29&lt;&gt;"原始數據",$T29&lt;&gt;1)),1,0)</f>
        <v>0</v>
      </c>
      <c r="AI29" s="44" t="str">
        <f aca="false">IF(AND($P29="高",ISNUMBER($AF29)),INDEX(IDX_SrcDate,$AF29),"—")</f>
        <v>—</v>
      </c>
      <c r="AJ29" s="32" t="n">
        <f aca="false">IF(AND(ISTEXT($AI29),LEN($AI29)=10),IF(ISNUMBER(VALUE(SUBSTITUTE($AI29,"-",""))),VALUE(SUBSTITUTE($AI29,"-","")),0),0)</f>
        <v>0</v>
      </c>
    </row>
    <row r="30" customFormat="false" ht="29.25" hidden="false" customHeight="true" outlineLevel="0" collapsed="false">
      <c r="A30" s="30" t="s">
        <v>4587</v>
      </c>
      <c r="B30" s="239" t="s">
        <v>4525</v>
      </c>
      <c r="C30" s="30" t="s">
        <v>4526</v>
      </c>
      <c r="D30" s="30" t="s">
        <v>4588</v>
      </c>
      <c r="E30" s="20" t="s">
        <v>139</v>
      </c>
      <c r="F30" s="30" t="s">
        <v>114</v>
      </c>
      <c r="G30" s="239" t="s">
        <v>1308</v>
      </c>
      <c r="H30" s="30" t="s">
        <v>751</v>
      </c>
      <c r="I30" s="6" t="s">
        <v>751</v>
      </c>
      <c r="J30" s="30" t="s">
        <v>751</v>
      </c>
      <c r="K30" s="239"/>
      <c r="L30" s="239"/>
      <c r="M30" s="30" t="s">
        <v>751</v>
      </c>
      <c r="N30" s="20" t="s">
        <v>4585</v>
      </c>
      <c r="O30" s="6" t="s">
        <v>751</v>
      </c>
      <c r="P30" s="239" t="s">
        <v>4586</v>
      </c>
      <c r="Q30" s="192" t="n">
        <f aca="false">Inputs!D18</f>
        <v>3.8</v>
      </c>
      <c r="R30" s="30" t="s">
        <v>751</v>
      </c>
      <c r="S30" s="44" t="str">
        <f aca="false">IF(ISNUMBER($AF30),INDEX(IDX_SrcStat,$AF30),"—")</f>
        <v>—</v>
      </c>
      <c r="T30" s="44" t="str">
        <f aca="false">IF(ISNUMBER($AF30),INDEX(IDX_SrcGrade,$AF30),"—")</f>
        <v>—</v>
      </c>
      <c r="U30" s="44" t="s">
        <v>4531</v>
      </c>
      <c r="V30" s="32" t="n">
        <f aca="false">IF(AND($F30="原始數據",$U30&lt;&gt;"連結 SRC"),1,0)</f>
        <v>0</v>
      </c>
      <c r="W30" s="32" t="n">
        <f aca="false">IF(AND($F30="Analogy",OR($H30="—",$H30="")),1,0)</f>
        <v>0</v>
      </c>
      <c r="X30" s="32" t="n">
        <f aca="false">IF(AND(OR($F30="Analogy",$F30="Assumed"),$G30&lt;&gt;"低",$G30&lt;&gt;"高",NOT(ISNUMBER($K30)),NOT(ISNUMBER($L30)),OR($M30="—",$M30="")),1,0)</f>
        <v>0</v>
      </c>
      <c r="Y30" s="32" t="n">
        <f aca="false">IF(AND(OR($F30="Analogy",$F30="Assumed",$F30="Derived（待改公式）",$F30="Derived（公式）"),OR($N30="—",$N30="",$N30=0)),1,0)</f>
        <v>0</v>
      </c>
      <c r="Z30" s="32" t="n">
        <f aca="false">IF(AND($F30="Decision",OR($J30="—",$J30="")),1,0)</f>
        <v>0</v>
      </c>
      <c r="AA30" s="33" t="n">
        <f aca="false">IF(OR($J30="—",$J30=""),0,IF(COUNTIF(Decisions!$A$5:$A$300,$J30)=0,1,0))</f>
        <v>0</v>
      </c>
      <c r="AB30" s="32" t="n">
        <f aca="false">IF(AND($F30="原始數據",$S30&lt;&gt;"Active"),1,0)</f>
        <v>0</v>
      </c>
      <c r="AC30" s="32" t="n">
        <f aca="false">IF(AND(ISNUMBER($K30),ISNUMBER($L30),ISNUMBER($Q30)),IF(OR($Q30&lt;MIN($K30,$L30),$Q30&gt;MAX($K30,$L30)),1,0),0)</f>
        <v>0</v>
      </c>
      <c r="AD30" s="32" t="n">
        <f aca="false">IF(AND(ISNUMBER($T30),$P30="高"),IF($T30=3,1,0),0)</f>
        <v>0</v>
      </c>
      <c r="AE30" s="32" t="n">
        <f aca="false">IF($S30="不存在",1,0)</f>
        <v>0</v>
      </c>
      <c r="AF30" s="44" t="str">
        <f aca="false">IF(OR($H30="—",$H30=""),"—",MATCH($H30,IDX_SrcID,0))</f>
        <v>—</v>
      </c>
      <c r="AG30" s="32" t="n">
        <f aca="false">IF(AND($P30="高",OR($AD30=1,$X30=1)),1,0)</f>
        <v>0</v>
      </c>
      <c r="AH30" s="32" t="n">
        <f aca="false">IF(AND($P30="高",$AG30=0,OR($F30&lt;&gt;"原始數據",$T30&lt;&gt;1)),1,0)</f>
        <v>0</v>
      </c>
      <c r="AI30" s="44" t="str">
        <f aca="false">IF(AND($P30="高",ISNUMBER($AF30)),INDEX(IDX_SrcDate,$AF30),"—")</f>
        <v>—</v>
      </c>
      <c r="AJ30" s="32" t="n">
        <f aca="false">IF(AND(ISTEXT($AI30),LEN($AI30)=10),IF(ISNUMBER(VALUE(SUBSTITUTE($AI30,"-",""))),VALUE(SUBSTITUTE($AI30,"-","")),0),0)</f>
        <v>0</v>
      </c>
    </row>
    <row r="31" customFormat="false" ht="29.25" hidden="false" customHeight="true" outlineLevel="0" collapsed="false">
      <c r="A31" s="30" t="s">
        <v>4589</v>
      </c>
      <c r="B31" s="239" t="s">
        <v>4525</v>
      </c>
      <c r="C31" s="30" t="s">
        <v>4526</v>
      </c>
      <c r="D31" s="30" t="s">
        <v>4590</v>
      </c>
      <c r="E31" s="20" t="s">
        <v>139</v>
      </c>
      <c r="F31" s="30" t="s">
        <v>114</v>
      </c>
      <c r="G31" s="239" t="s">
        <v>1309</v>
      </c>
      <c r="H31" s="30" t="s">
        <v>751</v>
      </c>
      <c r="I31" s="6" t="s">
        <v>751</v>
      </c>
      <c r="J31" s="30" t="s">
        <v>751</v>
      </c>
      <c r="K31" s="239"/>
      <c r="L31" s="239"/>
      <c r="M31" s="30" t="s">
        <v>751</v>
      </c>
      <c r="N31" s="20" t="s">
        <v>4585</v>
      </c>
      <c r="O31" s="6" t="s">
        <v>751</v>
      </c>
      <c r="P31" s="239" t="s">
        <v>4586</v>
      </c>
      <c r="Q31" s="192" t="n">
        <f aca="false">Inputs!F18</f>
        <v>5.5</v>
      </c>
      <c r="R31" s="30" t="s">
        <v>751</v>
      </c>
      <c r="S31" s="44" t="str">
        <f aca="false">IF(ISNUMBER($AF31),INDEX(IDX_SrcStat,$AF31),"—")</f>
        <v>—</v>
      </c>
      <c r="T31" s="44" t="str">
        <f aca="false">IF(ISNUMBER($AF31),INDEX(IDX_SrcGrade,$AF31),"—")</f>
        <v>—</v>
      </c>
      <c r="U31" s="44" t="s">
        <v>4531</v>
      </c>
      <c r="V31" s="32" t="n">
        <f aca="false">IF(AND($F31="原始數據",$U31&lt;&gt;"連結 SRC"),1,0)</f>
        <v>0</v>
      </c>
      <c r="W31" s="32" t="n">
        <f aca="false">IF(AND($F31="Analogy",OR($H31="—",$H31="")),1,0)</f>
        <v>0</v>
      </c>
      <c r="X31" s="32" t="n">
        <f aca="false">IF(AND(OR($F31="Analogy",$F31="Assumed"),$G31&lt;&gt;"低",$G31&lt;&gt;"高",NOT(ISNUMBER($K31)),NOT(ISNUMBER($L31)),OR($M31="—",$M31="")),1,0)</f>
        <v>0</v>
      </c>
      <c r="Y31" s="32" t="n">
        <f aca="false">IF(AND(OR($F31="Analogy",$F31="Assumed",$F31="Derived（待改公式）",$F31="Derived（公式）"),OR($N31="—",$N31="",$N31=0)),1,0)</f>
        <v>0</v>
      </c>
      <c r="Z31" s="32" t="n">
        <f aca="false">IF(AND($F31="Decision",OR($J31="—",$J31="")),1,0)</f>
        <v>0</v>
      </c>
      <c r="AA31" s="33" t="n">
        <f aca="false">IF(OR($J31="—",$J31=""),0,IF(COUNTIF(Decisions!$A$5:$A$300,$J31)=0,1,0))</f>
        <v>0</v>
      </c>
      <c r="AB31" s="32" t="n">
        <f aca="false">IF(AND($F31="原始數據",$S31&lt;&gt;"Active"),1,0)</f>
        <v>0</v>
      </c>
      <c r="AC31" s="32" t="n">
        <f aca="false">IF(AND(ISNUMBER($K31),ISNUMBER($L31),ISNUMBER($Q31)),IF(OR($Q31&lt;MIN($K31,$L31),$Q31&gt;MAX($K31,$L31)),1,0),0)</f>
        <v>0</v>
      </c>
      <c r="AD31" s="32" t="n">
        <f aca="false">IF(AND(ISNUMBER($T31),$P31="高"),IF($T31=3,1,0),0)</f>
        <v>0</v>
      </c>
      <c r="AE31" s="32" t="n">
        <f aca="false">IF($S31="不存在",1,0)</f>
        <v>0</v>
      </c>
      <c r="AF31" s="44" t="str">
        <f aca="false">IF(OR($H31="—",$H31=""),"—",MATCH($H31,IDX_SrcID,0))</f>
        <v>—</v>
      </c>
      <c r="AG31" s="32" t="n">
        <f aca="false">IF(AND($P31="高",OR($AD31=1,$X31=1)),1,0)</f>
        <v>0</v>
      </c>
      <c r="AH31" s="32" t="n">
        <f aca="false">IF(AND($P31="高",$AG31=0,OR($F31&lt;&gt;"原始數據",$T31&lt;&gt;1)),1,0)</f>
        <v>0</v>
      </c>
      <c r="AI31" s="44" t="str">
        <f aca="false">IF(AND($P31="高",ISNUMBER($AF31)),INDEX(IDX_SrcDate,$AF31),"—")</f>
        <v>—</v>
      </c>
      <c r="AJ31" s="32" t="n">
        <f aca="false">IF(AND(ISTEXT($AI31),LEN($AI31)=10),IF(ISNUMBER(VALUE(SUBSTITUTE($AI31,"-",""))),VALUE(SUBSTITUTE($AI31,"-","")),0),0)</f>
        <v>0</v>
      </c>
    </row>
    <row r="32" customFormat="false" ht="29.25" hidden="false" customHeight="true" outlineLevel="0" collapsed="false">
      <c r="A32" s="30" t="s">
        <v>4591</v>
      </c>
      <c r="B32" s="239" t="s">
        <v>4525</v>
      </c>
      <c r="C32" s="30" t="s">
        <v>4526</v>
      </c>
      <c r="D32" s="30" t="s">
        <v>4592</v>
      </c>
      <c r="E32" s="20" t="s">
        <v>141</v>
      </c>
      <c r="F32" s="30" t="s">
        <v>114</v>
      </c>
      <c r="G32" s="239" t="s">
        <v>97</v>
      </c>
      <c r="H32" s="30" t="s">
        <v>751</v>
      </c>
      <c r="I32" s="6" t="s">
        <v>751</v>
      </c>
      <c r="J32" s="30" t="s">
        <v>751</v>
      </c>
      <c r="K32" s="192" t="n">
        <f aca="false">Inputs!$D$19</f>
        <v>2</v>
      </c>
      <c r="L32" s="192" t="n">
        <f aca="false">Inputs!$F$19</f>
        <v>3.2</v>
      </c>
      <c r="M32" s="30" t="s">
        <v>751</v>
      </c>
      <c r="N32" s="240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2" s="6" t="s">
        <v>751</v>
      </c>
      <c r="P32" s="239" t="s">
        <v>1308</v>
      </c>
      <c r="Q32" s="192" t="n">
        <f aca="false">Inputs!E19</f>
        <v>2.5</v>
      </c>
      <c r="R32" s="30" t="s">
        <v>751</v>
      </c>
      <c r="S32" s="44" t="str">
        <f aca="false">IF(ISNUMBER($AF32),INDEX(IDX_SrcStat,$AF32),"—")</f>
        <v>—</v>
      </c>
      <c r="T32" s="44" t="str">
        <f aca="false">IF(ISNUMBER($AF32),INDEX(IDX_SrcGrade,$AF32),"—")</f>
        <v>—</v>
      </c>
      <c r="U32" s="44" t="s">
        <v>4531</v>
      </c>
      <c r="V32" s="32" t="n">
        <f aca="false">IF(AND($F32="原始數據",$U32&lt;&gt;"連結 SRC"),1,0)</f>
        <v>0</v>
      </c>
      <c r="W32" s="32" t="n">
        <f aca="false">IF(AND($F32="Analogy",OR($H32="—",$H32="")),1,0)</f>
        <v>0</v>
      </c>
      <c r="X32" s="32" t="n">
        <f aca="false">IF(AND(OR($F32="Analogy",$F32="Assumed"),$G32&lt;&gt;"低",$G32&lt;&gt;"高",NOT(ISNUMBER($K32)),NOT(ISNUMBER($L32)),OR($M32="—",$M32="")),1,0)</f>
        <v>0</v>
      </c>
      <c r="Y32" s="32" t="n">
        <f aca="false">IF(AND(OR($F32="Analogy",$F32="Assumed",$F32="Derived（待改公式）",$F32="Derived（公式）"),OR($N32="—",$N32="",$N32=0)),1,0)</f>
        <v>0</v>
      </c>
      <c r="Z32" s="32" t="n">
        <f aca="false">IF(AND($F32="Decision",OR($J32="—",$J32="")),1,0)</f>
        <v>0</v>
      </c>
      <c r="AA32" s="33" t="n">
        <f aca="false">IF(OR($J32="—",$J32=""),0,IF(COUNTIF(Decisions!$A$5:$A$300,$J32)=0,1,0))</f>
        <v>0</v>
      </c>
      <c r="AB32" s="32" t="n">
        <f aca="false">IF(AND($F32="原始數據",$S32&lt;&gt;"Active"),1,0)</f>
        <v>0</v>
      </c>
      <c r="AC32" s="32" t="n">
        <f aca="false">IF(AND(ISNUMBER($K32),ISNUMBER($L32),ISNUMBER($Q32)),IF(OR($Q32&lt;MIN($K32,$L32),$Q32&gt;MAX($K32,$L32)),1,0),0)</f>
        <v>0</v>
      </c>
      <c r="AD32" s="32" t="n">
        <f aca="false">IF(AND(ISNUMBER($T32),$P32="高"),IF($T32=3,1,0),0)</f>
        <v>0</v>
      </c>
      <c r="AE32" s="32" t="n">
        <f aca="false">IF($S32="不存在",1,0)</f>
        <v>0</v>
      </c>
      <c r="AF32" s="44" t="str">
        <f aca="false">IF(OR($H32="—",$H32=""),"—",MATCH($H32,IDX_SrcID,0))</f>
        <v>—</v>
      </c>
      <c r="AG32" s="32" t="n">
        <f aca="false">IF(AND($P32="高",OR($AD32=1,$X32=1)),1,0)</f>
        <v>0</v>
      </c>
      <c r="AH32" s="32" t="n">
        <f aca="false">IF(AND($P32="高",$AG32=0,OR($F32&lt;&gt;"原始數據",$T32&lt;&gt;1)),1,0)</f>
        <v>0</v>
      </c>
      <c r="AI32" s="44" t="str">
        <f aca="false">IF(AND($P32="高",ISNUMBER($AF32)),INDEX(IDX_SrcDate,$AF32),"—")</f>
        <v>—</v>
      </c>
      <c r="AJ32" s="32" t="n">
        <f aca="false">IF(AND(ISTEXT($AI32),LEN($AI32)=10),IF(ISNUMBER(VALUE(SUBSTITUTE($AI32,"-",""))),VALUE(SUBSTITUTE($AI32,"-","")),0),0)</f>
        <v>0</v>
      </c>
    </row>
    <row r="33" customFormat="false" ht="29.25" hidden="false" customHeight="true" outlineLevel="0" collapsed="false">
      <c r="A33" s="30" t="s">
        <v>4593</v>
      </c>
      <c r="B33" s="239" t="s">
        <v>4525</v>
      </c>
      <c r="C33" s="30" t="s">
        <v>4526</v>
      </c>
      <c r="D33" s="30" t="s">
        <v>4594</v>
      </c>
      <c r="E33" s="20" t="s">
        <v>141</v>
      </c>
      <c r="F33" s="30" t="s">
        <v>114</v>
      </c>
      <c r="G33" s="239" t="s">
        <v>1308</v>
      </c>
      <c r="H33" s="30" t="s">
        <v>751</v>
      </c>
      <c r="I33" s="6" t="s">
        <v>751</v>
      </c>
      <c r="J33" s="30" t="s">
        <v>751</v>
      </c>
      <c r="K33" s="239"/>
      <c r="L33" s="239"/>
      <c r="M33" s="30" t="s">
        <v>751</v>
      </c>
      <c r="N33" s="240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3" s="6" t="s">
        <v>751</v>
      </c>
      <c r="P33" s="239" t="s">
        <v>1308</v>
      </c>
      <c r="Q33" s="192" t="n">
        <f aca="false">Inputs!D19</f>
        <v>2</v>
      </c>
      <c r="R33" s="30" t="s">
        <v>751</v>
      </c>
      <c r="S33" s="44" t="str">
        <f aca="false">IF(ISNUMBER($AF33),INDEX(IDX_SrcStat,$AF33),"—")</f>
        <v>—</v>
      </c>
      <c r="T33" s="44" t="str">
        <f aca="false">IF(ISNUMBER($AF33),INDEX(IDX_SrcGrade,$AF33),"—")</f>
        <v>—</v>
      </c>
      <c r="U33" s="44" t="s">
        <v>4531</v>
      </c>
      <c r="V33" s="32" t="n">
        <f aca="false">IF(AND($F33="原始數據",$U33&lt;&gt;"連結 SRC"),1,0)</f>
        <v>0</v>
      </c>
      <c r="W33" s="32" t="n">
        <f aca="false">IF(AND($F33="Analogy",OR($H33="—",$H33="")),1,0)</f>
        <v>0</v>
      </c>
      <c r="X33" s="32" t="n">
        <f aca="false">IF(AND(OR($F33="Analogy",$F33="Assumed"),$G33&lt;&gt;"低",$G33&lt;&gt;"高",NOT(ISNUMBER($K33)),NOT(ISNUMBER($L33)),OR($M33="—",$M33="")),1,0)</f>
        <v>0</v>
      </c>
      <c r="Y33" s="32" t="n">
        <f aca="false">IF(AND(OR($F33="Analogy",$F33="Assumed",$F33="Derived（待改公式）",$F33="Derived（公式）"),OR($N33="—",$N33="",$N33=0)),1,0)</f>
        <v>0</v>
      </c>
      <c r="Z33" s="32" t="n">
        <f aca="false">IF(AND($F33="Decision",OR($J33="—",$J33="")),1,0)</f>
        <v>0</v>
      </c>
      <c r="AA33" s="33" t="n">
        <f aca="false">IF(OR($J33="—",$J33=""),0,IF(COUNTIF(Decisions!$A$5:$A$300,$J33)=0,1,0))</f>
        <v>0</v>
      </c>
      <c r="AB33" s="32" t="n">
        <f aca="false">IF(AND($F33="原始數據",$S33&lt;&gt;"Active"),1,0)</f>
        <v>0</v>
      </c>
      <c r="AC33" s="32" t="n">
        <f aca="false">IF(AND(ISNUMBER($K33),ISNUMBER($L33),ISNUMBER($Q33)),IF(OR($Q33&lt;MIN($K33,$L33),$Q33&gt;MAX($K33,$L33)),1,0),0)</f>
        <v>0</v>
      </c>
      <c r="AD33" s="32" t="n">
        <f aca="false">IF(AND(ISNUMBER($T33),$P33="高"),IF($T33=3,1,0),0)</f>
        <v>0</v>
      </c>
      <c r="AE33" s="32" t="n">
        <f aca="false">IF($S33="不存在",1,0)</f>
        <v>0</v>
      </c>
      <c r="AF33" s="44" t="str">
        <f aca="false">IF(OR($H33="—",$H33=""),"—",MATCH($H33,IDX_SrcID,0))</f>
        <v>—</v>
      </c>
      <c r="AG33" s="32" t="n">
        <f aca="false">IF(AND($P33="高",OR($AD33=1,$X33=1)),1,0)</f>
        <v>0</v>
      </c>
      <c r="AH33" s="32" t="n">
        <f aca="false">IF(AND($P33="高",$AG33=0,OR($F33&lt;&gt;"原始數據",$T33&lt;&gt;1)),1,0)</f>
        <v>0</v>
      </c>
      <c r="AI33" s="44" t="str">
        <f aca="false">IF(AND($P33="高",ISNUMBER($AF33)),INDEX(IDX_SrcDate,$AF33),"—")</f>
        <v>—</v>
      </c>
      <c r="AJ33" s="32" t="n">
        <f aca="false">IF(AND(ISTEXT($AI33),LEN($AI33)=10),IF(ISNUMBER(VALUE(SUBSTITUTE($AI33,"-",""))),VALUE(SUBSTITUTE($AI33,"-","")),0),0)</f>
        <v>0</v>
      </c>
    </row>
    <row r="34" customFormat="false" ht="29.25" hidden="false" customHeight="true" outlineLevel="0" collapsed="false">
      <c r="A34" s="30" t="s">
        <v>4595</v>
      </c>
      <c r="B34" s="239" t="s">
        <v>4525</v>
      </c>
      <c r="C34" s="30" t="s">
        <v>4526</v>
      </c>
      <c r="D34" s="30" t="s">
        <v>4596</v>
      </c>
      <c r="E34" s="20" t="s">
        <v>141</v>
      </c>
      <c r="F34" s="30" t="s">
        <v>114</v>
      </c>
      <c r="G34" s="239" t="s">
        <v>1309</v>
      </c>
      <c r="H34" s="30" t="s">
        <v>751</v>
      </c>
      <c r="I34" s="6" t="s">
        <v>751</v>
      </c>
      <c r="J34" s="30" t="s">
        <v>751</v>
      </c>
      <c r="K34" s="239"/>
      <c r="L34" s="239"/>
      <c r="M34" s="30" t="s">
        <v>751</v>
      </c>
      <c r="N34" s="240" t="str">
        <f aca="false">Inputs!$H$19&amp;" ｜補充旗標（IF 全欄分段，非分段依據）：中"</f>
        <v>機架內冷板與 manifold 含在機架價格 ｜各世代同值；機械與散熱未分氣冷 Hopper。3A Q6a：超大規模業者 1.10–1.17、colo 1.4–1.6；影響 m_fleet ≤ ±1.3%（稽核 2，Y4）。 ｜補充旗標（IF 全欄分段，非分段依據）：中</v>
      </c>
      <c r="O34" s="6" t="s">
        <v>751</v>
      </c>
      <c r="P34" s="239" t="s">
        <v>1308</v>
      </c>
      <c r="Q34" s="192" t="n">
        <f aca="false">Inputs!F19</f>
        <v>3.2</v>
      </c>
      <c r="R34" s="30" t="s">
        <v>751</v>
      </c>
      <c r="S34" s="44" t="str">
        <f aca="false">IF(ISNUMBER($AF34),INDEX(IDX_SrcStat,$AF34),"—")</f>
        <v>—</v>
      </c>
      <c r="T34" s="44" t="str">
        <f aca="false">IF(ISNUMBER($AF34),INDEX(IDX_SrcGrade,$AF34),"—")</f>
        <v>—</v>
      </c>
      <c r="U34" s="44" t="s">
        <v>4531</v>
      </c>
      <c r="V34" s="32" t="n">
        <f aca="false">IF(AND($F34="原始數據",$U34&lt;&gt;"連結 SRC"),1,0)</f>
        <v>0</v>
      </c>
      <c r="W34" s="32" t="n">
        <f aca="false">IF(AND($F34="Analogy",OR($H34="—",$H34="")),1,0)</f>
        <v>0</v>
      </c>
      <c r="X34" s="32" t="n">
        <f aca="false">IF(AND(OR($F34="Analogy",$F34="Assumed"),$G34&lt;&gt;"低",$G34&lt;&gt;"高",NOT(ISNUMBER($K34)),NOT(ISNUMBER($L34)),OR($M34="—",$M34="")),1,0)</f>
        <v>0</v>
      </c>
      <c r="Y34" s="32" t="n">
        <f aca="false">IF(AND(OR($F34="Analogy",$F34="Assumed",$F34="Derived（待改公式）",$F34="Derived（公式）"),OR($N34="—",$N34="",$N34=0)),1,0)</f>
        <v>0</v>
      </c>
      <c r="Z34" s="32" t="n">
        <f aca="false">IF(AND($F34="Decision",OR($J34="—",$J34="")),1,0)</f>
        <v>0</v>
      </c>
      <c r="AA34" s="33" t="n">
        <f aca="false">IF(OR($J34="—",$J34=""),0,IF(COUNTIF(Decisions!$A$5:$A$300,$J34)=0,1,0))</f>
        <v>0</v>
      </c>
      <c r="AB34" s="32" t="n">
        <f aca="false">IF(AND($F34="原始數據",$S34&lt;&gt;"Active"),1,0)</f>
        <v>0</v>
      </c>
      <c r="AC34" s="32" t="n">
        <f aca="false">IF(AND(ISNUMBER($K34),ISNUMBER($L34),ISNUMBER($Q34)),IF(OR($Q34&lt;MIN($K34,$L34),$Q34&gt;MAX($K34,$L34)),1,0),0)</f>
        <v>0</v>
      </c>
      <c r="AD34" s="32" t="n">
        <f aca="false">IF(AND(ISNUMBER($T34),$P34="高"),IF($T34=3,1,0),0)</f>
        <v>0</v>
      </c>
      <c r="AE34" s="32" t="n">
        <f aca="false">IF($S34="不存在",1,0)</f>
        <v>0</v>
      </c>
      <c r="AF34" s="44" t="str">
        <f aca="false">IF(OR($H34="—",$H34=""),"—",MATCH($H34,IDX_SrcID,0))</f>
        <v>—</v>
      </c>
      <c r="AG34" s="32" t="n">
        <f aca="false">IF(AND($P34="高",OR($AD34=1,$X34=1)),1,0)</f>
        <v>0</v>
      </c>
      <c r="AH34" s="32" t="n">
        <f aca="false">IF(AND($P34="高",$AG34=0,OR($F34&lt;&gt;"原始數據",$T34&lt;&gt;1)),1,0)</f>
        <v>0</v>
      </c>
      <c r="AI34" s="44" t="str">
        <f aca="false">IF(AND($P34="高",ISNUMBER($AF34)),INDEX(IDX_SrcDate,$AF34),"—")</f>
        <v>—</v>
      </c>
      <c r="AJ34" s="32" t="n">
        <f aca="false">IF(AND(ISTEXT($AI34),LEN($AI34)=10),IF(ISNUMBER(VALUE(SUBSTITUTE($AI34,"-",""))),VALUE(SUBSTITUTE($AI34,"-","")),0),0)</f>
        <v>0</v>
      </c>
    </row>
    <row r="35" customFormat="false" ht="15" hidden="false" customHeight="true" outlineLevel="0" collapsed="false">
      <c r="A35" s="30" t="s">
        <v>4597</v>
      </c>
      <c r="B35" s="239" t="s">
        <v>4525</v>
      </c>
      <c r="C35" s="30" t="s">
        <v>4526</v>
      </c>
      <c r="D35" s="30" t="s">
        <v>4598</v>
      </c>
      <c r="E35" s="20" t="s">
        <v>143</v>
      </c>
      <c r="F35" s="30" t="s">
        <v>114</v>
      </c>
      <c r="G35" s="239" t="s">
        <v>97</v>
      </c>
      <c r="H35" s="30" t="s">
        <v>751</v>
      </c>
      <c r="I35" s="6" t="s">
        <v>751</v>
      </c>
      <c r="J35" s="30" t="s">
        <v>751</v>
      </c>
      <c r="K35" s="192" t="n">
        <f aca="false">Inputs!$D$20</f>
        <v>0.3</v>
      </c>
      <c r="L35" s="192" t="n">
        <f aca="false">Inputs!$F$20</f>
        <v>0.5</v>
      </c>
      <c r="M35" s="30" t="s">
        <v>751</v>
      </c>
      <c r="N35" s="20" t="s">
        <v>4599</v>
      </c>
      <c r="O35" s="6" t="s">
        <v>751</v>
      </c>
      <c r="P35" s="239" t="s">
        <v>1308</v>
      </c>
      <c r="Q35" s="192" t="n">
        <f aca="false">Inputs!E20</f>
        <v>0.4</v>
      </c>
      <c r="R35" s="30" t="s">
        <v>751</v>
      </c>
      <c r="S35" s="44" t="str">
        <f aca="false">IF(ISNUMBER($AF35),INDEX(IDX_SrcStat,$AF35),"—")</f>
        <v>—</v>
      </c>
      <c r="T35" s="44" t="str">
        <f aca="false">IF(ISNUMBER($AF35),INDEX(IDX_SrcGrade,$AF35),"—")</f>
        <v>—</v>
      </c>
      <c r="U35" s="44" t="s">
        <v>4531</v>
      </c>
      <c r="V35" s="32" t="n">
        <f aca="false">IF(AND($F35="原始數據",$U35&lt;&gt;"連結 SRC"),1,0)</f>
        <v>0</v>
      </c>
      <c r="W35" s="32" t="n">
        <f aca="false">IF(AND($F35="Analogy",OR($H35="—",$H35="")),1,0)</f>
        <v>0</v>
      </c>
      <c r="X35" s="32" t="n">
        <f aca="false">IF(AND(OR($F35="Analogy",$F35="Assumed"),$G35&lt;&gt;"低",$G35&lt;&gt;"高",NOT(ISNUMBER($K35)),NOT(ISNUMBER($L35)),OR($M35="—",$M35="")),1,0)</f>
        <v>0</v>
      </c>
      <c r="Y35" s="32" t="n">
        <f aca="false">IF(AND(OR($F35="Analogy",$F35="Assumed",$F35="Derived（待改公式）",$F35="Derived（公式）"),OR($N35="—",$N35="",$N35=0)),1,0)</f>
        <v>0</v>
      </c>
      <c r="Z35" s="32" t="n">
        <f aca="false">IF(AND($F35="Decision",OR($J35="—",$J35="")),1,0)</f>
        <v>0</v>
      </c>
      <c r="AA35" s="33" t="n">
        <f aca="false">IF(OR($J35="—",$J35=""),0,IF(COUNTIF(Decisions!$A$5:$A$300,$J35)=0,1,0))</f>
        <v>0</v>
      </c>
      <c r="AB35" s="32" t="n">
        <f aca="false">IF(AND($F35="原始數據",$S35&lt;&gt;"Active"),1,0)</f>
        <v>0</v>
      </c>
      <c r="AC35" s="32" t="n">
        <f aca="false">IF(AND(ISNUMBER($K35),ISNUMBER($L35),ISNUMBER($Q35)),IF(OR($Q35&lt;MIN($K35,$L35),$Q35&gt;MAX($K35,$L35)),1,0),0)</f>
        <v>0</v>
      </c>
      <c r="AD35" s="32" t="n">
        <f aca="false">IF(AND(ISNUMBER($T35),$P35="高"),IF($T35=3,1,0),0)</f>
        <v>0</v>
      </c>
      <c r="AE35" s="32" t="n">
        <f aca="false">IF($S35="不存在",1,0)</f>
        <v>0</v>
      </c>
      <c r="AF35" s="44" t="str">
        <f aca="false">IF(OR($H35="—",$H35=""),"—",MATCH($H35,IDX_SrcID,0))</f>
        <v>—</v>
      </c>
      <c r="AG35" s="32" t="n">
        <f aca="false">IF(AND($P35="高",OR($AD35=1,$X35=1)),1,0)</f>
        <v>0</v>
      </c>
      <c r="AH35" s="32" t="n">
        <f aca="false">IF(AND($P35="高",$AG35=0,OR($F35&lt;&gt;"原始數據",$T35&lt;&gt;1)),1,0)</f>
        <v>0</v>
      </c>
      <c r="AI35" s="44" t="str">
        <f aca="false">IF(AND($P35="高",ISNUMBER($AF35)),INDEX(IDX_SrcDate,$AF35),"—")</f>
        <v>—</v>
      </c>
      <c r="AJ35" s="32" t="n">
        <f aca="false">IF(AND(ISTEXT($AI35),LEN($AI35)=10),IF(ISNUMBER(VALUE(SUBSTITUTE($AI35,"-",""))),VALUE(SUBSTITUTE($AI35,"-","")),0),0)</f>
        <v>0</v>
      </c>
    </row>
    <row r="36" customFormat="false" ht="15" hidden="false" customHeight="true" outlineLevel="0" collapsed="false">
      <c r="A36" s="30" t="s">
        <v>4600</v>
      </c>
      <c r="B36" s="239" t="s">
        <v>4525</v>
      </c>
      <c r="C36" s="30" t="s">
        <v>4526</v>
      </c>
      <c r="D36" s="30" t="s">
        <v>4601</v>
      </c>
      <c r="E36" s="20" t="s">
        <v>143</v>
      </c>
      <c r="F36" s="30" t="s">
        <v>114</v>
      </c>
      <c r="G36" s="239" t="s">
        <v>1308</v>
      </c>
      <c r="H36" s="30" t="s">
        <v>751</v>
      </c>
      <c r="I36" s="6" t="s">
        <v>751</v>
      </c>
      <c r="J36" s="30" t="s">
        <v>751</v>
      </c>
      <c r="K36" s="239"/>
      <c r="L36" s="239"/>
      <c r="M36" s="30" t="s">
        <v>751</v>
      </c>
      <c r="N36" s="20" t="s">
        <v>4599</v>
      </c>
      <c r="O36" s="6" t="s">
        <v>751</v>
      </c>
      <c r="P36" s="239" t="s">
        <v>1308</v>
      </c>
      <c r="Q36" s="192" t="n">
        <f aca="false">Inputs!D20</f>
        <v>0.3</v>
      </c>
      <c r="R36" s="30" t="s">
        <v>751</v>
      </c>
      <c r="S36" s="44" t="str">
        <f aca="false">IF(ISNUMBER($AF36),INDEX(IDX_SrcStat,$AF36),"—")</f>
        <v>—</v>
      </c>
      <c r="T36" s="44" t="str">
        <f aca="false">IF(ISNUMBER($AF36),INDEX(IDX_SrcGrade,$AF36),"—")</f>
        <v>—</v>
      </c>
      <c r="U36" s="44" t="s">
        <v>4531</v>
      </c>
      <c r="V36" s="32" t="n">
        <f aca="false">IF(AND($F36="原始數據",$U36&lt;&gt;"連結 SRC"),1,0)</f>
        <v>0</v>
      </c>
      <c r="W36" s="32" t="n">
        <f aca="false">IF(AND($F36="Analogy",OR($H36="—",$H36="")),1,0)</f>
        <v>0</v>
      </c>
      <c r="X36" s="32" t="n">
        <f aca="false">IF(AND(OR($F36="Analogy",$F36="Assumed"),$G36&lt;&gt;"低",$G36&lt;&gt;"高",NOT(ISNUMBER($K36)),NOT(ISNUMBER($L36)),OR($M36="—",$M36="")),1,0)</f>
        <v>0</v>
      </c>
      <c r="Y36" s="32" t="n">
        <f aca="false">IF(AND(OR($F36="Analogy",$F36="Assumed",$F36="Derived（待改公式）",$F36="Derived（公式）"),OR($N36="—",$N36="",$N36=0)),1,0)</f>
        <v>0</v>
      </c>
      <c r="Z36" s="32" t="n">
        <f aca="false">IF(AND($F36="Decision",OR($J36="—",$J36="")),1,0)</f>
        <v>0</v>
      </c>
      <c r="AA36" s="33" t="n">
        <f aca="false">IF(OR($J36="—",$J36=""),0,IF(COUNTIF(Decisions!$A$5:$A$300,$J36)=0,1,0))</f>
        <v>0</v>
      </c>
      <c r="AB36" s="32" t="n">
        <f aca="false">IF(AND($F36="原始數據",$S36&lt;&gt;"Active"),1,0)</f>
        <v>0</v>
      </c>
      <c r="AC36" s="32" t="n">
        <f aca="false">IF(AND(ISNUMBER($K36),ISNUMBER($L36),ISNUMBER($Q36)),IF(OR($Q36&lt;MIN($K36,$L36),$Q36&gt;MAX($K36,$L36)),1,0),0)</f>
        <v>0</v>
      </c>
      <c r="AD36" s="32" t="n">
        <f aca="false">IF(AND(ISNUMBER($T36),$P36="高"),IF($T36=3,1,0),0)</f>
        <v>0</v>
      </c>
      <c r="AE36" s="32" t="n">
        <f aca="false">IF($S36="不存在",1,0)</f>
        <v>0</v>
      </c>
      <c r="AF36" s="44" t="str">
        <f aca="false">IF(OR($H36="—",$H36=""),"—",MATCH($H36,IDX_SrcID,0))</f>
        <v>—</v>
      </c>
      <c r="AG36" s="32" t="n">
        <f aca="false">IF(AND($P36="高",OR($AD36=1,$X36=1)),1,0)</f>
        <v>0</v>
      </c>
      <c r="AH36" s="32" t="n">
        <f aca="false">IF(AND($P36="高",$AG36=0,OR($F36&lt;&gt;"原始數據",$T36&lt;&gt;1)),1,0)</f>
        <v>0</v>
      </c>
      <c r="AI36" s="44" t="str">
        <f aca="false">IF(AND($P36="高",ISNUMBER($AF36)),INDEX(IDX_SrcDate,$AF36),"—")</f>
        <v>—</v>
      </c>
      <c r="AJ36" s="32" t="n">
        <f aca="false">IF(AND(ISTEXT($AI36),LEN($AI36)=10),IF(ISNUMBER(VALUE(SUBSTITUTE($AI36,"-",""))),VALUE(SUBSTITUTE($AI36,"-","")),0),0)</f>
        <v>0</v>
      </c>
    </row>
    <row r="37" customFormat="false" ht="15" hidden="false" customHeight="true" outlineLevel="0" collapsed="false">
      <c r="A37" s="30" t="s">
        <v>4602</v>
      </c>
      <c r="B37" s="239" t="s">
        <v>4525</v>
      </c>
      <c r="C37" s="30" t="s">
        <v>4526</v>
      </c>
      <c r="D37" s="30" t="s">
        <v>4603</v>
      </c>
      <c r="E37" s="20" t="s">
        <v>143</v>
      </c>
      <c r="F37" s="30" t="s">
        <v>114</v>
      </c>
      <c r="G37" s="239" t="s">
        <v>1309</v>
      </c>
      <c r="H37" s="30" t="s">
        <v>751</v>
      </c>
      <c r="I37" s="6" t="s">
        <v>751</v>
      </c>
      <c r="J37" s="30" t="s">
        <v>751</v>
      </c>
      <c r="K37" s="239"/>
      <c r="L37" s="239"/>
      <c r="M37" s="30" t="s">
        <v>751</v>
      </c>
      <c r="N37" s="20" t="s">
        <v>4599</v>
      </c>
      <c r="O37" s="6" t="s">
        <v>751</v>
      </c>
      <c r="P37" s="239" t="s">
        <v>1308</v>
      </c>
      <c r="Q37" s="192" t="n">
        <f aca="false">Inputs!F20</f>
        <v>0.5</v>
      </c>
      <c r="R37" s="30" t="s">
        <v>751</v>
      </c>
      <c r="S37" s="44" t="str">
        <f aca="false">IF(ISNUMBER($AF37),INDEX(IDX_SrcStat,$AF37),"—")</f>
        <v>—</v>
      </c>
      <c r="T37" s="44" t="str">
        <f aca="false">IF(ISNUMBER($AF37),INDEX(IDX_SrcGrade,$AF37),"—")</f>
        <v>—</v>
      </c>
      <c r="U37" s="44" t="s">
        <v>4531</v>
      </c>
      <c r="V37" s="32" t="n">
        <f aca="false">IF(AND($F37="原始數據",$U37&lt;&gt;"連結 SRC"),1,0)</f>
        <v>0</v>
      </c>
      <c r="W37" s="32" t="n">
        <f aca="false">IF(AND($F37="Analogy",OR($H37="—",$H37="")),1,0)</f>
        <v>0</v>
      </c>
      <c r="X37" s="32" t="n">
        <f aca="false">IF(AND(OR($F37="Analogy",$F37="Assumed"),$G37&lt;&gt;"低",$G37&lt;&gt;"高",NOT(ISNUMBER($K37)),NOT(ISNUMBER($L37)),OR($M37="—",$M37="")),1,0)</f>
        <v>0</v>
      </c>
      <c r="Y37" s="32" t="n">
        <f aca="false">IF(AND(OR($F37="Analogy",$F37="Assumed",$F37="Derived（待改公式）",$F37="Derived（公式）"),OR($N37="—",$N37="",$N37=0)),1,0)</f>
        <v>0</v>
      </c>
      <c r="Z37" s="32" t="n">
        <f aca="false">IF(AND($F37="Decision",OR($J37="—",$J37="")),1,0)</f>
        <v>0</v>
      </c>
      <c r="AA37" s="33" t="n">
        <f aca="false">IF(OR($J37="—",$J37=""),0,IF(COUNTIF(Decisions!$A$5:$A$300,$J37)=0,1,0))</f>
        <v>0</v>
      </c>
      <c r="AB37" s="32" t="n">
        <f aca="false">IF(AND($F37="原始數據",$S37&lt;&gt;"Active"),1,0)</f>
        <v>0</v>
      </c>
      <c r="AC37" s="32" t="n">
        <f aca="false">IF(AND(ISNUMBER($K37),ISNUMBER($L37),ISNUMBER($Q37)),IF(OR($Q37&lt;MIN($K37,$L37),$Q37&gt;MAX($K37,$L37)),1,0),0)</f>
        <v>0</v>
      </c>
      <c r="AD37" s="32" t="n">
        <f aca="false">IF(AND(ISNUMBER($T37),$P37="高"),IF($T37=3,1,0),0)</f>
        <v>0</v>
      </c>
      <c r="AE37" s="32" t="n">
        <f aca="false">IF($S37="不存在",1,0)</f>
        <v>0</v>
      </c>
      <c r="AF37" s="44" t="str">
        <f aca="false">IF(OR($H37="—",$H37=""),"—",MATCH($H37,IDX_SrcID,0))</f>
        <v>—</v>
      </c>
      <c r="AG37" s="32" t="n">
        <f aca="false">IF(AND($P37="高",OR($AD37=1,$X37=1)),1,0)</f>
        <v>0</v>
      </c>
      <c r="AH37" s="32" t="n">
        <f aca="false">IF(AND($P37="高",$AG37=0,OR($F37&lt;&gt;"原始數據",$T37&lt;&gt;1)),1,0)</f>
        <v>0</v>
      </c>
      <c r="AI37" s="44" t="str">
        <f aca="false">IF(AND($P37="高",ISNUMBER($AF37)),INDEX(IDX_SrcDate,$AF37),"—")</f>
        <v>—</v>
      </c>
      <c r="AJ37" s="32" t="n">
        <f aca="false">IF(AND(ISTEXT($AI37),LEN($AI37)=10),IF(ISNUMBER(VALUE(SUBSTITUTE($AI37,"-",""))),VALUE(SUBSTITUTE($AI37,"-","")),0),0)</f>
        <v>0</v>
      </c>
    </row>
    <row r="38" customFormat="false" ht="15" hidden="false" customHeight="true" outlineLevel="0" collapsed="false">
      <c r="A38" s="30" t="s">
        <v>4604</v>
      </c>
      <c r="B38" s="239" t="s">
        <v>4525</v>
      </c>
      <c r="C38" s="30" t="s">
        <v>4526</v>
      </c>
      <c r="D38" s="30" t="s">
        <v>4605</v>
      </c>
      <c r="E38" s="20" t="s">
        <v>144</v>
      </c>
      <c r="F38" s="30" t="s">
        <v>114</v>
      </c>
      <c r="G38" s="239" t="s">
        <v>97</v>
      </c>
      <c r="H38" s="30" t="s">
        <v>751</v>
      </c>
      <c r="I38" s="6" t="s">
        <v>751</v>
      </c>
      <c r="J38" s="30" t="s">
        <v>751</v>
      </c>
      <c r="K38" s="196" t="n">
        <f aca="false">Inputs!$D$21</f>
        <v>0.12</v>
      </c>
      <c r="L38" s="196" t="n">
        <f aca="false">Inputs!$F$21</f>
        <v>0.18</v>
      </c>
      <c r="M38" s="30" t="s">
        <v>751</v>
      </c>
      <c r="N38" s="6" t="s">
        <v>4606</v>
      </c>
      <c r="O38" s="6" t="s">
        <v>751</v>
      </c>
      <c r="P38" s="239" t="s">
        <v>1308</v>
      </c>
      <c r="Q38" s="196" t="n">
        <f aca="false">Inputs!E21</f>
        <v>0.15</v>
      </c>
      <c r="R38" s="30" t="s">
        <v>751</v>
      </c>
      <c r="S38" s="44" t="str">
        <f aca="false">IF(ISNUMBER($AF38),INDEX(IDX_SrcStat,$AF38),"—")</f>
        <v>—</v>
      </c>
      <c r="T38" s="44" t="str">
        <f aca="false">IF(ISNUMBER($AF38),INDEX(IDX_SrcGrade,$AF38),"—")</f>
        <v>—</v>
      </c>
      <c r="U38" s="44" t="s">
        <v>4531</v>
      </c>
      <c r="V38" s="32" t="n">
        <f aca="false">IF(AND($F38="原始數據",$U38&lt;&gt;"連結 SRC"),1,0)</f>
        <v>0</v>
      </c>
      <c r="W38" s="32" t="n">
        <f aca="false">IF(AND($F38="Analogy",OR($H38="—",$H38="")),1,0)</f>
        <v>0</v>
      </c>
      <c r="X38" s="32" t="n">
        <f aca="false">IF(AND(OR($F38="Analogy",$F38="Assumed"),$G38&lt;&gt;"低",$G38&lt;&gt;"高",NOT(ISNUMBER($K38)),NOT(ISNUMBER($L38)),OR($M38="—",$M38="")),1,0)</f>
        <v>0</v>
      </c>
      <c r="Y38" s="32" t="n">
        <f aca="false">IF(AND(OR($F38="Analogy",$F38="Assumed",$F38="Derived（待改公式）",$F38="Derived（公式）"),OR($N38="—",$N38="",$N38=0)),1,0)</f>
        <v>0</v>
      </c>
      <c r="Z38" s="32" t="n">
        <f aca="false">IF(AND($F38="Decision",OR($J38="—",$J38="")),1,0)</f>
        <v>0</v>
      </c>
      <c r="AA38" s="33" t="n">
        <f aca="false">IF(OR($J38="—",$J38=""),0,IF(COUNTIF(Decisions!$A$5:$A$300,$J38)=0,1,0))</f>
        <v>0</v>
      </c>
      <c r="AB38" s="32" t="n">
        <f aca="false">IF(AND($F38="原始數據",$S38&lt;&gt;"Active"),1,0)</f>
        <v>0</v>
      </c>
      <c r="AC38" s="32" t="n">
        <f aca="false">IF(AND(ISNUMBER($K38),ISNUMBER($L38),ISNUMBER($Q38)),IF(OR($Q38&lt;MIN($K38,$L38),$Q38&gt;MAX($K38,$L38)),1,0),0)</f>
        <v>0</v>
      </c>
      <c r="AD38" s="32" t="n">
        <f aca="false">IF(AND(ISNUMBER($T38),$P38="高"),IF($T38=3,1,0),0)</f>
        <v>0</v>
      </c>
      <c r="AE38" s="32" t="n">
        <f aca="false">IF($S38="不存在",1,0)</f>
        <v>0</v>
      </c>
      <c r="AF38" s="44" t="str">
        <f aca="false">IF(OR($H38="—",$H38=""),"—",MATCH($H38,IDX_SrcID,0))</f>
        <v>—</v>
      </c>
      <c r="AG38" s="32" t="n">
        <f aca="false">IF(AND($P38="高",OR($AD38=1,$X38=1)),1,0)</f>
        <v>0</v>
      </c>
      <c r="AH38" s="32" t="n">
        <f aca="false">IF(AND($P38="高",$AG38=0,OR($F38&lt;&gt;"原始數據",$T38&lt;&gt;1)),1,0)</f>
        <v>0</v>
      </c>
      <c r="AI38" s="44" t="str">
        <f aca="false">IF(AND($P38="高",ISNUMBER($AF38)),INDEX(IDX_SrcDate,$AF38),"—")</f>
        <v>—</v>
      </c>
      <c r="AJ38" s="32" t="n">
        <f aca="false">IF(AND(ISTEXT($AI38),LEN($AI38)=10),IF(ISNUMBER(VALUE(SUBSTITUTE($AI38,"-",""))),VALUE(SUBSTITUTE($AI38,"-","")),0),0)</f>
        <v>0</v>
      </c>
    </row>
    <row r="39" customFormat="false" ht="15" hidden="false" customHeight="true" outlineLevel="0" collapsed="false">
      <c r="A39" s="30" t="s">
        <v>4607</v>
      </c>
      <c r="B39" s="239" t="s">
        <v>4525</v>
      </c>
      <c r="C39" s="30" t="s">
        <v>4526</v>
      </c>
      <c r="D39" s="30" t="s">
        <v>4608</v>
      </c>
      <c r="E39" s="20" t="s">
        <v>144</v>
      </c>
      <c r="F39" s="30" t="s">
        <v>114</v>
      </c>
      <c r="G39" s="239" t="s">
        <v>1308</v>
      </c>
      <c r="H39" s="30" t="s">
        <v>751</v>
      </c>
      <c r="I39" s="6" t="s">
        <v>751</v>
      </c>
      <c r="J39" s="30" t="s">
        <v>751</v>
      </c>
      <c r="K39" s="239"/>
      <c r="L39" s="239"/>
      <c r="M39" s="30" t="s">
        <v>751</v>
      </c>
      <c r="N39" s="6" t="s">
        <v>4606</v>
      </c>
      <c r="O39" s="6" t="s">
        <v>751</v>
      </c>
      <c r="P39" s="239" t="s">
        <v>1308</v>
      </c>
      <c r="Q39" s="196" t="n">
        <f aca="false">Inputs!D21</f>
        <v>0.12</v>
      </c>
      <c r="R39" s="30" t="s">
        <v>751</v>
      </c>
      <c r="S39" s="44" t="str">
        <f aca="false">IF(ISNUMBER($AF39),INDEX(IDX_SrcStat,$AF39),"—")</f>
        <v>—</v>
      </c>
      <c r="T39" s="44" t="str">
        <f aca="false">IF(ISNUMBER($AF39),INDEX(IDX_SrcGrade,$AF39),"—")</f>
        <v>—</v>
      </c>
      <c r="U39" s="44" t="s">
        <v>4531</v>
      </c>
      <c r="V39" s="32" t="n">
        <f aca="false">IF(AND($F39="原始數據",$U39&lt;&gt;"連結 SRC"),1,0)</f>
        <v>0</v>
      </c>
      <c r="W39" s="32" t="n">
        <f aca="false">IF(AND($F39="Analogy",OR($H39="—",$H39="")),1,0)</f>
        <v>0</v>
      </c>
      <c r="X39" s="32" t="n">
        <f aca="false">IF(AND(OR($F39="Analogy",$F39="Assumed"),$G39&lt;&gt;"低",$G39&lt;&gt;"高",NOT(ISNUMBER($K39)),NOT(ISNUMBER($L39)),OR($M39="—",$M39="")),1,0)</f>
        <v>0</v>
      </c>
      <c r="Y39" s="32" t="n">
        <f aca="false">IF(AND(OR($F39="Analogy",$F39="Assumed",$F39="Derived（待改公式）",$F39="Derived（公式）"),OR($N39="—",$N39="",$N39=0)),1,0)</f>
        <v>0</v>
      </c>
      <c r="Z39" s="32" t="n">
        <f aca="false">IF(AND($F39="Decision",OR($J39="—",$J39="")),1,0)</f>
        <v>0</v>
      </c>
      <c r="AA39" s="33" t="n">
        <f aca="false">IF(OR($J39="—",$J39=""),0,IF(COUNTIF(Decisions!$A$5:$A$300,$J39)=0,1,0))</f>
        <v>0</v>
      </c>
      <c r="AB39" s="32" t="n">
        <f aca="false">IF(AND($F39="原始數據",$S39&lt;&gt;"Active"),1,0)</f>
        <v>0</v>
      </c>
      <c r="AC39" s="32" t="n">
        <f aca="false">IF(AND(ISNUMBER($K39),ISNUMBER($L39),ISNUMBER($Q39)),IF(OR($Q39&lt;MIN($K39,$L39),$Q39&gt;MAX($K39,$L39)),1,0),0)</f>
        <v>0</v>
      </c>
      <c r="AD39" s="32" t="n">
        <f aca="false">IF(AND(ISNUMBER($T39),$P39="高"),IF($T39=3,1,0),0)</f>
        <v>0</v>
      </c>
      <c r="AE39" s="32" t="n">
        <f aca="false">IF($S39="不存在",1,0)</f>
        <v>0</v>
      </c>
      <c r="AF39" s="44" t="str">
        <f aca="false">IF(OR($H39="—",$H39=""),"—",MATCH($H39,IDX_SrcID,0))</f>
        <v>—</v>
      </c>
      <c r="AG39" s="32" t="n">
        <f aca="false">IF(AND($P39="高",OR($AD39=1,$X39=1)),1,0)</f>
        <v>0</v>
      </c>
      <c r="AH39" s="32" t="n">
        <f aca="false">IF(AND($P39="高",$AG39=0,OR($F39&lt;&gt;"原始數據",$T39&lt;&gt;1)),1,0)</f>
        <v>0</v>
      </c>
      <c r="AI39" s="44" t="str">
        <f aca="false">IF(AND($P39="高",ISNUMBER($AF39)),INDEX(IDX_SrcDate,$AF39),"—")</f>
        <v>—</v>
      </c>
      <c r="AJ39" s="32" t="n">
        <f aca="false">IF(AND(ISTEXT($AI39),LEN($AI39)=10),IF(ISNUMBER(VALUE(SUBSTITUTE($AI39,"-",""))),VALUE(SUBSTITUTE($AI39,"-","")),0),0)</f>
        <v>0</v>
      </c>
    </row>
    <row r="40" customFormat="false" ht="15" hidden="false" customHeight="true" outlineLevel="0" collapsed="false">
      <c r="A40" s="30" t="s">
        <v>4609</v>
      </c>
      <c r="B40" s="239" t="s">
        <v>4525</v>
      </c>
      <c r="C40" s="30" t="s">
        <v>4526</v>
      </c>
      <c r="D40" s="30" t="s">
        <v>4610</v>
      </c>
      <c r="E40" s="20" t="s">
        <v>144</v>
      </c>
      <c r="F40" s="30" t="s">
        <v>114</v>
      </c>
      <c r="G40" s="239" t="s">
        <v>1309</v>
      </c>
      <c r="H40" s="30" t="s">
        <v>751</v>
      </c>
      <c r="I40" s="6" t="s">
        <v>751</v>
      </c>
      <c r="J40" s="30" t="s">
        <v>751</v>
      </c>
      <c r="K40" s="239"/>
      <c r="L40" s="239"/>
      <c r="M40" s="30" t="s">
        <v>751</v>
      </c>
      <c r="N40" s="6" t="s">
        <v>4606</v>
      </c>
      <c r="O40" s="6" t="s">
        <v>751</v>
      </c>
      <c r="P40" s="239" t="s">
        <v>1308</v>
      </c>
      <c r="Q40" s="196" t="n">
        <f aca="false">Inputs!F21</f>
        <v>0.18</v>
      </c>
      <c r="R40" s="30" t="s">
        <v>751</v>
      </c>
      <c r="S40" s="44" t="str">
        <f aca="false">IF(ISNUMBER($AF40),INDEX(IDX_SrcStat,$AF40),"—")</f>
        <v>—</v>
      </c>
      <c r="T40" s="44" t="str">
        <f aca="false">IF(ISNUMBER($AF40),INDEX(IDX_SrcGrade,$AF40),"—")</f>
        <v>—</v>
      </c>
      <c r="U40" s="44" t="s">
        <v>4531</v>
      </c>
      <c r="V40" s="32" t="n">
        <f aca="false">IF(AND($F40="原始數據",$U40&lt;&gt;"連結 SRC"),1,0)</f>
        <v>0</v>
      </c>
      <c r="W40" s="32" t="n">
        <f aca="false">IF(AND($F40="Analogy",OR($H40="—",$H40="")),1,0)</f>
        <v>0</v>
      </c>
      <c r="X40" s="32" t="n">
        <f aca="false">IF(AND(OR($F40="Analogy",$F40="Assumed"),$G40&lt;&gt;"低",$G40&lt;&gt;"高",NOT(ISNUMBER($K40)),NOT(ISNUMBER($L40)),OR($M40="—",$M40="")),1,0)</f>
        <v>0</v>
      </c>
      <c r="Y40" s="32" t="n">
        <f aca="false">IF(AND(OR($F40="Analogy",$F40="Assumed",$F40="Derived（待改公式）",$F40="Derived（公式）"),OR($N40="—",$N40="",$N40=0)),1,0)</f>
        <v>0</v>
      </c>
      <c r="Z40" s="32" t="n">
        <f aca="false">IF(AND($F40="Decision",OR($J40="—",$J40="")),1,0)</f>
        <v>0</v>
      </c>
      <c r="AA40" s="33" t="n">
        <f aca="false">IF(OR($J40="—",$J40=""),0,IF(COUNTIF(Decisions!$A$5:$A$300,$J40)=0,1,0))</f>
        <v>0</v>
      </c>
      <c r="AB40" s="32" t="n">
        <f aca="false">IF(AND($F40="原始數據",$S40&lt;&gt;"Active"),1,0)</f>
        <v>0</v>
      </c>
      <c r="AC40" s="32" t="n">
        <f aca="false">IF(AND(ISNUMBER($K40),ISNUMBER($L40),ISNUMBER($Q40)),IF(OR($Q40&lt;MIN($K40,$L40),$Q40&gt;MAX($K40,$L40)),1,0),0)</f>
        <v>0</v>
      </c>
      <c r="AD40" s="32" t="n">
        <f aca="false">IF(AND(ISNUMBER($T40),$P40="高"),IF($T40=3,1,0),0)</f>
        <v>0</v>
      </c>
      <c r="AE40" s="32" t="n">
        <f aca="false">IF($S40="不存在",1,0)</f>
        <v>0</v>
      </c>
      <c r="AF40" s="44" t="str">
        <f aca="false">IF(OR($H40="—",$H40=""),"—",MATCH($H40,IDX_SrcID,0))</f>
        <v>—</v>
      </c>
      <c r="AG40" s="32" t="n">
        <f aca="false">IF(AND($P40="高",OR($AD40=1,$X40=1)),1,0)</f>
        <v>0</v>
      </c>
      <c r="AH40" s="32" t="n">
        <f aca="false">IF(AND($P40="高",$AG40=0,OR($F40&lt;&gt;"原始數據",$T40&lt;&gt;1)),1,0)</f>
        <v>0</v>
      </c>
      <c r="AI40" s="44" t="str">
        <f aca="false">IF(AND($P40="高",ISNUMBER($AF40)),INDEX(IDX_SrcDate,$AF40),"—")</f>
        <v>—</v>
      </c>
      <c r="AJ40" s="32" t="n">
        <f aca="false">IF(AND(ISTEXT($AI40),LEN($AI40)=10),IF(ISNUMBER(VALUE(SUBSTITUTE($AI40,"-",""))),VALUE(SUBSTITUTE($AI40,"-","")),0),0)</f>
        <v>0</v>
      </c>
    </row>
    <row r="41" customFormat="false" ht="29.25" hidden="false" customHeight="true" outlineLevel="0" collapsed="false">
      <c r="A41" s="30" t="s">
        <v>4611</v>
      </c>
      <c r="B41" s="239" t="s">
        <v>4525</v>
      </c>
      <c r="C41" s="30" t="s">
        <v>4526</v>
      </c>
      <c r="D41" s="30" t="s">
        <v>4612</v>
      </c>
      <c r="E41" s="6" t="s">
        <v>157</v>
      </c>
      <c r="F41" s="30" t="s">
        <v>114</v>
      </c>
      <c r="G41" s="239" t="s">
        <v>97</v>
      </c>
      <c r="H41" s="30" t="s">
        <v>751</v>
      </c>
      <c r="I41" s="6" t="s">
        <v>751</v>
      </c>
      <c r="J41" s="30" t="s">
        <v>4545</v>
      </c>
      <c r="K41" s="196" t="n">
        <f aca="false">Inputs!$D$28</f>
        <v>0.08</v>
      </c>
      <c r="L41" s="196" t="n">
        <f aca="false">Inputs!$F$28</f>
        <v>0.13</v>
      </c>
      <c r="M41" s="30" t="s">
        <v>751</v>
      </c>
      <c r="N41" s="240" t="str">
        <f aca="false">Inputs!$H$28</f>
        <v>與擁有者無關的單一假設；下游公司模型以自身 WACC 覆寫（Andy 2026-09-30 決定）</v>
      </c>
      <c r="O41" s="6" t="s">
        <v>751</v>
      </c>
      <c r="P41" s="239" t="s">
        <v>4586</v>
      </c>
      <c r="Q41" s="196" t="n">
        <f aca="false">Inputs!E28</f>
        <v>0.1</v>
      </c>
      <c r="R41" s="30" t="s">
        <v>751</v>
      </c>
      <c r="S41" s="44" t="str">
        <f aca="false">IF(ISNUMBER($AF41),INDEX(IDX_SrcStat,$AF41),"—")</f>
        <v>—</v>
      </c>
      <c r="T41" s="44" t="str">
        <f aca="false">IF(ISNUMBER($AF41),INDEX(IDX_SrcGrade,$AF41),"—")</f>
        <v>—</v>
      </c>
      <c r="U41" s="44" t="s">
        <v>4531</v>
      </c>
      <c r="V41" s="32" t="n">
        <f aca="false">IF(AND($F41="原始數據",$U41&lt;&gt;"連結 SRC"),1,0)</f>
        <v>0</v>
      </c>
      <c r="W41" s="32" t="n">
        <f aca="false">IF(AND($F41="Analogy",OR($H41="—",$H41="")),1,0)</f>
        <v>0</v>
      </c>
      <c r="X41" s="32" t="n">
        <f aca="false">IF(AND(OR($F41="Analogy",$F41="Assumed"),$G41&lt;&gt;"低",$G41&lt;&gt;"高",NOT(ISNUMBER($K41)),NOT(ISNUMBER($L41)),OR($M41="—",$M41="")),1,0)</f>
        <v>0</v>
      </c>
      <c r="Y41" s="32" t="n">
        <f aca="false">IF(AND(OR($F41="Analogy",$F41="Assumed",$F41="Derived（待改公式）",$F41="Derived（公式）"),OR($N41="—",$N41="",$N41=0)),1,0)</f>
        <v>0</v>
      </c>
      <c r="Z41" s="32" t="n">
        <f aca="false">IF(AND($F41="Decision",OR($J41="—",$J41="")),1,0)</f>
        <v>0</v>
      </c>
      <c r="AA41" s="33" t="n">
        <f aca="false">IF(OR($J41="—",$J41=""),0,IF(COUNTIF(Decisions!$A$5:$A$300,$J41)=0,1,0))</f>
        <v>0</v>
      </c>
      <c r="AB41" s="32" t="n">
        <f aca="false">IF(AND($F41="原始數據",$S41&lt;&gt;"Active"),1,0)</f>
        <v>0</v>
      </c>
      <c r="AC41" s="32" t="n">
        <f aca="false">IF(AND(ISNUMBER($K41),ISNUMBER($L41),ISNUMBER($Q41)),IF(OR($Q41&lt;MIN($K41,$L41),$Q41&gt;MAX($K41,$L41)),1,0),0)</f>
        <v>0</v>
      </c>
      <c r="AD41" s="32" t="n">
        <f aca="false">IF(AND(ISNUMBER($T41),$P41="高"),IF($T41=3,1,0),0)</f>
        <v>0</v>
      </c>
      <c r="AE41" s="32" t="n">
        <f aca="false">IF($S41="不存在",1,0)</f>
        <v>0</v>
      </c>
      <c r="AF41" s="44" t="str">
        <f aca="false">IF(OR($H41="—",$H41=""),"—",MATCH($H41,IDX_SrcID,0))</f>
        <v>—</v>
      </c>
      <c r="AG41" s="32" t="n">
        <f aca="false">IF(AND($P41="高",OR($AD41=1,$X41=1)),1,0)</f>
        <v>0</v>
      </c>
      <c r="AH41" s="32" t="n">
        <f aca="false">IF(AND($P41="高",$AG41=0,OR($F41&lt;&gt;"原始數據",$T41&lt;&gt;1)),1,0)</f>
        <v>0</v>
      </c>
      <c r="AI41" s="44" t="str">
        <f aca="false">IF(AND($P41="高",ISNUMBER($AF41)),INDEX(IDX_SrcDate,$AF41),"—")</f>
        <v>—</v>
      </c>
      <c r="AJ41" s="32" t="n">
        <f aca="false">IF(AND(ISTEXT($AI41),LEN($AI41)=10),IF(ISNUMBER(VALUE(SUBSTITUTE($AI41,"-",""))),VALUE(SUBSTITUTE($AI41,"-","")),0),0)</f>
        <v>0</v>
      </c>
    </row>
    <row r="42" customFormat="false" ht="29.25" hidden="false" customHeight="true" outlineLevel="0" collapsed="false">
      <c r="A42" s="30" t="s">
        <v>4613</v>
      </c>
      <c r="B42" s="239" t="s">
        <v>4525</v>
      </c>
      <c r="C42" s="30" t="s">
        <v>4526</v>
      </c>
      <c r="D42" s="30" t="s">
        <v>4614</v>
      </c>
      <c r="E42" s="6" t="s">
        <v>157</v>
      </c>
      <c r="F42" s="30" t="s">
        <v>114</v>
      </c>
      <c r="G42" s="239" t="s">
        <v>1308</v>
      </c>
      <c r="H42" s="30" t="s">
        <v>751</v>
      </c>
      <c r="I42" s="6" t="s">
        <v>751</v>
      </c>
      <c r="J42" s="30" t="s">
        <v>751</v>
      </c>
      <c r="K42" s="239"/>
      <c r="L42" s="239"/>
      <c r="M42" s="30" t="s">
        <v>751</v>
      </c>
      <c r="N42" s="240" t="str">
        <f aca="false">Inputs!$H$28</f>
        <v>與擁有者無關的單一假設；下游公司模型以自身 WACC 覆寫（Andy 2026-09-30 決定）</v>
      </c>
      <c r="O42" s="6" t="s">
        <v>751</v>
      </c>
      <c r="P42" s="239" t="s">
        <v>4586</v>
      </c>
      <c r="Q42" s="196" t="n">
        <f aca="false">Inputs!D28</f>
        <v>0.08</v>
      </c>
      <c r="R42" s="30" t="s">
        <v>751</v>
      </c>
      <c r="S42" s="44" t="str">
        <f aca="false">IF(ISNUMBER($AF42),INDEX(IDX_SrcStat,$AF42),"—")</f>
        <v>—</v>
      </c>
      <c r="T42" s="44" t="str">
        <f aca="false">IF(ISNUMBER($AF42),INDEX(IDX_SrcGrade,$AF42),"—")</f>
        <v>—</v>
      </c>
      <c r="U42" s="44" t="s">
        <v>4531</v>
      </c>
      <c r="V42" s="32" t="n">
        <f aca="false">IF(AND($F42="原始數據",$U42&lt;&gt;"連結 SRC"),1,0)</f>
        <v>0</v>
      </c>
      <c r="W42" s="32" t="n">
        <f aca="false">IF(AND($F42="Analogy",OR($H42="—",$H42="")),1,0)</f>
        <v>0</v>
      </c>
      <c r="X42" s="32" t="n">
        <f aca="false">IF(AND(OR($F42="Analogy",$F42="Assumed"),$G42&lt;&gt;"低",$G42&lt;&gt;"高",NOT(ISNUMBER($K42)),NOT(ISNUMBER($L42)),OR($M42="—",$M42="")),1,0)</f>
        <v>0</v>
      </c>
      <c r="Y42" s="32" t="n">
        <f aca="false">IF(AND(OR($F42="Analogy",$F42="Assumed",$F42="Derived（待改公式）",$F42="Derived（公式）"),OR($N42="—",$N42="",$N42=0)),1,0)</f>
        <v>0</v>
      </c>
      <c r="Z42" s="32" t="n">
        <f aca="false">IF(AND($F42="Decision",OR($J42="—",$J42="")),1,0)</f>
        <v>0</v>
      </c>
      <c r="AA42" s="33" t="n">
        <f aca="false">IF(OR($J42="—",$J42=""),0,IF(COUNTIF(Decisions!$A$5:$A$300,$J42)=0,1,0))</f>
        <v>0</v>
      </c>
      <c r="AB42" s="32" t="n">
        <f aca="false">IF(AND($F42="原始數據",$S42&lt;&gt;"Active"),1,0)</f>
        <v>0</v>
      </c>
      <c r="AC42" s="32" t="n">
        <f aca="false">IF(AND(ISNUMBER($K42),ISNUMBER($L42),ISNUMBER($Q42)),IF(OR($Q42&lt;MIN($K42,$L42),$Q42&gt;MAX($K42,$L42)),1,0),0)</f>
        <v>0</v>
      </c>
      <c r="AD42" s="32" t="n">
        <f aca="false">IF(AND(ISNUMBER($T42),$P42="高"),IF($T42=3,1,0),0)</f>
        <v>0</v>
      </c>
      <c r="AE42" s="32" t="n">
        <f aca="false">IF($S42="不存在",1,0)</f>
        <v>0</v>
      </c>
      <c r="AF42" s="44" t="str">
        <f aca="false">IF(OR($H42="—",$H42=""),"—",MATCH($H42,IDX_SrcID,0))</f>
        <v>—</v>
      </c>
      <c r="AG42" s="32" t="n">
        <f aca="false">IF(AND($P42="高",OR($AD42=1,$X42=1)),1,0)</f>
        <v>0</v>
      </c>
      <c r="AH42" s="32" t="n">
        <f aca="false">IF(AND($P42="高",$AG42=0,OR($F42&lt;&gt;"原始數據",$T42&lt;&gt;1)),1,0)</f>
        <v>0</v>
      </c>
      <c r="AI42" s="44" t="str">
        <f aca="false">IF(AND($P42="高",ISNUMBER($AF42)),INDEX(IDX_SrcDate,$AF42),"—")</f>
        <v>—</v>
      </c>
      <c r="AJ42" s="32" t="n">
        <f aca="false">IF(AND(ISTEXT($AI42),LEN($AI42)=10),IF(ISNUMBER(VALUE(SUBSTITUTE($AI42,"-",""))),VALUE(SUBSTITUTE($AI42,"-","")),0),0)</f>
        <v>0</v>
      </c>
    </row>
    <row r="43" customFormat="false" ht="29.25" hidden="false" customHeight="true" outlineLevel="0" collapsed="false">
      <c r="A43" s="30" t="s">
        <v>4615</v>
      </c>
      <c r="B43" s="239" t="s">
        <v>4525</v>
      </c>
      <c r="C43" s="30" t="s">
        <v>4526</v>
      </c>
      <c r="D43" s="30" t="s">
        <v>4616</v>
      </c>
      <c r="E43" s="6" t="s">
        <v>157</v>
      </c>
      <c r="F43" s="30" t="s">
        <v>114</v>
      </c>
      <c r="G43" s="239" t="s">
        <v>1309</v>
      </c>
      <c r="H43" s="30" t="s">
        <v>751</v>
      </c>
      <c r="I43" s="6" t="s">
        <v>751</v>
      </c>
      <c r="J43" s="30" t="s">
        <v>751</v>
      </c>
      <c r="K43" s="239"/>
      <c r="L43" s="239"/>
      <c r="M43" s="30" t="s">
        <v>751</v>
      </c>
      <c r="N43" s="240" t="str">
        <f aca="false">Inputs!$H$28</f>
        <v>與擁有者無關的單一假設；下游公司模型以自身 WACC 覆寫（Andy 2026-09-30 決定）</v>
      </c>
      <c r="O43" s="6" t="s">
        <v>751</v>
      </c>
      <c r="P43" s="239" t="s">
        <v>4586</v>
      </c>
      <c r="Q43" s="196" t="n">
        <f aca="false">Inputs!F28</f>
        <v>0.13</v>
      </c>
      <c r="R43" s="30" t="s">
        <v>751</v>
      </c>
      <c r="S43" s="44" t="str">
        <f aca="false">IF(ISNUMBER($AF43),INDEX(IDX_SrcStat,$AF43),"—")</f>
        <v>—</v>
      </c>
      <c r="T43" s="44" t="str">
        <f aca="false">IF(ISNUMBER($AF43),INDEX(IDX_SrcGrade,$AF43),"—")</f>
        <v>—</v>
      </c>
      <c r="U43" s="44" t="s">
        <v>4531</v>
      </c>
      <c r="V43" s="32" t="n">
        <f aca="false">IF(AND($F43="原始數據",$U43&lt;&gt;"連結 SRC"),1,0)</f>
        <v>0</v>
      </c>
      <c r="W43" s="32" t="n">
        <f aca="false">IF(AND($F43="Analogy",OR($H43="—",$H43="")),1,0)</f>
        <v>0</v>
      </c>
      <c r="X43" s="32" t="n">
        <f aca="false">IF(AND(OR($F43="Analogy",$F43="Assumed"),$G43&lt;&gt;"低",$G43&lt;&gt;"高",NOT(ISNUMBER($K43)),NOT(ISNUMBER($L43)),OR($M43="—",$M43="")),1,0)</f>
        <v>0</v>
      </c>
      <c r="Y43" s="32" t="n">
        <f aca="false">IF(AND(OR($F43="Analogy",$F43="Assumed",$F43="Derived（待改公式）",$F43="Derived（公式）"),OR($N43="—",$N43="",$N43=0)),1,0)</f>
        <v>0</v>
      </c>
      <c r="Z43" s="32" t="n">
        <f aca="false">IF(AND($F43="Decision",OR($J43="—",$J43="")),1,0)</f>
        <v>0</v>
      </c>
      <c r="AA43" s="33" t="n">
        <f aca="false">IF(OR($J43="—",$J43=""),0,IF(COUNTIF(Decisions!$A$5:$A$300,$J43)=0,1,0))</f>
        <v>0</v>
      </c>
      <c r="AB43" s="32" t="n">
        <f aca="false">IF(AND($F43="原始數據",$S43&lt;&gt;"Active"),1,0)</f>
        <v>0</v>
      </c>
      <c r="AC43" s="32" t="n">
        <f aca="false">IF(AND(ISNUMBER($K43),ISNUMBER($L43),ISNUMBER($Q43)),IF(OR($Q43&lt;MIN($K43,$L43),$Q43&gt;MAX($K43,$L43)),1,0),0)</f>
        <v>0</v>
      </c>
      <c r="AD43" s="32" t="n">
        <f aca="false">IF(AND(ISNUMBER($T43),$P43="高"),IF($T43=3,1,0),0)</f>
        <v>0</v>
      </c>
      <c r="AE43" s="32" t="n">
        <f aca="false">IF($S43="不存在",1,0)</f>
        <v>0</v>
      </c>
      <c r="AF43" s="44" t="str">
        <f aca="false">IF(OR($H43="—",$H43=""),"—",MATCH($H43,IDX_SrcID,0))</f>
        <v>—</v>
      </c>
      <c r="AG43" s="32" t="n">
        <f aca="false">IF(AND($P43="高",OR($AD43=1,$X43=1)),1,0)</f>
        <v>0</v>
      </c>
      <c r="AH43" s="32" t="n">
        <f aca="false">IF(AND($P43="高",$AG43=0,OR($F43&lt;&gt;"原始數據",$T43&lt;&gt;1)),1,0)</f>
        <v>0</v>
      </c>
      <c r="AI43" s="44" t="str">
        <f aca="false">IF(AND($P43="高",ISNUMBER($AF43)),INDEX(IDX_SrcDate,$AF43),"—")</f>
        <v>—</v>
      </c>
      <c r="AJ43" s="32" t="n">
        <f aca="false">IF(AND(ISTEXT($AI43),LEN($AI43)=10),IF(ISNUMBER(VALUE(SUBSTITUTE($AI43,"-",""))),VALUE(SUBSTITUTE($AI43,"-","")),0),0)</f>
        <v>0</v>
      </c>
    </row>
    <row r="44" customFormat="false" ht="29.25" hidden="false" customHeight="true" outlineLevel="0" collapsed="false">
      <c r="A44" s="30" t="s">
        <v>4617</v>
      </c>
      <c r="B44" s="239" t="s">
        <v>4525</v>
      </c>
      <c r="C44" s="30" t="s">
        <v>4526</v>
      </c>
      <c r="D44" s="30" t="s">
        <v>4618</v>
      </c>
      <c r="E44" s="6" t="s">
        <v>160</v>
      </c>
      <c r="F44" s="30" t="s">
        <v>4619</v>
      </c>
      <c r="G44" s="239" t="s">
        <v>97</v>
      </c>
      <c r="H44" s="30" t="s">
        <v>751</v>
      </c>
      <c r="I44" s="6" t="s">
        <v>751</v>
      </c>
      <c r="J44" s="30" t="s">
        <v>4620</v>
      </c>
      <c r="K44" s="196" t="n">
        <f aca="false">Inputs!$D$30</f>
        <v>0.0102443497224425</v>
      </c>
      <c r="L44" s="196" t="n">
        <f aca="false">Inputs!$F$30</f>
        <v>0.0182477678962645</v>
      </c>
      <c r="M44" s="30" t="s">
        <v>751</v>
      </c>
      <c r="N44" s="6" t="s">
        <v>4621</v>
      </c>
      <c r="O44" s="6" t="s">
        <v>4622</v>
      </c>
      <c r="P44" s="239" t="s">
        <v>1308</v>
      </c>
      <c r="Q44" s="196" t="n">
        <f aca="false">Inputs!E30</f>
        <v>0.0157250107250107</v>
      </c>
      <c r="R44" s="30" t="s">
        <v>751</v>
      </c>
      <c r="S44" s="44" t="str">
        <f aca="false">IF(ISNUMBER($AF44),INDEX(IDX_SrcStat,$AF44),"—")</f>
        <v>—</v>
      </c>
      <c r="T44" s="44" t="str">
        <f aca="false">IF(ISNUMBER($AF44),INDEX(IDX_SrcGrade,$AF44),"—")</f>
        <v>—</v>
      </c>
      <c r="U44" s="44" t="s">
        <v>4623</v>
      </c>
      <c r="V44" s="32" t="n">
        <f aca="false">IF(AND($F44="原始數據",$U44&lt;&gt;"連結 SRC"),1,0)</f>
        <v>0</v>
      </c>
      <c r="W44" s="32" t="n">
        <f aca="false">IF(AND($F44="Analogy",OR($H44="—",$H44="")),1,0)</f>
        <v>0</v>
      </c>
      <c r="X44" s="32" t="n">
        <f aca="false">IF(AND(OR($F44="Analogy",$F44="Assumed"),$G44&lt;&gt;"低",$G44&lt;&gt;"高",NOT(ISNUMBER($K44)),NOT(ISNUMBER($L44)),OR($M44="—",$M44="")),1,0)</f>
        <v>0</v>
      </c>
      <c r="Y44" s="32" t="n">
        <f aca="false">IF(AND(OR($F44="Analogy",$F44="Assumed",$F44="Derived（待改公式）",$F44="Derived（公式）"),OR($N44="—",$N44="",$N44=0)),1,0)</f>
        <v>0</v>
      </c>
      <c r="Z44" s="32" t="n">
        <f aca="false">IF(AND($F44="Decision",OR($J44="—",$J44="")),1,0)</f>
        <v>0</v>
      </c>
      <c r="AA44" s="33" t="n">
        <f aca="false">IF(OR($J44="—",$J44=""),0,IF(COUNTIF(Decisions!$A$5:$A$300,$J44)=0,1,0))</f>
        <v>0</v>
      </c>
      <c r="AB44" s="32" t="n">
        <f aca="false">IF(AND($F44="原始數據",$S44&lt;&gt;"Active"),1,0)</f>
        <v>0</v>
      </c>
      <c r="AC44" s="32" t="n">
        <f aca="false">IF(AND(ISNUMBER($K44),ISNUMBER($L44),ISNUMBER($Q44)),IF(OR($Q44&lt;MIN($K44,$L44),$Q44&gt;MAX($K44,$L44)),1,0),0)</f>
        <v>0</v>
      </c>
      <c r="AD44" s="32" t="n">
        <f aca="false">IF(AND(ISNUMBER($T44),$P44="高"),IF($T44=3,1,0),0)</f>
        <v>0</v>
      </c>
      <c r="AE44" s="32" t="n">
        <f aca="false">IF($S44="不存在",1,0)</f>
        <v>0</v>
      </c>
      <c r="AF44" s="44" t="str">
        <f aca="false">IF(OR($H44="—",$H44=""),"—",MATCH($H44,IDX_SrcID,0))</f>
        <v>—</v>
      </c>
      <c r="AG44" s="32" t="n">
        <f aca="false">IF(AND($P44="高",OR($AD44=1,$X44=1)),1,0)</f>
        <v>0</v>
      </c>
      <c r="AH44" s="32" t="n">
        <f aca="false">IF(AND($P44="高",$AG44=0,OR($F44&lt;&gt;"原始數據",$T44&lt;&gt;1)),1,0)</f>
        <v>0</v>
      </c>
      <c r="AI44" s="44" t="str">
        <f aca="false">IF(AND($P44="高",ISNUMBER($AF44)),INDEX(IDX_SrcDate,$AF44),"—")</f>
        <v>—</v>
      </c>
      <c r="AJ44" s="32" t="n">
        <f aca="false">IF(AND(ISTEXT($AI44),LEN($AI44)=10),IF(ISNUMBER(VALUE(SUBSTITUTE($AI44,"-",""))),VALUE(SUBSTITUTE($AI44,"-","")),0),0)</f>
        <v>0</v>
      </c>
    </row>
    <row r="45" customFormat="false" ht="29.25" hidden="false" customHeight="true" outlineLevel="0" collapsed="false">
      <c r="A45" s="30" t="s">
        <v>4624</v>
      </c>
      <c r="B45" s="239" t="s">
        <v>4525</v>
      </c>
      <c r="C45" s="30" t="s">
        <v>4526</v>
      </c>
      <c r="D45" s="30" t="s">
        <v>4625</v>
      </c>
      <c r="E45" s="6" t="s">
        <v>160</v>
      </c>
      <c r="F45" s="30" t="s">
        <v>4619</v>
      </c>
      <c r="G45" s="239" t="s">
        <v>1308</v>
      </c>
      <c r="H45" s="30" t="s">
        <v>751</v>
      </c>
      <c r="I45" s="6" t="s">
        <v>751</v>
      </c>
      <c r="J45" s="30" t="s">
        <v>4620</v>
      </c>
      <c r="K45" s="239"/>
      <c r="L45" s="239"/>
      <c r="M45" s="30" t="s">
        <v>751</v>
      </c>
      <c r="N45" s="6" t="s">
        <v>4626</v>
      </c>
      <c r="O45" s="6" t="s">
        <v>4622</v>
      </c>
      <c r="P45" s="239" t="s">
        <v>1308</v>
      </c>
      <c r="Q45" s="196" t="n">
        <f aca="false">Inputs!D30</f>
        <v>0.0102443497224425</v>
      </c>
      <c r="R45" s="30" t="s">
        <v>751</v>
      </c>
      <c r="S45" s="44" t="str">
        <f aca="false">IF(ISNUMBER($AF45),INDEX(IDX_SrcStat,$AF45),"—")</f>
        <v>—</v>
      </c>
      <c r="T45" s="44" t="str">
        <f aca="false">IF(ISNUMBER($AF45),INDEX(IDX_SrcGrade,$AF45),"—")</f>
        <v>—</v>
      </c>
      <c r="U45" s="44" t="s">
        <v>4623</v>
      </c>
      <c r="V45" s="32" t="n">
        <f aca="false">IF(AND($F45="原始數據",$U45&lt;&gt;"連結 SRC"),1,0)</f>
        <v>0</v>
      </c>
      <c r="W45" s="32" t="n">
        <f aca="false">IF(AND($F45="Analogy",OR($H45="—",$H45="")),1,0)</f>
        <v>0</v>
      </c>
      <c r="X45" s="32" t="n">
        <f aca="false">IF(AND(OR($F45="Analogy",$F45="Assumed"),$G45&lt;&gt;"低",$G45&lt;&gt;"高",NOT(ISNUMBER($K45)),NOT(ISNUMBER($L45)),OR($M45="—",$M45="")),1,0)</f>
        <v>0</v>
      </c>
      <c r="Y45" s="32" t="n">
        <f aca="false">IF(AND(OR($F45="Analogy",$F45="Assumed",$F45="Derived（待改公式）",$F45="Derived（公式）"),OR($N45="—",$N45="",$N45=0)),1,0)</f>
        <v>0</v>
      </c>
      <c r="Z45" s="32" t="n">
        <f aca="false">IF(AND($F45="Decision",OR($J45="—",$J45="")),1,0)</f>
        <v>0</v>
      </c>
      <c r="AA45" s="33" t="n">
        <f aca="false">IF(OR($J45="—",$J45=""),0,IF(COUNTIF(Decisions!$A$5:$A$300,$J45)=0,1,0))</f>
        <v>0</v>
      </c>
      <c r="AB45" s="32" t="n">
        <f aca="false">IF(AND($F45="原始數據",$S45&lt;&gt;"Active"),1,0)</f>
        <v>0</v>
      </c>
      <c r="AC45" s="32" t="n">
        <f aca="false">IF(AND(ISNUMBER($K45),ISNUMBER($L45),ISNUMBER($Q45)),IF(OR($Q45&lt;MIN($K45,$L45),$Q45&gt;MAX($K45,$L45)),1,0),0)</f>
        <v>0</v>
      </c>
      <c r="AD45" s="32" t="n">
        <f aca="false">IF(AND(ISNUMBER($T45),$P45="高"),IF($T45=3,1,0),0)</f>
        <v>0</v>
      </c>
      <c r="AE45" s="32" t="n">
        <f aca="false">IF($S45="不存在",1,0)</f>
        <v>0</v>
      </c>
      <c r="AF45" s="44" t="str">
        <f aca="false">IF(OR($H45="—",$H45=""),"—",MATCH($H45,IDX_SrcID,0))</f>
        <v>—</v>
      </c>
      <c r="AG45" s="32" t="n">
        <f aca="false">IF(AND($P45="高",OR($AD45=1,$X45=1)),1,0)</f>
        <v>0</v>
      </c>
      <c r="AH45" s="32" t="n">
        <f aca="false">IF(AND($P45="高",$AG45=0,OR($F45&lt;&gt;"原始數據",$T45&lt;&gt;1)),1,0)</f>
        <v>0</v>
      </c>
      <c r="AI45" s="44" t="str">
        <f aca="false">IF(AND($P45="高",ISNUMBER($AF45)),INDEX(IDX_SrcDate,$AF45),"—")</f>
        <v>—</v>
      </c>
      <c r="AJ45" s="32" t="n">
        <f aca="false">IF(AND(ISTEXT($AI45),LEN($AI45)=10),IF(ISNUMBER(VALUE(SUBSTITUTE($AI45,"-",""))),VALUE(SUBSTITUTE($AI45,"-","")),0),0)</f>
        <v>0</v>
      </c>
    </row>
    <row r="46" customFormat="false" ht="29.25" hidden="false" customHeight="true" outlineLevel="0" collapsed="false">
      <c r="A46" s="30" t="s">
        <v>4627</v>
      </c>
      <c r="B46" s="239" t="s">
        <v>4525</v>
      </c>
      <c r="C46" s="30" t="s">
        <v>4526</v>
      </c>
      <c r="D46" s="30" t="s">
        <v>4628</v>
      </c>
      <c r="E46" s="6" t="s">
        <v>160</v>
      </c>
      <c r="F46" s="30" t="s">
        <v>4619</v>
      </c>
      <c r="G46" s="239" t="s">
        <v>1309</v>
      </c>
      <c r="H46" s="30" t="s">
        <v>751</v>
      </c>
      <c r="I46" s="6" t="s">
        <v>751</v>
      </c>
      <c r="J46" s="30" t="s">
        <v>4620</v>
      </c>
      <c r="K46" s="239"/>
      <c r="L46" s="239"/>
      <c r="M46" s="30" t="s">
        <v>751</v>
      </c>
      <c r="N46" s="6" t="s">
        <v>4629</v>
      </c>
      <c r="O46" s="6" t="s">
        <v>4622</v>
      </c>
      <c r="P46" s="239" t="s">
        <v>1308</v>
      </c>
      <c r="Q46" s="196" t="n">
        <f aca="false">Inputs!F30</f>
        <v>0.0182477678962645</v>
      </c>
      <c r="R46" s="30" t="s">
        <v>751</v>
      </c>
      <c r="S46" s="44" t="str">
        <f aca="false">IF(ISNUMBER($AF46),INDEX(IDX_SrcStat,$AF46),"—")</f>
        <v>—</v>
      </c>
      <c r="T46" s="44" t="str">
        <f aca="false">IF(ISNUMBER($AF46),INDEX(IDX_SrcGrade,$AF46),"—")</f>
        <v>—</v>
      </c>
      <c r="U46" s="44" t="s">
        <v>4623</v>
      </c>
      <c r="V46" s="32" t="n">
        <f aca="false">IF(AND($F46="原始數據",$U46&lt;&gt;"連結 SRC"),1,0)</f>
        <v>0</v>
      </c>
      <c r="W46" s="32" t="n">
        <f aca="false">IF(AND($F46="Analogy",OR($H46="—",$H46="")),1,0)</f>
        <v>0</v>
      </c>
      <c r="X46" s="32" t="n">
        <f aca="false">IF(AND(OR($F46="Analogy",$F46="Assumed"),$G46&lt;&gt;"低",$G46&lt;&gt;"高",NOT(ISNUMBER($K46)),NOT(ISNUMBER($L46)),OR($M46="—",$M46="")),1,0)</f>
        <v>0</v>
      </c>
      <c r="Y46" s="32" t="n">
        <f aca="false">IF(AND(OR($F46="Analogy",$F46="Assumed",$F46="Derived（待改公式）",$F46="Derived（公式）"),OR($N46="—",$N46="",$N46=0)),1,0)</f>
        <v>0</v>
      </c>
      <c r="Z46" s="32" t="n">
        <f aca="false">IF(AND($F46="Decision",OR($J46="—",$J46="")),1,0)</f>
        <v>0</v>
      </c>
      <c r="AA46" s="33" t="n">
        <f aca="false">IF(OR($J46="—",$J46=""),0,IF(COUNTIF(Decisions!$A$5:$A$300,$J46)=0,1,0))</f>
        <v>0</v>
      </c>
      <c r="AB46" s="32" t="n">
        <f aca="false">IF(AND($F46="原始數據",$S46&lt;&gt;"Active"),1,0)</f>
        <v>0</v>
      </c>
      <c r="AC46" s="32" t="n">
        <f aca="false">IF(AND(ISNUMBER($K46),ISNUMBER($L46),ISNUMBER($Q46)),IF(OR($Q46&lt;MIN($K46,$L46),$Q46&gt;MAX($K46,$L46)),1,0),0)</f>
        <v>0</v>
      </c>
      <c r="AD46" s="32" t="n">
        <f aca="false">IF(AND(ISNUMBER($T46),$P46="高"),IF($T46=3,1,0),0)</f>
        <v>0</v>
      </c>
      <c r="AE46" s="32" t="n">
        <f aca="false">IF($S46="不存在",1,0)</f>
        <v>0</v>
      </c>
      <c r="AF46" s="44" t="str">
        <f aca="false">IF(OR($H46="—",$H46=""),"—",MATCH($H46,IDX_SrcID,0))</f>
        <v>—</v>
      </c>
      <c r="AG46" s="32" t="n">
        <f aca="false">IF(AND($P46="高",OR($AD46=1,$X46=1)),1,0)</f>
        <v>0</v>
      </c>
      <c r="AH46" s="32" t="n">
        <f aca="false">IF(AND($P46="高",$AG46=0,OR($F46&lt;&gt;"原始數據",$T46&lt;&gt;1)),1,0)</f>
        <v>0</v>
      </c>
      <c r="AI46" s="44" t="str">
        <f aca="false">IF(AND($P46="高",ISNUMBER($AF46)),INDEX(IDX_SrcDate,$AF46),"—")</f>
        <v>—</v>
      </c>
      <c r="AJ46" s="32" t="n">
        <f aca="false">IF(AND(ISTEXT($AI46),LEN($AI46)=10),IF(ISNUMBER(VALUE(SUBSTITUTE($AI46,"-",""))),VALUE(SUBSTITUTE($AI46,"-","")),0),0)</f>
        <v>0</v>
      </c>
    </row>
    <row r="47" customFormat="false" ht="29.25" hidden="false" customHeight="true" outlineLevel="0" collapsed="false">
      <c r="A47" s="30" t="s">
        <v>4630</v>
      </c>
      <c r="B47" s="239" t="s">
        <v>4525</v>
      </c>
      <c r="C47" s="30" t="s">
        <v>4526</v>
      </c>
      <c r="D47" s="30" t="s">
        <v>4631</v>
      </c>
      <c r="E47" s="20" t="s">
        <v>164</v>
      </c>
      <c r="F47" s="30" t="s">
        <v>114</v>
      </c>
      <c r="G47" s="239" t="s">
        <v>97</v>
      </c>
      <c r="H47" s="30" t="s">
        <v>751</v>
      </c>
      <c r="I47" s="6" t="s">
        <v>751</v>
      </c>
      <c r="J47" s="30" t="s">
        <v>751</v>
      </c>
      <c r="K47" s="196" t="n">
        <f aca="false">Inputs!$D$31</f>
        <v>0.015</v>
      </c>
      <c r="L47" s="196" t="n">
        <f aca="false">Inputs!$F$31</f>
        <v>0.025</v>
      </c>
      <c r="M47" s="30" t="s">
        <v>751</v>
      </c>
      <c r="N47" s="6" t="s">
        <v>166</v>
      </c>
      <c r="O47" s="6" t="s">
        <v>4632</v>
      </c>
      <c r="P47" s="239" t="s">
        <v>1308</v>
      </c>
      <c r="Q47" s="196" t="n">
        <f aca="false">Inputs!E31</f>
        <v>0.02</v>
      </c>
      <c r="R47" s="30" t="s">
        <v>751</v>
      </c>
      <c r="S47" s="44" t="str">
        <f aca="false">IF(ISNUMBER($AF47),INDEX(IDX_SrcStat,$AF47),"—")</f>
        <v>—</v>
      </c>
      <c r="T47" s="44" t="str">
        <f aca="false">IF(ISNUMBER($AF47),INDEX(IDX_SrcGrade,$AF47),"—")</f>
        <v>—</v>
      </c>
      <c r="U47" s="44" t="s">
        <v>4531</v>
      </c>
      <c r="V47" s="32" t="n">
        <f aca="false">IF(AND($F47="原始數據",$U47&lt;&gt;"連結 SRC"),1,0)</f>
        <v>0</v>
      </c>
      <c r="W47" s="32" t="n">
        <f aca="false">IF(AND($F47="Analogy",OR($H47="—",$H47="")),1,0)</f>
        <v>0</v>
      </c>
      <c r="X47" s="32" t="n">
        <f aca="false">IF(AND(OR($F47="Analogy",$F47="Assumed"),$G47&lt;&gt;"低",$G47&lt;&gt;"高",NOT(ISNUMBER($K47)),NOT(ISNUMBER($L47)),OR($M47="—",$M47="")),1,0)</f>
        <v>0</v>
      </c>
      <c r="Y47" s="32" t="n">
        <f aca="false">IF(AND(OR($F47="Analogy",$F47="Assumed",$F47="Derived（待改公式）",$F47="Derived（公式）"),OR($N47="—",$N47="",$N47=0)),1,0)</f>
        <v>0</v>
      </c>
      <c r="Z47" s="32" t="n">
        <f aca="false">IF(AND($F47="Decision",OR($J47="—",$J47="")),1,0)</f>
        <v>0</v>
      </c>
      <c r="AA47" s="33" t="n">
        <f aca="false">IF(OR($J47="—",$J47=""),0,IF(COUNTIF(Decisions!$A$5:$A$300,$J47)=0,1,0))</f>
        <v>0</v>
      </c>
      <c r="AB47" s="32" t="n">
        <f aca="false">IF(AND($F47="原始數據",$S47&lt;&gt;"Active"),1,0)</f>
        <v>0</v>
      </c>
      <c r="AC47" s="32" t="n">
        <f aca="false">IF(AND(ISNUMBER($K47),ISNUMBER($L47),ISNUMBER($Q47)),IF(OR($Q47&lt;MIN($K47,$L47),$Q47&gt;MAX($K47,$L47)),1,0),0)</f>
        <v>0</v>
      </c>
      <c r="AD47" s="32" t="n">
        <f aca="false">IF(AND(ISNUMBER($T47),$P47="高"),IF($T47=3,1,0),0)</f>
        <v>0</v>
      </c>
      <c r="AE47" s="32" t="n">
        <f aca="false">IF($S47="不存在",1,0)</f>
        <v>0</v>
      </c>
      <c r="AF47" s="44" t="str">
        <f aca="false">IF(OR($H47="—",$H47=""),"—",MATCH($H47,IDX_SrcID,0))</f>
        <v>—</v>
      </c>
      <c r="AG47" s="32" t="n">
        <f aca="false">IF(AND($P47="高",OR($AD47=1,$X47=1)),1,0)</f>
        <v>0</v>
      </c>
      <c r="AH47" s="32" t="n">
        <f aca="false">IF(AND($P47="高",$AG47=0,OR($F47&lt;&gt;"原始數據",$T47&lt;&gt;1)),1,0)</f>
        <v>0</v>
      </c>
      <c r="AI47" s="44" t="str">
        <f aca="false">IF(AND($P47="高",ISNUMBER($AF47)),INDEX(IDX_SrcDate,$AF47),"—")</f>
        <v>—</v>
      </c>
      <c r="AJ47" s="32" t="n">
        <f aca="false">IF(AND(ISTEXT($AI47),LEN($AI47)=10),IF(ISNUMBER(VALUE(SUBSTITUTE($AI47,"-",""))),VALUE(SUBSTITUTE($AI47,"-","")),0),0)</f>
        <v>0</v>
      </c>
    </row>
    <row r="48" customFormat="false" ht="29.25" hidden="false" customHeight="true" outlineLevel="0" collapsed="false">
      <c r="A48" s="30" t="s">
        <v>4633</v>
      </c>
      <c r="B48" s="239" t="s">
        <v>4525</v>
      </c>
      <c r="C48" s="30" t="s">
        <v>4526</v>
      </c>
      <c r="D48" s="30" t="s">
        <v>4634</v>
      </c>
      <c r="E48" s="20" t="s">
        <v>164</v>
      </c>
      <c r="F48" s="30" t="s">
        <v>114</v>
      </c>
      <c r="G48" s="239" t="s">
        <v>1308</v>
      </c>
      <c r="H48" s="30" t="s">
        <v>751</v>
      </c>
      <c r="I48" s="6" t="s">
        <v>751</v>
      </c>
      <c r="J48" s="30" t="s">
        <v>751</v>
      </c>
      <c r="K48" s="239"/>
      <c r="L48" s="239"/>
      <c r="M48" s="30" t="s">
        <v>751</v>
      </c>
      <c r="N48" s="6" t="s">
        <v>166</v>
      </c>
      <c r="O48" s="6" t="s">
        <v>4632</v>
      </c>
      <c r="P48" s="239" t="s">
        <v>1308</v>
      </c>
      <c r="Q48" s="196" t="n">
        <f aca="false">Inputs!D31</f>
        <v>0.015</v>
      </c>
      <c r="R48" s="30" t="s">
        <v>751</v>
      </c>
      <c r="S48" s="44" t="str">
        <f aca="false">IF(ISNUMBER($AF48),INDEX(IDX_SrcStat,$AF48),"—")</f>
        <v>—</v>
      </c>
      <c r="T48" s="44" t="str">
        <f aca="false">IF(ISNUMBER($AF48),INDEX(IDX_SrcGrade,$AF48),"—")</f>
        <v>—</v>
      </c>
      <c r="U48" s="44" t="s">
        <v>4531</v>
      </c>
      <c r="V48" s="32" t="n">
        <f aca="false">IF(AND($F48="原始數據",$U48&lt;&gt;"連結 SRC"),1,0)</f>
        <v>0</v>
      </c>
      <c r="W48" s="32" t="n">
        <f aca="false">IF(AND($F48="Analogy",OR($H48="—",$H48="")),1,0)</f>
        <v>0</v>
      </c>
      <c r="X48" s="32" t="n">
        <f aca="false">IF(AND(OR($F48="Analogy",$F48="Assumed"),$G48&lt;&gt;"低",$G48&lt;&gt;"高",NOT(ISNUMBER($K48)),NOT(ISNUMBER($L48)),OR($M48="—",$M48="")),1,0)</f>
        <v>0</v>
      </c>
      <c r="Y48" s="32" t="n">
        <f aca="false">IF(AND(OR($F48="Analogy",$F48="Assumed",$F48="Derived（待改公式）",$F48="Derived（公式）"),OR($N48="—",$N48="",$N48=0)),1,0)</f>
        <v>0</v>
      </c>
      <c r="Z48" s="32" t="n">
        <f aca="false">IF(AND($F48="Decision",OR($J48="—",$J48="")),1,0)</f>
        <v>0</v>
      </c>
      <c r="AA48" s="33" t="n">
        <f aca="false">IF(OR($J48="—",$J48=""),0,IF(COUNTIF(Decisions!$A$5:$A$300,$J48)=0,1,0))</f>
        <v>0</v>
      </c>
      <c r="AB48" s="32" t="n">
        <f aca="false">IF(AND($F48="原始數據",$S48&lt;&gt;"Active"),1,0)</f>
        <v>0</v>
      </c>
      <c r="AC48" s="32" t="n">
        <f aca="false">IF(AND(ISNUMBER($K48),ISNUMBER($L48),ISNUMBER($Q48)),IF(OR($Q48&lt;MIN($K48,$L48),$Q48&gt;MAX($K48,$L48)),1,0),0)</f>
        <v>0</v>
      </c>
      <c r="AD48" s="32" t="n">
        <f aca="false">IF(AND(ISNUMBER($T48),$P48="高"),IF($T48=3,1,0),0)</f>
        <v>0</v>
      </c>
      <c r="AE48" s="32" t="n">
        <f aca="false">IF($S48="不存在",1,0)</f>
        <v>0</v>
      </c>
      <c r="AF48" s="44" t="str">
        <f aca="false">IF(OR($H48="—",$H48=""),"—",MATCH($H48,IDX_SrcID,0))</f>
        <v>—</v>
      </c>
      <c r="AG48" s="32" t="n">
        <f aca="false">IF(AND($P48="高",OR($AD48=1,$X48=1)),1,0)</f>
        <v>0</v>
      </c>
      <c r="AH48" s="32" t="n">
        <f aca="false">IF(AND($P48="高",$AG48=0,OR($F48&lt;&gt;"原始數據",$T48&lt;&gt;1)),1,0)</f>
        <v>0</v>
      </c>
      <c r="AI48" s="44" t="str">
        <f aca="false">IF(AND($P48="高",ISNUMBER($AF48)),INDEX(IDX_SrcDate,$AF48),"—")</f>
        <v>—</v>
      </c>
      <c r="AJ48" s="32" t="n">
        <f aca="false">IF(AND(ISTEXT($AI48),LEN($AI48)=10),IF(ISNUMBER(VALUE(SUBSTITUTE($AI48,"-",""))),VALUE(SUBSTITUTE($AI48,"-","")),0),0)</f>
        <v>0</v>
      </c>
    </row>
    <row r="49" customFormat="false" ht="29.25" hidden="false" customHeight="true" outlineLevel="0" collapsed="false">
      <c r="A49" s="30" t="s">
        <v>4635</v>
      </c>
      <c r="B49" s="239" t="s">
        <v>4525</v>
      </c>
      <c r="C49" s="30" t="s">
        <v>4526</v>
      </c>
      <c r="D49" s="30" t="s">
        <v>4636</v>
      </c>
      <c r="E49" s="20" t="s">
        <v>164</v>
      </c>
      <c r="F49" s="30" t="s">
        <v>114</v>
      </c>
      <c r="G49" s="239" t="s">
        <v>1309</v>
      </c>
      <c r="H49" s="30" t="s">
        <v>751</v>
      </c>
      <c r="I49" s="6" t="s">
        <v>751</v>
      </c>
      <c r="J49" s="30" t="s">
        <v>751</v>
      </c>
      <c r="K49" s="239"/>
      <c r="L49" s="239"/>
      <c r="M49" s="30" t="s">
        <v>751</v>
      </c>
      <c r="N49" s="6" t="s">
        <v>166</v>
      </c>
      <c r="O49" s="6" t="s">
        <v>4632</v>
      </c>
      <c r="P49" s="239" t="s">
        <v>1308</v>
      </c>
      <c r="Q49" s="196" t="n">
        <f aca="false">Inputs!F31</f>
        <v>0.025</v>
      </c>
      <c r="R49" s="30" t="s">
        <v>751</v>
      </c>
      <c r="S49" s="44" t="str">
        <f aca="false">IF(ISNUMBER($AF49),INDEX(IDX_SrcStat,$AF49),"—")</f>
        <v>—</v>
      </c>
      <c r="T49" s="44" t="str">
        <f aca="false">IF(ISNUMBER($AF49),INDEX(IDX_SrcGrade,$AF49),"—")</f>
        <v>—</v>
      </c>
      <c r="U49" s="44" t="s">
        <v>4531</v>
      </c>
      <c r="V49" s="32" t="n">
        <f aca="false">IF(AND($F49="原始數據",$U49&lt;&gt;"連結 SRC"),1,0)</f>
        <v>0</v>
      </c>
      <c r="W49" s="32" t="n">
        <f aca="false">IF(AND($F49="Analogy",OR($H49="—",$H49="")),1,0)</f>
        <v>0</v>
      </c>
      <c r="X49" s="32" t="n">
        <f aca="false">IF(AND(OR($F49="Analogy",$F49="Assumed"),$G49&lt;&gt;"低",$G49&lt;&gt;"高",NOT(ISNUMBER($K49)),NOT(ISNUMBER($L49)),OR($M49="—",$M49="")),1,0)</f>
        <v>0</v>
      </c>
      <c r="Y49" s="32" t="n">
        <f aca="false">IF(AND(OR($F49="Analogy",$F49="Assumed",$F49="Derived（待改公式）",$F49="Derived（公式）"),OR($N49="—",$N49="",$N49=0)),1,0)</f>
        <v>0</v>
      </c>
      <c r="Z49" s="32" t="n">
        <f aca="false">IF(AND($F49="Decision",OR($J49="—",$J49="")),1,0)</f>
        <v>0</v>
      </c>
      <c r="AA49" s="33" t="n">
        <f aca="false">IF(OR($J49="—",$J49=""),0,IF(COUNTIF(Decisions!$A$5:$A$300,$J49)=0,1,0))</f>
        <v>0</v>
      </c>
      <c r="AB49" s="32" t="n">
        <f aca="false">IF(AND($F49="原始數據",$S49&lt;&gt;"Active"),1,0)</f>
        <v>0</v>
      </c>
      <c r="AC49" s="32" t="n">
        <f aca="false">IF(AND(ISNUMBER($K49),ISNUMBER($L49),ISNUMBER($Q49)),IF(OR($Q49&lt;MIN($K49,$L49),$Q49&gt;MAX($K49,$L49)),1,0),0)</f>
        <v>0</v>
      </c>
      <c r="AD49" s="32" t="n">
        <f aca="false">IF(AND(ISNUMBER($T49),$P49="高"),IF($T49=3,1,0),0)</f>
        <v>0</v>
      </c>
      <c r="AE49" s="32" t="n">
        <f aca="false">IF($S49="不存在",1,0)</f>
        <v>0</v>
      </c>
      <c r="AF49" s="44" t="str">
        <f aca="false">IF(OR($H49="—",$H49=""),"—",MATCH($H49,IDX_SrcID,0))</f>
        <v>—</v>
      </c>
      <c r="AG49" s="32" t="n">
        <f aca="false">IF(AND($P49="高",OR($AD49=1,$X49=1)),1,0)</f>
        <v>0</v>
      </c>
      <c r="AH49" s="32" t="n">
        <f aca="false">IF(AND($P49="高",$AG49=0,OR($F49&lt;&gt;"原始數據",$T49&lt;&gt;1)),1,0)</f>
        <v>0</v>
      </c>
      <c r="AI49" s="44" t="str">
        <f aca="false">IF(AND($P49="高",ISNUMBER($AF49)),INDEX(IDX_SrcDate,$AF49),"—")</f>
        <v>—</v>
      </c>
      <c r="AJ49" s="32" t="n">
        <f aca="false">IF(AND(ISTEXT($AI49),LEN($AI49)=10),IF(ISNUMBER(VALUE(SUBSTITUTE($AI49,"-",""))),VALUE(SUBSTITUTE($AI49,"-","")),0),0)</f>
        <v>0</v>
      </c>
    </row>
    <row r="50" customFormat="false" ht="15" hidden="false" customHeight="true" outlineLevel="0" collapsed="false">
      <c r="A50" s="30" t="s">
        <v>4637</v>
      </c>
      <c r="B50" s="239" t="s">
        <v>4525</v>
      </c>
      <c r="C50" s="30" t="s">
        <v>4526</v>
      </c>
      <c r="D50" s="30" t="s">
        <v>4638</v>
      </c>
      <c r="E50" s="20" t="s">
        <v>167</v>
      </c>
      <c r="F50" s="30" t="s">
        <v>114</v>
      </c>
      <c r="G50" s="239" t="s">
        <v>97</v>
      </c>
      <c r="H50" s="30" t="s">
        <v>751</v>
      </c>
      <c r="I50" s="6" t="s">
        <v>751</v>
      </c>
      <c r="J50" s="30" t="s">
        <v>751</v>
      </c>
      <c r="K50" s="49" t="n">
        <f aca="false">Inputs!$D$32</f>
        <v>50</v>
      </c>
      <c r="L50" s="49" t="n">
        <f aca="false">Inputs!$F$32</f>
        <v>100</v>
      </c>
      <c r="M50" s="30" t="s">
        <v>751</v>
      </c>
      <c r="N50" s="240" t="str">
        <f aca="false">Inputs!$H$32</f>
        <v>v4：500 FTE × $150K</v>
      </c>
      <c r="O50" s="6" t="s">
        <v>751</v>
      </c>
      <c r="P50" s="239" t="s">
        <v>1308</v>
      </c>
      <c r="Q50" s="49" t="n">
        <f aca="false">Inputs!E32</f>
        <v>75</v>
      </c>
      <c r="R50" s="30" t="s">
        <v>751</v>
      </c>
      <c r="S50" s="44" t="str">
        <f aca="false">IF(ISNUMBER($AF50),INDEX(IDX_SrcStat,$AF50),"—")</f>
        <v>—</v>
      </c>
      <c r="T50" s="44" t="str">
        <f aca="false">IF(ISNUMBER($AF50),INDEX(IDX_SrcGrade,$AF50),"—")</f>
        <v>—</v>
      </c>
      <c r="U50" s="44" t="s">
        <v>4531</v>
      </c>
      <c r="V50" s="32" t="n">
        <f aca="false">IF(AND($F50="原始數據",$U50&lt;&gt;"連結 SRC"),1,0)</f>
        <v>0</v>
      </c>
      <c r="W50" s="32" t="n">
        <f aca="false">IF(AND($F50="Analogy",OR($H50="—",$H50="")),1,0)</f>
        <v>0</v>
      </c>
      <c r="X50" s="32" t="n">
        <f aca="false">IF(AND(OR($F50="Analogy",$F50="Assumed"),$G50&lt;&gt;"低",$G50&lt;&gt;"高",NOT(ISNUMBER($K50)),NOT(ISNUMBER($L50)),OR($M50="—",$M50="")),1,0)</f>
        <v>0</v>
      </c>
      <c r="Y50" s="32" t="n">
        <f aca="false">IF(AND(OR($F50="Analogy",$F50="Assumed",$F50="Derived（待改公式）",$F50="Derived（公式）"),OR($N50="—",$N50="",$N50=0)),1,0)</f>
        <v>0</v>
      </c>
      <c r="Z50" s="32" t="n">
        <f aca="false">IF(AND($F50="Decision",OR($J50="—",$J50="")),1,0)</f>
        <v>0</v>
      </c>
      <c r="AA50" s="33" t="n">
        <f aca="false">IF(OR($J50="—",$J50=""),0,IF(COUNTIF(Decisions!$A$5:$A$300,$J50)=0,1,0))</f>
        <v>0</v>
      </c>
      <c r="AB50" s="32" t="n">
        <f aca="false">IF(AND($F50="原始數據",$S50&lt;&gt;"Active"),1,0)</f>
        <v>0</v>
      </c>
      <c r="AC50" s="32" t="n">
        <f aca="false">IF(AND(ISNUMBER($K50),ISNUMBER($L50),ISNUMBER($Q50)),IF(OR($Q50&lt;MIN($K50,$L50),$Q50&gt;MAX($K50,$L50)),1,0),0)</f>
        <v>0</v>
      </c>
      <c r="AD50" s="32" t="n">
        <f aca="false">IF(AND(ISNUMBER($T50),$P50="高"),IF($T50=3,1,0),0)</f>
        <v>0</v>
      </c>
      <c r="AE50" s="32" t="n">
        <f aca="false">IF($S50="不存在",1,0)</f>
        <v>0</v>
      </c>
      <c r="AF50" s="44" t="str">
        <f aca="false">IF(OR($H50="—",$H50=""),"—",MATCH($H50,IDX_SrcID,0))</f>
        <v>—</v>
      </c>
      <c r="AG50" s="32" t="n">
        <f aca="false">IF(AND($P50="高",OR($AD50=1,$X50=1)),1,0)</f>
        <v>0</v>
      </c>
      <c r="AH50" s="32" t="n">
        <f aca="false">IF(AND($P50="高",$AG50=0,OR($F50&lt;&gt;"原始數據",$T50&lt;&gt;1)),1,0)</f>
        <v>0</v>
      </c>
      <c r="AI50" s="44" t="str">
        <f aca="false">IF(AND($P50="高",ISNUMBER($AF50)),INDEX(IDX_SrcDate,$AF50),"—")</f>
        <v>—</v>
      </c>
      <c r="AJ50" s="32" t="n">
        <f aca="false">IF(AND(ISTEXT($AI50),LEN($AI50)=10),IF(ISNUMBER(VALUE(SUBSTITUTE($AI50,"-",""))),VALUE(SUBSTITUTE($AI50,"-","")),0),0)</f>
        <v>0</v>
      </c>
    </row>
    <row r="51" customFormat="false" ht="15" hidden="false" customHeight="true" outlineLevel="0" collapsed="false">
      <c r="A51" s="30" t="s">
        <v>4639</v>
      </c>
      <c r="B51" s="239" t="s">
        <v>4525</v>
      </c>
      <c r="C51" s="30" t="s">
        <v>4526</v>
      </c>
      <c r="D51" s="30" t="s">
        <v>4640</v>
      </c>
      <c r="E51" s="20" t="s">
        <v>167</v>
      </c>
      <c r="F51" s="30" t="s">
        <v>114</v>
      </c>
      <c r="G51" s="239" t="s">
        <v>1308</v>
      </c>
      <c r="H51" s="30" t="s">
        <v>751</v>
      </c>
      <c r="I51" s="6" t="s">
        <v>751</v>
      </c>
      <c r="J51" s="30" t="s">
        <v>751</v>
      </c>
      <c r="K51" s="239"/>
      <c r="L51" s="239"/>
      <c r="M51" s="30" t="s">
        <v>751</v>
      </c>
      <c r="N51" s="240" t="str">
        <f aca="false">Inputs!$H$32</f>
        <v>v4：500 FTE × $150K</v>
      </c>
      <c r="O51" s="6" t="s">
        <v>751</v>
      </c>
      <c r="P51" s="239" t="s">
        <v>1308</v>
      </c>
      <c r="Q51" s="49" t="n">
        <f aca="false">Inputs!D32</f>
        <v>50</v>
      </c>
      <c r="R51" s="30" t="s">
        <v>751</v>
      </c>
      <c r="S51" s="44" t="str">
        <f aca="false">IF(ISNUMBER($AF51),INDEX(IDX_SrcStat,$AF51),"—")</f>
        <v>—</v>
      </c>
      <c r="T51" s="44" t="str">
        <f aca="false">IF(ISNUMBER($AF51),INDEX(IDX_SrcGrade,$AF51),"—")</f>
        <v>—</v>
      </c>
      <c r="U51" s="44" t="s">
        <v>4531</v>
      </c>
      <c r="V51" s="32" t="n">
        <f aca="false">IF(AND($F51="原始數據",$U51&lt;&gt;"連結 SRC"),1,0)</f>
        <v>0</v>
      </c>
      <c r="W51" s="32" t="n">
        <f aca="false">IF(AND($F51="Analogy",OR($H51="—",$H51="")),1,0)</f>
        <v>0</v>
      </c>
      <c r="X51" s="32" t="n">
        <f aca="false">IF(AND(OR($F51="Analogy",$F51="Assumed"),$G51&lt;&gt;"低",$G51&lt;&gt;"高",NOT(ISNUMBER($K51)),NOT(ISNUMBER($L51)),OR($M51="—",$M51="")),1,0)</f>
        <v>0</v>
      </c>
      <c r="Y51" s="32" t="n">
        <f aca="false">IF(AND(OR($F51="Analogy",$F51="Assumed",$F51="Derived（待改公式）",$F51="Derived（公式）"),OR($N51="—",$N51="",$N51=0)),1,0)</f>
        <v>0</v>
      </c>
      <c r="Z51" s="32" t="n">
        <f aca="false">IF(AND($F51="Decision",OR($J51="—",$J51="")),1,0)</f>
        <v>0</v>
      </c>
      <c r="AA51" s="33" t="n">
        <f aca="false">IF(OR($J51="—",$J51=""),0,IF(COUNTIF(Decisions!$A$5:$A$300,$J51)=0,1,0))</f>
        <v>0</v>
      </c>
      <c r="AB51" s="32" t="n">
        <f aca="false">IF(AND($F51="原始數據",$S51&lt;&gt;"Active"),1,0)</f>
        <v>0</v>
      </c>
      <c r="AC51" s="32" t="n">
        <f aca="false">IF(AND(ISNUMBER($K51),ISNUMBER($L51),ISNUMBER($Q51)),IF(OR($Q51&lt;MIN($K51,$L51),$Q51&gt;MAX($K51,$L51)),1,0),0)</f>
        <v>0</v>
      </c>
      <c r="AD51" s="32" t="n">
        <f aca="false">IF(AND(ISNUMBER($T51),$P51="高"),IF($T51=3,1,0),0)</f>
        <v>0</v>
      </c>
      <c r="AE51" s="32" t="n">
        <f aca="false">IF($S51="不存在",1,0)</f>
        <v>0</v>
      </c>
      <c r="AF51" s="44" t="str">
        <f aca="false">IF(OR($H51="—",$H51=""),"—",MATCH($H51,IDX_SrcID,0))</f>
        <v>—</v>
      </c>
      <c r="AG51" s="32" t="n">
        <f aca="false">IF(AND($P51="高",OR($AD51=1,$X51=1)),1,0)</f>
        <v>0</v>
      </c>
      <c r="AH51" s="32" t="n">
        <f aca="false">IF(AND($P51="高",$AG51=0,OR($F51&lt;&gt;"原始數據",$T51&lt;&gt;1)),1,0)</f>
        <v>0</v>
      </c>
      <c r="AI51" s="44" t="str">
        <f aca="false">IF(AND($P51="高",ISNUMBER($AF51)),INDEX(IDX_SrcDate,$AF51),"—")</f>
        <v>—</v>
      </c>
      <c r="AJ51" s="32" t="n">
        <f aca="false">IF(AND(ISTEXT($AI51),LEN($AI51)=10),IF(ISNUMBER(VALUE(SUBSTITUTE($AI51,"-",""))),VALUE(SUBSTITUTE($AI51,"-","")),0),0)</f>
        <v>0</v>
      </c>
    </row>
    <row r="52" customFormat="false" ht="15" hidden="false" customHeight="true" outlineLevel="0" collapsed="false">
      <c r="A52" s="30" t="s">
        <v>4641</v>
      </c>
      <c r="B52" s="239" t="s">
        <v>4525</v>
      </c>
      <c r="C52" s="30" t="s">
        <v>4526</v>
      </c>
      <c r="D52" s="30" t="s">
        <v>4642</v>
      </c>
      <c r="E52" s="20" t="s">
        <v>167</v>
      </c>
      <c r="F52" s="30" t="s">
        <v>114</v>
      </c>
      <c r="G52" s="239" t="s">
        <v>1309</v>
      </c>
      <c r="H52" s="30" t="s">
        <v>751</v>
      </c>
      <c r="I52" s="6" t="s">
        <v>751</v>
      </c>
      <c r="J52" s="30" t="s">
        <v>751</v>
      </c>
      <c r="K52" s="239"/>
      <c r="L52" s="239"/>
      <c r="M52" s="30" t="s">
        <v>751</v>
      </c>
      <c r="N52" s="240" t="str">
        <f aca="false">Inputs!$H$32</f>
        <v>v4：500 FTE × $150K</v>
      </c>
      <c r="O52" s="6" t="s">
        <v>751</v>
      </c>
      <c r="P52" s="239" t="s">
        <v>1308</v>
      </c>
      <c r="Q52" s="49" t="n">
        <f aca="false">Inputs!F32</f>
        <v>100</v>
      </c>
      <c r="R52" s="30" t="s">
        <v>751</v>
      </c>
      <c r="S52" s="44" t="str">
        <f aca="false">IF(ISNUMBER($AF52),INDEX(IDX_SrcStat,$AF52),"—")</f>
        <v>—</v>
      </c>
      <c r="T52" s="44" t="str">
        <f aca="false">IF(ISNUMBER($AF52),INDEX(IDX_SrcGrade,$AF52),"—")</f>
        <v>—</v>
      </c>
      <c r="U52" s="44" t="s">
        <v>4531</v>
      </c>
      <c r="V52" s="32" t="n">
        <f aca="false">IF(AND($F52="原始數據",$U52&lt;&gt;"連結 SRC"),1,0)</f>
        <v>0</v>
      </c>
      <c r="W52" s="32" t="n">
        <f aca="false">IF(AND($F52="Analogy",OR($H52="—",$H52="")),1,0)</f>
        <v>0</v>
      </c>
      <c r="X52" s="32" t="n">
        <f aca="false">IF(AND(OR($F52="Analogy",$F52="Assumed"),$G52&lt;&gt;"低",$G52&lt;&gt;"高",NOT(ISNUMBER($K52)),NOT(ISNUMBER($L52)),OR($M52="—",$M52="")),1,0)</f>
        <v>0</v>
      </c>
      <c r="Y52" s="32" t="n">
        <f aca="false">IF(AND(OR($F52="Analogy",$F52="Assumed",$F52="Derived（待改公式）",$F52="Derived（公式）"),OR($N52="—",$N52="",$N52=0)),1,0)</f>
        <v>0</v>
      </c>
      <c r="Z52" s="32" t="n">
        <f aca="false">IF(AND($F52="Decision",OR($J52="—",$J52="")),1,0)</f>
        <v>0</v>
      </c>
      <c r="AA52" s="33" t="n">
        <f aca="false">IF(OR($J52="—",$J52=""),0,IF(COUNTIF(Decisions!$A$5:$A$300,$J52)=0,1,0))</f>
        <v>0</v>
      </c>
      <c r="AB52" s="32" t="n">
        <f aca="false">IF(AND($F52="原始數據",$S52&lt;&gt;"Active"),1,0)</f>
        <v>0</v>
      </c>
      <c r="AC52" s="32" t="n">
        <f aca="false">IF(AND(ISNUMBER($K52),ISNUMBER($L52),ISNUMBER($Q52)),IF(OR($Q52&lt;MIN($K52,$L52),$Q52&gt;MAX($K52,$L52)),1,0),0)</f>
        <v>0</v>
      </c>
      <c r="AD52" s="32" t="n">
        <f aca="false">IF(AND(ISNUMBER($T52),$P52="高"),IF($T52=3,1,0),0)</f>
        <v>0</v>
      </c>
      <c r="AE52" s="32" t="n">
        <f aca="false">IF($S52="不存在",1,0)</f>
        <v>0</v>
      </c>
      <c r="AF52" s="44" t="str">
        <f aca="false">IF(OR($H52="—",$H52=""),"—",MATCH($H52,IDX_SrcID,0))</f>
        <v>—</v>
      </c>
      <c r="AG52" s="32" t="n">
        <f aca="false">IF(AND($P52="高",OR($AD52=1,$X52=1)),1,0)</f>
        <v>0</v>
      </c>
      <c r="AH52" s="32" t="n">
        <f aca="false">IF(AND($P52="高",$AG52=0,OR($F52&lt;&gt;"原始數據",$T52&lt;&gt;1)),1,0)</f>
        <v>0</v>
      </c>
      <c r="AI52" s="44" t="str">
        <f aca="false">IF(AND($P52="高",ISNUMBER($AF52)),INDEX(IDX_SrcDate,$AF52),"—")</f>
        <v>—</v>
      </c>
      <c r="AJ52" s="32" t="n">
        <f aca="false">IF(AND(ISTEXT($AI52),LEN($AI52)=10),IF(ISNUMBER(VALUE(SUBSTITUTE($AI52,"-",""))),VALUE(SUBSTITUTE($AI52,"-","")),0),0)</f>
        <v>0</v>
      </c>
    </row>
    <row r="53" customFormat="false" ht="15" hidden="false" customHeight="true" outlineLevel="0" collapsed="false">
      <c r="A53" s="30" t="s">
        <v>4643</v>
      </c>
      <c r="B53" s="239" t="s">
        <v>4525</v>
      </c>
      <c r="C53" s="30" t="s">
        <v>4526</v>
      </c>
      <c r="D53" s="30" t="s">
        <v>4644</v>
      </c>
      <c r="E53" s="20" t="s">
        <v>170</v>
      </c>
      <c r="F53" s="30" t="s">
        <v>114</v>
      </c>
      <c r="G53" s="239" t="s">
        <v>97</v>
      </c>
      <c r="H53" s="30" t="s">
        <v>751</v>
      </c>
      <c r="I53" s="6" t="s">
        <v>751</v>
      </c>
      <c r="J53" s="30" t="s">
        <v>751</v>
      </c>
      <c r="K53" s="49" t="n">
        <f aca="false">Inputs!$D$33</f>
        <v>150</v>
      </c>
      <c r="L53" s="49" t="n">
        <f aca="false">Inputs!$F$33</f>
        <v>250</v>
      </c>
      <c r="M53" s="30" t="s">
        <v>751</v>
      </c>
      <c r="N53" s="240" t="str">
        <f aca="false">Inputs!$H$33</f>
        <v>v4＝$200M</v>
      </c>
      <c r="O53" s="6" t="s">
        <v>751</v>
      </c>
      <c r="P53" s="239" t="s">
        <v>1308</v>
      </c>
      <c r="Q53" s="49" t="n">
        <f aca="false">Inputs!E33</f>
        <v>200</v>
      </c>
      <c r="R53" s="30" t="s">
        <v>751</v>
      </c>
      <c r="S53" s="44" t="str">
        <f aca="false">IF(ISNUMBER($AF53),INDEX(IDX_SrcStat,$AF53),"—")</f>
        <v>—</v>
      </c>
      <c r="T53" s="44" t="str">
        <f aca="false">IF(ISNUMBER($AF53),INDEX(IDX_SrcGrade,$AF53),"—")</f>
        <v>—</v>
      </c>
      <c r="U53" s="44" t="s">
        <v>4531</v>
      </c>
      <c r="V53" s="32" t="n">
        <f aca="false">IF(AND($F53="原始數據",$U53&lt;&gt;"連結 SRC"),1,0)</f>
        <v>0</v>
      </c>
      <c r="W53" s="32" t="n">
        <f aca="false">IF(AND($F53="Analogy",OR($H53="—",$H53="")),1,0)</f>
        <v>0</v>
      </c>
      <c r="X53" s="32" t="n">
        <f aca="false">IF(AND(OR($F53="Analogy",$F53="Assumed"),$G53&lt;&gt;"低",$G53&lt;&gt;"高",NOT(ISNUMBER($K53)),NOT(ISNUMBER($L53)),OR($M53="—",$M53="")),1,0)</f>
        <v>0</v>
      </c>
      <c r="Y53" s="32" t="n">
        <f aca="false">IF(AND(OR($F53="Analogy",$F53="Assumed",$F53="Derived（待改公式）",$F53="Derived（公式）"),OR($N53="—",$N53="",$N53=0)),1,0)</f>
        <v>0</v>
      </c>
      <c r="Z53" s="32" t="n">
        <f aca="false">IF(AND($F53="Decision",OR($J53="—",$J53="")),1,0)</f>
        <v>0</v>
      </c>
      <c r="AA53" s="33" t="n">
        <f aca="false">IF(OR($J53="—",$J53=""),0,IF(COUNTIF(Decisions!$A$5:$A$300,$J53)=0,1,0))</f>
        <v>0</v>
      </c>
      <c r="AB53" s="32" t="n">
        <f aca="false">IF(AND($F53="原始數據",$S53&lt;&gt;"Active"),1,0)</f>
        <v>0</v>
      </c>
      <c r="AC53" s="32" t="n">
        <f aca="false">IF(AND(ISNUMBER($K53),ISNUMBER($L53),ISNUMBER($Q53)),IF(OR($Q53&lt;MIN($K53,$L53),$Q53&gt;MAX($K53,$L53)),1,0),0)</f>
        <v>0</v>
      </c>
      <c r="AD53" s="32" t="n">
        <f aca="false">IF(AND(ISNUMBER($T53),$P53="高"),IF($T53=3,1,0),0)</f>
        <v>0</v>
      </c>
      <c r="AE53" s="32" t="n">
        <f aca="false">IF($S53="不存在",1,0)</f>
        <v>0</v>
      </c>
      <c r="AF53" s="44" t="str">
        <f aca="false">IF(OR($H53="—",$H53=""),"—",MATCH($H53,IDX_SrcID,0))</f>
        <v>—</v>
      </c>
      <c r="AG53" s="32" t="n">
        <f aca="false">IF(AND($P53="高",OR($AD53=1,$X53=1)),1,0)</f>
        <v>0</v>
      </c>
      <c r="AH53" s="32" t="n">
        <f aca="false">IF(AND($P53="高",$AG53=0,OR($F53&lt;&gt;"原始數據",$T53&lt;&gt;1)),1,0)</f>
        <v>0</v>
      </c>
      <c r="AI53" s="44" t="str">
        <f aca="false">IF(AND($P53="高",ISNUMBER($AF53)),INDEX(IDX_SrcDate,$AF53),"—")</f>
        <v>—</v>
      </c>
      <c r="AJ53" s="32" t="n">
        <f aca="false">IF(AND(ISTEXT($AI53),LEN($AI53)=10),IF(ISNUMBER(VALUE(SUBSTITUTE($AI53,"-",""))),VALUE(SUBSTITUTE($AI53,"-","")),0),0)</f>
        <v>0</v>
      </c>
    </row>
    <row r="54" customFormat="false" ht="15" hidden="false" customHeight="true" outlineLevel="0" collapsed="false">
      <c r="A54" s="30" t="s">
        <v>4645</v>
      </c>
      <c r="B54" s="239" t="s">
        <v>4525</v>
      </c>
      <c r="C54" s="30" t="s">
        <v>4526</v>
      </c>
      <c r="D54" s="30" t="s">
        <v>4646</v>
      </c>
      <c r="E54" s="20" t="s">
        <v>170</v>
      </c>
      <c r="F54" s="30" t="s">
        <v>114</v>
      </c>
      <c r="G54" s="239" t="s">
        <v>1308</v>
      </c>
      <c r="H54" s="30" t="s">
        <v>751</v>
      </c>
      <c r="I54" s="6" t="s">
        <v>751</v>
      </c>
      <c r="J54" s="30" t="s">
        <v>751</v>
      </c>
      <c r="K54" s="239"/>
      <c r="L54" s="239"/>
      <c r="M54" s="30" t="s">
        <v>751</v>
      </c>
      <c r="N54" s="240" t="str">
        <f aca="false">Inputs!$H$33</f>
        <v>v4＝$200M</v>
      </c>
      <c r="O54" s="6" t="s">
        <v>751</v>
      </c>
      <c r="P54" s="239" t="s">
        <v>1308</v>
      </c>
      <c r="Q54" s="49" t="n">
        <f aca="false">Inputs!D33</f>
        <v>150</v>
      </c>
      <c r="R54" s="30" t="s">
        <v>751</v>
      </c>
      <c r="S54" s="44" t="str">
        <f aca="false">IF(ISNUMBER($AF54),INDEX(IDX_SrcStat,$AF54),"—")</f>
        <v>—</v>
      </c>
      <c r="T54" s="44" t="str">
        <f aca="false">IF(ISNUMBER($AF54),INDEX(IDX_SrcGrade,$AF54),"—")</f>
        <v>—</v>
      </c>
      <c r="U54" s="44" t="s">
        <v>4531</v>
      </c>
      <c r="V54" s="32" t="n">
        <f aca="false">IF(AND($F54="原始數據",$U54&lt;&gt;"連結 SRC"),1,0)</f>
        <v>0</v>
      </c>
      <c r="W54" s="32" t="n">
        <f aca="false">IF(AND($F54="Analogy",OR($H54="—",$H54="")),1,0)</f>
        <v>0</v>
      </c>
      <c r="X54" s="32" t="n">
        <f aca="false">IF(AND(OR($F54="Analogy",$F54="Assumed"),$G54&lt;&gt;"低",$G54&lt;&gt;"高",NOT(ISNUMBER($K54)),NOT(ISNUMBER($L54)),OR($M54="—",$M54="")),1,0)</f>
        <v>0</v>
      </c>
      <c r="Y54" s="32" t="n">
        <f aca="false">IF(AND(OR($F54="Analogy",$F54="Assumed",$F54="Derived（待改公式）",$F54="Derived（公式）"),OR($N54="—",$N54="",$N54=0)),1,0)</f>
        <v>0</v>
      </c>
      <c r="Z54" s="32" t="n">
        <f aca="false">IF(AND($F54="Decision",OR($J54="—",$J54="")),1,0)</f>
        <v>0</v>
      </c>
      <c r="AA54" s="33" t="n">
        <f aca="false">IF(OR($J54="—",$J54=""),0,IF(COUNTIF(Decisions!$A$5:$A$300,$J54)=0,1,0))</f>
        <v>0</v>
      </c>
      <c r="AB54" s="32" t="n">
        <f aca="false">IF(AND($F54="原始數據",$S54&lt;&gt;"Active"),1,0)</f>
        <v>0</v>
      </c>
      <c r="AC54" s="32" t="n">
        <f aca="false">IF(AND(ISNUMBER($K54),ISNUMBER($L54),ISNUMBER($Q54)),IF(OR($Q54&lt;MIN($K54,$L54),$Q54&gt;MAX($K54,$L54)),1,0),0)</f>
        <v>0</v>
      </c>
      <c r="AD54" s="32" t="n">
        <f aca="false">IF(AND(ISNUMBER($T54),$P54="高"),IF($T54=3,1,0),0)</f>
        <v>0</v>
      </c>
      <c r="AE54" s="32" t="n">
        <f aca="false">IF($S54="不存在",1,0)</f>
        <v>0</v>
      </c>
      <c r="AF54" s="44" t="str">
        <f aca="false">IF(OR($H54="—",$H54=""),"—",MATCH($H54,IDX_SrcID,0))</f>
        <v>—</v>
      </c>
      <c r="AG54" s="32" t="n">
        <f aca="false">IF(AND($P54="高",OR($AD54=1,$X54=1)),1,0)</f>
        <v>0</v>
      </c>
      <c r="AH54" s="32" t="n">
        <f aca="false">IF(AND($P54="高",$AG54=0,OR($F54&lt;&gt;"原始數據",$T54&lt;&gt;1)),1,0)</f>
        <v>0</v>
      </c>
      <c r="AI54" s="44" t="str">
        <f aca="false">IF(AND($P54="高",ISNUMBER($AF54)),INDEX(IDX_SrcDate,$AF54),"—")</f>
        <v>—</v>
      </c>
      <c r="AJ54" s="32" t="n">
        <f aca="false">IF(AND(ISTEXT($AI54),LEN($AI54)=10),IF(ISNUMBER(VALUE(SUBSTITUTE($AI54,"-",""))),VALUE(SUBSTITUTE($AI54,"-","")),0),0)</f>
        <v>0</v>
      </c>
    </row>
    <row r="55" customFormat="false" ht="15" hidden="false" customHeight="true" outlineLevel="0" collapsed="false">
      <c r="A55" s="30" t="s">
        <v>4647</v>
      </c>
      <c r="B55" s="239" t="s">
        <v>4525</v>
      </c>
      <c r="C55" s="30" t="s">
        <v>4526</v>
      </c>
      <c r="D55" s="30" t="s">
        <v>4648</v>
      </c>
      <c r="E55" s="20" t="s">
        <v>170</v>
      </c>
      <c r="F55" s="30" t="s">
        <v>114</v>
      </c>
      <c r="G55" s="239" t="s">
        <v>1309</v>
      </c>
      <c r="H55" s="30" t="s">
        <v>751</v>
      </c>
      <c r="I55" s="6" t="s">
        <v>751</v>
      </c>
      <c r="J55" s="30" t="s">
        <v>751</v>
      </c>
      <c r="K55" s="239"/>
      <c r="L55" s="239"/>
      <c r="M55" s="30" t="s">
        <v>751</v>
      </c>
      <c r="N55" s="240" t="str">
        <f aca="false">Inputs!$H$33</f>
        <v>v4＝$200M</v>
      </c>
      <c r="O55" s="6" t="s">
        <v>751</v>
      </c>
      <c r="P55" s="239" t="s">
        <v>1308</v>
      </c>
      <c r="Q55" s="49" t="n">
        <f aca="false">Inputs!F33</f>
        <v>250</v>
      </c>
      <c r="R55" s="30" t="s">
        <v>751</v>
      </c>
      <c r="S55" s="44" t="str">
        <f aca="false">IF(ISNUMBER($AF55),INDEX(IDX_SrcStat,$AF55),"—")</f>
        <v>—</v>
      </c>
      <c r="T55" s="44" t="str">
        <f aca="false">IF(ISNUMBER($AF55),INDEX(IDX_SrcGrade,$AF55),"—")</f>
        <v>—</v>
      </c>
      <c r="U55" s="44" t="s">
        <v>4531</v>
      </c>
      <c r="V55" s="32" t="n">
        <f aca="false">IF(AND($F55="原始數據",$U55&lt;&gt;"連結 SRC"),1,0)</f>
        <v>0</v>
      </c>
      <c r="W55" s="32" t="n">
        <f aca="false">IF(AND($F55="Analogy",OR($H55="—",$H55="")),1,0)</f>
        <v>0</v>
      </c>
      <c r="X55" s="32" t="n">
        <f aca="false">IF(AND(OR($F55="Analogy",$F55="Assumed"),$G55&lt;&gt;"低",$G55&lt;&gt;"高",NOT(ISNUMBER($K55)),NOT(ISNUMBER($L55)),OR($M55="—",$M55="")),1,0)</f>
        <v>0</v>
      </c>
      <c r="Y55" s="32" t="n">
        <f aca="false">IF(AND(OR($F55="Analogy",$F55="Assumed",$F55="Derived（待改公式）",$F55="Derived（公式）"),OR($N55="—",$N55="",$N55=0)),1,0)</f>
        <v>0</v>
      </c>
      <c r="Z55" s="32" t="n">
        <f aca="false">IF(AND($F55="Decision",OR($J55="—",$J55="")),1,0)</f>
        <v>0</v>
      </c>
      <c r="AA55" s="33" t="n">
        <f aca="false">IF(OR($J55="—",$J55=""),0,IF(COUNTIF(Decisions!$A$5:$A$300,$J55)=0,1,0))</f>
        <v>0</v>
      </c>
      <c r="AB55" s="32" t="n">
        <f aca="false">IF(AND($F55="原始數據",$S55&lt;&gt;"Active"),1,0)</f>
        <v>0</v>
      </c>
      <c r="AC55" s="32" t="n">
        <f aca="false">IF(AND(ISNUMBER($K55),ISNUMBER($L55),ISNUMBER($Q55)),IF(OR($Q55&lt;MIN($K55,$L55),$Q55&gt;MAX($K55,$L55)),1,0),0)</f>
        <v>0</v>
      </c>
      <c r="AD55" s="32" t="n">
        <f aca="false">IF(AND(ISNUMBER($T55),$P55="高"),IF($T55=3,1,0),0)</f>
        <v>0</v>
      </c>
      <c r="AE55" s="32" t="n">
        <f aca="false">IF($S55="不存在",1,0)</f>
        <v>0</v>
      </c>
      <c r="AF55" s="44" t="str">
        <f aca="false">IF(OR($H55="—",$H55=""),"—",MATCH($H55,IDX_SrcID,0))</f>
        <v>—</v>
      </c>
      <c r="AG55" s="32" t="n">
        <f aca="false">IF(AND($P55="高",OR($AD55=1,$X55=1)),1,0)</f>
        <v>0</v>
      </c>
      <c r="AH55" s="32" t="n">
        <f aca="false">IF(AND($P55="高",$AG55=0,OR($F55&lt;&gt;"原始數據",$T55&lt;&gt;1)),1,0)</f>
        <v>0</v>
      </c>
      <c r="AI55" s="44" t="str">
        <f aca="false">IF(AND($P55="高",ISNUMBER($AF55)),INDEX(IDX_SrcDate,$AF55),"—")</f>
        <v>—</v>
      </c>
      <c r="AJ55" s="32" t="n">
        <f aca="false">IF(AND(ISTEXT($AI55),LEN($AI55)=10),IF(ISNUMBER(VALUE(SUBSTITUTE($AI55,"-",""))),VALUE(SUBSTITUTE($AI55,"-","")),0),0)</f>
        <v>0</v>
      </c>
    </row>
    <row r="56" customFormat="false" ht="15" hidden="false" customHeight="true" outlineLevel="0" collapsed="false">
      <c r="A56" s="30" t="s">
        <v>4649</v>
      </c>
      <c r="B56" s="239" t="s">
        <v>4525</v>
      </c>
      <c r="C56" s="30" t="s">
        <v>4526</v>
      </c>
      <c r="D56" s="30" t="s">
        <v>4650</v>
      </c>
      <c r="E56" s="20" t="s">
        <v>172</v>
      </c>
      <c r="F56" s="30" t="s">
        <v>114</v>
      </c>
      <c r="G56" s="239" t="s">
        <v>97</v>
      </c>
      <c r="H56" s="30" t="s">
        <v>751</v>
      </c>
      <c r="I56" s="6" t="s">
        <v>751</v>
      </c>
      <c r="J56" s="30" t="s">
        <v>751</v>
      </c>
      <c r="K56" s="192" t="n">
        <f aca="false">Inputs!$D$34</f>
        <v>0.04</v>
      </c>
      <c r="L56" s="192" t="n">
        <f aca="false">Inputs!$F$34</f>
        <v>0.06</v>
      </c>
      <c r="M56" s="30" t="s">
        <v>751</v>
      </c>
      <c r="N56" s="240" t="str">
        <f aca="false">Inputs!$H$34</f>
        <v>v4＝$50K/MW</v>
      </c>
      <c r="O56" s="6" t="s">
        <v>751</v>
      </c>
      <c r="P56" s="239" t="s">
        <v>1308</v>
      </c>
      <c r="Q56" s="192" t="n">
        <f aca="false">Inputs!E34</f>
        <v>0.05</v>
      </c>
      <c r="R56" s="30" t="s">
        <v>751</v>
      </c>
      <c r="S56" s="44" t="str">
        <f aca="false">IF(ISNUMBER($AF56),INDEX(IDX_SrcStat,$AF56),"—")</f>
        <v>—</v>
      </c>
      <c r="T56" s="44" t="str">
        <f aca="false">IF(ISNUMBER($AF56),INDEX(IDX_SrcGrade,$AF56),"—")</f>
        <v>—</v>
      </c>
      <c r="U56" s="44" t="s">
        <v>4531</v>
      </c>
      <c r="V56" s="32" t="n">
        <f aca="false">IF(AND($F56="原始數據",$U56&lt;&gt;"連結 SRC"),1,0)</f>
        <v>0</v>
      </c>
      <c r="W56" s="32" t="n">
        <f aca="false">IF(AND($F56="Analogy",OR($H56="—",$H56="")),1,0)</f>
        <v>0</v>
      </c>
      <c r="X56" s="32" t="n">
        <f aca="false">IF(AND(OR($F56="Analogy",$F56="Assumed"),$G56&lt;&gt;"低",$G56&lt;&gt;"高",NOT(ISNUMBER($K56)),NOT(ISNUMBER($L56)),OR($M56="—",$M56="")),1,0)</f>
        <v>0</v>
      </c>
      <c r="Y56" s="32" t="n">
        <f aca="false">IF(AND(OR($F56="Analogy",$F56="Assumed",$F56="Derived（待改公式）",$F56="Derived（公式）"),OR($N56="—",$N56="",$N56=0)),1,0)</f>
        <v>0</v>
      </c>
      <c r="Z56" s="32" t="n">
        <f aca="false">IF(AND($F56="Decision",OR($J56="—",$J56="")),1,0)</f>
        <v>0</v>
      </c>
      <c r="AA56" s="33" t="n">
        <f aca="false">IF(OR($J56="—",$J56=""),0,IF(COUNTIF(Decisions!$A$5:$A$300,$J56)=0,1,0))</f>
        <v>0</v>
      </c>
      <c r="AB56" s="32" t="n">
        <f aca="false">IF(AND($F56="原始數據",$S56&lt;&gt;"Active"),1,0)</f>
        <v>0</v>
      </c>
      <c r="AC56" s="32" t="n">
        <f aca="false">IF(AND(ISNUMBER($K56),ISNUMBER($L56),ISNUMBER($Q56)),IF(OR($Q56&lt;MIN($K56,$L56),$Q56&gt;MAX($K56,$L56)),1,0),0)</f>
        <v>0</v>
      </c>
      <c r="AD56" s="32" t="n">
        <f aca="false">IF(AND(ISNUMBER($T56),$P56="高"),IF($T56=3,1,0),0)</f>
        <v>0</v>
      </c>
      <c r="AE56" s="32" t="n">
        <f aca="false">IF($S56="不存在",1,0)</f>
        <v>0</v>
      </c>
      <c r="AF56" s="44" t="str">
        <f aca="false">IF(OR($H56="—",$H56=""),"—",MATCH($H56,IDX_SrcID,0))</f>
        <v>—</v>
      </c>
      <c r="AG56" s="32" t="n">
        <f aca="false">IF(AND($P56="高",OR($AD56=1,$X56=1)),1,0)</f>
        <v>0</v>
      </c>
      <c r="AH56" s="32" t="n">
        <f aca="false">IF(AND($P56="高",$AG56=0,OR($F56&lt;&gt;"原始數據",$T56&lt;&gt;1)),1,0)</f>
        <v>0</v>
      </c>
      <c r="AI56" s="44" t="str">
        <f aca="false">IF(AND($P56="高",ISNUMBER($AF56)),INDEX(IDX_SrcDate,$AF56),"—")</f>
        <v>—</v>
      </c>
      <c r="AJ56" s="32" t="n">
        <f aca="false">IF(AND(ISTEXT($AI56),LEN($AI56)=10),IF(ISNUMBER(VALUE(SUBSTITUTE($AI56,"-",""))),VALUE(SUBSTITUTE($AI56,"-","")),0),0)</f>
        <v>0</v>
      </c>
    </row>
    <row r="57" customFormat="false" ht="15" hidden="false" customHeight="true" outlineLevel="0" collapsed="false">
      <c r="A57" s="30" t="s">
        <v>4651</v>
      </c>
      <c r="B57" s="239" t="s">
        <v>4525</v>
      </c>
      <c r="C57" s="30" t="s">
        <v>4526</v>
      </c>
      <c r="D57" s="30" t="s">
        <v>4652</v>
      </c>
      <c r="E57" s="20" t="s">
        <v>172</v>
      </c>
      <c r="F57" s="30" t="s">
        <v>114</v>
      </c>
      <c r="G57" s="239" t="s">
        <v>1308</v>
      </c>
      <c r="H57" s="30" t="s">
        <v>751</v>
      </c>
      <c r="I57" s="6" t="s">
        <v>751</v>
      </c>
      <c r="J57" s="30" t="s">
        <v>751</v>
      </c>
      <c r="K57" s="239"/>
      <c r="L57" s="239"/>
      <c r="M57" s="30" t="s">
        <v>751</v>
      </c>
      <c r="N57" s="240" t="str">
        <f aca="false">Inputs!$H$34</f>
        <v>v4＝$50K/MW</v>
      </c>
      <c r="O57" s="6" t="s">
        <v>751</v>
      </c>
      <c r="P57" s="239" t="s">
        <v>1308</v>
      </c>
      <c r="Q57" s="192" t="n">
        <f aca="false">Inputs!D34</f>
        <v>0.04</v>
      </c>
      <c r="R57" s="30" t="s">
        <v>751</v>
      </c>
      <c r="S57" s="44" t="str">
        <f aca="false">IF(ISNUMBER($AF57),INDEX(IDX_SrcStat,$AF57),"—")</f>
        <v>—</v>
      </c>
      <c r="T57" s="44" t="str">
        <f aca="false">IF(ISNUMBER($AF57),INDEX(IDX_SrcGrade,$AF57),"—")</f>
        <v>—</v>
      </c>
      <c r="U57" s="44" t="s">
        <v>4531</v>
      </c>
      <c r="V57" s="32" t="n">
        <f aca="false">IF(AND($F57="原始數據",$U57&lt;&gt;"連結 SRC"),1,0)</f>
        <v>0</v>
      </c>
      <c r="W57" s="32" t="n">
        <f aca="false">IF(AND($F57="Analogy",OR($H57="—",$H57="")),1,0)</f>
        <v>0</v>
      </c>
      <c r="X57" s="32" t="n">
        <f aca="false">IF(AND(OR($F57="Analogy",$F57="Assumed"),$G57&lt;&gt;"低",$G57&lt;&gt;"高",NOT(ISNUMBER($K57)),NOT(ISNUMBER($L57)),OR($M57="—",$M57="")),1,0)</f>
        <v>0</v>
      </c>
      <c r="Y57" s="32" t="n">
        <f aca="false">IF(AND(OR($F57="Analogy",$F57="Assumed",$F57="Derived（待改公式）",$F57="Derived（公式）"),OR($N57="—",$N57="",$N57=0)),1,0)</f>
        <v>0</v>
      </c>
      <c r="Z57" s="32" t="n">
        <f aca="false">IF(AND($F57="Decision",OR($J57="—",$J57="")),1,0)</f>
        <v>0</v>
      </c>
      <c r="AA57" s="33" t="n">
        <f aca="false">IF(OR($J57="—",$J57=""),0,IF(COUNTIF(Decisions!$A$5:$A$300,$J57)=0,1,0))</f>
        <v>0</v>
      </c>
      <c r="AB57" s="32" t="n">
        <f aca="false">IF(AND($F57="原始數據",$S57&lt;&gt;"Active"),1,0)</f>
        <v>0</v>
      </c>
      <c r="AC57" s="32" t="n">
        <f aca="false">IF(AND(ISNUMBER($K57),ISNUMBER($L57),ISNUMBER($Q57)),IF(OR($Q57&lt;MIN($K57,$L57),$Q57&gt;MAX($K57,$L57)),1,0),0)</f>
        <v>0</v>
      </c>
      <c r="AD57" s="32" t="n">
        <f aca="false">IF(AND(ISNUMBER($T57),$P57="高"),IF($T57=3,1,0),0)</f>
        <v>0</v>
      </c>
      <c r="AE57" s="32" t="n">
        <f aca="false">IF($S57="不存在",1,0)</f>
        <v>0</v>
      </c>
      <c r="AF57" s="44" t="str">
        <f aca="false">IF(OR($H57="—",$H57=""),"—",MATCH($H57,IDX_SrcID,0))</f>
        <v>—</v>
      </c>
      <c r="AG57" s="32" t="n">
        <f aca="false">IF(AND($P57="高",OR($AD57=1,$X57=1)),1,0)</f>
        <v>0</v>
      </c>
      <c r="AH57" s="32" t="n">
        <f aca="false">IF(AND($P57="高",$AG57=0,OR($F57&lt;&gt;"原始數據",$T57&lt;&gt;1)),1,0)</f>
        <v>0</v>
      </c>
      <c r="AI57" s="44" t="str">
        <f aca="false">IF(AND($P57="高",ISNUMBER($AF57)),INDEX(IDX_SrcDate,$AF57),"—")</f>
        <v>—</v>
      </c>
      <c r="AJ57" s="32" t="n">
        <f aca="false">IF(AND(ISTEXT($AI57),LEN($AI57)=10),IF(ISNUMBER(VALUE(SUBSTITUTE($AI57,"-",""))),VALUE(SUBSTITUTE($AI57,"-","")),0),0)</f>
        <v>0</v>
      </c>
    </row>
    <row r="58" customFormat="false" ht="15" hidden="false" customHeight="true" outlineLevel="0" collapsed="false">
      <c r="A58" s="30" t="s">
        <v>4653</v>
      </c>
      <c r="B58" s="239" t="s">
        <v>4525</v>
      </c>
      <c r="C58" s="30" t="s">
        <v>4526</v>
      </c>
      <c r="D58" s="30" t="s">
        <v>4654</v>
      </c>
      <c r="E58" s="20" t="s">
        <v>172</v>
      </c>
      <c r="F58" s="30" t="s">
        <v>114</v>
      </c>
      <c r="G58" s="239" t="s">
        <v>1309</v>
      </c>
      <c r="H58" s="30" t="s">
        <v>751</v>
      </c>
      <c r="I58" s="6" t="s">
        <v>751</v>
      </c>
      <c r="J58" s="30" t="s">
        <v>751</v>
      </c>
      <c r="K58" s="239"/>
      <c r="L58" s="239"/>
      <c r="M58" s="30" t="s">
        <v>751</v>
      </c>
      <c r="N58" s="240" t="str">
        <f aca="false">Inputs!$H$34</f>
        <v>v4＝$50K/MW</v>
      </c>
      <c r="O58" s="6" t="s">
        <v>751</v>
      </c>
      <c r="P58" s="239" t="s">
        <v>1308</v>
      </c>
      <c r="Q58" s="192" t="n">
        <f aca="false">Inputs!F34</f>
        <v>0.06</v>
      </c>
      <c r="R58" s="30" t="s">
        <v>751</v>
      </c>
      <c r="S58" s="44" t="str">
        <f aca="false">IF(ISNUMBER($AF58),INDEX(IDX_SrcStat,$AF58),"—")</f>
        <v>—</v>
      </c>
      <c r="T58" s="44" t="str">
        <f aca="false">IF(ISNUMBER($AF58),INDEX(IDX_SrcGrade,$AF58),"—")</f>
        <v>—</v>
      </c>
      <c r="U58" s="44" t="s">
        <v>4531</v>
      </c>
      <c r="V58" s="32" t="n">
        <f aca="false">IF(AND($F58="原始數據",$U58&lt;&gt;"連結 SRC"),1,0)</f>
        <v>0</v>
      </c>
      <c r="W58" s="32" t="n">
        <f aca="false">IF(AND($F58="Analogy",OR($H58="—",$H58="")),1,0)</f>
        <v>0</v>
      </c>
      <c r="X58" s="32" t="n">
        <f aca="false">IF(AND(OR($F58="Analogy",$F58="Assumed"),$G58&lt;&gt;"低",$G58&lt;&gt;"高",NOT(ISNUMBER($K58)),NOT(ISNUMBER($L58)),OR($M58="—",$M58="")),1,0)</f>
        <v>0</v>
      </c>
      <c r="Y58" s="32" t="n">
        <f aca="false">IF(AND(OR($F58="Analogy",$F58="Assumed",$F58="Derived（待改公式）",$F58="Derived（公式）"),OR($N58="—",$N58="",$N58=0)),1,0)</f>
        <v>0</v>
      </c>
      <c r="Z58" s="32" t="n">
        <f aca="false">IF(AND($F58="Decision",OR($J58="—",$J58="")),1,0)</f>
        <v>0</v>
      </c>
      <c r="AA58" s="33" t="n">
        <f aca="false">IF(OR($J58="—",$J58=""),0,IF(COUNTIF(Decisions!$A$5:$A$300,$J58)=0,1,0))</f>
        <v>0</v>
      </c>
      <c r="AB58" s="32" t="n">
        <f aca="false">IF(AND($F58="原始數據",$S58&lt;&gt;"Active"),1,0)</f>
        <v>0</v>
      </c>
      <c r="AC58" s="32" t="n">
        <f aca="false">IF(AND(ISNUMBER($K58),ISNUMBER($L58),ISNUMBER($Q58)),IF(OR($Q58&lt;MIN($K58,$L58),$Q58&gt;MAX($K58,$L58)),1,0),0)</f>
        <v>0</v>
      </c>
      <c r="AD58" s="32" t="n">
        <f aca="false">IF(AND(ISNUMBER($T58),$P58="高"),IF($T58=3,1,0),0)</f>
        <v>0</v>
      </c>
      <c r="AE58" s="32" t="n">
        <f aca="false">IF($S58="不存在",1,0)</f>
        <v>0</v>
      </c>
      <c r="AF58" s="44" t="str">
        <f aca="false">IF(OR($H58="—",$H58=""),"—",MATCH($H58,IDX_SrcID,0))</f>
        <v>—</v>
      </c>
      <c r="AG58" s="32" t="n">
        <f aca="false">IF(AND($P58="高",OR($AD58=1,$X58=1)),1,0)</f>
        <v>0</v>
      </c>
      <c r="AH58" s="32" t="n">
        <f aca="false">IF(AND($P58="高",$AG58=0,OR($F58&lt;&gt;"原始數據",$T58&lt;&gt;1)),1,0)</f>
        <v>0</v>
      </c>
      <c r="AI58" s="44" t="str">
        <f aca="false">IF(AND($P58="高",ISNUMBER($AF58)),INDEX(IDX_SrcDate,$AF58),"—")</f>
        <v>—</v>
      </c>
      <c r="AJ58" s="32" t="n">
        <f aca="false">IF(AND(ISTEXT($AI58),LEN($AI58)=10),IF(ISNUMBER(VALUE(SUBSTITUTE($AI58,"-",""))),VALUE(SUBSTITUTE($AI58,"-","")),0),0)</f>
        <v>0</v>
      </c>
    </row>
    <row r="59" customFormat="false" ht="29.25" hidden="false" customHeight="true" outlineLevel="0" collapsed="false">
      <c r="A59" s="30" t="s">
        <v>4655</v>
      </c>
      <c r="B59" s="239" t="s">
        <v>4525</v>
      </c>
      <c r="C59" s="30" t="s">
        <v>4526</v>
      </c>
      <c r="D59" s="30" t="s">
        <v>4656</v>
      </c>
      <c r="E59" s="20" t="s">
        <v>175</v>
      </c>
      <c r="F59" s="30" t="s">
        <v>114</v>
      </c>
      <c r="G59" s="239" t="s">
        <v>97</v>
      </c>
      <c r="H59" s="30" t="s">
        <v>751</v>
      </c>
      <c r="I59" s="6" t="s">
        <v>751</v>
      </c>
      <c r="J59" s="30" t="s">
        <v>751</v>
      </c>
      <c r="K59" s="196" t="n">
        <f aca="false">Inputs!$D$35</f>
        <v>0.003</v>
      </c>
      <c r="L59" s="196" t="n">
        <f aca="false">Inputs!$F$35</f>
        <v>0.008</v>
      </c>
      <c r="M59" s="30" t="s">
        <v>751</v>
      </c>
      <c r="N59" s="240" t="str">
        <f aca="false">Inputs!$H$35</f>
        <v>v4＝0.5%</v>
      </c>
      <c r="O59" s="6" t="s">
        <v>4632</v>
      </c>
      <c r="P59" s="239" t="s">
        <v>1308</v>
      </c>
      <c r="Q59" s="196" t="n">
        <f aca="false">Inputs!E35</f>
        <v>0.005</v>
      </c>
      <c r="R59" s="30" t="s">
        <v>751</v>
      </c>
      <c r="S59" s="44" t="str">
        <f aca="false">IF(ISNUMBER($AF59),INDEX(IDX_SrcStat,$AF59),"—")</f>
        <v>—</v>
      </c>
      <c r="T59" s="44" t="str">
        <f aca="false">IF(ISNUMBER($AF59),INDEX(IDX_SrcGrade,$AF59),"—")</f>
        <v>—</v>
      </c>
      <c r="U59" s="44" t="s">
        <v>4531</v>
      </c>
      <c r="V59" s="32" t="n">
        <f aca="false">IF(AND($F59="原始數據",$U59&lt;&gt;"連結 SRC"),1,0)</f>
        <v>0</v>
      </c>
      <c r="W59" s="32" t="n">
        <f aca="false">IF(AND($F59="Analogy",OR($H59="—",$H59="")),1,0)</f>
        <v>0</v>
      </c>
      <c r="X59" s="32" t="n">
        <f aca="false">IF(AND(OR($F59="Analogy",$F59="Assumed"),$G59&lt;&gt;"低",$G59&lt;&gt;"高",NOT(ISNUMBER($K59)),NOT(ISNUMBER($L59)),OR($M59="—",$M59="")),1,0)</f>
        <v>0</v>
      </c>
      <c r="Y59" s="32" t="n">
        <f aca="false">IF(AND(OR($F59="Analogy",$F59="Assumed",$F59="Derived（待改公式）",$F59="Derived（公式）"),OR($N59="—",$N59="",$N59=0)),1,0)</f>
        <v>0</v>
      </c>
      <c r="Z59" s="32" t="n">
        <f aca="false">IF(AND($F59="Decision",OR($J59="—",$J59="")),1,0)</f>
        <v>0</v>
      </c>
      <c r="AA59" s="33" t="n">
        <f aca="false">IF(OR($J59="—",$J59=""),0,IF(COUNTIF(Decisions!$A$5:$A$300,$J59)=0,1,0))</f>
        <v>0</v>
      </c>
      <c r="AB59" s="32" t="n">
        <f aca="false">IF(AND($F59="原始數據",$S59&lt;&gt;"Active"),1,0)</f>
        <v>0</v>
      </c>
      <c r="AC59" s="32" t="n">
        <f aca="false">IF(AND(ISNUMBER($K59),ISNUMBER($L59),ISNUMBER($Q59)),IF(OR($Q59&lt;MIN($K59,$L59),$Q59&gt;MAX($K59,$L59)),1,0),0)</f>
        <v>0</v>
      </c>
      <c r="AD59" s="32" t="n">
        <f aca="false">IF(AND(ISNUMBER($T59),$P59="高"),IF($T59=3,1,0),0)</f>
        <v>0</v>
      </c>
      <c r="AE59" s="32" t="n">
        <f aca="false">IF($S59="不存在",1,0)</f>
        <v>0</v>
      </c>
      <c r="AF59" s="44" t="str">
        <f aca="false">IF(OR($H59="—",$H59=""),"—",MATCH($H59,IDX_SrcID,0))</f>
        <v>—</v>
      </c>
      <c r="AG59" s="32" t="n">
        <f aca="false">IF(AND($P59="高",OR($AD59=1,$X59=1)),1,0)</f>
        <v>0</v>
      </c>
      <c r="AH59" s="32" t="n">
        <f aca="false">IF(AND($P59="高",$AG59=0,OR($F59&lt;&gt;"原始數據",$T59&lt;&gt;1)),1,0)</f>
        <v>0</v>
      </c>
      <c r="AI59" s="44" t="str">
        <f aca="false">IF(AND($P59="高",ISNUMBER($AF59)),INDEX(IDX_SrcDate,$AF59),"—")</f>
        <v>—</v>
      </c>
      <c r="AJ59" s="32" t="n">
        <f aca="false">IF(AND(ISTEXT($AI59),LEN($AI59)=10),IF(ISNUMBER(VALUE(SUBSTITUTE($AI59,"-",""))),VALUE(SUBSTITUTE($AI59,"-","")),0),0)</f>
        <v>0</v>
      </c>
    </row>
    <row r="60" customFormat="false" ht="29.25" hidden="false" customHeight="true" outlineLevel="0" collapsed="false">
      <c r="A60" s="30" t="s">
        <v>4657</v>
      </c>
      <c r="B60" s="239" t="s">
        <v>4525</v>
      </c>
      <c r="C60" s="30" t="s">
        <v>4526</v>
      </c>
      <c r="D60" s="30" t="s">
        <v>4658</v>
      </c>
      <c r="E60" s="20" t="s">
        <v>175</v>
      </c>
      <c r="F60" s="30" t="s">
        <v>114</v>
      </c>
      <c r="G60" s="239" t="s">
        <v>1308</v>
      </c>
      <c r="H60" s="30" t="s">
        <v>751</v>
      </c>
      <c r="I60" s="6" t="s">
        <v>751</v>
      </c>
      <c r="J60" s="30" t="s">
        <v>751</v>
      </c>
      <c r="K60" s="239"/>
      <c r="L60" s="239"/>
      <c r="M60" s="30" t="s">
        <v>751</v>
      </c>
      <c r="N60" s="240" t="str">
        <f aca="false">Inputs!$H$35</f>
        <v>v4＝0.5%</v>
      </c>
      <c r="O60" s="6" t="s">
        <v>4632</v>
      </c>
      <c r="P60" s="239" t="s">
        <v>1308</v>
      </c>
      <c r="Q60" s="196" t="n">
        <f aca="false">Inputs!D35</f>
        <v>0.003</v>
      </c>
      <c r="R60" s="30" t="s">
        <v>751</v>
      </c>
      <c r="S60" s="44" t="str">
        <f aca="false">IF(ISNUMBER($AF60),INDEX(IDX_SrcStat,$AF60),"—")</f>
        <v>—</v>
      </c>
      <c r="T60" s="44" t="str">
        <f aca="false">IF(ISNUMBER($AF60),INDEX(IDX_SrcGrade,$AF60),"—")</f>
        <v>—</v>
      </c>
      <c r="U60" s="44" t="s">
        <v>4531</v>
      </c>
      <c r="V60" s="32" t="n">
        <f aca="false">IF(AND($F60="原始數據",$U60&lt;&gt;"連結 SRC"),1,0)</f>
        <v>0</v>
      </c>
      <c r="W60" s="32" t="n">
        <f aca="false">IF(AND($F60="Analogy",OR($H60="—",$H60="")),1,0)</f>
        <v>0</v>
      </c>
      <c r="X60" s="32" t="n">
        <f aca="false">IF(AND(OR($F60="Analogy",$F60="Assumed"),$G60&lt;&gt;"低",$G60&lt;&gt;"高",NOT(ISNUMBER($K60)),NOT(ISNUMBER($L60)),OR($M60="—",$M60="")),1,0)</f>
        <v>0</v>
      </c>
      <c r="Y60" s="32" t="n">
        <f aca="false">IF(AND(OR($F60="Analogy",$F60="Assumed",$F60="Derived（待改公式）",$F60="Derived（公式）"),OR($N60="—",$N60="",$N60=0)),1,0)</f>
        <v>0</v>
      </c>
      <c r="Z60" s="32" t="n">
        <f aca="false">IF(AND($F60="Decision",OR($J60="—",$J60="")),1,0)</f>
        <v>0</v>
      </c>
      <c r="AA60" s="33" t="n">
        <f aca="false">IF(OR($J60="—",$J60=""),0,IF(COUNTIF(Decisions!$A$5:$A$300,$J60)=0,1,0))</f>
        <v>0</v>
      </c>
      <c r="AB60" s="32" t="n">
        <f aca="false">IF(AND($F60="原始數據",$S60&lt;&gt;"Active"),1,0)</f>
        <v>0</v>
      </c>
      <c r="AC60" s="32" t="n">
        <f aca="false">IF(AND(ISNUMBER($K60),ISNUMBER($L60),ISNUMBER($Q60)),IF(OR($Q60&lt;MIN($K60,$L60),$Q60&gt;MAX($K60,$L60)),1,0),0)</f>
        <v>0</v>
      </c>
      <c r="AD60" s="32" t="n">
        <f aca="false">IF(AND(ISNUMBER($T60),$P60="高"),IF($T60=3,1,0),0)</f>
        <v>0</v>
      </c>
      <c r="AE60" s="32" t="n">
        <f aca="false">IF($S60="不存在",1,0)</f>
        <v>0</v>
      </c>
      <c r="AF60" s="44" t="str">
        <f aca="false">IF(OR($H60="—",$H60=""),"—",MATCH($H60,IDX_SrcID,0))</f>
        <v>—</v>
      </c>
      <c r="AG60" s="32" t="n">
        <f aca="false">IF(AND($P60="高",OR($AD60=1,$X60=1)),1,0)</f>
        <v>0</v>
      </c>
      <c r="AH60" s="32" t="n">
        <f aca="false">IF(AND($P60="高",$AG60=0,OR($F60&lt;&gt;"原始數據",$T60&lt;&gt;1)),1,0)</f>
        <v>0</v>
      </c>
      <c r="AI60" s="44" t="str">
        <f aca="false">IF(AND($P60="高",ISNUMBER($AF60)),INDEX(IDX_SrcDate,$AF60),"—")</f>
        <v>—</v>
      </c>
      <c r="AJ60" s="32" t="n">
        <f aca="false">IF(AND(ISTEXT($AI60),LEN($AI60)=10),IF(ISNUMBER(VALUE(SUBSTITUTE($AI60,"-",""))),VALUE(SUBSTITUTE($AI60,"-","")),0),0)</f>
        <v>0</v>
      </c>
    </row>
    <row r="61" customFormat="false" ht="29.25" hidden="false" customHeight="true" outlineLevel="0" collapsed="false">
      <c r="A61" s="30" t="s">
        <v>4659</v>
      </c>
      <c r="B61" s="239" t="s">
        <v>4525</v>
      </c>
      <c r="C61" s="30" t="s">
        <v>4526</v>
      </c>
      <c r="D61" s="30" t="s">
        <v>4660</v>
      </c>
      <c r="E61" s="20" t="s">
        <v>175</v>
      </c>
      <c r="F61" s="30" t="s">
        <v>114</v>
      </c>
      <c r="G61" s="239" t="s">
        <v>1309</v>
      </c>
      <c r="H61" s="30" t="s">
        <v>751</v>
      </c>
      <c r="I61" s="6" t="s">
        <v>751</v>
      </c>
      <c r="J61" s="30" t="s">
        <v>751</v>
      </c>
      <c r="K61" s="239"/>
      <c r="L61" s="239"/>
      <c r="M61" s="30" t="s">
        <v>751</v>
      </c>
      <c r="N61" s="240" t="str">
        <f aca="false">Inputs!$H$35</f>
        <v>v4＝0.5%</v>
      </c>
      <c r="O61" s="6" t="s">
        <v>4632</v>
      </c>
      <c r="P61" s="239" t="s">
        <v>1308</v>
      </c>
      <c r="Q61" s="196" t="n">
        <f aca="false">Inputs!F35</f>
        <v>0.008</v>
      </c>
      <c r="R61" s="30" t="s">
        <v>751</v>
      </c>
      <c r="S61" s="44" t="str">
        <f aca="false">IF(ISNUMBER($AF61),INDEX(IDX_SrcStat,$AF61),"—")</f>
        <v>—</v>
      </c>
      <c r="T61" s="44" t="str">
        <f aca="false">IF(ISNUMBER($AF61),INDEX(IDX_SrcGrade,$AF61),"—")</f>
        <v>—</v>
      </c>
      <c r="U61" s="44" t="s">
        <v>4531</v>
      </c>
      <c r="V61" s="32" t="n">
        <f aca="false">IF(AND($F61="原始數據",$U61&lt;&gt;"連結 SRC"),1,0)</f>
        <v>0</v>
      </c>
      <c r="W61" s="32" t="n">
        <f aca="false">IF(AND($F61="Analogy",OR($H61="—",$H61="")),1,0)</f>
        <v>0</v>
      </c>
      <c r="X61" s="32" t="n">
        <f aca="false">IF(AND(OR($F61="Analogy",$F61="Assumed"),$G61&lt;&gt;"低",$G61&lt;&gt;"高",NOT(ISNUMBER($K61)),NOT(ISNUMBER($L61)),OR($M61="—",$M61="")),1,0)</f>
        <v>0</v>
      </c>
      <c r="Y61" s="32" t="n">
        <f aca="false">IF(AND(OR($F61="Analogy",$F61="Assumed",$F61="Derived（待改公式）",$F61="Derived（公式）"),OR($N61="—",$N61="",$N61=0)),1,0)</f>
        <v>0</v>
      </c>
      <c r="Z61" s="32" t="n">
        <f aca="false">IF(AND($F61="Decision",OR($J61="—",$J61="")),1,0)</f>
        <v>0</v>
      </c>
      <c r="AA61" s="33" t="n">
        <f aca="false">IF(OR($J61="—",$J61=""),0,IF(COUNTIF(Decisions!$A$5:$A$300,$J61)=0,1,0))</f>
        <v>0</v>
      </c>
      <c r="AB61" s="32" t="n">
        <f aca="false">IF(AND($F61="原始數據",$S61&lt;&gt;"Active"),1,0)</f>
        <v>0</v>
      </c>
      <c r="AC61" s="32" t="n">
        <f aca="false">IF(AND(ISNUMBER($K61),ISNUMBER($L61),ISNUMBER($Q61)),IF(OR($Q61&lt;MIN($K61,$L61),$Q61&gt;MAX($K61,$L61)),1,0),0)</f>
        <v>0</v>
      </c>
      <c r="AD61" s="32" t="n">
        <f aca="false">IF(AND(ISNUMBER($T61),$P61="高"),IF($T61=3,1,0),0)</f>
        <v>0</v>
      </c>
      <c r="AE61" s="32" t="n">
        <f aca="false">IF($S61="不存在",1,0)</f>
        <v>0</v>
      </c>
      <c r="AF61" s="44" t="str">
        <f aca="false">IF(OR($H61="—",$H61=""),"—",MATCH($H61,IDX_SrcID,0))</f>
        <v>—</v>
      </c>
      <c r="AG61" s="32" t="n">
        <f aca="false">IF(AND($P61="高",OR($AD61=1,$X61=1)),1,0)</f>
        <v>0</v>
      </c>
      <c r="AH61" s="32" t="n">
        <f aca="false">IF(AND($P61="高",$AG61=0,OR($F61&lt;&gt;"原始數據",$T61&lt;&gt;1)),1,0)</f>
        <v>0</v>
      </c>
      <c r="AI61" s="44" t="str">
        <f aca="false">IF(AND($P61="高",ISNUMBER($AF61)),INDEX(IDX_SrcDate,$AF61),"—")</f>
        <v>—</v>
      </c>
      <c r="AJ61" s="32" t="n">
        <f aca="false">IF(AND(ISTEXT($AI61),LEN($AI61)=10),IF(ISNUMBER(VALUE(SUBSTITUTE($AI61,"-",""))),VALUE(SUBSTITUTE($AI61,"-","")),0),0)</f>
        <v>0</v>
      </c>
    </row>
    <row r="62" customFormat="false" ht="15" hidden="false" customHeight="true" outlineLevel="0" collapsed="false">
      <c r="A62" s="30" t="s">
        <v>4661</v>
      </c>
      <c r="B62" s="239" t="s">
        <v>4525</v>
      </c>
      <c r="C62" s="30" t="s">
        <v>4526</v>
      </c>
      <c r="D62" s="30" t="s">
        <v>4662</v>
      </c>
      <c r="E62" s="6" t="s">
        <v>148</v>
      </c>
      <c r="F62" s="239" t="s">
        <v>348</v>
      </c>
      <c r="G62" s="239" t="s">
        <v>4527</v>
      </c>
      <c r="H62" s="30" t="s">
        <v>4663</v>
      </c>
      <c r="I62" s="20" t="s">
        <v>4562</v>
      </c>
      <c r="J62" s="30" t="s">
        <v>4664</v>
      </c>
      <c r="K62" s="239"/>
      <c r="L62" s="239"/>
      <c r="M62" s="30" t="s">
        <v>751</v>
      </c>
      <c r="N62" s="20" t="s">
        <v>4665</v>
      </c>
      <c r="O62" s="6" t="s">
        <v>751</v>
      </c>
      <c r="P62" s="239" t="s">
        <v>1309</v>
      </c>
      <c r="Q62" s="49" t="n">
        <f aca="false">Inputs!D23</f>
        <v>6</v>
      </c>
      <c r="R62" s="184" t="n">
        <f aca="false">SRC_DC_007</f>
        <v>6</v>
      </c>
      <c r="S62" s="44" t="str">
        <f aca="false">IF(ISNUMBER($AF62),INDEX(IDX_SrcStat,$AF62),"—")</f>
        <v>Active</v>
      </c>
      <c r="T62" s="44" t="n">
        <f aca="false">IF(ISNUMBER($AF62),INDEX(IDX_SrcGrade,$AF62),"—")</f>
        <v>2</v>
      </c>
      <c r="U62" s="44" t="s">
        <v>4564</v>
      </c>
      <c r="V62" s="32" t="n">
        <f aca="false">IF(AND($F62="原始數據",$U62&lt;&gt;"連結 SRC"),1,0)</f>
        <v>0</v>
      </c>
      <c r="W62" s="32" t="n">
        <f aca="false">IF(AND($F62="Analogy",OR($H62="—",$H62="")),1,0)</f>
        <v>0</v>
      </c>
      <c r="X62" s="32" t="n">
        <f aca="false">IF(AND(OR($F62="Analogy",$F62="Assumed"),$G62&lt;&gt;"低",$G62&lt;&gt;"高",NOT(ISNUMBER($K62)),NOT(ISNUMBER($L62)),OR($M62="—",$M62="")),1,0)</f>
        <v>0</v>
      </c>
      <c r="Y62" s="32" t="n">
        <f aca="false">IF(AND(OR($F62="Analogy",$F62="Assumed",$F62="Derived（待改公式）",$F62="Derived（公式）"),OR($N62="—",$N62="",$N62=0)),1,0)</f>
        <v>0</v>
      </c>
      <c r="Z62" s="32" t="n">
        <f aca="false">IF(AND($F62="Decision",OR($J62="—",$J62="")),1,0)</f>
        <v>0</v>
      </c>
      <c r="AA62" s="33" t="n">
        <f aca="false">IF(OR($J62="—",$J62=""),0,IF(COUNTIF(Decisions!$A$5:$A$300,$J62)=0,1,0))</f>
        <v>0</v>
      </c>
      <c r="AB62" s="32" t="n">
        <f aca="false">IF(AND($F62="原始數據",$S62&lt;&gt;"Active"),1,0)</f>
        <v>0</v>
      </c>
      <c r="AC62" s="32" t="n">
        <f aca="false">IF(AND(ISNUMBER($K62),ISNUMBER($L62),ISNUMBER($Q62)),IF(OR($Q62&lt;MIN($K62,$L62),$Q62&gt;MAX($K62,$L62)),1,0),0)</f>
        <v>0</v>
      </c>
      <c r="AD62" s="32" t="n">
        <f aca="false">IF(AND(ISNUMBER($T62),$P62="高"),IF($T62=3,1,0),0)</f>
        <v>0</v>
      </c>
      <c r="AE62" s="32" t="n">
        <f aca="false">IF($S62="不存在",1,0)</f>
        <v>0</v>
      </c>
      <c r="AF62" s="44" t="n">
        <f aca="false">IF(OR($H62="—",$H62=""),"—",MATCH($H62,IDX_SrcID,0))</f>
        <v>123</v>
      </c>
      <c r="AG62" s="32" t="n">
        <f aca="false">IF(AND($P62="高",OR($AD62=1,$X62=1)),1,0)</f>
        <v>0</v>
      </c>
      <c r="AH62" s="32" t="n">
        <f aca="false">IF(AND($P62="高",$AG62=0,OR($F62&lt;&gt;"原始數據",$T62&lt;&gt;1)),1,0)</f>
        <v>1</v>
      </c>
      <c r="AI62" s="44" t="str">
        <f aca="false">IF(AND($P62="高",ISNUMBER($AF62)),INDEX(IDX_SrcDate,$AF62),"—")</f>
        <v>—</v>
      </c>
      <c r="AJ62" s="32" t="n">
        <f aca="false">IF(AND(ISTEXT($AI62),LEN($AI62)=10),IF(ISNUMBER(VALUE(SUBSTITUTE($AI62,"-",""))),VALUE(SUBSTITUTE($AI62,"-","")),0),0)</f>
        <v>0</v>
      </c>
    </row>
    <row r="63" customFormat="false" ht="15" hidden="false" customHeight="true" outlineLevel="0" collapsed="false">
      <c r="A63" s="30" t="s">
        <v>4666</v>
      </c>
      <c r="B63" s="239" t="s">
        <v>4525</v>
      </c>
      <c r="C63" s="30" t="s">
        <v>4526</v>
      </c>
      <c r="D63" s="30" t="s">
        <v>4667</v>
      </c>
      <c r="E63" s="6" t="s">
        <v>148</v>
      </c>
      <c r="F63" s="239" t="s">
        <v>348</v>
      </c>
      <c r="G63" s="239" t="s">
        <v>4527</v>
      </c>
      <c r="H63" s="30" t="s">
        <v>4663</v>
      </c>
      <c r="I63" s="20" t="s">
        <v>4562</v>
      </c>
      <c r="J63" s="30" t="s">
        <v>4664</v>
      </c>
      <c r="K63" s="239"/>
      <c r="L63" s="239"/>
      <c r="M63" s="30" t="s">
        <v>751</v>
      </c>
      <c r="N63" s="20" t="s">
        <v>4665</v>
      </c>
      <c r="O63" s="6" t="s">
        <v>751</v>
      </c>
      <c r="P63" s="239" t="s">
        <v>1309</v>
      </c>
      <c r="Q63" s="49" t="n">
        <f aca="false">Inputs!E23</f>
        <v>6</v>
      </c>
      <c r="R63" s="184" t="n">
        <f aca="false">SRC_DC_007</f>
        <v>6</v>
      </c>
      <c r="S63" s="44" t="str">
        <f aca="false">IF(ISNUMBER($AF63),INDEX(IDX_SrcStat,$AF63),"—")</f>
        <v>Active</v>
      </c>
      <c r="T63" s="44" t="n">
        <f aca="false">IF(ISNUMBER($AF63),INDEX(IDX_SrcGrade,$AF63),"—")</f>
        <v>2</v>
      </c>
      <c r="U63" s="44" t="s">
        <v>4564</v>
      </c>
      <c r="V63" s="32" t="n">
        <f aca="false">IF(AND($F63="原始數據",$U63&lt;&gt;"連結 SRC"),1,0)</f>
        <v>0</v>
      </c>
      <c r="W63" s="32" t="n">
        <f aca="false">IF(AND($F63="Analogy",OR($H63="—",$H63="")),1,0)</f>
        <v>0</v>
      </c>
      <c r="X63" s="32" t="n">
        <f aca="false">IF(AND(OR($F63="Analogy",$F63="Assumed"),$G63&lt;&gt;"低",$G63&lt;&gt;"高",NOT(ISNUMBER($K63)),NOT(ISNUMBER($L63)),OR($M63="—",$M63="")),1,0)</f>
        <v>0</v>
      </c>
      <c r="Y63" s="32" t="n">
        <f aca="false">IF(AND(OR($F63="Analogy",$F63="Assumed",$F63="Derived（待改公式）",$F63="Derived（公式）"),OR($N63="—",$N63="",$N63=0)),1,0)</f>
        <v>0</v>
      </c>
      <c r="Z63" s="32" t="n">
        <f aca="false">IF(AND($F63="Decision",OR($J63="—",$J63="")),1,0)</f>
        <v>0</v>
      </c>
      <c r="AA63" s="33" t="n">
        <f aca="false">IF(OR($J63="—",$J63=""),0,IF(COUNTIF(Decisions!$A$5:$A$300,$J63)=0,1,0))</f>
        <v>0</v>
      </c>
      <c r="AB63" s="32" t="n">
        <f aca="false">IF(AND($F63="原始數據",$S63&lt;&gt;"Active"),1,0)</f>
        <v>0</v>
      </c>
      <c r="AC63" s="32" t="n">
        <f aca="false">IF(AND(ISNUMBER($K63),ISNUMBER($L63),ISNUMBER($Q63)),IF(OR($Q63&lt;MIN($K63,$L63),$Q63&gt;MAX($K63,$L63)),1,0),0)</f>
        <v>0</v>
      </c>
      <c r="AD63" s="32" t="n">
        <f aca="false">IF(AND(ISNUMBER($T63),$P63="高"),IF($T63=3,1,0),0)</f>
        <v>0</v>
      </c>
      <c r="AE63" s="32" t="n">
        <f aca="false">IF($S63="不存在",1,0)</f>
        <v>0</v>
      </c>
      <c r="AF63" s="44" t="n">
        <f aca="false">IF(OR($H63="—",$H63=""),"—",MATCH($H63,IDX_SrcID,0))</f>
        <v>123</v>
      </c>
      <c r="AG63" s="32" t="n">
        <f aca="false">IF(AND($P63="高",OR($AD63=1,$X63=1)),1,0)</f>
        <v>0</v>
      </c>
      <c r="AH63" s="32" t="n">
        <f aca="false">IF(AND($P63="高",$AG63=0,OR($F63&lt;&gt;"原始數據",$T63&lt;&gt;1)),1,0)</f>
        <v>1</v>
      </c>
      <c r="AI63" s="44" t="str">
        <f aca="false">IF(AND($P63="高",ISNUMBER($AF63)),INDEX(IDX_SrcDate,$AF63),"—")</f>
        <v>—</v>
      </c>
      <c r="AJ63" s="32" t="n">
        <f aca="false">IF(AND(ISTEXT($AI63),LEN($AI63)=10),IF(ISNUMBER(VALUE(SUBSTITUTE($AI63,"-",""))),VALUE(SUBSTITUTE($AI63,"-","")),0),0)</f>
        <v>0</v>
      </c>
    </row>
    <row r="64" customFormat="false" ht="15" hidden="false" customHeight="true" outlineLevel="0" collapsed="false">
      <c r="A64" s="30" t="s">
        <v>4668</v>
      </c>
      <c r="B64" s="239" t="s">
        <v>4525</v>
      </c>
      <c r="C64" s="30" t="s">
        <v>4526</v>
      </c>
      <c r="D64" s="30" t="s">
        <v>4669</v>
      </c>
      <c r="E64" s="6" t="s">
        <v>148</v>
      </c>
      <c r="F64" s="239" t="s">
        <v>348</v>
      </c>
      <c r="G64" s="239" t="s">
        <v>4527</v>
      </c>
      <c r="H64" s="30" t="s">
        <v>4670</v>
      </c>
      <c r="I64" s="20" t="s">
        <v>4562</v>
      </c>
      <c r="J64" s="30" t="s">
        <v>4664</v>
      </c>
      <c r="K64" s="239"/>
      <c r="L64" s="239"/>
      <c r="M64" s="30" t="s">
        <v>751</v>
      </c>
      <c r="N64" s="20" t="s">
        <v>4665</v>
      </c>
      <c r="O64" s="6" t="s">
        <v>751</v>
      </c>
      <c r="P64" s="239" t="s">
        <v>1309</v>
      </c>
      <c r="Q64" s="49" t="n">
        <f aca="false">Inputs!F23</f>
        <v>4</v>
      </c>
      <c r="R64" s="184" t="n">
        <f aca="false">SRC_DC_008</f>
        <v>4</v>
      </c>
      <c r="S64" s="44" t="str">
        <f aca="false">IF(ISNUMBER($AF64),INDEX(IDX_SrcStat,$AF64),"—")</f>
        <v>Active</v>
      </c>
      <c r="T64" s="44" t="n">
        <f aca="false">IF(ISNUMBER($AF64),INDEX(IDX_SrcGrade,$AF64),"—")</f>
        <v>2</v>
      </c>
      <c r="U64" s="44" t="s">
        <v>4564</v>
      </c>
      <c r="V64" s="32" t="n">
        <f aca="false">IF(AND($F64="原始數據",$U64&lt;&gt;"連結 SRC"),1,0)</f>
        <v>0</v>
      </c>
      <c r="W64" s="32" t="n">
        <f aca="false">IF(AND($F64="Analogy",OR($H64="—",$H64="")),1,0)</f>
        <v>0</v>
      </c>
      <c r="X64" s="32" t="n">
        <f aca="false">IF(AND(OR($F64="Analogy",$F64="Assumed"),$G64&lt;&gt;"低",$G64&lt;&gt;"高",NOT(ISNUMBER($K64)),NOT(ISNUMBER($L64)),OR($M64="—",$M64="")),1,0)</f>
        <v>0</v>
      </c>
      <c r="Y64" s="32" t="n">
        <f aca="false">IF(AND(OR($F64="Analogy",$F64="Assumed",$F64="Derived（待改公式）",$F64="Derived（公式）"),OR($N64="—",$N64="",$N64=0)),1,0)</f>
        <v>0</v>
      </c>
      <c r="Z64" s="32" t="n">
        <f aca="false">IF(AND($F64="Decision",OR($J64="—",$J64="")),1,0)</f>
        <v>0</v>
      </c>
      <c r="AA64" s="33" t="n">
        <f aca="false">IF(OR($J64="—",$J64=""),0,IF(COUNTIF(Decisions!$A$5:$A$300,$J64)=0,1,0))</f>
        <v>0</v>
      </c>
      <c r="AB64" s="32" t="n">
        <f aca="false">IF(AND($F64="原始數據",$S64&lt;&gt;"Active"),1,0)</f>
        <v>0</v>
      </c>
      <c r="AC64" s="32" t="n">
        <f aca="false">IF(AND(ISNUMBER($K64),ISNUMBER($L64),ISNUMBER($Q64)),IF(OR($Q64&lt;MIN($K64,$L64),$Q64&gt;MAX($K64,$L64)),1,0),0)</f>
        <v>0</v>
      </c>
      <c r="AD64" s="32" t="n">
        <f aca="false">IF(AND(ISNUMBER($T64),$P64="高"),IF($T64=3,1,0),0)</f>
        <v>0</v>
      </c>
      <c r="AE64" s="32" t="n">
        <f aca="false">IF($S64="不存在",1,0)</f>
        <v>0</v>
      </c>
      <c r="AF64" s="44" t="n">
        <f aca="false">IF(OR($H64="—",$H64=""),"—",MATCH($H64,IDX_SrcID,0))</f>
        <v>124</v>
      </c>
      <c r="AG64" s="32" t="n">
        <f aca="false">IF(AND($P64="高",OR($AD64=1,$X64=1)),1,0)</f>
        <v>0</v>
      </c>
      <c r="AH64" s="32" t="n">
        <f aca="false">IF(AND($P64="高",$AG64=0,OR($F64&lt;&gt;"原始數據",$T64&lt;&gt;1)),1,0)</f>
        <v>1</v>
      </c>
      <c r="AI64" s="44" t="str">
        <f aca="false">IF(AND($P64="高",ISNUMBER($AF64)),INDEX(IDX_SrcDate,$AF64),"—")</f>
        <v>—</v>
      </c>
      <c r="AJ64" s="32" t="n">
        <f aca="false">IF(AND(ISTEXT($AI64),LEN($AI64)=10),IF(ISNUMBER(VALUE(SUBSTITUTE($AI64,"-",""))),VALUE(SUBSTITUTE($AI64,"-","")),0),0)</f>
        <v>0</v>
      </c>
    </row>
    <row r="65" customFormat="false" ht="29.25" hidden="false" customHeight="true" outlineLevel="0" collapsed="false">
      <c r="A65" s="30" t="s">
        <v>4671</v>
      </c>
      <c r="B65" s="239" t="s">
        <v>4525</v>
      </c>
      <c r="C65" s="30" t="s">
        <v>4526</v>
      </c>
      <c r="D65" s="30" t="s">
        <v>4672</v>
      </c>
      <c r="E65" s="20" t="s">
        <v>152</v>
      </c>
      <c r="F65" s="30" t="s">
        <v>114</v>
      </c>
      <c r="G65" s="239" t="s">
        <v>97</v>
      </c>
      <c r="H65" s="30" t="s">
        <v>751</v>
      </c>
      <c r="I65" s="6" t="s">
        <v>751</v>
      </c>
      <c r="J65" s="30" t="s">
        <v>751</v>
      </c>
      <c r="K65" s="241" t="n">
        <v>25</v>
      </c>
      <c r="L65" s="241" t="n">
        <v>40</v>
      </c>
      <c r="M65" s="30" t="s">
        <v>4673</v>
      </c>
      <c r="N65" s="20" t="s">
        <v>4674</v>
      </c>
      <c r="O65" s="6" t="s">
        <v>4675</v>
      </c>
      <c r="P65" s="239" t="s">
        <v>1308</v>
      </c>
      <c r="Q65" s="49" t="n">
        <f aca="false">Inputs!E24</f>
        <v>30</v>
      </c>
      <c r="R65" s="30" t="s">
        <v>751</v>
      </c>
      <c r="S65" s="44" t="str">
        <f aca="false">IF(ISNUMBER($AF65),INDEX(IDX_SrcStat,$AF65),"—")</f>
        <v>—</v>
      </c>
      <c r="T65" s="44" t="str">
        <f aca="false">IF(ISNUMBER($AF65),INDEX(IDX_SrcGrade,$AF65),"—")</f>
        <v>—</v>
      </c>
      <c r="U65" s="44" t="s">
        <v>4531</v>
      </c>
      <c r="V65" s="32" t="n">
        <f aca="false">IF(AND($F65="原始數據",$U65&lt;&gt;"連結 SRC"),1,0)</f>
        <v>0</v>
      </c>
      <c r="W65" s="32" t="n">
        <f aca="false">IF(AND($F65="Analogy",OR($H65="—",$H65="")),1,0)</f>
        <v>0</v>
      </c>
      <c r="X65" s="32" t="n">
        <f aca="false">IF(AND(OR($F65="Analogy",$F65="Assumed"),$G65&lt;&gt;"低",$G65&lt;&gt;"高",NOT(ISNUMBER($K65)),NOT(ISNUMBER($L65)),OR($M65="—",$M65="")),1,0)</f>
        <v>0</v>
      </c>
      <c r="Y65" s="32" t="n">
        <f aca="false">IF(AND(OR($F65="Analogy",$F65="Assumed",$F65="Derived（待改公式）",$F65="Derived（公式）"),OR($N65="—",$N65="",$N65=0)),1,0)</f>
        <v>0</v>
      </c>
      <c r="Z65" s="32" t="n">
        <f aca="false">IF(AND($F65="Decision",OR($J65="—",$J65="")),1,0)</f>
        <v>0</v>
      </c>
      <c r="AA65" s="33" t="n">
        <f aca="false">IF(OR($J65="—",$J65=""),0,IF(COUNTIF(Decisions!$A$5:$A$300,$J65)=0,1,0))</f>
        <v>0</v>
      </c>
      <c r="AB65" s="32" t="n">
        <f aca="false">IF(AND($F65="原始數據",$S65&lt;&gt;"Active"),1,0)</f>
        <v>0</v>
      </c>
      <c r="AC65" s="32" t="n">
        <f aca="false">IF(AND(ISNUMBER($K65),ISNUMBER($L65),ISNUMBER($Q65)),IF(OR($Q65&lt;MIN($K65,$L65),$Q65&gt;MAX($K65,$L65)),1,0),0)</f>
        <v>0</v>
      </c>
      <c r="AD65" s="32" t="n">
        <f aca="false">IF(AND(ISNUMBER($T65),$P65="高"),IF($T65=3,1,0),0)</f>
        <v>0</v>
      </c>
      <c r="AE65" s="32" t="n">
        <f aca="false">IF($S65="不存在",1,0)</f>
        <v>0</v>
      </c>
      <c r="AF65" s="44" t="str">
        <f aca="false">IF(OR($H65="—",$H65=""),"—",MATCH($H65,IDX_SrcID,0))</f>
        <v>—</v>
      </c>
      <c r="AG65" s="32" t="n">
        <f aca="false">IF(AND($P65="高",OR($AD65=1,$X65=1)),1,0)</f>
        <v>0</v>
      </c>
      <c r="AH65" s="32" t="n">
        <f aca="false">IF(AND($P65="高",$AG65=0,OR($F65&lt;&gt;"原始數據",$T65&lt;&gt;1)),1,0)</f>
        <v>0</v>
      </c>
      <c r="AI65" s="44" t="str">
        <f aca="false">IF(AND($P65="高",ISNUMBER($AF65)),INDEX(IDX_SrcDate,$AF65),"—")</f>
        <v>—</v>
      </c>
      <c r="AJ65" s="32" t="n">
        <f aca="false">IF(AND(ISTEXT($AI65),LEN($AI65)=10),IF(ISNUMBER(VALUE(SUBSTITUTE($AI65,"-",""))),VALUE(SUBSTITUTE($AI65,"-","")),0),0)</f>
        <v>0</v>
      </c>
    </row>
    <row r="66" customFormat="false" ht="29.25" hidden="false" customHeight="true" outlineLevel="0" collapsed="false">
      <c r="A66" s="30" t="s">
        <v>4676</v>
      </c>
      <c r="B66" s="239" t="s">
        <v>4525</v>
      </c>
      <c r="C66" s="30" t="s">
        <v>4526</v>
      </c>
      <c r="D66" s="30" t="s">
        <v>4677</v>
      </c>
      <c r="E66" s="20" t="s">
        <v>154</v>
      </c>
      <c r="F66" s="30" t="s">
        <v>114</v>
      </c>
      <c r="G66" s="239" t="s">
        <v>97</v>
      </c>
      <c r="H66" s="30" t="s">
        <v>751</v>
      </c>
      <c r="I66" s="6" t="s">
        <v>751</v>
      </c>
      <c r="J66" s="30" t="s">
        <v>751</v>
      </c>
      <c r="K66" s="241" t="n">
        <v>15</v>
      </c>
      <c r="L66" s="241" t="n">
        <v>25</v>
      </c>
      <c r="M66" s="30" t="s">
        <v>4678</v>
      </c>
      <c r="N66" s="20" t="s">
        <v>4679</v>
      </c>
      <c r="O66" s="6" t="s">
        <v>4675</v>
      </c>
      <c r="P66" s="239" t="s">
        <v>1308</v>
      </c>
      <c r="Q66" s="49" t="n">
        <f aca="false">Inputs!E25</f>
        <v>20</v>
      </c>
      <c r="R66" s="30" t="s">
        <v>751</v>
      </c>
      <c r="S66" s="44" t="str">
        <f aca="false">IF(ISNUMBER($AF66),INDEX(IDX_SrcStat,$AF66),"—")</f>
        <v>—</v>
      </c>
      <c r="T66" s="44" t="str">
        <f aca="false">IF(ISNUMBER($AF66),INDEX(IDX_SrcGrade,$AF66),"—")</f>
        <v>—</v>
      </c>
      <c r="U66" s="44" t="s">
        <v>4531</v>
      </c>
      <c r="V66" s="32" t="n">
        <f aca="false">IF(AND($F66="原始數據",$U66&lt;&gt;"連結 SRC"),1,0)</f>
        <v>0</v>
      </c>
      <c r="W66" s="32" t="n">
        <f aca="false">IF(AND($F66="Analogy",OR($H66="—",$H66="")),1,0)</f>
        <v>0</v>
      </c>
      <c r="X66" s="32" t="n">
        <f aca="false">IF(AND(OR($F66="Analogy",$F66="Assumed"),$G66&lt;&gt;"低",$G66&lt;&gt;"高",NOT(ISNUMBER($K66)),NOT(ISNUMBER($L66)),OR($M66="—",$M66="")),1,0)</f>
        <v>0</v>
      </c>
      <c r="Y66" s="32" t="n">
        <f aca="false">IF(AND(OR($F66="Analogy",$F66="Assumed",$F66="Derived（待改公式）",$F66="Derived（公式）"),OR($N66="—",$N66="",$N66=0)),1,0)</f>
        <v>0</v>
      </c>
      <c r="Z66" s="32" t="n">
        <f aca="false">IF(AND($F66="Decision",OR($J66="—",$J66="")),1,0)</f>
        <v>0</v>
      </c>
      <c r="AA66" s="33" t="n">
        <f aca="false">IF(OR($J66="—",$J66=""),0,IF(COUNTIF(Decisions!$A$5:$A$300,$J66)=0,1,0))</f>
        <v>0</v>
      </c>
      <c r="AB66" s="32" t="n">
        <f aca="false">IF(AND($F66="原始數據",$S66&lt;&gt;"Active"),1,0)</f>
        <v>0</v>
      </c>
      <c r="AC66" s="32" t="n">
        <f aca="false">IF(AND(ISNUMBER($K66),ISNUMBER($L66),ISNUMBER($Q66)),IF(OR($Q66&lt;MIN($K66,$L66),$Q66&gt;MAX($K66,$L66)),1,0),0)</f>
        <v>0</v>
      </c>
      <c r="AD66" s="32" t="n">
        <f aca="false">IF(AND(ISNUMBER($T66),$P66="高"),IF($T66=3,1,0),0)</f>
        <v>0</v>
      </c>
      <c r="AE66" s="32" t="n">
        <f aca="false">IF($S66="不存在",1,0)</f>
        <v>0</v>
      </c>
      <c r="AF66" s="44" t="str">
        <f aca="false">IF(OR($H66="—",$H66=""),"—",MATCH($H66,IDX_SrcID,0))</f>
        <v>—</v>
      </c>
      <c r="AG66" s="32" t="n">
        <f aca="false">IF(AND($P66="高",OR($AD66=1,$X66=1)),1,0)</f>
        <v>0</v>
      </c>
      <c r="AH66" s="32" t="n">
        <f aca="false">IF(AND($P66="高",$AG66=0,OR($F66&lt;&gt;"原始數據",$T66&lt;&gt;1)),1,0)</f>
        <v>0</v>
      </c>
      <c r="AI66" s="44" t="str">
        <f aca="false">IF(AND($P66="高",ISNUMBER($AF66)),INDEX(IDX_SrcDate,$AF66),"—")</f>
        <v>—</v>
      </c>
      <c r="AJ66" s="32" t="n">
        <f aca="false">IF(AND(ISTEXT($AI66),LEN($AI66)=10),IF(ISNUMBER(VALUE(SUBSTITUTE($AI66,"-",""))),VALUE(SUBSTITUTE($AI66,"-","")),0),0)</f>
        <v>0</v>
      </c>
    </row>
    <row r="67" customFormat="false" ht="29.25" hidden="false" customHeight="true" outlineLevel="0" collapsed="false">
      <c r="A67" s="30" t="s">
        <v>4680</v>
      </c>
      <c r="B67" s="239" t="s">
        <v>4525</v>
      </c>
      <c r="C67" s="30" t="s">
        <v>4526</v>
      </c>
      <c r="D67" s="30" t="s">
        <v>4681</v>
      </c>
      <c r="E67" s="20" t="s">
        <v>155</v>
      </c>
      <c r="F67" s="30" t="s">
        <v>114</v>
      </c>
      <c r="G67" s="239" t="s">
        <v>97</v>
      </c>
      <c r="H67" s="30" t="s">
        <v>751</v>
      </c>
      <c r="I67" s="6" t="s">
        <v>751</v>
      </c>
      <c r="J67" s="30" t="s">
        <v>751</v>
      </c>
      <c r="K67" s="241" t="n">
        <v>10</v>
      </c>
      <c r="L67" s="241" t="n">
        <v>20</v>
      </c>
      <c r="M67" s="30" t="s">
        <v>4682</v>
      </c>
      <c r="N67" s="20" t="s">
        <v>4683</v>
      </c>
      <c r="O67" s="6" t="s">
        <v>4675</v>
      </c>
      <c r="P67" s="239" t="s">
        <v>1308</v>
      </c>
      <c r="Q67" s="49" t="n">
        <f aca="false">Inputs!E26</f>
        <v>15</v>
      </c>
      <c r="R67" s="30" t="s">
        <v>751</v>
      </c>
      <c r="S67" s="44" t="str">
        <f aca="false">IF(ISNUMBER($AF67),INDEX(IDX_SrcStat,$AF67),"—")</f>
        <v>—</v>
      </c>
      <c r="T67" s="44" t="str">
        <f aca="false">IF(ISNUMBER($AF67),INDEX(IDX_SrcGrade,$AF67),"—")</f>
        <v>—</v>
      </c>
      <c r="U67" s="44" t="s">
        <v>4531</v>
      </c>
      <c r="V67" s="32" t="n">
        <f aca="false">IF(AND($F67="原始數據",$U67&lt;&gt;"連結 SRC"),1,0)</f>
        <v>0</v>
      </c>
      <c r="W67" s="32" t="n">
        <f aca="false">IF(AND($F67="Analogy",OR($H67="—",$H67="")),1,0)</f>
        <v>0</v>
      </c>
      <c r="X67" s="32" t="n">
        <f aca="false">IF(AND(OR($F67="Analogy",$F67="Assumed"),$G67&lt;&gt;"低",$G67&lt;&gt;"高",NOT(ISNUMBER($K67)),NOT(ISNUMBER($L67)),OR($M67="—",$M67="")),1,0)</f>
        <v>0</v>
      </c>
      <c r="Y67" s="32" t="n">
        <f aca="false">IF(AND(OR($F67="Analogy",$F67="Assumed",$F67="Derived（待改公式）",$F67="Derived（公式）"),OR($N67="—",$N67="",$N67=0)),1,0)</f>
        <v>0</v>
      </c>
      <c r="Z67" s="32" t="n">
        <f aca="false">IF(AND($F67="Decision",OR($J67="—",$J67="")),1,0)</f>
        <v>0</v>
      </c>
      <c r="AA67" s="33" t="n">
        <f aca="false">IF(OR($J67="—",$J67=""),0,IF(COUNTIF(Decisions!$A$5:$A$300,$J67)=0,1,0))</f>
        <v>0</v>
      </c>
      <c r="AB67" s="32" t="n">
        <f aca="false">IF(AND($F67="原始數據",$S67&lt;&gt;"Active"),1,0)</f>
        <v>0</v>
      </c>
      <c r="AC67" s="32" t="n">
        <f aca="false">IF(AND(ISNUMBER($K67),ISNUMBER($L67),ISNUMBER($Q67)),IF(OR($Q67&lt;MIN($K67,$L67),$Q67&gt;MAX($K67,$L67)),1,0),0)</f>
        <v>0</v>
      </c>
      <c r="AD67" s="32" t="n">
        <f aca="false">IF(AND(ISNUMBER($T67),$P67="高"),IF($T67=3,1,0),0)</f>
        <v>0</v>
      </c>
      <c r="AE67" s="32" t="n">
        <f aca="false">IF($S67="不存在",1,0)</f>
        <v>0</v>
      </c>
      <c r="AF67" s="44" t="str">
        <f aca="false">IF(OR($H67="—",$H67=""),"—",MATCH($H67,IDX_SrcID,0))</f>
        <v>—</v>
      </c>
      <c r="AG67" s="32" t="n">
        <f aca="false">IF(AND($P67="高",OR($AD67=1,$X67=1)),1,0)</f>
        <v>0</v>
      </c>
      <c r="AH67" s="32" t="n">
        <f aca="false">IF(AND($P67="高",$AG67=0,OR($F67&lt;&gt;"原始數據",$T67&lt;&gt;1)),1,0)</f>
        <v>0</v>
      </c>
      <c r="AI67" s="44" t="str">
        <f aca="false">IF(AND($P67="高",ISNUMBER($AF67)),INDEX(IDX_SrcDate,$AF67),"—")</f>
        <v>—</v>
      </c>
      <c r="AJ67" s="32" t="n">
        <f aca="false">IF(AND(ISTEXT($AI67),LEN($AI67)=10),IF(ISNUMBER(VALUE(SUBSTITUTE($AI67,"-",""))),VALUE(SUBSTITUTE($AI67,"-","")),0),0)</f>
        <v>0</v>
      </c>
    </row>
    <row r="68" customFormat="false" ht="29.25" hidden="false" customHeight="true" outlineLevel="0" collapsed="false">
      <c r="A68" s="30" t="s">
        <v>4684</v>
      </c>
      <c r="B68" s="239" t="s">
        <v>4525</v>
      </c>
      <c r="C68" s="30" t="s">
        <v>4526</v>
      </c>
      <c r="D68" s="30" t="s">
        <v>4685</v>
      </c>
      <c r="E68" s="20" t="s">
        <v>156</v>
      </c>
      <c r="F68" s="30" t="s">
        <v>114</v>
      </c>
      <c r="G68" s="239" t="s">
        <v>97</v>
      </c>
      <c r="H68" s="30" t="s">
        <v>751</v>
      </c>
      <c r="I68" s="6" t="s">
        <v>751</v>
      </c>
      <c r="J68" s="30" t="s">
        <v>751</v>
      </c>
      <c r="K68" s="241" t="n">
        <v>7</v>
      </c>
      <c r="L68" s="241" t="n">
        <v>15</v>
      </c>
      <c r="M68" s="30" t="s">
        <v>4686</v>
      </c>
      <c r="N68" s="20" t="s">
        <v>4687</v>
      </c>
      <c r="O68" s="6" t="s">
        <v>4675</v>
      </c>
      <c r="P68" s="239" t="s">
        <v>1308</v>
      </c>
      <c r="Q68" s="49" t="n">
        <f aca="false">Inputs!E27</f>
        <v>10</v>
      </c>
      <c r="R68" s="30" t="s">
        <v>751</v>
      </c>
      <c r="S68" s="44" t="str">
        <f aca="false">IF(ISNUMBER($AF68),INDEX(IDX_SrcStat,$AF68),"—")</f>
        <v>—</v>
      </c>
      <c r="T68" s="44" t="str">
        <f aca="false">IF(ISNUMBER($AF68),INDEX(IDX_SrcGrade,$AF68),"—")</f>
        <v>—</v>
      </c>
      <c r="U68" s="44" t="s">
        <v>4531</v>
      </c>
      <c r="V68" s="32" t="n">
        <f aca="false">IF(AND($F68="原始數據",$U68&lt;&gt;"連結 SRC"),1,0)</f>
        <v>0</v>
      </c>
      <c r="W68" s="32" t="n">
        <f aca="false">IF(AND($F68="Analogy",OR($H68="—",$H68="")),1,0)</f>
        <v>0</v>
      </c>
      <c r="X68" s="32" t="n">
        <f aca="false">IF(AND(OR($F68="Analogy",$F68="Assumed"),$G68&lt;&gt;"低",$G68&lt;&gt;"高",NOT(ISNUMBER($K68)),NOT(ISNUMBER($L68)),OR($M68="—",$M68="")),1,0)</f>
        <v>0</v>
      </c>
      <c r="Y68" s="32" t="n">
        <f aca="false">IF(AND(OR($F68="Analogy",$F68="Assumed",$F68="Derived（待改公式）",$F68="Derived（公式）"),OR($N68="—",$N68="",$N68=0)),1,0)</f>
        <v>0</v>
      </c>
      <c r="Z68" s="32" t="n">
        <f aca="false">IF(AND($F68="Decision",OR($J68="—",$J68="")),1,0)</f>
        <v>0</v>
      </c>
      <c r="AA68" s="33" t="n">
        <f aca="false">IF(OR($J68="—",$J68=""),0,IF(COUNTIF(Decisions!$A$5:$A$300,$J68)=0,1,0))</f>
        <v>0</v>
      </c>
      <c r="AB68" s="32" t="n">
        <f aca="false">IF(AND($F68="原始數據",$S68&lt;&gt;"Active"),1,0)</f>
        <v>0</v>
      </c>
      <c r="AC68" s="32" t="n">
        <f aca="false">IF(AND(ISNUMBER($K68),ISNUMBER($L68),ISNUMBER($Q68)),IF(OR($Q68&lt;MIN($K68,$L68),$Q68&gt;MAX($K68,$L68)),1,0),0)</f>
        <v>0</v>
      </c>
      <c r="AD68" s="32" t="n">
        <f aca="false">IF(AND(ISNUMBER($T68),$P68="高"),IF($T68=3,1,0),0)</f>
        <v>0</v>
      </c>
      <c r="AE68" s="32" t="n">
        <f aca="false">IF($S68="不存在",1,0)</f>
        <v>0</v>
      </c>
      <c r="AF68" s="44" t="str">
        <f aca="false">IF(OR($H68="—",$H68=""),"—",MATCH($H68,IDX_SrcID,0))</f>
        <v>—</v>
      </c>
      <c r="AG68" s="32" t="n">
        <f aca="false">IF(AND($P68="高",OR($AD68=1,$X68=1)),1,0)</f>
        <v>0</v>
      </c>
      <c r="AH68" s="32" t="n">
        <f aca="false">IF(AND($P68="高",$AG68=0,OR($F68&lt;&gt;"原始數據",$T68&lt;&gt;1)),1,0)</f>
        <v>0</v>
      </c>
      <c r="AI68" s="44" t="str">
        <f aca="false">IF(AND($P68="高",ISNUMBER($AF68)),INDEX(IDX_SrcDate,$AF68),"—")</f>
        <v>—</v>
      </c>
      <c r="AJ68" s="32" t="n">
        <f aca="false">IF(AND(ISTEXT($AI68),LEN($AI68)=10),IF(ISNUMBER(VALUE(SUBSTITUTE($AI68,"-",""))),VALUE(SUBSTITUTE($AI68,"-","")),0),0)</f>
        <v>0</v>
      </c>
    </row>
    <row r="69" customFormat="false" ht="15" hidden="false" customHeight="true" outlineLevel="0" collapsed="false">
      <c r="A69" s="30" t="s">
        <v>4688</v>
      </c>
      <c r="B69" s="239" t="s">
        <v>4525</v>
      </c>
      <c r="C69" s="30" t="s">
        <v>4689</v>
      </c>
      <c r="D69" s="30" t="s">
        <v>4690</v>
      </c>
      <c r="E69" s="6" t="s">
        <v>199</v>
      </c>
      <c r="F69" s="30" t="s">
        <v>104</v>
      </c>
      <c r="G69" s="239" t="s">
        <v>4527</v>
      </c>
      <c r="H69" s="30" t="s">
        <v>751</v>
      </c>
      <c r="I69" s="6" t="s">
        <v>751</v>
      </c>
      <c r="J69" s="30" t="s">
        <v>4691</v>
      </c>
      <c r="K69" s="239"/>
      <c r="L69" s="239"/>
      <c r="M69" s="30" t="s">
        <v>751</v>
      </c>
      <c r="N69" s="6" t="s">
        <v>4692</v>
      </c>
      <c r="O69" s="6" t="s">
        <v>751</v>
      </c>
      <c r="P69" s="239" t="s">
        <v>1309</v>
      </c>
      <c r="Q69" s="49" t="n">
        <f aca="false">Spec_Rack!C6</f>
        <v>32</v>
      </c>
      <c r="R69" s="30" t="s">
        <v>751</v>
      </c>
      <c r="S69" s="44" t="str">
        <f aca="false">IF(ISNUMBER($AF69),INDEX(IDX_SrcStat,$AF69),"—")</f>
        <v>—</v>
      </c>
      <c r="T69" s="44" t="str">
        <f aca="false">IF(ISNUMBER($AF69),INDEX(IDX_SrcGrade,$AF69),"—")</f>
        <v>—</v>
      </c>
      <c r="U69" s="44" t="s">
        <v>4531</v>
      </c>
      <c r="V69" s="32" t="n">
        <f aca="false">IF(AND($F69="原始數據",$U69&lt;&gt;"連結 SRC"),1,0)</f>
        <v>0</v>
      </c>
      <c r="W69" s="32" t="n">
        <f aca="false">IF(AND($F69="Analogy",OR($H69="—",$H69="")),1,0)</f>
        <v>0</v>
      </c>
      <c r="X69" s="32" t="n">
        <f aca="false">IF(AND(OR($F69="Analogy",$F69="Assumed"),$G69&lt;&gt;"低",$G69&lt;&gt;"高",NOT(ISNUMBER($K69)),NOT(ISNUMBER($L69)),OR($M69="—",$M69="")),1,0)</f>
        <v>0</v>
      </c>
      <c r="Y69" s="32" t="n">
        <f aca="false">IF(AND(OR($F69="Analogy",$F69="Assumed",$F69="Derived（待改公式）",$F69="Derived（公式）"),OR($N69="—",$N69="",$N69=0)),1,0)</f>
        <v>0</v>
      </c>
      <c r="Z69" s="32" t="n">
        <f aca="false">IF(AND($F69="Decision",OR($J69="—",$J69="")),1,0)</f>
        <v>0</v>
      </c>
      <c r="AA69" s="33" t="n">
        <f aca="false">IF(OR($J69="—",$J69=""),0,IF(COUNTIF(Decisions!$A$5:$A$300,$J69)=0,1,0))</f>
        <v>0</v>
      </c>
      <c r="AB69" s="32" t="n">
        <f aca="false">IF(AND($F69="原始數據",$S69&lt;&gt;"Active"),1,0)</f>
        <v>0</v>
      </c>
      <c r="AC69" s="32" t="n">
        <f aca="false">IF(AND(ISNUMBER($K69),ISNUMBER($L69),ISNUMBER($Q69)),IF(OR($Q69&lt;MIN($K69,$L69),$Q69&gt;MAX($K69,$L69)),1,0),0)</f>
        <v>0</v>
      </c>
      <c r="AD69" s="32" t="n">
        <f aca="false">IF(AND(ISNUMBER($T69),$P69="高"),IF($T69=3,1,0),0)</f>
        <v>0</v>
      </c>
      <c r="AE69" s="32" t="n">
        <f aca="false">IF($S69="不存在",1,0)</f>
        <v>0</v>
      </c>
      <c r="AF69" s="44" t="str">
        <f aca="false">IF(OR($H69="—",$H69=""),"—",MATCH($H69,IDX_SrcID,0))</f>
        <v>—</v>
      </c>
      <c r="AG69" s="32" t="n">
        <f aca="false">IF(AND($P69="高",OR($AD69=1,$X69=1)),1,0)</f>
        <v>0</v>
      </c>
      <c r="AH69" s="32" t="n">
        <f aca="false">IF(AND($P69="高",$AG69=0,OR($F69&lt;&gt;"原始數據",$T69&lt;&gt;1)),1,0)</f>
        <v>1</v>
      </c>
      <c r="AI69" s="44" t="str">
        <f aca="false">IF(AND($P69="高",ISNUMBER($AF69)),INDEX(IDX_SrcDate,$AF69),"—")</f>
        <v>—</v>
      </c>
      <c r="AJ69" s="32" t="n">
        <f aca="false">IF(AND(ISTEXT($AI69),LEN($AI69)=10),IF(ISNUMBER(VALUE(SUBSTITUTE($AI69,"-",""))),VALUE(SUBSTITUTE($AI69,"-","")),0),0)</f>
        <v>0</v>
      </c>
    </row>
    <row r="70" customFormat="false" ht="15" hidden="false" customHeight="true" outlineLevel="0" collapsed="false">
      <c r="A70" s="30" t="s">
        <v>4693</v>
      </c>
      <c r="B70" s="239" t="s">
        <v>4525</v>
      </c>
      <c r="C70" s="30" t="s">
        <v>4689</v>
      </c>
      <c r="D70" s="30" t="s">
        <v>4694</v>
      </c>
      <c r="E70" s="6" t="s">
        <v>199</v>
      </c>
      <c r="F70" s="239" t="s">
        <v>348</v>
      </c>
      <c r="G70" s="239" t="s">
        <v>4527</v>
      </c>
      <c r="H70" s="30" t="s">
        <v>4695</v>
      </c>
      <c r="I70" s="20" t="s">
        <v>4562</v>
      </c>
      <c r="J70" s="30" t="s">
        <v>751</v>
      </c>
      <c r="K70" s="239"/>
      <c r="L70" s="239"/>
      <c r="M70" s="30" t="s">
        <v>751</v>
      </c>
      <c r="N70" s="20" t="s">
        <v>4665</v>
      </c>
      <c r="O70" s="6" t="s">
        <v>751</v>
      </c>
      <c r="P70" s="239" t="s">
        <v>1309</v>
      </c>
      <c r="Q70" s="49" t="n">
        <f aca="false">Spec_Rack!D6</f>
        <v>72</v>
      </c>
      <c r="R70" s="184" t="n">
        <f aca="false">SRC_HW_047</f>
        <v>72</v>
      </c>
      <c r="S70" s="44" t="str">
        <f aca="false">IF(ISNUMBER($AF70),INDEX(IDX_SrcStat,$AF70),"—")</f>
        <v>Active</v>
      </c>
      <c r="T70" s="44" t="n">
        <f aca="false">IF(ISNUMBER($AF70),INDEX(IDX_SrcGrade,$AF70),"—")</f>
        <v>1</v>
      </c>
      <c r="U70" s="44" t="s">
        <v>4564</v>
      </c>
      <c r="V70" s="32" t="n">
        <f aca="false">IF(AND($F70="原始數據",$U70&lt;&gt;"連結 SRC"),1,0)</f>
        <v>0</v>
      </c>
      <c r="W70" s="32" t="n">
        <f aca="false">IF(AND($F70="Analogy",OR($H70="—",$H70="")),1,0)</f>
        <v>0</v>
      </c>
      <c r="X70" s="32" t="n">
        <f aca="false">IF(AND(OR($F70="Analogy",$F70="Assumed"),$G70&lt;&gt;"低",$G70&lt;&gt;"高",NOT(ISNUMBER($K70)),NOT(ISNUMBER($L70)),OR($M70="—",$M70="")),1,0)</f>
        <v>0</v>
      </c>
      <c r="Y70" s="32" t="n">
        <f aca="false">IF(AND(OR($F70="Analogy",$F70="Assumed",$F70="Derived（待改公式）",$F70="Derived（公式）"),OR($N70="—",$N70="",$N70=0)),1,0)</f>
        <v>0</v>
      </c>
      <c r="Z70" s="32" t="n">
        <f aca="false">IF(AND($F70="Decision",OR($J70="—",$J70="")),1,0)</f>
        <v>0</v>
      </c>
      <c r="AA70" s="33" t="n">
        <f aca="false">IF(OR($J70="—",$J70=""),0,IF(COUNTIF(Decisions!$A$5:$A$300,$J70)=0,1,0))</f>
        <v>0</v>
      </c>
      <c r="AB70" s="32" t="n">
        <f aca="false">IF(AND($F70="原始數據",$S70&lt;&gt;"Active"),1,0)</f>
        <v>0</v>
      </c>
      <c r="AC70" s="32" t="n">
        <f aca="false">IF(AND(ISNUMBER($K70),ISNUMBER($L70),ISNUMBER($Q70)),IF(OR($Q70&lt;MIN($K70,$L70),$Q70&gt;MAX($K70,$L70)),1,0),0)</f>
        <v>0</v>
      </c>
      <c r="AD70" s="32" t="n">
        <f aca="false">IF(AND(ISNUMBER($T70),$P70="高"),IF($T70=3,1,0),0)</f>
        <v>0</v>
      </c>
      <c r="AE70" s="32" t="n">
        <f aca="false">IF($S70="不存在",1,0)</f>
        <v>0</v>
      </c>
      <c r="AF70" s="44" t="n">
        <f aca="false">IF(OR($H70="—",$H70=""),"—",MATCH($H70,IDX_SrcID,0))</f>
        <v>47</v>
      </c>
      <c r="AG70" s="32" t="n">
        <f aca="false">IF(AND($P70="高",OR($AD70=1,$X70=1)),1,0)</f>
        <v>0</v>
      </c>
      <c r="AH70" s="32" t="n">
        <f aca="false">IF(AND($P70="高",$AG70=0,OR($F70&lt;&gt;"原始數據",$T70&lt;&gt;1)),1,0)</f>
        <v>0</v>
      </c>
      <c r="AI70" s="44" t="str">
        <f aca="false">IF(AND($P70="高",ISNUMBER($AF70)),INDEX(IDX_SrcDate,$AF70),"—")</f>
        <v>2026-10-05</v>
      </c>
      <c r="AJ70" s="32" t="n">
        <f aca="false">IF(AND(ISTEXT($AI70),LEN($AI70)=10),IF(ISNUMBER(VALUE(SUBSTITUTE($AI70,"-",""))),VALUE(SUBSTITUTE($AI70,"-","")),0),0)</f>
        <v>20261005</v>
      </c>
    </row>
    <row r="71" customFormat="false" ht="15" hidden="false" customHeight="true" outlineLevel="0" collapsed="false">
      <c r="A71" s="30" t="s">
        <v>4696</v>
      </c>
      <c r="B71" s="239" t="s">
        <v>4525</v>
      </c>
      <c r="C71" s="30" t="s">
        <v>4689</v>
      </c>
      <c r="D71" s="30" t="s">
        <v>4307</v>
      </c>
      <c r="E71" s="6" t="s">
        <v>199</v>
      </c>
      <c r="F71" s="239" t="s">
        <v>348</v>
      </c>
      <c r="G71" s="239" t="s">
        <v>4527</v>
      </c>
      <c r="H71" s="30" t="s">
        <v>4695</v>
      </c>
      <c r="I71" s="20" t="s">
        <v>4562</v>
      </c>
      <c r="J71" s="30" t="s">
        <v>751</v>
      </c>
      <c r="K71" s="239"/>
      <c r="L71" s="239"/>
      <c r="M71" s="30" t="s">
        <v>751</v>
      </c>
      <c r="N71" s="20" t="s">
        <v>4665</v>
      </c>
      <c r="O71" s="6" t="s">
        <v>751</v>
      </c>
      <c r="P71" s="239" t="s">
        <v>1309</v>
      </c>
      <c r="Q71" s="49" t="n">
        <f aca="false">Spec_Rack!E6</f>
        <v>72</v>
      </c>
      <c r="R71" s="184" t="n">
        <f aca="false">SRC_HW_047</f>
        <v>72</v>
      </c>
      <c r="S71" s="44" t="str">
        <f aca="false">IF(ISNUMBER($AF71),INDEX(IDX_SrcStat,$AF71),"—")</f>
        <v>Active</v>
      </c>
      <c r="T71" s="44" t="n">
        <f aca="false">IF(ISNUMBER($AF71),INDEX(IDX_SrcGrade,$AF71),"—")</f>
        <v>1</v>
      </c>
      <c r="U71" s="44" t="s">
        <v>4564</v>
      </c>
      <c r="V71" s="32" t="n">
        <f aca="false">IF(AND($F71="原始數據",$U71&lt;&gt;"連結 SRC"),1,0)</f>
        <v>0</v>
      </c>
      <c r="W71" s="32" t="n">
        <f aca="false">IF(AND($F71="Analogy",OR($H71="—",$H71="")),1,0)</f>
        <v>0</v>
      </c>
      <c r="X71" s="32" t="n">
        <f aca="false">IF(AND(OR($F71="Analogy",$F71="Assumed"),$G71&lt;&gt;"低",$G71&lt;&gt;"高",NOT(ISNUMBER($K71)),NOT(ISNUMBER($L71)),OR($M71="—",$M71="")),1,0)</f>
        <v>0</v>
      </c>
      <c r="Y71" s="32" t="n">
        <f aca="false">IF(AND(OR($F71="Analogy",$F71="Assumed",$F71="Derived（待改公式）",$F71="Derived（公式）"),OR($N71="—",$N71="",$N71=0)),1,0)</f>
        <v>0</v>
      </c>
      <c r="Z71" s="32" t="n">
        <f aca="false">IF(AND($F71="Decision",OR($J71="—",$J71="")),1,0)</f>
        <v>0</v>
      </c>
      <c r="AA71" s="33" t="n">
        <f aca="false">IF(OR($J71="—",$J71=""),0,IF(COUNTIF(Decisions!$A$5:$A$300,$J71)=0,1,0))</f>
        <v>0</v>
      </c>
      <c r="AB71" s="32" t="n">
        <f aca="false">IF(AND($F71="原始數據",$S71&lt;&gt;"Active"),1,0)</f>
        <v>0</v>
      </c>
      <c r="AC71" s="32" t="n">
        <f aca="false">IF(AND(ISNUMBER($K71),ISNUMBER($L71),ISNUMBER($Q71)),IF(OR($Q71&lt;MIN($K71,$L71),$Q71&gt;MAX($K71,$L71)),1,0),0)</f>
        <v>0</v>
      </c>
      <c r="AD71" s="32" t="n">
        <f aca="false">IF(AND(ISNUMBER($T71),$P71="高"),IF($T71=3,1,0),0)</f>
        <v>0</v>
      </c>
      <c r="AE71" s="32" t="n">
        <f aca="false">IF($S71="不存在",1,0)</f>
        <v>0</v>
      </c>
      <c r="AF71" s="44" t="n">
        <f aca="false">IF(OR($H71="—",$H71=""),"—",MATCH($H71,IDX_SrcID,0))</f>
        <v>47</v>
      </c>
      <c r="AG71" s="32" t="n">
        <f aca="false">IF(AND($P71="高",OR($AD71=1,$X71=1)),1,0)</f>
        <v>0</v>
      </c>
      <c r="AH71" s="32" t="n">
        <f aca="false">IF(AND($P71="高",$AG71=0,OR($F71&lt;&gt;"原始數據",$T71&lt;&gt;1)),1,0)</f>
        <v>0</v>
      </c>
      <c r="AI71" s="44" t="str">
        <f aca="false">IF(AND($P71="高",ISNUMBER($AF71)),INDEX(IDX_SrcDate,$AF71),"—")</f>
        <v>2026-10-05</v>
      </c>
      <c r="AJ71" s="32" t="n">
        <f aca="false">IF(AND(ISTEXT($AI71),LEN($AI71)=10),IF(ISNUMBER(VALUE(SUBSTITUTE($AI71,"-",""))),VALUE(SUBSTITUTE($AI71,"-","")),0),0)</f>
        <v>20261005</v>
      </c>
    </row>
    <row r="72" customFormat="false" ht="15" hidden="false" customHeight="true" outlineLevel="0" collapsed="false">
      <c r="A72" s="30" t="s">
        <v>4697</v>
      </c>
      <c r="B72" s="239" t="s">
        <v>4525</v>
      </c>
      <c r="C72" s="30" t="s">
        <v>4689</v>
      </c>
      <c r="D72" s="30" t="s">
        <v>4698</v>
      </c>
      <c r="E72" s="6" t="s">
        <v>199</v>
      </c>
      <c r="F72" s="239" t="s">
        <v>348</v>
      </c>
      <c r="G72" s="239" t="s">
        <v>4527</v>
      </c>
      <c r="H72" s="30" t="s">
        <v>4695</v>
      </c>
      <c r="I72" s="20" t="s">
        <v>4562</v>
      </c>
      <c r="J72" s="30" t="s">
        <v>751</v>
      </c>
      <c r="K72" s="239"/>
      <c r="L72" s="239"/>
      <c r="M72" s="30" t="s">
        <v>751</v>
      </c>
      <c r="N72" s="20" t="s">
        <v>4665</v>
      </c>
      <c r="O72" s="6" t="s">
        <v>751</v>
      </c>
      <c r="P72" s="239" t="s">
        <v>1309</v>
      </c>
      <c r="Q72" s="49" t="n">
        <f aca="false">Spec_Rack!F6</f>
        <v>72</v>
      </c>
      <c r="R72" s="184" t="n">
        <f aca="false">SRC_HW_047</f>
        <v>72</v>
      </c>
      <c r="S72" s="44" t="str">
        <f aca="false">IF(ISNUMBER($AF72),INDEX(IDX_SrcStat,$AF72),"—")</f>
        <v>Active</v>
      </c>
      <c r="T72" s="44" t="n">
        <f aca="false">IF(ISNUMBER($AF72),INDEX(IDX_SrcGrade,$AF72),"—")</f>
        <v>1</v>
      </c>
      <c r="U72" s="44" t="s">
        <v>4564</v>
      </c>
      <c r="V72" s="32" t="n">
        <f aca="false">IF(AND($F72="原始數據",$U72&lt;&gt;"連結 SRC"),1,0)</f>
        <v>0</v>
      </c>
      <c r="W72" s="32" t="n">
        <f aca="false">IF(AND($F72="Analogy",OR($H72="—",$H72="")),1,0)</f>
        <v>0</v>
      </c>
      <c r="X72" s="32" t="n">
        <f aca="false">IF(AND(OR($F72="Analogy",$F72="Assumed"),$G72&lt;&gt;"低",$G72&lt;&gt;"高",NOT(ISNUMBER($K72)),NOT(ISNUMBER($L72)),OR($M72="—",$M72="")),1,0)</f>
        <v>0</v>
      </c>
      <c r="Y72" s="32" t="n">
        <f aca="false">IF(AND(OR($F72="Analogy",$F72="Assumed",$F72="Derived（待改公式）",$F72="Derived（公式）"),OR($N72="—",$N72="",$N72=0)),1,0)</f>
        <v>0</v>
      </c>
      <c r="Z72" s="32" t="n">
        <f aca="false">IF(AND($F72="Decision",OR($J72="—",$J72="")),1,0)</f>
        <v>0</v>
      </c>
      <c r="AA72" s="33" t="n">
        <f aca="false">IF(OR($J72="—",$J72=""),0,IF(COUNTIF(Decisions!$A$5:$A$300,$J72)=0,1,0))</f>
        <v>0</v>
      </c>
      <c r="AB72" s="32" t="n">
        <f aca="false">IF(AND($F72="原始數據",$S72&lt;&gt;"Active"),1,0)</f>
        <v>0</v>
      </c>
      <c r="AC72" s="32" t="n">
        <f aca="false">IF(AND(ISNUMBER($K72),ISNUMBER($L72),ISNUMBER($Q72)),IF(OR($Q72&lt;MIN($K72,$L72),$Q72&gt;MAX($K72,$L72)),1,0),0)</f>
        <v>0</v>
      </c>
      <c r="AD72" s="32" t="n">
        <f aca="false">IF(AND(ISNUMBER($T72),$P72="高"),IF($T72=3,1,0),0)</f>
        <v>0</v>
      </c>
      <c r="AE72" s="32" t="n">
        <f aca="false">IF($S72="不存在",1,0)</f>
        <v>0</v>
      </c>
      <c r="AF72" s="44" t="n">
        <f aca="false">IF(OR($H72="—",$H72=""),"—",MATCH($H72,IDX_SrcID,0))</f>
        <v>47</v>
      </c>
      <c r="AG72" s="32" t="n">
        <f aca="false">IF(AND($P72="高",OR($AD72=1,$X72=1)),1,0)</f>
        <v>0</v>
      </c>
      <c r="AH72" s="32" t="n">
        <f aca="false">IF(AND($P72="高",$AG72=0,OR($F72&lt;&gt;"原始數據",$T72&lt;&gt;1)),1,0)</f>
        <v>0</v>
      </c>
      <c r="AI72" s="44" t="str">
        <f aca="false">IF(AND($P72="高",ISNUMBER($AF72)),INDEX(IDX_SrcDate,$AF72),"—")</f>
        <v>2026-10-05</v>
      </c>
      <c r="AJ72" s="32" t="n">
        <f aca="false">IF(AND(ISTEXT($AI72),LEN($AI72)=10),IF(ISNUMBER(VALUE(SUBSTITUTE($AI72,"-",""))),VALUE(SUBSTITUTE($AI72,"-","")),0),0)</f>
        <v>20261005</v>
      </c>
    </row>
    <row r="73" customFormat="false" ht="15" hidden="false" customHeight="true" outlineLevel="0" collapsed="false">
      <c r="A73" s="30" t="s">
        <v>4699</v>
      </c>
      <c r="B73" s="239" t="s">
        <v>4525</v>
      </c>
      <c r="C73" s="30" t="s">
        <v>4689</v>
      </c>
      <c r="D73" s="30" t="s">
        <v>4700</v>
      </c>
      <c r="E73" s="6" t="s">
        <v>199</v>
      </c>
      <c r="F73" s="239" t="s">
        <v>348</v>
      </c>
      <c r="G73" s="239" t="s">
        <v>4527</v>
      </c>
      <c r="H73" s="30" t="s">
        <v>4701</v>
      </c>
      <c r="I73" s="20" t="s">
        <v>4562</v>
      </c>
      <c r="J73" s="30" t="s">
        <v>751</v>
      </c>
      <c r="K73" s="239"/>
      <c r="L73" s="239"/>
      <c r="M73" s="30" t="s">
        <v>751</v>
      </c>
      <c r="N73" s="20" t="s">
        <v>4665</v>
      </c>
      <c r="O73" s="6" t="s">
        <v>751</v>
      </c>
      <c r="P73" s="239" t="s">
        <v>1309</v>
      </c>
      <c r="Q73" s="49" t="n">
        <f aca="false">Spec_Rack!G6</f>
        <v>72</v>
      </c>
      <c r="R73" s="184" t="n">
        <f aca="false">SRC_HW_061</f>
        <v>72</v>
      </c>
      <c r="S73" s="44" t="str">
        <f aca="false">IF(ISNUMBER($AF73),INDEX(IDX_SrcStat,$AF73),"—")</f>
        <v>Active</v>
      </c>
      <c r="T73" s="44" t="n">
        <f aca="false">IF(ISNUMBER($AF73),INDEX(IDX_SrcGrade,$AF73),"—")</f>
        <v>1</v>
      </c>
      <c r="U73" s="44" t="s">
        <v>4564</v>
      </c>
      <c r="V73" s="32" t="n">
        <f aca="false">IF(AND($F73="原始數據",$U73&lt;&gt;"連結 SRC"),1,0)</f>
        <v>0</v>
      </c>
      <c r="W73" s="32" t="n">
        <f aca="false">IF(AND($F73="Analogy",OR($H73="—",$H73="")),1,0)</f>
        <v>0</v>
      </c>
      <c r="X73" s="32" t="n">
        <f aca="false">IF(AND(OR($F73="Analogy",$F73="Assumed"),$G73&lt;&gt;"低",$G73&lt;&gt;"高",NOT(ISNUMBER($K73)),NOT(ISNUMBER($L73)),OR($M73="—",$M73="")),1,0)</f>
        <v>0</v>
      </c>
      <c r="Y73" s="32" t="n">
        <f aca="false">IF(AND(OR($F73="Analogy",$F73="Assumed",$F73="Derived（待改公式）",$F73="Derived（公式）"),OR($N73="—",$N73="",$N73=0)),1,0)</f>
        <v>0</v>
      </c>
      <c r="Z73" s="32" t="n">
        <f aca="false">IF(AND($F73="Decision",OR($J73="—",$J73="")),1,0)</f>
        <v>0</v>
      </c>
      <c r="AA73" s="33" t="n">
        <f aca="false">IF(OR($J73="—",$J73=""),0,IF(COUNTIF(Decisions!$A$5:$A$300,$J73)=0,1,0))</f>
        <v>0</v>
      </c>
      <c r="AB73" s="32" t="n">
        <f aca="false">IF(AND($F73="原始數據",$S73&lt;&gt;"Active"),1,0)</f>
        <v>0</v>
      </c>
      <c r="AC73" s="32" t="n">
        <f aca="false">IF(AND(ISNUMBER($K73),ISNUMBER($L73),ISNUMBER($Q73)),IF(OR($Q73&lt;MIN($K73,$L73),$Q73&gt;MAX($K73,$L73)),1,0),0)</f>
        <v>0</v>
      </c>
      <c r="AD73" s="32" t="n">
        <f aca="false">IF(AND(ISNUMBER($T73),$P73="高"),IF($T73=3,1,0),0)</f>
        <v>0</v>
      </c>
      <c r="AE73" s="32" t="n">
        <f aca="false">IF($S73="不存在",1,0)</f>
        <v>0</v>
      </c>
      <c r="AF73" s="44" t="n">
        <f aca="false">IF(OR($H73="—",$H73=""),"—",MATCH($H73,IDX_SrcID,0))</f>
        <v>61</v>
      </c>
      <c r="AG73" s="32" t="n">
        <f aca="false">IF(AND($P73="高",OR($AD73=1,$X73=1)),1,0)</f>
        <v>0</v>
      </c>
      <c r="AH73" s="32" t="n">
        <f aca="false">IF(AND($P73="高",$AG73=0,OR($F73&lt;&gt;"原始數據",$T73&lt;&gt;1)),1,0)</f>
        <v>0</v>
      </c>
      <c r="AI73" s="44" t="str">
        <f aca="false">IF(AND($P73="高",ISNUMBER($AF73)),INDEX(IDX_SrcDate,$AF73),"—")</f>
        <v>—</v>
      </c>
      <c r="AJ73" s="32" t="n">
        <f aca="false">IF(AND(ISTEXT($AI73),LEN($AI73)=10),IF(ISNUMBER(VALUE(SUBSTITUTE($AI73,"-",""))),VALUE(SUBSTITUTE($AI73,"-","")),0),0)</f>
        <v>0</v>
      </c>
    </row>
    <row r="74" customFormat="false" ht="29.25" hidden="false" customHeight="true" outlineLevel="0" collapsed="false">
      <c r="A74" s="30" t="s">
        <v>4702</v>
      </c>
      <c r="B74" s="239" t="s">
        <v>4525</v>
      </c>
      <c r="C74" s="30" t="s">
        <v>4689</v>
      </c>
      <c r="D74" s="30" t="s">
        <v>4703</v>
      </c>
      <c r="E74" s="20" t="s">
        <v>204</v>
      </c>
      <c r="F74" s="30" t="s">
        <v>114</v>
      </c>
      <c r="G74" s="239" t="s">
        <v>1308</v>
      </c>
      <c r="H74" s="30" t="s">
        <v>751</v>
      </c>
      <c r="I74" s="6" t="s">
        <v>751</v>
      </c>
      <c r="J74" s="30" t="s">
        <v>751</v>
      </c>
      <c r="K74" s="239"/>
      <c r="L74" s="239"/>
      <c r="M74" s="30" t="s">
        <v>751</v>
      </c>
      <c r="N74" s="6" t="s">
        <v>4704</v>
      </c>
      <c r="O74" s="6" t="s">
        <v>751</v>
      </c>
      <c r="P74" s="239" t="s">
        <v>4530</v>
      </c>
      <c r="Q74" s="49" t="n">
        <f aca="false">Spec_Rack!C8</f>
        <v>38</v>
      </c>
      <c r="R74" s="30" t="s">
        <v>751</v>
      </c>
      <c r="S74" s="44" t="str">
        <f aca="false">IF(ISNUMBER($AF74),INDEX(IDX_SrcStat,$AF74),"—")</f>
        <v>—</v>
      </c>
      <c r="T74" s="44" t="str">
        <f aca="false">IF(ISNUMBER($AF74),INDEX(IDX_SrcGrade,$AF74),"—")</f>
        <v>—</v>
      </c>
      <c r="U74" s="44" t="s">
        <v>4531</v>
      </c>
      <c r="V74" s="32" t="n">
        <f aca="false">IF(AND($F74="原始數據",$U74&lt;&gt;"連結 SRC"),1,0)</f>
        <v>0</v>
      </c>
      <c r="W74" s="32" t="n">
        <f aca="false">IF(AND($F74="Analogy",OR($H74="—",$H74="")),1,0)</f>
        <v>0</v>
      </c>
      <c r="X74" s="32" t="n">
        <f aca="false">IF(AND(OR($F74="Analogy",$F74="Assumed"),$G74&lt;&gt;"低",$G74&lt;&gt;"高",NOT(ISNUMBER($K74)),NOT(ISNUMBER($L74)),OR($M74="—",$M74="")),1,0)</f>
        <v>0</v>
      </c>
      <c r="Y74" s="32" t="n">
        <f aca="false">IF(AND(OR($F74="Analogy",$F74="Assumed",$F74="Derived（待改公式）",$F74="Derived（公式）"),OR($N74="—",$N74="",$N74=0)),1,0)</f>
        <v>0</v>
      </c>
      <c r="Z74" s="32" t="n">
        <f aca="false">IF(AND($F74="Decision",OR($J74="—",$J74="")),1,0)</f>
        <v>0</v>
      </c>
      <c r="AA74" s="33" t="n">
        <f aca="false">IF(OR($J74="—",$J74=""),0,IF(COUNTIF(Decisions!$A$5:$A$300,$J74)=0,1,0))</f>
        <v>0</v>
      </c>
      <c r="AB74" s="32" t="n">
        <f aca="false">IF(AND($F74="原始數據",$S74&lt;&gt;"Active"),1,0)</f>
        <v>0</v>
      </c>
      <c r="AC74" s="32" t="n">
        <f aca="false">IF(AND(ISNUMBER($K74),ISNUMBER($L74),ISNUMBER($Q74)),IF(OR($Q74&lt;MIN($K74,$L74),$Q74&gt;MAX($K74,$L74)),1,0),0)</f>
        <v>0</v>
      </c>
      <c r="AD74" s="32" t="n">
        <f aca="false">IF(AND(ISNUMBER($T74),$P74="高"),IF($T74=3,1,0),0)</f>
        <v>0</v>
      </c>
      <c r="AE74" s="32" t="n">
        <f aca="false">IF($S74="不存在",1,0)</f>
        <v>0</v>
      </c>
      <c r="AF74" s="44" t="str">
        <f aca="false">IF(OR($H74="—",$H74=""),"—",MATCH($H74,IDX_SrcID,0))</f>
        <v>—</v>
      </c>
      <c r="AG74" s="32" t="n">
        <f aca="false">IF(AND($P74="高",OR($AD74=1,$X74=1)),1,0)</f>
        <v>0</v>
      </c>
      <c r="AH74" s="32" t="n">
        <f aca="false">IF(AND($P74="高",$AG74=0,OR($F74&lt;&gt;"原始數據",$T74&lt;&gt;1)),1,0)</f>
        <v>0</v>
      </c>
      <c r="AI74" s="44" t="str">
        <f aca="false">IF(AND($P74="高",ISNUMBER($AF74)),INDEX(IDX_SrcDate,$AF74),"—")</f>
        <v>—</v>
      </c>
      <c r="AJ74" s="32" t="n">
        <f aca="false">IF(AND(ISTEXT($AI74),LEN($AI74)=10),IF(ISNUMBER(VALUE(SUBSTITUTE($AI74,"-",""))),VALUE(SUBSTITUTE($AI74,"-","")),0),0)</f>
        <v>0</v>
      </c>
    </row>
    <row r="75" customFormat="false" ht="15" hidden="false" customHeight="true" outlineLevel="0" collapsed="false">
      <c r="A75" s="30" t="s">
        <v>4705</v>
      </c>
      <c r="B75" s="239" t="s">
        <v>4525</v>
      </c>
      <c r="C75" s="30" t="s">
        <v>4689</v>
      </c>
      <c r="D75" s="30" t="s">
        <v>4706</v>
      </c>
      <c r="E75" s="20" t="s">
        <v>204</v>
      </c>
      <c r="F75" s="239" t="s">
        <v>348</v>
      </c>
      <c r="G75" s="239" t="s">
        <v>4527</v>
      </c>
      <c r="H75" s="30" t="s">
        <v>4707</v>
      </c>
      <c r="I75" s="20" t="s">
        <v>4562</v>
      </c>
      <c r="J75" s="30" t="s">
        <v>751</v>
      </c>
      <c r="K75" s="239"/>
      <c r="L75" s="239"/>
      <c r="M75" s="30" t="s">
        <v>751</v>
      </c>
      <c r="N75" s="20" t="s">
        <v>4665</v>
      </c>
      <c r="O75" s="6" t="s">
        <v>751</v>
      </c>
      <c r="P75" s="239" t="s">
        <v>4530</v>
      </c>
      <c r="Q75" s="49" t="n">
        <f aca="false">Spec_Rack!D8</f>
        <v>120</v>
      </c>
      <c r="R75" s="184" t="n">
        <f aca="false">SRC_HW_004_Lo</f>
        <v>120</v>
      </c>
      <c r="S75" s="44" t="str">
        <f aca="false">IF(ISNUMBER($AF75),INDEX(IDX_SrcStat,$AF75),"—")</f>
        <v>Active</v>
      </c>
      <c r="T75" s="44" t="n">
        <f aca="false">IF(ISNUMBER($AF75),INDEX(IDX_SrcGrade,$AF75),"—")</f>
        <v>1</v>
      </c>
      <c r="U75" s="44" t="s">
        <v>4564</v>
      </c>
      <c r="V75" s="32" t="n">
        <f aca="false">IF(AND($F75="原始數據",$U75&lt;&gt;"連結 SRC"),1,0)</f>
        <v>0</v>
      </c>
      <c r="W75" s="32" t="n">
        <f aca="false">IF(AND($F75="Analogy",OR($H75="—",$H75="")),1,0)</f>
        <v>0</v>
      </c>
      <c r="X75" s="32" t="n">
        <f aca="false">IF(AND(OR($F75="Analogy",$F75="Assumed"),$G75&lt;&gt;"低",$G75&lt;&gt;"高",NOT(ISNUMBER($K75)),NOT(ISNUMBER($L75)),OR($M75="—",$M75="")),1,0)</f>
        <v>0</v>
      </c>
      <c r="Y75" s="32" t="n">
        <f aca="false">IF(AND(OR($F75="Analogy",$F75="Assumed",$F75="Derived（待改公式）",$F75="Derived（公式）"),OR($N75="—",$N75="",$N75=0)),1,0)</f>
        <v>0</v>
      </c>
      <c r="Z75" s="32" t="n">
        <f aca="false">IF(AND($F75="Decision",OR($J75="—",$J75="")),1,0)</f>
        <v>0</v>
      </c>
      <c r="AA75" s="33" t="n">
        <f aca="false">IF(OR($J75="—",$J75=""),0,IF(COUNTIF(Decisions!$A$5:$A$300,$J75)=0,1,0))</f>
        <v>0</v>
      </c>
      <c r="AB75" s="32" t="n">
        <f aca="false">IF(AND($F75="原始數據",$S75&lt;&gt;"Active"),1,0)</f>
        <v>0</v>
      </c>
      <c r="AC75" s="32" t="n">
        <f aca="false">IF(AND(ISNUMBER($K75),ISNUMBER($L75),ISNUMBER($Q75)),IF(OR($Q75&lt;MIN($K75,$L75),$Q75&gt;MAX($K75,$L75)),1,0),0)</f>
        <v>0</v>
      </c>
      <c r="AD75" s="32" t="n">
        <f aca="false">IF(AND(ISNUMBER($T75),$P75="高"),IF($T75=3,1,0),0)</f>
        <v>0</v>
      </c>
      <c r="AE75" s="32" t="n">
        <f aca="false">IF($S75="不存在",1,0)</f>
        <v>0</v>
      </c>
      <c r="AF75" s="44" t="n">
        <f aca="false">IF(OR($H75="—",$H75=""),"—",MATCH($H75,IDX_SrcID,0))</f>
        <v>4</v>
      </c>
      <c r="AG75" s="32" t="n">
        <f aca="false">IF(AND($P75="高",OR($AD75=1,$X75=1)),1,0)</f>
        <v>0</v>
      </c>
      <c r="AH75" s="32" t="n">
        <f aca="false">IF(AND($P75="高",$AG75=0,OR($F75&lt;&gt;"原始數據",$T75&lt;&gt;1)),1,0)</f>
        <v>0</v>
      </c>
      <c r="AI75" s="44" t="str">
        <f aca="false">IF(AND($P75="高",ISNUMBER($AF75)),INDEX(IDX_SrcDate,$AF75),"—")</f>
        <v>—</v>
      </c>
      <c r="AJ75" s="32" t="n">
        <f aca="false">IF(AND(ISTEXT($AI75),LEN($AI75)=10),IF(ISNUMBER(VALUE(SUBSTITUTE($AI75,"-",""))),VALUE(SUBSTITUTE($AI75,"-","")),0),0)</f>
        <v>0</v>
      </c>
    </row>
    <row r="76" customFormat="false" ht="15" hidden="false" customHeight="true" outlineLevel="0" collapsed="false">
      <c r="A76" s="30" t="s">
        <v>4708</v>
      </c>
      <c r="B76" s="239" t="s">
        <v>4525</v>
      </c>
      <c r="C76" s="30" t="s">
        <v>4689</v>
      </c>
      <c r="D76" s="30" t="s">
        <v>4313</v>
      </c>
      <c r="E76" s="20" t="s">
        <v>204</v>
      </c>
      <c r="F76" s="239" t="s">
        <v>348</v>
      </c>
      <c r="G76" s="239" t="s">
        <v>4527</v>
      </c>
      <c r="H76" s="30" t="s">
        <v>4709</v>
      </c>
      <c r="I76" s="20" t="s">
        <v>4562</v>
      </c>
      <c r="J76" s="30" t="s">
        <v>751</v>
      </c>
      <c r="K76" s="239"/>
      <c r="L76" s="239"/>
      <c r="M76" s="30" t="s">
        <v>751</v>
      </c>
      <c r="N76" s="20" t="s">
        <v>4665</v>
      </c>
      <c r="O76" s="6" t="s">
        <v>751</v>
      </c>
      <c r="P76" s="239" t="s">
        <v>4530</v>
      </c>
      <c r="Q76" s="49" t="n">
        <f aca="false">Spec_Rack!E8</f>
        <v>132</v>
      </c>
      <c r="R76" s="184" t="n">
        <f aca="false">SRC_HW_005_Lo</f>
        <v>132</v>
      </c>
      <c r="S76" s="44" t="str">
        <f aca="false">IF(ISNUMBER($AF76),INDEX(IDX_SrcStat,$AF76),"—")</f>
        <v>Active</v>
      </c>
      <c r="T76" s="44" t="n">
        <f aca="false">IF(ISNUMBER($AF76),INDEX(IDX_SrcGrade,$AF76),"—")</f>
        <v>2</v>
      </c>
      <c r="U76" s="44" t="s">
        <v>4564</v>
      </c>
      <c r="V76" s="32" t="n">
        <f aca="false">IF(AND($F76="原始數據",$U76&lt;&gt;"連結 SRC"),1,0)</f>
        <v>0</v>
      </c>
      <c r="W76" s="32" t="n">
        <f aca="false">IF(AND($F76="Analogy",OR($H76="—",$H76="")),1,0)</f>
        <v>0</v>
      </c>
      <c r="X76" s="32" t="n">
        <f aca="false">IF(AND(OR($F76="Analogy",$F76="Assumed"),$G76&lt;&gt;"低",$G76&lt;&gt;"高",NOT(ISNUMBER($K76)),NOT(ISNUMBER($L76)),OR($M76="—",$M76="")),1,0)</f>
        <v>0</v>
      </c>
      <c r="Y76" s="32" t="n">
        <f aca="false">IF(AND(OR($F76="Analogy",$F76="Assumed",$F76="Derived（待改公式）",$F76="Derived（公式）"),OR($N76="—",$N76="",$N76=0)),1,0)</f>
        <v>0</v>
      </c>
      <c r="Z76" s="32" t="n">
        <f aca="false">IF(AND($F76="Decision",OR($J76="—",$J76="")),1,0)</f>
        <v>0</v>
      </c>
      <c r="AA76" s="33" t="n">
        <f aca="false">IF(OR($J76="—",$J76=""),0,IF(COUNTIF(Decisions!$A$5:$A$300,$J76)=0,1,0))</f>
        <v>0</v>
      </c>
      <c r="AB76" s="32" t="n">
        <f aca="false">IF(AND($F76="原始數據",$S76&lt;&gt;"Active"),1,0)</f>
        <v>0</v>
      </c>
      <c r="AC76" s="32" t="n">
        <f aca="false">IF(AND(ISNUMBER($K76),ISNUMBER($L76),ISNUMBER($Q76)),IF(OR($Q76&lt;MIN($K76,$L76),$Q76&gt;MAX($K76,$L76)),1,0),0)</f>
        <v>0</v>
      </c>
      <c r="AD76" s="32" t="n">
        <f aca="false">IF(AND(ISNUMBER($T76),$P76="高"),IF($T76=3,1,0),0)</f>
        <v>0</v>
      </c>
      <c r="AE76" s="32" t="n">
        <f aca="false">IF($S76="不存在",1,0)</f>
        <v>0</v>
      </c>
      <c r="AF76" s="44" t="n">
        <f aca="false">IF(OR($H76="—",$H76=""),"—",MATCH($H76,IDX_SrcID,0))</f>
        <v>5</v>
      </c>
      <c r="AG76" s="32" t="n">
        <f aca="false">IF(AND($P76="高",OR($AD76=1,$X76=1)),1,0)</f>
        <v>0</v>
      </c>
      <c r="AH76" s="32" t="n">
        <f aca="false">IF(AND($P76="高",$AG76=0,OR($F76&lt;&gt;"原始數據",$T76&lt;&gt;1)),1,0)</f>
        <v>0</v>
      </c>
      <c r="AI76" s="44" t="str">
        <f aca="false">IF(AND($P76="高",ISNUMBER($AF76)),INDEX(IDX_SrcDate,$AF76),"—")</f>
        <v>—</v>
      </c>
      <c r="AJ76" s="32" t="n">
        <f aca="false">IF(AND(ISTEXT($AI76),LEN($AI76)=10),IF(ISNUMBER(VALUE(SUBSTITUTE($AI76,"-",""))),VALUE(SUBSTITUTE($AI76,"-","")),0),0)</f>
        <v>0</v>
      </c>
    </row>
    <row r="77" customFormat="false" ht="15" hidden="false" customHeight="true" outlineLevel="0" collapsed="false">
      <c r="A77" s="30" t="s">
        <v>4710</v>
      </c>
      <c r="B77" s="239" t="s">
        <v>4525</v>
      </c>
      <c r="C77" s="30" t="s">
        <v>4689</v>
      </c>
      <c r="D77" s="30" t="s">
        <v>4711</v>
      </c>
      <c r="E77" s="20" t="s">
        <v>204</v>
      </c>
      <c r="F77" s="239" t="s">
        <v>348</v>
      </c>
      <c r="G77" s="239" t="s">
        <v>4527</v>
      </c>
      <c r="H77" s="30" t="s">
        <v>4712</v>
      </c>
      <c r="I77" s="20" t="s">
        <v>4562</v>
      </c>
      <c r="J77" s="30" t="s">
        <v>751</v>
      </c>
      <c r="K77" s="239"/>
      <c r="L77" s="239"/>
      <c r="M77" s="30" t="s">
        <v>751</v>
      </c>
      <c r="N77" s="20" t="s">
        <v>4665</v>
      </c>
      <c r="O77" s="6" t="s">
        <v>751</v>
      </c>
      <c r="P77" s="239" t="s">
        <v>4530</v>
      </c>
      <c r="Q77" s="49" t="n">
        <f aca="false">Spec_Rack!F8</f>
        <v>188</v>
      </c>
      <c r="R77" s="184" t="n">
        <f aca="false">SRC_HW_011</f>
        <v>188</v>
      </c>
      <c r="S77" s="44" t="str">
        <f aca="false">IF(ISNUMBER($AF77),INDEX(IDX_SrcStat,$AF77),"—")</f>
        <v>Active</v>
      </c>
      <c r="T77" s="44" t="n">
        <f aca="false">IF(ISNUMBER($AF77),INDEX(IDX_SrcGrade,$AF77),"—")</f>
        <v>1</v>
      </c>
      <c r="U77" s="44" t="s">
        <v>4564</v>
      </c>
      <c r="V77" s="32" t="n">
        <f aca="false">IF(AND($F77="原始數據",$U77&lt;&gt;"連結 SRC"),1,0)</f>
        <v>0</v>
      </c>
      <c r="W77" s="32" t="n">
        <f aca="false">IF(AND($F77="Analogy",OR($H77="—",$H77="")),1,0)</f>
        <v>0</v>
      </c>
      <c r="X77" s="32" t="n">
        <f aca="false">IF(AND(OR($F77="Analogy",$F77="Assumed"),$G77&lt;&gt;"低",$G77&lt;&gt;"高",NOT(ISNUMBER($K77)),NOT(ISNUMBER($L77)),OR($M77="—",$M77="")),1,0)</f>
        <v>0</v>
      </c>
      <c r="Y77" s="32" t="n">
        <f aca="false">IF(AND(OR($F77="Analogy",$F77="Assumed",$F77="Derived（待改公式）",$F77="Derived（公式）"),OR($N77="—",$N77="",$N77=0)),1,0)</f>
        <v>0</v>
      </c>
      <c r="Z77" s="32" t="n">
        <f aca="false">IF(AND($F77="Decision",OR($J77="—",$J77="")),1,0)</f>
        <v>0</v>
      </c>
      <c r="AA77" s="33" t="n">
        <f aca="false">IF(OR($J77="—",$J77=""),0,IF(COUNTIF(Decisions!$A$5:$A$300,$J77)=0,1,0))</f>
        <v>0</v>
      </c>
      <c r="AB77" s="32" t="n">
        <f aca="false">IF(AND($F77="原始數據",$S77&lt;&gt;"Active"),1,0)</f>
        <v>0</v>
      </c>
      <c r="AC77" s="32" t="n">
        <f aca="false">IF(AND(ISNUMBER($K77),ISNUMBER($L77),ISNUMBER($Q77)),IF(OR($Q77&lt;MIN($K77,$L77),$Q77&gt;MAX($K77,$L77)),1,0),0)</f>
        <v>0</v>
      </c>
      <c r="AD77" s="32" t="n">
        <f aca="false">IF(AND(ISNUMBER($T77),$P77="高"),IF($T77=3,1,0),0)</f>
        <v>0</v>
      </c>
      <c r="AE77" s="32" t="n">
        <f aca="false">IF($S77="不存在",1,0)</f>
        <v>0</v>
      </c>
      <c r="AF77" s="44" t="n">
        <f aca="false">IF(OR($H77="—",$H77=""),"—",MATCH($H77,IDX_SrcID,0))</f>
        <v>11</v>
      </c>
      <c r="AG77" s="32" t="n">
        <f aca="false">IF(AND($P77="高",OR($AD77=1,$X77=1)),1,0)</f>
        <v>0</v>
      </c>
      <c r="AH77" s="32" t="n">
        <f aca="false">IF(AND($P77="高",$AG77=0,OR($F77&lt;&gt;"原始數據",$T77&lt;&gt;1)),1,0)</f>
        <v>0</v>
      </c>
      <c r="AI77" s="44" t="str">
        <f aca="false">IF(AND($P77="高",ISNUMBER($AF77)),INDEX(IDX_SrcDate,$AF77),"—")</f>
        <v>—</v>
      </c>
      <c r="AJ77" s="32" t="n">
        <f aca="false">IF(AND(ISTEXT($AI77),LEN($AI77)=10),IF(ISNUMBER(VALUE(SUBSTITUTE($AI77,"-",""))),VALUE(SUBSTITUTE($AI77,"-","")),0),0)</f>
        <v>0</v>
      </c>
    </row>
    <row r="78" customFormat="false" ht="29.25" hidden="false" customHeight="true" outlineLevel="0" collapsed="false">
      <c r="A78" s="30" t="s">
        <v>4713</v>
      </c>
      <c r="B78" s="239" t="s">
        <v>4525</v>
      </c>
      <c r="C78" s="30" t="s">
        <v>4689</v>
      </c>
      <c r="D78" s="30" t="s">
        <v>4714</v>
      </c>
      <c r="E78" s="20" t="s">
        <v>204</v>
      </c>
      <c r="F78" s="30" t="s">
        <v>162</v>
      </c>
      <c r="G78" s="239" t="s">
        <v>1308</v>
      </c>
      <c r="H78" s="30" t="s">
        <v>751</v>
      </c>
      <c r="I78" s="6" t="s">
        <v>751</v>
      </c>
      <c r="J78" s="30" t="s">
        <v>751</v>
      </c>
      <c r="K78" s="239"/>
      <c r="L78" s="239"/>
      <c r="M78" s="30" t="s">
        <v>751</v>
      </c>
      <c r="N78" s="6" t="s">
        <v>4715</v>
      </c>
      <c r="O78" s="6" t="s">
        <v>751</v>
      </c>
      <c r="P78" s="239" t="s">
        <v>4530</v>
      </c>
      <c r="Q78" s="49" t="n">
        <f aca="false">Spec_Rack!G8</f>
        <v>300</v>
      </c>
      <c r="R78" s="30" t="s">
        <v>751</v>
      </c>
      <c r="S78" s="44" t="str">
        <f aca="false">IF(ISNUMBER($AF78),INDEX(IDX_SrcStat,$AF78),"—")</f>
        <v>—</v>
      </c>
      <c r="T78" s="44" t="str">
        <f aca="false">IF(ISNUMBER($AF78),INDEX(IDX_SrcGrade,$AF78),"—")</f>
        <v>—</v>
      </c>
      <c r="U78" s="44" t="s">
        <v>4531</v>
      </c>
      <c r="V78" s="32" t="n">
        <f aca="false">IF(AND($F78="原始數據",$U78&lt;&gt;"連結 SRC"),1,0)</f>
        <v>0</v>
      </c>
      <c r="W78" s="32" t="n">
        <f aca="false">IF(AND($F78="Analogy",OR($H78="—",$H78="")),1,0)</f>
        <v>0</v>
      </c>
      <c r="X78" s="32" t="n">
        <f aca="false">IF(AND(OR($F78="Analogy",$F78="Assumed"),$G78&lt;&gt;"低",$G78&lt;&gt;"高",NOT(ISNUMBER($K78)),NOT(ISNUMBER($L78)),OR($M78="—",$M78="")),1,0)</f>
        <v>0</v>
      </c>
      <c r="Y78" s="32" t="n">
        <f aca="false">IF(AND(OR($F78="Analogy",$F78="Assumed",$F78="Derived（待改公式）",$F78="Derived（公式）"),OR($N78="—",$N78="",$N78=0)),1,0)</f>
        <v>0</v>
      </c>
      <c r="Z78" s="32" t="n">
        <f aca="false">IF(AND($F78="Decision",OR($J78="—",$J78="")),1,0)</f>
        <v>0</v>
      </c>
      <c r="AA78" s="33" t="n">
        <f aca="false">IF(OR($J78="—",$J78=""),0,IF(COUNTIF(Decisions!$A$5:$A$300,$J78)=0,1,0))</f>
        <v>0</v>
      </c>
      <c r="AB78" s="32" t="n">
        <f aca="false">IF(AND($F78="原始數據",$S78&lt;&gt;"Active"),1,0)</f>
        <v>0</v>
      </c>
      <c r="AC78" s="32" t="n">
        <f aca="false">IF(AND(ISNUMBER($K78),ISNUMBER($L78),ISNUMBER($Q78)),IF(OR($Q78&lt;MIN($K78,$L78),$Q78&gt;MAX($K78,$L78)),1,0),0)</f>
        <v>0</v>
      </c>
      <c r="AD78" s="32" t="n">
        <f aca="false">IF(AND(ISNUMBER($T78),$P78="高"),IF($T78=3,1,0),0)</f>
        <v>0</v>
      </c>
      <c r="AE78" s="32" t="n">
        <f aca="false">IF($S78="不存在",1,0)</f>
        <v>0</v>
      </c>
      <c r="AF78" s="44" t="str">
        <f aca="false">IF(OR($H78="—",$H78=""),"—",MATCH($H78,IDX_SrcID,0))</f>
        <v>—</v>
      </c>
      <c r="AG78" s="32" t="n">
        <f aca="false">IF(AND($P78="高",OR($AD78=1,$X78=1)),1,0)</f>
        <v>0</v>
      </c>
      <c r="AH78" s="32" t="n">
        <f aca="false">IF(AND($P78="高",$AG78=0,OR($F78&lt;&gt;"原始數據",$T78&lt;&gt;1)),1,0)</f>
        <v>0</v>
      </c>
      <c r="AI78" s="44" t="str">
        <f aca="false">IF(AND($P78="高",ISNUMBER($AF78)),INDEX(IDX_SrcDate,$AF78),"—")</f>
        <v>—</v>
      </c>
      <c r="AJ78" s="32" t="n">
        <f aca="false">IF(AND(ISTEXT($AI78),LEN($AI78)=10),IF(ISNUMBER(VALUE(SUBSTITUTE($AI78,"-",""))),VALUE(SUBSTITUTE($AI78,"-","")),0),0)</f>
        <v>0</v>
      </c>
    </row>
    <row r="79" customFormat="false" ht="43.5" hidden="false" customHeight="true" outlineLevel="0" collapsed="false">
      <c r="A79" s="30" t="s">
        <v>4716</v>
      </c>
      <c r="B79" s="239" t="s">
        <v>4525</v>
      </c>
      <c r="C79" s="30" t="s">
        <v>4689</v>
      </c>
      <c r="D79" s="30" t="s">
        <v>4717</v>
      </c>
      <c r="E79" s="20" t="s">
        <v>205</v>
      </c>
      <c r="F79" s="239" t="s">
        <v>4718</v>
      </c>
      <c r="G79" s="239" t="s">
        <v>97</v>
      </c>
      <c r="H79" s="30" t="s">
        <v>4719</v>
      </c>
      <c r="I79" s="20" t="s">
        <v>4720</v>
      </c>
      <c r="J79" s="30" t="s">
        <v>751</v>
      </c>
      <c r="K79" s="49" t="n">
        <f aca="false">Spec_Rack!C8</f>
        <v>38</v>
      </c>
      <c r="L79" s="49" t="n">
        <f aca="false">Spec_Rack!C10</f>
        <v>44</v>
      </c>
      <c r="M79" s="30" t="s">
        <v>751</v>
      </c>
      <c r="N79" s="20" t="s">
        <v>4721</v>
      </c>
      <c r="O79" s="6" t="s">
        <v>751</v>
      </c>
      <c r="P79" s="239" t="s">
        <v>1309</v>
      </c>
      <c r="Q79" s="49" t="n">
        <f aca="false">Spec_Rack!C9</f>
        <v>41</v>
      </c>
      <c r="R79" s="184" t="n">
        <f aca="false">SRC_HW_001</f>
        <v>10.2</v>
      </c>
      <c r="S79" s="44" t="str">
        <f aca="false">IF(ISNUMBER($AF79),INDEX(IDX_SrcStat,$AF79),"—")</f>
        <v>Active</v>
      </c>
      <c r="T79" s="44" t="n">
        <f aca="false">IF(ISNUMBER($AF79),INDEX(IDX_SrcGrade,$AF79),"—")</f>
        <v>1</v>
      </c>
      <c r="U79" s="44" t="s">
        <v>4531</v>
      </c>
      <c r="V79" s="32" t="n">
        <f aca="false">IF(AND($F79="原始數據",$U79&lt;&gt;"連結 SRC"),1,0)</f>
        <v>0</v>
      </c>
      <c r="W79" s="32" t="n">
        <f aca="false">IF(AND($F79="Analogy",OR($H79="—",$H79="")),1,0)</f>
        <v>0</v>
      </c>
      <c r="X79" s="32" t="n">
        <f aca="false">IF(AND(OR($F79="Analogy",$F79="Assumed"),$G79&lt;&gt;"低",$G79&lt;&gt;"高",NOT(ISNUMBER($K79)),NOT(ISNUMBER($L79)),OR($M79="—",$M79="")),1,0)</f>
        <v>0</v>
      </c>
      <c r="Y79" s="32" t="n">
        <f aca="false">IF(AND(OR($F79="Analogy",$F79="Assumed",$F79="Derived（待改公式）",$F79="Derived（公式）"),OR($N79="—",$N79="",$N79=0)),1,0)</f>
        <v>0</v>
      </c>
      <c r="Z79" s="32" t="n">
        <f aca="false">IF(AND($F79="Decision",OR($J79="—",$J79="")),1,0)</f>
        <v>0</v>
      </c>
      <c r="AA79" s="33" t="n">
        <f aca="false">IF(OR($J79="—",$J79=""),0,IF(COUNTIF(Decisions!$A$5:$A$300,$J79)=0,1,0))</f>
        <v>0</v>
      </c>
      <c r="AB79" s="32" t="n">
        <f aca="false">IF(AND($F79="原始數據",$S79&lt;&gt;"Active"),1,0)</f>
        <v>0</v>
      </c>
      <c r="AC79" s="32" t="n">
        <f aca="false">IF(AND(ISNUMBER($K79),ISNUMBER($L79),ISNUMBER($Q79)),IF(OR($Q79&lt;MIN($K79,$L79),$Q79&gt;MAX($K79,$L79)),1,0),0)</f>
        <v>0</v>
      </c>
      <c r="AD79" s="32" t="n">
        <f aca="false">IF(AND(ISNUMBER($T79),$P79="高"),IF($T79=3,1,0),0)</f>
        <v>0</v>
      </c>
      <c r="AE79" s="32" t="n">
        <f aca="false">IF($S79="不存在",1,0)</f>
        <v>0</v>
      </c>
      <c r="AF79" s="44" t="n">
        <f aca="false">IF(OR($H79="—",$H79=""),"—",MATCH($H79,IDX_SrcID,0))</f>
        <v>1</v>
      </c>
      <c r="AG79" s="32" t="n">
        <f aca="false">IF(AND($P79="高",OR($AD79=1,$X79=1)),1,0)</f>
        <v>0</v>
      </c>
      <c r="AH79" s="32" t="n">
        <f aca="false">IF(AND($P79="高",$AG79=0,OR($F79&lt;&gt;"原始數據",$T79&lt;&gt;1)),1,0)</f>
        <v>1</v>
      </c>
      <c r="AI79" s="44" t="str">
        <f aca="false">IF(AND($P79="高",ISNUMBER($AF79)),INDEX(IDX_SrcDate,$AF79),"—")</f>
        <v>2026-10-05</v>
      </c>
      <c r="AJ79" s="32" t="n">
        <f aca="false">IF(AND(ISTEXT($AI79),LEN($AI79)=10),IF(ISNUMBER(VALUE(SUBSTITUTE($AI79,"-",""))),VALUE(SUBSTITUTE($AI79,"-","")),0),0)</f>
        <v>20261005</v>
      </c>
    </row>
    <row r="80" customFormat="false" ht="43.5" hidden="false" customHeight="true" outlineLevel="0" collapsed="false">
      <c r="A80" s="30" t="s">
        <v>4722</v>
      </c>
      <c r="B80" s="239" t="s">
        <v>4525</v>
      </c>
      <c r="C80" s="30" t="s">
        <v>4689</v>
      </c>
      <c r="D80" s="30" t="s">
        <v>4540</v>
      </c>
      <c r="E80" s="20" t="s">
        <v>205</v>
      </c>
      <c r="F80" s="239" t="s">
        <v>348</v>
      </c>
      <c r="G80" s="239" t="s">
        <v>97</v>
      </c>
      <c r="H80" s="30" t="s">
        <v>4707</v>
      </c>
      <c r="I80" s="20" t="s">
        <v>4723</v>
      </c>
      <c r="J80" s="30" t="s">
        <v>751</v>
      </c>
      <c r="K80" s="49" t="n">
        <f aca="false">Spec_Rack!D8</f>
        <v>120</v>
      </c>
      <c r="L80" s="49" t="n">
        <f aca="false">Spec_Rack!D10</f>
        <v>140</v>
      </c>
      <c r="M80" s="30" t="s">
        <v>751</v>
      </c>
      <c r="N80" s="20" t="s">
        <v>4724</v>
      </c>
      <c r="O80" s="6" t="s">
        <v>751</v>
      </c>
      <c r="P80" s="239" t="s">
        <v>1309</v>
      </c>
      <c r="Q80" s="49" t="n">
        <f aca="false">Spec_Rack!D9</f>
        <v>132</v>
      </c>
      <c r="R80" s="184" t="n">
        <f aca="false">SRC_HW_004_Hi</f>
        <v>132</v>
      </c>
      <c r="S80" s="44" t="str">
        <f aca="false">IF(ISNUMBER($AF80),INDEX(IDX_SrcStat,$AF80),"—")</f>
        <v>Active</v>
      </c>
      <c r="T80" s="44" t="n">
        <f aca="false">IF(ISNUMBER($AF80),INDEX(IDX_SrcGrade,$AF80),"—")</f>
        <v>1</v>
      </c>
      <c r="U80" s="44" t="s">
        <v>4564</v>
      </c>
      <c r="V80" s="32" t="n">
        <f aca="false">IF(AND($F80="原始數據",$U80&lt;&gt;"連結 SRC"),1,0)</f>
        <v>0</v>
      </c>
      <c r="W80" s="32" t="n">
        <f aca="false">IF(AND($F80="Analogy",OR($H80="—",$H80="")),1,0)</f>
        <v>0</v>
      </c>
      <c r="X80" s="32" t="n">
        <f aca="false">IF(AND(OR($F80="Analogy",$F80="Assumed"),$G80&lt;&gt;"低",$G80&lt;&gt;"高",NOT(ISNUMBER($K80)),NOT(ISNUMBER($L80)),OR($M80="—",$M80="")),1,0)</f>
        <v>0</v>
      </c>
      <c r="Y80" s="32" t="n">
        <f aca="false">IF(AND(OR($F80="Analogy",$F80="Assumed",$F80="Derived（待改公式）",$F80="Derived（公式）"),OR($N80="—",$N80="",$N80=0)),1,0)</f>
        <v>0</v>
      </c>
      <c r="Z80" s="32" t="n">
        <f aca="false">IF(AND($F80="Decision",OR($J80="—",$J80="")),1,0)</f>
        <v>0</v>
      </c>
      <c r="AA80" s="33" t="n">
        <f aca="false">IF(OR($J80="—",$J80=""),0,IF(COUNTIF(Decisions!$A$5:$A$300,$J80)=0,1,0))</f>
        <v>0</v>
      </c>
      <c r="AB80" s="32" t="n">
        <f aca="false">IF(AND($F80="原始數據",$S80&lt;&gt;"Active"),1,0)</f>
        <v>0</v>
      </c>
      <c r="AC80" s="32" t="n">
        <f aca="false">IF(AND(ISNUMBER($K80),ISNUMBER($L80),ISNUMBER($Q80)),IF(OR($Q80&lt;MIN($K80,$L80),$Q80&gt;MAX($K80,$L80)),1,0),0)</f>
        <v>0</v>
      </c>
      <c r="AD80" s="32" t="n">
        <f aca="false">IF(AND(ISNUMBER($T80),$P80="高"),IF($T80=3,1,0),0)</f>
        <v>0</v>
      </c>
      <c r="AE80" s="32" t="n">
        <f aca="false">IF($S80="不存在",1,0)</f>
        <v>0</v>
      </c>
      <c r="AF80" s="44" t="n">
        <f aca="false">IF(OR($H80="—",$H80=""),"—",MATCH($H80,IDX_SrcID,0))</f>
        <v>4</v>
      </c>
      <c r="AG80" s="32" t="n">
        <f aca="false">IF(AND($P80="高",OR($AD80=1,$X80=1)),1,0)</f>
        <v>0</v>
      </c>
      <c r="AH80" s="32" t="n">
        <f aca="false">IF(AND($P80="高",$AG80=0,OR($F80&lt;&gt;"原始數據",$T80&lt;&gt;1)),1,0)</f>
        <v>0</v>
      </c>
      <c r="AI80" s="44" t="str">
        <f aca="false">IF(AND($P80="高",ISNUMBER($AF80)),INDEX(IDX_SrcDate,$AF80),"—")</f>
        <v>2026-10-05</v>
      </c>
      <c r="AJ80" s="32" t="n">
        <f aca="false">IF(AND(ISTEXT($AI80),LEN($AI80)=10),IF(ISNUMBER(VALUE(SUBSTITUTE($AI80,"-",""))),VALUE(SUBSTITUTE($AI80,"-","")),0),0)</f>
        <v>20261005</v>
      </c>
    </row>
    <row r="81" customFormat="false" ht="29.25" hidden="false" customHeight="true" outlineLevel="0" collapsed="false">
      <c r="A81" s="30" t="s">
        <v>4725</v>
      </c>
      <c r="B81" s="239" t="s">
        <v>4525</v>
      </c>
      <c r="C81" s="30" t="s">
        <v>4689</v>
      </c>
      <c r="D81" s="30" t="s">
        <v>4316</v>
      </c>
      <c r="E81" s="20" t="s">
        <v>205</v>
      </c>
      <c r="F81" s="239" t="s">
        <v>162</v>
      </c>
      <c r="G81" s="239" t="s">
        <v>97</v>
      </c>
      <c r="H81" s="30" t="s">
        <v>4709</v>
      </c>
      <c r="I81" s="20" t="s">
        <v>4726</v>
      </c>
      <c r="J81" s="30" t="s">
        <v>751</v>
      </c>
      <c r="K81" s="49" t="n">
        <f aca="false">Spec_Rack!E8</f>
        <v>132</v>
      </c>
      <c r="L81" s="49" t="n">
        <f aca="false">Spec_Rack!E10</f>
        <v>140</v>
      </c>
      <c r="M81" s="30" t="s">
        <v>751</v>
      </c>
      <c r="N81" s="20" t="s">
        <v>4727</v>
      </c>
      <c r="O81" s="20" t="s">
        <v>4728</v>
      </c>
      <c r="P81" s="239" t="s">
        <v>1309</v>
      </c>
      <c r="Q81" s="49" t="n">
        <f aca="false">Spec_Rack!E9</f>
        <v>136</v>
      </c>
      <c r="R81" s="184" t="n">
        <f aca="false">SRC_HW_005_Lo</f>
        <v>132</v>
      </c>
      <c r="S81" s="44" t="str">
        <f aca="false">IF(ISNUMBER($AF81),INDEX(IDX_SrcStat,$AF81),"—")</f>
        <v>Active</v>
      </c>
      <c r="T81" s="44" t="n">
        <f aca="false">IF(ISNUMBER($AF81),INDEX(IDX_SrcGrade,$AF81),"—")</f>
        <v>2</v>
      </c>
      <c r="U81" s="44" t="s">
        <v>4531</v>
      </c>
      <c r="V81" s="32" t="n">
        <f aca="false">IF(AND($F81="原始數據",$U81&lt;&gt;"連結 SRC"),1,0)</f>
        <v>0</v>
      </c>
      <c r="W81" s="32" t="n">
        <f aca="false">IF(AND($F81="Analogy",OR($H81="—",$H81="")),1,0)</f>
        <v>0</v>
      </c>
      <c r="X81" s="32" t="n">
        <f aca="false">IF(AND(OR($F81="Analogy",$F81="Assumed"),$G81&lt;&gt;"低",$G81&lt;&gt;"高",NOT(ISNUMBER($K81)),NOT(ISNUMBER($L81)),OR($M81="—",$M81="")),1,0)</f>
        <v>0</v>
      </c>
      <c r="Y81" s="32" t="n">
        <f aca="false">IF(AND(OR($F81="Analogy",$F81="Assumed",$F81="Derived（待改公式）",$F81="Derived（公式）"),OR($N81="—",$N81="",$N81=0)),1,0)</f>
        <v>0</v>
      </c>
      <c r="Z81" s="32" t="n">
        <f aca="false">IF(AND($F81="Decision",OR($J81="—",$J81="")),1,0)</f>
        <v>0</v>
      </c>
      <c r="AA81" s="33" t="n">
        <f aca="false">IF(OR($J81="—",$J81=""),0,IF(COUNTIF(Decisions!$A$5:$A$300,$J81)=0,1,0))</f>
        <v>0</v>
      </c>
      <c r="AB81" s="32" t="n">
        <f aca="false">IF(AND($F81="原始數據",$S81&lt;&gt;"Active"),1,0)</f>
        <v>0</v>
      </c>
      <c r="AC81" s="32" t="n">
        <f aca="false">IF(AND(ISNUMBER($K81),ISNUMBER($L81),ISNUMBER($Q81)),IF(OR($Q81&lt;MIN($K81,$L81),$Q81&gt;MAX($K81,$L81)),1,0),0)</f>
        <v>0</v>
      </c>
      <c r="AD81" s="32" t="n">
        <f aca="false">IF(AND(ISNUMBER($T81),$P81="高"),IF($T81=3,1,0),0)</f>
        <v>0</v>
      </c>
      <c r="AE81" s="32" t="n">
        <f aca="false">IF($S81="不存在",1,0)</f>
        <v>0</v>
      </c>
      <c r="AF81" s="44" t="n">
        <f aca="false">IF(OR($H81="—",$H81=""),"—",MATCH($H81,IDX_SrcID,0))</f>
        <v>5</v>
      </c>
      <c r="AG81" s="32" t="n">
        <f aca="false">IF(AND($P81="高",OR($AD81=1,$X81=1)),1,0)</f>
        <v>0</v>
      </c>
      <c r="AH81" s="32" t="n">
        <f aca="false">IF(AND($P81="高",$AG81=0,OR($F81&lt;&gt;"原始數據",$T81&lt;&gt;1)),1,0)</f>
        <v>1</v>
      </c>
      <c r="AI81" s="44" t="str">
        <f aca="false">IF(AND($P81="高",ISNUMBER($AF81)),INDEX(IDX_SrcDate,$AF81),"—")</f>
        <v>2026-10-05</v>
      </c>
      <c r="AJ81" s="32" t="n">
        <f aca="false">IF(AND(ISTEXT($AI81),LEN($AI81)=10),IF(ISNUMBER(VALUE(SUBSTITUTE($AI81,"-",""))),VALUE(SUBSTITUTE($AI81,"-","")),0),0)</f>
        <v>20261005</v>
      </c>
    </row>
    <row r="82" customFormat="false" ht="15" hidden="false" customHeight="true" outlineLevel="0" collapsed="false">
      <c r="A82" s="30" t="s">
        <v>4729</v>
      </c>
      <c r="B82" s="239" t="s">
        <v>4525</v>
      </c>
      <c r="C82" s="30" t="s">
        <v>4689</v>
      </c>
      <c r="D82" s="30" t="s">
        <v>4542</v>
      </c>
      <c r="E82" s="20" t="s">
        <v>205</v>
      </c>
      <c r="F82" s="239" t="s">
        <v>348</v>
      </c>
      <c r="G82" s="239" t="s">
        <v>4527</v>
      </c>
      <c r="H82" s="30" t="s">
        <v>4730</v>
      </c>
      <c r="I82" s="20" t="s">
        <v>4562</v>
      </c>
      <c r="J82" s="30" t="s">
        <v>751</v>
      </c>
      <c r="K82" s="239"/>
      <c r="L82" s="239"/>
      <c r="M82" s="30" t="s">
        <v>751</v>
      </c>
      <c r="N82" s="20" t="s">
        <v>4665</v>
      </c>
      <c r="O82" s="6" t="s">
        <v>751</v>
      </c>
      <c r="P82" s="239" t="s">
        <v>1309</v>
      </c>
      <c r="Q82" s="49" t="n">
        <f aca="false">Spec_Rack!F9</f>
        <v>227</v>
      </c>
      <c r="R82" s="184" t="n">
        <f aca="false">SRC_HW_014</f>
        <v>227</v>
      </c>
      <c r="S82" s="44" t="str">
        <f aca="false">IF(ISNUMBER($AF82),INDEX(IDX_SrcStat,$AF82),"—")</f>
        <v>Active</v>
      </c>
      <c r="T82" s="44" t="n">
        <f aca="false">IF(ISNUMBER($AF82),INDEX(IDX_SrcGrade,$AF82),"—")</f>
        <v>1</v>
      </c>
      <c r="U82" s="44" t="s">
        <v>4564</v>
      </c>
      <c r="V82" s="32" t="n">
        <f aca="false">IF(AND($F82="原始數據",$U82&lt;&gt;"連結 SRC"),1,0)</f>
        <v>0</v>
      </c>
      <c r="W82" s="32" t="n">
        <f aca="false">IF(AND($F82="Analogy",OR($H82="—",$H82="")),1,0)</f>
        <v>0</v>
      </c>
      <c r="X82" s="32" t="n">
        <f aca="false">IF(AND(OR($F82="Analogy",$F82="Assumed"),$G82&lt;&gt;"低",$G82&lt;&gt;"高",NOT(ISNUMBER($K82)),NOT(ISNUMBER($L82)),OR($M82="—",$M82="")),1,0)</f>
        <v>0</v>
      </c>
      <c r="Y82" s="32" t="n">
        <f aca="false">IF(AND(OR($F82="Analogy",$F82="Assumed",$F82="Derived（待改公式）",$F82="Derived（公式）"),OR($N82="—",$N82="",$N82=0)),1,0)</f>
        <v>0</v>
      </c>
      <c r="Z82" s="32" t="n">
        <f aca="false">IF(AND($F82="Decision",OR($J82="—",$J82="")),1,0)</f>
        <v>0</v>
      </c>
      <c r="AA82" s="33" t="n">
        <f aca="false">IF(OR($J82="—",$J82=""),0,IF(COUNTIF(Decisions!$A$5:$A$300,$J82)=0,1,0))</f>
        <v>0</v>
      </c>
      <c r="AB82" s="32" t="n">
        <f aca="false">IF(AND($F82="原始數據",$S82&lt;&gt;"Active"),1,0)</f>
        <v>0</v>
      </c>
      <c r="AC82" s="32" t="n">
        <f aca="false">IF(AND(ISNUMBER($K82),ISNUMBER($L82),ISNUMBER($Q82)),IF(OR($Q82&lt;MIN($K82,$L82),$Q82&gt;MAX($K82,$L82)),1,0),0)</f>
        <v>0</v>
      </c>
      <c r="AD82" s="32" t="n">
        <f aca="false">IF(AND(ISNUMBER($T82),$P82="高"),IF($T82=3,1,0),0)</f>
        <v>0</v>
      </c>
      <c r="AE82" s="32" t="n">
        <f aca="false">IF($S82="不存在",1,0)</f>
        <v>0</v>
      </c>
      <c r="AF82" s="44" t="n">
        <f aca="false">IF(OR($H82="—",$H82=""),"—",MATCH($H82,IDX_SrcID,0))</f>
        <v>14</v>
      </c>
      <c r="AG82" s="32" t="n">
        <f aca="false">IF(AND($P82="高",OR($AD82=1,$X82=1)),1,0)</f>
        <v>0</v>
      </c>
      <c r="AH82" s="32" t="n">
        <f aca="false">IF(AND($P82="高",$AG82=0,OR($F82&lt;&gt;"原始數據",$T82&lt;&gt;1)),1,0)</f>
        <v>0</v>
      </c>
      <c r="AI82" s="44" t="str">
        <f aca="false">IF(AND($P82="高",ISNUMBER($AF82)),INDEX(IDX_SrcDate,$AF82),"—")</f>
        <v>2026-10-05</v>
      </c>
      <c r="AJ82" s="32" t="n">
        <f aca="false">IF(AND(ISTEXT($AI82),LEN($AI82)=10),IF(ISNUMBER(VALUE(SUBSTITUTE($AI82,"-",""))),VALUE(SUBSTITUTE($AI82,"-","")),0),0)</f>
        <v>20261005</v>
      </c>
    </row>
    <row r="83" customFormat="false" ht="15" hidden="false" customHeight="true" outlineLevel="0" collapsed="false">
      <c r="A83" s="30" t="s">
        <v>4731</v>
      </c>
      <c r="B83" s="239" t="s">
        <v>4525</v>
      </c>
      <c r="C83" s="30" t="s">
        <v>4689</v>
      </c>
      <c r="D83" s="30" t="s">
        <v>4732</v>
      </c>
      <c r="E83" s="20" t="s">
        <v>205</v>
      </c>
      <c r="F83" s="239" t="s">
        <v>162</v>
      </c>
      <c r="G83" s="239" t="s">
        <v>97</v>
      </c>
      <c r="H83" s="30" t="s">
        <v>751</v>
      </c>
      <c r="I83" s="20" t="s">
        <v>4733</v>
      </c>
      <c r="J83" s="30" t="s">
        <v>751</v>
      </c>
      <c r="K83" s="242" t="n">
        <f aca="false">Spec_Rack!G8</f>
        <v>300</v>
      </c>
      <c r="L83" s="242" t="n">
        <f aca="false">Spec_Rack!G10</f>
        <v>454</v>
      </c>
      <c r="M83" s="30" t="s">
        <v>751</v>
      </c>
      <c r="N83" s="20" t="s">
        <v>4734</v>
      </c>
      <c r="O83" s="20" t="s">
        <v>4735</v>
      </c>
      <c r="P83" s="239" t="s">
        <v>1309</v>
      </c>
      <c r="Q83" s="49" t="n">
        <f aca="false">Spec_Rack!G9</f>
        <v>340</v>
      </c>
      <c r="R83" s="30" t="s">
        <v>751</v>
      </c>
      <c r="S83" s="44" t="str">
        <f aca="false">IF(ISNUMBER($AF83),INDEX(IDX_SrcStat,$AF83),"—")</f>
        <v>—</v>
      </c>
      <c r="T83" s="44" t="str">
        <f aca="false">IF(ISNUMBER($AF83),INDEX(IDX_SrcGrade,$AF83),"—")</f>
        <v>—</v>
      </c>
      <c r="U83" s="44" t="s">
        <v>4531</v>
      </c>
      <c r="V83" s="32" t="n">
        <f aca="false">IF(AND($F83="原始數據",$U83&lt;&gt;"連結 SRC"),1,0)</f>
        <v>0</v>
      </c>
      <c r="W83" s="32" t="n">
        <f aca="false">IF(AND($F83="Analogy",OR($H83="—",$H83="")),1,0)</f>
        <v>0</v>
      </c>
      <c r="X83" s="32" t="n">
        <f aca="false">IF(AND(OR($F83="Analogy",$F83="Assumed"),$G83&lt;&gt;"低",$G83&lt;&gt;"高",NOT(ISNUMBER($K83)),NOT(ISNUMBER($L83)),OR($M83="—",$M83="")),1,0)</f>
        <v>0</v>
      </c>
      <c r="Y83" s="32" t="n">
        <f aca="false">IF(AND(OR($F83="Analogy",$F83="Assumed",$F83="Derived（待改公式）",$F83="Derived（公式）"),OR($N83="—",$N83="",$N83=0)),1,0)</f>
        <v>0</v>
      </c>
      <c r="Z83" s="32" t="n">
        <f aca="false">IF(AND($F83="Decision",OR($J83="—",$J83="")),1,0)</f>
        <v>0</v>
      </c>
      <c r="AA83" s="33" t="n">
        <f aca="false">IF(OR($J83="—",$J83=""),0,IF(COUNTIF(Decisions!$A$5:$A$300,$J83)=0,1,0))</f>
        <v>0</v>
      </c>
      <c r="AB83" s="32" t="n">
        <f aca="false">IF(AND($F83="原始數據",$S83&lt;&gt;"Active"),1,0)</f>
        <v>0</v>
      </c>
      <c r="AC83" s="32" t="n">
        <f aca="false">IF(AND(ISNUMBER($K83),ISNUMBER($L83),ISNUMBER($Q83)),IF(OR($Q83&lt;MIN($K83,$L83),$Q83&gt;MAX($K83,$L83)),1,0),0)</f>
        <v>0</v>
      </c>
      <c r="AD83" s="32" t="n">
        <f aca="false">IF(AND(ISNUMBER($T83),$P83="高"),IF($T83=3,1,0),0)</f>
        <v>0</v>
      </c>
      <c r="AE83" s="32" t="n">
        <f aca="false">IF($S83="不存在",1,0)</f>
        <v>0</v>
      </c>
      <c r="AF83" s="44" t="str">
        <f aca="false">IF(OR($H83="—",$H83=""),"—",MATCH($H83,IDX_SrcID,0))</f>
        <v>—</v>
      </c>
      <c r="AG83" s="32" t="n">
        <f aca="false">IF(AND($P83="高",OR($AD83=1,$X83=1)),1,0)</f>
        <v>0</v>
      </c>
      <c r="AH83" s="32" t="n">
        <f aca="false">IF(AND($P83="高",$AG83=0,OR($F83&lt;&gt;"原始數據",$T83&lt;&gt;1)),1,0)</f>
        <v>1</v>
      </c>
      <c r="AI83" s="44" t="str">
        <f aca="false">IF(AND($P83="高",ISNUMBER($AF83)),INDEX(IDX_SrcDate,$AF83),"—")</f>
        <v>—</v>
      </c>
      <c r="AJ83" s="32" t="n">
        <f aca="false">IF(AND(ISTEXT($AI83),LEN($AI83)=10),IF(ISNUMBER(VALUE(SUBSTITUTE($AI83,"-",""))),VALUE(SUBSTITUTE($AI83,"-","")),0),0)</f>
        <v>0</v>
      </c>
    </row>
    <row r="84" customFormat="false" ht="29.25" hidden="false" customHeight="true" outlineLevel="0" collapsed="false">
      <c r="A84" s="30" t="s">
        <v>4736</v>
      </c>
      <c r="B84" s="239" t="s">
        <v>4525</v>
      </c>
      <c r="C84" s="30" t="s">
        <v>4689</v>
      </c>
      <c r="D84" s="30" t="s">
        <v>4737</v>
      </c>
      <c r="E84" s="20" t="s">
        <v>206</v>
      </c>
      <c r="F84" s="30" t="s">
        <v>114</v>
      </c>
      <c r="G84" s="239" t="s">
        <v>1309</v>
      </c>
      <c r="H84" s="30" t="s">
        <v>751</v>
      </c>
      <c r="I84" s="6" t="s">
        <v>751</v>
      </c>
      <c r="J84" s="30" t="s">
        <v>751</v>
      </c>
      <c r="K84" s="239"/>
      <c r="L84" s="239"/>
      <c r="M84" s="30" t="s">
        <v>751</v>
      </c>
      <c r="N84" s="6" t="s">
        <v>4738</v>
      </c>
      <c r="O84" s="6" t="s">
        <v>751</v>
      </c>
      <c r="P84" s="239" t="s">
        <v>4530</v>
      </c>
      <c r="Q84" s="49" t="n">
        <f aca="false">Spec_Rack!C10</f>
        <v>44</v>
      </c>
      <c r="R84" s="30" t="s">
        <v>751</v>
      </c>
      <c r="S84" s="44" t="str">
        <f aca="false">IF(ISNUMBER($AF84),INDEX(IDX_SrcStat,$AF84),"—")</f>
        <v>—</v>
      </c>
      <c r="T84" s="44" t="str">
        <f aca="false">IF(ISNUMBER($AF84),INDEX(IDX_SrcGrade,$AF84),"—")</f>
        <v>—</v>
      </c>
      <c r="U84" s="44" t="s">
        <v>4531</v>
      </c>
      <c r="V84" s="32" t="n">
        <f aca="false">IF(AND($F84="原始數據",$U84&lt;&gt;"連結 SRC"),1,0)</f>
        <v>0</v>
      </c>
      <c r="W84" s="32" t="n">
        <f aca="false">IF(AND($F84="Analogy",OR($H84="—",$H84="")),1,0)</f>
        <v>0</v>
      </c>
      <c r="X84" s="32" t="n">
        <f aca="false">IF(AND(OR($F84="Analogy",$F84="Assumed"),$G84&lt;&gt;"低",$G84&lt;&gt;"高",NOT(ISNUMBER($K84)),NOT(ISNUMBER($L84)),OR($M84="—",$M84="")),1,0)</f>
        <v>0</v>
      </c>
      <c r="Y84" s="32" t="n">
        <f aca="false">IF(AND(OR($F84="Analogy",$F84="Assumed",$F84="Derived（待改公式）",$F84="Derived（公式）"),OR($N84="—",$N84="",$N84=0)),1,0)</f>
        <v>0</v>
      </c>
      <c r="Z84" s="32" t="n">
        <f aca="false">IF(AND($F84="Decision",OR($J84="—",$J84="")),1,0)</f>
        <v>0</v>
      </c>
      <c r="AA84" s="33" t="n">
        <f aca="false">IF(OR($J84="—",$J84=""),0,IF(COUNTIF(Decisions!$A$5:$A$300,$J84)=0,1,0))</f>
        <v>0</v>
      </c>
      <c r="AB84" s="32" t="n">
        <f aca="false">IF(AND($F84="原始數據",$S84&lt;&gt;"Active"),1,0)</f>
        <v>0</v>
      </c>
      <c r="AC84" s="32" t="n">
        <f aca="false">IF(AND(ISNUMBER($K84),ISNUMBER($L84),ISNUMBER($Q84)),IF(OR($Q84&lt;MIN($K84,$L84),$Q84&gt;MAX($K84,$L84)),1,0),0)</f>
        <v>0</v>
      </c>
      <c r="AD84" s="32" t="n">
        <f aca="false">IF(AND(ISNUMBER($T84),$P84="高"),IF($T84=3,1,0),0)</f>
        <v>0</v>
      </c>
      <c r="AE84" s="32" t="n">
        <f aca="false">IF($S84="不存在",1,0)</f>
        <v>0</v>
      </c>
      <c r="AF84" s="44" t="str">
        <f aca="false">IF(OR($H84="—",$H84=""),"—",MATCH($H84,IDX_SrcID,0))</f>
        <v>—</v>
      </c>
      <c r="AG84" s="32" t="n">
        <f aca="false">IF(AND($P84="高",OR($AD84=1,$X84=1)),1,0)</f>
        <v>0</v>
      </c>
      <c r="AH84" s="32" t="n">
        <f aca="false">IF(AND($P84="高",$AG84=0,OR($F84&lt;&gt;"原始數據",$T84&lt;&gt;1)),1,0)</f>
        <v>0</v>
      </c>
      <c r="AI84" s="44" t="str">
        <f aca="false">IF(AND($P84="高",ISNUMBER($AF84)),INDEX(IDX_SrcDate,$AF84),"—")</f>
        <v>—</v>
      </c>
      <c r="AJ84" s="32" t="n">
        <f aca="false">IF(AND(ISTEXT($AI84),LEN($AI84)=10),IF(ISNUMBER(VALUE(SUBSTITUTE($AI84,"-",""))),VALUE(SUBSTITUTE($AI84,"-","")),0),0)</f>
        <v>0</v>
      </c>
    </row>
    <row r="85" customFormat="false" ht="15" hidden="false" customHeight="true" outlineLevel="0" collapsed="false">
      <c r="A85" s="30" t="s">
        <v>4739</v>
      </c>
      <c r="B85" s="239" t="s">
        <v>4525</v>
      </c>
      <c r="C85" s="30" t="s">
        <v>4689</v>
      </c>
      <c r="D85" s="30" t="s">
        <v>4545</v>
      </c>
      <c r="E85" s="20" t="s">
        <v>206</v>
      </c>
      <c r="F85" s="30" t="s">
        <v>114</v>
      </c>
      <c r="G85" s="239" t="s">
        <v>1309</v>
      </c>
      <c r="H85" s="30" t="s">
        <v>751</v>
      </c>
      <c r="I85" s="6" t="s">
        <v>751</v>
      </c>
      <c r="J85" s="30" t="s">
        <v>751</v>
      </c>
      <c r="K85" s="239"/>
      <c r="L85" s="239"/>
      <c r="M85" s="30" t="s">
        <v>751</v>
      </c>
      <c r="N85" s="6" t="s">
        <v>4740</v>
      </c>
      <c r="O85" s="6" t="s">
        <v>751</v>
      </c>
      <c r="P85" s="239" t="s">
        <v>4530</v>
      </c>
      <c r="Q85" s="49" t="n">
        <f aca="false">Spec_Rack!D10</f>
        <v>140</v>
      </c>
      <c r="R85" s="30" t="s">
        <v>751</v>
      </c>
      <c r="S85" s="44" t="str">
        <f aca="false">IF(ISNUMBER($AF85),INDEX(IDX_SrcStat,$AF85),"—")</f>
        <v>—</v>
      </c>
      <c r="T85" s="44" t="str">
        <f aca="false">IF(ISNUMBER($AF85),INDEX(IDX_SrcGrade,$AF85),"—")</f>
        <v>—</v>
      </c>
      <c r="U85" s="44" t="s">
        <v>4531</v>
      </c>
      <c r="V85" s="32" t="n">
        <f aca="false">IF(AND($F85="原始數據",$U85&lt;&gt;"連結 SRC"),1,0)</f>
        <v>0</v>
      </c>
      <c r="W85" s="32" t="n">
        <f aca="false">IF(AND($F85="Analogy",OR($H85="—",$H85="")),1,0)</f>
        <v>0</v>
      </c>
      <c r="X85" s="32" t="n">
        <f aca="false">IF(AND(OR($F85="Analogy",$F85="Assumed"),$G85&lt;&gt;"低",$G85&lt;&gt;"高",NOT(ISNUMBER($K85)),NOT(ISNUMBER($L85)),OR($M85="—",$M85="")),1,0)</f>
        <v>0</v>
      </c>
      <c r="Y85" s="32" t="n">
        <f aca="false">IF(AND(OR($F85="Analogy",$F85="Assumed",$F85="Derived（待改公式）",$F85="Derived（公式）"),OR($N85="—",$N85="",$N85=0)),1,0)</f>
        <v>0</v>
      </c>
      <c r="Z85" s="32" t="n">
        <f aca="false">IF(AND($F85="Decision",OR($J85="—",$J85="")),1,0)</f>
        <v>0</v>
      </c>
      <c r="AA85" s="33" t="n">
        <f aca="false">IF(OR($J85="—",$J85=""),0,IF(COUNTIF(Decisions!$A$5:$A$300,$J85)=0,1,0))</f>
        <v>0</v>
      </c>
      <c r="AB85" s="32" t="n">
        <f aca="false">IF(AND($F85="原始數據",$S85&lt;&gt;"Active"),1,0)</f>
        <v>0</v>
      </c>
      <c r="AC85" s="32" t="n">
        <f aca="false">IF(AND(ISNUMBER($K85),ISNUMBER($L85),ISNUMBER($Q85)),IF(OR($Q85&lt;MIN($K85,$L85),$Q85&gt;MAX($K85,$L85)),1,0),0)</f>
        <v>0</v>
      </c>
      <c r="AD85" s="32" t="n">
        <f aca="false">IF(AND(ISNUMBER($T85),$P85="高"),IF($T85=3,1,0),0)</f>
        <v>0</v>
      </c>
      <c r="AE85" s="32" t="n">
        <f aca="false">IF($S85="不存在",1,0)</f>
        <v>0</v>
      </c>
      <c r="AF85" s="44" t="str">
        <f aca="false">IF(OR($H85="—",$H85=""),"—",MATCH($H85,IDX_SrcID,0))</f>
        <v>—</v>
      </c>
      <c r="AG85" s="32" t="n">
        <f aca="false">IF(AND($P85="高",OR($AD85=1,$X85=1)),1,0)</f>
        <v>0</v>
      </c>
      <c r="AH85" s="32" t="n">
        <f aca="false">IF(AND($P85="高",$AG85=0,OR($F85&lt;&gt;"原始數據",$T85&lt;&gt;1)),1,0)</f>
        <v>0</v>
      </c>
      <c r="AI85" s="44" t="str">
        <f aca="false">IF(AND($P85="高",ISNUMBER($AF85)),INDEX(IDX_SrcDate,$AF85),"—")</f>
        <v>—</v>
      </c>
      <c r="AJ85" s="32" t="n">
        <f aca="false">IF(AND(ISTEXT($AI85),LEN($AI85)=10),IF(ISNUMBER(VALUE(SUBSTITUTE($AI85,"-",""))),VALUE(SUBSTITUTE($AI85,"-","")),0),0)</f>
        <v>0</v>
      </c>
    </row>
    <row r="86" customFormat="false" ht="15" hidden="false" customHeight="true" outlineLevel="0" collapsed="false">
      <c r="A86" s="30" t="s">
        <v>4741</v>
      </c>
      <c r="B86" s="239" t="s">
        <v>4525</v>
      </c>
      <c r="C86" s="30" t="s">
        <v>4689</v>
      </c>
      <c r="D86" s="30" t="s">
        <v>4319</v>
      </c>
      <c r="E86" s="20" t="s">
        <v>206</v>
      </c>
      <c r="F86" s="239" t="s">
        <v>348</v>
      </c>
      <c r="G86" s="239" t="s">
        <v>4527</v>
      </c>
      <c r="H86" s="30" t="s">
        <v>4709</v>
      </c>
      <c r="I86" s="20" t="s">
        <v>4562</v>
      </c>
      <c r="J86" s="30" t="s">
        <v>751</v>
      </c>
      <c r="K86" s="239"/>
      <c r="L86" s="239"/>
      <c r="M86" s="30" t="s">
        <v>751</v>
      </c>
      <c r="N86" s="20" t="s">
        <v>4665</v>
      </c>
      <c r="O86" s="6" t="s">
        <v>751</v>
      </c>
      <c r="P86" s="239" t="s">
        <v>4530</v>
      </c>
      <c r="Q86" s="49" t="n">
        <f aca="false">Spec_Rack!E10</f>
        <v>140</v>
      </c>
      <c r="R86" s="184" t="n">
        <f aca="false">SRC_HW_005_Hi</f>
        <v>140</v>
      </c>
      <c r="S86" s="44" t="str">
        <f aca="false">IF(ISNUMBER($AF86),INDEX(IDX_SrcStat,$AF86),"—")</f>
        <v>Active</v>
      </c>
      <c r="T86" s="44" t="n">
        <f aca="false">IF(ISNUMBER($AF86),INDEX(IDX_SrcGrade,$AF86),"—")</f>
        <v>2</v>
      </c>
      <c r="U86" s="44" t="s">
        <v>4564</v>
      </c>
      <c r="V86" s="32" t="n">
        <f aca="false">IF(AND($F86="原始數據",$U86&lt;&gt;"連結 SRC"),1,0)</f>
        <v>0</v>
      </c>
      <c r="W86" s="32" t="n">
        <f aca="false">IF(AND($F86="Analogy",OR($H86="—",$H86="")),1,0)</f>
        <v>0</v>
      </c>
      <c r="X86" s="32" t="n">
        <f aca="false">IF(AND(OR($F86="Analogy",$F86="Assumed"),$G86&lt;&gt;"低",$G86&lt;&gt;"高",NOT(ISNUMBER($K86)),NOT(ISNUMBER($L86)),OR($M86="—",$M86="")),1,0)</f>
        <v>0</v>
      </c>
      <c r="Y86" s="32" t="n">
        <f aca="false">IF(AND(OR($F86="Analogy",$F86="Assumed",$F86="Derived（待改公式）",$F86="Derived（公式）"),OR($N86="—",$N86="",$N86=0)),1,0)</f>
        <v>0</v>
      </c>
      <c r="Z86" s="32" t="n">
        <f aca="false">IF(AND($F86="Decision",OR($J86="—",$J86="")),1,0)</f>
        <v>0</v>
      </c>
      <c r="AA86" s="33" t="n">
        <f aca="false">IF(OR($J86="—",$J86=""),0,IF(COUNTIF(Decisions!$A$5:$A$300,$J86)=0,1,0))</f>
        <v>0</v>
      </c>
      <c r="AB86" s="32" t="n">
        <f aca="false">IF(AND($F86="原始數據",$S86&lt;&gt;"Active"),1,0)</f>
        <v>0</v>
      </c>
      <c r="AC86" s="32" t="n">
        <f aca="false">IF(AND(ISNUMBER($K86),ISNUMBER($L86),ISNUMBER($Q86)),IF(OR($Q86&lt;MIN($K86,$L86),$Q86&gt;MAX($K86,$L86)),1,0),0)</f>
        <v>0</v>
      </c>
      <c r="AD86" s="32" t="n">
        <f aca="false">IF(AND(ISNUMBER($T86),$P86="高"),IF($T86=3,1,0),0)</f>
        <v>0</v>
      </c>
      <c r="AE86" s="32" t="n">
        <f aca="false">IF($S86="不存在",1,0)</f>
        <v>0</v>
      </c>
      <c r="AF86" s="44" t="n">
        <f aca="false">IF(OR($H86="—",$H86=""),"—",MATCH($H86,IDX_SrcID,0))</f>
        <v>5</v>
      </c>
      <c r="AG86" s="32" t="n">
        <f aca="false">IF(AND($P86="高",OR($AD86=1,$X86=1)),1,0)</f>
        <v>0</v>
      </c>
      <c r="AH86" s="32" t="n">
        <f aca="false">IF(AND($P86="高",$AG86=0,OR($F86&lt;&gt;"原始數據",$T86&lt;&gt;1)),1,0)</f>
        <v>0</v>
      </c>
      <c r="AI86" s="44" t="str">
        <f aca="false">IF(AND($P86="高",ISNUMBER($AF86)),INDEX(IDX_SrcDate,$AF86),"—")</f>
        <v>—</v>
      </c>
      <c r="AJ86" s="32" t="n">
        <f aca="false">IF(AND(ISTEXT($AI86),LEN($AI86)=10),IF(ISNUMBER(VALUE(SUBSTITUTE($AI86,"-",""))),VALUE(SUBSTITUTE($AI86,"-","")),0),0)</f>
        <v>0</v>
      </c>
    </row>
    <row r="87" customFormat="false" ht="15" hidden="false" customHeight="true" outlineLevel="0" collapsed="false">
      <c r="A87" s="30" t="s">
        <v>4742</v>
      </c>
      <c r="B87" s="239" t="s">
        <v>4525</v>
      </c>
      <c r="C87" s="30" t="s">
        <v>4689</v>
      </c>
      <c r="D87" s="30" t="s">
        <v>4547</v>
      </c>
      <c r="E87" s="20" t="s">
        <v>206</v>
      </c>
      <c r="F87" s="239" t="s">
        <v>348</v>
      </c>
      <c r="G87" s="239" t="s">
        <v>4527</v>
      </c>
      <c r="H87" s="30" t="s">
        <v>4743</v>
      </c>
      <c r="I87" s="20" t="s">
        <v>4562</v>
      </c>
      <c r="J87" s="30" t="s">
        <v>751</v>
      </c>
      <c r="K87" s="239"/>
      <c r="L87" s="239"/>
      <c r="M87" s="30" t="s">
        <v>751</v>
      </c>
      <c r="N87" s="20" t="s">
        <v>4665</v>
      </c>
      <c r="O87" s="6" t="s">
        <v>751</v>
      </c>
      <c r="P87" s="239" t="s">
        <v>4530</v>
      </c>
      <c r="Q87" s="49" t="n">
        <f aca="false">Spec_Rack!F10</f>
        <v>230</v>
      </c>
      <c r="R87" s="184" t="n">
        <f aca="false">SRC_HW_012</f>
        <v>230</v>
      </c>
      <c r="S87" s="44" t="str">
        <f aca="false">IF(ISNUMBER($AF87),INDEX(IDX_SrcStat,$AF87),"—")</f>
        <v>Active</v>
      </c>
      <c r="T87" s="44" t="n">
        <f aca="false">IF(ISNUMBER($AF87),INDEX(IDX_SrcGrade,$AF87),"—")</f>
        <v>3</v>
      </c>
      <c r="U87" s="44" t="s">
        <v>4564</v>
      </c>
      <c r="V87" s="32" t="n">
        <f aca="false">IF(AND($F87="原始數據",$U87&lt;&gt;"連結 SRC"),1,0)</f>
        <v>0</v>
      </c>
      <c r="W87" s="32" t="n">
        <f aca="false">IF(AND($F87="Analogy",OR($H87="—",$H87="")),1,0)</f>
        <v>0</v>
      </c>
      <c r="X87" s="32" t="n">
        <f aca="false">IF(AND(OR($F87="Analogy",$F87="Assumed"),$G87&lt;&gt;"低",$G87&lt;&gt;"高",NOT(ISNUMBER($K87)),NOT(ISNUMBER($L87)),OR($M87="—",$M87="")),1,0)</f>
        <v>0</v>
      </c>
      <c r="Y87" s="32" t="n">
        <f aca="false">IF(AND(OR($F87="Analogy",$F87="Assumed",$F87="Derived（待改公式）",$F87="Derived（公式）"),OR($N87="—",$N87="",$N87=0)),1,0)</f>
        <v>0</v>
      </c>
      <c r="Z87" s="32" t="n">
        <f aca="false">IF(AND($F87="Decision",OR($J87="—",$J87="")),1,0)</f>
        <v>0</v>
      </c>
      <c r="AA87" s="33" t="n">
        <f aca="false">IF(OR($J87="—",$J87=""),0,IF(COUNTIF(Decisions!$A$5:$A$300,$J87)=0,1,0))</f>
        <v>0</v>
      </c>
      <c r="AB87" s="32" t="n">
        <f aca="false">IF(AND($F87="原始數據",$S87&lt;&gt;"Active"),1,0)</f>
        <v>0</v>
      </c>
      <c r="AC87" s="32" t="n">
        <f aca="false">IF(AND(ISNUMBER($K87),ISNUMBER($L87),ISNUMBER($Q87)),IF(OR($Q87&lt;MIN($K87,$L87),$Q87&gt;MAX($K87,$L87)),1,0),0)</f>
        <v>0</v>
      </c>
      <c r="AD87" s="32" t="n">
        <f aca="false">IF(AND(ISNUMBER($T87),$P87="高"),IF($T87=3,1,0),0)</f>
        <v>0</v>
      </c>
      <c r="AE87" s="32" t="n">
        <f aca="false">IF($S87="不存在",1,0)</f>
        <v>0</v>
      </c>
      <c r="AF87" s="44" t="n">
        <f aca="false">IF(OR($H87="—",$H87=""),"—",MATCH($H87,IDX_SrcID,0))</f>
        <v>12</v>
      </c>
      <c r="AG87" s="32" t="n">
        <f aca="false">IF(AND($P87="高",OR($AD87=1,$X87=1)),1,0)</f>
        <v>0</v>
      </c>
      <c r="AH87" s="32" t="n">
        <f aca="false">IF(AND($P87="高",$AG87=0,OR($F87&lt;&gt;"原始數據",$T87&lt;&gt;1)),1,0)</f>
        <v>0</v>
      </c>
      <c r="AI87" s="44" t="str">
        <f aca="false">IF(AND($P87="高",ISNUMBER($AF87)),INDEX(IDX_SrcDate,$AF87),"—")</f>
        <v>—</v>
      </c>
      <c r="AJ87" s="32" t="n">
        <f aca="false">IF(AND(ISTEXT($AI87),LEN($AI87)=10),IF(ISNUMBER(VALUE(SUBSTITUTE($AI87,"-",""))),VALUE(SUBSTITUTE($AI87,"-","")),0),0)</f>
        <v>0</v>
      </c>
    </row>
    <row r="88" customFormat="false" ht="29.25" hidden="false" customHeight="true" outlineLevel="0" collapsed="false">
      <c r="A88" s="30" t="s">
        <v>4744</v>
      </c>
      <c r="B88" s="239" t="s">
        <v>4525</v>
      </c>
      <c r="C88" s="30" t="s">
        <v>4689</v>
      </c>
      <c r="D88" s="30" t="s">
        <v>4745</v>
      </c>
      <c r="E88" s="20" t="s">
        <v>206</v>
      </c>
      <c r="F88" s="30" t="s">
        <v>162</v>
      </c>
      <c r="G88" s="239" t="s">
        <v>1309</v>
      </c>
      <c r="H88" s="30" t="s">
        <v>751</v>
      </c>
      <c r="I88" s="6" t="s">
        <v>751</v>
      </c>
      <c r="J88" s="30" t="s">
        <v>751</v>
      </c>
      <c r="K88" s="239"/>
      <c r="L88" s="239"/>
      <c r="M88" s="30" t="s">
        <v>751</v>
      </c>
      <c r="N88" s="6" t="s">
        <v>4746</v>
      </c>
      <c r="O88" s="6" t="s">
        <v>751</v>
      </c>
      <c r="P88" s="239" t="s">
        <v>4530</v>
      </c>
      <c r="Q88" s="49" t="n">
        <f aca="false">Spec_Rack!G10</f>
        <v>454</v>
      </c>
      <c r="R88" s="30" t="s">
        <v>751</v>
      </c>
      <c r="S88" s="44" t="str">
        <f aca="false">IF(ISNUMBER($AF88),INDEX(IDX_SrcStat,$AF88),"—")</f>
        <v>—</v>
      </c>
      <c r="T88" s="44" t="str">
        <f aca="false">IF(ISNUMBER($AF88),INDEX(IDX_SrcGrade,$AF88),"—")</f>
        <v>—</v>
      </c>
      <c r="U88" s="44" t="s">
        <v>4531</v>
      </c>
      <c r="V88" s="32" t="n">
        <f aca="false">IF(AND($F88="原始數據",$U88&lt;&gt;"連結 SRC"),1,0)</f>
        <v>0</v>
      </c>
      <c r="W88" s="32" t="n">
        <f aca="false">IF(AND($F88="Analogy",OR($H88="—",$H88="")),1,0)</f>
        <v>0</v>
      </c>
      <c r="X88" s="32" t="n">
        <f aca="false">IF(AND(OR($F88="Analogy",$F88="Assumed"),$G88&lt;&gt;"低",$G88&lt;&gt;"高",NOT(ISNUMBER($K88)),NOT(ISNUMBER($L88)),OR($M88="—",$M88="")),1,0)</f>
        <v>0</v>
      </c>
      <c r="Y88" s="32" t="n">
        <f aca="false">IF(AND(OR($F88="Analogy",$F88="Assumed",$F88="Derived（待改公式）",$F88="Derived（公式）"),OR($N88="—",$N88="",$N88=0)),1,0)</f>
        <v>0</v>
      </c>
      <c r="Z88" s="32" t="n">
        <f aca="false">IF(AND($F88="Decision",OR($J88="—",$J88="")),1,0)</f>
        <v>0</v>
      </c>
      <c r="AA88" s="33" t="n">
        <f aca="false">IF(OR($J88="—",$J88=""),0,IF(COUNTIF(Decisions!$A$5:$A$300,$J88)=0,1,0))</f>
        <v>0</v>
      </c>
      <c r="AB88" s="32" t="n">
        <f aca="false">IF(AND($F88="原始數據",$S88&lt;&gt;"Active"),1,0)</f>
        <v>0</v>
      </c>
      <c r="AC88" s="32" t="n">
        <f aca="false">IF(AND(ISNUMBER($K88),ISNUMBER($L88),ISNUMBER($Q88)),IF(OR($Q88&lt;MIN($K88,$L88),$Q88&gt;MAX($K88,$L88)),1,0),0)</f>
        <v>0</v>
      </c>
      <c r="AD88" s="32" t="n">
        <f aca="false">IF(AND(ISNUMBER($T88),$P88="高"),IF($T88=3,1,0),0)</f>
        <v>0</v>
      </c>
      <c r="AE88" s="32" t="n">
        <f aca="false">IF($S88="不存在",1,0)</f>
        <v>0</v>
      </c>
      <c r="AF88" s="44" t="str">
        <f aca="false">IF(OR($H88="—",$H88=""),"—",MATCH($H88,IDX_SrcID,0))</f>
        <v>—</v>
      </c>
      <c r="AG88" s="32" t="n">
        <f aca="false">IF(AND($P88="高",OR($AD88=1,$X88=1)),1,0)</f>
        <v>0</v>
      </c>
      <c r="AH88" s="32" t="n">
        <f aca="false">IF(AND($P88="高",$AG88=0,OR($F88&lt;&gt;"原始數據",$T88&lt;&gt;1)),1,0)</f>
        <v>0</v>
      </c>
      <c r="AI88" s="44" t="str">
        <f aca="false">IF(AND($P88="高",ISNUMBER($AF88)),INDEX(IDX_SrcDate,$AF88),"—")</f>
        <v>—</v>
      </c>
      <c r="AJ88" s="32" t="n">
        <f aca="false">IF(AND(ISTEXT($AI88),LEN($AI88)=10),IF(ISNUMBER(VALUE(SUBSTITUTE($AI88,"-",""))),VALUE(SUBSTITUTE($AI88,"-","")),0),0)</f>
        <v>0</v>
      </c>
    </row>
    <row r="89" customFormat="false" ht="43.5" hidden="false" customHeight="true" outlineLevel="0" collapsed="false">
      <c r="A89" s="30" t="s">
        <v>4747</v>
      </c>
      <c r="B89" s="239" t="s">
        <v>4525</v>
      </c>
      <c r="C89" s="30" t="s">
        <v>4689</v>
      </c>
      <c r="D89" s="30" t="s">
        <v>4748</v>
      </c>
      <c r="E89" s="20" t="s">
        <v>207</v>
      </c>
      <c r="F89" s="239" t="s">
        <v>4718</v>
      </c>
      <c r="G89" s="239" t="s">
        <v>1308</v>
      </c>
      <c r="H89" s="30" t="s">
        <v>4749</v>
      </c>
      <c r="I89" s="20" t="s">
        <v>4750</v>
      </c>
      <c r="J89" s="30" t="s">
        <v>751</v>
      </c>
      <c r="K89" s="239"/>
      <c r="L89" s="239"/>
      <c r="M89" s="30" t="s">
        <v>751</v>
      </c>
      <c r="N89" s="20" t="s">
        <v>4751</v>
      </c>
      <c r="O89" s="6" t="s">
        <v>751</v>
      </c>
      <c r="P89" s="239" t="s">
        <v>4530</v>
      </c>
      <c r="Q89" s="195" t="n">
        <f aca="false">Spec_Rack!C11</f>
        <v>0.9</v>
      </c>
      <c r="R89" s="184" t="n">
        <f aca="false">SRC_HW_003_Lo</f>
        <v>220000</v>
      </c>
      <c r="S89" s="44" t="str">
        <f aca="false">IF(ISNUMBER($AF89),INDEX(IDX_SrcStat,$AF89),"—")</f>
        <v>Active</v>
      </c>
      <c r="T89" s="44" t="n">
        <f aca="false">IF(ISNUMBER($AF89),INDEX(IDX_SrcGrade,$AF89),"—")</f>
        <v>2</v>
      </c>
      <c r="U89" s="44" t="s">
        <v>4531</v>
      </c>
      <c r="V89" s="32" t="n">
        <f aca="false">IF(AND($F89="原始數據",$U89&lt;&gt;"連結 SRC"),1,0)</f>
        <v>0</v>
      </c>
      <c r="W89" s="32" t="n">
        <f aca="false">IF(AND($F89="Analogy",OR($H89="—",$H89="")),1,0)</f>
        <v>0</v>
      </c>
      <c r="X89" s="32" t="n">
        <f aca="false">IF(AND(OR($F89="Analogy",$F89="Assumed"),$G89&lt;&gt;"低",$G89&lt;&gt;"高",NOT(ISNUMBER($K89)),NOT(ISNUMBER($L89)),OR($M89="—",$M89="")),1,0)</f>
        <v>0</v>
      </c>
      <c r="Y89" s="32" t="n">
        <f aca="false">IF(AND(OR($F89="Analogy",$F89="Assumed",$F89="Derived（待改公式）",$F89="Derived（公式）"),OR($N89="—",$N89="",$N89=0)),1,0)</f>
        <v>0</v>
      </c>
      <c r="Z89" s="32" t="n">
        <f aca="false">IF(AND($F89="Decision",OR($J89="—",$J89="")),1,0)</f>
        <v>0</v>
      </c>
      <c r="AA89" s="33" t="n">
        <f aca="false">IF(OR($J89="—",$J89=""),0,IF(COUNTIF(Decisions!$A$5:$A$300,$J89)=0,1,0))</f>
        <v>0</v>
      </c>
      <c r="AB89" s="32" t="n">
        <f aca="false">IF(AND($F89="原始數據",$S89&lt;&gt;"Active"),1,0)</f>
        <v>0</v>
      </c>
      <c r="AC89" s="32" t="n">
        <f aca="false">IF(AND(ISNUMBER($K89),ISNUMBER($L89),ISNUMBER($Q89)),IF(OR($Q89&lt;MIN($K89,$L89),$Q89&gt;MAX($K89,$L89)),1,0),0)</f>
        <v>0</v>
      </c>
      <c r="AD89" s="32" t="n">
        <f aca="false">IF(AND(ISNUMBER($T89),$P89="高"),IF($T89=3,1,0),0)</f>
        <v>0</v>
      </c>
      <c r="AE89" s="32" t="n">
        <f aca="false">IF($S89="不存在",1,0)</f>
        <v>0</v>
      </c>
      <c r="AF89" s="44" t="n">
        <f aca="false">IF(OR($H89="—",$H89=""),"—",MATCH($H89,IDX_SrcID,0))</f>
        <v>3</v>
      </c>
      <c r="AG89" s="32" t="n">
        <f aca="false">IF(AND($P89="高",OR($AD89=1,$X89=1)),1,0)</f>
        <v>0</v>
      </c>
      <c r="AH89" s="32" t="n">
        <f aca="false">IF(AND($P89="高",$AG89=0,OR($F89&lt;&gt;"原始數據",$T89&lt;&gt;1)),1,0)</f>
        <v>0</v>
      </c>
      <c r="AI89" s="44" t="str">
        <f aca="false">IF(AND($P89="高",ISNUMBER($AF89)),INDEX(IDX_SrcDate,$AF89),"—")</f>
        <v>—</v>
      </c>
      <c r="AJ89" s="32" t="n">
        <f aca="false">IF(AND(ISTEXT($AI89),LEN($AI89)=10),IF(ISNUMBER(VALUE(SUBSTITUTE($AI89,"-",""))),VALUE(SUBSTITUTE($AI89,"-","")),0),0)</f>
        <v>0</v>
      </c>
    </row>
    <row r="90" customFormat="false" ht="15" hidden="false" customHeight="true" outlineLevel="0" collapsed="false">
      <c r="A90" s="30" t="s">
        <v>4752</v>
      </c>
      <c r="B90" s="239" t="s">
        <v>4525</v>
      </c>
      <c r="C90" s="30" t="s">
        <v>4689</v>
      </c>
      <c r="D90" s="30" t="s">
        <v>4552</v>
      </c>
      <c r="E90" s="20" t="s">
        <v>207</v>
      </c>
      <c r="F90" s="239" t="s">
        <v>348</v>
      </c>
      <c r="G90" s="239" t="s">
        <v>4527</v>
      </c>
      <c r="H90" s="30" t="s">
        <v>4753</v>
      </c>
      <c r="I90" s="20" t="s">
        <v>4562</v>
      </c>
      <c r="J90" s="30" t="s">
        <v>751</v>
      </c>
      <c r="K90" s="239"/>
      <c r="L90" s="239"/>
      <c r="M90" s="30" t="s">
        <v>751</v>
      </c>
      <c r="N90" s="20" t="s">
        <v>4754</v>
      </c>
      <c r="O90" s="6" t="s">
        <v>751</v>
      </c>
      <c r="P90" s="239" t="s">
        <v>4530</v>
      </c>
      <c r="Q90" s="195" t="n">
        <f aca="false">Spec_Rack!D11</f>
        <v>2.8</v>
      </c>
      <c r="R90" s="184" t="n">
        <f aca="false">SRC_HW_006_Lo</f>
        <v>2.8</v>
      </c>
      <c r="S90" s="44" t="str">
        <f aca="false">IF(ISNUMBER($AF90),INDEX(IDX_SrcStat,$AF90),"—")</f>
        <v>Active</v>
      </c>
      <c r="T90" s="44" t="n">
        <f aca="false">IF(ISNUMBER($AF90),INDEX(IDX_SrcGrade,$AF90),"—")</f>
        <v>2</v>
      </c>
      <c r="U90" s="44" t="s">
        <v>4564</v>
      </c>
      <c r="V90" s="32" t="n">
        <f aca="false">IF(AND($F90="原始數據",$U90&lt;&gt;"連結 SRC"),1,0)</f>
        <v>0</v>
      </c>
      <c r="W90" s="32" t="n">
        <f aca="false">IF(AND($F90="Analogy",OR($H90="—",$H90="")),1,0)</f>
        <v>0</v>
      </c>
      <c r="X90" s="32" t="n">
        <f aca="false">IF(AND(OR($F90="Analogy",$F90="Assumed"),$G90&lt;&gt;"低",$G90&lt;&gt;"高",NOT(ISNUMBER($K90)),NOT(ISNUMBER($L90)),OR($M90="—",$M90="")),1,0)</f>
        <v>0</v>
      </c>
      <c r="Y90" s="32" t="n">
        <f aca="false">IF(AND(OR($F90="Analogy",$F90="Assumed",$F90="Derived（待改公式）",$F90="Derived（公式）"),OR($N90="—",$N90="",$N90=0)),1,0)</f>
        <v>0</v>
      </c>
      <c r="Z90" s="32" t="n">
        <f aca="false">IF(AND($F90="Decision",OR($J90="—",$J90="")),1,0)</f>
        <v>0</v>
      </c>
      <c r="AA90" s="33" t="n">
        <f aca="false">IF(OR($J90="—",$J90=""),0,IF(COUNTIF(Decisions!$A$5:$A$300,$J90)=0,1,0))</f>
        <v>0</v>
      </c>
      <c r="AB90" s="32" t="n">
        <f aca="false">IF(AND($F90="原始數據",$S90&lt;&gt;"Active"),1,0)</f>
        <v>0</v>
      </c>
      <c r="AC90" s="32" t="n">
        <f aca="false">IF(AND(ISNUMBER($K90),ISNUMBER($L90),ISNUMBER($Q90)),IF(OR($Q90&lt;MIN($K90,$L90),$Q90&gt;MAX($K90,$L90)),1,0),0)</f>
        <v>0</v>
      </c>
      <c r="AD90" s="32" t="n">
        <f aca="false">IF(AND(ISNUMBER($T90),$P90="高"),IF($T90=3,1,0),0)</f>
        <v>0</v>
      </c>
      <c r="AE90" s="32" t="n">
        <f aca="false">IF($S90="不存在",1,0)</f>
        <v>0</v>
      </c>
      <c r="AF90" s="44" t="n">
        <f aca="false">IF(OR($H90="—",$H90=""),"—",MATCH($H90,IDX_SrcID,0))</f>
        <v>6</v>
      </c>
      <c r="AG90" s="32" t="n">
        <f aca="false">IF(AND($P90="高",OR($AD90=1,$X90=1)),1,0)</f>
        <v>0</v>
      </c>
      <c r="AH90" s="32" t="n">
        <f aca="false">IF(AND($P90="高",$AG90=0,OR($F90&lt;&gt;"原始數據",$T90&lt;&gt;1)),1,0)</f>
        <v>0</v>
      </c>
      <c r="AI90" s="44" t="str">
        <f aca="false">IF(AND($P90="高",ISNUMBER($AF90)),INDEX(IDX_SrcDate,$AF90),"—")</f>
        <v>—</v>
      </c>
      <c r="AJ90" s="32" t="n">
        <f aca="false">IF(AND(ISTEXT($AI90),LEN($AI90)=10),IF(ISNUMBER(VALUE(SUBSTITUTE($AI90,"-",""))),VALUE(SUBSTITUTE($AI90,"-","")),0),0)</f>
        <v>0</v>
      </c>
    </row>
    <row r="91" customFormat="false" ht="15" hidden="false" customHeight="true" outlineLevel="0" collapsed="false">
      <c r="A91" s="30" t="s">
        <v>4755</v>
      </c>
      <c r="B91" s="239" t="s">
        <v>4525</v>
      </c>
      <c r="C91" s="30" t="s">
        <v>4689</v>
      </c>
      <c r="D91" s="30" t="s">
        <v>4322</v>
      </c>
      <c r="E91" s="20" t="s">
        <v>207</v>
      </c>
      <c r="F91" s="239" t="s">
        <v>348</v>
      </c>
      <c r="G91" s="239" t="s">
        <v>4527</v>
      </c>
      <c r="H91" s="30" t="s">
        <v>4756</v>
      </c>
      <c r="I91" s="20" t="s">
        <v>4562</v>
      </c>
      <c r="J91" s="30" t="s">
        <v>4757</v>
      </c>
      <c r="K91" s="239"/>
      <c r="L91" s="239"/>
      <c r="M91" s="30" t="s">
        <v>751</v>
      </c>
      <c r="N91" s="20" t="s">
        <v>4758</v>
      </c>
      <c r="O91" s="6" t="s">
        <v>751</v>
      </c>
      <c r="P91" s="239" t="s">
        <v>4530</v>
      </c>
      <c r="Q91" s="195" t="n">
        <f aca="false">Spec_Rack!E11</f>
        <v>4</v>
      </c>
      <c r="R91" s="184" t="n">
        <f aca="false">SRC_HW_052</f>
        <v>4</v>
      </c>
      <c r="S91" s="44" t="str">
        <f aca="false">IF(ISNUMBER($AF91),INDEX(IDX_SrcStat,$AF91),"—")</f>
        <v>Active</v>
      </c>
      <c r="T91" s="44" t="n">
        <f aca="false">IF(ISNUMBER($AF91),INDEX(IDX_SrcGrade,$AF91),"—")</f>
        <v>2</v>
      </c>
      <c r="U91" s="44" t="s">
        <v>4564</v>
      </c>
      <c r="V91" s="32" t="n">
        <f aca="false">IF(AND($F91="原始數據",$U91&lt;&gt;"連結 SRC"),1,0)</f>
        <v>0</v>
      </c>
      <c r="W91" s="32" t="n">
        <f aca="false">IF(AND($F91="Analogy",OR($H91="—",$H91="")),1,0)</f>
        <v>0</v>
      </c>
      <c r="X91" s="32" t="n">
        <f aca="false">IF(AND(OR($F91="Analogy",$F91="Assumed"),$G91&lt;&gt;"低",$G91&lt;&gt;"高",NOT(ISNUMBER($K91)),NOT(ISNUMBER($L91)),OR($M91="—",$M91="")),1,0)</f>
        <v>0</v>
      </c>
      <c r="Y91" s="32" t="n">
        <f aca="false">IF(AND(OR($F91="Analogy",$F91="Assumed",$F91="Derived（待改公式）",$F91="Derived（公式）"),OR($N91="—",$N91="",$N91=0)),1,0)</f>
        <v>0</v>
      </c>
      <c r="Z91" s="32" t="n">
        <f aca="false">IF(AND($F91="Decision",OR($J91="—",$J91="")),1,0)</f>
        <v>0</v>
      </c>
      <c r="AA91" s="33" t="n">
        <f aca="false">IF(OR($J91="—",$J91=""),0,IF(COUNTIF(Decisions!$A$5:$A$300,$J91)=0,1,0))</f>
        <v>0</v>
      </c>
      <c r="AB91" s="32" t="n">
        <f aca="false">IF(AND($F91="原始數據",$S91&lt;&gt;"Active"),1,0)</f>
        <v>0</v>
      </c>
      <c r="AC91" s="32" t="n">
        <f aca="false">IF(AND(ISNUMBER($K91),ISNUMBER($L91),ISNUMBER($Q91)),IF(OR($Q91&lt;MIN($K91,$L91),$Q91&gt;MAX($K91,$L91)),1,0),0)</f>
        <v>0</v>
      </c>
      <c r="AD91" s="32" t="n">
        <f aca="false">IF(AND(ISNUMBER($T91),$P91="高"),IF($T91=3,1,0),0)</f>
        <v>0</v>
      </c>
      <c r="AE91" s="32" t="n">
        <f aca="false">IF($S91="不存在",1,0)</f>
        <v>0</v>
      </c>
      <c r="AF91" s="44" t="n">
        <f aca="false">IF(OR($H91="—",$H91=""),"—",MATCH($H91,IDX_SrcID,0))</f>
        <v>52</v>
      </c>
      <c r="AG91" s="32" t="n">
        <f aca="false">IF(AND($P91="高",OR($AD91=1,$X91=1)),1,0)</f>
        <v>0</v>
      </c>
      <c r="AH91" s="32" t="n">
        <f aca="false">IF(AND($P91="高",$AG91=0,OR($F91&lt;&gt;"原始數據",$T91&lt;&gt;1)),1,0)</f>
        <v>0</v>
      </c>
      <c r="AI91" s="44" t="str">
        <f aca="false">IF(AND($P91="高",ISNUMBER($AF91)),INDEX(IDX_SrcDate,$AF91),"—")</f>
        <v>—</v>
      </c>
      <c r="AJ91" s="32" t="n">
        <f aca="false">IF(AND(ISTEXT($AI91),LEN($AI91)=10),IF(ISNUMBER(VALUE(SUBSTITUTE($AI91,"-",""))),VALUE(SUBSTITUTE($AI91,"-","")),0),0)</f>
        <v>0</v>
      </c>
    </row>
    <row r="92" customFormat="false" ht="43.5" hidden="false" customHeight="true" outlineLevel="0" collapsed="false">
      <c r="A92" s="30" t="s">
        <v>4759</v>
      </c>
      <c r="B92" s="239" t="s">
        <v>4525</v>
      </c>
      <c r="C92" s="30" t="s">
        <v>4689</v>
      </c>
      <c r="D92" s="30" t="s">
        <v>4554</v>
      </c>
      <c r="E92" s="20" t="s">
        <v>207</v>
      </c>
      <c r="F92" s="239" t="s">
        <v>162</v>
      </c>
      <c r="G92" s="239" t="s">
        <v>1308</v>
      </c>
      <c r="H92" s="30" t="s">
        <v>4760</v>
      </c>
      <c r="I92" s="20" t="s">
        <v>4761</v>
      </c>
      <c r="J92" s="30" t="s">
        <v>751</v>
      </c>
      <c r="K92" s="239"/>
      <c r="L92" s="239"/>
      <c r="M92" s="30" t="s">
        <v>751</v>
      </c>
      <c r="N92" s="20" t="s">
        <v>4762</v>
      </c>
      <c r="O92" s="20" t="s">
        <v>4763</v>
      </c>
      <c r="P92" s="239" t="s">
        <v>4530</v>
      </c>
      <c r="Q92" s="195" t="n">
        <f aca="false">Spec_Rack!F11</f>
        <v>7.8</v>
      </c>
      <c r="R92" s="184" t="n">
        <f aca="false">SRC_HW_015</f>
        <v>7.8</v>
      </c>
      <c r="S92" s="44" t="str">
        <f aca="false">IF(ISNUMBER($AF92),INDEX(IDX_SrcStat,$AF92),"—")</f>
        <v>Active</v>
      </c>
      <c r="T92" s="44" t="n">
        <f aca="false">IF(ISNUMBER($AF92),INDEX(IDX_SrcGrade,$AF92),"—")</f>
        <v>2</v>
      </c>
      <c r="U92" s="44" t="s">
        <v>4531</v>
      </c>
      <c r="V92" s="32" t="n">
        <f aca="false">IF(AND($F92="原始數據",$U92&lt;&gt;"連結 SRC"),1,0)</f>
        <v>0</v>
      </c>
      <c r="W92" s="32" t="n">
        <f aca="false">IF(AND($F92="Analogy",OR($H92="—",$H92="")),1,0)</f>
        <v>0</v>
      </c>
      <c r="X92" s="32" t="n">
        <f aca="false">IF(AND(OR($F92="Analogy",$F92="Assumed"),$G92&lt;&gt;"低",$G92&lt;&gt;"高",NOT(ISNUMBER($K92)),NOT(ISNUMBER($L92)),OR($M92="—",$M92="")),1,0)</f>
        <v>0</v>
      </c>
      <c r="Y92" s="32" t="n">
        <f aca="false">IF(AND(OR($F92="Analogy",$F92="Assumed",$F92="Derived（待改公式）",$F92="Derived（公式）"),OR($N92="—",$N92="",$N92=0)),1,0)</f>
        <v>0</v>
      </c>
      <c r="Z92" s="32" t="n">
        <f aca="false">IF(AND($F92="Decision",OR($J92="—",$J92="")),1,0)</f>
        <v>0</v>
      </c>
      <c r="AA92" s="33" t="n">
        <f aca="false">IF(OR($J92="—",$J92=""),0,IF(COUNTIF(Decisions!$A$5:$A$300,$J92)=0,1,0))</f>
        <v>0</v>
      </c>
      <c r="AB92" s="32" t="n">
        <f aca="false">IF(AND($F92="原始數據",$S92&lt;&gt;"Active"),1,0)</f>
        <v>0</v>
      </c>
      <c r="AC92" s="32" t="n">
        <f aca="false">IF(AND(ISNUMBER($K92),ISNUMBER($L92),ISNUMBER($Q92)),IF(OR($Q92&lt;MIN($K92,$L92),$Q92&gt;MAX($K92,$L92)),1,0),0)</f>
        <v>0</v>
      </c>
      <c r="AD92" s="32" t="n">
        <f aca="false">IF(AND(ISNUMBER($T92),$P92="高"),IF($T92=3,1,0),0)</f>
        <v>0</v>
      </c>
      <c r="AE92" s="32" t="n">
        <f aca="false">IF($S92="不存在",1,0)</f>
        <v>0</v>
      </c>
      <c r="AF92" s="44" t="n">
        <f aca="false">IF(OR($H92="—",$H92=""),"—",MATCH($H92,IDX_SrcID,0))</f>
        <v>15</v>
      </c>
      <c r="AG92" s="32" t="n">
        <f aca="false">IF(AND($P92="高",OR($AD92=1,$X92=1)),1,0)</f>
        <v>0</v>
      </c>
      <c r="AH92" s="32" t="n">
        <f aca="false">IF(AND($P92="高",$AG92=0,OR($F92&lt;&gt;"原始數據",$T92&lt;&gt;1)),1,0)</f>
        <v>0</v>
      </c>
      <c r="AI92" s="44" t="str">
        <f aca="false">IF(AND($P92="高",ISNUMBER($AF92)),INDEX(IDX_SrcDate,$AF92),"—")</f>
        <v>—</v>
      </c>
      <c r="AJ92" s="32" t="n">
        <f aca="false">IF(AND(ISTEXT($AI92),LEN($AI92)=10),IF(ISNUMBER(VALUE(SUBSTITUTE($AI92,"-",""))),VALUE(SUBSTITUTE($AI92,"-","")),0),0)</f>
        <v>0</v>
      </c>
    </row>
    <row r="93" customFormat="false" ht="29.25" hidden="false" customHeight="true" outlineLevel="0" collapsed="false">
      <c r="A93" s="30" t="s">
        <v>4764</v>
      </c>
      <c r="B93" s="239" t="s">
        <v>4525</v>
      </c>
      <c r="C93" s="30" t="s">
        <v>4689</v>
      </c>
      <c r="D93" s="30" t="s">
        <v>4765</v>
      </c>
      <c r="E93" s="20" t="s">
        <v>207</v>
      </c>
      <c r="F93" s="30" t="s">
        <v>114</v>
      </c>
      <c r="G93" s="239" t="s">
        <v>1308</v>
      </c>
      <c r="H93" s="30" t="s">
        <v>751</v>
      </c>
      <c r="I93" s="6" t="s">
        <v>751</v>
      </c>
      <c r="J93" s="30" t="s">
        <v>751</v>
      </c>
      <c r="K93" s="239"/>
      <c r="L93" s="239"/>
      <c r="M93" s="30" t="s">
        <v>751</v>
      </c>
      <c r="N93" s="6" t="s">
        <v>4766</v>
      </c>
      <c r="O93" s="6" t="s">
        <v>4767</v>
      </c>
      <c r="P93" s="239" t="s">
        <v>4530</v>
      </c>
      <c r="Q93" s="195" t="n">
        <f aca="false">Spec_Rack!G11</f>
        <v>12.6</v>
      </c>
      <c r="R93" s="30" t="s">
        <v>751</v>
      </c>
      <c r="S93" s="44" t="str">
        <f aca="false">IF(ISNUMBER($AF93),INDEX(IDX_SrcStat,$AF93),"—")</f>
        <v>—</v>
      </c>
      <c r="T93" s="44" t="str">
        <f aca="false">IF(ISNUMBER($AF93),INDEX(IDX_SrcGrade,$AF93),"—")</f>
        <v>—</v>
      </c>
      <c r="U93" s="44" t="s">
        <v>4623</v>
      </c>
      <c r="V93" s="32" t="n">
        <f aca="false">IF(AND($F93="原始數據",$U93&lt;&gt;"連結 SRC"),1,0)</f>
        <v>0</v>
      </c>
      <c r="W93" s="32" t="n">
        <f aca="false">IF(AND($F93="Analogy",OR($H93="—",$H93="")),1,0)</f>
        <v>0</v>
      </c>
      <c r="X93" s="32" t="n">
        <f aca="false">IF(AND(OR($F93="Analogy",$F93="Assumed"),$G93&lt;&gt;"低",$G93&lt;&gt;"高",NOT(ISNUMBER($K93)),NOT(ISNUMBER($L93)),OR($M93="—",$M93="")),1,0)</f>
        <v>0</v>
      </c>
      <c r="Y93" s="32" t="n">
        <f aca="false">IF(AND(OR($F93="Analogy",$F93="Assumed",$F93="Derived（待改公式）",$F93="Derived（公式）"),OR($N93="—",$N93="",$N93=0)),1,0)</f>
        <v>0</v>
      </c>
      <c r="Z93" s="32" t="n">
        <f aca="false">IF(AND($F93="Decision",OR($J93="—",$J93="")),1,0)</f>
        <v>0</v>
      </c>
      <c r="AA93" s="33" t="n">
        <f aca="false">IF(OR($J93="—",$J93=""),0,IF(COUNTIF(Decisions!$A$5:$A$300,$J93)=0,1,0))</f>
        <v>0</v>
      </c>
      <c r="AB93" s="32" t="n">
        <f aca="false">IF(AND($F93="原始數據",$S93&lt;&gt;"Active"),1,0)</f>
        <v>0</v>
      </c>
      <c r="AC93" s="32" t="n">
        <f aca="false">IF(AND(ISNUMBER($K93),ISNUMBER($L93),ISNUMBER($Q93)),IF(OR($Q93&lt;MIN($K93,$L93),$Q93&gt;MAX($K93,$L93)),1,0),0)</f>
        <v>0</v>
      </c>
      <c r="AD93" s="32" t="n">
        <f aca="false">IF(AND(ISNUMBER($T93),$P93="高"),IF($T93=3,1,0),0)</f>
        <v>0</v>
      </c>
      <c r="AE93" s="32" t="n">
        <f aca="false">IF($S93="不存在",1,0)</f>
        <v>0</v>
      </c>
      <c r="AF93" s="44" t="str">
        <f aca="false">IF(OR($H93="—",$H93=""),"—",MATCH($H93,IDX_SrcID,0))</f>
        <v>—</v>
      </c>
      <c r="AG93" s="32" t="n">
        <f aca="false">IF(AND($P93="高",OR($AD93=1,$X93=1)),1,0)</f>
        <v>0</v>
      </c>
      <c r="AH93" s="32" t="n">
        <f aca="false">IF(AND($P93="高",$AG93=0,OR($F93&lt;&gt;"原始數據",$T93&lt;&gt;1)),1,0)</f>
        <v>0</v>
      </c>
      <c r="AI93" s="44" t="str">
        <f aca="false">IF(AND($P93="高",ISNUMBER($AF93)),INDEX(IDX_SrcDate,$AF93),"—")</f>
        <v>—</v>
      </c>
      <c r="AJ93" s="32" t="n">
        <f aca="false">IF(AND(ISTEXT($AI93),LEN($AI93)=10),IF(ISNUMBER(VALUE(SUBSTITUTE($AI93,"-",""))),VALUE(SUBSTITUTE($AI93,"-","")),0),0)</f>
        <v>0</v>
      </c>
    </row>
    <row r="94" customFormat="false" ht="43.5" hidden="false" customHeight="true" outlineLevel="0" collapsed="false">
      <c r="A94" s="30" t="s">
        <v>4768</v>
      </c>
      <c r="B94" s="239" t="s">
        <v>4525</v>
      </c>
      <c r="C94" s="30" t="s">
        <v>4689</v>
      </c>
      <c r="D94" s="30" t="s">
        <v>4769</v>
      </c>
      <c r="E94" s="20" t="s">
        <v>208</v>
      </c>
      <c r="F94" s="239" t="s">
        <v>4718</v>
      </c>
      <c r="G94" s="239" t="s">
        <v>97</v>
      </c>
      <c r="H94" s="30" t="s">
        <v>4749</v>
      </c>
      <c r="I94" s="20" t="s">
        <v>4770</v>
      </c>
      <c r="J94" s="30" t="s">
        <v>751</v>
      </c>
      <c r="K94" s="195" t="n">
        <f aca="false">Spec_Rack!C11</f>
        <v>0.9</v>
      </c>
      <c r="L94" s="195" t="n">
        <f aca="false">Spec_Rack!C13</f>
        <v>1.3</v>
      </c>
      <c r="M94" s="30" t="s">
        <v>751</v>
      </c>
      <c r="N94" s="20" t="s">
        <v>4771</v>
      </c>
      <c r="O94" s="6" t="s">
        <v>751</v>
      </c>
      <c r="P94" s="239" t="s">
        <v>1309</v>
      </c>
      <c r="Q94" s="195" t="n">
        <f aca="false">Spec_Rack!C12</f>
        <v>1.1</v>
      </c>
      <c r="R94" s="184" t="n">
        <f aca="false">SRC_HW_003_Lo</f>
        <v>220000</v>
      </c>
      <c r="S94" s="44" t="str">
        <f aca="false">IF(ISNUMBER($AF94),INDEX(IDX_SrcStat,$AF94),"—")</f>
        <v>Active</v>
      </c>
      <c r="T94" s="44" t="n">
        <f aca="false">IF(ISNUMBER($AF94),INDEX(IDX_SrcGrade,$AF94),"—")</f>
        <v>2</v>
      </c>
      <c r="U94" s="44" t="s">
        <v>4531</v>
      </c>
      <c r="V94" s="32" t="n">
        <f aca="false">IF(AND($F94="原始數據",$U94&lt;&gt;"連結 SRC"),1,0)</f>
        <v>0</v>
      </c>
      <c r="W94" s="32" t="n">
        <f aca="false">IF(AND($F94="Analogy",OR($H94="—",$H94="")),1,0)</f>
        <v>0</v>
      </c>
      <c r="X94" s="32" t="n">
        <f aca="false">IF(AND(OR($F94="Analogy",$F94="Assumed"),$G94&lt;&gt;"低",$G94&lt;&gt;"高",NOT(ISNUMBER($K94)),NOT(ISNUMBER($L94)),OR($M94="—",$M94="")),1,0)</f>
        <v>0</v>
      </c>
      <c r="Y94" s="32" t="n">
        <f aca="false">IF(AND(OR($F94="Analogy",$F94="Assumed",$F94="Derived（待改公式）",$F94="Derived（公式）"),OR($N94="—",$N94="",$N94=0)),1,0)</f>
        <v>0</v>
      </c>
      <c r="Z94" s="32" t="n">
        <f aca="false">IF(AND($F94="Decision",OR($J94="—",$J94="")),1,0)</f>
        <v>0</v>
      </c>
      <c r="AA94" s="33" t="n">
        <f aca="false">IF(OR($J94="—",$J94=""),0,IF(COUNTIF(Decisions!$A$5:$A$300,$J94)=0,1,0))</f>
        <v>0</v>
      </c>
      <c r="AB94" s="32" t="n">
        <f aca="false">IF(AND($F94="原始數據",$S94&lt;&gt;"Active"),1,0)</f>
        <v>0</v>
      </c>
      <c r="AC94" s="32" t="n">
        <f aca="false">IF(AND(ISNUMBER($K94),ISNUMBER($L94),ISNUMBER($Q94)),IF(OR($Q94&lt;MIN($K94,$L94),$Q94&gt;MAX($K94,$L94)),1,0),0)</f>
        <v>0</v>
      </c>
      <c r="AD94" s="32" t="n">
        <f aca="false">IF(AND(ISNUMBER($T94),$P94="高"),IF($T94=3,1,0),0)</f>
        <v>0</v>
      </c>
      <c r="AE94" s="32" t="n">
        <f aca="false">IF($S94="不存在",1,0)</f>
        <v>0</v>
      </c>
      <c r="AF94" s="44" t="n">
        <f aca="false">IF(OR($H94="—",$H94=""),"—",MATCH($H94,IDX_SrcID,0))</f>
        <v>3</v>
      </c>
      <c r="AG94" s="32" t="n">
        <f aca="false">IF(AND($P94="高",OR($AD94=1,$X94=1)),1,0)</f>
        <v>0</v>
      </c>
      <c r="AH94" s="32" t="n">
        <f aca="false">IF(AND($P94="高",$AG94=0,OR($F94&lt;&gt;"原始數據",$T94&lt;&gt;1)),1,0)</f>
        <v>1</v>
      </c>
      <c r="AI94" s="44" t="str">
        <f aca="false">IF(AND($P94="高",ISNUMBER($AF94)),INDEX(IDX_SrcDate,$AF94),"—")</f>
        <v>2026-10-05</v>
      </c>
      <c r="AJ94" s="32" t="n">
        <f aca="false">IF(AND(ISTEXT($AI94),LEN($AI94)=10),IF(ISNUMBER(VALUE(SUBSTITUTE($AI94,"-",""))),VALUE(SUBSTITUTE($AI94,"-","")),0),0)</f>
        <v>20261005</v>
      </c>
    </row>
    <row r="95" customFormat="false" ht="29.25" hidden="false" customHeight="true" outlineLevel="0" collapsed="false">
      <c r="A95" s="30" t="s">
        <v>4772</v>
      </c>
      <c r="B95" s="239" t="s">
        <v>4525</v>
      </c>
      <c r="C95" s="30" t="s">
        <v>4689</v>
      </c>
      <c r="D95" s="30" t="s">
        <v>4773</v>
      </c>
      <c r="E95" s="20" t="s">
        <v>208</v>
      </c>
      <c r="F95" s="239" t="s">
        <v>4718</v>
      </c>
      <c r="G95" s="239" t="s">
        <v>97</v>
      </c>
      <c r="H95" s="30" t="s">
        <v>4753</v>
      </c>
      <c r="I95" s="20" t="s">
        <v>4774</v>
      </c>
      <c r="J95" s="30" t="s">
        <v>751</v>
      </c>
      <c r="K95" s="195" t="n">
        <f aca="false">Spec_Rack!D11</f>
        <v>2.8</v>
      </c>
      <c r="L95" s="195" t="n">
        <f aca="false">Spec_Rack!D13</f>
        <v>3.4</v>
      </c>
      <c r="M95" s="30" t="s">
        <v>751</v>
      </c>
      <c r="N95" s="20" t="s">
        <v>4775</v>
      </c>
      <c r="O95" s="6" t="s">
        <v>751</v>
      </c>
      <c r="P95" s="239" t="s">
        <v>1309</v>
      </c>
      <c r="Q95" s="195" t="n">
        <f aca="false">Spec_Rack!D12</f>
        <v>3.1</v>
      </c>
      <c r="R95" s="184" t="n">
        <f aca="false">SRC_HW_006_Lo</f>
        <v>2.8</v>
      </c>
      <c r="S95" s="44" t="str">
        <f aca="false">IF(ISNUMBER($AF95),INDEX(IDX_SrcStat,$AF95),"—")</f>
        <v>Active</v>
      </c>
      <c r="T95" s="44" t="n">
        <f aca="false">IF(ISNUMBER($AF95),INDEX(IDX_SrcGrade,$AF95),"—")</f>
        <v>2</v>
      </c>
      <c r="U95" s="44" t="s">
        <v>4531</v>
      </c>
      <c r="V95" s="32" t="n">
        <f aca="false">IF(AND($F95="原始數據",$U95&lt;&gt;"連結 SRC"),1,0)</f>
        <v>0</v>
      </c>
      <c r="W95" s="32" t="n">
        <f aca="false">IF(AND($F95="Analogy",OR($H95="—",$H95="")),1,0)</f>
        <v>0</v>
      </c>
      <c r="X95" s="32" t="n">
        <f aca="false">IF(AND(OR($F95="Analogy",$F95="Assumed"),$G95&lt;&gt;"低",$G95&lt;&gt;"高",NOT(ISNUMBER($K95)),NOT(ISNUMBER($L95)),OR($M95="—",$M95="")),1,0)</f>
        <v>0</v>
      </c>
      <c r="Y95" s="32" t="n">
        <f aca="false">IF(AND(OR($F95="Analogy",$F95="Assumed",$F95="Derived（待改公式）",$F95="Derived（公式）"),OR($N95="—",$N95="",$N95=0)),1,0)</f>
        <v>0</v>
      </c>
      <c r="Z95" s="32" t="n">
        <f aca="false">IF(AND($F95="Decision",OR($J95="—",$J95="")),1,0)</f>
        <v>0</v>
      </c>
      <c r="AA95" s="33" t="n">
        <f aca="false">IF(OR($J95="—",$J95=""),0,IF(COUNTIF(Decisions!$A$5:$A$300,$J95)=0,1,0))</f>
        <v>0</v>
      </c>
      <c r="AB95" s="32" t="n">
        <f aca="false">IF(AND($F95="原始數據",$S95&lt;&gt;"Active"),1,0)</f>
        <v>0</v>
      </c>
      <c r="AC95" s="32" t="n">
        <f aca="false">IF(AND(ISNUMBER($K95),ISNUMBER($L95),ISNUMBER($Q95)),IF(OR($Q95&lt;MIN($K95,$L95),$Q95&gt;MAX($K95,$L95)),1,0),0)</f>
        <v>0</v>
      </c>
      <c r="AD95" s="32" t="n">
        <f aca="false">IF(AND(ISNUMBER($T95),$P95="高"),IF($T95=3,1,0),0)</f>
        <v>0</v>
      </c>
      <c r="AE95" s="32" t="n">
        <f aca="false">IF($S95="不存在",1,0)</f>
        <v>0</v>
      </c>
      <c r="AF95" s="44" t="n">
        <f aca="false">IF(OR($H95="—",$H95=""),"—",MATCH($H95,IDX_SrcID,0))</f>
        <v>6</v>
      </c>
      <c r="AG95" s="32" t="n">
        <f aca="false">IF(AND($P95="高",OR($AD95=1,$X95=1)),1,0)</f>
        <v>0</v>
      </c>
      <c r="AH95" s="32" t="n">
        <f aca="false">IF(AND($P95="高",$AG95=0,OR($F95&lt;&gt;"原始數據",$T95&lt;&gt;1)),1,0)</f>
        <v>1</v>
      </c>
      <c r="AI95" s="44" t="str">
        <f aca="false">IF(AND($P95="高",ISNUMBER($AF95)),INDEX(IDX_SrcDate,$AF95),"—")</f>
        <v>2026-10-05</v>
      </c>
      <c r="AJ95" s="32" t="n">
        <f aca="false">IF(AND(ISTEXT($AI95),LEN($AI95)=10),IF(ISNUMBER(VALUE(SUBSTITUTE($AI95,"-",""))),VALUE(SUBSTITUTE($AI95,"-","")),0),0)</f>
        <v>20261005</v>
      </c>
    </row>
    <row r="96" customFormat="false" ht="15" hidden="false" customHeight="true" outlineLevel="0" collapsed="false">
      <c r="A96" s="30" t="s">
        <v>4776</v>
      </c>
      <c r="B96" s="239" t="s">
        <v>4525</v>
      </c>
      <c r="C96" s="30" t="s">
        <v>4689</v>
      </c>
      <c r="D96" s="30" t="s">
        <v>4325</v>
      </c>
      <c r="E96" s="20" t="s">
        <v>208</v>
      </c>
      <c r="F96" s="239" t="s">
        <v>162</v>
      </c>
      <c r="G96" s="239" t="s">
        <v>97</v>
      </c>
      <c r="H96" s="30" t="s">
        <v>4756</v>
      </c>
      <c r="I96" s="20" t="s">
        <v>4777</v>
      </c>
      <c r="J96" s="30" t="s">
        <v>4757</v>
      </c>
      <c r="K96" s="195" t="n">
        <f aca="false">Spec_Rack!E11</f>
        <v>4</v>
      </c>
      <c r="L96" s="195" t="n">
        <f aca="false">Spec_Rack!E13</f>
        <v>5</v>
      </c>
      <c r="M96" s="30" t="s">
        <v>751</v>
      </c>
      <c r="N96" s="20" t="s">
        <v>4778</v>
      </c>
      <c r="O96" s="243" t="s">
        <v>4779</v>
      </c>
      <c r="P96" s="239" t="s">
        <v>1309</v>
      </c>
      <c r="Q96" s="195" t="n">
        <f aca="false">Spec_Rack!E12</f>
        <v>4.3</v>
      </c>
      <c r="R96" s="184" t="n">
        <f aca="false">SRC_HW_052</f>
        <v>4</v>
      </c>
      <c r="S96" s="44" t="str">
        <f aca="false">IF(ISNUMBER($AF96),INDEX(IDX_SrcStat,$AF96),"—")</f>
        <v>Active</v>
      </c>
      <c r="T96" s="44" t="n">
        <f aca="false">IF(ISNUMBER($AF96),INDEX(IDX_SrcGrade,$AF96),"—")</f>
        <v>2</v>
      </c>
      <c r="U96" s="44" t="s">
        <v>4531</v>
      </c>
      <c r="V96" s="32" t="n">
        <f aca="false">IF(AND($F96="原始數據",$U96&lt;&gt;"連結 SRC"),1,0)</f>
        <v>0</v>
      </c>
      <c r="W96" s="32" t="n">
        <f aca="false">IF(AND($F96="Analogy",OR($H96="—",$H96="")),1,0)</f>
        <v>0</v>
      </c>
      <c r="X96" s="32" t="n">
        <f aca="false">IF(AND(OR($F96="Analogy",$F96="Assumed"),$G96&lt;&gt;"低",$G96&lt;&gt;"高",NOT(ISNUMBER($K96)),NOT(ISNUMBER($L96)),OR($M96="—",$M96="")),1,0)</f>
        <v>0</v>
      </c>
      <c r="Y96" s="32" t="n">
        <f aca="false">IF(AND(OR($F96="Analogy",$F96="Assumed",$F96="Derived（待改公式）",$F96="Derived（公式）"),OR($N96="—",$N96="",$N96=0)),1,0)</f>
        <v>0</v>
      </c>
      <c r="Z96" s="32" t="n">
        <f aca="false">IF(AND($F96="Decision",OR($J96="—",$J96="")),1,0)</f>
        <v>0</v>
      </c>
      <c r="AA96" s="33" t="n">
        <f aca="false">IF(OR($J96="—",$J96=""),0,IF(COUNTIF(Decisions!$A$5:$A$300,$J96)=0,1,0))</f>
        <v>0</v>
      </c>
      <c r="AB96" s="32" t="n">
        <f aca="false">IF(AND($F96="原始數據",$S96&lt;&gt;"Active"),1,0)</f>
        <v>0</v>
      </c>
      <c r="AC96" s="32" t="n">
        <f aca="false">IF(AND(ISNUMBER($K96),ISNUMBER($L96),ISNUMBER($Q96)),IF(OR($Q96&lt;MIN($K96,$L96),$Q96&gt;MAX($K96,$L96)),1,0),0)</f>
        <v>0</v>
      </c>
      <c r="AD96" s="32" t="n">
        <f aca="false">IF(AND(ISNUMBER($T96),$P96="高"),IF($T96=3,1,0),0)</f>
        <v>0</v>
      </c>
      <c r="AE96" s="32" t="n">
        <f aca="false">IF($S96="不存在",1,0)</f>
        <v>0</v>
      </c>
      <c r="AF96" s="44" t="n">
        <f aca="false">IF(OR($H96="—",$H96=""),"—",MATCH($H96,IDX_SrcID,0))</f>
        <v>52</v>
      </c>
      <c r="AG96" s="32" t="n">
        <f aca="false">IF(AND($P96="高",OR($AD96=1,$X96=1)),1,0)</f>
        <v>0</v>
      </c>
      <c r="AH96" s="32" t="n">
        <f aca="false">IF(AND($P96="高",$AG96=0,OR($F96&lt;&gt;"原始數據",$T96&lt;&gt;1)),1,0)</f>
        <v>1</v>
      </c>
      <c r="AI96" s="44" t="str">
        <f aca="false">IF(AND($P96="高",ISNUMBER($AF96)),INDEX(IDX_SrcDate,$AF96),"—")</f>
        <v>2026-10-08</v>
      </c>
      <c r="AJ96" s="32" t="n">
        <f aca="false">IF(AND(ISTEXT($AI96),LEN($AI96)=10),IF(ISNUMBER(VALUE(SUBSTITUTE($AI96,"-",""))),VALUE(SUBSTITUTE($AI96,"-","")),0),0)</f>
        <v>20261008</v>
      </c>
    </row>
    <row r="97" customFormat="false" ht="15" hidden="false" customHeight="true" outlineLevel="0" collapsed="false">
      <c r="A97" s="30" t="s">
        <v>4780</v>
      </c>
      <c r="B97" s="239" t="s">
        <v>4525</v>
      </c>
      <c r="C97" s="30" t="s">
        <v>4689</v>
      </c>
      <c r="D97" s="30" t="s">
        <v>4781</v>
      </c>
      <c r="E97" s="20" t="s">
        <v>208</v>
      </c>
      <c r="F97" s="239" t="s">
        <v>162</v>
      </c>
      <c r="G97" s="239" t="s">
        <v>97</v>
      </c>
      <c r="H97" s="30" t="s">
        <v>4760</v>
      </c>
      <c r="I97" s="20" t="s">
        <v>4782</v>
      </c>
      <c r="J97" s="30" t="s">
        <v>751</v>
      </c>
      <c r="K97" s="244" t="n">
        <f aca="false">Spec_Rack!F11</f>
        <v>7.8</v>
      </c>
      <c r="L97" s="244" t="n">
        <f aca="false">Spec_Rack!F13</f>
        <v>9.1</v>
      </c>
      <c r="M97" s="30" t="s">
        <v>751</v>
      </c>
      <c r="N97" s="20" t="s">
        <v>4783</v>
      </c>
      <c r="O97" s="20" t="s">
        <v>4784</v>
      </c>
      <c r="P97" s="239" t="s">
        <v>1309</v>
      </c>
      <c r="Q97" s="195" t="n">
        <f aca="false">Spec_Rack!F12</f>
        <v>8.4</v>
      </c>
      <c r="R97" s="184" t="n">
        <f aca="false">SRC_HW_015</f>
        <v>7.8</v>
      </c>
      <c r="S97" s="44" t="str">
        <f aca="false">IF(ISNUMBER($AF97),INDEX(IDX_SrcStat,$AF97),"—")</f>
        <v>Active</v>
      </c>
      <c r="T97" s="44" t="n">
        <f aca="false">IF(ISNUMBER($AF97),INDEX(IDX_SrcGrade,$AF97),"—")</f>
        <v>2</v>
      </c>
      <c r="U97" s="44" t="s">
        <v>4531</v>
      </c>
      <c r="V97" s="32" t="n">
        <f aca="false">IF(AND($F97="原始數據",$U97&lt;&gt;"連結 SRC"),1,0)</f>
        <v>0</v>
      </c>
      <c r="W97" s="32" t="n">
        <f aca="false">IF(AND($F97="Analogy",OR($H97="—",$H97="")),1,0)</f>
        <v>0</v>
      </c>
      <c r="X97" s="32" t="n">
        <f aca="false">IF(AND(OR($F97="Analogy",$F97="Assumed"),$G97&lt;&gt;"低",$G97&lt;&gt;"高",NOT(ISNUMBER($K97)),NOT(ISNUMBER($L97)),OR($M97="—",$M97="")),1,0)</f>
        <v>0</v>
      </c>
      <c r="Y97" s="32" t="n">
        <f aca="false">IF(AND(OR($F97="Analogy",$F97="Assumed",$F97="Derived（待改公式）",$F97="Derived（公式）"),OR($N97="—",$N97="",$N97=0)),1,0)</f>
        <v>0</v>
      </c>
      <c r="Z97" s="32" t="n">
        <f aca="false">IF(AND($F97="Decision",OR($J97="—",$J97="")),1,0)</f>
        <v>0</v>
      </c>
      <c r="AA97" s="33" t="n">
        <f aca="false">IF(OR($J97="—",$J97=""),0,IF(COUNTIF(Decisions!$A$5:$A$300,$J97)=0,1,0))</f>
        <v>0</v>
      </c>
      <c r="AB97" s="32" t="n">
        <f aca="false">IF(AND($F97="原始數據",$S97&lt;&gt;"Active"),1,0)</f>
        <v>0</v>
      </c>
      <c r="AC97" s="32" t="n">
        <f aca="false">IF(AND(ISNUMBER($K97),ISNUMBER($L97),ISNUMBER($Q97)),IF(OR($Q97&lt;MIN($K97,$L97),$Q97&gt;MAX($K97,$L97)),1,0),0)</f>
        <v>0</v>
      </c>
      <c r="AD97" s="32" t="n">
        <f aca="false">IF(AND(ISNUMBER($T97),$P97="高"),IF($T97=3,1,0),0)</f>
        <v>0</v>
      </c>
      <c r="AE97" s="32" t="n">
        <f aca="false">IF($S97="不存在",1,0)</f>
        <v>0</v>
      </c>
      <c r="AF97" s="44" t="n">
        <f aca="false">IF(OR($H97="—",$H97=""),"—",MATCH($H97,IDX_SrcID,0))</f>
        <v>15</v>
      </c>
      <c r="AG97" s="32" t="n">
        <f aca="false">IF(AND($P97="高",OR($AD97=1,$X97=1)),1,0)</f>
        <v>0</v>
      </c>
      <c r="AH97" s="32" t="n">
        <f aca="false">IF(AND($P97="高",$AG97=0,OR($F97&lt;&gt;"原始數據",$T97&lt;&gt;1)),1,0)</f>
        <v>1</v>
      </c>
      <c r="AI97" s="44" t="str">
        <f aca="false">IF(AND($P97="高",ISNUMBER($AF97)),INDEX(IDX_SrcDate,$AF97),"—")</f>
        <v>2026-10-05</v>
      </c>
      <c r="AJ97" s="32" t="n">
        <f aca="false">IF(AND(ISTEXT($AI97),LEN($AI97)=10),IF(ISNUMBER(VALUE(SUBSTITUTE($AI97,"-",""))),VALUE(SUBSTITUTE($AI97,"-","")),0),0)</f>
        <v>20261005</v>
      </c>
    </row>
    <row r="98" customFormat="false" ht="29.25" hidden="false" customHeight="true" outlineLevel="0" collapsed="false">
      <c r="A98" s="30" t="s">
        <v>4785</v>
      </c>
      <c r="B98" s="239" t="s">
        <v>4525</v>
      </c>
      <c r="C98" s="30" t="s">
        <v>4689</v>
      </c>
      <c r="D98" s="30" t="s">
        <v>4786</v>
      </c>
      <c r="E98" s="20" t="s">
        <v>208</v>
      </c>
      <c r="F98" s="30" t="s">
        <v>114</v>
      </c>
      <c r="G98" s="239" t="s">
        <v>97</v>
      </c>
      <c r="H98" s="30" t="s">
        <v>751</v>
      </c>
      <c r="I98" s="6" t="s">
        <v>751</v>
      </c>
      <c r="J98" s="30" t="s">
        <v>751</v>
      </c>
      <c r="K98" s="195" t="n">
        <f aca="false">Spec_Rack!G11</f>
        <v>12.6</v>
      </c>
      <c r="L98" s="195" t="n">
        <f aca="false">Spec_Rack!G13</f>
        <v>21</v>
      </c>
      <c r="M98" s="30" t="s">
        <v>751</v>
      </c>
      <c r="N98" s="6" t="s">
        <v>4787</v>
      </c>
      <c r="O98" s="6" t="s">
        <v>4767</v>
      </c>
      <c r="P98" s="239" t="s">
        <v>1309</v>
      </c>
      <c r="Q98" s="195" t="n">
        <f aca="false">Spec_Rack!G12</f>
        <v>16.8</v>
      </c>
      <c r="R98" s="30" t="s">
        <v>751</v>
      </c>
      <c r="S98" s="44" t="str">
        <f aca="false">IF(ISNUMBER($AF98),INDEX(IDX_SrcStat,$AF98),"—")</f>
        <v>—</v>
      </c>
      <c r="T98" s="44" t="str">
        <f aca="false">IF(ISNUMBER($AF98),INDEX(IDX_SrcGrade,$AF98),"—")</f>
        <v>—</v>
      </c>
      <c r="U98" s="44" t="s">
        <v>4623</v>
      </c>
      <c r="V98" s="32" t="n">
        <f aca="false">IF(AND($F98="原始數據",$U98&lt;&gt;"連結 SRC"),1,0)</f>
        <v>0</v>
      </c>
      <c r="W98" s="32" t="n">
        <f aca="false">IF(AND($F98="Analogy",OR($H98="—",$H98="")),1,0)</f>
        <v>0</v>
      </c>
      <c r="X98" s="32" t="n">
        <f aca="false">IF(AND(OR($F98="Analogy",$F98="Assumed"),$G98&lt;&gt;"低",$G98&lt;&gt;"高",NOT(ISNUMBER($K98)),NOT(ISNUMBER($L98)),OR($M98="—",$M98="")),1,0)</f>
        <v>0</v>
      </c>
      <c r="Y98" s="32" t="n">
        <f aca="false">IF(AND(OR($F98="Analogy",$F98="Assumed",$F98="Derived（待改公式）",$F98="Derived（公式）"),OR($N98="—",$N98="",$N98=0)),1,0)</f>
        <v>0</v>
      </c>
      <c r="Z98" s="32" t="n">
        <f aca="false">IF(AND($F98="Decision",OR($J98="—",$J98="")),1,0)</f>
        <v>0</v>
      </c>
      <c r="AA98" s="33" t="n">
        <f aca="false">IF(OR($J98="—",$J98=""),0,IF(COUNTIF(Decisions!$A$5:$A$300,$J98)=0,1,0))</f>
        <v>0</v>
      </c>
      <c r="AB98" s="32" t="n">
        <f aca="false">IF(AND($F98="原始數據",$S98&lt;&gt;"Active"),1,0)</f>
        <v>0</v>
      </c>
      <c r="AC98" s="32" t="n">
        <f aca="false">IF(AND(ISNUMBER($K98),ISNUMBER($L98),ISNUMBER($Q98)),IF(OR($Q98&lt;MIN($K98,$L98),$Q98&gt;MAX($K98,$L98)),1,0),0)</f>
        <v>0</v>
      </c>
      <c r="AD98" s="32" t="n">
        <f aca="false">IF(AND(ISNUMBER($T98),$P98="高"),IF($T98=3,1,0),0)</f>
        <v>0</v>
      </c>
      <c r="AE98" s="32" t="n">
        <f aca="false">IF($S98="不存在",1,0)</f>
        <v>0</v>
      </c>
      <c r="AF98" s="44" t="str">
        <f aca="false">IF(OR($H98="—",$H98=""),"—",MATCH($H98,IDX_SrcID,0))</f>
        <v>—</v>
      </c>
      <c r="AG98" s="32" t="n">
        <f aca="false">IF(AND($P98="高",OR($AD98=1,$X98=1)),1,0)</f>
        <v>0</v>
      </c>
      <c r="AH98" s="32" t="n">
        <f aca="false">IF(AND($P98="高",$AG98=0,OR($F98&lt;&gt;"原始數據",$T98&lt;&gt;1)),1,0)</f>
        <v>1</v>
      </c>
      <c r="AI98" s="44" t="str">
        <f aca="false">IF(AND($P98="高",ISNUMBER($AF98)),INDEX(IDX_SrcDate,$AF98),"—")</f>
        <v>—</v>
      </c>
      <c r="AJ98" s="32" t="n">
        <f aca="false">IF(AND(ISTEXT($AI98),LEN($AI98)=10),IF(ISNUMBER(VALUE(SUBSTITUTE($AI98,"-",""))),VALUE(SUBSTITUTE($AI98,"-","")),0),0)</f>
        <v>0</v>
      </c>
    </row>
    <row r="99" customFormat="false" ht="43.5" hidden="false" customHeight="true" outlineLevel="0" collapsed="false">
      <c r="A99" s="30" t="s">
        <v>4788</v>
      </c>
      <c r="B99" s="239" t="s">
        <v>4525</v>
      </c>
      <c r="C99" s="30" t="s">
        <v>4689</v>
      </c>
      <c r="D99" s="30" t="s">
        <v>4789</v>
      </c>
      <c r="E99" s="20" t="s">
        <v>209</v>
      </c>
      <c r="F99" s="239" t="s">
        <v>4718</v>
      </c>
      <c r="G99" s="239" t="s">
        <v>1309</v>
      </c>
      <c r="H99" s="30" t="s">
        <v>4749</v>
      </c>
      <c r="I99" s="20" t="s">
        <v>4790</v>
      </c>
      <c r="J99" s="30" t="s">
        <v>751</v>
      </c>
      <c r="K99" s="239"/>
      <c r="L99" s="239"/>
      <c r="M99" s="30" t="s">
        <v>751</v>
      </c>
      <c r="N99" s="20" t="s">
        <v>4791</v>
      </c>
      <c r="O99" s="6" t="s">
        <v>751</v>
      </c>
      <c r="P99" s="239" t="s">
        <v>4530</v>
      </c>
      <c r="Q99" s="195" t="n">
        <f aca="false">Spec_Rack!C13</f>
        <v>1.3</v>
      </c>
      <c r="R99" s="184" t="n">
        <f aca="false">SRC_HW_003_Lo</f>
        <v>220000</v>
      </c>
      <c r="S99" s="44" t="str">
        <f aca="false">IF(ISNUMBER($AF99),INDEX(IDX_SrcStat,$AF99),"—")</f>
        <v>Active</v>
      </c>
      <c r="T99" s="44" t="n">
        <f aca="false">IF(ISNUMBER($AF99),INDEX(IDX_SrcGrade,$AF99),"—")</f>
        <v>2</v>
      </c>
      <c r="U99" s="44" t="s">
        <v>4531</v>
      </c>
      <c r="V99" s="32" t="n">
        <f aca="false">IF(AND($F99="原始數據",$U99&lt;&gt;"連結 SRC"),1,0)</f>
        <v>0</v>
      </c>
      <c r="W99" s="32" t="n">
        <f aca="false">IF(AND($F99="Analogy",OR($H99="—",$H99="")),1,0)</f>
        <v>0</v>
      </c>
      <c r="X99" s="32" t="n">
        <f aca="false">IF(AND(OR($F99="Analogy",$F99="Assumed"),$G99&lt;&gt;"低",$G99&lt;&gt;"高",NOT(ISNUMBER($K99)),NOT(ISNUMBER($L99)),OR($M99="—",$M99="")),1,0)</f>
        <v>0</v>
      </c>
      <c r="Y99" s="32" t="n">
        <f aca="false">IF(AND(OR($F99="Analogy",$F99="Assumed",$F99="Derived（待改公式）",$F99="Derived（公式）"),OR($N99="—",$N99="",$N99=0)),1,0)</f>
        <v>0</v>
      </c>
      <c r="Z99" s="32" t="n">
        <f aca="false">IF(AND($F99="Decision",OR($J99="—",$J99="")),1,0)</f>
        <v>0</v>
      </c>
      <c r="AA99" s="33" t="n">
        <f aca="false">IF(OR($J99="—",$J99=""),0,IF(COUNTIF(Decisions!$A$5:$A$300,$J99)=0,1,0))</f>
        <v>0</v>
      </c>
      <c r="AB99" s="32" t="n">
        <f aca="false">IF(AND($F99="原始數據",$S99&lt;&gt;"Active"),1,0)</f>
        <v>0</v>
      </c>
      <c r="AC99" s="32" t="n">
        <f aca="false">IF(AND(ISNUMBER($K99),ISNUMBER($L99),ISNUMBER($Q99)),IF(OR($Q99&lt;MIN($K99,$L99),$Q99&gt;MAX($K99,$L99)),1,0),0)</f>
        <v>0</v>
      </c>
      <c r="AD99" s="32" t="n">
        <f aca="false">IF(AND(ISNUMBER($T99),$P99="高"),IF($T99=3,1,0),0)</f>
        <v>0</v>
      </c>
      <c r="AE99" s="32" t="n">
        <f aca="false">IF($S99="不存在",1,0)</f>
        <v>0</v>
      </c>
      <c r="AF99" s="44" t="n">
        <f aca="false">IF(OR($H99="—",$H99=""),"—",MATCH($H99,IDX_SrcID,0))</f>
        <v>3</v>
      </c>
      <c r="AG99" s="32" t="n">
        <f aca="false">IF(AND($P99="高",OR($AD99=1,$X99=1)),1,0)</f>
        <v>0</v>
      </c>
      <c r="AH99" s="32" t="n">
        <f aca="false">IF(AND($P99="高",$AG99=0,OR($F99&lt;&gt;"原始數據",$T99&lt;&gt;1)),1,0)</f>
        <v>0</v>
      </c>
      <c r="AI99" s="44" t="str">
        <f aca="false">IF(AND($P99="高",ISNUMBER($AF99)),INDEX(IDX_SrcDate,$AF99),"—")</f>
        <v>—</v>
      </c>
      <c r="AJ99" s="32" t="n">
        <f aca="false">IF(AND(ISTEXT($AI99),LEN($AI99)=10),IF(ISNUMBER(VALUE(SUBSTITUTE($AI99,"-",""))),VALUE(SUBSTITUTE($AI99,"-","")),0),0)</f>
        <v>0</v>
      </c>
    </row>
    <row r="100" customFormat="false" ht="15" hidden="false" customHeight="true" outlineLevel="0" collapsed="false">
      <c r="A100" s="30" t="s">
        <v>4792</v>
      </c>
      <c r="B100" s="239" t="s">
        <v>4525</v>
      </c>
      <c r="C100" s="30" t="s">
        <v>4689</v>
      </c>
      <c r="D100" s="30" t="s">
        <v>4558</v>
      </c>
      <c r="E100" s="20" t="s">
        <v>209</v>
      </c>
      <c r="F100" s="239" t="s">
        <v>348</v>
      </c>
      <c r="G100" s="239" t="s">
        <v>4527</v>
      </c>
      <c r="H100" s="30" t="s">
        <v>4753</v>
      </c>
      <c r="I100" s="20" t="s">
        <v>4562</v>
      </c>
      <c r="J100" s="30" t="s">
        <v>751</v>
      </c>
      <c r="K100" s="239"/>
      <c r="L100" s="239"/>
      <c r="M100" s="30" t="s">
        <v>751</v>
      </c>
      <c r="N100" s="20" t="s">
        <v>4754</v>
      </c>
      <c r="O100" s="6" t="s">
        <v>751</v>
      </c>
      <c r="P100" s="239" t="s">
        <v>4530</v>
      </c>
      <c r="Q100" s="195" t="n">
        <f aca="false">Spec_Rack!D13</f>
        <v>3.4</v>
      </c>
      <c r="R100" s="184" t="n">
        <f aca="false">SRC_HW_006_Hi</f>
        <v>3.4</v>
      </c>
      <c r="S100" s="44" t="str">
        <f aca="false">IF(ISNUMBER($AF100),INDEX(IDX_SrcStat,$AF100),"—")</f>
        <v>Active</v>
      </c>
      <c r="T100" s="44" t="n">
        <f aca="false">IF(ISNUMBER($AF100),INDEX(IDX_SrcGrade,$AF100),"—")</f>
        <v>2</v>
      </c>
      <c r="U100" s="44" t="s">
        <v>4564</v>
      </c>
      <c r="V100" s="32" t="n">
        <f aca="false">IF(AND($F100="原始數據",$U100&lt;&gt;"連結 SRC"),1,0)</f>
        <v>0</v>
      </c>
      <c r="W100" s="32" t="n">
        <f aca="false">IF(AND($F100="Analogy",OR($H100="—",$H100="")),1,0)</f>
        <v>0</v>
      </c>
      <c r="X100" s="32" t="n">
        <f aca="false">IF(AND(OR($F100="Analogy",$F100="Assumed"),$G100&lt;&gt;"低",$G100&lt;&gt;"高",NOT(ISNUMBER($K100)),NOT(ISNUMBER($L100)),OR($M100="—",$M100="")),1,0)</f>
        <v>0</v>
      </c>
      <c r="Y100" s="32" t="n">
        <f aca="false">IF(AND(OR($F100="Analogy",$F100="Assumed",$F100="Derived（待改公式）",$F100="Derived（公式）"),OR($N100="—",$N100="",$N100=0)),1,0)</f>
        <v>0</v>
      </c>
      <c r="Z100" s="32" t="n">
        <f aca="false">IF(AND($F100="Decision",OR($J100="—",$J100="")),1,0)</f>
        <v>0</v>
      </c>
      <c r="AA100" s="33" t="n">
        <f aca="false">IF(OR($J100="—",$J100=""),0,IF(COUNTIF(Decisions!$A$5:$A$300,$J100)=0,1,0))</f>
        <v>0</v>
      </c>
      <c r="AB100" s="32" t="n">
        <f aca="false">IF(AND($F100="原始數據",$S100&lt;&gt;"Active"),1,0)</f>
        <v>0</v>
      </c>
      <c r="AC100" s="32" t="n">
        <f aca="false">IF(AND(ISNUMBER($K100),ISNUMBER($L100),ISNUMBER($Q100)),IF(OR($Q100&lt;MIN($K100,$L100),$Q100&gt;MAX($K100,$L100)),1,0),0)</f>
        <v>0</v>
      </c>
      <c r="AD100" s="32" t="n">
        <f aca="false">IF(AND(ISNUMBER($T100),$P100="高"),IF($T100=3,1,0),0)</f>
        <v>0</v>
      </c>
      <c r="AE100" s="32" t="n">
        <f aca="false">IF($S100="不存在",1,0)</f>
        <v>0</v>
      </c>
      <c r="AF100" s="44" t="n">
        <f aca="false">IF(OR($H100="—",$H100=""),"—",MATCH($H100,IDX_SrcID,0))</f>
        <v>6</v>
      </c>
      <c r="AG100" s="32" t="n">
        <f aca="false">IF(AND($P100="高",OR($AD100=1,$X100=1)),1,0)</f>
        <v>0</v>
      </c>
      <c r="AH100" s="32" t="n">
        <f aca="false">IF(AND($P100="高",$AG100=0,OR($F100&lt;&gt;"原始數據",$T100&lt;&gt;1)),1,0)</f>
        <v>0</v>
      </c>
      <c r="AI100" s="44" t="str">
        <f aca="false">IF(AND($P100="高",ISNUMBER($AF100)),INDEX(IDX_SrcDate,$AF100),"—")</f>
        <v>—</v>
      </c>
      <c r="AJ100" s="32" t="n">
        <f aca="false">IF(AND(ISTEXT($AI100),LEN($AI100)=10),IF(ISNUMBER(VALUE(SUBSTITUTE($AI100,"-",""))),VALUE(SUBSTITUTE($AI100,"-","")),0),0)</f>
        <v>0</v>
      </c>
    </row>
    <row r="101" customFormat="false" ht="15" hidden="false" customHeight="true" outlineLevel="0" collapsed="false">
      <c r="A101" s="30" t="s">
        <v>4793</v>
      </c>
      <c r="B101" s="239" t="s">
        <v>4525</v>
      </c>
      <c r="C101" s="30" t="s">
        <v>4689</v>
      </c>
      <c r="D101" s="30" t="s">
        <v>4327</v>
      </c>
      <c r="E101" s="20" t="s">
        <v>209</v>
      </c>
      <c r="F101" s="239" t="s">
        <v>348</v>
      </c>
      <c r="G101" s="239" t="s">
        <v>4527</v>
      </c>
      <c r="H101" s="30" t="s">
        <v>4794</v>
      </c>
      <c r="I101" s="20" t="s">
        <v>4562</v>
      </c>
      <c r="J101" s="30" t="s">
        <v>4757</v>
      </c>
      <c r="K101" s="239"/>
      <c r="L101" s="239"/>
      <c r="M101" s="30" t="s">
        <v>751</v>
      </c>
      <c r="N101" s="20" t="s">
        <v>4795</v>
      </c>
      <c r="O101" s="6" t="s">
        <v>751</v>
      </c>
      <c r="P101" s="239" t="s">
        <v>4530</v>
      </c>
      <c r="Q101" s="195" t="n">
        <f aca="false">Spec_Rack!E13</f>
        <v>5</v>
      </c>
      <c r="R101" s="184" t="n">
        <f aca="false">SRC_HW_010</f>
        <v>5</v>
      </c>
      <c r="S101" s="44" t="str">
        <f aca="false">IF(ISNUMBER($AF101),INDEX(IDX_SrcStat,$AF101),"—")</f>
        <v>Active</v>
      </c>
      <c r="T101" s="44" t="n">
        <f aca="false">IF(ISNUMBER($AF101),INDEX(IDX_SrcGrade,$AF101),"—")</f>
        <v>2</v>
      </c>
      <c r="U101" s="44" t="s">
        <v>4564</v>
      </c>
      <c r="V101" s="32" t="n">
        <f aca="false">IF(AND($F101="原始數據",$U101&lt;&gt;"連結 SRC"),1,0)</f>
        <v>0</v>
      </c>
      <c r="W101" s="32" t="n">
        <f aca="false">IF(AND($F101="Analogy",OR($H101="—",$H101="")),1,0)</f>
        <v>0</v>
      </c>
      <c r="X101" s="32" t="n">
        <f aca="false">IF(AND(OR($F101="Analogy",$F101="Assumed"),$G101&lt;&gt;"低",$G101&lt;&gt;"高",NOT(ISNUMBER($K101)),NOT(ISNUMBER($L101)),OR($M101="—",$M101="")),1,0)</f>
        <v>0</v>
      </c>
      <c r="Y101" s="32" t="n">
        <f aca="false">IF(AND(OR($F101="Analogy",$F101="Assumed",$F101="Derived（待改公式）",$F101="Derived（公式）"),OR($N101="—",$N101="",$N101=0)),1,0)</f>
        <v>0</v>
      </c>
      <c r="Z101" s="32" t="n">
        <f aca="false">IF(AND($F101="Decision",OR($J101="—",$J101="")),1,0)</f>
        <v>0</v>
      </c>
      <c r="AA101" s="33" t="n">
        <f aca="false">IF(OR($J101="—",$J101=""),0,IF(COUNTIF(Decisions!$A$5:$A$300,$J101)=0,1,0))</f>
        <v>0</v>
      </c>
      <c r="AB101" s="32" t="n">
        <f aca="false">IF(AND($F101="原始數據",$S101&lt;&gt;"Active"),1,0)</f>
        <v>0</v>
      </c>
      <c r="AC101" s="32" t="n">
        <f aca="false">IF(AND(ISNUMBER($K101),ISNUMBER($L101),ISNUMBER($Q101)),IF(OR($Q101&lt;MIN($K101,$L101),$Q101&gt;MAX($K101,$L101)),1,0),0)</f>
        <v>0</v>
      </c>
      <c r="AD101" s="32" t="n">
        <f aca="false">IF(AND(ISNUMBER($T101),$P101="高"),IF($T101=3,1,0),0)</f>
        <v>0</v>
      </c>
      <c r="AE101" s="32" t="n">
        <f aca="false">IF($S101="不存在",1,0)</f>
        <v>0</v>
      </c>
      <c r="AF101" s="44" t="n">
        <f aca="false">IF(OR($H101="—",$H101=""),"—",MATCH($H101,IDX_SrcID,0))</f>
        <v>10</v>
      </c>
      <c r="AG101" s="32" t="n">
        <f aca="false">IF(AND($P101="高",OR($AD101=1,$X101=1)),1,0)</f>
        <v>0</v>
      </c>
      <c r="AH101" s="32" t="n">
        <f aca="false">IF(AND($P101="高",$AG101=0,OR($F101&lt;&gt;"原始數據",$T101&lt;&gt;1)),1,0)</f>
        <v>0</v>
      </c>
      <c r="AI101" s="44" t="str">
        <f aca="false">IF(AND($P101="高",ISNUMBER($AF101)),INDEX(IDX_SrcDate,$AF101),"—")</f>
        <v>—</v>
      </c>
      <c r="AJ101" s="32" t="n">
        <f aca="false">IF(AND(ISTEXT($AI101),LEN($AI101)=10),IF(ISNUMBER(VALUE(SUBSTITUTE($AI101,"-",""))),VALUE(SUBSTITUTE($AI101,"-","")),0),0)</f>
        <v>0</v>
      </c>
    </row>
    <row r="102" customFormat="false" ht="43.5" hidden="false" customHeight="true" outlineLevel="0" collapsed="false">
      <c r="A102" s="30" t="s">
        <v>4796</v>
      </c>
      <c r="B102" s="239" t="s">
        <v>4525</v>
      </c>
      <c r="C102" s="30" t="s">
        <v>4689</v>
      </c>
      <c r="D102" s="30" t="s">
        <v>4560</v>
      </c>
      <c r="E102" s="20" t="s">
        <v>209</v>
      </c>
      <c r="F102" s="239" t="s">
        <v>4718</v>
      </c>
      <c r="G102" s="239" t="s">
        <v>1309</v>
      </c>
      <c r="H102" s="30" t="s">
        <v>4797</v>
      </c>
      <c r="I102" s="20" t="s">
        <v>4798</v>
      </c>
      <c r="J102" s="30" t="s">
        <v>751</v>
      </c>
      <c r="K102" s="239"/>
      <c r="L102" s="239"/>
      <c r="M102" s="30" t="s">
        <v>751</v>
      </c>
      <c r="N102" s="20" t="s">
        <v>4799</v>
      </c>
      <c r="O102" s="6" t="s">
        <v>751</v>
      </c>
      <c r="P102" s="239" t="s">
        <v>4530</v>
      </c>
      <c r="Q102" s="195" t="n">
        <f aca="false">Spec_Rack!F13</f>
        <v>9.1</v>
      </c>
      <c r="R102" s="184" t="n">
        <f aca="false">SRC_HW_017</f>
        <v>9.09</v>
      </c>
      <c r="S102" s="44" t="str">
        <f aca="false">IF(ISNUMBER($AF102),INDEX(IDX_SrcStat,$AF102),"—")</f>
        <v>Alt</v>
      </c>
      <c r="T102" s="44" t="n">
        <f aca="false">IF(ISNUMBER($AF102),INDEX(IDX_SrcGrade,$AF102),"—")</f>
        <v>2</v>
      </c>
      <c r="U102" s="44" t="s">
        <v>4531</v>
      </c>
      <c r="V102" s="32" t="n">
        <f aca="false">IF(AND($F102="原始數據",$U102&lt;&gt;"連結 SRC"),1,0)</f>
        <v>0</v>
      </c>
      <c r="W102" s="32" t="n">
        <f aca="false">IF(AND($F102="Analogy",OR($H102="—",$H102="")),1,0)</f>
        <v>0</v>
      </c>
      <c r="X102" s="32" t="n">
        <f aca="false">IF(AND(OR($F102="Analogy",$F102="Assumed"),$G102&lt;&gt;"低",$G102&lt;&gt;"高",NOT(ISNUMBER($K102)),NOT(ISNUMBER($L102)),OR($M102="—",$M102="")),1,0)</f>
        <v>0</v>
      </c>
      <c r="Y102" s="32" t="n">
        <f aca="false">IF(AND(OR($F102="Analogy",$F102="Assumed",$F102="Derived（待改公式）",$F102="Derived（公式）"),OR($N102="—",$N102="",$N102=0)),1,0)</f>
        <v>0</v>
      </c>
      <c r="Z102" s="32" t="n">
        <f aca="false">IF(AND($F102="Decision",OR($J102="—",$J102="")),1,0)</f>
        <v>0</v>
      </c>
      <c r="AA102" s="33" t="n">
        <f aca="false">IF(OR($J102="—",$J102=""),0,IF(COUNTIF(Decisions!$A$5:$A$300,$J102)=0,1,0))</f>
        <v>0</v>
      </c>
      <c r="AB102" s="32" t="n">
        <f aca="false">IF(AND($F102="原始數據",$S102&lt;&gt;"Active"),1,0)</f>
        <v>0</v>
      </c>
      <c r="AC102" s="32" t="n">
        <f aca="false">IF(AND(ISNUMBER($K102),ISNUMBER($L102),ISNUMBER($Q102)),IF(OR($Q102&lt;MIN($K102,$L102),$Q102&gt;MAX($K102,$L102)),1,0),0)</f>
        <v>0</v>
      </c>
      <c r="AD102" s="32" t="n">
        <f aca="false">IF(AND(ISNUMBER($T102),$P102="高"),IF($T102=3,1,0),0)</f>
        <v>0</v>
      </c>
      <c r="AE102" s="32" t="n">
        <f aca="false">IF($S102="不存在",1,0)</f>
        <v>0</v>
      </c>
      <c r="AF102" s="44" t="n">
        <f aca="false">IF(OR($H102="—",$H102=""),"—",MATCH($H102,IDX_SrcID,0))</f>
        <v>17</v>
      </c>
      <c r="AG102" s="32" t="n">
        <f aca="false">IF(AND($P102="高",OR($AD102=1,$X102=1)),1,0)</f>
        <v>0</v>
      </c>
      <c r="AH102" s="32" t="n">
        <f aca="false">IF(AND($P102="高",$AG102=0,OR($F102&lt;&gt;"原始數據",$T102&lt;&gt;1)),1,0)</f>
        <v>0</v>
      </c>
      <c r="AI102" s="44" t="str">
        <f aca="false">IF(AND($P102="高",ISNUMBER($AF102)),INDEX(IDX_SrcDate,$AF102),"—")</f>
        <v>—</v>
      </c>
      <c r="AJ102" s="32" t="n">
        <f aca="false">IF(AND(ISTEXT($AI102),LEN($AI102)=10),IF(ISNUMBER(VALUE(SUBSTITUTE($AI102,"-",""))),VALUE(SUBSTITUTE($AI102,"-","")),0),0)</f>
        <v>0</v>
      </c>
    </row>
    <row r="103" customFormat="false" ht="29.25" hidden="false" customHeight="true" outlineLevel="0" collapsed="false">
      <c r="A103" s="30" t="s">
        <v>4800</v>
      </c>
      <c r="B103" s="239" t="s">
        <v>4525</v>
      </c>
      <c r="C103" s="30" t="s">
        <v>4689</v>
      </c>
      <c r="D103" s="30" t="s">
        <v>4801</v>
      </c>
      <c r="E103" s="20" t="s">
        <v>209</v>
      </c>
      <c r="F103" s="30" t="s">
        <v>114</v>
      </c>
      <c r="G103" s="239" t="s">
        <v>1309</v>
      </c>
      <c r="H103" s="30" t="s">
        <v>751</v>
      </c>
      <c r="I103" s="6" t="s">
        <v>751</v>
      </c>
      <c r="J103" s="30" t="s">
        <v>751</v>
      </c>
      <c r="K103" s="239"/>
      <c r="L103" s="239"/>
      <c r="M103" s="30" t="s">
        <v>751</v>
      </c>
      <c r="N103" s="6" t="s">
        <v>4802</v>
      </c>
      <c r="O103" s="6" t="s">
        <v>4767</v>
      </c>
      <c r="P103" s="239" t="s">
        <v>4530</v>
      </c>
      <c r="Q103" s="195" t="n">
        <f aca="false">Spec_Rack!G13</f>
        <v>21</v>
      </c>
      <c r="R103" s="30" t="s">
        <v>751</v>
      </c>
      <c r="S103" s="44" t="str">
        <f aca="false">IF(ISNUMBER($AF103),INDEX(IDX_SrcStat,$AF103),"—")</f>
        <v>—</v>
      </c>
      <c r="T103" s="44" t="str">
        <f aca="false">IF(ISNUMBER($AF103),INDEX(IDX_SrcGrade,$AF103),"—")</f>
        <v>—</v>
      </c>
      <c r="U103" s="44" t="s">
        <v>4623</v>
      </c>
      <c r="V103" s="32" t="n">
        <f aca="false">IF(AND($F103="原始數據",$U103&lt;&gt;"連結 SRC"),1,0)</f>
        <v>0</v>
      </c>
      <c r="W103" s="32" t="n">
        <f aca="false">IF(AND($F103="Analogy",OR($H103="—",$H103="")),1,0)</f>
        <v>0</v>
      </c>
      <c r="X103" s="32" t="n">
        <f aca="false">IF(AND(OR($F103="Analogy",$F103="Assumed"),$G103&lt;&gt;"低",$G103&lt;&gt;"高",NOT(ISNUMBER($K103)),NOT(ISNUMBER($L103)),OR($M103="—",$M103="")),1,0)</f>
        <v>0</v>
      </c>
      <c r="Y103" s="32" t="n">
        <f aca="false">IF(AND(OR($F103="Analogy",$F103="Assumed",$F103="Derived（待改公式）",$F103="Derived（公式）"),OR($N103="—",$N103="",$N103=0)),1,0)</f>
        <v>0</v>
      </c>
      <c r="Z103" s="32" t="n">
        <f aca="false">IF(AND($F103="Decision",OR($J103="—",$J103="")),1,0)</f>
        <v>0</v>
      </c>
      <c r="AA103" s="33" t="n">
        <f aca="false">IF(OR($J103="—",$J103=""),0,IF(COUNTIF(Decisions!$A$5:$A$300,$J103)=0,1,0))</f>
        <v>0</v>
      </c>
      <c r="AB103" s="32" t="n">
        <f aca="false">IF(AND($F103="原始數據",$S103&lt;&gt;"Active"),1,0)</f>
        <v>0</v>
      </c>
      <c r="AC103" s="32" t="n">
        <f aca="false">IF(AND(ISNUMBER($K103),ISNUMBER($L103),ISNUMBER($Q103)),IF(OR($Q103&lt;MIN($K103,$L103),$Q103&gt;MAX($K103,$L103)),1,0),0)</f>
        <v>0</v>
      </c>
      <c r="AD103" s="32" t="n">
        <f aca="false">IF(AND(ISNUMBER($T103),$P103="高"),IF($T103=3,1,0),0)</f>
        <v>0</v>
      </c>
      <c r="AE103" s="32" t="n">
        <f aca="false">IF($S103="不存在",1,0)</f>
        <v>0</v>
      </c>
      <c r="AF103" s="44" t="str">
        <f aca="false">IF(OR($H103="—",$H103=""),"—",MATCH($H103,IDX_SrcID,0))</f>
        <v>—</v>
      </c>
      <c r="AG103" s="32" t="n">
        <f aca="false">IF(AND($P103="高",OR($AD103=1,$X103=1)),1,0)</f>
        <v>0</v>
      </c>
      <c r="AH103" s="32" t="n">
        <f aca="false">IF(AND($P103="高",$AG103=0,OR($F103&lt;&gt;"原始數據",$T103&lt;&gt;1)),1,0)</f>
        <v>0</v>
      </c>
      <c r="AI103" s="44" t="str">
        <f aca="false">IF(AND($P103="高",ISNUMBER($AF103)),INDEX(IDX_SrcDate,$AF103),"—")</f>
        <v>—</v>
      </c>
      <c r="AJ103" s="32" t="n">
        <f aca="false">IF(AND(ISTEXT($AI103),LEN($AI103)=10),IF(ISNUMBER(VALUE(SUBSTITUTE($AI103,"-",""))),VALUE(SUBSTITUTE($AI103,"-","")),0),0)</f>
        <v>0</v>
      </c>
    </row>
    <row r="104" customFormat="false" ht="15" hidden="false" customHeight="true" outlineLevel="0" collapsed="false">
      <c r="A104" s="30" t="s">
        <v>4803</v>
      </c>
      <c r="B104" s="239" t="s">
        <v>4525</v>
      </c>
      <c r="C104" s="30" t="s">
        <v>4689</v>
      </c>
      <c r="D104" s="30" t="s">
        <v>4804</v>
      </c>
      <c r="E104" s="20" t="s">
        <v>4805</v>
      </c>
      <c r="F104" s="239" t="s">
        <v>348</v>
      </c>
      <c r="G104" s="239" t="s">
        <v>4527</v>
      </c>
      <c r="H104" s="30" t="s">
        <v>4806</v>
      </c>
      <c r="I104" s="20" t="s">
        <v>4562</v>
      </c>
      <c r="J104" s="30" t="s">
        <v>751</v>
      </c>
      <c r="K104" s="239"/>
      <c r="L104" s="239"/>
      <c r="M104" s="30" t="s">
        <v>751</v>
      </c>
      <c r="N104" s="20" t="s">
        <v>4754</v>
      </c>
      <c r="O104" s="6" t="s">
        <v>751</v>
      </c>
      <c r="P104" s="239" t="s">
        <v>4586</v>
      </c>
      <c r="Q104" s="46" t="n">
        <f aca="false">Spec_Rack!C23</f>
        <v>1.979</v>
      </c>
      <c r="R104" s="184" t="n">
        <f aca="false">SRC_HW_040</f>
        <v>1.979</v>
      </c>
      <c r="S104" s="44" t="str">
        <f aca="false">IF(ISNUMBER($AF104),INDEX(IDX_SrcStat,$AF104),"—")</f>
        <v>Active</v>
      </c>
      <c r="T104" s="44" t="n">
        <f aca="false">IF(ISNUMBER($AF104),INDEX(IDX_SrcGrade,$AF104),"—")</f>
        <v>1</v>
      </c>
      <c r="U104" s="44" t="s">
        <v>4564</v>
      </c>
      <c r="V104" s="32" t="n">
        <f aca="false">IF(AND($F104="原始數據",$U104&lt;&gt;"連結 SRC"),1,0)</f>
        <v>0</v>
      </c>
      <c r="W104" s="32" t="n">
        <f aca="false">IF(AND($F104="Analogy",OR($H104="—",$H104="")),1,0)</f>
        <v>0</v>
      </c>
      <c r="X104" s="32" t="n">
        <f aca="false">IF(AND(OR($F104="Analogy",$F104="Assumed"),$G104&lt;&gt;"低",$G104&lt;&gt;"高",NOT(ISNUMBER($K104)),NOT(ISNUMBER($L104)),OR($M104="—",$M104="")),1,0)</f>
        <v>0</v>
      </c>
      <c r="Y104" s="32" t="n">
        <f aca="false">IF(AND(OR($F104="Analogy",$F104="Assumed",$F104="Derived（待改公式）",$F104="Derived（公式）"),OR($N104="—",$N104="",$N104=0)),1,0)</f>
        <v>0</v>
      </c>
      <c r="Z104" s="32" t="n">
        <f aca="false">IF(AND($F104="Decision",OR($J104="—",$J104="")),1,0)</f>
        <v>0</v>
      </c>
      <c r="AA104" s="33" t="n">
        <f aca="false">IF(OR($J104="—",$J104=""),0,IF(COUNTIF(Decisions!$A$5:$A$300,$J104)=0,1,0))</f>
        <v>0</v>
      </c>
      <c r="AB104" s="32" t="n">
        <f aca="false">IF(AND($F104="原始數據",$S104&lt;&gt;"Active"),1,0)</f>
        <v>0</v>
      </c>
      <c r="AC104" s="32" t="n">
        <f aca="false">IF(AND(ISNUMBER($K104),ISNUMBER($L104),ISNUMBER($Q104)),IF(OR($Q104&lt;MIN($K104,$L104),$Q104&gt;MAX($K104,$L104)),1,0),0)</f>
        <v>0</v>
      </c>
      <c r="AD104" s="32" t="n">
        <f aca="false">IF(AND(ISNUMBER($T104),$P104="高"),IF($T104=3,1,0),0)</f>
        <v>0</v>
      </c>
      <c r="AE104" s="32" t="n">
        <f aca="false">IF($S104="不存在",1,0)</f>
        <v>0</v>
      </c>
      <c r="AF104" s="44" t="n">
        <f aca="false">IF(OR($H104="—",$H104=""),"—",MATCH($H104,IDX_SrcID,0))</f>
        <v>40</v>
      </c>
      <c r="AG104" s="32" t="n">
        <f aca="false">IF(AND($P104="高",OR($AD104=1,$X104=1)),1,0)</f>
        <v>0</v>
      </c>
      <c r="AH104" s="32" t="n">
        <f aca="false">IF(AND($P104="高",$AG104=0,OR($F104&lt;&gt;"原始數據",$T104&lt;&gt;1)),1,0)</f>
        <v>0</v>
      </c>
      <c r="AI104" s="44" t="str">
        <f aca="false">IF(AND($P104="高",ISNUMBER($AF104)),INDEX(IDX_SrcDate,$AF104),"—")</f>
        <v>—</v>
      </c>
      <c r="AJ104" s="32" t="n">
        <f aca="false">IF(AND(ISTEXT($AI104),LEN($AI104)=10),IF(ISNUMBER(VALUE(SUBSTITUTE($AI104,"-",""))),VALUE(SUBSTITUTE($AI104,"-","")),0),0)</f>
        <v>0</v>
      </c>
    </row>
    <row r="105" customFormat="false" ht="15" hidden="false" customHeight="true" outlineLevel="0" collapsed="false">
      <c r="A105" s="30" t="s">
        <v>4807</v>
      </c>
      <c r="B105" s="239" t="s">
        <v>4525</v>
      </c>
      <c r="C105" s="30" t="s">
        <v>4689</v>
      </c>
      <c r="D105" s="30" t="s">
        <v>4662</v>
      </c>
      <c r="E105" s="20" t="s">
        <v>4805</v>
      </c>
      <c r="F105" s="239" t="s">
        <v>348</v>
      </c>
      <c r="G105" s="239" t="s">
        <v>4527</v>
      </c>
      <c r="H105" s="30" t="s">
        <v>4808</v>
      </c>
      <c r="I105" s="20" t="s">
        <v>4562</v>
      </c>
      <c r="J105" s="30" t="s">
        <v>751</v>
      </c>
      <c r="K105" s="239"/>
      <c r="L105" s="239"/>
      <c r="M105" s="30" t="s">
        <v>751</v>
      </c>
      <c r="N105" s="20" t="s">
        <v>4754</v>
      </c>
      <c r="O105" s="6" t="s">
        <v>751</v>
      </c>
      <c r="P105" s="239" t="s">
        <v>4586</v>
      </c>
      <c r="Q105" s="46" t="n">
        <f aca="false">Spec_Rack!D23</f>
        <v>10</v>
      </c>
      <c r="R105" s="184" t="n">
        <f aca="false">SRC_HW_022</f>
        <v>10</v>
      </c>
      <c r="S105" s="44" t="str">
        <f aca="false">IF(ISNUMBER($AF105),INDEX(IDX_SrcStat,$AF105),"—")</f>
        <v>Active</v>
      </c>
      <c r="T105" s="44" t="n">
        <f aca="false">IF(ISNUMBER($AF105),INDEX(IDX_SrcGrade,$AF105),"—")</f>
        <v>1</v>
      </c>
      <c r="U105" s="44" t="s">
        <v>4564</v>
      </c>
      <c r="V105" s="32" t="n">
        <f aca="false">IF(AND($F105="原始數據",$U105&lt;&gt;"連結 SRC"),1,0)</f>
        <v>0</v>
      </c>
      <c r="W105" s="32" t="n">
        <f aca="false">IF(AND($F105="Analogy",OR($H105="—",$H105="")),1,0)</f>
        <v>0</v>
      </c>
      <c r="X105" s="32" t="n">
        <f aca="false">IF(AND(OR($F105="Analogy",$F105="Assumed"),$G105&lt;&gt;"低",$G105&lt;&gt;"高",NOT(ISNUMBER($K105)),NOT(ISNUMBER($L105)),OR($M105="—",$M105="")),1,0)</f>
        <v>0</v>
      </c>
      <c r="Y105" s="32" t="n">
        <f aca="false">IF(AND(OR($F105="Analogy",$F105="Assumed",$F105="Derived（待改公式）",$F105="Derived（公式）"),OR($N105="—",$N105="",$N105=0)),1,0)</f>
        <v>0</v>
      </c>
      <c r="Z105" s="32" t="n">
        <f aca="false">IF(AND($F105="Decision",OR($J105="—",$J105="")),1,0)</f>
        <v>0</v>
      </c>
      <c r="AA105" s="33" t="n">
        <f aca="false">IF(OR($J105="—",$J105=""),0,IF(COUNTIF(Decisions!$A$5:$A$300,$J105)=0,1,0))</f>
        <v>0</v>
      </c>
      <c r="AB105" s="32" t="n">
        <f aca="false">IF(AND($F105="原始數據",$S105&lt;&gt;"Active"),1,0)</f>
        <v>0</v>
      </c>
      <c r="AC105" s="32" t="n">
        <f aca="false">IF(AND(ISNUMBER($K105),ISNUMBER($L105),ISNUMBER($Q105)),IF(OR($Q105&lt;MIN($K105,$L105),$Q105&gt;MAX($K105,$L105)),1,0),0)</f>
        <v>0</v>
      </c>
      <c r="AD105" s="32" t="n">
        <f aca="false">IF(AND(ISNUMBER($T105),$P105="高"),IF($T105=3,1,0),0)</f>
        <v>0</v>
      </c>
      <c r="AE105" s="32" t="n">
        <f aca="false">IF($S105="不存在",1,0)</f>
        <v>0</v>
      </c>
      <c r="AF105" s="44" t="n">
        <f aca="false">IF(OR($H105="—",$H105=""),"—",MATCH($H105,IDX_SrcID,0))</f>
        <v>22</v>
      </c>
      <c r="AG105" s="32" t="n">
        <f aca="false">IF(AND($P105="高",OR($AD105=1,$X105=1)),1,0)</f>
        <v>0</v>
      </c>
      <c r="AH105" s="32" t="n">
        <f aca="false">IF(AND($P105="高",$AG105=0,OR($F105&lt;&gt;"原始數據",$T105&lt;&gt;1)),1,0)</f>
        <v>0</v>
      </c>
      <c r="AI105" s="44" t="str">
        <f aca="false">IF(AND($P105="高",ISNUMBER($AF105)),INDEX(IDX_SrcDate,$AF105),"—")</f>
        <v>—</v>
      </c>
      <c r="AJ105" s="32" t="n">
        <f aca="false">IF(AND(ISTEXT($AI105),LEN($AI105)=10),IF(ISNUMBER(VALUE(SUBSTITUTE($AI105,"-",""))),VALUE(SUBSTITUTE($AI105,"-","")),0),0)</f>
        <v>0</v>
      </c>
    </row>
    <row r="106" customFormat="false" ht="15" hidden="false" customHeight="true" outlineLevel="0" collapsed="false">
      <c r="A106" s="30" t="s">
        <v>4809</v>
      </c>
      <c r="B106" s="239" t="s">
        <v>4525</v>
      </c>
      <c r="C106" s="30" t="s">
        <v>4689</v>
      </c>
      <c r="D106" s="30" t="s">
        <v>4667</v>
      </c>
      <c r="E106" s="20" t="s">
        <v>4805</v>
      </c>
      <c r="F106" s="239" t="s">
        <v>348</v>
      </c>
      <c r="G106" s="239" t="s">
        <v>4527</v>
      </c>
      <c r="H106" s="30" t="s">
        <v>4810</v>
      </c>
      <c r="I106" s="20" t="s">
        <v>4562</v>
      </c>
      <c r="J106" s="30" t="s">
        <v>751</v>
      </c>
      <c r="K106" s="239"/>
      <c r="L106" s="239"/>
      <c r="M106" s="30" t="s">
        <v>751</v>
      </c>
      <c r="N106" s="20" t="s">
        <v>4754</v>
      </c>
      <c r="O106" s="6" t="s">
        <v>751</v>
      </c>
      <c r="P106" s="239" t="s">
        <v>4586</v>
      </c>
      <c r="Q106" s="46" t="n">
        <f aca="false">Spec_Rack!E23</f>
        <v>15</v>
      </c>
      <c r="R106" s="184" t="n">
        <f aca="false">SRC_HW_025</f>
        <v>15</v>
      </c>
      <c r="S106" s="44" t="str">
        <f aca="false">IF(ISNUMBER($AF106),INDEX(IDX_SrcStat,$AF106),"—")</f>
        <v>Active</v>
      </c>
      <c r="T106" s="44" t="n">
        <f aca="false">IF(ISNUMBER($AF106),INDEX(IDX_SrcGrade,$AF106),"—")</f>
        <v>1</v>
      </c>
      <c r="U106" s="44" t="s">
        <v>4564</v>
      </c>
      <c r="V106" s="32" t="n">
        <f aca="false">IF(AND($F106="原始數據",$U106&lt;&gt;"連結 SRC"),1,0)</f>
        <v>0</v>
      </c>
      <c r="W106" s="32" t="n">
        <f aca="false">IF(AND($F106="Analogy",OR($H106="—",$H106="")),1,0)</f>
        <v>0</v>
      </c>
      <c r="X106" s="32" t="n">
        <f aca="false">IF(AND(OR($F106="Analogy",$F106="Assumed"),$G106&lt;&gt;"低",$G106&lt;&gt;"高",NOT(ISNUMBER($K106)),NOT(ISNUMBER($L106)),OR($M106="—",$M106="")),1,0)</f>
        <v>0</v>
      </c>
      <c r="Y106" s="32" t="n">
        <f aca="false">IF(AND(OR($F106="Analogy",$F106="Assumed",$F106="Derived（待改公式）",$F106="Derived（公式）"),OR($N106="—",$N106="",$N106=0)),1,0)</f>
        <v>0</v>
      </c>
      <c r="Z106" s="32" t="n">
        <f aca="false">IF(AND($F106="Decision",OR($J106="—",$J106="")),1,0)</f>
        <v>0</v>
      </c>
      <c r="AA106" s="33" t="n">
        <f aca="false">IF(OR($J106="—",$J106=""),0,IF(COUNTIF(Decisions!$A$5:$A$300,$J106)=0,1,0))</f>
        <v>0</v>
      </c>
      <c r="AB106" s="32" t="n">
        <f aca="false">IF(AND($F106="原始數據",$S106&lt;&gt;"Active"),1,0)</f>
        <v>0</v>
      </c>
      <c r="AC106" s="32" t="n">
        <f aca="false">IF(AND(ISNUMBER($K106),ISNUMBER($L106),ISNUMBER($Q106)),IF(OR($Q106&lt;MIN($K106,$L106),$Q106&gt;MAX($K106,$L106)),1,0),0)</f>
        <v>0</v>
      </c>
      <c r="AD106" s="32" t="n">
        <f aca="false">IF(AND(ISNUMBER($T106),$P106="高"),IF($T106=3,1,0),0)</f>
        <v>0</v>
      </c>
      <c r="AE106" s="32" t="n">
        <f aca="false">IF($S106="不存在",1,0)</f>
        <v>0</v>
      </c>
      <c r="AF106" s="44" t="n">
        <f aca="false">IF(OR($H106="—",$H106=""),"—",MATCH($H106,IDX_SrcID,0))</f>
        <v>25</v>
      </c>
      <c r="AG106" s="32" t="n">
        <f aca="false">IF(AND($P106="高",OR($AD106=1,$X106=1)),1,0)</f>
        <v>0</v>
      </c>
      <c r="AH106" s="32" t="n">
        <f aca="false">IF(AND($P106="高",$AG106=0,OR($F106&lt;&gt;"原始數據",$T106&lt;&gt;1)),1,0)</f>
        <v>0</v>
      </c>
      <c r="AI106" s="44" t="str">
        <f aca="false">IF(AND($P106="高",ISNUMBER($AF106)),INDEX(IDX_SrcDate,$AF106),"—")</f>
        <v>—</v>
      </c>
      <c r="AJ106" s="32" t="n">
        <f aca="false">IF(AND(ISTEXT($AI106),LEN($AI106)=10),IF(ISNUMBER(VALUE(SUBSTITUTE($AI106,"-",""))),VALUE(SUBSTITUTE($AI106,"-","")),0),0)</f>
        <v>0</v>
      </c>
    </row>
    <row r="107" customFormat="false" ht="15" hidden="false" customHeight="true" outlineLevel="0" collapsed="false">
      <c r="A107" s="30" t="s">
        <v>4811</v>
      </c>
      <c r="B107" s="239" t="s">
        <v>4525</v>
      </c>
      <c r="C107" s="30" t="s">
        <v>4689</v>
      </c>
      <c r="D107" s="30" t="s">
        <v>4669</v>
      </c>
      <c r="E107" s="20" t="s">
        <v>4805</v>
      </c>
      <c r="F107" s="239" t="s">
        <v>348</v>
      </c>
      <c r="G107" s="239" t="s">
        <v>4527</v>
      </c>
      <c r="H107" s="30" t="s">
        <v>4812</v>
      </c>
      <c r="I107" s="20" t="s">
        <v>4562</v>
      </c>
      <c r="J107" s="30" t="s">
        <v>751</v>
      </c>
      <c r="K107" s="239"/>
      <c r="L107" s="239"/>
      <c r="M107" s="30" t="s">
        <v>751</v>
      </c>
      <c r="N107" s="20" t="s">
        <v>4754</v>
      </c>
      <c r="O107" s="6" t="s">
        <v>751</v>
      </c>
      <c r="P107" s="239" t="s">
        <v>4586</v>
      </c>
      <c r="Q107" s="46" t="n">
        <f aca="false">Spec_Rack!F23</f>
        <v>35</v>
      </c>
      <c r="R107" s="184" t="n">
        <f aca="false">SRC_HW_028</f>
        <v>35</v>
      </c>
      <c r="S107" s="44" t="str">
        <f aca="false">IF(ISNUMBER($AF107),INDEX(IDX_SrcStat,$AF107),"—")</f>
        <v>Active</v>
      </c>
      <c r="T107" s="44" t="n">
        <f aca="false">IF(ISNUMBER($AF107),INDEX(IDX_SrcGrade,$AF107),"—")</f>
        <v>1</v>
      </c>
      <c r="U107" s="44" t="s">
        <v>4564</v>
      </c>
      <c r="V107" s="32" t="n">
        <f aca="false">IF(AND($F107="原始數據",$U107&lt;&gt;"連結 SRC"),1,0)</f>
        <v>0</v>
      </c>
      <c r="W107" s="32" t="n">
        <f aca="false">IF(AND($F107="Analogy",OR($H107="—",$H107="")),1,0)</f>
        <v>0</v>
      </c>
      <c r="X107" s="32" t="n">
        <f aca="false">IF(AND(OR($F107="Analogy",$F107="Assumed"),$G107&lt;&gt;"低",$G107&lt;&gt;"高",NOT(ISNUMBER($K107)),NOT(ISNUMBER($L107)),OR($M107="—",$M107="")),1,0)</f>
        <v>0</v>
      </c>
      <c r="Y107" s="32" t="n">
        <f aca="false">IF(AND(OR($F107="Analogy",$F107="Assumed",$F107="Derived（待改公式）",$F107="Derived（公式）"),OR($N107="—",$N107="",$N107=0)),1,0)</f>
        <v>0</v>
      </c>
      <c r="Z107" s="32" t="n">
        <f aca="false">IF(AND($F107="Decision",OR($J107="—",$J107="")),1,0)</f>
        <v>0</v>
      </c>
      <c r="AA107" s="33" t="n">
        <f aca="false">IF(OR($J107="—",$J107=""),0,IF(COUNTIF(Decisions!$A$5:$A$300,$J107)=0,1,0))</f>
        <v>0</v>
      </c>
      <c r="AB107" s="32" t="n">
        <f aca="false">IF(AND($F107="原始數據",$S107&lt;&gt;"Active"),1,0)</f>
        <v>0</v>
      </c>
      <c r="AC107" s="32" t="n">
        <f aca="false">IF(AND(ISNUMBER($K107),ISNUMBER($L107),ISNUMBER($Q107)),IF(OR($Q107&lt;MIN($K107,$L107),$Q107&gt;MAX($K107,$L107)),1,0),0)</f>
        <v>0</v>
      </c>
      <c r="AD107" s="32" t="n">
        <f aca="false">IF(AND(ISNUMBER($T107),$P107="高"),IF($T107=3,1,0),0)</f>
        <v>0</v>
      </c>
      <c r="AE107" s="32" t="n">
        <f aca="false">IF($S107="不存在",1,0)</f>
        <v>0</v>
      </c>
      <c r="AF107" s="44" t="n">
        <f aca="false">IF(OR($H107="—",$H107=""),"—",MATCH($H107,IDX_SrcID,0))</f>
        <v>28</v>
      </c>
      <c r="AG107" s="32" t="n">
        <f aca="false">IF(AND($P107="高",OR($AD107=1,$X107=1)),1,0)</f>
        <v>0</v>
      </c>
      <c r="AH107" s="32" t="n">
        <f aca="false">IF(AND($P107="高",$AG107=0,OR($F107&lt;&gt;"原始數據",$T107&lt;&gt;1)),1,0)</f>
        <v>0</v>
      </c>
      <c r="AI107" s="44" t="str">
        <f aca="false">IF(AND($P107="高",ISNUMBER($AF107)),INDEX(IDX_SrcDate,$AF107),"—")</f>
        <v>—</v>
      </c>
      <c r="AJ107" s="32" t="n">
        <f aca="false">IF(AND(ISTEXT($AI107),LEN($AI107)=10),IF(ISNUMBER(VALUE(SUBSTITUTE($AI107,"-",""))),VALUE(SUBSTITUTE($AI107,"-","")),0),0)</f>
        <v>0</v>
      </c>
    </row>
    <row r="108" customFormat="false" ht="15" hidden="false" customHeight="true" outlineLevel="0" collapsed="false">
      <c r="A108" s="30" t="s">
        <v>4813</v>
      </c>
      <c r="B108" s="239" t="s">
        <v>4525</v>
      </c>
      <c r="C108" s="30" t="s">
        <v>4689</v>
      </c>
      <c r="D108" s="30" t="s">
        <v>4814</v>
      </c>
      <c r="E108" s="20" t="s">
        <v>4805</v>
      </c>
      <c r="F108" s="30" t="s">
        <v>162</v>
      </c>
      <c r="G108" s="239" t="s">
        <v>97</v>
      </c>
      <c r="H108" s="30" t="s">
        <v>4815</v>
      </c>
      <c r="I108" s="6" t="s">
        <v>4816</v>
      </c>
      <c r="J108" s="30" t="s">
        <v>751</v>
      </c>
      <c r="K108" s="184" t="n">
        <f aca="false">Spec_Rack!G23*0.7</f>
        <v>49</v>
      </c>
      <c r="L108" s="184" t="n">
        <f aca="false">Spec_Rack!G23*1.3</f>
        <v>91</v>
      </c>
      <c r="M108" s="30" t="s">
        <v>4817</v>
      </c>
      <c r="N108" s="6" t="s">
        <v>4818</v>
      </c>
      <c r="O108" s="6" t="s">
        <v>4819</v>
      </c>
      <c r="P108" s="239" t="s">
        <v>1309</v>
      </c>
      <c r="Q108" s="46" t="n">
        <f aca="false">Spec_Rack!G23</f>
        <v>70</v>
      </c>
      <c r="R108" s="184" t="n">
        <f aca="false">SRC_HW_063</f>
        <v>2520</v>
      </c>
      <c r="S108" s="44" t="str">
        <f aca="false">IF(ISNUMBER($AF108),INDEX(IDX_SrcStat,$AF108),"—")</f>
        <v>Active</v>
      </c>
      <c r="T108" s="44" t="n">
        <f aca="false">IF(ISNUMBER($AF108),INDEX(IDX_SrcGrade,$AF108),"—")</f>
        <v>1</v>
      </c>
      <c r="U108" s="44" t="s">
        <v>4531</v>
      </c>
      <c r="V108" s="32" t="n">
        <f aca="false">IF(AND($F108="原始數據",$U108&lt;&gt;"連結 SRC"),1,0)</f>
        <v>0</v>
      </c>
      <c r="W108" s="32" t="n">
        <f aca="false">IF(AND($F108="Analogy",OR($H108="—",$H108="")),1,0)</f>
        <v>0</v>
      </c>
      <c r="X108" s="32" t="n">
        <f aca="false">IF(AND(OR($F108="Analogy",$F108="Assumed"),$G108&lt;&gt;"低",$G108&lt;&gt;"高",NOT(ISNUMBER($K108)),NOT(ISNUMBER($L108)),OR($M108="—",$M108="")),1,0)</f>
        <v>0</v>
      </c>
      <c r="Y108" s="32" t="n">
        <f aca="false">IF(AND(OR($F108="Analogy",$F108="Assumed",$F108="Derived（待改公式）",$F108="Derived（公式）"),OR($N108="—",$N108="",$N108=0)),1,0)</f>
        <v>0</v>
      </c>
      <c r="Z108" s="32" t="n">
        <f aca="false">IF(AND($F108="Decision",OR($J108="—",$J108="")),1,0)</f>
        <v>0</v>
      </c>
      <c r="AA108" s="33" t="n">
        <f aca="false">IF(OR($J108="—",$J108=""),0,IF(COUNTIF(Decisions!$A$5:$A$300,$J108)=0,1,0))</f>
        <v>0</v>
      </c>
      <c r="AB108" s="32" t="n">
        <f aca="false">IF(AND($F108="原始數據",$S108&lt;&gt;"Active"),1,0)</f>
        <v>0</v>
      </c>
      <c r="AC108" s="32" t="n">
        <f aca="false">IF(AND(ISNUMBER($K108),ISNUMBER($L108),ISNUMBER($Q108)),IF(OR($Q108&lt;MIN($K108,$L108),$Q108&gt;MAX($K108,$L108)),1,0),0)</f>
        <v>0</v>
      </c>
      <c r="AD108" s="32" t="n">
        <f aca="false">IF(AND(ISNUMBER($T108),$P108="高"),IF($T108=3,1,0),0)</f>
        <v>0</v>
      </c>
      <c r="AE108" s="32" t="n">
        <f aca="false">IF($S108="不存在",1,0)</f>
        <v>0</v>
      </c>
      <c r="AF108" s="44" t="n">
        <f aca="false">IF(OR($H108="—",$H108=""),"—",MATCH($H108,IDX_SrcID,0))</f>
        <v>63</v>
      </c>
      <c r="AG108" s="32" t="n">
        <f aca="false">IF(AND($P108="高",OR($AD108=1,$X108=1)),1,0)</f>
        <v>0</v>
      </c>
      <c r="AH108" s="32" t="n">
        <f aca="false">IF(AND($P108="高",$AG108=0,OR($F108&lt;&gt;"原始數據",$T108&lt;&gt;1)),1,0)</f>
        <v>1</v>
      </c>
      <c r="AI108" s="44" t="str">
        <f aca="false">IF(AND($P108="高",ISNUMBER($AF108)),INDEX(IDX_SrcDate,$AF108),"—")</f>
        <v>—</v>
      </c>
      <c r="AJ108" s="32" t="n">
        <f aca="false">IF(AND(ISTEXT($AI108),LEN($AI108)=10),IF(ISNUMBER(VALUE(SUBSTITUTE($AI108,"-",""))),VALUE(SUBSTITUTE($AI108,"-","")),0),0)</f>
        <v>0</v>
      </c>
    </row>
    <row r="109" customFormat="false" ht="29.25" hidden="false" customHeight="true" outlineLevel="0" collapsed="false">
      <c r="A109" s="30" t="s">
        <v>4820</v>
      </c>
      <c r="B109" s="239" t="s">
        <v>4525</v>
      </c>
      <c r="C109" s="30" t="s">
        <v>4689</v>
      </c>
      <c r="D109" s="30" t="s">
        <v>4821</v>
      </c>
      <c r="E109" s="20" t="s">
        <v>4822</v>
      </c>
      <c r="F109" s="30" t="s">
        <v>4619</v>
      </c>
      <c r="G109" s="239" t="s">
        <v>4527</v>
      </c>
      <c r="H109" s="30" t="s">
        <v>751</v>
      </c>
      <c r="I109" s="6" t="s">
        <v>751</v>
      </c>
      <c r="J109" s="30" t="s">
        <v>751</v>
      </c>
      <c r="K109" s="239"/>
      <c r="L109" s="239"/>
      <c r="M109" s="30" t="s">
        <v>751</v>
      </c>
      <c r="N109" s="6" t="s">
        <v>4823</v>
      </c>
      <c r="O109" s="6" t="s">
        <v>751</v>
      </c>
      <c r="P109" s="239" t="s">
        <v>1309</v>
      </c>
      <c r="Q109" s="46" t="n">
        <f aca="false">Spec_Rack!C24</f>
        <v>1.979</v>
      </c>
      <c r="R109" s="30" t="s">
        <v>751</v>
      </c>
      <c r="S109" s="44" t="str">
        <f aca="false">IF(ISNUMBER($AF109),INDEX(IDX_SrcStat,$AF109),"—")</f>
        <v>—</v>
      </c>
      <c r="T109" s="44" t="str">
        <f aca="false">IF(ISNUMBER($AF109),INDEX(IDX_SrcGrade,$AF109),"—")</f>
        <v>—</v>
      </c>
      <c r="U109" s="44" t="s">
        <v>4623</v>
      </c>
      <c r="V109" s="32" t="n">
        <f aca="false">IF(AND($F109="原始數據",$U109&lt;&gt;"連結 SRC"),1,0)</f>
        <v>0</v>
      </c>
      <c r="W109" s="32" t="n">
        <f aca="false">IF(AND($F109="Analogy",OR($H109="—",$H109="")),1,0)</f>
        <v>0</v>
      </c>
      <c r="X109" s="32" t="n">
        <f aca="false">IF(AND(OR($F109="Analogy",$F109="Assumed"),$G109&lt;&gt;"低",$G109&lt;&gt;"高",NOT(ISNUMBER($K109)),NOT(ISNUMBER($L109)),OR($M109="—",$M109="")),1,0)</f>
        <v>0</v>
      </c>
      <c r="Y109" s="32" t="n">
        <f aca="false">IF(AND(OR($F109="Analogy",$F109="Assumed",$F109="Derived（待改公式）",$F109="Derived（公式）"),OR($N109="—",$N109="",$N109=0)),1,0)</f>
        <v>0</v>
      </c>
      <c r="Z109" s="32" t="n">
        <f aca="false">IF(AND($F109="Decision",OR($J109="—",$J109="")),1,0)</f>
        <v>0</v>
      </c>
      <c r="AA109" s="33" t="n">
        <f aca="false">IF(OR($J109="—",$J109=""),0,IF(COUNTIF(Decisions!$A$5:$A$300,$J109)=0,1,0))</f>
        <v>0</v>
      </c>
      <c r="AB109" s="32" t="n">
        <f aca="false">IF(AND($F109="原始數據",$S109&lt;&gt;"Active"),1,0)</f>
        <v>0</v>
      </c>
      <c r="AC109" s="32" t="n">
        <f aca="false">IF(AND(ISNUMBER($K109),ISNUMBER($L109),ISNUMBER($Q109)),IF(OR($Q109&lt;MIN($K109,$L109),$Q109&gt;MAX($K109,$L109)),1,0),0)</f>
        <v>0</v>
      </c>
      <c r="AD109" s="32" t="n">
        <f aca="false">IF(AND(ISNUMBER($T109),$P109="高"),IF($T109=3,1,0),0)</f>
        <v>0</v>
      </c>
      <c r="AE109" s="32" t="n">
        <f aca="false">IF($S109="不存在",1,0)</f>
        <v>0</v>
      </c>
      <c r="AF109" s="44" t="str">
        <f aca="false">IF(OR($H109="—",$H109=""),"—",MATCH($H109,IDX_SrcID,0))</f>
        <v>—</v>
      </c>
      <c r="AG109" s="32" t="n">
        <f aca="false">IF(AND($P109="高",OR($AD109=1,$X109=1)),1,0)</f>
        <v>0</v>
      </c>
      <c r="AH109" s="32" t="n">
        <f aca="false">IF(AND($P109="高",$AG109=0,OR($F109&lt;&gt;"原始數據",$T109&lt;&gt;1)),1,0)</f>
        <v>1</v>
      </c>
      <c r="AI109" s="44" t="str">
        <f aca="false">IF(AND($P109="高",ISNUMBER($AF109)),INDEX(IDX_SrcDate,$AF109),"—")</f>
        <v>—</v>
      </c>
      <c r="AJ109" s="32" t="n">
        <f aca="false">IF(AND(ISTEXT($AI109),LEN($AI109)=10),IF(ISNUMBER(VALUE(SUBSTITUTE($AI109,"-",""))),VALUE(SUBSTITUTE($AI109,"-","")),0),0)</f>
        <v>0</v>
      </c>
    </row>
    <row r="110" customFormat="false" ht="29.25" hidden="false" customHeight="true" outlineLevel="0" collapsed="false">
      <c r="A110" s="30" t="s">
        <v>4824</v>
      </c>
      <c r="B110" s="239" t="s">
        <v>4525</v>
      </c>
      <c r="C110" s="30" t="s">
        <v>4689</v>
      </c>
      <c r="D110" s="30" t="s">
        <v>4825</v>
      </c>
      <c r="E110" s="20" t="s">
        <v>4822</v>
      </c>
      <c r="F110" s="239" t="s">
        <v>348</v>
      </c>
      <c r="G110" s="239" t="s">
        <v>4527</v>
      </c>
      <c r="H110" s="30" t="s">
        <v>4808</v>
      </c>
      <c r="I110" s="20" t="s">
        <v>4562</v>
      </c>
      <c r="J110" s="30" t="s">
        <v>751</v>
      </c>
      <c r="K110" s="239"/>
      <c r="L110" s="239"/>
      <c r="M110" s="30" t="s">
        <v>751</v>
      </c>
      <c r="N110" s="20" t="s">
        <v>4665</v>
      </c>
      <c r="O110" s="6" t="s">
        <v>751</v>
      </c>
      <c r="P110" s="239" t="s">
        <v>1309</v>
      </c>
      <c r="Q110" s="46" t="n">
        <f aca="false">Spec_Rack!D24</f>
        <v>10</v>
      </c>
      <c r="R110" s="184" t="n">
        <f aca="false">SRC_HW_022</f>
        <v>10</v>
      </c>
      <c r="S110" s="44" t="str">
        <f aca="false">IF(ISNUMBER($AF110),INDEX(IDX_SrcStat,$AF110),"—")</f>
        <v>Active</v>
      </c>
      <c r="T110" s="44" t="n">
        <f aca="false">IF(ISNUMBER($AF110),INDEX(IDX_SrcGrade,$AF110),"—")</f>
        <v>1</v>
      </c>
      <c r="U110" s="44" t="s">
        <v>4564</v>
      </c>
      <c r="V110" s="32" t="n">
        <f aca="false">IF(AND($F110="原始數據",$U110&lt;&gt;"連結 SRC"),1,0)</f>
        <v>0</v>
      </c>
      <c r="W110" s="32" t="n">
        <f aca="false">IF(AND($F110="Analogy",OR($H110="—",$H110="")),1,0)</f>
        <v>0</v>
      </c>
      <c r="X110" s="32" t="n">
        <f aca="false">IF(AND(OR($F110="Analogy",$F110="Assumed"),$G110&lt;&gt;"低",$G110&lt;&gt;"高",NOT(ISNUMBER($K110)),NOT(ISNUMBER($L110)),OR($M110="—",$M110="")),1,0)</f>
        <v>0</v>
      </c>
      <c r="Y110" s="32" t="n">
        <f aca="false">IF(AND(OR($F110="Analogy",$F110="Assumed",$F110="Derived（待改公式）",$F110="Derived（公式）"),OR($N110="—",$N110="",$N110=0)),1,0)</f>
        <v>0</v>
      </c>
      <c r="Z110" s="32" t="n">
        <f aca="false">IF(AND($F110="Decision",OR($J110="—",$J110="")),1,0)</f>
        <v>0</v>
      </c>
      <c r="AA110" s="33" t="n">
        <f aca="false">IF(OR($J110="—",$J110=""),0,IF(COUNTIF(Decisions!$A$5:$A$300,$J110)=0,1,0))</f>
        <v>0</v>
      </c>
      <c r="AB110" s="32" t="n">
        <f aca="false">IF(AND($F110="原始數據",$S110&lt;&gt;"Active"),1,0)</f>
        <v>0</v>
      </c>
      <c r="AC110" s="32" t="n">
        <f aca="false">IF(AND(ISNUMBER($K110),ISNUMBER($L110),ISNUMBER($Q110)),IF(OR($Q110&lt;MIN($K110,$L110),$Q110&gt;MAX($K110,$L110)),1,0),0)</f>
        <v>0</v>
      </c>
      <c r="AD110" s="32" t="n">
        <f aca="false">IF(AND(ISNUMBER($T110),$P110="高"),IF($T110=3,1,0),0)</f>
        <v>0</v>
      </c>
      <c r="AE110" s="32" t="n">
        <f aca="false">IF($S110="不存在",1,0)</f>
        <v>0</v>
      </c>
      <c r="AF110" s="44" t="n">
        <f aca="false">IF(OR($H110="—",$H110=""),"—",MATCH($H110,IDX_SrcID,0))</f>
        <v>22</v>
      </c>
      <c r="AG110" s="32" t="n">
        <f aca="false">IF(AND($P110="高",OR($AD110=1,$X110=1)),1,0)</f>
        <v>0</v>
      </c>
      <c r="AH110" s="32" t="n">
        <f aca="false">IF(AND($P110="高",$AG110=0,OR($F110&lt;&gt;"原始數據",$T110&lt;&gt;1)),1,0)</f>
        <v>0</v>
      </c>
      <c r="AI110" s="44" t="str">
        <f aca="false">IF(AND($P110="高",ISNUMBER($AF110)),INDEX(IDX_SrcDate,$AF110),"—")</f>
        <v>2026-10-05</v>
      </c>
      <c r="AJ110" s="32" t="n">
        <f aca="false">IF(AND(ISTEXT($AI110),LEN($AI110)=10),IF(ISNUMBER(VALUE(SUBSTITUTE($AI110,"-",""))),VALUE(SUBSTITUTE($AI110,"-","")),0),0)</f>
        <v>20261005</v>
      </c>
    </row>
    <row r="111" customFormat="false" ht="29.25" hidden="false" customHeight="true" outlineLevel="0" collapsed="false">
      <c r="A111" s="30" t="s">
        <v>4826</v>
      </c>
      <c r="B111" s="239" t="s">
        <v>4525</v>
      </c>
      <c r="C111" s="30" t="s">
        <v>4689</v>
      </c>
      <c r="D111" s="30" t="s">
        <v>4672</v>
      </c>
      <c r="E111" s="20" t="s">
        <v>4822</v>
      </c>
      <c r="F111" s="239" t="s">
        <v>348</v>
      </c>
      <c r="G111" s="239" t="s">
        <v>4527</v>
      </c>
      <c r="H111" s="30" t="s">
        <v>4810</v>
      </c>
      <c r="I111" s="20" t="s">
        <v>4562</v>
      </c>
      <c r="J111" s="30" t="s">
        <v>751</v>
      </c>
      <c r="K111" s="239"/>
      <c r="L111" s="239"/>
      <c r="M111" s="30" t="s">
        <v>751</v>
      </c>
      <c r="N111" s="20" t="s">
        <v>4665</v>
      </c>
      <c r="O111" s="6" t="s">
        <v>751</v>
      </c>
      <c r="P111" s="239" t="s">
        <v>1309</v>
      </c>
      <c r="Q111" s="46" t="n">
        <f aca="false">Spec_Rack!E24</f>
        <v>15</v>
      </c>
      <c r="R111" s="184" t="n">
        <f aca="false">SRC_HW_025</f>
        <v>15</v>
      </c>
      <c r="S111" s="44" t="str">
        <f aca="false">IF(ISNUMBER($AF111),INDEX(IDX_SrcStat,$AF111),"—")</f>
        <v>Active</v>
      </c>
      <c r="T111" s="44" t="n">
        <f aca="false">IF(ISNUMBER($AF111),INDEX(IDX_SrcGrade,$AF111),"—")</f>
        <v>1</v>
      </c>
      <c r="U111" s="44" t="s">
        <v>4564</v>
      </c>
      <c r="V111" s="32" t="n">
        <f aca="false">IF(AND($F111="原始數據",$U111&lt;&gt;"連結 SRC"),1,0)</f>
        <v>0</v>
      </c>
      <c r="W111" s="32" t="n">
        <f aca="false">IF(AND($F111="Analogy",OR($H111="—",$H111="")),1,0)</f>
        <v>0</v>
      </c>
      <c r="X111" s="32" t="n">
        <f aca="false">IF(AND(OR($F111="Analogy",$F111="Assumed"),$G111&lt;&gt;"低",$G111&lt;&gt;"高",NOT(ISNUMBER($K111)),NOT(ISNUMBER($L111)),OR($M111="—",$M111="")),1,0)</f>
        <v>0</v>
      </c>
      <c r="Y111" s="32" t="n">
        <f aca="false">IF(AND(OR($F111="Analogy",$F111="Assumed",$F111="Derived（待改公式）",$F111="Derived（公式）"),OR($N111="—",$N111="",$N111=0)),1,0)</f>
        <v>0</v>
      </c>
      <c r="Z111" s="32" t="n">
        <f aca="false">IF(AND($F111="Decision",OR($J111="—",$J111="")),1,0)</f>
        <v>0</v>
      </c>
      <c r="AA111" s="33" t="n">
        <f aca="false">IF(OR($J111="—",$J111=""),0,IF(COUNTIF(Decisions!$A$5:$A$300,$J111)=0,1,0))</f>
        <v>0</v>
      </c>
      <c r="AB111" s="32" t="n">
        <f aca="false">IF(AND($F111="原始數據",$S111&lt;&gt;"Active"),1,0)</f>
        <v>0</v>
      </c>
      <c r="AC111" s="32" t="n">
        <f aca="false">IF(AND(ISNUMBER($K111),ISNUMBER($L111),ISNUMBER($Q111)),IF(OR($Q111&lt;MIN($K111,$L111),$Q111&gt;MAX($K111,$L111)),1,0),0)</f>
        <v>0</v>
      </c>
      <c r="AD111" s="32" t="n">
        <f aca="false">IF(AND(ISNUMBER($T111),$P111="高"),IF($T111=3,1,0),0)</f>
        <v>0</v>
      </c>
      <c r="AE111" s="32" t="n">
        <f aca="false">IF($S111="不存在",1,0)</f>
        <v>0</v>
      </c>
      <c r="AF111" s="44" t="n">
        <f aca="false">IF(OR($H111="—",$H111=""),"—",MATCH($H111,IDX_SrcID,0))</f>
        <v>25</v>
      </c>
      <c r="AG111" s="32" t="n">
        <f aca="false">IF(AND($P111="高",OR($AD111=1,$X111=1)),1,0)</f>
        <v>0</v>
      </c>
      <c r="AH111" s="32" t="n">
        <f aca="false">IF(AND($P111="高",$AG111=0,OR($F111&lt;&gt;"原始數據",$T111&lt;&gt;1)),1,0)</f>
        <v>0</v>
      </c>
      <c r="AI111" s="44" t="str">
        <f aca="false">IF(AND($P111="高",ISNUMBER($AF111)),INDEX(IDX_SrcDate,$AF111),"—")</f>
        <v>2026-10-05</v>
      </c>
      <c r="AJ111" s="32" t="n">
        <f aca="false">IF(AND(ISTEXT($AI111),LEN($AI111)=10),IF(ISNUMBER(VALUE(SUBSTITUTE($AI111,"-",""))),VALUE(SUBSTITUTE($AI111,"-","")),0),0)</f>
        <v>20261005</v>
      </c>
    </row>
    <row r="112" customFormat="false" ht="29.25" hidden="false" customHeight="true" outlineLevel="0" collapsed="false">
      <c r="A112" s="30" t="s">
        <v>4827</v>
      </c>
      <c r="B112" s="239" t="s">
        <v>4525</v>
      </c>
      <c r="C112" s="30" t="s">
        <v>4689</v>
      </c>
      <c r="D112" s="30" t="s">
        <v>4828</v>
      </c>
      <c r="E112" s="20" t="s">
        <v>4822</v>
      </c>
      <c r="F112" s="239" t="s">
        <v>348</v>
      </c>
      <c r="G112" s="239" t="s">
        <v>4527</v>
      </c>
      <c r="H112" s="30" t="s">
        <v>4829</v>
      </c>
      <c r="I112" s="20" t="s">
        <v>4562</v>
      </c>
      <c r="J112" s="30" t="s">
        <v>751</v>
      </c>
      <c r="K112" s="239"/>
      <c r="L112" s="239"/>
      <c r="M112" s="30" t="s">
        <v>751</v>
      </c>
      <c r="N112" s="20" t="s">
        <v>4665</v>
      </c>
      <c r="O112" s="6" t="s">
        <v>751</v>
      </c>
      <c r="P112" s="239" t="s">
        <v>1309</v>
      </c>
      <c r="Q112" s="46" t="n">
        <f aca="false">Spec_Rack!F24</f>
        <v>50</v>
      </c>
      <c r="R112" s="184" t="n">
        <f aca="false">SRC_HW_027</f>
        <v>50</v>
      </c>
      <c r="S112" s="44" t="str">
        <f aca="false">IF(ISNUMBER($AF112),INDEX(IDX_SrcStat,$AF112),"—")</f>
        <v>Active</v>
      </c>
      <c r="T112" s="44" t="n">
        <f aca="false">IF(ISNUMBER($AF112),INDEX(IDX_SrcGrade,$AF112),"—")</f>
        <v>1</v>
      </c>
      <c r="U112" s="44" t="s">
        <v>4564</v>
      </c>
      <c r="V112" s="32" t="n">
        <f aca="false">IF(AND($F112="原始數據",$U112&lt;&gt;"連結 SRC"),1,0)</f>
        <v>0</v>
      </c>
      <c r="W112" s="32" t="n">
        <f aca="false">IF(AND($F112="Analogy",OR($H112="—",$H112="")),1,0)</f>
        <v>0</v>
      </c>
      <c r="X112" s="32" t="n">
        <f aca="false">IF(AND(OR($F112="Analogy",$F112="Assumed"),$G112&lt;&gt;"低",$G112&lt;&gt;"高",NOT(ISNUMBER($K112)),NOT(ISNUMBER($L112)),OR($M112="—",$M112="")),1,0)</f>
        <v>0</v>
      </c>
      <c r="Y112" s="32" t="n">
        <f aca="false">IF(AND(OR($F112="Analogy",$F112="Assumed",$F112="Derived（待改公式）",$F112="Derived（公式）"),OR($N112="—",$N112="",$N112=0)),1,0)</f>
        <v>0</v>
      </c>
      <c r="Z112" s="32" t="n">
        <f aca="false">IF(AND($F112="Decision",OR($J112="—",$J112="")),1,0)</f>
        <v>0</v>
      </c>
      <c r="AA112" s="33" t="n">
        <f aca="false">IF(OR($J112="—",$J112=""),0,IF(COUNTIF(Decisions!$A$5:$A$300,$J112)=0,1,0))</f>
        <v>0</v>
      </c>
      <c r="AB112" s="32" t="n">
        <f aca="false">IF(AND($F112="原始數據",$S112&lt;&gt;"Active"),1,0)</f>
        <v>0</v>
      </c>
      <c r="AC112" s="32" t="n">
        <f aca="false">IF(AND(ISNUMBER($K112),ISNUMBER($L112),ISNUMBER($Q112)),IF(OR($Q112&lt;MIN($K112,$L112),$Q112&gt;MAX($K112,$L112)),1,0),0)</f>
        <v>0</v>
      </c>
      <c r="AD112" s="32" t="n">
        <f aca="false">IF(AND(ISNUMBER($T112),$P112="高"),IF($T112=3,1,0),0)</f>
        <v>0</v>
      </c>
      <c r="AE112" s="32" t="n">
        <f aca="false">IF($S112="不存在",1,0)</f>
        <v>0</v>
      </c>
      <c r="AF112" s="44" t="n">
        <f aca="false">IF(OR($H112="—",$H112=""),"—",MATCH($H112,IDX_SrcID,0))</f>
        <v>27</v>
      </c>
      <c r="AG112" s="32" t="n">
        <f aca="false">IF(AND($P112="高",OR($AD112=1,$X112=1)),1,0)</f>
        <v>0</v>
      </c>
      <c r="AH112" s="32" t="n">
        <f aca="false">IF(AND($P112="高",$AG112=0,OR($F112&lt;&gt;"原始數據",$T112&lt;&gt;1)),1,0)</f>
        <v>0</v>
      </c>
      <c r="AI112" s="44" t="str">
        <f aca="false">IF(AND($P112="高",ISNUMBER($AF112)),INDEX(IDX_SrcDate,$AF112),"—")</f>
        <v>2026-10-05</v>
      </c>
      <c r="AJ112" s="32" t="n">
        <f aca="false">IF(AND(ISTEXT($AI112),LEN($AI112)=10),IF(ISNUMBER(VALUE(SUBSTITUTE($AI112,"-",""))),VALUE(SUBSTITUTE($AI112,"-","")),0),0)</f>
        <v>20261005</v>
      </c>
    </row>
    <row r="113" customFormat="false" ht="43.5" hidden="false" customHeight="true" outlineLevel="0" collapsed="false">
      <c r="A113" s="30" t="s">
        <v>4830</v>
      </c>
      <c r="B113" s="239" t="s">
        <v>4525</v>
      </c>
      <c r="C113" s="30" t="s">
        <v>4689</v>
      </c>
      <c r="D113" s="30" t="s">
        <v>4831</v>
      </c>
      <c r="E113" s="20" t="s">
        <v>4822</v>
      </c>
      <c r="F113" s="239" t="s">
        <v>162</v>
      </c>
      <c r="G113" s="239" t="s">
        <v>4527</v>
      </c>
      <c r="H113" s="30" t="s">
        <v>4815</v>
      </c>
      <c r="I113" s="20" t="s">
        <v>4832</v>
      </c>
      <c r="J113" s="30" t="s">
        <v>751</v>
      </c>
      <c r="K113" s="239"/>
      <c r="L113" s="239"/>
      <c r="M113" s="30" t="s">
        <v>751</v>
      </c>
      <c r="N113" s="20" t="s">
        <v>4833</v>
      </c>
      <c r="O113" s="20" t="s">
        <v>4834</v>
      </c>
      <c r="P113" s="239" t="s">
        <v>1309</v>
      </c>
      <c r="Q113" s="46" t="n">
        <f aca="false">Spec_Rack!G24</f>
        <v>100</v>
      </c>
      <c r="R113" s="184" t="n">
        <f aca="false">SRC_HW_063</f>
        <v>2520</v>
      </c>
      <c r="S113" s="44" t="str">
        <f aca="false">IF(ISNUMBER($AF113),INDEX(IDX_SrcStat,$AF113),"—")</f>
        <v>Active</v>
      </c>
      <c r="T113" s="44" t="n">
        <f aca="false">IF(ISNUMBER($AF113),INDEX(IDX_SrcGrade,$AF113),"—")</f>
        <v>1</v>
      </c>
      <c r="U113" s="44" t="s">
        <v>4531</v>
      </c>
      <c r="V113" s="32" t="n">
        <f aca="false">IF(AND($F113="原始數據",$U113&lt;&gt;"連結 SRC"),1,0)</f>
        <v>0</v>
      </c>
      <c r="W113" s="32" t="n">
        <f aca="false">IF(AND($F113="Analogy",OR($H113="—",$H113="")),1,0)</f>
        <v>0</v>
      </c>
      <c r="X113" s="32" t="n">
        <f aca="false">IF(AND(OR($F113="Analogy",$F113="Assumed"),$G113&lt;&gt;"低",$G113&lt;&gt;"高",NOT(ISNUMBER($K113)),NOT(ISNUMBER($L113)),OR($M113="—",$M113="")),1,0)</f>
        <v>0</v>
      </c>
      <c r="Y113" s="32" t="n">
        <f aca="false">IF(AND(OR($F113="Analogy",$F113="Assumed",$F113="Derived（待改公式）",$F113="Derived（公式）"),OR($N113="—",$N113="",$N113=0)),1,0)</f>
        <v>0</v>
      </c>
      <c r="Z113" s="32" t="n">
        <f aca="false">IF(AND($F113="Decision",OR($J113="—",$J113="")),1,0)</f>
        <v>0</v>
      </c>
      <c r="AA113" s="33" t="n">
        <f aca="false">IF(OR($J113="—",$J113=""),0,IF(COUNTIF(Decisions!$A$5:$A$300,$J113)=0,1,0))</f>
        <v>0</v>
      </c>
      <c r="AB113" s="32" t="n">
        <f aca="false">IF(AND($F113="原始數據",$S113&lt;&gt;"Active"),1,0)</f>
        <v>0</v>
      </c>
      <c r="AC113" s="32" t="n">
        <f aca="false">IF(AND(ISNUMBER($K113),ISNUMBER($L113),ISNUMBER($Q113)),IF(OR($Q113&lt;MIN($K113,$L113),$Q113&gt;MAX($K113,$L113)),1,0),0)</f>
        <v>0</v>
      </c>
      <c r="AD113" s="32" t="n">
        <f aca="false">IF(AND(ISNUMBER($T113),$P113="高"),IF($T113=3,1,0),0)</f>
        <v>0</v>
      </c>
      <c r="AE113" s="32" t="n">
        <f aca="false">IF($S113="不存在",1,0)</f>
        <v>0</v>
      </c>
      <c r="AF113" s="44" t="n">
        <f aca="false">IF(OR($H113="—",$H113=""),"—",MATCH($H113,IDX_SrcID,0))</f>
        <v>63</v>
      </c>
      <c r="AG113" s="32" t="n">
        <f aca="false">IF(AND($P113="高",OR($AD113=1,$X113=1)),1,0)</f>
        <v>0</v>
      </c>
      <c r="AH113" s="32" t="n">
        <f aca="false">IF(AND($P113="高",$AG113=0,OR($F113&lt;&gt;"原始數據",$T113&lt;&gt;1)),1,0)</f>
        <v>1</v>
      </c>
      <c r="AI113" s="44" t="str">
        <f aca="false">IF(AND($P113="高",ISNUMBER($AF113)),INDEX(IDX_SrcDate,$AF113),"—")</f>
        <v>—</v>
      </c>
      <c r="AJ113" s="32" t="n">
        <f aca="false">IF(AND(ISTEXT($AI113),LEN($AI113)=10),IF(ISNUMBER(VALUE(SUBSTITUTE($AI113,"-",""))),VALUE(SUBSTITUTE($AI113,"-","")),0),0)</f>
        <v>0</v>
      </c>
    </row>
    <row r="114" customFormat="false" ht="15" hidden="false" customHeight="true" outlineLevel="0" collapsed="false">
      <c r="A114" s="30" t="s">
        <v>4835</v>
      </c>
      <c r="B114" s="239" t="s">
        <v>4525</v>
      </c>
      <c r="C114" s="30" t="s">
        <v>4689</v>
      </c>
      <c r="D114" s="30" t="s">
        <v>4836</v>
      </c>
      <c r="E114" s="6" t="s">
        <v>240</v>
      </c>
      <c r="F114" s="239" t="s">
        <v>348</v>
      </c>
      <c r="G114" s="239" t="s">
        <v>4527</v>
      </c>
      <c r="H114" s="30" t="s">
        <v>4837</v>
      </c>
      <c r="I114" s="20" t="s">
        <v>4562</v>
      </c>
      <c r="J114" s="30" t="s">
        <v>751</v>
      </c>
      <c r="K114" s="239"/>
      <c r="L114" s="239"/>
      <c r="M114" s="30" t="s">
        <v>751</v>
      </c>
      <c r="N114" s="20" t="s">
        <v>4754</v>
      </c>
      <c r="O114" s="6" t="s">
        <v>751</v>
      </c>
      <c r="P114" s="239" t="s">
        <v>4586</v>
      </c>
      <c r="Q114" s="49" t="n">
        <f aca="false">Spec_Rack!C25</f>
        <v>80</v>
      </c>
      <c r="R114" s="184" t="n">
        <f aca="false">SRC_HW_020</f>
        <v>80</v>
      </c>
      <c r="S114" s="44" t="str">
        <f aca="false">IF(ISNUMBER($AF114),INDEX(IDX_SrcStat,$AF114),"—")</f>
        <v>Active</v>
      </c>
      <c r="T114" s="44" t="n">
        <f aca="false">IF(ISNUMBER($AF114),INDEX(IDX_SrcGrade,$AF114),"—")</f>
        <v>3</v>
      </c>
      <c r="U114" s="44" t="s">
        <v>4564</v>
      </c>
      <c r="V114" s="32" t="n">
        <f aca="false">IF(AND($F114="原始數據",$U114&lt;&gt;"連結 SRC"),1,0)</f>
        <v>0</v>
      </c>
      <c r="W114" s="32" t="n">
        <f aca="false">IF(AND($F114="Analogy",OR($H114="—",$H114="")),1,0)</f>
        <v>0</v>
      </c>
      <c r="X114" s="32" t="n">
        <f aca="false">IF(AND(OR($F114="Analogy",$F114="Assumed"),$G114&lt;&gt;"低",$G114&lt;&gt;"高",NOT(ISNUMBER($K114)),NOT(ISNUMBER($L114)),OR($M114="—",$M114="")),1,0)</f>
        <v>0</v>
      </c>
      <c r="Y114" s="32" t="n">
        <f aca="false">IF(AND(OR($F114="Analogy",$F114="Assumed",$F114="Derived（待改公式）",$F114="Derived（公式）"),OR($N114="—",$N114="",$N114=0)),1,0)</f>
        <v>0</v>
      </c>
      <c r="Z114" s="32" t="n">
        <f aca="false">IF(AND($F114="Decision",OR($J114="—",$J114="")),1,0)</f>
        <v>0</v>
      </c>
      <c r="AA114" s="33" t="n">
        <f aca="false">IF(OR($J114="—",$J114=""),0,IF(COUNTIF(Decisions!$A$5:$A$300,$J114)=0,1,0))</f>
        <v>0</v>
      </c>
      <c r="AB114" s="32" t="n">
        <f aca="false">IF(AND($F114="原始數據",$S114&lt;&gt;"Active"),1,0)</f>
        <v>0</v>
      </c>
      <c r="AC114" s="32" t="n">
        <f aca="false">IF(AND(ISNUMBER($K114),ISNUMBER($L114),ISNUMBER($Q114)),IF(OR($Q114&lt;MIN($K114,$L114),$Q114&gt;MAX($K114,$L114)),1,0),0)</f>
        <v>0</v>
      </c>
      <c r="AD114" s="32" t="n">
        <f aca="false">IF(AND(ISNUMBER($T114),$P114="高"),IF($T114=3,1,0),0)</f>
        <v>0</v>
      </c>
      <c r="AE114" s="32" t="n">
        <f aca="false">IF($S114="不存在",1,0)</f>
        <v>0</v>
      </c>
      <c r="AF114" s="44" t="n">
        <f aca="false">IF(OR($H114="—",$H114=""),"—",MATCH($H114,IDX_SrcID,0))</f>
        <v>20</v>
      </c>
      <c r="AG114" s="32" t="n">
        <f aca="false">IF(AND($P114="高",OR($AD114=1,$X114=1)),1,0)</f>
        <v>0</v>
      </c>
      <c r="AH114" s="32" t="n">
        <f aca="false">IF(AND($P114="高",$AG114=0,OR($F114&lt;&gt;"原始數據",$T114&lt;&gt;1)),1,0)</f>
        <v>0</v>
      </c>
      <c r="AI114" s="44" t="str">
        <f aca="false">IF(AND($P114="高",ISNUMBER($AF114)),INDEX(IDX_SrcDate,$AF114),"—")</f>
        <v>—</v>
      </c>
      <c r="AJ114" s="32" t="n">
        <f aca="false">IF(AND(ISTEXT($AI114),LEN($AI114)=10),IF(ISNUMBER(VALUE(SUBSTITUTE($AI114,"-",""))),VALUE(SUBSTITUTE($AI114,"-","")),0),0)</f>
        <v>0</v>
      </c>
    </row>
    <row r="115" customFormat="false" ht="43.5" hidden="false" customHeight="true" outlineLevel="0" collapsed="false">
      <c r="A115" s="30" t="s">
        <v>4838</v>
      </c>
      <c r="B115" s="239" t="s">
        <v>4525</v>
      </c>
      <c r="C115" s="30" t="s">
        <v>4689</v>
      </c>
      <c r="D115" s="30" t="s">
        <v>4839</v>
      </c>
      <c r="E115" s="6" t="s">
        <v>240</v>
      </c>
      <c r="F115" s="239" t="s">
        <v>4718</v>
      </c>
      <c r="G115" s="239" t="s">
        <v>4527</v>
      </c>
      <c r="H115" s="30" t="s">
        <v>4840</v>
      </c>
      <c r="I115" s="20" t="s">
        <v>4841</v>
      </c>
      <c r="J115" s="30" t="s">
        <v>751</v>
      </c>
      <c r="K115" s="239"/>
      <c r="L115" s="239"/>
      <c r="M115" s="30" t="s">
        <v>751</v>
      </c>
      <c r="N115" s="20" t="s">
        <v>4842</v>
      </c>
      <c r="O115" s="6" t="s">
        <v>751</v>
      </c>
      <c r="P115" s="239" t="s">
        <v>4586</v>
      </c>
      <c r="Q115" s="49" t="n">
        <f aca="false">Spec_Rack!D25</f>
        <v>186</v>
      </c>
      <c r="R115" s="184" t="n">
        <f aca="false">SRC_HW_041</f>
        <v>13.4</v>
      </c>
      <c r="S115" s="44" t="str">
        <f aca="false">IF(ISNUMBER($AF115),INDEX(IDX_SrcStat,$AF115),"—")</f>
        <v>Active</v>
      </c>
      <c r="T115" s="44" t="n">
        <f aca="false">IF(ISNUMBER($AF115),INDEX(IDX_SrcGrade,$AF115),"—")</f>
        <v>3</v>
      </c>
      <c r="U115" s="44" t="s">
        <v>4531</v>
      </c>
      <c r="V115" s="32" t="n">
        <f aca="false">IF(AND($F115="原始數據",$U115&lt;&gt;"連結 SRC"),1,0)</f>
        <v>0</v>
      </c>
      <c r="W115" s="32" t="n">
        <f aca="false">IF(AND($F115="Analogy",OR($H115="—",$H115="")),1,0)</f>
        <v>0</v>
      </c>
      <c r="X115" s="32" t="n">
        <f aca="false">IF(AND(OR($F115="Analogy",$F115="Assumed"),$G115&lt;&gt;"低",$G115&lt;&gt;"高",NOT(ISNUMBER($K115)),NOT(ISNUMBER($L115)),OR($M115="—",$M115="")),1,0)</f>
        <v>0</v>
      </c>
      <c r="Y115" s="32" t="n">
        <f aca="false">IF(AND(OR($F115="Analogy",$F115="Assumed",$F115="Derived（待改公式）",$F115="Derived（公式）"),OR($N115="—",$N115="",$N115=0)),1,0)</f>
        <v>0</v>
      </c>
      <c r="Z115" s="32" t="n">
        <f aca="false">IF(AND($F115="Decision",OR($J115="—",$J115="")),1,0)</f>
        <v>0</v>
      </c>
      <c r="AA115" s="33" t="n">
        <f aca="false">IF(OR($J115="—",$J115=""),0,IF(COUNTIF(Decisions!$A$5:$A$300,$J115)=0,1,0))</f>
        <v>0</v>
      </c>
      <c r="AB115" s="32" t="n">
        <f aca="false">IF(AND($F115="原始數據",$S115&lt;&gt;"Active"),1,0)</f>
        <v>0</v>
      </c>
      <c r="AC115" s="32" t="n">
        <f aca="false">IF(AND(ISNUMBER($K115),ISNUMBER($L115),ISNUMBER($Q115)),IF(OR($Q115&lt;MIN($K115,$L115),$Q115&gt;MAX($K115,$L115)),1,0),0)</f>
        <v>0</v>
      </c>
      <c r="AD115" s="32" t="n">
        <f aca="false">IF(AND(ISNUMBER($T115),$P115="高"),IF($T115=3,1,0),0)</f>
        <v>0</v>
      </c>
      <c r="AE115" s="32" t="n">
        <f aca="false">IF($S115="不存在",1,0)</f>
        <v>0</v>
      </c>
      <c r="AF115" s="44" t="n">
        <f aca="false">IF(OR($H115="—",$H115=""),"—",MATCH($H115,IDX_SrcID,0))</f>
        <v>41</v>
      </c>
      <c r="AG115" s="32" t="n">
        <f aca="false">IF(AND($P115="高",OR($AD115=1,$X115=1)),1,0)</f>
        <v>0</v>
      </c>
      <c r="AH115" s="32" t="n">
        <f aca="false">IF(AND($P115="高",$AG115=0,OR($F115&lt;&gt;"原始數據",$T115&lt;&gt;1)),1,0)</f>
        <v>0</v>
      </c>
      <c r="AI115" s="44" t="str">
        <f aca="false">IF(AND($P115="高",ISNUMBER($AF115)),INDEX(IDX_SrcDate,$AF115),"—")</f>
        <v>—</v>
      </c>
      <c r="AJ115" s="32" t="n">
        <f aca="false">IF(AND(ISTEXT($AI115),LEN($AI115)=10),IF(ISNUMBER(VALUE(SUBSTITUTE($AI115,"-",""))),VALUE(SUBSTITUTE($AI115,"-","")),0),0)</f>
        <v>0</v>
      </c>
    </row>
    <row r="116" customFormat="false" ht="15" hidden="false" customHeight="true" outlineLevel="0" collapsed="false">
      <c r="A116" s="30" t="s">
        <v>4843</v>
      </c>
      <c r="B116" s="239" t="s">
        <v>4525</v>
      </c>
      <c r="C116" s="30" t="s">
        <v>4689</v>
      </c>
      <c r="D116" s="30" t="s">
        <v>4677</v>
      </c>
      <c r="E116" s="6" t="s">
        <v>240</v>
      </c>
      <c r="F116" s="239" t="s">
        <v>348</v>
      </c>
      <c r="G116" s="239" t="s">
        <v>4527</v>
      </c>
      <c r="H116" s="30" t="s">
        <v>4844</v>
      </c>
      <c r="I116" s="20" t="s">
        <v>4562</v>
      </c>
      <c r="J116" s="30" t="s">
        <v>751</v>
      </c>
      <c r="K116" s="239"/>
      <c r="L116" s="239"/>
      <c r="M116" s="30" t="s">
        <v>751</v>
      </c>
      <c r="N116" s="20" t="s">
        <v>4754</v>
      </c>
      <c r="O116" s="6" t="s">
        <v>751</v>
      </c>
      <c r="P116" s="239" t="s">
        <v>4586</v>
      </c>
      <c r="Q116" s="49" t="n">
        <f aca="false">Spec_Rack!E25</f>
        <v>288</v>
      </c>
      <c r="R116" s="184" t="n">
        <f aca="false">SRC_HW_026</f>
        <v>288</v>
      </c>
      <c r="S116" s="44" t="str">
        <f aca="false">IF(ISNUMBER($AF116),INDEX(IDX_SrcStat,$AF116),"—")</f>
        <v>Active</v>
      </c>
      <c r="T116" s="44" t="n">
        <f aca="false">IF(ISNUMBER($AF116),INDEX(IDX_SrcGrade,$AF116),"—")</f>
        <v>3</v>
      </c>
      <c r="U116" s="44" t="s">
        <v>4564</v>
      </c>
      <c r="V116" s="32" t="n">
        <f aca="false">IF(AND($F116="原始數據",$U116&lt;&gt;"連結 SRC"),1,0)</f>
        <v>0</v>
      </c>
      <c r="W116" s="32" t="n">
        <f aca="false">IF(AND($F116="Analogy",OR($H116="—",$H116="")),1,0)</f>
        <v>0</v>
      </c>
      <c r="X116" s="32" t="n">
        <f aca="false">IF(AND(OR($F116="Analogy",$F116="Assumed"),$G116&lt;&gt;"低",$G116&lt;&gt;"高",NOT(ISNUMBER($K116)),NOT(ISNUMBER($L116)),OR($M116="—",$M116="")),1,0)</f>
        <v>0</v>
      </c>
      <c r="Y116" s="32" t="n">
        <f aca="false">IF(AND(OR($F116="Analogy",$F116="Assumed",$F116="Derived（待改公式）",$F116="Derived（公式）"),OR($N116="—",$N116="",$N116=0)),1,0)</f>
        <v>0</v>
      </c>
      <c r="Z116" s="32" t="n">
        <f aca="false">IF(AND($F116="Decision",OR($J116="—",$J116="")),1,0)</f>
        <v>0</v>
      </c>
      <c r="AA116" s="33" t="n">
        <f aca="false">IF(OR($J116="—",$J116=""),0,IF(COUNTIF(Decisions!$A$5:$A$300,$J116)=0,1,0))</f>
        <v>0</v>
      </c>
      <c r="AB116" s="32" t="n">
        <f aca="false">IF(AND($F116="原始數據",$S116&lt;&gt;"Active"),1,0)</f>
        <v>0</v>
      </c>
      <c r="AC116" s="32" t="n">
        <f aca="false">IF(AND(ISNUMBER($K116),ISNUMBER($L116),ISNUMBER($Q116)),IF(OR($Q116&lt;MIN($K116,$L116),$Q116&gt;MAX($K116,$L116)),1,0),0)</f>
        <v>0</v>
      </c>
      <c r="AD116" s="32" t="n">
        <f aca="false">IF(AND(ISNUMBER($T116),$P116="高"),IF($T116=3,1,0),0)</f>
        <v>0</v>
      </c>
      <c r="AE116" s="32" t="n">
        <f aca="false">IF($S116="不存在",1,0)</f>
        <v>0</v>
      </c>
      <c r="AF116" s="44" t="n">
        <f aca="false">IF(OR($H116="—",$H116=""),"—",MATCH($H116,IDX_SrcID,0))</f>
        <v>26</v>
      </c>
      <c r="AG116" s="32" t="n">
        <f aca="false">IF(AND($P116="高",OR($AD116=1,$X116=1)),1,0)</f>
        <v>0</v>
      </c>
      <c r="AH116" s="32" t="n">
        <f aca="false">IF(AND($P116="高",$AG116=0,OR($F116&lt;&gt;"原始數據",$T116&lt;&gt;1)),1,0)</f>
        <v>0</v>
      </c>
      <c r="AI116" s="44" t="str">
        <f aca="false">IF(AND($P116="高",ISNUMBER($AF116)),INDEX(IDX_SrcDate,$AF116),"—")</f>
        <v>—</v>
      </c>
      <c r="AJ116" s="32" t="n">
        <f aca="false">IF(AND(ISTEXT($AI116),LEN($AI116)=10),IF(ISNUMBER(VALUE(SUBSTITUTE($AI116,"-",""))),VALUE(SUBSTITUTE($AI116,"-","")),0),0)</f>
        <v>0</v>
      </c>
    </row>
    <row r="117" customFormat="false" ht="15" hidden="false" customHeight="true" outlineLevel="0" collapsed="false">
      <c r="A117" s="30" t="s">
        <v>4845</v>
      </c>
      <c r="B117" s="239" t="s">
        <v>4525</v>
      </c>
      <c r="C117" s="30" t="s">
        <v>4689</v>
      </c>
      <c r="D117" s="30" t="s">
        <v>4846</v>
      </c>
      <c r="E117" s="6" t="s">
        <v>240</v>
      </c>
      <c r="F117" s="239" t="s">
        <v>348</v>
      </c>
      <c r="G117" s="239" t="s">
        <v>4527</v>
      </c>
      <c r="H117" s="30" t="s">
        <v>4847</v>
      </c>
      <c r="I117" s="20" t="s">
        <v>4562</v>
      </c>
      <c r="J117" s="30" t="s">
        <v>751</v>
      </c>
      <c r="K117" s="239"/>
      <c r="L117" s="239"/>
      <c r="M117" s="30" t="s">
        <v>751</v>
      </c>
      <c r="N117" s="20" t="s">
        <v>4754</v>
      </c>
      <c r="O117" s="6" t="s">
        <v>751</v>
      </c>
      <c r="P117" s="239" t="s">
        <v>4586</v>
      </c>
      <c r="Q117" s="49" t="n">
        <f aca="false">Spec_Rack!F25</f>
        <v>288</v>
      </c>
      <c r="R117" s="184" t="n">
        <f aca="false">SRC_HW_029</f>
        <v>288</v>
      </c>
      <c r="S117" s="44" t="str">
        <f aca="false">IF(ISNUMBER($AF117),INDEX(IDX_SrcStat,$AF117),"—")</f>
        <v>Active</v>
      </c>
      <c r="T117" s="44" t="n">
        <f aca="false">IF(ISNUMBER($AF117),INDEX(IDX_SrcGrade,$AF117),"—")</f>
        <v>3</v>
      </c>
      <c r="U117" s="44" t="s">
        <v>4564</v>
      </c>
      <c r="V117" s="32" t="n">
        <f aca="false">IF(AND($F117="原始數據",$U117&lt;&gt;"連結 SRC"),1,0)</f>
        <v>0</v>
      </c>
      <c r="W117" s="32" t="n">
        <f aca="false">IF(AND($F117="Analogy",OR($H117="—",$H117="")),1,0)</f>
        <v>0</v>
      </c>
      <c r="X117" s="32" t="n">
        <f aca="false">IF(AND(OR($F117="Analogy",$F117="Assumed"),$G117&lt;&gt;"低",$G117&lt;&gt;"高",NOT(ISNUMBER($K117)),NOT(ISNUMBER($L117)),OR($M117="—",$M117="")),1,0)</f>
        <v>0</v>
      </c>
      <c r="Y117" s="32" t="n">
        <f aca="false">IF(AND(OR($F117="Analogy",$F117="Assumed",$F117="Derived（待改公式）",$F117="Derived（公式）"),OR($N117="—",$N117="",$N117=0)),1,0)</f>
        <v>0</v>
      </c>
      <c r="Z117" s="32" t="n">
        <f aca="false">IF(AND($F117="Decision",OR($J117="—",$J117="")),1,0)</f>
        <v>0</v>
      </c>
      <c r="AA117" s="33" t="n">
        <f aca="false">IF(OR($J117="—",$J117=""),0,IF(COUNTIF(Decisions!$A$5:$A$300,$J117)=0,1,0))</f>
        <v>0</v>
      </c>
      <c r="AB117" s="32" t="n">
        <f aca="false">IF(AND($F117="原始數據",$S117&lt;&gt;"Active"),1,0)</f>
        <v>0</v>
      </c>
      <c r="AC117" s="32" t="n">
        <f aca="false">IF(AND(ISNUMBER($K117),ISNUMBER($L117),ISNUMBER($Q117)),IF(OR($Q117&lt;MIN($K117,$L117),$Q117&gt;MAX($K117,$L117)),1,0),0)</f>
        <v>0</v>
      </c>
      <c r="AD117" s="32" t="n">
        <f aca="false">IF(AND(ISNUMBER($T117),$P117="高"),IF($T117=3,1,0),0)</f>
        <v>0</v>
      </c>
      <c r="AE117" s="32" t="n">
        <f aca="false">IF($S117="不存在",1,0)</f>
        <v>0</v>
      </c>
      <c r="AF117" s="44" t="n">
        <f aca="false">IF(OR($H117="—",$H117=""),"—",MATCH($H117,IDX_SrcID,0))</f>
        <v>29</v>
      </c>
      <c r="AG117" s="32" t="n">
        <f aca="false">IF(AND($P117="高",OR($AD117=1,$X117=1)),1,0)</f>
        <v>0</v>
      </c>
      <c r="AH117" s="32" t="n">
        <f aca="false">IF(AND($P117="高",$AG117=0,OR($F117&lt;&gt;"原始數據",$T117&lt;&gt;1)),1,0)</f>
        <v>0</v>
      </c>
      <c r="AI117" s="44" t="str">
        <f aca="false">IF(AND($P117="高",ISNUMBER($AF117)),INDEX(IDX_SrcDate,$AF117),"—")</f>
        <v>—</v>
      </c>
      <c r="AJ117" s="32" t="n">
        <f aca="false">IF(AND(ISTEXT($AI117),LEN($AI117)=10),IF(ISNUMBER(VALUE(SUBSTITUTE($AI117,"-",""))),VALUE(SUBSTITUTE($AI117,"-","")),0),0)</f>
        <v>0</v>
      </c>
    </row>
    <row r="118" customFormat="false" ht="15" hidden="false" customHeight="true" outlineLevel="0" collapsed="false">
      <c r="A118" s="30" t="s">
        <v>4848</v>
      </c>
      <c r="B118" s="239" t="s">
        <v>4525</v>
      </c>
      <c r="C118" s="30" t="s">
        <v>4689</v>
      </c>
      <c r="D118" s="30" t="s">
        <v>4849</v>
      </c>
      <c r="E118" s="6" t="s">
        <v>240</v>
      </c>
      <c r="F118" s="30" t="s">
        <v>114</v>
      </c>
      <c r="G118" s="239" t="s">
        <v>97</v>
      </c>
      <c r="H118" s="30" t="s">
        <v>751</v>
      </c>
      <c r="I118" s="6" t="s">
        <v>751</v>
      </c>
      <c r="J118" s="30" t="s">
        <v>751</v>
      </c>
      <c r="K118" s="184" t="n">
        <f aca="false">Spec_Rack!G25*0.7</f>
        <v>716.8</v>
      </c>
      <c r="L118" s="184" t="n">
        <f aca="false">Spec_Rack!G25*1.3</f>
        <v>1331.2</v>
      </c>
      <c r="M118" s="30" t="s">
        <v>4817</v>
      </c>
      <c r="N118" s="6" t="s">
        <v>4850</v>
      </c>
      <c r="O118" s="6" t="s">
        <v>751</v>
      </c>
      <c r="P118" s="239" t="s">
        <v>4586</v>
      </c>
      <c r="Q118" s="49" t="n">
        <f aca="false">Spec_Rack!G25</f>
        <v>1024</v>
      </c>
      <c r="R118" s="30" t="s">
        <v>751</v>
      </c>
      <c r="S118" s="44" t="str">
        <f aca="false">IF(ISNUMBER($AF118),INDEX(IDX_SrcStat,$AF118),"—")</f>
        <v>—</v>
      </c>
      <c r="T118" s="44" t="str">
        <f aca="false">IF(ISNUMBER($AF118),INDEX(IDX_SrcGrade,$AF118),"—")</f>
        <v>—</v>
      </c>
      <c r="U118" s="44" t="s">
        <v>4531</v>
      </c>
      <c r="V118" s="32" t="n">
        <f aca="false">IF(AND($F118="原始數據",$U118&lt;&gt;"連結 SRC"),1,0)</f>
        <v>0</v>
      </c>
      <c r="W118" s="32" t="n">
        <f aca="false">IF(AND($F118="Analogy",OR($H118="—",$H118="")),1,0)</f>
        <v>0</v>
      </c>
      <c r="X118" s="32" t="n">
        <f aca="false">IF(AND(OR($F118="Analogy",$F118="Assumed"),$G118&lt;&gt;"低",$G118&lt;&gt;"高",NOT(ISNUMBER($K118)),NOT(ISNUMBER($L118)),OR($M118="—",$M118="")),1,0)</f>
        <v>0</v>
      </c>
      <c r="Y118" s="32" t="n">
        <f aca="false">IF(AND(OR($F118="Analogy",$F118="Assumed",$F118="Derived（待改公式）",$F118="Derived（公式）"),OR($N118="—",$N118="",$N118=0)),1,0)</f>
        <v>0</v>
      </c>
      <c r="Z118" s="32" t="n">
        <f aca="false">IF(AND($F118="Decision",OR($J118="—",$J118="")),1,0)</f>
        <v>0</v>
      </c>
      <c r="AA118" s="33" t="n">
        <f aca="false">IF(OR($J118="—",$J118=""),0,IF(COUNTIF(Decisions!$A$5:$A$300,$J118)=0,1,0))</f>
        <v>0</v>
      </c>
      <c r="AB118" s="32" t="n">
        <f aca="false">IF(AND($F118="原始數據",$S118&lt;&gt;"Active"),1,0)</f>
        <v>0</v>
      </c>
      <c r="AC118" s="32" t="n">
        <f aca="false">IF(AND(ISNUMBER($K118),ISNUMBER($L118),ISNUMBER($Q118)),IF(OR($Q118&lt;MIN($K118,$L118),$Q118&gt;MAX($K118,$L118)),1,0),0)</f>
        <v>0</v>
      </c>
      <c r="AD118" s="32" t="n">
        <f aca="false">IF(AND(ISNUMBER($T118),$P118="高"),IF($T118=3,1,0),0)</f>
        <v>0</v>
      </c>
      <c r="AE118" s="32" t="n">
        <f aca="false">IF($S118="不存在",1,0)</f>
        <v>0</v>
      </c>
      <c r="AF118" s="44" t="str">
        <f aca="false">IF(OR($H118="—",$H118=""),"—",MATCH($H118,IDX_SrcID,0))</f>
        <v>—</v>
      </c>
      <c r="AG118" s="32" t="n">
        <f aca="false">IF(AND($P118="高",OR($AD118=1,$X118=1)),1,0)</f>
        <v>0</v>
      </c>
      <c r="AH118" s="32" t="n">
        <f aca="false">IF(AND($P118="高",$AG118=0,OR($F118&lt;&gt;"原始數據",$T118&lt;&gt;1)),1,0)</f>
        <v>0</v>
      </c>
      <c r="AI118" s="44" t="str">
        <f aca="false">IF(AND($P118="高",ISNUMBER($AF118)),INDEX(IDX_SrcDate,$AF118),"—")</f>
        <v>—</v>
      </c>
      <c r="AJ118" s="32" t="n">
        <f aca="false">IF(AND(ISTEXT($AI118),LEN($AI118)=10),IF(ISNUMBER(VALUE(SUBSTITUTE($AI118,"-",""))),VALUE(SUBSTITUTE($AI118,"-","")),0),0)</f>
        <v>0</v>
      </c>
    </row>
    <row r="119" customFormat="false" ht="15" hidden="false" customHeight="true" outlineLevel="0" collapsed="false">
      <c r="A119" s="30" t="s">
        <v>4851</v>
      </c>
      <c r="B119" s="239" t="s">
        <v>4525</v>
      </c>
      <c r="C119" s="30" t="s">
        <v>4689</v>
      </c>
      <c r="D119" s="30" t="s">
        <v>4852</v>
      </c>
      <c r="E119" s="6" t="s">
        <v>242</v>
      </c>
      <c r="F119" s="239" t="s">
        <v>348</v>
      </c>
      <c r="G119" s="239" t="s">
        <v>4527</v>
      </c>
      <c r="H119" s="30" t="s">
        <v>4853</v>
      </c>
      <c r="I119" s="20" t="s">
        <v>4562</v>
      </c>
      <c r="J119" s="30" t="s">
        <v>751</v>
      </c>
      <c r="K119" s="239"/>
      <c r="L119" s="239"/>
      <c r="M119" s="30" t="s">
        <v>751</v>
      </c>
      <c r="N119" s="20" t="s">
        <v>4754</v>
      </c>
      <c r="O119" s="6" t="s">
        <v>751</v>
      </c>
      <c r="P119" s="239" t="s">
        <v>4586</v>
      </c>
      <c r="Q119" s="51" t="n">
        <f aca="false">Spec_Rack!C26</f>
        <v>3.35</v>
      </c>
      <c r="R119" s="184" t="n">
        <f aca="false">SRC_HW_021</f>
        <v>3.35</v>
      </c>
      <c r="S119" s="44" t="str">
        <f aca="false">IF(ISNUMBER($AF119),INDEX(IDX_SrcStat,$AF119),"—")</f>
        <v>Active</v>
      </c>
      <c r="T119" s="44" t="n">
        <f aca="false">IF(ISNUMBER($AF119),INDEX(IDX_SrcGrade,$AF119),"—")</f>
        <v>3</v>
      </c>
      <c r="U119" s="44" t="s">
        <v>4564</v>
      </c>
      <c r="V119" s="32" t="n">
        <f aca="false">IF(AND($F119="原始數據",$U119&lt;&gt;"連結 SRC"),1,0)</f>
        <v>0</v>
      </c>
      <c r="W119" s="32" t="n">
        <f aca="false">IF(AND($F119="Analogy",OR($H119="—",$H119="")),1,0)</f>
        <v>0</v>
      </c>
      <c r="X119" s="32" t="n">
        <f aca="false">IF(AND(OR($F119="Analogy",$F119="Assumed"),$G119&lt;&gt;"低",$G119&lt;&gt;"高",NOT(ISNUMBER($K119)),NOT(ISNUMBER($L119)),OR($M119="—",$M119="")),1,0)</f>
        <v>0</v>
      </c>
      <c r="Y119" s="32" t="n">
        <f aca="false">IF(AND(OR($F119="Analogy",$F119="Assumed",$F119="Derived（待改公式）",$F119="Derived（公式）"),OR($N119="—",$N119="",$N119=0)),1,0)</f>
        <v>0</v>
      </c>
      <c r="Z119" s="32" t="n">
        <f aca="false">IF(AND($F119="Decision",OR($J119="—",$J119="")),1,0)</f>
        <v>0</v>
      </c>
      <c r="AA119" s="33" t="n">
        <f aca="false">IF(OR($J119="—",$J119=""),0,IF(COUNTIF(Decisions!$A$5:$A$300,$J119)=0,1,0))</f>
        <v>0</v>
      </c>
      <c r="AB119" s="32" t="n">
        <f aca="false">IF(AND($F119="原始數據",$S119&lt;&gt;"Active"),1,0)</f>
        <v>0</v>
      </c>
      <c r="AC119" s="32" t="n">
        <f aca="false">IF(AND(ISNUMBER($K119),ISNUMBER($L119),ISNUMBER($Q119)),IF(OR($Q119&lt;MIN($K119,$L119),$Q119&gt;MAX($K119,$L119)),1,0),0)</f>
        <v>0</v>
      </c>
      <c r="AD119" s="32" t="n">
        <f aca="false">IF(AND(ISNUMBER($T119),$P119="高"),IF($T119=3,1,0),0)</f>
        <v>0</v>
      </c>
      <c r="AE119" s="32" t="n">
        <f aca="false">IF($S119="不存在",1,0)</f>
        <v>0</v>
      </c>
      <c r="AF119" s="44" t="n">
        <f aca="false">IF(OR($H119="—",$H119=""),"—",MATCH($H119,IDX_SrcID,0))</f>
        <v>21</v>
      </c>
      <c r="AG119" s="32" t="n">
        <f aca="false">IF(AND($P119="高",OR($AD119=1,$X119=1)),1,0)</f>
        <v>0</v>
      </c>
      <c r="AH119" s="32" t="n">
        <f aca="false">IF(AND($P119="高",$AG119=0,OR($F119&lt;&gt;"原始數據",$T119&lt;&gt;1)),1,0)</f>
        <v>0</v>
      </c>
      <c r="AI119" s="44" t="str">
        <f aca="false">IF(AND($P119="高",ISNUMBER($AF119)),INDEX(IDX_SrcDate,$AF119),"—")</f>
        <v>—</v>
      </c>
      <c r="AJ119" s="32" t="n">
        <f aca="false">IF(AND(ISTEXT($AI119),LEN($AI119)=10),IF(ISNUMBER(VALUE(SUBSTITUTE($AI119,"-",""))),VALUE(SUBSTITUTE($AI119,"-","")),0),0)</f>
        <v>0</v>
      </c>
    </row>
    <row r="120" customFormat="false" ht="15" hidden="false" customHeight="true" outlineLevel="0" collapsed="false">
      <c r="A120" s="30" t="s">
        <v>4854</v>
      </c>
      <c r="B120" s="239" t="s">
        <v>4525</v>
      </c>
      <c r="C120" s="30" t="s">
        <v>4689</v>
      </c>
      <c r="D120" s="30" t="s">
        <v>4855</v>
      </c>
      <c r="E120" s="6" t="s">
        <v>242</v>
      </c>
      <c r="F120" s="239" t="s">
        <v>348</v>
      </c>
      <c r="G120" s="239" t="s">
        <v>4527</v>
      </c>
      <c r="H120" s="30" t="s">
        <v>4856</v>
      </c>
      <c r="I120" s="20" t="s">
        <v>4562</v>
      </c>
      <c r="J120" s="30" t="s">
        <v>751</v>
      </c>
      <c r="K120" s="239"/>
      <c r="L120" s="239"/>
      <c r="M120" s="30" t="s">
        <v>751</v>
      </c>
      <c r="N120" s="20" t="s">
        <v>4754</v>
      </c>
      <c r="O120" s="6" t="s">
        <v>751</v>
      </c>
      <c r="P120" s="239" t="s">
        <v>4586</v>
      </c>
      <c r="Q120" s="51" t="n">
        <f aca="false">Spec_Rack!D26</f>
        <v>8</v>
      </c>
      <c r="R120" s="184" t="n">
        <f aca="false">SRC_HW_023</f>
        <v>8</v>
      </c>
      <c r="S120" s="44" t="str">
        <f aca="false">IF(ISNUMBER($AF120),INDEX(IDX_SrcStat,$AF120),"—")</f>
        <v>Active</v>
      </c>
      <c r="T120" s="44" t="n">
        <f aca="false">IF(ISNUMBER($AF120),INDEX(IDX_SrcGrade,$AF120),"—")</f>
        <v>3</v>
      </c>
      <c r="U120" s="44" t="s">
        <v>4564</v>
      </c>
      <c r="V120" s="32" t="n">
        <f aca="false">IF(AND($F120="原始數據",$U120&lt;&gt;"連結 SRC"),1,0)</f>
        <v>0</v>
      </c>
      <c r="W120" s="32" t="n">
        <f aca="false">IF(AND($F120="Analogy",OR($H120="—",$H120="")),1,0)</f>
        <v>0</v>
      </c>
      <c r="X120" s="32" t="n">
        <f aca="false">IF(AND(OR($F120="Analogy",$F120="Assumed"),$G120&lt;&gt;"低",$G120&lt;&gt;"高",NOT(ISNUMBER($K120)),NOT(ISNUMBER($L120)),OR($M120="—",$M120="")),1,0)</f>
        <v>0</v>
      </c>
      <c r="Y120" s="32" t="n">
        <f aca="false">IF(AND(OR($F120="Analogy",$F120="Assumed",$F120="Derived（待改公式）",$F120="Derived（公式）"),OR($N120="—",$N120="",$N120=0)),1,0)</f>
        <v>0</v>
      </c>
      <c r="Z120" s="32" t="n">
        <f aca="false">IF(AND($F120="Decision",OR($J120="—",$J120="")),1,0)</f>
        <v>0</v>
      </c>
      <c r="AA120" s="33" t="n">
        <f aca="false">IF(OR($J120="—",$J120=""),0,IF(COUNTIF(Decisions!$A$5:$A$300,$J120)=0,1,0))</f>
        <v>0</v>
      </c>
      <c r="AB120" s="32" t="n">
        <f aca="false">IF(AND($F120="原始數據",$S120&lt;&gt;"Active"),1,0)</f>
        <v>0</v>
      </c>
      <c r="AC120" s="32" t="n">
        <f aca="false">IF(AND(ISNUMBER($K120),ISNUMBER($L120),ISNUMBER($Q120)),IF(OR($Q120&lt;MIN($K120,$L120),$Q120&gt;MAX($K120,$L120)),1,0),0)</f>
        <v>0</v>
      </c>
      <c r="AD120" s="32" t="n">
        <f aca="false">IF(AND(ISNUMBER($T120),$P120="高"),IF($T120=3,1,0),0)</f>
        <v>0</v>
      </c>
      <c r="AE120" s="32" t="n">
        <f aca="false">IF($S120="不存在",1,0)</f>
        <v>0</v>
      </c>
      <c r="AF120" s="44" t="n">
        <f aca="false">IF(OR($H120="—",$H120=""),"—",MATCH($H120,IDX_SrcID,0))</f>
        <v>23</v>
      </c>
      <c r="AG120" s="32" t="n">
        <f aca="false">IF(AND($P120="高",OR($AD120=1,$X120=1)),1,0)</f>
        <v>0</v>
      </c>
      <c r="AH120" s="32" t="n">
        <f aca="false">IF(AND($P120="高",$AG120=0,OR($F120&lt;&gt;"原始數據",$T120&lt;&gt;1)),1,0)</f>
        <v>0</v>
      </c>
      <c r="AI120" s="44" t="str">
        <f aca="false">IF(AND($P120="高",ISNUMBER($AF120)),INDEX(IDX_SrcDate,$AF120),"—")</f>
        <v>—</v>
      </c>
      <c r="AJ120" s="32" t="n">
        <f aca="false">IF(AND(ISTEXT($AI120),LEN($AI120)=10),IF(ISNUMBER(VALUE(SUBSTITUTE($AI120,"-",""))),VALUE(SUBSTITUTE($AI120,"-","")),0),0)</f>
        <v>0</v>
      </c>
    </row>
    <row r="121" customFormat="false" ht="15" hidden="false" customHeight="true" outlineLevel="0" collapsed="false">
      <c r="A121" s="30" t="s">
        <v>4857</v>
      </c>
      <c r="B121" s="239" t="s">
        <v>4525</v>
      </c>
      <c r="C121" s="30" t="s">
        <v>4689</v>
      </c>
      <c r="D121" s="30" t="s">
        <v>4681</v>
      </c>
      <c r="E121" s="6" t="s">
        <v>242</v>
      </c>
      <c r="F121" s="239" t="s">
        <v>348</v>
      </c>
      <c r="G121" s="239" t="s">
        <v>4527</v>
      </c>
      <c r="H121" s="30" t="s">
        <v>4858</v>
      </c>
      <c r="I121" s="20" t="s">
        <v>4562</v>
      </c>
      <c r="J121" s="30" t="s">
        <v>751</v>
      </c>
      <c r="K121" s="239"/>
      <c r="L121" s="239"/>
      <c r="M121" s="30" t="s">
        <v>751</v>
      </c>
      <c r="N121" s="20" t="s">
        <v>4754</v>
      </c>
      <c r="O121" s="6" t="s">
        <v>751</v>
      </c>
      <c r="P121" s="239" t="s">
        <v>4586</v>
      </c>
      <c r="Q121" s="51" t="n">
        <f aca="false">Spec_Rack!E26</f>
        <v>8</v>
      </c>
      <c r="R121" s="184" t="n">
        <f aca="false">SRC_HW_059</f>
        <v>8</v>
      </c>
      <c r="S121" s="44" t="str">
        <f aca="false">IF(ISNUMBER($AF121),INDEX(IDX_SrcStat,$AF121),"—")</f>
        <v>Active</v>
      </c>
      <c r="T121" s="44" t="n">
        <f aca="false">IF(ISNUMBER($AF121),INDEX(IDX_SrcGrade,$AF121),"—")</f>
        <v>3</v>
      </c>
      <c r="U121" s="44" t="s">
        <v>4564</v>
      </c>
      <c r="V121" s="32" t="n">
        <f aca="false">IF(AND($F121="原始數據",$U121&lt;&gt;"連結 SRC"),1,0)</f>
        <v>0</v>
      </c>
      <c r="W121" s="32" t="n">
        <f aca="false">IF(AND($F121="Analogy",OR($H121="—",$H121="")),1,0)</f>
        <v>0</v>
      </c>
      <c r="X121" s="32" t="n">
        <f aca="false">IF(AND(OR($F121="Analogy",$F121="Assumed"),$G121&lt;&gt;"低",$G121&lt;&gt;"高",NOT(ISNUMBER($K121)),NOT(ISNUMBER($L121)),OR($M121="—",$M121="")),1,0)</f>
        <v>0</v>
      </c>
      <c r="Y121" s="32" t="n">
        <f aca="false">IF(AND(OR($F121="Analogy",$F121="Assumed",$F121="Derived（待改公式）",$F121="Derived（公式）"),OR($N121="—",$N121="",$N121=0)),1,0)</f>
        <v>0</v>
      </c>
      <c r="Z121" s="32" t="n">
        <f aca="false">IF(AND($F121="Decision",OR($J121="—",$J121="")),1,0)</f>
        <v>0</v>
      </c>
      <c r="AA121" s="33" t="n">
        <f aca="false">IF(OR($J121="—",$J121=""),0,IF(COUNTIF(Decisions!$A$5:$A$300,$J121)=0,1,0))</f>
        <v>0</v>
      </c>
      <c r="AB121" s="32" t="n">
        <f aca="false">IF(AND($F121="原始數據",$S121&lt;&gt;"Active"),1,0)</f>
        <v>0</v>
      </c>
      <c r="AC121" s="32" t="n">
        <f aca="false">IF(AND(ISNUMBER($K121),ISNUMBER($L121),ISNUMBER($Q121)),IF(OR($Q121&lt;MIN($K121,$L121),$Q121&gt;MAX($K121,$L121)),1,0),0)</f>
        <v>0</v>
      </c>
      <c r="AD121" s="32" t="n">
        <f aca="false">IF(AND(ISNUMBER($T121),$P121="高"),IF($T121=3,1,0),0)</f>
        <v>0</v>
      </c>
      <c r="AE121" s="32" t="n">
        <f aca="false">IF($S121="不存在",1,0)</f>
        <v>0</v>
      </c>
      <c r="AF121" s="44" t="n">
        <f aca="false">IF(OR($H121="—",$H121=""),"—",MATCH($H121,IDX_SrcID,0))</f>
        <v>59</v>
      </c>
      <c r="AG121" s="32" t="n">
        <f aca="false">IF(AND($P121="高",OR($AD121=1,$X121=1)),1,0)</f>
        <v>0</v>
      </c>
      <c r="AH121" s="32" t="n">
        <f aca="false">IF(AND($P121="高",$AG121=0,OR($F121&lt;&gt;"原始數據",$T121&lt;&gt;1)),1,0)</f>
        <v>0</v>
      </c>
      <c r="AI121" s="44" t="str">
        <f aca="false">IF(AND($P121="高",ISNUMBER($AF121)),INDEX(IDX_SrcDate,$AF121),"—")</f>
        <v>—</v>
      </c>
      <c r="AJ121" s="32" t="n">
        <f aca="false">IF(AND(ISTEXT($AI121),LEN($AI121)=10),IF(ISNUMBER(VALUE(SUBSTITUTE($AI121,"-",""))),VALUE(SUBSTITUTE($AI121,"-","")),0),0)</f>
        <v>0</v>
      </c>
    </row>
    <row r="122" customFormat="false" ht="15" hidden="false" customHeight="true" outlineLevel="0" collapsed="false">
      <c r="A122" s="30" t="s">
        <v>4859</v>
      </c>
      <c r="B122" s="239" t="s">
        <v>4525</v>
      </c>
      <c r="C122" s="30" t="s">
        <v>4689</v>
      </c>
      <c r="D122" s="30" t="s">
        <v>4860</v>
      </c>
      <c r="E122" s="6" t="s">
        <v>242</v>
      </c>
      <c r="F122" s="239" t="s">
        <v>348</v>
      </c>
      <c r="G122" s="239" t="s">
        <v>4527</v>
      </c>
      <c r="H122" s="30" t="s">
        <v>4861</v>
      </c>
      <c r="I122" s="20" t="s">
        <v>4562</v>
      </c>
      <c r="J122" s="30" t="s">
        <v>751</v>
      </c>
      <c r="K122" s="239"/>
      <c r="L122" s="239"/>
      <c r="M122" s="30" t="s">
        <v>751</v>
      </c>
      <c r="N122" s="20" t="s">
        <v>4754</v>
      </c>
      <c r="O122" s="6" t="s">
        <v>751</v>
      </c>
      <c r="P122" s="239" t="s">
        <v>4586</v>
      </c>
      <c r="Q122" s="51" t="n">
        <f aca="false">Spec_Rack!F26</f>
        <v>22</v>
      </c>
      <c r="R122" s="184" t="n">
        <f aca="false">SRC_HW_030</f>
        <v>22</v>
      </c>
      <c r="S122" s="44" t="str">
        <f aca="false">IF(ISNUMBER($AF122),INDEX(IDX_SrcStat,$AF122),"—")</f>
        <v>Active</v>
      </c>
      <c r="T122" s="44" t="n">
        <f aca="false">IF(ISNUMBER($AF122),INDEX(IDX_SrcGrade,$AF122),"—")</f>
        <v>3</v>
      </c>
      <c r="U122" s="44" t="s">
        <v>4564</v>
      </c>
      <c r="V122" s="32" t="n">
        <f aca="false">IF(AND($F122="原始數據",$U122&lt;&gt;"連結 SRC"),1,0)</f>
        <v>0</v>
      </c>
      <c r="W122" s="32" t="n">
        <f aca="false">IF(AND($F122="Analogy",OR($H122="—",$H122="")),1,0)</f>
        <v>0</v>
      </c>
      <c r="X122" s="32" t="n">
        <f aca="false">IF(AND(OR($F122="Analogy",$F122="Assumed"),$G122&lt;&gt;"低",$G122&lt;&gt;"高",NOT(ISNUMBER($K122)),NOT(ISNUMBER($L122)),OR($M122="—",$M122="")),1,0)</f>
        <v>0</v>
      </c>
      <c r="Y122" s="32" t="n">
        <f aca="false">IF(AND(OR($F122="Analogy",$F122="Assumed",$F122="Derived（待改公式）",$F122="Derived（公式）"),OR($N122="—",$N122="",$N122=0)),1,0)</f>
        <v>0</v>
      </c>
      <c r="Z122" s="32" t="n">
        <f aca="false">IF(AND($F122="Decision",OR($J122="—",$J122="")),1,0)</f>
        <v>0</v>
      </c>
      <c r="AA122" s="33" t="n">
        <f aca="false">IF(OR($J122="—",$J122=""),0,IF(COUNTIF(Decisions!$A$5:$A$300,$J122)=0,1,0))</f>
        <v>0</v>
      </c>
      <c r="AB122" s="32" t="n">
        <f aca="false">IF(AND($F122="原始數據",$S122&lt;&gt;"Active"),1,0)</f>
        <v>0</v>
      </c>
      <c r="AC122" s="32" t="n">
        <f aca="false">IF(AND(ISNUMBER($K122),ISNUMBER($L122),ISNUMBER($Q122)),IF(OR($Q122&lt;MIN($K122,$L122),$Q122&gt;MAX($K122,$L122)),1,0),0)</f>
        <v>0</v>
      </c>
      <c r="AD122" s="32" t="n">
        <f aca="false">IF(AND(ISNUMBER($T122),$P122="高"),IF($T122=3,1,0),0)</f>
        <v>0</v>
      </c>
      <c r="AE122" s="32" t="n">
        <f aca="false">IF($S122="不存在",1,0)</f>
        <v>0</v>
      </c>
      <c r="AF122" s="44" t="n">
        <f aca="false">IF(OR($H122="—",$H122=""),"—",MATCH($H122,IDX_SrcID,0))</f>
        <v>30</v>
      </c>
      <c r="AG122" s="32" t="n">
        <f aca="false">IF(AND($P122="高",OR($AD122=1,$X122=1)),1,0)</f>
        <v>0</v>
      </c>
      <c r="AH122" s="32" t="n">
        <f aca="false">IF(AND($P122="高",$AG122=0,OR($F122&lt;&gt;"原始數據",$T122&lt;&gt;1)),1,0)</f>
        <v>0</v>
      </c>
      <c r="AI122" s="44" t="str">
        <f aca="false">IF(AND($P122="高",ISNUMBER($AF122)),INDEX(IDX_SrcDate,$AF122),"—")</f>
        <v>—</v>
      </c>
      <c r="AJ122" s="32" t="n">
        <f aca="false">IF(AND(ISTEXT($AI122),LEN($AI122)=10),IF(ISNUMBER(VALUE(SUBSTITUTE($AI122,"-",""))),VALUE(SUBSTITUTE($AI122,"-","")),0),0)</f>
        <v>0</v>
      </c>
    </row>
    <row r="123" customFormat="false" ht="43.5" hidden="false" customHeight="true" outlineLevel="0" collapsed="false">
      <c r="A123" s="30" t="s">
        <v>4862</v>
      </c>
      <c r="B123" s="239" t="s">
        <v>4525</v>
      </c>
      <c r="C123" s="30" t="s">
        <v>4689</v>
      </c>
      <c r="D123" s="30" t="s">
        <v>4863</v>
      </c>
      <c r="E123" s="6" t="s">
        <v>242</v>
      </c>
      <c r="F123" s="239" t="s">
        <v>4718</v>
      </c>
      <c r="G123" s="239" t="s">
        <v>4527</v>
      </c>
      <c r="H123" s="30" t="s">
        <v>4864</v>
      </c>
      <c r="I123" s="20" t="s">
        <v>4865</v>
      </c>
      <c r="J123" s="30" t="s">
        <v>751</v>
      </c>
      <c r="K123" s="239"/>
      <c r="L123" s="239"/>
      <c r="M123" s="30" t="s">
        <v>751</v>
      </c>
      <c r="N123" s="20" t="s">
        <v>4866</v>
      </c>
      <c r="O123" s="6" t="s">
        <v>751</v>
      </c>
      <c r="P123" s="239" t="s">
        <v>4586</v>
      </c>
      <c r="Q123" s="51" t="n">
        <f aca="false">Spec_Rack!G26</f>
        <v>32</v>
      </c>
      <c r="R123" s="184" t="n">
        <f aca="false">SRC_HW_044</f>
        <v>4600</v>
      </c>
      <c r="S123" s="44" t="str">
        <f aca="false">IF(ISNUMBER($AF123),INDEX(IDX_SrcStat,$AF123),"—")</f>
        <v>Active</v>
      </c>
      <c r="T123" s="44" t="n">
        <f aca="false">IF(ISNUMBER($AF123),INDEX(IDX_SrcGrade,$AF123),"—")</f>
        <v>3</v>
      </c>
      <c r="U123" s="44" t="s">
        <v>4531</v>
      </c>
      <c r="V123" s="32" t="n">
        <f aca="false">IF(AND($F123="原始數據",$U123&lt;&gt;"連結 SRC"),1,0)</f>
        <v>0</v>
      </c>
      <c r="W123" s="32" t="n">
        <f aca="false">IF(AND($F123="Analogy",OR($H123="—",$H123="")),1,0)</f>
        <v>0</v>
      </c>
      <c r="X123" s="32" t="n">
        <f aca="false">IF(AND(OR($F123="Analogy",$F123="Assumed"),$G123&lt;&gt;"低",$G123&lt;&gt;"高",NOT(ISNUMBER($K123)),NOT(ISNUMBER($L123)),OR($M123="—",$M123="")),1,0)</f>
        <v>0</v>
      </c>
      <c r="Y123" s="32" t="n">
        <f aca="false">IF(AND(OR($F123="Analogy",$F123="Assumed",$F123="Derived（待改公式）",$F123="Derived（公式）"),OR($N123="—",$N123="",$N123=0)),1,0)</f>
        <v>0</v>
      </c>
      <c r="Z123" s="32" t="n">
        <f aca="false">IF(AND($F123="Decision",OR($J123="—",$J123="")),1,0)</f>
        <v>0</v>
      </c>
      <c r="AA123" s="33" t="n">
        <f aca="false">IF(OR($J123="—",$J123=""),0,IF(COUNTIF(Decisions!$A$5:$A$300,$J123)=0,1,0))</f>
        <v>0</v>
      </c>
      <c r="AB123" s="32" t="n">
        <f aca="false">IF(AND($F123="原始數據",$S123&lt;&gt;"Active"),1,0)</f>
        <v>0</v>
      </c>
      <c r="AC123" s="32" t="n">
        <f aca="false">IF(AND(ISNUMBER($K123),ISNUMBER($L123),ISNUMBER($Q123)),IF(OR($Q123&lt;MIN($K123,$L123),$Q123&gt;MAX($K123,$L123)),1,0),0)</f>
        <v>0</v>
      </c>
      <c r="AD123" s="32" t="n">
        <f aca="false">IF(AND(ISNUMBER($T123),$P123="高"),IF($T123=3,1,0),0)</f>
        <v>0</v>
      </c>
      <c r="AE123" s="32" t="n">
        <f aca="false">IF($S123="不存在",1,0)</f>
        <v>0</v>
      </c>
      <c r="AF123" s="44" t="n">
        <f aca="false">IF(OR($H123="—",$H123=""),"—",MATCH($H123,IDX_SrcID,0))</f>
        <v>44</v>
      </c>
      <c r="AG123" s="32" t="n">
        <f aca="false">IF(AND($P123="高",OR($AD123=1,$X123=1)),1,0)</f>
        <v>0</v>
      </c>
      <c r="AH123" s="32" t="n">
        <f aca="false">IF(AND($P123="高",$AG123=0,OR($F123&lt;&gt;"原始數據",$T123&lt;&gt;1)),1,0)</f>
        <v>0</v>
      </c>
      <c r="AI123" s="44" t="str">
        <f aca="false">IF(AND($P123="高",ISNUMBER($AF123)),INDEX(IDX_SrcDate,$AF123),"—")</f>
        <v>—</v>
      </c>
      <c r="AJ123" s="32" t="n">
        <f aca="false">IF(AND(ISTEXT($AI123),LEN($AI123)=10),IF(ISNUMBER(VALUE(SUBSTITUTE($AI123,"-",""))),VALUE(SUBSTITUTE($AI123,"-","")),0),0)</f>
        <v>0</v>
      </c>
    </row>
    <row r="124" customFormat="false" ht="29.25" hidden="false" customHeight="true" outlineLevel="0" collapsed="false">
      <c r="A124" s="30" t="s">
        <v>4867</v>
      </c>
      <c r="B124" s="239" t="s">
        <v>4525</v>
      </c>
      <c r="C124" s="30" t="s">
        <v>4689</v>
      </c>
      <c r="D124" s="30" t="s">
        <v>4868</v>
      </c>
      <c r="E124" s="6" t="s">
        <v>244</v>
      </c>
      <c r="F124" s="239" t="s">
        <v>348</v>
      </c>
      <c r="G124" s="239" t="s">
        <v>4527</v>
      </c>
      <c r="H124" s="30" t="s">
        <v>4869</v>
      </c>
      <c r="I124" s="20" t="s">
        <v>4870</v>
      </c>
      <c r="J124" s="30" t="s">
        <v>751</v>
      </c>
      <c r="K124" s="239"/>
      <c r="L124" s="239"/>
      <c r="M124" s="30" t="s">
        <v>751</v>
      </c>
      <c r="N124" s="20" t="s">
        <v>4665</v>
      </c>
      <c r="O124" s="6" t="s">
        <v>751</v>
      </c>
      <c r="P124" s="239" t="s">
        <v>4530</v>
      </c>
      <c r="Q124" s="51" t="n">
        <f aca="false">Spec_Rack!C27</f>
        <v>0.05</v>
      </c>
      <c r="R124" s="184" t="n">
        <f aca="false">SRC_HW_060</f>
        <v>400</v>
      </c>
      <c r="S124" s="44" t="str">
        <f aca="false">IF(ISNUMBER($AF124),INDEX(IDX_SrcStat,$AF124),"—")</f>
        <v>Active</v>
      </c>
      <c r="T124" s="44" t="n">
        <f aca="false">IF(ISNUMBER($AF124),INDEX(IDX_SrcGrade,$AF124),"—")</f>
        <v>3</v>
      </c>
      <c r="U124" s="44" t="s">
        <v>4564</v>
      </c>
      <c r="V124" s="32" t="n">
        <f aca="false">IF(AND($F124="原始數據",$U124&lt;&gt;"連結 SRC"),1,0)</f>
        <v>0</v>
      </c>
      <c r="W124" s="32" t="n">
        <f aca="false">IF(AND($F124="Analogy",OR($H124="—",$H124="")),1,0)</f>
        <v>0</v>
      </c>
      <c r="X124" s="32" t="n">
        <f aca="false">IF(AND(OR($F124="Analogy",$F124="Assumed"),$G124&lt;&gt;"低",$G124&lt;&gt;"高",NOT(ISNUMBER($K124)),NOT(ISNUMBER($L124)),OR($M124="—",$M124="")),1,0)</f>
        <v>0</v>
      </c>
      <c r="Y124" s="32" t="n">
        <f aca="false">IF(AND(OR($F124="Analogy",$F124="Assumed",$F124="Derived（待改公式）",$F124="Derived（公式）"),OR($N124="—",$N124="",$N124=0)),1,0)</f>
        <v>0</v>
      </c>
      <c r="Z124" s="32" t="n">
        <f aca="false">IF(AND($F124="Decision",OR($J124="—",$J124="")),1,0)</f>
        <v>0</v>
      </c>
      <c r="AA124" s="33" t="n">
        <f aca="false">IF(OR($J124="—",$J124=""),0,IF(COUNTIF(Decisions!$A$5:$A$300,$J124)=0,1,0))</f>
        <v>0</v>
      </c>
      <c r="AB124" s="32" t="n">
        <f aca="false">IF(AND($F124="原始數據",$S124&lt;&gt;"Active"),1,0)</f>
        <v>0</v>
      </c>
      <c r="AC124" s="32" t="n">
        <f aca="false">IF(AND(ISNUMBER($K124),ISNUMBER($L124),ISNUMBER($Q124)),IF(OR($Q124&lt;MIN($K124,$L124),$Q124&gt;MAX($K124,$L124)),1,0),0)</f>
        <v>0</v>
      </c>
      <c r="AD124" s="32" t="n">
        <f aca="false">IF(AND(ISNUMBER($T124),$P124="高"),IF($T124=3,1,0),0)</f>
        <v>0</v>
      </c>
      <c r="AE124" s="32" t="n">
        <f aca="false">IF($S124="不存在",1,0)</f>
        <v>0</v>
      </c>
      <c r="AF124" s="44" t="n">
        <f aca="false">IF(OR($H124="—",$H124=""),"—",MATCH($H124,IDX_SrcID,0))</f>
        <v>60</v>
      </c>
      <c r="AG124" s="32" t="n">
        <f aca="false">IF(AND($P124="高",OR($AD124=1,$X124=1)),1,0)</f>
        <v>0</v>
      </c>
      <c r="AH124" s="32" t="n">
        <f aca="false">IF(AND($P124="高",$AG124=0,OR($F124&lt;&gt;"原始數據",$T124&lt;&gt;1)),1,0)</f>
        <v>0</v>
      </c>
      <c r="AI124" s="44" t="str">
        <f aca="false">IF(AND($P124="高",ISNUMBER($AF124)),INDEX(IDX_SrcDate,$AF124),"—")</f>
        <v>—</v>
      </c>
      <c r="AJ124" s="32" t="n">
        <f aca="false">IF(AND(ISTEXT($AI124),LEN($AI124)=10),IF(ISNUMBER(VALUE(SUBSTITUTE($AI124,"-",""))),VALUE(SUBSTITUTE($AI124,"-","")),0),0)</f>
        <v>0</v>
      </c>
    </row>
    <row r="125" customFormat="false" ht="29.25" hidden="false" customHeight="true" outlineLevel="0" collapsed="false">
      <c r="A125" s="30" t="s">
        <v>4871</v>
      </c>
      <c r="B125" s="239" t="s">
        <v>4525</v>
      </c>
      <c r="C125" s="30" t="s">
        <v>4689</v>
      </c>
      <c r="D125" s="30" t="s">
        <v>4872</v>
      </c>
      <c r="E125" s="6" t="s">
        <v>244</v>
      </c>
      <c r="F125" s="239" t="s">
        <v>348</v>
      </c>
      <c r="G125" s="239" t="s">
        <v>4527</v>
      </c>
      <c r="H125" s="30" t="s">
        <v>4873</v>
      </c>
      <c r="I125" s="20" t="s">
        <v>4562</v>
      </c>
      <c r="J125" s="30" t="s">
        <v>751</v>
      </c>
      <c r="K125" s="239"/>
      <c r="L125" s="239"/>
      <c r="M125" s="30" t="s">
        <v>751</v>
      </c>
      <c r="N125" s="20" t="s">
        <v>4665</v>
      </c>
      <c r="O125" s="6" t="s">
        <v>751</v>
      </c>
      <c r="P125" s="239" t="s">
        <v>4530</v>
      </c>
      <c r="Q125" s="51" t="n">
        <f aca="false">Spec_Rack!D27</f>
        <v>0.9</v>
      </c>
      <c r="R125" s="184" t="n">
        <f aca="false">SRC_HW_048</f>
        <v>0.9</v>
      </c>
      <c r="S125" s="44" t="str">
        <f aca="false">IF(ISNUMBER($AF125),INDEX(IDX_SrcStat,$AF125),"—")</f>
        <v>Active</v>
      </c>
      <c r="T125" s="44" t="n">
        <f aca="false">IF(ISNUMBER($AF125),INDEX(IDX_SrcGrade,$AF125),"—")</f>
        <v>3</v>
      </c>
      <c r="U125" s="44" t="s">
        <v>4564</v>
      </c>
      <c r="V125" s="32" t="n">
        <f aca="false">IF(AND($F125="原始數據",$U125&lt;&gt;"連結 SRC"),1,0)</f>
        <v>0</v>
      </c>
      <c r="W125" s="32" t="n">
        <f aca="false">IF(AND($F125="Analogy",OR($H125="—",$H125="")),1,0)</f>
        <v>0</v>
      </c>
      <c r="X125" s="32" t="n">
        <f aca="false">IF(AND(OR($F125="Analogy",$F125="Assumed"),$G125&lt;&gt;"低",$G125&lt;&gt;"高",NOT(ISNUMBER($K125)),NOT(ISNUMBER($L125)),OR($M125="—",$M125="")),1,0)</f>
        <v>0</v>
      </c>
      <c r="Y125" s="32" t="n">
        <f aca="false">IF(AND(OR($F125="Analogy",$F125="Assumed",$F125="Derived（待改公式）",$F125="Derived（公式）"),OR($N125="—",$N125="",$N125=0)),1,0)</f>
        <v>0</v>
      </c>
      <c r="Z125" s="32" t="n">
        <f aca="false">IF(AND($F125="Decision",OR($J125="—",$J125="")),1,0)</f>
        <v>0</v>
      </c>
      <c r="AA125" s="33" t="n">
        <f aca="false">IF(OR($J125="—",$J125=""),0,IF(COUNTIF(Decisions!$A$5:$A$300,$J125)=0,1,0))</f>
        <v>0</v>
      </c>
      <c r="AB125" s="32" t="n">
        <f aca="false">IF(AND($F125="原始數據",$S125&lt;&gt;"Active"),1,0)</f>
        <v>0</v>
      </c>
      <c r="AC125" s="32" t="n">
        <f aca="false">IF(AND(ISNUMBER($K125),ISNUMBER($L125),ISNUMBER($Q125)),IF(OR($Q125&lt;MIN($K125,$L125),$Q125&gt;MAX($K125,$L125)),1,0),0)</f>
        <v>0</v>
      </c>
      <c r="AD125" s="32" t="n">
        <f aca="false">IF(AND(ISNUMBER($T125),$P125="高"),IF($T125=3,1,0),0)</f>
        <v>0</v>
      </c>
      <c r="AE125" s="32" t="n">
        <f aca="false">IF($S125="不存在",1,0)</f>
        <v>0</v>
      </c>
      <c r="AF125" s="44" t="n">
        <f aca="false">IF(OR($H125="—",$H125=""),"—",MATCH($H125,IDX_SrcID,0))</f>
        <v>48</v>
      </c>
      <c r="AG125" s="32" t="n">
        <f aca="false">IF(AND($P125="高",OR($AD125=1,$X125=1)),1,0)</f>
        <v>0</v>
      </c>
      <c r="AH125" s="32" t="n">
        <f aca="false">IF(AND($P125="高",$AG125=0,OR($F125&lt;&gt;"原始數據",$T125&lt;&gt;1)),1,0)</f>
        <v>0</v>
      </c>
      <c r="AI125" s="44" t="str">
        <f aca="false">IF(AND($P125="高",ISNUMBER($AF125)),INDEX(IDX_SrcDate,$AF125),"—")</f>
        <v>—</v>
      </c>
      <c r="AJ125" s="32" t="n">
        <f aca="false">IF(AND(ISTEXT($AI125),LEN($AI125)=10),IF(ISNUMBER(VALUE(SUBSTITUTE($AI125,"-",""))),VALUE(SUBSTITUTE($AI125,"-","")),0),0)</f>
        <v>0</v>
      </c>
    </row>
    <row r="126" customFormat="false" ht="29.25" hidden="false" customHeight="true" outlineLevel="0" collapsed="false">
      <c r="A126" s="30" t="s">
        <v>4874</v>
      </c>
      <c r="B126" s="239" t="s">
        <v>4525</v>
      </c>
      <c r="C126" s="30" t="s">
        <v>4689</v>
      </c>
      <c r="D126" s="30" t="s">
        <v>4685</v>
      </c>
      <c r="E126" s="6" t="s">
        <v>244</v>
      </c>
      <c r="F126" s="239" t="s">
        <v>348</v>
      </c>
      <c r="G126" s="239" t="s">
        <v>4527</v>
      </c>
      <c r="H126" s="30" t="s">
        <v>4873</v>
      </c>
      <c r="I126" s="20" t="s">
        <v>4562</v>
      </c>
      <c r="J126" s="30" t="s">
        <v>751</v>
      </c>
      <c r="K126" s="239"/>
      <c r="L126" s="239"/>
      <c r="M126" s="30" t="s">
        <v>751</v>
      </c>
      <c r="N126" s="20" t="s">
        <v>4665</v>
      </c>
      <c r="O126" s="6" t="s">
        <v>751</v>
      </c>
      <c r="P126" s="239" t="s">
        <v>4530</v>
      </c>
      <c r="Q126" s="51" t="n">
        <f aca="false">Spec_Rack!E27</f>
        <v>0.9</v>
      </c>
      <c r="R126" s="184" t="n">
        <f aca="false">SRC_HW_048</f>
        <v>0.9</v>
      </c>
      <c r="S126" s="44" t="str">
        <f aca="false">IF(ISNUMBER($AF126),INDEX(IDX_SrcStat,$AF126),"—")</f>
        <v>Active</v>
      </c>
      <c r="T126" s="44" t="n">
        <f aca="false">IF(ISNUMBER($AF126),INDEX(IDX_SrcGrade,$AF126),"—")</f>
        <v>3</v>
      </c>
      <c r="U126" s="44" t="s">
        <v>4564</v>
      </c>
      <c r="V126" s="32" t="n">
        <f aca="false">IF(AND($F126="原始數據",$U126&lt;&gt;"連結 SRC"),1,0)</f>
        <v>0</v>
      </c>
      <c r="W126" s="32" t="n">
        <f aca="false">IF(AND($F126="Analogy",OR($H126="—",$H126="")),1,0)</f>
        <v>0</v>
      </c>
      <c r="X126" s="32" t="n">
        <f aca="false">IF(AND(OR($F126="Analogy",$F126="Assumed"),$G126&lt;&gt;"低",$G126&lt;&gt;"高",NOT(ISNUMBER($K126)),NOT(ISNUMBER($L126)),OR($M126="—",$M126="")),1,0)</f>
        <v>0</v>
      </c>
      <c r="Y126" s="32" t="n">
        <f aca="false">IF(AND(OR($F126="Analogy",$F126="Assumed",$F126="Derived（待改公式）",$F126="Derived（公式）"),OR($N126="—",$N126="",$N126=0)),1,0)</f>
        <v>0</v>
      </c>
      <c r="Z126" s="32" t="n">
        <f aca="false">IF(AND($F126="Decision",OR($J126="—",$J126="")),1,0)</f>
        <v>0</v>
      </c>
      <c r="AA126" s="33" t="n">
        <f aca="false">IF(OR($J126="—",$J126=""),0,IF(COUNTIF(Decisions!$A$5:$A$300,$J126)=0,1,0))</f>
        <v>0</v>
      </c>
      <c r="AB126" s="32" t="n">
        <f aca="false">IF(AND($F126="原始數據",$S126&lt;&gt;"Active"),1,0)</f>
        <v>0</v>
      </c>
      <c r="AC126" s="32" t="n">
        <f aca="false">IF(AND(ISNUMBER($K126),ISNUMBER($L126),ISNUMBER($Q126)),IF(OR($Q126&lt;MIN($K126,$L126),$Q126&gt;MAX($K126,$L126)),1,0),0)</f>
        <v>0</v>
      </c>
      <c r="AD126" s="32" t="n">
        <f aca="false">IF(AND(ISNUMBER($T126),$P126="高"),IF($T126=3,1,0),0)</f>
        <v>0</v>
      </c>
      <c r="AE126" s="32" t="n">
        <f aca="false">IF($S126="不存在",1,0)</f>
        <v>0</v>
      </c>
      <c r="AF126" s="44" t="n">
        <f aca="false">IF(OR($H126="—",$H126=""),"—",MATCH($H126,IDX_SrcID,0))</f>
        <v>48</v>
      </c>
      <c r="AG126" s="32" t="n">
        <f aca="false">IF(AND($P126="高",OR($AD126=1,$X126=1)),1,0)</f>
        <v>0</v>
      </c>
      <c r="AH126" s="32" t="n">
        <f aca="false">IF(AND($P126="高",$AG126=0,OR($F126&lt;&gt;"原始數據",$T126&lt;&gt;1)),1,0)</f>
        <v>0</v>
      </c>
      <c r="AI126" s="44" t="str">
        <f aca="false">IF(AND($P126="高",ISNUMBER($AF126)),INDEX(IDX_SrcDate,$AF126),"—")</f>
        <v>—</v>
      </c>
      <c r="AJ126" s="32" t="n">
        <f aca="false">IF(AND(ISTEXT($AI126),LEN($AI126)=10),IF(ISNUMBER(VALUE(SUBSTITUTE($AI126,"-",""))),VALUE(SUBSTITUTE($AI126,"-","")),0),0)</f>
        <v>0</v>
      </c>
    </row>
    <row r="127" customFormat="false" ht="29.25" hidden="false" customHeight="true" outlineLevel="0" collapsed="false">
      <c r="A127" s="30" t="s">
        <v>4875</v>
      </c>
      <c r="B127" s="239" t="s">
        <v>4525</v>
      </c>
      <c r="C127" s="30" t="s">
        <v>4689</v>
      </c>
      <c r="D127" s="30" t="s">
        <v>4876</v>
      </c>
      <c r="E127" s="6" t="s">
        <v>244</v>
      </c>
      <c r="F127" s="239" t="s">
        <v>348</v>
      </c>
      <c r="G127" s="239" t="s">
        <v>4527</v>
      </c>
      <c r="H127" s="30" t="s">
        <v>4877</v>
      </c>
      <c r="I127" s="20" t="s">
        <v>4562</v>
      </c>
      <c r="J127" s="30" t="s">
        <v>751</v>
      </c>
      <c r="K127" s="239"/>
      <c r="L127" s="239"/>
      <c r="M127" s="30" t="s">
        <v>751</v>
      </c>
      <c r="N127" s="20" t="s">
        <v>4665</v>
      </c>
      <c r="O127" s="6" t="s">
        <v>751</v>
      </c>
      <c r="P127" s="239" t="s">
        <v>4530</v>
      </c>
      <c r="Q127" s="51" t="n">
        <f aca="false">Spec_Rack!F27</f>
        <v>1.8</v>
      </c>
      <c r="R127" s="184" t="n">
        <f aca="false">SRC_HW_049</f>
        <v>1.8</v>
      </c>
      <c r="S127" s="44" t="str">
        <f aca="false">IF(ISNUMBER($AF127),INDEX(IDX_SrcStat,$AF127),"—")</f>
        <v>Active</v>
      </c>
      <c r="T127" s="44" t="n">
        <f aca="false">IF(ISNUMBER($AF127),INDEX(IDX_SrcGrade,$AF127),"—")</f>
        <v>3</v>
      </c>
      <c r="U127" s="44" t="s">
        <v>4564</v>
      </c>
      <c r="V127" s="32" t="n">
        <f aca="false">IF(AND($F127="原始數據",$U127&lt;&gt;"連結 SRC"),1,0)</f>
        <v>0</v>
      </c>
      <c r="W127" s="32" t="n">
        <f aca="false">IF(AND($F127="Analogy",OR($H127="—",$H127="")),1,0)</f>
        <v>0</v>
      </c>
      <c r="X127" s="32" t="n">
        <f aca="false">IF(AND(OR($F127="Analogy",$F127="Assumed"),$G127&lt;&gt;"低",$G127&lt;&gt;"高",NOT(ISNUMBER($K127)),NOT(ISNUMBER($L127)),OR($M127="—",$M127="")),1,0)</f>
        <v>0</v>
      </c>
      <c r="Y127" s="32" t="n">
        <f aca="false">IF(AND(OR($F127="Analogy",$F127="Assumed",$F127="Derived（待改公式）",$F127="Derived（公式）"),OR($N127="—",$N127="",$N127=0)),1,0)</f>
        <v>0</v>
      </c>
      <c r="Z127" s="32" t="n">
        <f aca="false">IF(AND($F127="Decision",OR($J127="—",$J127="")),1,0)</f>
        <v>0</v>
      </c>
      <c r="AA127" s="33" t="n">
        <f aca="false">IF(OR($J127="—",$J127=""),0,IF(COUNTIF(Decisions!$A$5:$A$300,$J127)=0,1,0))</f>
        <v>0</v>
      </c>
      <c r="AB127" s="32" t="n">
        <f aca="false">IF(AND($F127="原始數據",$S127&lt;&gt;"Active"),1,0)</f>
        <v>0</v>
      </c>
      <c r="AC127" s="32" t="n">
        <f aca="false">IF(AND(ISNUMBER($K127),ISNUMBER($L127),ISNUMBER($Q127)),IF(OR($Q127&lt;MIN($K127,$L127),$Q127&gt;MAX($K127,$L127)),1,0),0)</f>
        <v>0</v>
      </c>
      <c r="AD127" s="32" t="n">
        <f aca="false">IF(AND(ISNUMBER($T127),$P127="高"),IF($T127=3,1,0),0)</f>
        <v>0</v>
      </c>
      <c r="AE127" s="32" t="n">
        <f aca="false">IF($S127="不存在",1,0)</f>
        <v>0</v>
      </c>
      <c r="AF127" s="44" t="n">
        <f aca="false">IF(OR($H127="—",$H127=""),"—",MATCH($H127,IDX_SrcID,0))</f>
        <v>49</v>
      </c>
      <c r="AG127" s="32" t="n">
        <f aca="false">IF(AND($P127="高",OR($AD127=1,$X127=1)),1,0)</f>
        <v>0</v>
      </c>
      <c r="AH127" s="32" t="n">
        <f aca="false">IF(AND($P127="高",$AG127=0,OR($F127&lt;&gt;"原始數據",$T127&lt;&gt;1)),1,0)</f>
        <v>0</v>
      </c>
      <c r="AI127" s="44" t="str">
        <f aca="false">IF(AND($P127="高",ISNUMBER($AF127)),INDEX(IDX_SrcDate,$AF127),"—")</f>
        <v>—</v>
      </c>
      <c r="AJ127" s="32" t="n">
        <f aca="false">IF(AND(ISTEXT($AI127),LEN($AI127)=10),IF(ISNUMBER(VALUE(SUBSTITUTE($AI127,"-",""))),VALUE(SUBSTITUTE($AI127,"-","")),0),0)</f>
        <v>0</v>
      </c>
    </row>
    <row r="128" customFormat="false" ht="29.25" hidden="false" customHeight="true" outlineLevel="0" collapsed="false">
      <c r="A128" s="30" t="s">
        <v>4878</v>
      </c>
      <c r="B128" s="239" t="s">
        <v>4525</v>
      </c>
      <c r="C128" s="30" t="s">
        <v>4689</v>
      </c>
      <c r="D128" s="30" t="s">
        <v>4879</v>
      </c>
      <c r="E128" s="6" t="s">
        <v>244</v>
      </c>
      <c r="F128" s="30" t="s">
        <v>114</v>
      </c>
      <c r="G128" s="239" t="s">
        <v>4527</v>
      </c>
      <c r="H128" s="30" t="s">
        <v>751</v>
      </c>
      <c r="I128" s="6" t="s">
        <v>751</v>
      </c>
      <c r="J128" s="30" t="s">
        <v>751</v>
      </c>
      <c r="K128" s="241" t="n">
        <v>1.8</v>
      </c>
      <c r="L128" s="241" t="n">
        <v>3.6</v>
      </c>
      <c r="M128" s="30" t="s">
        <v>4880</v>
      </c>
      <c r="N128" s="6" t="s">
        <v>4881</v>
      </c>
      <c r="O128" s="6" t="s">
        <v>751</v>
      </c>
      <c r="P128" s="239" t="s">
        <v>4530</v>
      </c>
      <c r="Q128" s="51" t="n">
        <f aca="false">Spec_Rack!G27</f>
        <v>1.8</v>
      </c>
      <c r="R128" s="30" t="s">
        <v>751</v>
      </c>
      <c r="S128" s="44" t="str">
        <f aca="false">IF(ISNUMBER($AF128),INDEX(IDX_SrcStat,$AF128),"—")</f>
        <v>—</v>
      </c>
      <c r="T128" s="44" t="str">
        <f aca="false">IF(ISNUMBER($AF128),INDEX(IDX_SrcGrade,$AF128),"—")</f>
        <v>—</v>
      </c>
      <c r="U128" s="44" t="s">
        <v>4531</v>
      </c>
      <c r="V128" s="32" t="n">
        <f aca="false">IF(AND($F128="原始數據",$U128&lt;&gt;"連結 SRC"),1,0)</f>
        <v>0</v>
      </c>
      <c r="W128" s="32" t="n">
        <f aca="false">IF(AND($F128="Analogy",OR($H128="—",$H128="")),1,0)</f>
        <v>0</v>
      </c>
      <c r="X128" s="32" t="n">
        <f aca="false">IF(AND(OR($F128="Analogy",$F128="Assumed"),$G128&lt;&gt;"低",$G128&lt;&gt;"高",NOT(ISNUMBER($K128)),NOT(ISNUMBER($L128)),OR($M128="—",$M128="")),1,0)</f>
        <v>0</v>
      </c>
      <c r="Y128" s="32" t="n">
        <f aca="false">IF(AND(OR($F128="Analogy",$F128="Assumed",$F128="Derived（待改公式）",$F128="Derived（公式）"),OR($N128="—",$N128="",$N128=0)),1,0)</f>
        <v>0</v>
      </c>
      <c r="Z128" s="32" t="n">
        <f aca="false">IF(AND($F128="Decision",OR($J128="—",$J128="")),1,0)</f>
        <v>0</v>
      </c>
      <c r="AA128" s="33" t="n">
        <f aca="false">IF(OR($J128="—",$J128=""),0,IF(COUNTIF(Decisions!$A$5:$A$300,$J128)=0,1,0))</f>
        <v>0</v>
      </c>
      <c r="AB128" s="32" t="n">
        <f aca="false">IF(AND($F128="原始數據",$S128&lt;&gt;"Active"),1,0)</f>
        <v>0</v>
      </c>
      <c r="AC128" s="32" t="n">
        <f aca="false">IF(AND(ISNUMBER($K128),ISNUMBER($L128),ISNUMBER($Q128)),IF(OR($Q128&lt;MIN($K128,$L128),$Q128&gt;MAX($K128,$L128)),1,0),0)</f>
        <v>0</v>
      </c>
      <c r="AD128" s="32" t="n">
        <f aca="false">IF(AND(ISNUMBER($T128),$P128="高"),IF($T128=3,1,0),0)</f>
        <v>0</v>
      </c>
      <c r="AE128" s="32" t="n">
        <f aca="false">IF($S128="不存在",1,0)</f>
        <v>0</v>
      </c>
      <c r="AF128" s="44" t="str">
        <f aca="false">IF(OR($H128="—",$H128=""),"—",MATCH($H128,IDX_SrcID,0))</f>
        <v>—</v>
      </c>
      <c r="AG128" s="32" t="n">
        <f aca="false">IF(AND($P128="高",OR($AD128=1,$X128=1)),1,0)</f>
        <v>0</v>
      </c>
      <c r="AH128" s="32" t="n">
        <f aca="false">IF(AND($P128="高",$AG128=0,OR($F128&lt;&gt;"原始數據",$T128&lt;&gt;1)),1,0)</f>
        <v>0</v>
      </c>
      <c r="AI128" s="44" t="str">
        <f aca="false">IF(AND($P128="高",ISNUMBER($AF128)),INDEX(IDX_SrcDate,$AF128),"—")</f>
        <v>—</v>
      </c>
      <c r="AJ128" s="32" t="n">
        <f aca="false">IF(AND(ISTEXT($AI128),LEN($AI128)=10),IF(ISNUMBER(VALUE(SUBSTITUTE($AI128,"-",""))),VALUE(SUBSTITUTE($AI128,"-","")),0),0)</f>
        <v>0</v>
      </c>
    </row>
    <row r="129" customFormat="false" ht="15" hidden="false" customHeight="true" outlineLevel="0" collapsed="false">
      <c r="A129" s="30" t="s">
        <v>4882</v>
      </c>
      <c r="B129" s="239" t="s">
        <v>4525</v>
      </c>
      <c r="C129" s="30" t="s">
        <v>4689</v>
      </c>
      <c r="D129" s="30" t="s">
        <v>4883</v>
      </c>
      <c r="E129" s="6" t="s">
        <v>246</v>
      </c>
      <c r="F129" s="239" t="s">
        <v>348</v>
      </c>
      <c r="G129" s="239" t="s">
        <v>4527</v>
      </c>
      <c r="H129" s="30" t="s">
        <v>4884</v>
      </c>
      <c r="I129" s="20" t="s">
        <v>4562</v>
      </c>
      <c r="J129" s="30" t="s">
        <v>751</v>
      </c>
      <c r="K129" s="239"/>
      <c r="L129" s="239"/>
      <c r="M129" s="30" t="s">
        <v>751</v>
      </c>
      <c r="N129" s="20" t="s">
        <v>4665</v>
      </c>
      <c r="O129" s="6" t="s">
        <v>751</v>
      </c>
      <c r="P129" s="239" t="s">
        <v>1309</v>
      </c>
      <c r="Q129" s="49" t="n">
        <f aca="false">Spec_Rack!C28</f>
        <v>8</v>
      </c>
      <c r="R129" s="184" t="n">
        <f aca="false">SRC_HW_053</f>
        <v>8</v>
      </c>
      <c r="S129" s="44" t="str">
        <f aca="false">IF(ISNUMBER($AF129),INDEX(IDX_SrcStat,$AF129),"—")</f>
        <v>Active</v>
      </c>
      <c r="T129" s="44" t="n">
        <f aca="false">IF(ISNUMBER($AF129),INDEX(IDX_SrcGrade,$AF129),"—")</f>
        <v>1</v>
      </c>
      <c r="U129" s="44" t="s">
        <v>4564</v>
      </c>
      <c r="V129" s="32" t="n">
        <f aca="false">IF(AND($F129="原始數據",$U129&lt;&gt;"連結 SRC"),1,0)</f>
        <v>0</v>
      </c>
      <c r="W129" s="32" t="n">
        <f aca="false">IF(AND($F129="Analogy",OR($H129="—",$H129="")),1,0)</f>
        <v>0</v>
      </c>
      <c r="X129" s="32" t="n">
        <f aca="false">IF(AND(OR($F129="Analogy",$F129="Assumed"),$G129&lt;&gt;"低",$G129&lt;&gt;"高",NOT(ISNUMBER($K129)),NOT(ISNUMBER($L129)),OR($M129="—",$M129="")),1,0)</f>
        <v>0</v>
      </c>
      <c r="Y129" s="32" t="n">
        <f aca="false">IF(AND(OR($F129="Analogy",$F129="Assumed",$F129="Derived（待改公式）",$F129="Derived（公式）"),OR($N129="—",$N129="",$N129=0)),1,0)</f>
        <v>0</v>
      </c>
      <c r="Z129" s="32" t="n">
        <f aca="false">IF(AND($F129="Decision",OR($J129="—",$J129="")),1,0)</f>
        <v>0</v>
      </c>
      <c r="AA129" s="33" t="n">
        <f aca="false">IF(OR($J129="—",$J129=""),0,IF(COUNTIF(Decisions!$A$5:$A$300,$J129)=0,1,0))</f>
        <v>0</v>
      </c>
      <c r="AB129" s="32" t="n">
        <f aca="false">IF(AND($F129="原始數據",$S129&lt;&gt;"Active"),1,0)</f>
        <v>0</v>
      </c>
      <c r="AC129" s="32" t="n">
        <f aca="false">IF(AND(ISNUMBER($K129),ISNUMBER($L129),ISNUMBER($Q129)),IF(OR($Q129&lt;MIN($K129,$L129),$Q129&gt;MAX($K129,$L129)),1,0),0)</f>
        <v>0</v>
      </c>
      <c r="AD129" s="32" t="n">
        <f aca="false">IF(AND(ISNUMBER($T129),$P129="高"),IF($T129=3,1,0),0)</f>
        <v>0</v>
      </c>
      <c r="AE129" s="32" t="n">
        <f aca="false">IF($S129="不存在",1,0)</f>
        <v>0</v>
      </c>
      <c r="AF129" s="44" t="n">
        <f aca="false">IF(OR($H129="—",$H129=""),"—",MATCH($H129,IDX_SrcID,0))</f>
        <v>53</v>
      </c>
      <c r="AG129" s="32" t="n">
        <f aca="false">IF(AND($P129="高",OR($AD129=1,$X129=1)),1,0)</f>
        <v>0</v>
      </c>
      <c r="AH129" s="32" t="n">
        <f aca="false">IF(AND($P129="高",$AG129=0,OR($F129&lt;&gt;"原始數據",$T129&lt;&gt;1)),1,0)</f>
        <v>0</v>
      </c>
      <c r="AI129" s="44" t="str">
        <f aca="false">IF(AND($P129="高",ISNUMBER($AF129)),INDEX(IDX_SrcDate,$AF129),"—")</f>
        <v>2026-10-05</v>
      </c>
      <c r="AJ129" s="32" t="n">
        <f aca="false">IF(AND(ISTEXT($AI129),LEN($AI129)=10),IF(ISNUMBER(VALUE(SUBSTITUTE($AI129,"-",""))),VALUE(SUBSTITUTE($AI129,"-","")),0),0)</f>
        <v>20261005</v>
      </c>
    </row>
    <row r="130" customFormat="false" ht="15" hidden="false" customHeight="true" outlineLevel="0" collapsed="false">
      <c r="A130" s="30" t="s">
        <v>4885</v>
      </c>
      <c r="B130" s="239" t="s">
        <v>4525</v>
      </c>
      <c r="C130" s="30" t="s">
        <v>4689</v>
      </c>
      <c r="D130" s="30" t="s">
        <v>4614</v>
      </c>
      <c r="E130" s="6" t="s">
        <v>246</v>
      </c>
      <c r="F130" s="239" t="s">
        <v>348</v>
      </c>
      <c r="G130" s="239" t="s">
        <v>4527</v>
      </c>
      <c r="H130" s="30" t="s">
        <v>4695</v>
      </c>
      <c r="I130" s="20" t="s">
        <v>4562</v>
      </c>
      <c r="J130" s="30" t="s">
        <v>751</v>
      </c>
      <c r="K130" s="239"/>
      <c r="L130" s="239"/>
      <c r="M130" s="30" t="s">
        <v>751</v>
      </c>
      <c r="N130" s="20" t="s">
        <v>4665</v>
      </c>
      <c r="O130" s="6" t="s">
        <v>751</v>
      </c>
      <c r="P130" s="239" t="s">
        <v>1309</v>
      </c>
      <c r="Q130" s="49" t="n">
        <f aca="false">Spec_Rack!D28</f>
        <v>72</v>
      </c>
      <c r="R130" s="184" t="n">
        <f aca="false">SRC_HW_047</f>
        <v>72</v>
      </c>
      <c r="S130" s="44" t="str">
        <f aca="false">IF(ISNUMBER($AF130),INDEX(IDX_SrcStat,$AF130),"—")</f>
        <v>Active</v>
      </c>
      <c r="T130" s="44" t="n">
        <f aca="false">IF(ISNUMBER($AF130),INDEX(IDX_SrcGrade,$AF130),"—")</f>
        <v>1</v>
      </c>
      <c r="U130" s="44" t="s">
        <v>4564</v>
      </c>
      <c r="V130" s="32" t="n">
        <f aca="false">IF(AND($F130="原始數據",$U130&lt;&gt;"連結 SRC"),1,0)</f>
        <v>0</v>
      </c>
      <c r="W130" s="32" t="n">
        <f aca="false">IF(AND($F130="Analogy",OR($H130="—",$H130="")),1,0)</f>
        <v>0</v>
      </c>
      <c r="X130" s="32" t="n">
        <f aca="false">IF(AND(OR($F130="Analogy",$F130="Assumed"),$G130&lt;&gt;"低",$G130&lt;&gt;"高",NOT(ISNUMBER($K130)),NOT(ISNUMBER($L130)),OR($M130="—",$M130="")),1,0)</f>
        <v>0</v>
      </c>
      <c r="Y130" s="32" t="n">
        <f aca="false">IF(AND(OR($F130="Analogy",$F130="Assumed",$F130="Derived（待改公式）",$F130="Derived（公式）"),OR($N130="—",$N130="",$N130=0)),1,0)</f>
        <v>0</v>
      </c>
      <c r="Z130" s="32" t="n">
        <f aca="false">IF(AND($F130="Decision",OR($J130="—",$J130="")),1,0)</f>
        <v>0</v>
      </c>
      <c r="AA130" s="33" t="n">
        <f aca="false">IF(OR($J130="—",$J130=""),0,IF(COUNTIF(Decisions!$A$5:$A$300,$J130)=0,1,0))</f>
        <v>0</v>
      </c>
      <c r="AB130" s="32" t="n">
        <f aca="false">IF(AND($F130="原始數據",$S130&lt;&gt;"Active"),1,0)</f>
        <v>0</v>
      </c>
      <c r="AC130" s="32" t="n">
        <f aca="false">IF(AND(ISNUMBER($K130),ISNUMBER($L130),ISNUMBER($Q130)),IF(OR($Q130&lt;MIN($K130,$L130),$Q130&gt;MAX($K130,$L130)),1,0),0)</f>
        <v>0</v>
      </c>
      <c r="AD130" s="32" t="n">
        <f aca="false">IF(AND(ISNUMBER($T130),$P130="高"),IF($T130=3,1,0),0)</f>
        <v>0</v>
      </c>
      <c r="AE130" s="32" t="n">
        <f aca="false">IF($S130="不存在",1,0)</f>
        <v>0</v>
      </c>
      <c r="AF130" s="44" t="n">
        <f aca="false">IF(OR($H130="—",$H130=""),"—",MATCH($H130,IDX_SrcID,0))</f>
        <v>47</v>
      </c>
      <c r="AG130" s="32" t="n">
        <f aca="false">IF(AND($P130="高",OR($AD130=1,$X130=1)),1,0)</f>
        <v>0</v>
      </c>
      <c r="AH130" s="32" t="n">
        <f aca="false">IF(AND($P130="高",$AG130=0,OR($F130&lt;&gt;"原始數據",$T130&lt;&gt;1)),1,0)</f>
        <v>0</v>
      </c>
      <c r="AI130" s="44" t="str">
        <f aca="false">IF(AND($P130="高",ISNUMBER($AF130)),INDEX(IDX_SrcDate,$AF130),"—")</f>
        <v>2026-10-05</v>
      </c>
      <c r="AJ130" s="32" t="n">
        <f aca="false">IF(AND(ISTEXT($AI130),LEN($AI130)=10),IF(ISNUMBER(VALUE(SUBSTITUTE($AI130,"-",""))),VALUE(SUBSTITUTE($AI130,"-","")),0),0)</f>
        <v>20261005</v>
      </c>
    </row>
    <row r="131" customFormat="false" ht="15" hidden="false" customHeight="true" outlineLevel="0" collapsed="false">
      <c r="A131" s="30" t="s">
        <v>4886</v>
      </c>
      <c r="B131" s="239" t="s">
        <v>4525</v>
      </c>
      <c r="C131" s="30" t="s">
        <v>4689</v>
      </c>
      <c r="D131" s="30" t="s">
        <v>4612</v>
      </c>
      <c r="E131" s="6" t="s">
        <v>246</v>
      </c>
      <c r="F131" s="239" t="s">
        <v>348</v>
      </c>
      <c r="G131" s="239" t="s">
        <v>4527</v>
      </c>
      <c r="H131" s="30" t="s">
        <v>4695</v>
      </c>
      <c r="I131" s="20" t="s">
        <v>4562</v>
      </c>
      <c r="J131" s="30" t="s">
        <v>751</v>
      </c>
      <c r="K131" s="239"/>
      <c r="L131" s="239"/>
      <c r="M131" s="30" t="s">
        <v>751</v>
      </c>
      <c r="N131" s="20" t="s">
        <v>4665</v>
      </c>
      <c r="O131" s="6" t="s">
        <v>751</v>
      </c>
      <c r="P131" s="239" t="s">
        <v>1309</v>
      </c>
      <c r="Q131" s="49" t="n">
        <f aca="false">Spec_Rack!E28</f>
        <v>72</v>
      </c>
      <c r="R131" s="184" t="n">
        <f aca="false">SRC_HW_047</f>
        <v>72</v>
      </c>
      <c r="S131" s="44" t="str">
        <f aca="false">IF(ISNUMBER($AF131),INDEX(IDX_SrcStat,$AF131),"—")</f>
        <v>Active</v>
      </c>
      <c r="T131" s="44" t="n">
        <f aca="false">IF(ISNUMBER($AF131),INDEX(IDX_SrcGrade,$AF131),"—")</f>
        <v>1</v>
      </c>
      <c r="U131" s="44" t="s">
        <v>4564</v>
      </c>
      <c r="V131" s="32" t="n">
        <f aca="false">IF(AND($F131="原始數據",$U131&lt;&gt;"連結 SRC"),1,0)</f>
        <v>0</v>
      </c>
      <c r="W131" s="32" t="n">
        <f aca="false">IF(AND($F131="Analogy",OR($H131="—",$H131="")),1,0)</f>
        <v>0</v>
      </c>
      <c r="X131" s="32" t="n">
        <f aca="false">IF(AND(OR($F131="Analogy",$F131="Assumed"),$G131&lt;&gt;"低",$G131&lt;&gt;"高",NOT(ISNUMBER($K131)),NOT(ISNUMBER($L131)),OR($M131="—",$M131="")),1,0)</f>
        <v>0</v>
      </c>
      <c r="Y131" s="32" t="n">
        <f aca="false">IF(AND(OR($F131="Analogy",$F131="Assumed",$F131="Derived（待改公式）",$F131="Derived（公式）"),OR($N131="—",$N131="",$N131=0)),1,0)</f>
        <v>0</v>
      </c>
      <c r="Z131" s="32" t="n">
        <f aca="false">IF(AND($F131="Decision",OR($J131="—",$J131="")),1,0)</f>
        <v>0</v>
      </c>
      <c r="AA131" s="33" t="n">
        <f aca="false">IF(OR($J131="—",$J131=""),0,IF(COUNTIF(Decisions!$A$5:$A$300,$J131)=0,1,0))</f>
        <v>0</v>
      </c>
      <c r="AB131" s="32" t="n">
        <f aca="false">IF(AND($F131="原始數據",$S131&lt;&gt;"Active"),1,0)</f>
        <v>0</v>
      </c>
      <c r="AC131" s="32" t="n">
        <f aca="false">IF(AND(ISNUMBER($K131),ISNUMBER($L131),ISNUMBER($Q131)),IF(OR($Q131&lt;MIN($K131,$L131),$Q131&gt;MAX($K131,$L131)),1,0),0)</f>
        <v>0</v>
      </c>
      <c r="AD131" s="32" t="n">
        <f aca="false">IF(AND(ISNUMBER($T131),$P131="高"),IF($T131=3,1,0),0)</f>
        <v>0</v>
      </c>
      <c r="AE131" s="32" t="n">
        <f aca="false">IF($S131="不存在",1,0)</f>
        <v>0</v>
      </c>
      <c r="AF131" s="44" t="n">
        <f aca="false">IF(OR($H131="—",$H131=""),"—",MATCH($H131,IDX_SrcID,0))</f>
        <v>47</v>
      </c>
      <c r="AG131" s="32" t="n">
        <f aca="false">IF(AND($P131="高",OR($AD131=1,$X131=1)),1,0)</f>
        <v>0</v>
      </c>
      <c r="AH131" s="32" t="n">
        <f aca="false">IF(AND($P131="高",$AG131=0,OR($F131&lt;&gt;"原始數據",$T131&lt;&gt;1)),1,0)</f>
        <v>0</v>
      </c>
      <c r="AI131" s="44" t="str">
        <f aca="false">IF(AND($P131="高",ISNUMBER($AF131)),INDEX(IDX_SrcDate,$AF131),"—")</f>
        <v>2026-10-05</v>
      </c>
      <c r="AJ131" s="32" t="n">
        <f aca="false">IF(AND(ISTEXT($AI131),LEN($AI131)=10),IF(ISNUMBER(VALUE(SUBSTITUTE($AI131,"-",""))),VALUE(SUBSTITUTE($AI131,"-","")),0),0)</f>
        <v>20261005</v>
      </c>
    </row>
    <row r="132" customFormat="false" ht="15" hidden="false" customHeight="true" outlineLevel="0" collapsed="false">
      <c r="A132" s="30" t="s">
        <v>4887</v>
      </c>
      <c r="B132" s="239" t="s">
        <v>4525</v>
      </c>
      <c r="C132" s="30" t="s">
        <v>4689</v>
      </c>
      <c r="D132" s="30" t="s">
        <v>4616</v>
      </c>
      <c r="E132" s="6" t="s">
        <v>246</v>
      </c>
      <c r="F132" s="239" t="s">
        <v>348</v>
      </c>
      <c r="G132" s="239" t="s">
        <v>4527</v>
      </c>
      <c r="H132" s="30" t="s">
        <v>4695</v>
      </c>
      <c r="I132" s="20" t="s">
        <v>4562</v>
      </c>
      <c r="J132" s="30" t="s">
        <v>751</v>
      </c>
      <c r="K132" s="239"/>
      <c r="L132" s="239"/>
      <c r="M132" s="30" t="s">
        <v>751</v>
      </c>
      <c r="N132" s="20" t="s">
        <v>4665</v>
      </c>
      <c r="O132" s="6" t="s">
        <v>751</v>
      </c>
      <c r="P132" s="239" t="s">
        <v>1309</v>
      </c>
      <c r="Q132" s="49" t="n">
        <f aca="false">Spec_Rack!F28</f>
        <v>72</v>
      </c>
      <c r="R132" s="184" t="n">
        <f aca="false">SRC_HW_047</f>
        <v>72</v>
      </c>
      <c r="S132" s="44" t="str">
        <f aca="false">IF(ISNUMBER($AF132),INDEX(IDX_SrcStat,$AF132),"—")</f>
        <v>Active</v>
      </c>
      <c r="T132" s="44" t="n">
        <f aca="false">IF(ISNUMBER($AF132),INDEX(IDX_SrcGrade,$AF132),"—")</f>
        <v>1</v>
      </c>
      <c r="U132" s="44" t="s">
        <v>4564</v>
      </c>
      <c r="V132" s="32" t="n">
        <f aca="false">IF(AND($F132="原始數據",$U132&lt;&gt;"連結 SRC"),1,0)</f>
        <v>0</v>
      </c>
      <c r="W132" s="32" t="n">
        <f aca="false">IF(AND($F132="Analogy",OR($H132="—",$H132="")),1,0)</f>
        <v>0</v>
      </c>
      <c r="X132" s="32" t="n">
        <f aca="false">IF(AND(OR($F132="Analogy",$F132="Assumed"),$G132&lt;&gt;"低",$G132&lt;&gt;"高",NOT(ISNUMBER($K132)),NOT(ISNUMBER($L132)),OR($M132="—",$M132="")),1,0)</f>
        <v>0</v>
      </c>
      <c r="Y132" s="32" t="n">
        <f aca="false">IF(AND(OR($F132="Analogy",$F132="Assumed",$F132="Derived（待改公式）",$F132="Derived（公式）"),OR($N132="—",$N132="",$N132=0)),1,0)</f>
        <v>0</v>
      </c>
      <c r="Z132" s="32" t="n">
        <f aca="false">IF(AND($F132="Decision",OR($J132="—",$J132="")),1,0)</f>
        <v>0</v>
      </c>
      <c r="AA132" s="33" t="n">
        <f aca="false">IF(OR($J132="—",$J132=""),0,IF(COUNTIF(Decisions!$A$5:$A$300,$J132)=0,1,0))</f>
        <v>0</v>
      </c>
      <c r="AB132" s="32" t="n">
        <f aca="false">IF(AND($F132="原始數據",$S132&lt;&gt;"Active"),1,0)</f>
        <v>0</v>
      </c>
      <c r="AC132" s="32" t="n">
        <f aca="false">IF(AND(ISNUMBER($K132),ISNUMBER($L132),ISNUMBER($Q132)),IF(OR($Q132&lt;MIN($K132,$L132),$Q132&gt;MAX($K132,$L132)),1,0),0)</f>
        <v>0</v>
      </c>
      <c r="AD132" s="32" t="n">
        <f aca="false">IF(AND(ISNUMBER($T132),$P132="高"),IF($T132=3,1,0),0)</f>
        <v>0</v>
      </c>
      <c r="AE132" s="32" t="n">
        <f aca="false">IF($S132="不存在",1,0)</f>
        <v>0</v>
      </c>
      <c r="AF132" s="44" t="n">
        <f aca="false">IF(OR($H132="—",$H132=""),"—",MATCH($H132,IDX_SrcID,0))</f>
        <v>47</v>
      </c>
      <c r="AG132" s="32" t="n">
        <f aca="false">IF(AND($P132="高",OR($AD132=1,$X132=1)),1,0)</f>
        <v>0</v>
      </c>
      <c r="AH132" s="32" t="n">
        <f aca="false">IF(AND($P132="高",$AG132=0,OR($F132&lt;&gt;"原始數據",$T132&lt;&gt;1)),1,0)</f>
        <v>0</v>
      </c>
      <c r="AI132" s="44" t="str">
        <f aca="false">IF(AND($P132="高",ISNUMBER($AF132)),INDEX(IDX_SrcDate,$AF132),"—")</f>
        <v>2026-10-05</v>
      </c>
      <c r="AJ132" s="32" t="n">
        <f aca="false">IF(AND(ISTEXT($AI132),LEN($AI132)=10),IF(ISNUMBER(VALUE(SUBSTITUTE($AI132,"-",""))),VALUE(SUBSTITUTE($AI132,"-","")),0),0)</f>
        <v>20261005</v>
      </c>
    </row>
    <row r="133" customFormat="false" ht="15" hidden="false" customHeight="true" outlineLevel="0" collapsed="false">
      <c r="A133" s="30" t="s">
        <v>4888</v>
      </c>
      <c r="B133" s="239" t="s">
        <v>4525</v>
      </c>
      <c r="C133" s="30" t="s">
        <v>4689</v>
      </c>
      <c r="D133" s="30" t="s">
        <v>4889</v>
      </c>
      <c r="E133" s="6" t="s">
        <v>246</v>
      </c>
      <c r="F133" s="239" t="s">
        <v>348</v>
      </c>
      <c r="G133" s="239" t="s">
        <v>4527</v>
      </c>
      <c r="H133" s="30" t="s">
        <v>4890</v>
      </c>
      <c r="I133" s="20" t="s">
        <v>4562</v>
      </c>
      <c r="J133" s="30" t="s">
        <v>751</v>
      </c>
      <c r="K133" s="239" t="n">
        <v>72</v>
      </c>
      <c r="L133" s="239" t="n">
        <v>576</v>
      </c>
      <c r="M133" s="239" t="s">
        <v>4891</v>
      </c>
      <c r="N133" s="20" t="s">
        <v>4665</v>
      </c>
      <c r="O133" s="6" t="s">
        <v>751</v>
      </c>
      <c r="P133" s="239" t="s">
        <v>1309</v>
      </c>
      <c r="Q133" s="49" t="n">
        <f aca="false">Spec_Rack!G28</f>
        <v>576</v>
      </c>
      <c r="R133" s="184" t="n">
        <f aca="false">SRC_HW_062</f>
        <v>576</v>
      </c>
      <c r="S133" s="44" t="str">
        <f aca="false">IF(ISNUMBER($AF133),INDEX(IDX_SrcStat,$AF133),"—")</f>
        <v>Active</v>
      </c>
      <c r="T133" s="44" t="n">
        <f aca="false">IF(ISNUMBER($AF133),INDEX(IDX_SrcGrade,$AF133),"—")</f>
        <v>1</v>
      </c>
      <c r="U133" s="44" t="s">
        <v>4564</v>
      </c>
      <c r="V133" s="32" t="n">
        <f aca="false">IF(AND($F133="原始數據",$U133&lt;&gt;"連結 SRC"),1,0)</f>
        <v>0</v>
      </c>
      <c r="W133" s="32" t="n">
        <f aca="false">IF(AND($F133="Analogy",OR($H133="—",$H133="")),1,0)</f>
        <v>0</v>
      </c>
      <c r="X133" s="32" t="n">
        <f aca="false">IF(AND(OR($F133="Analogy",$F133="Assumed"),$G133&lt;&gt;"低",$G133&lt;&gt;"高",NOT(ISNUMBER($K133)),NOT(ISNUMBER($L133)),OR($M133="—",$M133="")),1,0)</f>
        <v>0</v>
      </c>
      <c r="Y133" s="32" t="n">
        <f aca="false">IF(AND(OR($F133="Analogy",$F133="Assumed",$F133="Derived（待改公式）",$F133="Derived（公式）"),OR($N133="—",$N133="",$N133=0)),1,0)</f>
        <v>0</v>
      </c>
      <c r="Z133" s="32" t="n">
        <f aca="false">IF(AND($F133="Decision",OR($J133="—",$J133="")),1,0)</f>
        <v>0</v>
      </c>
      <c r="AA133" s="33" t="n">
        <f aca="false">IF(OR($J133="—",$J133=""),0,IF(COUNTIF(Decisions!$A$5:$A$300,$J133)=0,1,0))</f>
        <v>0</v>
      </c>
      <c r="AB133" s="32" t="n">
        <f aca="false">IF(AND($F133="原始數據",$S133&lt;&gt;"Active"),1,0)</f>
        <v>0</v>
      </c>
      <c r="AC133" s="32" t="n">
        <f aca="false">IF(AND(ISNUMBER($K133),ISNUMBER($L133),ISNUMBER($Q133)),IF(OR($Q133&lt;MIN($K133,$L133),$Q133&gt;MAX($K133,$L133)),1,0),0)</f>
        <v>0</v>
      </c>
      <c r="AD133" s="32" t="n">
        <f aca="false">IF(AND(ISNUMBER($T133),$P133="高"),IF($T133=3,1,0),0)</f>
        <v>0</v>
      </c>
      <c r="AE133" s="32" t="n">
        <f aca="false">IF($S133="不存在",1,0)</f>
        <v>0</v>
      </c>
      <c r="AF133" s="44" t="n">
        <f aca="false">IF(OR($H133="—",$H133=""),"—",MATCH($H133,IDX_SrcID,0))</f>
        <v>62</v>
      </c>
      <c r="AG133" s="32" t="n">
        <f aca="false">IF(AND($P133="高",OR($AD133=1,$X133=1)),1,0)</f>
        <v>0</v>
      </c>
      <c r="AH133" s="32" t="n">
        <f aca="false">IF(AND($P133="高",$AG133=0,OR($F133&lt;&gt;"原始數據",$T133&lt;&gt;1)),1,0)</f>
        <v>0</v>
      </c>
      <c r="AI133" s="44" t="str">
        <f aca="false">IF(AND($P133="高",ISNUMBER($AF133)),INDEX(IDX_SrcDate,$AF133),"—")</f>
        <v>—</v>
      </c>
      <c r="AJ133" s="32" t="n">
        <f aca="false">IF(AND(ISTEXT($AI133),LEN($AI133)=10),IF(ISNUMBER(VALUE(SUBSTITUTE($AI133,"-",""))),VALUE(SUBSTITUTE($AI133,"-","")),0),0)</f>
        <v>0</v>
      </c>
    </row>
    <row r="134" customFormat="false" ht="29.25" hidden="false" customHeight="true" outlineLevel="0" collapsed="false">
      <c r="A134" s="30" t="s">
        <v>4892</v>
      </c>
      <c r="B134" s="239" t="s">
        <v>4525</v>
      </c>
      <c r="C134" s="30" t="s">
        <v>4689</v>
      </c>
      <c r="D134" s="30" t="s">
        <v>4893</v>
      </c>
      <c r="E134" s="6" t="s">
        <v>247</v>
      </c>
      <c r="F134" s="30" t="s">
        <v>119</v>
      </c>
      <c r="G134" s="239" t="s">
        <v>4527</v>
      </c>
      <c r="H134" s="30" t="s">
        <v>4894</v>
      </c>
      <c r="I134" s="20" t="s">
        <v>4895</v>
      </c>
      <c r="J134" s="30" t="s">
        <v>751</v>
      </c>
      <c r="K134" s="241" t="n">
        <v>32</v>
      </c>
      <c r="L134" s="241" t="n">
        <v>144</v>
      </c>
      <c r="M134" s="30" t="s">
        <v>4896</v>
      </c>
      <c r="N134" s="6" t="s">
        <v>4897</v>
      </c>
      <c r="O134" s="6" t="s">
        <v>751</v>
      </c>
      <c r="P134" s="239" t="s">
        <v>4586</v>
      </c>
      <c r="Q134" s="49" t="n">
        <f aca="false">Spec_Rack!C29</f>
        <v>64</v>
      </c>
      <c r="R134" s="184" t="n">
        <f aca="false">SRC_PERF_051</f>
        <v>18</v>
      </c>
      <c r="S134" s="44" t="str">
        <f aca="false">IF(ISNUMBER($AF134),INDEX(IDX_SrcStat,$AF134),"—")</f>
        <v>Active</v>
      </c>
      <c r="T134" s="44" t="n">
        <f aca="false">IF(ISNUMBER($AF134),INDEX(IDX_SrcGrade,$AF134),"—")</f>
        <v>1</v>
      </c>
      <c r="U134" s="44" t="s">
        <v>4531</v>
      </c>
      <c r="V134" s="32" t="n">
        <f aca="false">IF(AND($F134="原始數據",$U134&lt;&gt;"連結 SRC"),1,0)</f>
        <v>0</v>
      </c>
      <c r="W134" s="32" t="n">
        <f aca="false">IF(AND($F134="Analogy",OR($H134="—",$H134="")),1,0)</f>
        <v>0</v>
      </c>
      <c r="X134" s="32" t="n">
        <f aca="false">IF(AND(OR($F134="Analogy",$F134="Assumed"),$G134&lt;&gt;"低",$G134&lt;&gt;"高",NOT(ISNUMBER($K134)),NOT(ISNUMBER($L134)),OR($M134="—",$M134="")),1,0)</f>
        <v>0</v>
      </c>
      <c r="Y134" s="32" t="n">
        <f aca="false">IF(AND(OR($F134="Analogy",$F134="Assumed",$F134="Derived（待改公式）",$F134="Derived（公式）"),OR($N134="—",$N134="",$N134=0)),1,0)</f>
        <v>0</v>
      </c>
      <c r="Z134" s="32" t="n">
        <f aca="false">IF(AND($F134="Decision",OR($J134="—",$J134="")),1,0)</f>
        <v>0</v>
      </c>
      <c r="AA134" s="33" t="n">
        <f aca="false">IF(OR($J134="—",$J134=""),0,IF(COUNTIF(Decisions!$A$5:$A$300,$J134)=0,1,0))</f>
        <v>0</v>
      </c>
      <c r="AB134" s="32" t="n">
        <f aca="false">IF(AND($F134="原始數據",$S134&lt;&gt;"Active"),1,0)</f>
        <v>0</v>
      </c>
      <c r="AC134" s="32" t="n">
        <f aca="false">IF(AND(ISNUMBER($K134),ISNUMBER($L134),ISNUMBER($Q134)),IF(OR($Q134&lt;MIN($K134,$L134),$Q134&gt;MAX($K134,$L134)),1,0),0)</f>
        <v>0</v>
      </c>
      <c r="AD134" s="32" t="n">
        <f aca="false">IF(AND(ISNUMBER($T134),$P134="高"),IF($T134=3,1,0),0)</f>
        <v>0</v>
      </c>
      <c r="AE134" s="32" t="n">
        <f aca="false">IF($S134="不存在",1,0)</f>
        <v>0</v>
      </c>
      <c r="AF134" s="44" t="n">
        <f aca="false">IF(OR($H134="—",$H134=""),"—",MATCH($H134,IDX_SrcID,0))</f>
        <v>345</v>
      </c>
      <c r="AG134" s="32" t="n">
        <f aca="false">IF(AND($P134="高",OR($AD134=1,$X134=1)),1,0)</f>
        <v>0</v>
      </c>
      <c r="AH134" s="32" t="n">
        <f aca="false">IF(AND($P134="高",$AG134=0,OR($F134&lt;&gt;"原始數據",$T134&lt;&gt;1)),1,0)</f>
        <v>0</v>
      </c>
      <c r="AI134" s="44" t="str">
        <f aca="false">IF(AND($P134="高",ISNUMBER($AF134)),INDEX(IDX_SrcDate,$AF134),"—")</f>
        <v>—</v>
      </c>
      <c r="AJ134" s="32" t="n">
        <f aca="false">IF(AND(ISTEXT($AI134),LEN($AI134)=10),IF(ISNUMBER(VALUE(SUBSTITUTE($AI134,"-",""))),VALUE(SUBSTITUTE($AI134,"-","")),0),0)</f>
        <v>0</v>
      </c>
    </row>
    <row r="135" customFormat="false" ht="29.25" hidden="false" customHeight="true" outlineLevel="0" collapsed="false">
      <c r="A135" s="30" t="s">
        <v>4898</v>
      </c>
      <c r="B135" s="239" t="s">
        <v>4525</v>
      </c>
      <c r="C135" s="30" t="s">
        <v>4689</v>
      </c>
      <c r="D135" s="30" t="s">
        <v>4899</v>
      </c>
      <c r="E135" s="6" t="s">
        <v>247</v>
      </c>
      <c r="F135" s="30" t="s">
        <v>119</v>
      </c>
      <c r="G135" s="239" t="s">
        <v>4527</v>
      </c>
      <c r="H135" s="30" t="s">
        <v>4900</v>
      </c>
      <c r="I135" s="20" t="s">
        <v>4901</v>
      </c>
      <c r="J135" s="30" t="s">
        <v>751</v>
      </c>
      <c r="K135" s="241" t="n">
        <v>16</v>
      </c>
      <c r="L135" s="241" t="n">
        <v>72</v>
      </c>
      <c r="M135" s="30" t="s">
        <v>4902</v>
      </c>
      <c r="N135" s="6" t="s">
        <v>4903</v>
      </c>
      <c r="O135" s="6" t="s">
        <v>751</v>
      </c>
      <c r="P135" s="239" t="s">
        <v>4586</v>
      </c>
      <c r="Q135" s="49" t="n">
        <f aca="false">Spec_Rack!D29</f>
        <v>32</v>
      </c>
      <c r="R135" s="184" t="n">
        <f aca="false">SRC_PERF_008</f>
        <v>32</v>
      </c>
      <c r="S135" s="44" t="str">
        <f aca="false">IF(ISNUMBER($AF135),INDEX(IDX_SrcStat,$AF135),"—")</f>
        <v>Active</v>
      </c>
      <c r="T135" s="44" t="n">
        <f aca="false">IF(ISNUMBER($AF135),INDEX(IDX_SrcGrade,$AF135),"—")</f>
        <v>1</v>
      </c>
      <c r="U135" s="44" t="s">
        <v>4531</v>
      </c>
      <c r="V135" s="32" t="n">
        <f aca="false">IF(AND($F135="原始數據",$U135&lt;&gt;"連結 SRC"),1,0)</f>
        <v>0</v>
      </c>
      <c r="W135" s="32" t="n">
        <f aca="false">IF(AND($F135="Analogy",OR($H135="—",$H135="")),1,0)</f>
        <v>0</v>
      </c>
      <c r="X135" s="32" t="n">
        <f aca="false">IF(AND(OR($F135="Analogy",$F135="Assumed"),$G135&lt;&gt;"低",$G135&lt;&gt;"高",NOT(ISNUMBER($K135)),NOT(ISNUMBER($L135)),OR($M135="—",$M135="")),1,0)</f>
        <v>0</v>
      </c>
      <c r="Y135" s="32" t="n">
        <f aca="false">IF(AND(OR($F135="Analogy",$F135="Assumed",$F135="Derived（待改公式）",$F135="Derived（公式）"),OR($N135="—",$N135="",$N135=0)),1,0)</f>
        <v>0</v>
      </c>
      <c r="Z135" s="32" t="n">
        <f aca="false">IF(AND($F135="Decision",OR($J135="—",$J135="")),1,0)</f>
        <v>0</v>
      </c>
      <c r="AA135" s="33" t="n">
        <f aca="false">IF(OR($J135="—",$J135=""),0,IF(COUNTIF(Decisions!$A$5:$A$300,$J135)=0,1,0))</f>
        <v>0</v>
      </c>
      <c r="AB135" s="32" t="n">
        <f aca="false">IF(AND($F135="原始數據",$S135&lt;&gt;"Active"),1,0)</f>
        <v>0</v>
      </c>
      <c r="AC135" s="32" t="n">
        <f aca="false">IF(AND(ISNUMBER($K135),ISNUMBER($L135),ISNUMBER($Q135)),IF(OR($Q135&lt;MIN($K135,$L135),$Q135&gt;MAX($K135,$L135)),1,0),0)</f>
        <v>0</v>
      </c>
      <c r="AD135" s="32" t="n">
        <f aca="false">IF(AND(ISNUMBER($T135),$P135="高"),IF($T135=3,1,0),0)</f>
        <v>0</v>
      </c>
      <c r="AE135" s="32" t="n">
        <f aca="false">IF($S135="不存在",1,0)</f>
        <v>0</v>
      </c>
      <c r="AF135" s="44" t="n">
        <f aca="false">IF(OR($H135="—",$H135=""),"—",MATCH($H135,IDX_SrcID,0))</f>
        <v>302</v>
      </c>
      <c r="AG135" s="32" t="n">
        <f aca="false">IF(AND($P135="高",OR($AD135=1,$X135=1)),1,0)</f>
        <v>0</v>
      </c>
      <c r="AH135" s="32" t="n">
        <f aca="false">IF(AND($P135="高",$AG135=0,OR($F135&lt;&gt;"原始數據",$T135&lt;&gt;1)),1,0)</f>
        <v>0</v>
      </c>
      <c r="AI135" s="44" t="str">
        <f aca="false">IF(AND($P135="高",ISNUMBER($AF135)),INDEX(IDX_SrcDate,$AF135),"—")</f>
        <v>—</v>
      </c>
      <c r="AJ135" s="32" t="n">
        <f aca="false">IF(AND(ISTEXT($AI135),LEN($AI135)=10),IF(ISNUMBER(VALUE(SUBSTITUTE($AI135,"-",""))),VALUE(SUBSTITUTE($AI135,"-","")),0),0)</f>
        <v>0</v>
      </c>
    </row>
    <row r="136" customFormat="false" ht="15" hidden="false" customHeight="true" outlineLevel="0" collapsed="false">
      <c r="A136" s="30" t="s">
        <v>4904</v>
      </c>
      <c r="B136" s="239" t="s">
        <v>4525</v>
      </c>
      <c r="C136" s="30" t="s">
        <v>4689</v>
      </c>
      <c r="D136" s="30" t="s">
        <v>4905</v>
      </c>
      <c r="E136" s="6" t="s">
        <v>247</v>
      </c>
      <c r="F136" s="239" t="s">
        <v>348</v>
      </c>
      <c r="G136" s="239" t="s">
        <v>4527</v>
      </c>
      <c r="H136" s="30" t="s">
        <v>4900</v>
      </c>
      <c r="I136" s="20" t="s">
        <v>4562</v>
      </c>
      <c r="J136" s="30" t="s">
        <v>751</v>
      </c>
      <c r="K136" s="239"/>
      <c r="L136" s="239"/>
      <c r="M136" s="30" t="s">
        <v>751</v>
      </c>
      <c r="N136" s="20" t="s">
        <v>4754</v>
      </c>
      <c r="O136" s="6" t="s">
        <v>751</v>
      </c>
      <c r="P136" s="239" t="s">
        <v>4586</v>
      </c>
      <c r="Q136" s="49" t="n">
        <f aca="false">Spec_Rack!E29</f>
        <v>32</v>
      </c>
      <c r="R136" s="184" t="n">
        <f aca="false">SRC_PERF_008</f>
        <v>32</v>
      </c>
      <c r="S136" s="44" t="str">
        <f aca="false">IF(ISNUMBER($AF136),INDEX(IDX_SrcStat,$AF136),"—")</f>
        <v>Active</v>
      </c>
      <c r="T136" s="44" t="n">
        <f aca="false">IF(ISNUMBER($AF136),INDEX(IDX_SrcGrade,$AF136),"—")</f>
        <v>1</v>
      </c>
      <c r="U136" s="44" t="s">
        <v>4564</v>
      </c>
      <c r="V136" s="32" t="n">
        <f aca="false">IF(AND($F136="原始數據",$U136&lt;&gt;"連結 SRC"),1,0)</f>
        <v>0</v>
      </c>
      <c r="W136" s="32" t="n">
        <f aca="false">IF(AND($F136="Analogy",OR($H136="—",$H136="")),1,0)</f>
        <v>0</v>
      </c>
      <c r="X136" s="32" t="n">
        <f aca="false">IF(AND(OR($F136="Analogy",$F136="Assumed"),$G136&lt;&gt;"低",$G136&lt;&gt;"高",NOT(ISNUMBER($K136)),NOT(ISNUMBER($L136)),OR($M136="—",$M136="")),1,0)</f>
        <v>0</v>
      </c>
      <c r="Y136" s="32" t="n">
        <f aca="false">IF(AND(OR($F136="Analogy",$F136="Assumed",$F136="Derived（待改公式）",$F136="Derived（公式）"),OR($N136="—",$N136="",$N136=0)),1,0)</f>
        <v>0</v>
      </c>
      <c r="Z136" s="32" t="n">
        <f aca="false">IF(AND($F136="Decision",OR($J136="—",$J136="")),1,0)</f>
        <v>0</v>
      </c>
      <c r="AA136" s="33" t="n">
        <f aca="false">IF(OR($J136="—",$J136=""),0,IF(COUNTIF(Decisions!$A$5:$A$300,$J136)=0,1,0))</f>
        <v>0</v>
      </c>
      <c r="AB136" s="32" t="n">
        <f aca="false">IF(AND($F136="原始數據",$S136&lt;&gt;"Active"),1,0)</f>
        <v>0</v>
      </c>
      <c r="AC136" s="32" t="n">
        <f aca="false">IF(AND(ISNUMBER($K136),ISNUMBER($L136),ISNUMBER($Q136)),IF(OR($Q136&lt;MIN($K136,$L136),$Q136&gt;MAX($K136,$L136)),1,0),0)</f>
        <v>0</v>
      </c>
      <c r="AD136" s="32" t="n">
        <f aca="false">IF(AND(ISNUMBER($T136),$P136="高"),IF($T136=3,1,0),0)</f>
        <v>0</v>
      </c>
      <c r="AE136" s="32" t="n">
        <f aca="false">IF($S136="不存在",1,0)</f>
        <v>0</v>
      </c>
      <c r="AF136" s="44" t="n">
        <f aca="false">IF(OR($H136="—",$H136=""),"—",MATCH($H136,IDX_SrcID,0))</f>
        <v>302</v>
      </c>
      <c r="AG136" s="32" t="n">
        <f aca="false">IF(AND($P136="高",OR($AD136=1,$X136=1)),1,0)</f>
        <v>0</v>
      </c>
      <c r="AH136" s="32" t="n">
        <f aca="false">IF(AND($P136="高",$AG136=0,OR($F136&lt;&gt;"原始數據",$T136&lt;&gt;1)),1,0)</f>
        <v>0</v>
      </c>
      <c r="AI136" s="44" t="str">
        <f aca="false">IF(AND($P136="高",ISNUMBER($AF136)),INDEX(IDX_SrcDate,$AF136),"—")</f>
        <v>—</v>
      </c>
      <c r="AJ136" s="32" t="n">
        <f aca="false">IF(AND(ISTEXT($AI136),LEN($AI136)=10),IF(ISNUMBER(VALUE(SUBSTITUTE($AI136,"-",""))),VALUE(SUBSTITUTE($AI136,"-","")),0),0)</f>
        <v>0</v>
      </c>
    </row>
    <row r="137" customFormat="false" ht="29.25" hidden="false" customHeight="true" outlineLevel="0" collapsed="false">
      <c r="A137" s="30" t="s">
        <v>4906</v>
      </c>
      <c r="B137" s="239" t="s">
        <v>4525</v>
      </c>
      <c r="C137" s="30" t="s">
        <v>4689</v>
      </c>
      <c r="D137" s="30" t="s">
        <v>4907</v>
      </c>
      <c r="E137" s="6" t="s">
        <v>247</v>
      </c>
      <c r="F137" s="30" t="s">
        <v>119</v>
      </c>
      <c r="G137" s="239" t="s">
        <v>4527</v>
      </c>
      <c r="H137" s="30" t="s">
        <v>4900</v>
      </c>
      <c r="I137" s="20" t="s">
        <v>4901</v>
      </c>
      <c r="J137" s="30" t="s">
        <v>751</v>
      </c>
      <c r="K137" s="241" t="n">
        <v>16</v>
      </c>
      <c r="L137" s="241" t="n">
        <v>72</v>
      </c>
      <c r="M137" s="30" t="s">
        <v>4902</v>
      </c>
      <c r="N137" s="6" t="s">
        <v>4903</v>
      </c>
      <c r="O137" s="6" t="s">
        <v>751</v>
      </c>
      <c r="P137" s="239" t="s">
        <v>4586</v>
      </c>
      <c r="Q137" s="49" t="n">
        <f aca="false">Spec_Rack!F29</f>
        <v>32</v>
      </c>
      <c r="R137" s="184" t="n">
        <f aca="false">SRC_PERF_008</f>
        <v>32</v>
      </c>
      <c r="S137" s="44" t="str">
        <f aca="false">IF(ISNUMBER($AF137),INDEX(IDX_SrcStat,$AF137),"—")</f>
        <v>Active</v>
      </c>
      <c r="T137" s="44" t="n">
        <f aca="false">IF(ISNUMBER($AF137),INDEX(IDX_SrcGrade,$AF137),"—")</f>
        <v>1</v>
      </c>
      <c r="U137" s="44" t="s">
        <v>4531</v>
      </c>
      <c r="V137" s="32" t="n">
        <f aca="false">IF(AND($F137="原始數據",$U137&lt;&gt;"連結 SRC"),1,0)</f>
        <v>0</v>
      </c>
      <c r="W137" s="32" t="n">
        <f aca="false">IF(AND($F137="Analogy",OR($H137="—",$H137="")),1,0)</f>
        <v>0</v>
      </c>
      <c r="X137" s="32" t="n">
        <f aca="false">IF(AND(OR($F137="Analogy",$F137="Assumed"),$G137&lt;&gt;"低",$G137&lt;&gt;"高",NOT(ISNUMBER($K137)),NOT(ISNUMBER($L137)),OR($M137="—",$M137="")),1,0)</f>
        <v>0</v>
      </c>
      <c r="Y137" s="32" t="n">
        <f aca="false">IF(AND(OR($F137="Analogy",$F137="Assumed",$F137="Derived（待改公式）",$F137="Derived（公式）"),OR($N137="—",$N137="",$N137=0)),1,0)</f>
        <v>0</v>
      </c>
      <c r="Z137" s="32" t="n">
        <f aca="false">IF(AND($F137="Decision",OR($J137="—",$J137="")),1,0)</f>
        <v>0</v>
      </c>
      <c r="AA137" s="33" t="n">
        <f aca="false">IF(OR($J137="—",$J137=""),0,IF(COUNTIF(Decisions!$A$5:$A$300,$J137)=0,1,0))</f>
        <v>0</v>
      </c>
      <c r="AB137" s="32" t="n">
        <f aca="false">IF(AND($F137="原始數據",$S137&lt;&gt;"Active"),1,0)</f>
        <v>0</v>
      </c>
      <c r="AC137" s="32" t="n">
        <f aca="false">IF(AND(ISNUMBER($K137),ISNUMBER($L137),ISNUMBER($Q137)),IF(OR($Q137&lt;MIN($K137,$L137),$Q137&gt;MAX($K137,$L137)),1,0),0)</f>
        <v>0</v>
      </c>
      <c r="AD137" s="32" t="n">
        <f aca="false">IF(AND(ISNUMBER($T137),$P137="高"),IF($T137=3,1,0),0)</f>
        <v>0</v>
      </c>
      <c r="AE137" s="32" t="n">
        <f aca="false">IF($S137="不存在",1,0)</f>
        <v>0</v>
      </c>
      <c r="AF137" s="44" t="n">
        <f aca="false">IF(OR($H137="—",$H137=""),"—",MATCH($H137,IDX_SrcID,0))</f>
        <v>302</v>
      </c>
      <c r="AG137" s="32" t="n">
        <f aca="false">IF(AND($P137="高",OR($AD137=1,$X137=1)),1,0)</f>
        <v>0</v>
      </c>
      <c r="AH137" s="32" t="n">
        <f aca="false">IF(AND($P137="高",$AG137=0,OR($F137&lt;&gt;"原始數據",$T137&lt;&gt;1)),1,0)</f>
        <v>0</v>
      </c>
      <c r="AI137" s="44" t="str">
        <f aca="false">IF(AND($P137="高",ISNUMBER($AF137)),INDEX(IDX_SrcDate,$AF137),"—")</f>
        <v>—</v>
      </c>
      <c r="AJ137" s="32" t="n">
        <f aca="false">IF(AND(ISTEXT($AI137),LEN($AI137)=10),IF(ISNUMBER(VALUE(SUBSTITUTE($AI137,"-",""))),VALUE(SUBSTITUTE($AI137,"-","")),0),0)</f>
        <v>0</v>
      </c>
    </row>
    <row r="138" customFormat="false" ht="15" hidden="false" customHeight="true" outlineLevel="0" collapsed="false">
      <c r="A138" s="30" t="s">
        <v>4908</v>
      </c>
      <c r="B138" s="239" t="s">
        <v>4525</v>
      </c>
      <c r="C138" s="30" t="s">
        <v>4689</v>
      </c>
      <c r="D138" s="30" t="s">
        <v>4909</v>
      </c>
      <c r="E138" s="6" t="s">
        <v>247</v>
      </c>
      <c r="F138" s="30" t="s">
        <v>114</v>
      </c>
      <c r="G138" s="239" t="s">
        <v>4527</v>
      </c>
      <c r="H138" s="30" t="s">
        <v>751</v>
      </c>
      <c r="I138" s="6" t="s">
        <v>751</v>
      </c>
      <c r="J138" s="30" t="s">
        <v>751</v>
      </c>
      <c r="K138" s="241" t="n">
        <v>32</v>
      </c>
      <c r="L138" s="241" t="n">
        <v>144</v>
      </c>
      <c r="M138" s="30" t="s">
        <v>4896</v>
      </c>
      <c r="N138" s="6" t="s">
        <v>4850</v>
      </c>
      <c r="O138" s="6" t="s">
        <v>751</v>
      </c>
      <c r="P138" s="239" t="s">
        <v>4586</v>
      </c>
      <c r="Q138" s="49" t="n">
        <f aca="false">Spec_Rack!G29</f>
        <v>64</v>
      </c>
      <c r="R138" s="30" t="s">
        <v>751</v>
      </c>
      <c r="S138" s="44" t="str">
        <f aca="false">IF(ISNUMBER($AF138),INDEX(IDX_SrcStat,$AF138),"—")</f>
        <v>—</v>
      </c>
      <c r="T138" s="44" t="str">
        <f aca="false">IF(ISNUMBER($AF138),INDEX(IDX_SrcGrade,$AF138),"—")</f>
        <v>—</v>
      </c>
      <c r="U138" s="44" t="s">
        <v>4531</v>
      </c>
      <c r="V138" s="32" t="n">
        <f aca="false">IF(AND($F138="原始數據",$U138&lt;&gt;"連結 SRC"),1,0)</f>
        <v>0</v>
      </c>
      <c r="W138" s="32" t="n">
        <f aca="false">IF(AND($F138="Analogy",OR($H138="—",$H138="")),1,0)</f>
        <v>0</v>
      </c>
      <c r="X138" s="32" t="n">
        <f aca="false">IF(AND(OR($F138="Analogy",$F138="Assumed"),$G138&lt;&gt;"低",$G138&lt;&gt;"高",NOT(ISNUMBER($K138)),NOT(ISNUMBER($L138)),OR($M138="—",$M138="")),1,0)</f>
        <v>0</v>
      </c>
      <c r="Y138" s="32" t="n">
        <f aca="false">IF(AND(OR($F138="Analogy",$F138="Assumed",$F138="Derived（待改公式）",$F138="Derived（公式）"),OR($N138="—",$N138="",$N138=0)),1,0)</f>
        <v>0</v>
      </c>
      <c r="Z138" s="32" t="n">
        <f aca="false">IF(AND($F138="Decision",OR($J138="—",$J138="")),1,0)</f>
        <v>0</v>
      </c>
      <c r="AA138" s="33" t="n">
        <f aca="false">IF(OR($J138="—",$J138=""),0,IF(COUNTIF(Decisions!$A$5:$A$300,$J138)=0,1,0))</f>
        <v>0</v>
      </c>
      <c r="AB138" s="32" t="n">
        <f aca="false">IF(AND($F138="原始數據",$S138&lt;&gt;"Active"),1,0)</f>
        <v>0</v>
      </c>
      <c r="AC138" s="32" t="n">
        <f aca="false">IF(AND(ISNUMBER($K138),ISNUMBER($L138),ISNUMBER($Q138)),IF(OR($Q138&lt;MIN($K138,$L138),$Q138&gt;MAX($K138,$L138)),1,0),0)</f>
        <v>0</v>
      </c>
      <c r="AD138" s="32" t="n">
        <f aca="false">IF(AND(ISNUMBER($T138),$P138="高"),IF($T138=3,1,0),0)</f>
        <v>0</v>
      </c>
      <c r="AE138" s="32" t="n">
        <f aca="false">IF($S138="不存在",1,0)</f>
        <v>0</v>
      </c>
      <c r="AF138" s="44" t="str">
        <f aca="false">IF(OR($H138="—",$H138=""),"—",MATCH($H138,IDX_SrcID,0))</f>
        <v>—</v>
      </c>
      <c r="AG138" s="32" t="n">
        <f aca="false">IF(AND($P138="高",OR($AD138=1,$X138=1)),1,0)</f>
        <v>0</v>
      </c>
      <c r="AH138" s="32" t="n">
        <f aca="false">IF(AND($P138="高",$AG138=0,OR($F138&lt;&gt;"原始數據",$T138&lt;&gt;1)),1,0)</f>
        <v>0</v>
      </c>
      <c r="AI138" s="44" t="str">
        <f aca="false">IF(AND($P138="高",ISNUMBER($AF138)),INDEX(IDX_SrcDate,$AF138),"—")</f>
        <v>—</v>
      </c>
      <c r="AJ138" s="32" t="n">
        <f aca="false">IF(AND(ISTEXT($AI138),LEN($AI138)=10),IF(ISNUMBER(VALUE(SUBSTITUTE($AI138,"-",""))),VALUE(SUBSTITUTE($AI138,"-","")),0),0)</f>
        <v>0</v>
      </c>
    </row>
    <row r="139" customFormat="false" ht="15" hidden="false" customHeight="true" outlineLevel="0" collapsed="false">
      <c r="A139" s="30" t="s">
        <v>4910</v>
      </c>
      <c r="B139" s="239" t="s">
        <v>4525</v>
      </c>
      <c r="C139" s="30" t="s">
        <v>4689</v>
      </c>
      <c r="D139" s="30" t="s">
        <v>4911</v>
      </c>
      <c r="E139" s="20" t="s">
        <v>4912</v>
      </c>
      <c r="F139" s="239" t="s">
        <v>348</v>
      </c>
      <c r="G139" s="239" t="s">
        <v>4527</v>
      </c>
      <c r="H139" s="30" t="s">
        <v>4913</v>
      </c>
      <c r="I139" s="20" t="s">
        <v>4562</v>
      </c>
      <c r="J139" s="30" t="s">
        <v>751</v>
      </c>
      <c r="K139" s="239"/>
      <c r="L139" s="239"/>
      <c r="M139" s="30" t="s">
        <v>751</v>
      </c>
      <c r="N139" s="20" t="s">
        <v>4754</v>
      </c>
      <c r="O139" s="6" t="s">
        <v>751</v>
      </c>
      <c r="P139" s="239" t="s">
        <v>4586</v>
      </c>
      <c r="Q139" s="53" t="n">
        <f aca="false">Spec_Rack!C30</f>
        <v>1</v>
      </c>
      <c r="R139" s="184" t="n">
        <f aca="false">SRC_HW_055</f>
        <v>1</v>
      </c>
      <c r="S139" s="44" t="str">
        <f aca="false">IF(ISNUMBER($AF139),INDEX(IDX_SrcStat,$AF139),"—")</f>
        <v>Active</v>
      </c>
      <c r="T139" s="44" t="n">
        <f aca="false">IF(ISNUMBER($AF139),INDEX(IDX_SrcGrade,$AF139),"—")</f>
        <v>3</v>
      </c>
      <c r="U139" s="44" t="s">
        <v>4564</v>
      </c>
      <c r="V139" s="32" t="n">
        <f aca="false">IF(AND($F139="原始數據",$U139&lt;&gt;"連結 SRC"),1,0)</f>
        <v>0</v>
      </c>
      <c r="W139" s="32" t="n">
        <f aca="false">IF(AND($F139="Analogy",OR($H139="—",$H139="")),1,0)</f>
        <v>0</v>
      </c>
      <c r="X139" s="32" t="n">
        <f aca="false">IF(AND(OR($F139="Analogy",$F139="Assumed"),$G139&lt;&gt;"低",$G139&lt;&gt;"高",NOT(ISNUMBER($K139)),NOT(ISNUMBER($L139)),OR($M139="—",$M139="")),1,0)</f>
        <v>0</v>
      </c>
      <c r="Y139" s="32" t="n">
        <f aca="false">IF(AND(OR($F139="Analogy",$F139="Assumed",$F139="Derived（待改公式）",$F139="Derived（公式）"),OR($N139="—",$N139="",$N139=0)),1,0)</f>
        <v>0</v>
      </c>
      <c r="Z139" s="32" t="n">
        <f aca="false">IF(AND($F139="Decision",OR($J139="—",$J139="")),1,0)</f>
        <v>0</v>
      </c>
      <c r="AA139" s="33" t="n">
        <f aca="false">IF(OR($J139="—",$J139=""),0,IF(COUNTIF(Decisions!$A$5:$A$300,$J139)=0,1,0))</f>
        <v>0</v>
      </c>
      <c r="AB139" s="32" t="n">
        <f aca="false">IF(AND($F139="原始數據",$S139&lt;&gt;"Active"),1,0)</f>
        <v>0</v>
      </c>
      <c r="AC139" s="32" t="n">
        <f aca="false">IF(AND(ISNUMBER($K139),ISNUMBER($L139),ISNUMBER($Q139)),IF(OR($Q139&lt;MIN($K139,$L139),$Q139&gt;MAX($K139,$L139)),1,0),0)</f>
        <v>0</v>
      </c>
      <c r="AD139" s="32" t="n">
        <f aca="false">IF(AND(ISNUMBER($T139),$P139="高"),IF($T139=3,1,0),0)</f>
        <v>0</v>
      </c>
      <c r="AE139" s="32" t="n">
        <f aca="false">IF($S139="不存在",1,0)</f>
        <v>0</v>
      </c>
      <c r="AF139" s="44" t="n">
        <f aca="false">IF(OR($H139="—",$H139=""),"—",MATCH($H139,IDX_SrcID,0))</f>
        <v>55</v>
      </c>
      <c r="AG139" s="32" t="n">
        <f aca="false">IF(AND($P139="高",OR($AD139=1,$X139=1)),1,0)</f>
        <v>0</v>
      </c>
      <c r="AH139" s="32" t="n">
        <f aca="false">IF(AND($P139="高",$AG139=0,OR($F139&lt;&gt;"原始數據",$T139&lt;&gt;1)),1,0)</f>
        <v>0</v>
      </c>
      <c r="AI139" s="44" t="str">
        <f aca="false">IF(AND($P139="高",ISNUMBER($AF139)),INDEX(IDX_SrcDate,$AF139),"—")</f>
        <v>—</v>
      </c>
      <c r="AJ139" s="32" t="n">
        <f aca="false">IF(AND(ISTEXT($AI139),LEN($AI139)=10),IF(ISNUMBER(VALUE(SUBSTITUTE($AI139,"-",""))),VALUE(SUBSTITUTE($AI139,"-","")),0),0)</f>
        <v>0</v>
      </c>
    </row>
    <row r="140" customFormat="false" ht="15" hidden="false" customHeight="true" outlineLevel="0" collapsed="false">
      <c r="A140" s="30" t="s">
        <v>4914</v>
      </c>
      <c r="B140" s="239" t="s">
        <v>4525</v>
      </c>
      <c r="C140" s="30" t="s">
        <v>4689</v>
      </c>
      <c r="D140" s="30" t="s">
        <v>4625</v>
      </c>
      <c r="E140" s="20" t="s">
        <v>4912</v>
      </c>
      <c r="F140" s="239" t="s">
        <v>348</v>
      </c>
      <c r="G140" s="239" t="s">
        <v>4527</v>
      </c>
      <c r="H140" s="30" t="s">
        <v>4915</v>
      </c>
      <c r="I140" s="20" t="s">
        <v>4562</v>
      </c>
      <c r="J140" s="30" t="s">
        <v>751</v>
      </c>
      <c r="K140" s="239"/>
      <c r="L140" s="239"/>
      <c r="M140" s="30" t="s">
        <v>751</v>
      </c>
      <c r="N140" s="20" t="s">
        <v>4754</v>
      </c>
      <c r="O140" s="6" t="s">
        <v>751</v>
      </c>
      <c r="P140" s="239" t="s">
        <v>4586</v>
      </c>
      <c r="Q140" s="53" t="n">
        <f aca="false">Spec_Rack!D30</f>
        <v>0.5625</v>
      </c>
      <c r="R140" s="184" t="n">
        <f aca="false">SRC_HW_050</f>
        <v>0.5625</v>
      </c>
      <c r="S140" s="44" t="str">
        <f aca="false">IF(ISNUMBER($AF140),INDEX(IDX_SrcStat,$AF140),"—")</f>
        <v>Active</v>
      </c>
      <c r="T140" s="44" t="n">
        <f aca="false">IF(ISNUMBER($AF140),INDEX(IDX_SrcGrade,$AF140),"—")</f>
        <v>3</v>
      </c>
      <c r="U140" s="44" t="s">
        <v>4564</v>
      </c>
      <c r="V140" s="32" t="n">
        <f aca="false">IF(AND($F140="原始數據",$U140&lt;&gt;"連結 SRC"),1,0)</f>
        <v>0</v>
      </c>
      <c r="W140" s="32" t="n">
        <f aca="false">IF(AND($F140="Analogy",OR($H140="—",$H140="")),1,0)</f>
        <v>0</v>
      </c>
      <c r="X140" s="32" t="n">
        <f aca="false">IF(AND(OR($F140="Analogy",$F140="Assumed"),$G140&lt;&gt;"低",$G140&lt;&gt;"高",NOT(ISNUMBER($K140)),NOT(ISNUMBER($L140)),OR($M140="—",$M140="")),1,0)</f>
        <v>0</v>
      </c>
      <c r="Y140" s="32" t="n">
        <f aca="false">IF(AND(OR($F140="Analogy",$F140="Assumed",$F140="Derived（待改公式）",$F140="Derived（公式）"),OR($N140="—",$N140="",$N140=0)),1,0)</f>
        <v>0</v>
      </c>
      <c r="Z140" s="32" t="n">
        <f aca="false">IF(AND($F140="Decision",OR($J140="—",$J140="")),1,0)</f>
        <v>0</v>
      </c>
      <c r="AA140" s="33" t="n">
        <f aca="false">IF(OR($J140="—",$J140=""),0,IF(COUNTIF(Decisions!$A$5:$A$300,$J140)=0,1,0))</f>
        <v>0</v>
      </c>
      <c r="AB140" s="32" t="n">
        <f aca="false">IF(AND($F140="原始數據",$S140&lt;&gt;"Active"),1,0)</f>
        <v>0</v>
      </c>
      <c r="AC140" s="32" t="n">
        <f aca="false">IF(AND(ISNUMBER($K140),ISNUMBER($L140),ISNUMBER($Q140)),IF(OR($Q140&lt;MIN($K140,$L140),$Q140&gt;MAX($K140,$L140)),1,0),0)</f>
        <v>0</v>
      </c>
      <c r="AD140" s="32" t="n">
        <f aca="false">IF(AND(ISNUMBER($T140),$P140="高"),IF($T140=3,1,0),0)</f>
        <v>0</v>
      </c>
      <c r="AE140" s="32" t="n">
        <f aca="false">IF($S140="不存在",1,0)</f>
        <v>0</v>
      </c>
      <c r="AF140" s="44" t="n">
        <f aca="false">IF(OR($H140="—",$H140=""),"—",MATCH($H140,IDX_SrcID,0))</f>
        <v>50</v>
      </c>
      <c r="AG140" s="32" t="n">
        <f aca="false">IF(AND($P140="高",OR($AD140=1,$X140=1)),1,0)</f>
        <v>0</v>
      </c>
      <c r="AH140" s="32" t="n">
        <f aca="false">IF(AND($P140="高",$AG140=0,OR($F140&lt;&gt;"原始數據",$T140&lt;&gt;1)),1,0)</f>
        <v>0</v>
      </c>
      <c r="AI140" s="44" t="str">
        <f aca="false">IF(AND($P140="高",ISNUMBER($AF140)),INDEX(IDX_SrcDate,$AF140),"—")</f>
        <v>—</v>
      </c>
      <c r="AJ140" s="32" t="n">
        <f aca="false">IF(AND(ISTEXT($AI140),LEN($AI140)=10),IF(ISNUMBER(VALUE(SUBSTITUTE($AI140,"-",""))),VALUE(SUBSTITUTE($AI140,"-","")),0),0)</f>
        <v>0</v>
      </c>
    </row>
    <row r="141" customFormat="false" ht="15" hidden="false" customHeight="true" outlineLevel="0" collapsed="false">
      <c r="A141" s="30" t="s">
        <v>4916</v>
      </c>
      <c r="B141" s="239" t="s">
        <v>4525</v>
      </c>
      <c r="C141" s="30" t="s">
        <v>4689</v>
      </c>
      <c r="D141" s="30" t="s">
        <v>4618</v>
      </c>
      <c r="E141" s="20" t="s">
        <v>4912</v>
      </c>
      <c r="F141" s="239" t="s">
        <v>348</v>
      </c>
      <c r="G141" s="239" t="s">
        <v>4527</v>
      </c>
      <c r="H141" s="30" t="s">
        <v>4915</v>
      </c>
      <c r="I141" s="20" t="s">
        <v>4562</v>
      </c>
      <c r="J141" s="30" t="s">
        <v>751</v>
      </c>
      <c r="K141" s="239"/>
      <c r="L141" s="239"/>
      <c r="M141" s="30" t="s">
        <v>751</v>
      </c>
      <c r="N141" s="20" t="s">
        <v>4754</v>
      </c>
      <c r="O141" s="6" t="s">
        <v>751</v>
      </c>
      <c r="P141" s="239" t="s">
        <v>4586</v>
      </c>
      <c r="Q141" s="53" t="n">
        <f aca="false">Spec_Rack!E30</f>
        <v>0.5625</v>
      </c>
      <c r="R141" s="184" t="n">
        <f aca="false">SRC_HW_050</f>
        <v>0.5625</v>
      </c>
      <c r="S141" s="44" t="str">
        <f aca="false">IF(ISNUMBER($AF141),INDEX(IDX_SrcStat,$AF141),"—")</f>
        <v>Active</v>
      </c>
      <c r="T141" s="44" t="n">
        <f aca="false">IF(ISNUMBER($AF141),INDEX(IDX_SrcGrade,$AF141),"—")</f>
        <v>3</v>
      </c>
      <c r="U141" s="44" t="s">
        <v>4564</v>
      </c>
      <c r="V141" s="32" t="n">
        <f aca="false">IF(AND($F141="原始數據",$U141&lt;&gt;"連結 SRC"),1,0)</f>
        <v>0</v>
      </c>
      <c r="W141" s="32" t="n">
        <f aca="false">IF(AND($F141="Analogy",OR($H141="—",$H141="")),1,0)</f>
        <v>0</v>
      </c>
      <c r="X141" s="32" t="n">
        <f aca="false">IF(AND(OR($F141="Analogy",$F141="Assumed"),$G141&lt;&gt;"低",$G141&lt;&gt;"高",NOT(ISNUMBER($K141)),NOT(ISNUMBER($L141)),OR($M141="—",$M141="")),1,0)</f>
        <v>0</v>
      </c>
      <c r="Y141" s="32" t="n">
        <f aca="false">IF(AND(OR($F141="Analogy",$F141="Assumed",$F141="Derived（待改公式）",$F141="Derived（公式）"),OR($N141="—",$N141="",$N141=0)),1,0)</f>
        <v>0</v>
      </c>
      <c r="Z141" s="32" t="n">
        <f aca="false">IF(AND($F141="Decision",OR($J141="—",$J141="")),1,0)</f>
        <v>0</v>
      </c>
      <c r="AA141" s="33" t="n">
        <f aca="false">IF(OR($J141="—",$J141=""),0,IF(COUNTIF(Decisions!$A$5:$A$300,$J141)=0,1,0))</f>
        <v>0</v>
      </c>
      <c r="AB141" s="32" t="n">
        <f aca="false">IF(AND($F141="原始數據",$S141&lt;&gt;"Active"),1,0)</f>
        <v>0</v>
      </c>
      <c r="AC141" s="32" t="n">
        <f aca="false">IF(AND(ISNUMBER($K141),ISNUMBER($L141),ISNUMBER($Q141)),IF(OR($Q141&lt;MIN($K141,$L141),$Q141&gt;MAX($K141,$L141)),1,0),0)</f>
        <v>0</v>
      </c>
      <c r="AD141" s="32" t="n">
        <f aca="false">IF(AND(ISNUMBER($T141),$P141="高"),IF($T141=3,1,0),0)</f>
        <v>0</v>
      </c>
      <c r="AE141" s="32" t="n">
        <f aca="false">IF($S141="不存在",1,0)</f>
        <v>0</v>
      </c>
      <c r="AF141" s="44" t="n">
        <f aca="false">IF(OR($H141="—",$H141=""),"—",MATCH($H141,IDX_SrcID,0))</f>
        <v>50</v>
      </c>
      <c r="AG141" s="32" t="n">
        <f aca="false">IF(AND($P141="高",OR($AD141=1,$X141=1)),1,0)</f>
        <v>0</v>
      </c>
      <c r="AH141" s="32" t="n">
        <f aca="false">IF(AND($P141="高",$AG141=0,OR($F141&lt;&gt;"原始數據",$T141&lt;&gt;1)),1,0)</f>
        <v>0</v>
      </c>
      <c r="AI141" s="44" t="str">
        <f aca="false">IF(AND($P141="高",ISNUMBER($AF141)),INDEX(IDX_SrcDate,$AF141),"—")</f>
        <v>—</v>
      </c>
      <c r="AJ141" s="32" t="n">
        <f aca="false">IF(AND(ISTEXT($AI141),LEN($AI141)=10),IF(ISNUMBER(VALUE(SUBSTITUTE($AI141,"-",""))),VALUE(SUBSTITUTE($AI141,"-","")),0),0)</f>
        <v>0</v>
      </c>
    </row>
    <row r="142" customFormat="false" ht="15" hidden="false" customHeight="true" outlineLevel="0" collapsed="false">
      <c r="A142" s="30" t="s">
        <v>4917</v>
      </c>
      <c r="B142" s="239" t="s">
        <v>4525</v>
      </c>
      <c r="C142" s="30" t="s">
        <v>4689</v>
      </c>
      <c r="D142" s="30" t="s">
        <v>4628</v>
      </c>
      <c r="E142" s="20" t="s">
        <v>4912</v>
      </c>
      <c r="F142" s="239" t="s">
        <v>348</v>
      </c>
      <c r="G142" s="239" t="s">
        <v>4527</v>
      </c>
      <c r="H142" s="30" t="s">
        <v>4915</v>
      </c>
      <c r="I142" s="20" t="s">
        <v>4562</v>
      </c>
      <c r="J142" s="30" t="s">
        <v>751</v>
      </c>
      <c r="K142" s="239"/>
      <c r="L142" s="239"/>
      <c r="M142" s="30" t="s">
        <v>751</v>
      </c>
      <c r="N142" s="20" t="s">
        <v>4754</v>
      </c>
      <c r="O142" s="6" t="s">
        <v>751</v>
      </c>
      <c r="P142" s="239" t="s">
        <v>4586</v>
      </c>
      <c r="Q142" s="53" t="n">
        <f aca="false">Spec_Rack!F30</f>
        <v>0.5625</v>
      </c>
      <c r="R142" s="184" t="n">
        <f aca="false">SRC_HW_050</f>
        <v>0.5625</v>
      </c>
      <c r="S142" s="44" t="str">
        <f aca="false">IF(ISNUMBER($AF142),INDEX(IDX_SrcStat,$AF142),"—")</f>
        <v>Active</v>
      </c>
      <c r="T142" s="44" t="n">
        <f aca="false">IF(ISNUMBER($AF142),INDEX(IDX_SrcGrade,$AF142),"—")</f>
        <v>3</v>
      </c>
      <c r="U142" s="44" t="s">
        <v>4564</v>
      </c>
      <c r="V142" s="32" t="n">
        <f aca="false">IF(AND($F142="原始數據",$U142&lt;&gt;"連結 SRC"),1,0)</f>
        <v>0</v>
      </c>
      <c r="W142" s="32" t="n">
        <f aca="false">IF(AND($F142="Analogy",OR($H142="—",$H142="")),1,0)</f>
        <v>0</v>
      </c>
      <c r="X142" s="32" t="n">
        <f aca="false">IF(AND(OR($F142="Analogy",$F142="Assumed"),$G142&lt;&gt;"低",$G142&lt;&gt;"高",NOT(ISNUMBER($K142)),NOT(ISNUMBER($L142)),OR($M142="—",$M142="")),1,0)</f>
        <v>0</v>
      </c>
      <c r="Y142" s="32" t="n">
        <f aca="false">IF(AND(OR($F142="Analogy",$F142="Assumed",$F142="Derived（待改公式）",$F142="Derived（公式）"),OR($N142="—",$N142="",$N142=0)),1,0)</f>
        <v>0</v>
      </c>
      <c r="Z142" s="32" t="n">
        <f aca="false">IF(AND($F142="Decision",OR($J142="—",$J142="")),1,0)</f>
        <v>0</v>
      </c>
      <c r="AA142" s="33" t="n">
        <f aca="false">IF(OR($J142="—",$J142=""),0,IF(COUNTIF(Decisions!$A$5:$A$300,$J142)=0,1,0))</f>
        <v>0</v>
      </c>
      <c r="AB142" s="32" t="n">
        <f aca="false">IF(AND($F142="原始數據",$S142&lt;&gt;"Active"),1,0)</f>
        <v>0</v>
      </c>
      <c r="AC142" s="32" t="n">
        <f aca="false">IF(AND(ISNUMBER($K142),ISNUMBER($L142),ISNUMBER($Q142)),IF(OR($Q142&lt;MIN($K142,$L142),$Q142&gt;MAX($K142,$L142)),1,0),0)</f>
        <v>0</v>
      </c>
      <c r="AD142" s="32" t="n">
        <f aca="false">IF(AND(ISNUMBER($T142),$P142="高"),IF($T142=3,1,0),0)</f>
        <v>0</v>
      </c>
      <c r="AE142" s="32" t="n">
        <f aca="false">IF($S142="不存在",1,0)</f>
        <v>0</v>
      </c>
      <c r="AF142" s="44" t="n">
        <f aca="false">IF(OR($H142="—",$H142=""),"—",MATCH($H142,IDX_SrcID,0))</f>
        <v>50</v>
      </c>
      <c r="AG142" s="32" t="n">
        <f aca="false">IF(AND($P142="高",OR($AD142=1,$X142=1)),1,0)</f>
        <v>0</v>
      </c>
      <c r="AH142" s="32" t="n">
        <f aca="false">IF(AND($P142="高",$AG142=0,OR($F142&lt;&gt;"原始數據",$T142&lt;&gt;1)),1,0)</f>
        <v>0</v>
      </c>
      <c r="AI142" s="44" t="str">
        <f aca="false">IF(AND($P142="高",ISNUMBER($AF142)),INDEX(IDX_SrcDate,$AF142),"—")</f>
        <v>—</v>
      </c>
      <c r="AJ142" s="32" t="n">
        <f aca="false">IF(AND(ISTEXT($AI142),LEN($AI142)=10),IF(ISNUMBER(VALUE(SUBSTITUTE($AI142,"-",""))),VALUE(SUBSTITUTE($AI142,"-","")),0),0)</f>
        <v>0</v>
      </c>
    </row>
    <row r="143" customFormat="false" ht="15" hidden="false" customHeight="true" outlineLevel="0" collapsed="false">
      <c r="A143" s="30" t="s">
        <v>4918</v>
      </c>
      <c r="B143" s="239" t="s">
        <v>4525</v>
      </c>
      <c r="C143" s="30" t="s">
        <v>4689</v>
      </c>
      <c r="D143" s="30" t="s">
        <v>4919</v>
      </c>
      <c r="E143" s="20" t="s">
        <v>4912</v>
      </c>
      <c r="F143" s="239" t="s">
        <v>348</v>
      </c>
      <c r="G143" s="239" t="s">
        <v>4527</v>
      </c>
      <c r="H143" s="30" t="s">
        <v>4915</v>
      </c>
      <c r="I143" s="20" t="s">
        <v>4562</v>
      </c>
      <c r="J143" s="30" t="s">
        <v>751</v>
      </c>
      <c r="K143" s="239"/>
      <c r="L143" s="239"/>
      <c r="M143" s="30" t="s">
        <v>751</v>
      </c>
      <c r="N143" s="20" t="s">
        <v>4754</v>
      </c>
      <c r="O143" s="6" t="s">
        <v>751</v>
      </c>
      <c r="P143" s="239" t="s">
        <v>4586</v>
      </c>
      <c r="Q143" s="53" t="n">
        <f aca="false">Spec_Rack!G30</f>
        <v>0.5625</v>
      </c>
      <c r="R143" s="184" t="n">
        <f aca="false">SRC_HW_050</f>
        <v>0.5625</v>
      </c>
      <c r="S143" s="44" t="str">
        <f aca="false">IF(ISNUMBER($AF143),INDEX(IDX_SrcStat,$AF143),"—")</f>
        <v>Active</v>
      </c>
      <c r="T143" s="44" t="n">
        <f aca="false">IF(ISNUMBER($AF143),INDEX(IDX_SrcGrade,$AF143),"—")</f>
        <v>3</v>
      </c>
      <c r="U143" s="44" t="s">
        <v>4564</v>
      </c>
      <c r="V143" s="32" t="n">
        <f aca="false">IF(AND($F143="原始數據",$U143&lt;&gt;"連結 SRC"),1,0)</f>
        <v>0</v>
      </c>
      <c r="W143" s="32" t="n">
        <f aca="false">IF(AND($F143="Analogy",OR($H143="—",$H143="")),1,0)</f>
        <v>0</v>
      </c>
      <c r="X143" s="32" t="n">
        <f aca="false">IF(AND(OR($F143="Analogy",$F143="Assumed"),$G143&lt;&gt;"低",$G143&lt;&gt;"高",NOT(ISNUMBER($K143)),NOT(ISNUMBER($L143)),OR($M143="—",$M143="")),1,0)</f>
        <v>0</v>
      </c>
      <c r="Y143" s="32" t="n">
        <f aca="false">IF(AND(OR($F143="Analogy",$F143="Assumed",$F143="Derived（待改公式）",$F143="Derived（公式）"),OR($N143="—",$N143="",$N143=0)),1,0)</f>
        <v>0</v>
      </c>
      <c r="Z143" s="32" t="n">
        <f aca="false">IF(AND($F143="Decision",OR($J143="—",$J143="")),1,0)</f>
        <v>0</v>
      </c>
      <c r="AA143" s="33" t="n">
        <f aca="false">IF(OR($J143="—",$J143=""),0,IF(COUNTIF(Decisions!$A$5:$A$300,$J143)=0,1,0))</f>
        <v>0</v>
      </c>
      <c r="AB143" s="32" t="n">
        <f aca="false">IF(AND($F143="原始數據",$S143&lt;&gt;"Active"),1,0)</f>
        <v>0</v>
      </c>
      <c r="AC143" s="32" t="n">
        <f aca="false">IF(AND(ISNUMBER($K143),ISNUMBER($L143),ISNUMBER($Q143)),IF(OR($Q143&lt;MIN($K143,$L143),$Q143&gt;MAX($K143,$L143)),1,0),0)</f>
        <v>0</v>
      </c>
      <c r="AD143" s="32" t="n">
        <f aca="false">IF(AND(ISNUMBER($T143),$P143="高"),IF($T143=3,1,0),0)</f>
        <v>0</v>
      </c>
      <c r="AE143" s="32" t="n">
        <f aca="false">IF($S143="不存在",1,0)</f>
        <v>0</v>
      </c>
      <c r="AF143" s="44" t="n">
        <f aca="false">IF(OR($H143="—",$H143=""),"—",MATCH($H143,IDX_SrcID,0))</f>
        <v>50</v>
      </c>
      <c r="AG143" s="32" t="n">
        <f aca="false">IF(AND($P143="高",OR($AD143=1,$X143=1)),1,0)</f>
        <v>0</v>
      </c>
      <c r="AH143" s="32" t="n">
        <f aca="false">IF(AND($P143="高",$AG143=0,OR($F143&lt;&gt;"原始數據",$T143&lt;&gt;1)),1,0)</f>
        <v>0</v>
      </c>
      <c r="AI143" s="44" t="str">
        <f aca="false">IF(AND($P143="高",ISNUMBER($AF143)),INDEX(IDX_SrcDate,$AF143),"—")</f>
        <v>—</v>
      </c>
      <c r="AJ143" s="32" t="n">
        <f aca="false">IF(AND(ISTEXT($AI143),LEN($AI143)=10),IF(ISNUMBER(VALUE(SUBSTITUTE($AI143,"-",""))),VALUE(SUBSTITUTE($AI143,"-","")),0),0)</f>
        <v>0</v>
      </c>
    </row>
    <row r="144" customFormat="false" ht="29.25" hidden="false" customHeight="true" outlineLevel="0" collapsed="false">
      <c r="A144" s="30" t="s">
        <v>4920</v>
      </c>
      <c r="B144" s="239" t="s">
        <v>4525</v>
      </c>
      <c r="C144" s="30" t="s">
        <v>4689</v>
      </c>
      <c r="D144" s="30" t="s">
        <v>4921</v>
      </c>
      <c r="E144" s="20" t="s">
        <v>4922</v>
      </c>
      <c r="F144" s="30" t="s">
        <v>114</v>
      </c>
      <c r="G144" s="239" t="s">
        <v>4527</v>
      </c>
      <c r="H144" s="30" t="s">
        <v>751</v>
      </c>
      <c r="I144" s="6" t="s">
        <v>751</v>
      </c>
      <c r="J144" s="30" t="s">
        <v>751</v>
      </c>
      <c r="K144" s="241" t="n">
        <v>1</v>
      </c>
      <c r="L144" s="241" t="n">
        <v>2</v>
      </c>
      <c r="M144" s="30" t="s">
        <v>4923</v>
      </c>
      <c r="N144" s="20" t="s">
        <v>4924</v>
      </c>
      <c r="O144" s="6" t="s">
        <v>4925</v>
      </c>
      <c r="P144" s="239" t="s">
        <v>4586</v>
      </c>
      <c r="Q144" s="192" t="n">
        <f aca="false">Spec_Rack!C31</f>
        <v>1</v>
      </c>
      <c r="R144" s="30" t="s">
        <v>751</v>
      </c>
      <c r="S144" s="44" t="str">
        <f aca="false">IF(ISNUMBER($AF144),INDEX(IDX_SrcStat,$AF144),"—")</f>
        <v>—</v>
      </c>
      <c r="T144" s="44" t="str">
        <f aca="false">IF(ISNUMBER($AF144),INDEX(IDX_SrcGrade,$AF144),"—")</f>
        <v>—</v>
      </c>
      <c r="U144" s="44" t="s">
        <v>4531</v>
      </c>
      <c r="V144" s="32" t="n">
        <f aca="false">IF(AND($F144="原始數據",$U144&lt;&gt;"連結 SRC"),1,0)</f>
        <v>0</v>
      </c>
      <c r="W144" s="32" t="n">
        <f aca="false">IF(AND($F144="Analogy",OR($H144="—",$H144="")),1,0)</f>
        <v>0</v>
      </c>
      <c r="X144" s="32" t="n">
        <f aca="false">IF(AND(OR($F144="Analogy",$F144="Assumed"),$G144&lt;&gt;"低",$G144&lt;&gt;"高",NOT(ISNUMBER($K144)),NOT(ISNUMBER($L144)),OR($M144="—",$M144="")),1,0)</f>
        <v>0</v>
      </c>
      <c r="Y144" s="32" t="n">
        <f aca="false">IF(AND(OR($F144="Analogy",$F144="Assumed",$F144="Derived（待改公式）",$F144="Derived（公式）"),OR($N144="—",$N144="",$N144=0)),1,0)</f>
        <v>0</v>
      </c>
      <c r="Z144" s="32" t="n">
        <f aca="false">IF(AND($F144="Decision",OR($J144="—",$J144="")),1,0)</f>
        <v>0</v>
      </c>
      <c r="AA144" s="33" t="n">
        <f aca="false">IF(OR($J144="—",$J144=""),0,IF(COUNTIF(Decisions!$A$5:$A$300,$J144)=0,1,0))</f>
        <v>0</v>
      </c>
      <c r="AB144" s="32" t="n">
        <f aca="false">IF(AND($F144="原始數據",$S144&lt;&gt;"Active"),1,0)</f>
        <v>0</v>
      </c>
      <c r="AC144" s="32" t="n">
        <f aca="false">IF(AND(ISNUMBER($K144),ISNUMBER($L144),ISNUMBER($Q144)),IF(OR($Q144&lt;MIN($K144,$L144),$Q144&gt;MAX($K144,$L144)),1,0),0)</f>
        <v>0</v>
      </c>
      <c r="AD144" s="32" t="n">
        <f aca="false">IF(AND(ISNUMBER($T144),$P144="高"),IF($T144=3,1,0),0)</f>
        <v>0</v>
      </c>
      <c r="AE144" s="32" t="n">
        <f aca="false">IF($S144="不存在",1,0)</f>
        <v>0</v>
      </c>
      <c r="AF144" s="44" t="str">
        <f aca="false">IF(OR($H144="—",$H144=""),"—",MATCH($H144,IDX_SrcID,0))</f>
        <v>—</v>
      </c>
      <c r="AG144" s="32" t="n">
        <f aca="false">IF(AND($P144="高",OR($AD144=1,$X144=1)),1,0)</f>
        <v>0</v>
      </c>
      <c r="AH144" s="32" t="n">
        <f aca="false">IF(AND($P144="高",$AG144=0,OR($F144&lt;&gt;"原始數據",$T144&lt;&gt;1)),1,0)</f>
        <v>0</v>
      </c>
      <c r="AI144" s="44" t="str">
        <f aca="false">IF(AND($P144="高",ISNUMBER($AF144)),INDEX(IDX_SrcDate,$AF144),"—")</f>
        <v>—</v>
      </c>
      <c r="AJ144" s="32" t="n">
        <f aca="false">IF(AND(ISTEXT($AI144),LEN($AI144)=10),IF(ISNUMBER(VALUE(SUBSTITUTE($AI144,"-",""))),VALUE(SUBSTITUTE($AI144,"-","")),0),0)</f>
        <v>0</v>
      </c>
    </row>
    <row r="145" customFormat="false" ht="29.25" hidden="false" customHeight="true" outlineLevel="0" collapsed="false">
      <c r="A145" s="30" t="s">
        <v>4926</v>
      </c>
      <c r="B145" s="239" t="s">
        <v>4525</v>
      </c>
      <c r="C145" s="30" t="s">
        <v>4689</v>
      </c>
      <c r="D145" s="30" t="s">
        <v>4634</v>
      </c>
      <c r="E145" s="20" t="s">
        <v>4922</v>
      </c>
      <c r="F145" s="30" t="s">
        <v>114</v>
      </c>
      <c r="G145" s="239" t="s">
        <v>4527</v>
      </c>
      <c r="H145" s="30" t="s">
        <v>751</v>
      </c>
      <c r="I145" s="6" t="s">
        <v>751</v>
      </c>
      <c r="J145" s="30" t="s">
        <v>751</v>
      </c>
      <c r="K145" s="241" t="n">
        <v>1</v>
      </c>
      <c r="L145" s="241" t="n">
        <v>2</v>
      </c>
      <c r="M145" s="30" t="s">
        <v>4923</v>
      </c>
      <c r="N145" s="20" t="s">
        <v>4924</v>
      </c>
      <c r="O145" s="6" t="s">
        <v>4925</v>
      </c>
      <c r="P145" s="239" t="s">
        <v>4586</v>
      </c>
      <c r="Q145" s="192" t="n">
        <f aca="false">Spec_Rack!D31</f>
        <v>1</v>
      </c>
      <c r="R145" s="30" t="s">
        <v>751</v>
      </c>
      <c r="S145" s="44" t="str">
        <f aca="false">IF(ISNUMBER($AF145),INDEX(IDX_SrcStat,$AF145),"—")</f>
        <v>—</v>
      </c>
      <c r="T145" s="44" t="str">
        <f aca="false">IF(ISNUMBER($AF145),INDEX(IDX_SrcGrade,$AF145),"—")</f>
        <v>—</v>
      </c>
      <c r="U145" s="44" t="s">
        <v>4531</v>
      </c>
      <c r="V145" s="32" t="n">
        <f aca="false">IF(AND($F145="原始數據",$U145&lt;&gt;"連結 SRC"),1,0)</f>
        <v>0</v>
      </c>
      <c r="W145" s="32" t="n">
        <f aca="false">IF(AND($F145="Analogy",OR($H145="—",$H145="")),1,0)</f>
        <v>0</v>
      </c>
      <c r="X145" s="32" t="n">
        <f aca="false">IF(AND(OR($F145="Analogy",$F145="Assumed"),$G145&lt;&gt;"低",$G145&lt;&gt;"高",NOT(ISNUMBER($K145)),NOT(ISNUMBER($L145)),OR($M145="—",$M145="")),1,0)</f>
        <v>0</v>
      </c>
      <c r="Y145" s="32" t="n">
        <f aca="false">IF(AND(OR($F145="Analogy",$F145="Assumed",$F145="Derived（待改公式）",$F145="Derived（公式）"),OR($N145="—",$N145="",$N145=0)),1,0)</f>
        <v>0</v>
      </c>
      <c r="Z145" s="32" t="n">
        <f aca="false">IF(AND($F145="Decision",OR($J145="—",$J145="")),1,0)</f>
        <v>0</v>
      </c>
      <c r="AA145" s="33" t="n">
        <f aca="false">IF(OR($J145="—",$J145=""),0,IF(COUNTIF(Decisions!$A$5:$A$300,$J145)=0,1,0))</f>
        <v>0</v>
      </c>
      <c r="AB145" s="32" t="n">
        <f aca="false">IF(AND($F145="原始數據",$S145&lt;&gt;"Active"),1,0)</f>
        <v>0</v>
      </c>
      <c r="AC145" s="32" t="n">
        <f aca="false">IF(AND(ISNUMBER($K145),ISNUMBER($L145),ISNUMBER($Q145)),IF(OR($Q145&lt;MIN($K145,$L145),$Q145&gt;MAX($K145,$L145)),1,0),0)</f>
        <v>0</v>
      </c>
      <c r="AD145" s="32" t="n">
        <f aca="false">IF(AND(ISNUMBER($T145),$P145="高"),IF($T145=3,1,0),0)</f>
        <v>0</v>
      </c>
      <c r="AE145" s="32" t="n">
        <f aca="false">IF($S145="不存在",1,0)</f>
        <v>0</v>
      </c>
      <c r="AF145" s="44" t="str">
        <f aca="false">IF(OR($H145="—",$H145=""),"—",MATCH($H145,IDX_SrcID,0))</f>
        <v>—</v>
      </c>
      <c r="AG145" s="32" t="n">
        <f aca="false">IF(AND($P145="高",OR($AD145=1,$X145=1)),1,0)</f>
        <v>0</v>
      </c>
      <c r="AH145" s="32" t="n">
        <f aca="false">IF(AND($P145="高",$AG145=0,OR($F145&lt;&gt;"原始數據",$T145&lt;&gt;1)),1,0)</f>
        <v>0</v>
      </c>
      <c r="AI145" s="44" t="str">
        <f aca="false">IF(AND($P145="高",ISNUMBER($AF145)),INDEX(IDX_SrcDate,$AF145),"—")</f>
        <v>—</v>
      </c>
      <c r="AJ145" s="32" t="n">
        <f aca="false">IF(AND(ISTEXT($AI145),LEN($AI145)=10),IF(ISNUMBER(VALUE(SUBSTITUTE($AI145,"-",""))),VALUE(SUBSTITUTE($AI145,"-","")),0),0)</f>
        <v>0</v>
      </c>
    </row>
    <row r="146" customFormat="false" ht="29.25" hidden="false" customHeight="true" outlineLevel="0" collapsed="false">
      <c r="A146" s="30" t="s">
        <v>4927</v>
      </c>
      <c r="B146" s="239" t="s">
        <v>4525</v>
      </c>
      <c r="C146" s="30" t="s">
        <v>4689</v>
      </c>
      <c r="D146" s="30" t="s">
        <v>4631</v>
      </c>
      <c r="E146" s="20" t="s">
        <v>4922</v>
      </c>
      <c r="F146" s="30" t="s">
        <v>114</v>
      </c>
      <c r="G146" s="239" t="s">
        <v>4527</v>
      </c>
      <c r="H146" s="30" t="s">
        <v>751</v>
      </c>
      <c r="I146" s="6" t="s">
        <v>751</v>
      </c>
      <c r="J146" s="30" t="s">
        <v>751</v>
      </c>
      <c r="K146" s="241" t="n">
        <v>1</v>
      </c>
      <c r="L146" s="241" t="n">
        <v>2</v>
      </c>
      <c r="M146" s="30" t="s">
        <v>4923</v>
      </c>
      <c r="N146" s="20" t="s">
        <v>4924</v>
      </c>
      <c r="O146" s="6" t="s">
        <v>4925</v>
      </c>
      <c r="P146" s="239" t="s">
        <v>4586</v>
      </c>
      <c r="Q146" s="192" t="n">
        <f aca="false">Spec_Rack!E31</f>
        <v>1</v>
      </c>
      <c r="R146" s="30" t="s">
        <v>751</v>
      </c>
      <c r="S146" s="44" t="str">
        <f aca="false">IF(ISNUMBER($AF146),INDEX(IDX_SrcStat,$AF146),"—")</f>
        <v>—</v>
      </c>
      <c r="T146" s="44" t="str">
        <f aca="false">IF(ISNUMBER($AF146),INDEX(IDX_SrcGrade,$AF146),"—")</f>
        <v>—</v>
      </c>
      <c r="U146" s="44" t="s">
        <v>4531</v>
      </c>
      <c r="V146" s="32" t="n">
        <f aca="false">IF(AND($F146="原始數據",$U146&lt;&gt;"連結 SRC"),1,0)</f>
        <v>0</v>
      </c>
      <c r="W146" s="32" t="n">
        <f aca="false">IF(AND($F146="Analogy",OR($H146="—",$H146="")),1,0)</f>
        <v>0</v>
      </c>
      <c r="X146" s="32" t="n">
        <f aca="false">IF(AND(OR($F146="Analogy",$F146="Assumed"),$G146&lt;&gt;"低",$G146&lt;&gt;"高",NOT(ISNUMBER($K146)),NOT(ISNUMBER($L146)),OR($M146="—",$M146="")),1,0)</f>
        <v>0</v>
      </c>
      <c r="Y146" s="32" t="n">
        <f aca="false">IF(AND(OR($F146="Analogy",$F146="Assumed",$F146="Derived（待改公式）",$F146="Derived（公式）"),OR($N146="—",$N146="",$N146=0)),1,0)</f>
        <v>0</v>
      </c>
      <c r="Z146" s="32" t="n">
        <f aca="false">IF(AND($F146="Decision",OR($J146="—",$J146="")),1,0)</f>
        <v>0</v>
      </c>
      <c r="AA146" s="33" t="n">
        <f aca="false">IF(OR($J146="—",$J146=""),0,IF(COUNTIF(Decisions!$A$5:$A$300,$J146)=0,1,0))</f>
        <v>0</v>
      </c>
      <c r="AB146" s="32" t="n">
        <f aca="false">IF(AND($F146="原始數據",$S146&lt;&gt;"Active"),1,0)</f>
        <v>0</v>
      </c>
      <c r="AC146" s="32" t="n">
        <f aca="false">IF(AND(ISNUMBER($K146),ISNUMBER($L146),ISNUMBER($Q146)),IF(OR($Q146&lt;MIN($K146,$L146),$Q146&gt;MAX($K146,$L146)),1,0),0)</f>
        <v>0</v>
      </c>
      <c r="AD146" s="32" t="n">
        <f aca="false">IF(AND(ISNUMBER($T146),$P146="高"),IF($T146=3,1,0),0)</f>
        <v>0</v>
      </c>
      <c r="AE146" s="32" t="n">
        <f aca="false">IF($S146="不存在",1,0)</f>
        <v>0</v>
      </c>
      <c r="AF146" s="44" t="str">
        <f aca="false">IF(OR($H146="—",$H146=""),"—",MATCH($H146,IDX_SrcID,0))</f>
        <v>—</v>
      </c>
      <c r="AG146" s="32" t="n">
        <f aca="false">IF(AND($P146="高",OR($AD146=1,$X146=1)),1,0)</f>
        <v>0</v>
      </c>
      <c r="AH146" s="32" t="n">
        <f aca="false">IF(AND($P146="高",$AG146=0,OR($F146&lt;&gt;"原始數據",$T146&lt;&gt;1)),1,0)</f>
        <v>0</v>
      </c>
      <c r="AI146" s="44" t="str">
        <f aca="false">IF(AND($P146="高",ISNUMBER($AF146)),INDEX(IDX_SrcDate,$AF146),"—")</f>
        <v>—</v>
      </c>
      <c r="AJ146" s="32" t="n">
        <f aca="false">IF(AND(ISTEXT($AI146),LEN($AI146)=10),IF(ISNUMBER(VALUE(SUBSTITUTE($AI146,"-",""))),VALUE(SUBSTITUTE($AI146,"-","")),0),0)</f>
        <v>0</v>
      </c>
    </row>
    <row r="147" customFormat="false" ht="29.25" hidden="false" customHeight="true" outlineLevel="0" collapsed="false">
      <c r="A147" s="30" t="s">
        <v>4928</v>
      </c>
      <c r="B147" s="239" t="s">
        <v>4525</v>
      </c>
      <c r="C147" s="30" t="s">
        <v>4689</v>
      </c>
      <c r="D147" s="30" t="s">
        <v>4636</v>
      </c>
      <c r="E147" s="20" t="s">
        <v>4922</v>
      </c>
      <c r="F147" s="30" t="s">
        <v>114</v>
      </c>
      <c r="G147" s="239" t="s">
        <v>4527</v>
      </c>
      <c r="H147" s="30" t="s">
        <v>751</v>
      </c>
      <c r="I147" s="6" t="s">
        <v>751</v>
      </c>
      <c r="J147" s="30" t="s">
        <v>751</v>
      </c>
      <c r="K147" s="241" t="n">
        <v>1</v>
      </c>
      <c r="L147" s="241" t="n">
        <v>2</v>
      </c>
      <c r="M147" s="30" t="s">
        <v>4923</v>
      </c>
      <c r="N147" s="20" t="s">
        <v>4924</v>
      </c>
      <c r="O147" s="6" t="s">
        <v>4925</v>
      </c>
      <c r="P147" s="239" t="s">
        <v>4586</v>
      </c>
      <c r="Q147" s="192" t="n">
        <f aca="false">Spec_Rack!F31</f>
        <v>1</v>
      </c>
      <c r="R147" s="30" t="s">
        <v>751</v>
      </c>
      <c r="S147" s="44" t="str">
        <f aca="false">IF(ISNUMBER($AF147),INDEX(IDX_SrcStat,$AF147),"—")</f>
        <v>—</v>
      </c>
      <c r="T147" s="44" t="str">
        <f aca="false">IF(ISNUMBER($AF147),INDEX(IDX_SrcGrade,$AF147),"—")</f>
        <v>—</v>
      </c>
      <c r="U147" s="44" t="s">
        <v>4531</v>
      </c>
      <c r="V147" s="32" t="n">
        <f aca="false">IF(AND($F147="原始數據",$U147&lt;&gt;"連結 SRC"),1,0)</f>
        <v>0</v>
      </c>
      <c r="W147" s="32" t="n">
        <f aca="false">IF(AND($F147="Analogy",OR($H147="—",$H147="")),1,0)</f>
        <v>0</v>
      </c>
      <c r="X147" s="32" t="n">
        <f aca="false">IF(AND(OR($F147="Analogy",$F147="Assumed"),$G147&lt;&gt;"低",$G147&lt;&gt;"高",NOT(ISNUMBER($K147)),NOT(ISNUMBER($L147)),OR($M147="—",$M147="")),1,0)</f>
        <v>0</v>
      </c>
      <c r="Y147" s="32" t="n">
        <f aca="false">IF(AND(OR($F147="Analogy",$F147="Assumed",$F147="Derived（待改公式）",$F147="Derived（公式）"),OR($N147="—",$N147="",$N147=0)),1,0)</f>
        <v>0</v>
      </c>
      <c r="Z147" s="32" t="n">
        <f aca="false">IF(AND($F147="Decision",OR($J147="—",$J147="")),1,0)</f>
        <v>0</v>
      </c>
      <c r="AA147" s="33" t="n">
        <f aca="false">IF(OR($J147="—",$J147=""),0,IF(COUNTIF(Decisions!$A$5:$A$300,$J147)=0,1,0))</f>
        <v>0</v>
      </c>
      <c r="AB147" s="32" t="n">
        <f aca="false">IF(AND($F147="原始數據",$S147&lt;&gt;"Active"),1,0)</f>
        <v>0</v>
      </c>
      <c r="AC147" s="32" t="n">
        <f aca="false">IF(AND(ISNUMBER($K147),ISNUMBER($L147),ISNUMBER($Q147)),IF(OR($Q147&lt;MIN($K147,$L147),$Q147&gt;MAX($K147,$L147)),1,0),0)</f>
        <v>0</v>
      </c>
      <c r="AD147" s="32" t="n">
        <f aca="false">IF(AND(ISNUMBER($T147),$P147="高"),IF($T147=3,1,0),0)</f>
        <v>0</v>
      </c>
      <c r="AE147" s="32" t="n">
        <f aca="false">IF($S147="不存在",1,0)</f>
        <v>0</v>
      </c>
      <c r="AF147" s="44" t="str">
        <f aca="false">IF(OR($H147="—",$H147=""),"—",MATCH($H147,IDX_SrcID,0))</f>
        <v>—</v>
      </c>
      <c r="AG147" s="32" t="n">
        <f aca="false">IF(AND($P147="高",OR($AD147=1,$X147=1)),1,0)</f>
        <v>0</v>
      </c>
      <c r="AH147" s="32" t="n">
        <f aca="false">IF(AND($P147="高",$AG147=0,OR($F147&lt;&gt;"原始數據",$T147&lt;&gt;1)),1,0)</f>
        <v>0</v>
      </c>
      <c r="AI147" s="44" t="str">
        <f aca="false">IF(AND($P147="高",ISNUMBER($AF147)),INDEX(IDX_SrcDate,$AF147),"—")</f>
        <v>—</v>
      </c>
      <c r="AJ147" s="32" t="n">
        <f aca="false">IF(AND(ISTEXT($AI147),LEN($AI147)=10),IF(ISNUMBER(VALUE(SUBSTITUTE($AI147,"-",""))),VALUE(SUBSTITUTE($AI147,"-","")),0),0)</f>
        <v>0</v>
      </c>
    </row>
    <row r="148" customFormat="false" ht="29.25" hidden="false" customHeight="true" outlineLevel="0" collapsed="false">
      <c r="A148" s="30" t="s">
        <v>4929</v>
      </c>
      <c r="B148" s="239" t="s">
        <v>4525</v>
      </c>
      <c r="C148" s="30" t="s">
        <v>4689</v>
      </c>
      <c r="D148" s="30" t="s">
        <v>4930</v>
      </c>
      <c r="E148" s="20" t="s">
        <v>4922</v>
      </c>
      <c r="F148" s="30" t="s">
        <v>114</v>
      </c>
      <c r="G148" s="239" t="s">
        <v>4527</v>
      </c>
      <c r="H148" s="30" t="s">
        <v>751</v>
      </c>
      <c r="I148" s="6" t="s">
        <v>751</v>
      </c>
      <c r="J148" s="30" t="s">
        <v>751</v>
      </c>
      <c r="K148" s="241" t="n">
        <v>1</v>
      </c>
      <c r="L148" s="241" t="n">
        <v>2</v>
      </c>
      <c r="M148" s="30" t="s">
        <v>4923</v>
      </c>
      <c r="N148" s="20" t="s">
        <v>4924</v>
      </c>
      <c r="O148" s="6" t="s">
        <v>4925</v>
      </c>
      <c r="P148" s="239" t="s">
        <v>4586</v>
      </c>
      <c r="Q148" s="192" t="n">
        <f aca="false">Spec_Rack!G31</f>
        <v>1</v>
      </c>
      <c r="R148" s="30" t="s">
        <v>751</v>
      </c>
      <c r="S148" s="44" t="str">
        <f aca="false">IF(ISNUMBER($AF148),INDEX(IDX_SrcStat,$AF148),"—")</f>
        <v>—</v>
      </c>
      <c r="T148" s="44" t="str">
        <f aca="false">IF(ISNUMBER($AF148),INDEX(IDX_SrcGrade,$AF148),"—")</f>
        <v>—</v>
      </c>
      <c r="U148" s="44" t="s">
        <v>4531</v>
      </c>
      <c r="V148" s="32" t="n">
        <f aca="false">IF(AND($F148="原始數據",$U148&lt;&gt;"連結 SRC"),1,0)</f>
        <v>0</v>
      </c>
      <c r="W148" s="32" t="n">
        <f aca="false">IF(AND($F148="Analogy",OR($H148="—",$H148="")),1,0)</f>
        <v>0</v>
      </c>
      <c r="X148" s="32" t="n">
        <f aca="false">IF(AND(OR($F148="Analogy",$F148="Assumed"),$G148&lt;&gt;"低",$G148&lt;&gt;"高",NOT(ISNUMBER($K148)),NOT(ISNUMBER($L148)),OR($M148="—",$M148="")),1,0)</f>
        <v>0</v>
      </c>
      <c r="Y148" s="32" t="n">
        <f aca="false">IF(AND(OR($F148="Analogy",$F148="Assumed",$F148="Derived（待改公式）",$F148="Derived（公式）"),OR($N148="—",$N148="",$N148=0)),1,0)</f>
        <v>0</v>
      </c>
      <c r="Z148" s="32" t="n">
        <f aca="false">IF(AND($F148="Decision",OR($J148="—",$J148="")),1,0)</f>
        <v>0</v>
      </c>
      <c r="AA148" s="33" t="n">
        <f aca="false">IF(OR($J148="—",$J148=""),0,IF(COUNTIF(Decisions!$A$5:$A$300,$J148)=0,1,0))</f>
        <v>0</v>
      </c>
      <c r="AB148" s="32" t="n">
        <f aca="false">IF(AND($F148="原始數據",$S148&lt;&gt;"Active"),1,0)</f>
        <v>0</v>
      </c>
      <c r="AC148" s="32" t="n">
        <f aca="false">IF(AND(ISNUMBER($K148),ISNUMBER($L148),ISNUMBER($Q148)),IF(OR($Q148&lt;MIN($K148,$L148),$Q148&gt;MAX($K148,$L148)),1,0),0)</f>
        <v>0</v>
      </c>
      <c r="AD148" s="32" t="n">
        <f aca="false">IF(AND(ISNUMBER($T148),$P148="高"),IF($T148=3,1,0),0)</f>
        <v>0</v>
      </c>
      <c r="AE148" s="32" t="n">
        <f aca="false">IF($S148="不存在",1,0)</f>
        <v>0</v>
      </c>
      <c r="AF148" s="44" t="str">
        <f aca="false">IF(OR($H148="—",$H148=""),"—",MATCH($H148,IDX_SrcID,0))</f>
        <v>—</v>
      </c>
      <c r="AG148" s="32" t="n">
        <f aca="false">IF(AND($P148="高",OR($AD148=1,$X148=1)),1,0)</f>
        <v>0</v>
      </c>
      <c r="AH148" s="32" t="n">
        <f aca="false">IF(AND($P148="高",$AG148=0,OR($F148&lt;&gt;"原始數據",$T148&lt;&gt;1)),1,0)</f>
        <v>0</v>
      </c>
      <c r="AI148" s="44" t="str">
        <f aca="false">IF(AND($P148="高",ISNUMBER($AF148)),INDEX(IDX_SrcDate,$AF148),"—")</f>
        <v>—</v>
      </c>
      <c r="AJ148" s="32" t="n">
        <f aca="false">IF(AND(ISTEXT($AI148),LEN($AI148)=10),IF(ISNUMBER(VALUE(SUBSTITUTE($AI148,"-",""))),VALUE(SUBSTITUTE($AI148,"-","")),0),0)</f>
        <v>0</v>
      </c>
    </row>
    <row r="149" customFormat="false" ht="29.25" hidden="false" customHeight="true" outlineLevel="0" collapsed="false">
      <c r="A149" s="30" t="s">
        <v>4931</v>
      </c>
      <c r="B149" s="239" t="s">
        <v>4525</v>
      </c>
      <c r="C149" s="30" t="s">
        <v>4689</v>
      </c>
      <c r="D149" s="30" t="s">
        <v>4932</v>
      </c>
      <c r="E149" s="20" t="s">
        <v>4933</v>
      </c>
      <c r="F149" s="30" t="s">
        <v>114</v>
      </c>
      <c r="G149" s="239" t="s">
        <v>4527</v>
      </c>
      <c r="H149" s="30" t="s">
        <v>751</v>
      </c>
      <c r="I149" s="6" t="s">
        <v>751</v>
      </c>
      <c r="J149" s="30" t="s">
        <v>751</v>
      </c>
      <c r="K149" s="241" t="n">
        <v>4</v>
      </c>
      <c r="L149" s="241" t="n">
        <v>16</v>
      </c>
      <c r="M149" s="30" t="s">
        <v>4934</v>
      </c>
      <c r="N149" s="6" t="s">
        <v>4935</v>
      </c>
      <c r="O149" s="6" t="s">
        <v>751</v>
      </c>
      <c r="P149" s="239" t="s">
        <v>4530</v>
      </c>
      <c r="Q149" s="49" t="n">
        <f aca="false">Spec_Rack!C32</f>
        <v>8</v>
      </c>
      <c r="R149" s="30" t="s">
        <v>751</v>
      </c>
      <c r="S149" s="44" t="str">
        <f aca="false">IF(ISNUMBER($AF149),INDEX(IDX_SrcStat,$AF149),"—")</f>
        <v>—</v>
      </c>
      <c r="T149" s="44" t="str">
        <f aca="false">IF(ISNUMBER($AF149),INDEX(IDX_SrcGrade,$AF149),"—")</f>
        <v>—</v>
      </c>
      <c r="U149" s="44" t="s">
        <v>4531</v>
      </c>
      <c r="V149" s="32" t="n">
        <f aca="false">IF(AND($F149="原始數據",$U149&lt;&gt;"連結 SRC"),1,0)</f>
        <v>0</v>
      </c>
      <c r="W149" s="32" t="n">
        <f aca="false">IF(AND($F149="Analogy",OR($H149="—",$H149="")),1,0)</f>
        <v>0</v>
      </c>
      <c r="X149" s="32" t="n">
        <f aca="false">IF(AND(OR($F149="Analogy",$F149="Assumed"),$G149&lt;&gt;"低",$G149&lt;&gt;"高",NOT(ISNUMBER($K149)),NOT(ISNUMBER($L149)),OR($M149="—",$M149="")),1,0)</f>
        <v>0</v>
      </c>
      <c r="Y149" s="32" t="n">
        <f aca="false">IF(AND(OR($F149="Analogy",$F149="Assumed",$F149="Derived（待改公式）",$F149="Derived（公式）"),OR($N149="—",$N149="",$N149=0)),1,0)</f>
        <v>0</v>
      </c>
      <c r="Z149" s="32" t="n">
        <f aca="false">IF(AND($F149="Decision",OR($J149="—",$J149="")),1,0)</f>
        <v>0</v>
      </c>
      <c r="AA149" s="33" t="n">
        <f aca="false">IF(OR($J149="—",$J149=""),0,IF(COUNTIF(Decisions!$A$5:$A$300,$J149)=0,1,0))</f>
        <v>0</v>
      </c>
      <c r="AB149" s="32" t="n">
        <f aca="false">IF(AND($F149="原始數據",$S149&lt;&gt;"Active"),1,0)</f>
        <v>0</v>
      </c>
      <c r="AC149" s="32" t="n">
        <f aca="false">IF(AND(ISNUMBER($K149),ISNUMBER($L149),ISNUMBER($Q149)),IF(OR($Q149&lt;MIN($K149,$L149),$Q149&gt;MAX($K149,$L149)),1,0),0)</f>
        <v>0</v>
      </c>
      <c r="AD149" s="32" t="n">
        <f aca="false">IF(AND(ISNUMBER($T149),$P149="高"),IF($T149=3,1,0),0)</f>
        <v>0</v>
      </c>
      <c r="AE149" s="32" t="n">
        <f aca="false">IF($S149="不存在",1,0)</f>
        <v>0</v>
      </c>
      <c r="AF149" s="44" t="str">
        <f aca="false">IF(OR($H149="—",$H149=""),"—",MATCH($H149,IDX_SrcID,0))</f>
        <v>—</v>
      </c>
      <c r="AG149" s="32" t="n">
        <f aca="false">IF(AND($P149="高",OR($AD149=1,$X149=1)),1,0)</f>
        <v>0</v>
      </c>
      <c r="AH149" s="32" t="n">
        <f aca="false">IF(AND($P149="高",$AG149=0,OR($F149&lt;&gt;"原始數據",$T149&lt;&gt;1)),1,0)</f>
        <v>0</v>
      </c>
      <c r="AI149" s="44" t="str">
        <f aca="false">IF(AND($P149="高",ISNUMBER($AF149)),INDEX(IDX_SrcDate,$AF149),"—")</f>
        <v>—</v>
      </c>
      <c r="AJ149" s="32" t="n">
        <f aca="false">IF(AND(ISTEXT($AI149),LEN($AI149)=10),IF(ISNUMBER(VALUE(SUBSTITUTE($AI149,"-",""))),VALUE(SUBSTITUTE($AI149,"-","")),0),0)</f>
        <v>0</v>
      </c>
    </row>
    <row r="150" customFormat="false" ht="29.25" hidden="false" customHeight="true" outlineLevel="0" collapsed="false">
      <c r="A150" s="30" t="s">
        <v>4936</v>
      </c>
      <c r="B150" s="239" t="s">
        <v>4525</v>
      </c>
      <c r="C150" s="30" t="s">
        <v>4689</v>
      </c>
      <c r="D150" s="30" t="s">
        <v>4640</v>
      </c>
      <c r="E150" s="20" t="s">
        <v>4933</v>
      </c>
      <c r="F150" s="30" t="s">
        <v>119</v>
      </c>
      <c r="G150" s="239" t="s">
        <v>4527</v>
      </c>
      <c r="H150" s="30" t="s">
        <v>4937</v>
      </c>
      <c r="I150" s="20" t="s">
        <v>4938</v>
      </c>
      <c r="J150" s="30" t="s">
        <v>751</v>
      </c>
      <c r="K150" s="241" t="n">
        <v>2</v>
      </c>
      <c r="L150" s="241" t="n">
        <v>8</v>
      </c>
      <c r="M150" s="30" t="s">
        <v>4939</v>
      </c>
      <c r="N150" s="6" t="s">
        <v>4940</v>
      </c>
      <c r="O150" s="6" t="s">
        <v>751</v>
      </c>
      <c r="P150" s="239" t="s">
        <v>4530</v>
      </c>
      <c r="Q150" s="49" t="n">
        <f aca="false">Spec_Rack!D32</f>
        <v>4</v>
      </c>
      <c r="R150" s="184" t="n">
        <f aca="false">SRC_PERF_007</f>
        <v>4</v>
      </c>
      <c r="S150" s="44" t="str">
        <f aca="false">IF(ISNUMBER($AF150),INDEX(IDX_SrcStat,$AF150),"—")</f>
        <v>Active</v>
      </c>
      <c r="T150" s="44" t="n">
        <f aca="false">IF(ISNUMBER($AF150),INDEX(IDX_SrcGrade,$AF150),"—")</f>
        <v>1</v>
      </c>
      <c r="U150" s="44" t="s">
        <v>4531</v>
      </c>
      <c r="V150" s="32" t="n">
        <f aca="false">IF(AND($F150="原始數據",$U150&lt;&gt;"連結 SRC"),1,0)</f>
        <v>0</v>
      </c>
      <c r="W150" s="32" t="n">
        <f aca="false">IF(AND($F150="Analogy",OR($H150="—",$H150="")),1,0)</f>
        <v>0</v>
      </c>
      <c r="X150" s="32" t="n">
        <f aca="false">IF(AND(OR($F150="Analogy",$F150="Assumed"),$G150&lt;&gt;"低",$G150&lt;&gt;"高",NOT(ISNUMBER($K150)),NOT(ISNUMBER($L150)),OR($M150="—",$M150="")),1,0)</f>
        <v>0</v>
      </c>
      <c r="Y150" s="32" t="n">
        <f aca="false">IF(AND(OR($F150="Analogy",$F150="Assumed",$F150="Derived（待改公式）",$F150="Derived（公式）"),OR($N150="—",$N150="",$N150=0)),1,0)</f>
        <v>0</v>
      </c>
      <c r="Z150" s="32" t="n">
        <f aca="false">IF(AND($F150="Decision",OR($J150="—",$J150="")),1,0)</f>
        <v>0</v>
      </c>
      <c r="AA150" s="33" t="n">
        <f aca="false">IF(OR($J150="—",$J150=""),0,IF(COUNTIF(Decisions!$A$5:$A$300,$J150)=0,1,0))</f>
        <v>0</v>
      </c>
      <c r="AB150" s="32" t="n">
        <f aca="false">IF(AND($F150="原始數據",$S150&lt;&gt;"Active"),1,0)</f>
        <v>0</v>
      </c>
      <c r="AC150" s="32" t="n">
        <f aca="false">IF(AND(ISNUMBER($K150),ISNUMBER($L150),ISNUMBER($Q150)),IF(OR($Q150&lt;MIN($K150,$L150),$Q150&gt;MAX($K150,$L150)),1,0),0)</f>
        <v>0</v>
      </c>
      <c r="AD150" s="32" t="n">
        <f aca="false">IF(AND(ISNUMBER($T150),$P150="高"),IF($T150=3,1,0),0)</f>
        <v>0</v>
      </c>
      <c r="AE150" s="32" t="n">
        <f aca="false">IF($S150="不存在",1,0)</f>
        <v>0</v>
      </c>
      <c r="AF150" s="44" t="n">
        <f aca="false">IF(OR($H150="—",$H150=""),"—",MATCH($H150,IDX_SrcID,0))</f>
        <v>301</v>
      </c>
      <c r="AG150" s="32" t="n">
        <f aca="false">IF(AND($P150="高",OR($AD150=1,$X150=1)),1,0)</f>
        <v>0</v>
      </c>
      <c r="AH150" s="32" t="n">
        <f aca="false">IF(AND($P150="高",$AG150=0,OR($F150&lt;&gt;"原始數據",$T150&lt;&gt;1)),1,0)</f>
        <v>0</v>
      </c>
      <c r="AI150" s="44" t="str">
        <f aca="false">IF(AND($P150="高",ISNUMBER($AF150)),INDEX(IDX_SrcDate,$AF150),"—")</f>
        <v>—</v>
      </c>
      <c r="AJ150" s="32" t="n">
        <f aca="false">IF(AND(ISTEXT($AI150),LEN($AI150)=10),IF(ISNUMBER(VALUE(SUBSTITUTE($AI150,"-",""))),VALUE(SUBSTITUTE($AI150,"-","")),0),0)</f>
        <v>0</v>
      </c>
    </row>
    <row r="151" customFormat="false" ht="29.25" hidden="false" customHeight="true" outlineLevel="0" collapsed="false">
      <c r="A151" s="30" t="s">
        <v>4941</v>
      </c>
      <c r="B151" s="239" t="s">
        <v>4525</v>
      </c>
      <c r="C151" s="30" t="s">
        <v>4689</v>
      </c>
      <c r="D151" s="30" t="s">
        <v>4638</v>
      </c>
      <c r="E151" s="20" t="s">
        <v>4933</v>
      </c>
      <c r="F151" s="239" t="s">
        <v>348</v>
      </c>
      <c r="G151" s="239" t="s">
        <v>4527</v>
      </c>
      <c r="H151" s="30" t="s">
        <v>4937</v>
      </c>
      <c r="I151" s="20" t="s">
        <v>4562</v>
      </c>
      <c r="J151" s="30" t="s">
        <v>751</v>
      </c>
      <c r="K151" s="239"/>
      <c r="L151" s="239"/>
      <c r="M151" s="30" t="s">
        <v>751</v>
      </c>
      <c r="N151" s="20" t="s">
        <v>4665</v>
      </c>
      <c r="O151" s="6" t="s">
        <v>751</v>
      </c>
      <c r="P151" s="239" t="s">
        <v>4530</v>
      </c>
      <c r="Q151" s="49" t="n">
        <f aca="false">Spec_Rack!E32</f>
        <v>4</v>
      </c>
      <c r="R151" s="184" t="n">
        <f aca="false">SRC_PERF_007</f>
        <v>4</v>
      </c>
      <c r="S151" s="44" t="str">
        <f aca="false">IF(ISNUMBER($AF151),INDEX(IDX_SrcStat,$AF151),"—")</f>
        <v>Active</v>
      </c>
      <c r="T151" s="44" t="n">
        <f aca="false">IF(ISNUMBER($AF151),INDEX(IDX_SrcGrade,$AF151),"—")</f>
        <v>1</v>
      </c>
      <c r="U151" s="44" t="s">
        <v>4564</v>
      </c>
      <c r="V151" s="32" t="n">
        <f aca="false">IF(AND($F151="原始數據",$U151&lt;&gt;"連結 SRC"),1,0)</f>
        <v>0</v>
      </c>
      <c r="W151" s="32" t="n">
        <f aca="false">IF(AND($F151="Analogy",OR($H151="—",$H151="")),1,0)</f>
        <v>0</v>
      </c>
      <c r="X151" s="32" t="n">
        <f aca="false">IF(AND(OR($F151="Analogy",$F151="Assumed"),$G151&lt;&gt;"低",$G151&lt;&gt;"高",NOT(ISNUMBER($K151)),NOT(ISNUMBER($L151)),OR($M151="—",$M151="")),1,0)</f>
        <v>0</v>
      </c>
      <c r="Y151" s="32" t="n">
        <f aca="false">IF(AND(OR($F151="Analogy",$F151="Assumed",$F151="Derived（待改公式）",$F151="Derived（公式）"),OR($N151="—",$N151="",$N151=0)),1,0)</f>
        <v>0</v>
      </c>
      <c r="Z151" s="32" t="n">
        <f aca="false">IF(AND($F151="Decision",OR($J151="—",$J151="")),1,0)</f>
        <v>0</v>
      </c>
      <c r="AA151" s="33" t="n">
        <f aca="false">IF(OR($J151="—",$J151=""),0,IF(COUNTIF(Decisions!$A$5:$A$300,$J151)=0,1,0))</f>
        <v>0</v>
      </c>
      <c r="AB151" s="32" t="n">
        <f aca="false">IF(AND($F151="原始數據",$S151&lt;&gt;"Active"),1,0)</f>
        <v>0</v>
      </c>
      <c r="AC151" s="32" t="n">
        <f aca="false">IF(AND(ISNUMBER($K151),ISNUMBER($L151),ISNUMBER($Q151)),IF(OR($Q151&lt;MIN($K151,$L151),$Q151&gt;MAX($K151,$L151)),1,0),0)</f>
        <v>0</v>
      </c>
      <c r="AD151" s="32" t="n">
        <f aca="false">IF(AND(ISNUMBER($T151),$P151="高"),IF($T151=3,1,0),0)</f>
        <v>0</v>
      </c>
      <c r="AE151" s="32" t="n">
        <f aca="false">IF($S151="不存在",1,0)</f>
        <v>0</v>
      </c>
      <c r="AF151" s="44" t="n">
        <f aca="false">IF(OR($H151="—",$H151=""),"—",MATCH($H151,IDX_SrcID,0))</f>
        <v>301</v>
      </c>
      <c r="AG151" s="32" t="n">
        <f aca="false">IF(AND($P151="高",OR($AD151=1,$X151=1)),1,0)</f>
        <v>0</v>
      </c>
      <c r="AH151" s="32" t="n">
        <f aca="false">IF(AND($P151="高",$AG151=0,OR($F151&lt;&gt;"原始數據",$T151&lt;&gt;1)),1,0)</f>
        <v>0</v>
      </c>
      <c r="AI151" s="44" t="str">
        <f aca="false">IF(AND($P151="高",ISNUMBER($AF151)),INDEX(IDX_SrcDate,$AF151),"—")</f>
        <v>—</v>
      </c>
      <c r="AJ151" s="32" t="n">
        <f aca="false">IF(AND(ISTEXT($AI151),LEN($AI151)=10),IF(ISNUMBER(VALUE(SUBSTITUTE($AI151,"-",""))),VALUE(SUBSTITUTE($AI151,"-","")),0),0)</f>
        <v>0</v>
      </c>
    </row>
    <row r="152" customFormat="false" ht="29.25" hidden="false" customHeight="true" outlineLevel="0" collapsed="false">
      <c r="A152" s="30" t="s">
        <v>4942</v>
      </c>
      <c r="B152" s="239" t="s">
        <v>4525</v>
      </c>
      <c r="C152" s="30" t="s">
        <v>4689</v>
      </c>
      <c r="D152" s="30" t="s">
        <v>4642</v>
      </c>
      <c r="E152" s="20" t="s">
        <v>4933</v>
      </c>
      <c r="F152" s="30" t="s">
        <v>119</v>
      </c>
      <c r="G152" s="239" t="s">
        <v>4527</v>
      </c>
      <c r="H152" s="30" t="s">
        <v>4937</v>
      </c>
      <c r="I152" s="20" t="s">
        <v>4938</v>
      </c>
      <c r="J152" s="30" t="s">
        <v>751</v>
      </c>
      <c r="K152" s="241" t="n">
        <v>2</v>
      </c>
      <c r="L152" s="241" t="n">
        <v>8</v>
      </c>
      <c r="M152" s="30" t="s">
        <v>4939</v>
      </c>
      <c r="N152" s="6" t="s">
        <v>4940</v>
      </c>
      <c r="O152" s="6" t="s">
        <v>751</v>
      </c>
      <c r="P152" s="239" t="s">
        <v>4530</v>
      </c>
      <c r="Q152" s="49" t="n">
        <f aca="false">Spec_Rack!F32</f>
        <v>4</v>
      </c>
      <c r="R152" s="184" t="n">
        <f aca="false">SRC_PERF_007</f>
        <v>4</v>
      </c>
      <c r="S152" s="44" t="str">
        <f aca="false">IF(ISNUMBER($AF152),INDEX(IDX_SrcStat,$AF152),"—")</f>
        <v>Active</v>
      </c>
      <c r="T152" s="44" t="n">
        <f aca="false">IF(ISNUMBER($AF152),INDEX(IDX_SrcGrade,$AF152),"—")</f>
        <v>1</v>
      </c>
      <c r="U152" s="44" t="s">
        <v>4531</v>
      </c>
      <c r="V152" s="32" t="n">
        <f aca="false">IF(AND($F152="原始數據",$U152&lt;&gt;"連結 SRC"),1,0)</f>
        <v>0</v>
      </c>
      <c r="W152" s="32" t="n">
        <f aca="false">IF(AND($F152="Analogy",OR($H152="—",$H152="")),1,0)</f>
        <v>0</v>
      </c>
      <c r="X152" s="32" t="n">
        <f aca="false">IF(AND(OR($F152="Analogy",$F152="Assumed"),$G152&lt;&gt;"低",$G152&lt;&gt;"高",NOT(ISNUMBER($K152)),NOT(ISNUMBER($L152)),OR($M152="—",$M152="")),1,0)</f>
        <v>0</v>
      </c>
      <c r="Y152" s="32" t="n">
        <f aca="false">IF(AND(OR($F152="Analogy",$F152="Assumed",$F152="Derived（待改公式）",$F152="Derived（公式）"),OR($N152="—",$N152="",$N152=0)),1,0)</f>
        <v>0</v>
      </c>
      <c r="Z152" s="32" t="n">
        <f aca="false">IF(AND($F152="Decision",OR($J152="—",$J152="")),1,0)</f>
        <v>0</v>
      </c>
      <c r="AA152" s="33" t="n">
        <f aca="false">IF(OR($J152="—",$J152=""),0,IF(COUNTIF(Decisions!$A$5:$A$300,$J152)=0,1,0))</f>
        <v>0</v>
      </c>
      <c r="AB152" s="32" t="n">
        <f aca="false">IF(AND($F152="原始數據",$S152&lt;&gt;"Active"),1,0)</f>
        <v>0</v>
      </c>
      <c r="AC152" s="32" t="n">
        <f aca="false">IF(AND(ISNUMBER($K152),ISNUMBER($L152),ISNUMBER($Q152)),IF(OR($Q152&lt;MIN($K152,$L152),$Q152&gt;MAX($K152,$L152)),1,0),0)</f>
        <v>0</v>
      </c>
      <c r="AD152" s="32" t="n">
        <f aca="false">IF(AND(ISNUMBER($T152),$P152="高"),IF($T152=3,1,0),0)</f>
        <v>0</v>
      </c>
      <c r="AE152" s="32" t="n">
        <f aca="false">IF($S152="不存在",1,0)</f>
        <v>0</v>
      </c>
      <c r="AF152" s="44" t="n">
        <f aca="false">IF(OR($H152="—",$H152=""),"—",MATCH($H152,IDX_SrcID,0))</f>
        <v>301</v>
      </c>
      <c r="AG152" s="32" t="n">
        <f aca="false">IF(AND($P152="高",OR($AD152=1,$X152=1)),1,0)</f>
        <v>0</v>
      </c>
      <c r="AH152" s="32" t="n">
        <f aca="false">IF(AND($P152="高",$AG152=0,OR($F152&lt;&gt;"原始數據",$T152&lt;&gt;1)),1,0)</f>
        <v>0</v>
      </c>
      <c r="AI152" s="44" t="str">
        <f aca="false">IF(AND($P152="高",ISNUMBER($AF152)),INDEX(IDX_SrcDate,$AF152),"—")</f>
        <v>—</v>
      </c>
      <c r="AJ152" s="32" t="n">
        <f aca="false">IF(AND(ISTEXT($AI152),LEN($AI152)=10),IF(ISNUMBER(VALUE(SUBSTITUTE($AI152,"-",""))),VALUE(SUBSTITUTE($AI152,"-","")),0),0)</f>
        <v>0</v>
      </c>
    </row>
    <row r="153" customFormat="false" ht="29.25" hidden="false" customHeight="true" outlineLevel="0" collapsed="false">
      <c r="A153" s="30" t="s">
        <v>4943</v>
      </c>
      <c r="B153" s="239" t="s">
        <v>4525</v>
      </c>
      <c r="C153" s="30" t="s">
        <v>4689</v>
      </c>
      <c r="D153" s="30" t="s">
        <v>4944</v>
      </c>
      <c r="E153" s="20" t="s">
        <v>4933</v>
      </c>
      <c r="F153" s="30" t="s">
        <v>114</v>
      </c>
      <c r="G153" s="239" t="s">
        <v>4527</v>
      </c>
      <c r="H153" s="30" t="s">
        <v>751</v>
      </c>
      <c r="I153" s="6" t="s">
        <v>751</v>
      </c>
      <c r="J153" s="30" t="s">
        <v>751</v>
      </c>
      <c r="K153" s="241" t="n">
        <v>4</v>
      </c>
      <c r="L153" s="241" t="n">
        <v>16</v>
      </c>
      <c r="M153" s="30" t="s">
        <v>4934</v>
      </c>
      <c r="N153" s="6" t="s">
        <v>4945</v>
      </c>
      <c r="O153" s="6" t="s">
        <v>751</v>
      </c>
      <c r="P153" s="239" t="s">
        <v>4530</v>
      </c>
      <c r="Q153" s="49" t="n">
        <f aca="false">Spec_Rack!G32</f>
        <v>8</v>
      </c>
      <c r="R153" s="30" t="s">
        <v>751</v>
      </c>
      <c r="S153" s="44" t="str">
        <f aca="false">IF(ISNUMBER($AF153),INDEX(IDX_SrcStat,$AF153),"—")</f>
        <v>—</v>
      </c>
      <c r="T153" s="44" t="str">
        <f aca="false">IF(ISNUMBER($AF153),INDEX(IDX_SrcGrade,$AF153),"—")</f>
        <v>—</v>
      </c>
      <c r="U153" s="44" t="s">
        <v>4531</v>
      </c>
      <c r="V153" s="32" t="n">
        <f aca="false">IF(AND($F153="原始數據",$U153&lt;&gt;"連結 SRC"),1,0)</f>
        <v>0</v>
      </c>
      <c r="W153" s="32" t="n">
        <f aca="false">IF(AND($F153="Analogy",OR($H153="—",$H153="")),1,0)</f>
        <v>0</v>
      </c>
      <c r="X153" s="32" t="n">
        <f aca="false">IF(AND(OR($F153="Analogy",$F153="Assumed"),$G153&lt;&gt;"低",$G153&lt;&gt;"高",NOT(ISNUMBER($K153)),NOT(ISNUMBER($L153)),OR($M153="—",$M153="")),1,0)</f>
        <v>0</v>
      </c>
      <c r="Y153" s="32" t="n">
        <f aca="false">IF(AND(OR($F153="Analogy",$F153="Assumed",$F153="Derived（待改公式）",$F153="Derived（公式）"),OR($N153="—",$N153="",$N153=0)),1,0)</f>
        <v>0</v>
      </c>
      <c r="Z153" s="32" t="n">
        <f aca="false">IF(AND($F153="Decision",OR($J153="—",$J153="")),1,0)</f>
        <v>0</v>
      </c>
      <c r="AA153" s="33" t="n">
        <f aca="false">IF(OR($J153="—",$J153=""),0,IF(COUNTIF(Decisions!$A$5:$A$300,$J153)=0,1,0))</f>
        <v>0</v>
      </c>
      <c r="AB153" s="32" t="n">
        <f aca="false">IF(AND($F153="原始數據",$S153&lt;&gt;"Active"),1,0)</f>
        <v>0</v>
      </c>
      <c r="AC153" s="32" t="n">
        <f aca="false">IF(AND(ISNUMBER($K153),ISNUMBER($L153),ISNUMBER($Q153)),IF(OR($Q153&lt;MIN($K153,$L153),$Q153&gt;MAX($K153,$L153)),1,0),0)</f>
        <v>0</v>
      </c>
      <c r="AD153" s="32" t="n">
        <f aca="false">IF(AND(ISNUMBER($T153),$P153="高"),IF($T153=3,1,0),0)</f>
        <v>0</v>
      </c>
      <c r="AE153" s="32" t="n">
        <f aca="false">IF($S153="不存在",1,0)</f>
        <v>0</v>
      </c>
      <c r="AF153" s="44" t="str">
        <f aca="false">IF(OR($H153="—",$H153=""),"—",MATCH($H153,IDX_SrcID,0))</f>
        <v>—</v>
      </c>
      <c r="AG153" s="32" t="n">
        <f aca="false">IF(AND($P153="高",OR($AD153=1,$X153=1)),1,0)</f>
        <v>0</v>
      </c>
      <c r="AH153" s="32" t="n">
        <f aca="false">IF(AND($P153="高",$AG153=0,OR($F153&lt;&gt;"原始數據",$T153&lt;&gt;1)),1,0)</f>
        <v>0</v>
      </c>
      <c r="AI153" s="44" t="str">
        <f aca="false">IF(AND($P153="高",ISNUMBER($AF153)),INDEX(IDX_SrcDate,$AF153),"—")</f>
        <v>—</v>
      </c>
      <c r="AJ153" s="32" t="n">
        <f aca="false">IF(AND(ISTEXT($AI153),LEN($AI153)=10),IF(ISNUMBER(VALUE(SUBSTITUTE($AI153,"-",""))),VALUE(SUBSTITUTE($AI153,"-","")),0),0)</f>
        <v>0</v>
      </c>
    </row>
    <row r="154" customFormat="false" ht="15" hidden="false" customHeight="true" outlineLevel="0" collapsed="false">
      <c r="A154" s="30" t="s">
        <v>4946</v>
      </c>
      <c r="B154" s="239" t="s">
        <v>4525</v>
      </c>
      <c r="C154" s="30" t="s">
        <v>4689</v>
      </c>
      <c r="D154" s="30" t="s">
        <v>4947</v>
      </c>
      <c r="E154" s="6" t="s">
        <v>255</v>
      </c>
      <c r="F154" s="239" t="s">
        <v>348</v>
      </c>
      <c r="G154" s="239" t="s">
        <v>4527</v>
      </c>
      <c r="H154" s="30" t="s">
        <v>4948</v>
      </c>
      <c r="I154" s="20" t="s">
        <v>4562</v>
      </c>
      <c r="J154" s="30" t="s">
        <v>751</v>
      </c>
      <c r="K154" s="239"/>
      <c r="L154" s="239"/>
      <c r="M154" s="30" t="s">
        <v>751</v>
      </c>
      <c r="N154" s="20" t="s">
        <v>4665</v>
      </c>
      <c r="O154" s="6" t="s">
        <v>751</v>
      </c>
      <c r="P154" s="239" t="s">
        <v>4530</v>
      </c>
      <c r="Q154" s="49" t="n">
        <f aca="false">Spec_Rack!C33</f>
        <v>700</v>
      </c>
      <c r="R154" s="184" t="n">
        <f aca="false">SRC_HW_056</f>
        <v>700</v>
      </c>
      <c r="S154" s="44" t="str">
        <f aca="false">IF(ISNUMBER($AF154),INDEX(IDX_SrcStat,$AF154),"—")</f>
        <v>Active</v>
      </c>
      <c r="T154" s="44" t="n">
        <f aca="false">IF(ISNUMBER($AF154),INDEX(IDX_SrcGrade,$AF154),"—")</f>
        <v>3</v>
      </c>
      <c r="U154" s="44" t="s">
        <v>4564</v>
      </c>
      <c r="V154" s="32" t="n">
        <f aca="false">IF(AND($F154="原始數據",$U154&lt;&gt;"連結 SRC"),1,0)</f>
        <v>0</v>
      </c>
      <c r="W154" s="32" t="n">
        <f aca="false">IF(AND($F154="Analogy",OR($H154="—",$H154="")),1,0)</f>
        <v>0</v>
      </c>
      <c r="X154" s="32" t="n">
        <f aca="false">IF(AND(OR($F154="Analogy",$F154="Assumed"),$G154&lt;&gt;"低",$G154&lt;&gt;"高",NOT(ISNUMBER($K154)),NOT(ISNUMBER($L154)),OR($M154="—",$M154="")),1,0)</f>
        <v>0</v>
      </c>
      <c r="Y154" s="32" t="n">
        <f aca="false">IF(AND(OR($F154="Analogy",$F154="Assumed",$F154="Derived（待改公式）",$F154="Derived（公式）"),OR($N154="—",$N154="",$N154=0)),1,0)</f>
        <v>0</v>
      </c>
      <c r="Z154" s="32" t="n">
        <f aca="false">IF(AND($F154="Decision",OR($J154="—",$J154="")),1,0)</f>
        <v>0</v>
      </c>
      <c r="AA154" s="33" t="n">
        <f aca="false">IF(OR($J154="—",$J154=""),0,IF(COUNTIF(Decisions!$A$5:$A$300,$J154)=0,1,0))</f>
        <v>0</v>
      </c>
      <c r="AB154" s="32" t="n">
        <f aca="false">IF(AND($F154="原始數據",$S154&lt;&gt;"Active"),1,0)</f>
        <v>0</v>
      </c>
      <c r="AC154" s="32" t="n">
        <f aca="false">IF(AND(ISNUMBER($K154),ISNUMBER($L154),ISNUMBER($Q154)),IF(OR($Q154&lt;MIN($K154,$L154),$Q154&gt;MAX($K154,$L154)),1,0),0)</f>
        <v>0</v>
      </c>
      <c r="AD154" s="32" t="n">
        <f aca="false">IF(AND(ISNUMBER($T154),$P154="高"),IF($T154=3,1,0),0)</f>
        <v>0</v>
      </c>
      <c r="AE154" s="32" t="n">
        <f aca="false">IF($S154="不存在",1,0)</f>
        <v>0</v>
      </c>
      <c r="AF154" s="44" t="n">
        <f aca="false">IF(OR($H154="—",$H154=""),"—",MATCH($H154,IDX_SrcID,0))</f>
        <v>56</v>
      </c>
      <c r="AG154" s="32" t="n">
        <f aca="false">IF(AND($P154="高",OR($AD154=1,$X154=1)),1,0)</f>
        <v>0</v>
      </c>
      <c r="AH154" s="32" t="n">
        <f aca="false">IF(AND($P154="高",$AG154=0,OR($F154&lt;&gt;"原始數據",$T154&lt;&gt;1)),1,0)</f>
        <v>0</v>
      </c>
      <c r="AI154" s="44" t="str">
        <f aca="false">IF(AND($P154="高",ISNUMBER($AF154)),INDEX(IDX_SrcDate,$AF154),"—")</f>
        <v>—</v>
      </c>
      <c r="AJ154" s="32" t="n">
        <f aca="false">IF(AND(ISTEXT($AI154),LEN($AI154)=10),IF(ISNUMBER(VALUE(SUBSTITUTE($AI154,"-",""))),VALUE(SUBSTITUTE($AI154,"-","")),0),0)</f>
        <v>0</v>
      </c>
    </row>
    <row r="155" customFormat="false" ht="15" hidden="false" customHeight="true" outlineLevel="0" collapsed="false">
      <c r="A155" s="30" t="s">
        <v>4949</v>
      </c>
      <c r="B155" s="239" t="s">
        <v>4525</v>
      </c>
      <c r="C155" s="30" t="s">
        <v>4689</v>
      </c>
      <c r="D155" s="30" t="s">
        <v>4646</v>
      </c>
      <c r="E155" s="6" t="s">
        <v>255</v>
      </c>
      <c r="F155" s="239" t="s">
        <v>348</v>
      </c>
      <c r="G155" s="239" t="s">
        <v>4527</v>
      </c>
      <c r="H155" s="30" t="s">
        <v>4950</v>
      </c>
      <c r="I155" s="20" t="s">
        <v>4562</v>
      </c>
      <c r="J155" s="30" t="s">
        <v>751</v>
      </c>
      <c r="K155" s="239"/>
      <c r="L155" s="239"/>
      <c r="M155" s="30" t="s">
        <v>751</v>
      </c>
      <c r="N155" s="20" t="s">
        <v>4665</v>
      </c>
      <c r="O155" s="6" t="s">
        <v>751</v>
      </c>
      <c r="P155" s="239" t="s">
        <v>4530</v>
      </c>
      <c r="Q155" s="49" t="n">
        <f aca="false">Spec_Rack!D33</f>
        <v>1200</v>
      </c>
      <c r="R155" s="184" t="n">
        <f aca="false">SRC_HW_057</f>
        <v>1200</v>
      </c>
      <c r="S155" s="44" t="str">
        <f aca="false">IF(ISNUMBER($AF155),INDEX(IDX_SrcStat,$AF155),"—")</f>
        <v>Active</v>
      </c>
      <c r="T155" s="44" t="n">
        <f aca="false">IF(ISNUMBER($AF155),INDEX(IDX_SrcGrade,$AF155),"—")</f>
        <v>3</v>
      </c>
      <c r="U155" s="44" t="s">
        <v>4564</v>
      </c>
      <c r="V155" s="32" t="n">
        <f aca="false">IF(AND($F155="原始數據",$U155&lt;&gt;"連結 SRC"),1,0)</f>
        <v>0</v>
      </c>
      <c r="W155" s="32" t="n">
        <f aca="false">IF(AND($F155="Analogy",OR($H155="—",$H155="")),1,0)</f>
        <v>0</v>
      </c>
      <c r="X155" s="32" t="n">
        <f aca="false">IF(AND(OR($F155="Analogy",$F155="Assumed"),$G155&lt;&gt;"低",$G155&lt;&gt;"高",NOT(ISNUMBER($K155)),NOT(ISNUMBER($L155)),OR($M155="—",$M155="")),1,0)</f>
        <v>0</v>
      </c>
      <c r="Y155" s="32" t="n">
        <f aca="false">IF(AND(OR($F155="Analogy",$F155="Assumed",$F155="Derived（待改公式）",$F155="Derived（公式）"),OR($N155="—",$N155="",$N155=0)),1,0)</f>
        <v>0</v>
      </c>
      <c r="Z155" s="32" t="n">
        <f aca="false">IF(AND($F155="Decision",OR($J155="—",$J155="")),1,0)</f>
        <v>0</v>
      </c>
      <c r="AA155" s="33" t="n">
        <f aca="false">IF(OR($J155="—",$J155=""),0,IF(COUNTIF(Decisions!$A$5:$A$300,$J155)=0,1,0))</f>
        <v>0</v>
      </c>
      <c r="AB155" s="32" t="n">
        <f aca="false">IF(AND($F155="原始數據",$S155&lt;&gt;"Active"),1,0)</f>
        <v>0</v>
      </c>
      <c r="AC155" s="32" t="n">
        <f aca="false">IF(AND(ISNUMBER($K155),ISNUMBER($L155),ISNUMBER($Q155)),IF(OR($Q155&lt;MIN($K155,$L155),$Q155&gt;MAX($K155,$L155)),1,0),0)</f>
        <v>0</v>
      </c>
      <c r="AD155" s="32" t="n">
        <f aca="false">IF(AND(ISNUMBER($T155),$P155="高"),IF($T155=3,1,0),0)</f>
        <v>0</v>
      </c>
      <c r="AE155" s="32" t="n">
        <f aca="false">IF($S155="不存在",1,0)</f>
        <v>0</v>
      </c>
      <c r="AF155" s="44" t="n">
        <f aca="false">IF(OR($H155="—",$H155=""),"—",MATCH($H155,IDX_SrcID,0))</f>
        <v>57</v>
      </c>
      <c r="AG155" s="32" t="n">
        <f aca="false">IF(AND($P155="高",OR($AD155=1,$X155=1)),1,0)</f>
        <v>0</v>
      </c>
      <c r="AH155" s="32" t="n">
        <f aca="false">IF(AND($P155="高",$AG155=0,OR($F155&lt;&gt;"原始數據",$T155&lt;&gt;1)),1,0)</f>
        <v>0</v>
      </c>
      <c r="AI155" s="44" t="str">
        <f aca="false">IF(AND($P155="高",ISNUMBER($AF155)),INDEX(IDX_SrcDate,$AF155),"—")</f>
        <v>—</v>
      </c>
      <c r="AJ155" s="32" t="n">
        <f aca="false">IF(AND(ISTEXT($AI155),LEN($AI155)=10),IF(ISNUMBER(VALUE(SUBSTITUTE($AI155,"-",""))),VALUE(SUBSTITUTE($AI155,"-","")),0),0)</f>
        <v>0</v>
      </c>
    </row>
    <row r="156" customFormat="false" ht="15" hidden="false" customHeight="true" outlineLevel="0" collapsed="false">
      <c r="A156" s="30" t="s">
        <v>4951</v>
      </c>
      <c r="B156" s="239" t="s">
        <v>4525</v>
      </c>
      <c r="C156" s="30" t="s">
        <v>4689</v>
      </c>
      <c r="D156" s="30" t="s">
        <v>4644</v>
      </c>
      <c r="E156" s="6" t="s">
        <v>255</v>
      </c>
      <c r="F156" s="239" t="s">
        <v>348</v>
      </c>
      <c r="G156" s="239" t="s">
        <v>4527</v>
      </c>
      <c r="H156" s="30" t="s">
        <v>4952</v>
      </c>
      <c r="I156" s="20" t="s">
        <v>4562</v>
      </c>
      <c r="J156" s="30" t="s">
        <v>751</v>
      </c>
      <c r="K156" s="239"/>
      <c r="L156" s="239"/>
      <c r="M156" s="30" t="s">
        <v>751</v>
      </c>
      <c r="N156" s="20" t="s">
        <v>4665</v>
      </c>
      <c r="O156" s="6" t="s">
        <v>751</v>
      </c>
      <c r="P156" s="239" t="s">
        <v>4530</v>
      </c>
      <c r="Q156" s="49" t="n">
        <f aca="false">Spec_Rack!E33</f>
        <v>1400</v>
      </c>
      <c r="R156" s="184" t="n">
        <f aca="false">SRC_HW_058</f>
        <v>1400</v>
      </c>
      <c r="S156" s="44" t="str">
        <f aca="false">IF(ISNUMBER($AF156),INDEX(IDX_SrcStat,$AF156),"—")</f>
        <v>Active</v>
      </c>
      <c r="T156" s="44" t="n">
        <f aca="false">IF(ISNUMBER($AF156),INDEX(IDX_SrcGrade,$AF156),"—")</f>
        <v>3</v>
      </c>
      <c r="U156" s="44" t="s">
        <v>4564</v>
      </c>
      <c r="V156" s="32" t="n">
        <f aca="false">IF(AND($F156="原始數據",$U156&lt;&gt;"連結 SRC"),1,0)</f>
        <v>0</v>
      </c>
      <c r="W156" s="32" t="n">
        <f aca="false">IF(AND($F156="Analogy",OR($H156="—",$H156="")),1,0)</f>
        <v>0</v>
      </c>
      <c r="X156" s="32" t="n">
        <f aca="false">IF(AND(OR($F156="Analogy",$F156="Assumed"),$G156&lt;&gt;"低",$G156&lt;&gt;"高",NOT(ISNUMBER($K156)),NOT(ISNUMBER($L156)),OR($M156="—",$M156="")),1,0)</f>
        <v>0</v>
      </c>
      <c r="Y156" s="32" t="n">
        <f aca="false">IF(AND(OR($F156="Analogy",$F156="Assumed",$F156="Derived（待改公式）",$F156="Derived（公式）"),OR($N156="—",$N156="",$N156=0)),1,0)</f>
        <v>0</v>
      </c>
      <c r="Z156" s="32" t="n">
        <f aca="false">IF(AND($F156="Decision",OR($J156="—",$J156="")),1,0)</f>
        <v>0</v>
      </c>
      <c r="AA156" s="33" t="n">
        <f aca="false">IF(OR($J156="—",$J156=""),0,IF(COUNTIF(Decisions!$A$5:$A$300,$J156)=0,1,0))</f>
        <v>0</v>
      </c>
      <c r="AB156" s="32" t="n">
        <f aca="false">IF(AND($F156="原始數據",$S156&lt;&gt;"Active"),1,0)</f>
        <v>0</v>
      </c>
      <c r="AC156" s="32" t="n">
        <f aca="false">IF(AND(ISNUMBER($K156),ISNUMBER($L156),ISNUMBER($Q156)),IF(OR($Q156&lt;MIN($K156,$L156),$Q156&gt;MAX($K156,$L156)),1,0),0)</f>
        <v>0</v>
      </c>
      <c r="AD156" s="32" t="n">
        <f aca="false">IF(AND(ISNUMBER($T156),$P156="高"),IF($T156=3,1,0),0)</f>
        <v>0</v>
      </c>
      <c r="AE156" s="32" t="n">
        <f aca="false">IF($S156="不存在",1,0)</f>
        <v>0</v>
      </c>
      <c r="AF156" s="44" t="n">
        <f aca="false">IF(OR($H156="—",$H156=""),"—",MATCH($H156,IDX_SrcID,0))</f>
        <v>58</v>
      </c>
      <c r="AG156" s="32" t="n">
        <f aca="false">IF(AND($P156="高",OR($AD156=1,$X156=1)),1,0)</f>
        <v>0</v>
      </c>
      <c r="AH156" s="32" t="n">
        <f aca="false">IF(AND($P156="高",$AG156=0,OR($F156&lt;&gt;"原始數據",$T156&lt;&gt;1)),1,0)</f>
        <v>0</v>
      </c>
      <c r="AI156" s="44" t="str">
        <f aca="false">IF(AND($P156="高",ISNUMBER($AF156)),INDEX(IDX_SrcDate,$AF156),"—")</f>
        <v>—</v>
      </c>
      <c r="AJ156" s="32" t="n">
        <f aca="false">IF(AND(ISTEXT($AI156),LEN($AI156)=10),IF(ISNUMBER(VALUE(SUBSTITUTE($AI156,"-",""))),VALUE(SUBSTITUTE($AI156,"-","")),0),0)</f>
        <v>0</v>
      </c>
    </row>
    <row r="157" customFormat="false" ht="15" hidden="false" customHeight="true" outlineLevel="0" collapsed="false">
      <c r="A157" s="30" t="s">
        <v>4953</v>
      </c>
      <c r="B157" s="239" t="s">
        <v>4525</v>
      </c>
      <c r="C157" s="30" t="s">
        <v>4689</v>
      </c>
      <c r="D157" s="30" t="s">
        <v>4648</v>
      </c>
      <c r="E157" s="6" t="s">
        <v>255</v>
      </c>
      <c r="F157" s="239" t="s">
        <v>348</v>
      </c>
      <c r="G157" s="239" t="s">
        <v>4527</v>
      </c>
      <c r="H157" s="30" t="s">
        <v>4954</v>
      </c>
      <c r="I157" s="20" t="s">
        <v>4870</v>
      </c>
      <c r="J157" s="30" t="s">
        <v>751</v>
      </c>
      <c r="K157" s="239"/>
      <c r="L157" s="239"/>
      <c r="M157" s="30" t="s">
        <v>751</v>
      </c>
      <c r="N157" s="20" t="s">
        <v>4665</v>
      </c>
      <c r="O157" s="6" t="s">
        <v>751</v>
      </c>
      <c r="P157" s="239" t="s">
        <v>4530</v>
      </c>
      <c r="Q157" s="49" t="n">
        <f aca="false">Spec_Rack!F33</f>
        <v>1800</v>
      </c>
      <c r="R157" s="184" t="n">
        <f aca="false">SRC_HW_046</f>
        <v>1.8</v>
      </c>
      <c r="S157" s="44" t="str">
        <f aca="false">IF(ISNUMBER($AF157),INDEX(IDX_SrcStat,$AF157),"—")</f>
        <v>Active</v>
      </c>
      <c r="T157" s="44" t="n">
        <f aca="false">IF(ISNUMBER($AF157),INDEX(IDX_SrcGrade,$AF157),"—")</f>
        <v>3</v>
      </c>
      <c r="U157" s="44" t="s">
        <v>4564</v>
      </c>
      <c r="V157" s="32" t="n">
        <f aca="false">IF(AND($F157="原始數據",$U157&lt;&gt;"連結 SRC"),1,0)</f>
        <v>0</v>
      </c>
      <c r="W157" s="32" t="n">
        <f aca="false">IF(AND($F157="Analogy",OR($H157="—",$H157="")),1,0)</f>
        <v>0</v>
      </c>
      <c r="X157" s="32" t="n">
        <f aca="false">IF(AND(OR($F157="Analogy",$F157="Assumed"),$G157&lt;&gt;"低",$G157&lt;&gt;"高",NOT(ISNUMBER($K157)),NOT(ISNUMBER($L157)),OR($M157="—",$M157="")),1,0)</f>
        <v>0</v>
      </c>
      <c r="Y157" s="32" t="n">
        <f aca="false">IF(AND(OR($F157="Analogy",$F157="Assumed",$F157="Derived（待改公式）",$F157="Derived（公式）"),OR($N157="—",$N157="",$N157=0)),1,0)</f>
        <v>0</v>
      </c>
      <c r="Z157" s="32" t="n">
        <f aca="false">IF(AND($F157="Decision",OR($J157="—",$J157="")),1,0)</f>
        <v>0</v>
      </c>
      <c r="AA157" s="33" t="n">
        <f aca="false">IF(OR($J157="—",$J157=""),0,IF(COUNTIF(Decisions!$A$5:$A$300,$J157)=0,1,0))</f>
        <v>0</v>
      </c>
      <c r="AB157" s="32" t="n">
        <f aca="false">IF(AND($F157="原始數據",$S157&lt;&gt;"Active"),1,0)</f>
        <v>0</v>
      </c>
      <c r="AC157" s="32" t="n">
        <f aca="false">IF(AND(ISNUMBER($K157),ISNUMBER($L157),ISNUMBER($Q157)),IF(OR($Q157&lt;MIN($K157,$L157),$Q157&gt;MAX($K157,$L157)),1,0),0)</f>
        <v>0</v>
      </c>
      <c r="AD157" s="32" t="n">
        <f aca="false">IF(AND(ISNUMBER($T157),$P157="高"),IF($T157=3,1,0),0)</f>
        <v>0</v>
      </c>
      <c r="AE157" s="32" t="n">
        <f aca="false">IF($S157="不存在",1,0)</f>
        <v>0</v>
      </c>
      <c r="AF157" s="44" t="n">
        <f aca="false">IF(OR($H157="—",$H157=""),"—",MATCH($H157,IDX_SrcID,0))</f>
        <v>46</v>
      </c>
      <c r="AG157" s="32" t="n">
        <f aca="false">IF(AND($P157="高",OR($AD157=1,$X157=1)),1,0)</f>
        <v>0</v>
      </c>
      <c r="AH157" s="32" t="n">
        <f aca="false">IF(AND($P157="高",$AG157=0,OR($F157&lt;&gt;"原始數據",$T157&lt;&gt;1)),1,0)</f>
        <v>0</v>
      </c>
      <c r="AI157" s="44" t="str">
        <f aca="false">IF(AND($P157="高",ISNUMBER($AF157)),INDEX(IDX_SrcDate,$AF157),"—")</f>
        <v>—</v>
      </c>
      <c r="AJ157" s="32" t="n">
        <f aca="false">IF(AND(ISTEXT($AI157),LEN($AI157)=10),IF(ISNUMBER(VALUE(SUBSTITUTE($AI157,"-",""))),VALUE(SUBSTITUTE($AI157,"-","")),0),0)</f>
        <v>0</v>
      </c>
    </row>
    <row r="158" customFormat="false" ht="15" hidden="false" customHeight="true" outlineLevel="0" collapsed="false">
      <c r="A158" s="30" t="s">
        <v>4955</v>
      </c>
      <c r="B158" s="239" t="s">
        <v>4525</v>
      </c>
      <c r="C158" s="30" t="s">
        <v>4689</v>
      </c>
      <c r="D158" s="30" t="s">
        <v>4956</v>
      </c>
      <c r="E158" s="6" t="s">
        <v>255</v>
      </c>
      <c r="F158" s="30" t="s">
        <v>114</v>
      </c>
      <c r="G158" s="239" t="s">
        <v>97</v>
      </c>
      <c r="H158" s="30" t="s">
        <v>751</v>
      </c>
      <c r="I158" s="6" t="s">
        <v>751</v>
      </c>
      <c r="J158" s="30" t="s">
        <v>751</v>
      </c>
      <c r="K158" s="184" t="n">
        <f aca="false">Spec_Rack!G33*0.7</f>
        <v>2520</v>
      </c>
      <c r="L158" s="184" t="n">
        <f aca="false">Spec_Rack!G33*1.3</f>
        <v>4680</v>
      </c>
      <c r="M158" s="30" t="s">
        <v>4817</v>
      </c>
      <c r="N158" s="6" t="s">
        <v>4945</v>
      </c>
      <c r="O158" s="6" t="s">
        <v>751</v>
      </c>
      <c r="P158" s="239" t="s">
        <v>4530</v>
      </c>
      <c r="Q158" s="49" t="n">
        <f aca="false">Spec_Rack!G33</f>
        <v>3600</v>
      </c>
      <c r="R158" s="30" t="s">
        <v>751</v>
      </c>
      <c r="S158" s="44" t="str">
        <f aca="false">IF(ISNUMBER($AF158),INDEX(IDX_SrcStat,$AF158),"—")</f>
        <v>—</v>
      </c>
      <c r="T158" s="44" t="str">
        <f aca="false">IF(ISNUMBER($AF158),INDEX(IDX_SrcGrade,$AF158),"—")</f>
        <v>—</v>
      </c>
      <c r="U158" s="44" t="s">
        <v>4531</v>
      </c>
      <c r="V158" s="32" t="n">
        <f aca="false">IF(AND($F158="原始數據",$U158&lt;&gt;"連結 SRC"),1,0)</f>
        <v>0</v>
      </c>
      <c r="W158" s="32" t="n">
        <f aca="false">IF(AND($F158="Analogy",OR($H158="—",$H158="")),1,0)</f>
        <v>0</v>
      </c>
      <c r="X158" s="32" t="n">
        <f aca="false">IF(AND(OR($F158="Analogy",$F158="Assumed"),$G158&lt;&gt;"低",$G158&lt;&gt;"高",NOT(ISNUMBER($K158)),NOT(ISNUMBER($L158)),OR($M158="—",$M158="")),1,0)</f>
        <v>0</v>
      </c>
      <c r="Y158" s="32" t="n">
        <f aca="false">IF(AND(OR($F158="Analogy",$F158="Assumed",$F158="Derived（待改公式）",$F158="Derived（公式）"),OR($N158="—",$N158="",$N158=0)),1,0)</f>
        <v>0</v>
      </c>
      <c r="Z158" s="32" t="n">
        <f aca="false">IF(AND($F158="Decision",OR($J158="—",$J158="")),1,0)</f>
        <v>0</v>
      </c>
      <c r="AA158" s="33" t="n">
        <f aca="false">IF(OR($J158="—",$J158=""),0,IF(COUNTIF(Decisions!$A$5:$A$300,$J158)=0,1,0))</f>
        <v>0</v>
      </c>
      <c r="AB158" s="32" t="n">
        <f aca="false">IF(AND($F158="原始數據",$S158&lt;&gt;"Active"),1,0)</f>
        <v>0</v>
      </c>
      <c r="AC158" s="32" t="n">
        <f aca="false">IF(AND(ISNUMBER($K158),ISNUMBER($L158),ISNUMBER($Q158)),IF(OR($Q158&lt;MIN($K158,$L158),$Q158&gt;MAX($K158,$L158)),1,0),0)</f>
        <v>0</v>
      </c>
      <c r="AD158" s="32" t="n">
        <f aca="false">IF(AND(ISNUMBER($T158),$P158="高"),IF($T158=3,1,0),0)</f>
        <v>0</v>
      </c>
      <c r="AE158" s="32" t="n">
        <f aca="false">IF($S158="不存在",1,0)</f>
        <v>0</v>
      </c>
      <c r="AF158" s="44" t="str">
        <f aca="false">IF(OR($H158="—",$H158=""),"—",MATCH($H158,IDX_SrcID,0))</f>
        <v>—</v>
      </c>
      <c r="AG158" s="32" t="n">
        <f aca="false">IF(AND($P158="高",OR($AD158=1,$X158=1)),1,0)</f>
        <v>0</v>
      </c>
      <c r="AH158" s="32" t="n">
        <f aca="false">IF(AND($P158="高",$AG158=0,OR($F158&lt;&gt;"原始數據",$T158&lt;&gt;1)),1,0)</f>
        <v>0</v>
      </c>
      <c r="AI158" s="44" t="str">
        <f aca="false">IF(AND($P158="高",ISNUMBER($AF158)),INDEX(IDX_SrcDate,$AF158),"—")</f>
        <v>—</v>
      </c>
      <c r="AJ158" s="32" t="n">
        <f aca="false">IF(AND(ISTEXT($AI158),LEN($AI158)=10),IF(ISNUMBER(VALUE(SUBSTITUTE($AI158,"-",""))),VALUE(SUBSTITUTE($AI158,"-","")),0),0)</f>
        <v>0</v>
      </c>
    </row>
    <row r="159" customFormat="false" ht="29.25" hidden="false" customHeight="true" outlineLevel="0" collapsed="false">
      <c r="A159" s="30" t="s">
        <v>4957</v>
      </c>
      <c r="B159" s="239" t="s">
        <v>4525</v>
      </c>
      <c r="C159" s="30" t="s">
        <v>4689</v>
      </c>
      <c r="D159" s="30" t="s">
        <v>4958</v>
      </c>
      <c r="E159" s="6" t="s">
        <v>257</v>
      </c>
      <c r="F159" s="30" t="s">
        <v>119</v>
      </c>
      <c r="G159" s="239" t="s">
        <v>4527</v>
      </c>
      <c r="H159" s="30" t="s">
        <v>4959</v>
      </c>
      <c r="I159" s="20" t="s">
        <v>4960</v>
      </c>
      <c r="J159" s="30" t="s">
        <v>751</v>
      </c>
      <c r="K159" s="184" t="n">
        <f aca="false">Spec_Rack!C34*0.7</f>
        <v>21.7</v>
      </c>
      <c r="L159" s="184" t="n">
        <f aca="false">Spec_Rack!C34*1.3</f>
        <v>40.3</v>
      </c>
      <c r="M159" s="30" t="s">
        <v>4961</v>
      </c>
      <c r="N159" s="240" t="str">
        <f aca="false">Spec_Rack!$H$34</f>
        <v>Analogy：HBM3 約 3.9 pJ/bit、HBM3e 約 3、HBM4 約 2.5；區間 ±30%（S29）</v>
      </c>
      <c r="O159" s="6" t="s">
        <v>751</v>
      </c>
      <c r="P159" s="239" t="s">
        <v>4530</v>
      </c>
      <c r="Q159" s="49" t="n">
        <f aca="false">Spec_Rack!C34</f>
        <v>31</v>
      </c>
      <c r="R159" s="184" t="n">
        <f aca="false">SRC_HW_032</f>
        <v>3.9</v>
      </c>
      <c r="S159" s="44" t="str">
        <f aca="false">IF(ISNUMBER($AF159),INDEX(IDX_SrcStat,$AF159),"—")</f>
        <v>Active</v>
      </c>
      <c r="T159" s="44" t="n">
        <f aca="false">IF(ISNUMBER($AF159),INDEX(IDX_SrcGrade,$AF159),"—")</f>
        <v>3</v>
      </c>
      <c r="U159" s="44" t="s">
        <v>4531</v>
      </c>
      <c r="V159" s="32" t="n">
        <f aca="false">IF(AND($F159="原始數據",$U159&lt;&gt;"連結 SRC"),1,0)</f>
        <v>0</v>
      </c>
      <c r="W159" s="32" t="n">
        <f aca="false">IF(AND($F159="Analogy",OR($H159="—",$H159="")),1,0)</f>
        <v>0</v>
      </c>
      <c r="X159" s="32" t="n">
        <f aca="false">IF(AND(OR($F159="Analogy",$F159="Assumed"),$G159&lt;&gt;"低",$G159&lt;&gt;"高",NOT(ISNUMBER($K159)),NOT(ISNUMBER($L159)),OR($M159="—",$M159="")),1,0)</f>
        <v>0</v>
      </c>
      <c r="Y159" s="32" t="n">
        <f aca="false">IF(AND(OR($F159="Analogy",$F159="Assumed",$F159="Derived（待改公式）",$F159="Derived（公式）"),OR($N159="—",$N159="",$N159=0)),1,0)</f>
        <v>0</v>
      </c>
      <c r="Z159" s="32" t="n">
        <f aca="false">IF(AND($F159="Decision",OR($J159="—",$J159="")),1,0)</f>
        <v>0</v>
      </c>
      <c r="AA159" s="33" t="n">
        <f aca="false">IF(OR($J159="—",$J159=""),0,IF(COUNTIF(Decisions!$A$5:$A$300,$J159)=0,1,0))</f>
        <v>0</v>
      </c>
      <c r="AB159" s="32" t="n">
        <f aca="false">IF(AND($F159="原始數據",$S159&lt;&gt;"Active"),1,0)</f>
        <v>0</v>
      </c>
      <c r="AC159" s="32" t="n">
        <f aca="false">IF(AND(ISNUMBER($K159),ISNUMBER($L159),ISNUMBER($Q159)),IF(OR($Q159&lt;MIN($K159,$L159),$Q159&gt;MAX($K159,$L159)),1,0),0)</f>
        <v>0</v>
      </c>
      <c r="AD159" s="32" t="n">
        <f aca="false">IF(AND(ISNUMBER($T159),$P159="高"),IF($T159=3,1,0),0)</f>
        <v>0</v>
      </c>
      <c r="AE159" s="32" t="n">
        <f aca="false">IF($S159="不存在",1,0)</f>
        <v>0</v>
      </c>
      <c r="AF159" s="44" t="n">
        <f aca="false">IF(OR($H159="—",$H159=""),"—",MATCH($H159,IDX_SrcID,0))</f>
        <v>32</v>
      </c>
      <c r="AG159" s="32" t="n">
        <f aca="false">IF(AND($P159="高",OR($AD159=1,$X159=1)),1,0)</f>
        <v>0</v>
      </c>
      <c r="AH159" s="32" t="n">
        <f aca="false">IF(AND($P159="高",$AG159=0,OR($F159&lt;&gt;"原始數據",$T159&lt;&gt;1)),1,0)</f>
        <v>0</v>
      </c>
      <c r="AI159" s="44" t="str">
        <f aca="false">IF(AND($P159="高",ISNUMBER($AF159)),INDEX(IDX_SrcDate,$AF159),"—")</f>
        <v>—</v>
      </c>
      <c r="AJ159" s="32" t="n">
        <f aca="false">IF(AND(ISTEXT($AI159),LEN($AI159)=10),IF(ISNUMBER(VALUE(SUBSTITUTE($AI159,"-",""))),VALUE(SUBSTITUTE($AI159,"-","")),0),0)</f>
        <v>0</v>
      </c>
    </row>
    <row r="160" customFormat="false" ht="29.25" hidden="false" customHeight="true" outlineLevel="0" collapsed="false">
      <c r="A160" s="30" t="s">
        <v>4962</v>
      </c>
      <c r="B160" s="239" t="s">
        <v>4525</v>
      </c>
      <c r="C160" s="30" t="s">
        <v>4689</v>
      </c>
      <c r="D160" s="30" t="s">
        <v>4652</v>
      </c>
      <c r="E160" s="6" t="s">
        <v>257</v>
      </c>
      <c r="F160" s="30" t="s">
        <v>119</v>
      </c>
      <c r="G160" s="239" t="s">
        <v>4527</v>
      </c>
      <c r="H160" s="30" t="s">
        <v>4963</v>
      </c>
      <c r="I160" s="20" t="s">
        <v>4960</v>
      </c>
      <c r="J160" s="30" t="s">
        <v>751</v>
      </c>
      <c r="K160" s="184" t="n">
        <f aca="false">Spec_Rack!D34*0.7</f>
        <v>17.5</v>
      </c>
      <c r="L160" s="184" t="n">
        <f aca="false">Spec_Rack!D34*1.3</f>
        <v>32.5</v>
      </c>
      <c r="M160" s="30" t="s">
        <v>4961</v>
      </c>
      <c r="N160" s="240" t="str">
        <f aca="false">Spec_Rack!$H$34</f>
        <v>Analogy：HBM3 約 3.9 pJ/bit、HBM3e 約 3、HBM4 約 2.5；區間 ±30%（S29）</v>
      </c>
      <c r="O160" s="6" t="s">
        <v>751</v>
      </c>
      <c r="P160" s="239" t="s">
        <v>4530</v>
      </c>
      <c r="Q160" s="49" t="n">
        <f aca="false">Spec_Rack!D34</f>
        <v>25</v>
      </c>
      <c r="R160" s="184" t="n">
        <f aca="false">SRC_HW_033</f>
        <v>3</v>
      </c>
      <c r="S160" s="44" t="str">
        <f aca="false">IF(ISNUMBER($AF160),INDEX(IDX_SrcStat,$AF160),"—")</f>
        <v>Active</v>
      </c>
      <c r="T160" s="44" t="n">
        <f aca="false">IF(ISNUMBER($AF160),INDEX(IDX_SrcGrade,$AF160),"—")</f>
        <v>3</v>
      </c>
      <c r="U160" s="44" t="s">
        <v>4531</v>
      </c>
      <c r="V160" s="32" t="n">
        <f aca="false">IF(AND($F160="原始數據",$U160&lt;&gt;"連結 SRC"),1,0)</f>
        <v>0</v>
      </c>
      <c r="W160" s="32" t="n">
        <f aca="false">IF(AND($F160="Analogy",OR($H160="—",$H160="")),1,0)</f>
        <v>0</v>
      </c>
      <c r="X160" s="32" t="n">
        <f aca="false">IF(AND(OR($F160="Analogy",$F160="Assumed"),$G160&lt;&gt;"低",$G160&lt;&gt;"高",NOT(ISNUMBER($K160)),NOT(ISNUMBER($L160)),OR($M160="—",$M160="")),1,0)</f>
        <v>0</v>
      </c>
      <c r="Y160" s="32" t="n">
        <f aca="false">IF(AND(OR($F160="Analogy",$F160="Assumed",$F160="Derived（待改公式）",$F160="Derived（公式）"),OR($N160="—",$N160="",$N160=0)),1,0)</f>
        <v>0</v>
      </c>
      <c r="Z160" s="32" t="n">
        <f aca="false">IF(AND($F160="Decision",OR($J160="—",$J160="")),1,0)</f>
        <v>0</v>
      </c>
      <c r="AA160" s="33" t="n">
        <f aca="false">IF(OR($J160="—",$J160=""),0,IF(COUNTIF(Decisions!$A$5:$A$300,$J160)=0,1,0))</f>
        <v>0</v>
      </c>
      <c r="AB160" s="32" t="n">
        <f aca="false">IF(AND($F160="原始數據",$S160&lt;&gt;"Active"),1,0)</f>
        <v>0</v>
      </c>
      <c r="AC160" s="32" t="n">
        <f aca="false">IF(AND(ISNUMBER($K160),ISNUMBER($L160),ISNUMBER($Q160)),IF(OR($Q160&lt;MIN($K160,$L160),$Q160&gt;MAX($K160,$L160)),1,0),0)</f>
        <v>0</v>
      </c>
      <c r="AD160" s="32" t="n">
        <f aca="false">IF(AND(ISNUMBER($T160),$P160="高"),IF($T160=3,1,0),0)</f>
        <v>0</v>
      </c>
      <c r="AE160" s="32" t="n">
        <f aca="false">IF($S160="不存在",1,0)</f>
        <v>0</v>
      </c>
      <c r="AF160" s="44" t="n">
        <f aca="false">IF(OR($H160="—",$H160=""),"—",MATCH($H160,IDX_SrcID,0))</f>
        <v>33</v>
      </c>
      <c r="AG160" s="32" t="n">
        <f aca="false">IF(AND($P160="高",OR($AD160=1,$X160=1)),1,0)</f>
        <v>0</v>
      </c>
      <c r="AH160" s="32" t="n">
        <f aca="false">IF(AND($P160="高",$AG160=0,OR($F160&lt;&gt;"原始數據",$T160&lt;&gt;1)),1,0)</f>
        <v>0</v>
      </c>
      <c r="AI160" s="44" t="str">
        <f aca="false">IF(AND($P160="高",ISNUMBER($AF160)),INDEX(IDX_SrcDate,$AF160),"—")</f>
        <v>—</v>
      </c>
      <c r="AJ160" s="32" t="n">
        <f aca="false">IF(AND(ISTEXT($AI160),LEN($AI160)=10),IF(ISNUMBER(VALUE(SUBSTITUTE($AI160,"-",""))),VALUE(SUBSTITUTE($AI160,"-","")),0),0)</f>
        <v>0</v>
      </c>
    </row>
    <row r="161" customFormat="false" ht="29.25" hidden="false" customHeight="true" outlineLevel="0" collapsed="false">
      <c r="A161" s="30" t="s">
        <v>4964</v>
      </c>
      <c r="B161" s="239" t="s">
        <v>4525</v>
      </c>
      <c r="C161" s="30" t="s">
        <v>4689</v>
      </c>
      <c r="D161" s="30" t="s">
        <v>4650</v>
      </c>
      <c r="E161" s="6" t="s">
        <v>257</v>
      </c>
      <c r="F161" s="30" t="s">
        <v>119</v>
      </c>
      <c r="G161" s="239" t="s">
        <v>4527</v>
      </c>
      <c r="H161" s="30" t="s">
        <v>4963</v>
      </c>
      <c r="I161" s="20" t="s">
        <v>4960</v>
      </c>
      <c r="J161" s="30" t="s">
        <v>751</v>
      </c>
      <c r="K161" s="184" t="n">
        <f aca="false">Spec_Rack!E34*0.7</f>
        <v>17.5</v>
      </c>
      <c r="L161" s="184" t="n">
        <f aca="false">Spec_Rack!E34*1.3</f>
        <v>32.5</v>
      </c>
      <c r="M161" s="30" t="s">
        <v>4961</v>
      </c>
      <c r="N161" s="240" t="str">
        <f aca="false">Spec_Rack!$H$34</f>
        <v>Analogy：HBM3 約 3.9 pJ/bit、HBM3e 約 3、HBM4 約 2.5；區間 ±30%（S29）</v>
      </c>
      <c r="O161" s="6" t="s">
        <v>751</v>
      </c>
      <c r="P161" s="239" t="s">
        <v>4530</v>
      </c>
      <c r="Q161" s="49" t="n">
        <f aca="false">Spec_Rack!E34</f>
        <v>25</v>
      </c>
      <c r="R161" s="184" t="n">
        <f aca="false">SRC_HW_033</f>
        <v>3</v>
      </c>
      <c r="S161" s="44" t="str">
        <f aca="false">IF(ISNUMBER($AF161),INDEX(IDX_SrcStat,$AF161),"—")</f>
        <v>Active</v>
      </c>
      <c r="T161" s="44" t="n">
        <f aca="false">IF(ISNUMBER($AF161),INDEX(IDX_SrcGrade,$AF161),"—")</f>
        <v>3</v>
      </c>
      <c r="U161" s="44" t="s">
        <v>4531</v>
      </c>
      <c r="V161" s="32" t="n">
        <f aca="false">IF(AND($F161="原始數據",$U161&lt;&gt;"連結 SRC"),1,0)</f>
        <v>0</v>
      </c>
      <c r="W161" s="32" t="n">
        <f aca="false">IF(AND($F161="Analogy",OR($H161="—",$H161="")),1,0)</f>
        <v>0</v>
      </c>
      <c r="X161" s="32" t="n">
        <f aca="false">IF(AND(OR($F161="Analogy",$F161="Assumed"),$G161&lt;&gt;"低",$G161&lt;&gt;"高",NOT(ISNUMBER($K161)),NOT(ISNUMBER($L161)),OR($M161="—",$M161="")),1,0)</f>
        <v>0</v>
      </c>
      <c r="Y161" s="32" t="n">
        <f aca="false">IF(AND(OR($F161="Analogy",$F161="Assumed",$F161="Derived（待改公式）",$F161="Derived（公式）"),OR($N161="—",$N161="",$N161=0)),1,0)</f>
        <v>0</v>
      </c>
      <c r="Z161" s="32" t="n">
        <f aca="false">IF(AND($F161="Decision",OR($J161="—",$J161="")),1,0)</f>
        <v>0</v>
      </c>
      <c r="AA161" s="33" t="n">
        <f aca="false">IF(OR($J161="—",$J161=""),0,IF(COUNTIF(Decisions!$A$5:$A$300,$J161)=0,1,0))</f>
        <v>0</v>
      </c>
      <c r="AB161" s="32" t="n">
        <f aca="false">IF(AND($F161="原始數據",$S161&lt;&gt;"Active"),1,0)</f>
        <v>0</v>
      </c>
      <c r="AC161" s="32" t="n">
        <f aca="false">IF(AND(ISNUMBER($K161),ISNUMBER($L161),ISNUMBER($Q161)),IF(OR($Q161&lt;MIN($K161,$L161),$Q161&gt;MAX($K161,$L161)),1,0),0)</f>
        <v>0</v>
      </c>
      <c r="AD161" s="32" t="n">
        <f aca="false">IF(AND(ISNUMBER($T161),$P161="高"),IF($T161=3,1,0),0)</f>
        <v>0</v>
      </c>
      <c r="AE161" s="32" t="n">
        <f aca="false">IF($S161="不存在",1,0)</f>
        <v>0</v>
      </c>
      <c r="AF161" s="44" t="n">
        <f aca="false">IF(OR($H161="—",$H161=""),"—",MATCH($H161,IDX_SrcID,0))</f>
        <v>33</v>
      </c>
      <c r="AG161" s="32" t="n">
        <f aca="false">IF(AND($P161="高",OR($AD161=1,$X161=1)),1,0)</f>
        <v>0</v>
      </c>
      <c r="AH161" s="32" t="n">
        <f aca="false">IF(AND($P161="高",$AG161=0,OR($F161&lt;&gt;"原始數據",$T161&lt;&gt;1)),1,0)</f>
        <v>0</v>
      </c>
      <c r="AI161" s="44" t="str">
        <f aca="false">IF(AND($P161="高",ISNUMBER($AF161)),INDEX(IDX_SrcDate,$AF161),"—")</f>
        <v>—</v>
      </c>
      <c r="AJ161" s="32" t="n">
        <f aca="false">IF(AND(ISTEXT($AI161),LEN($AI161)=10),IF(ISNUMBER(VALUE(SUBSTITUTE($AI161,"-",""))),VALUE(SUBSTITUTE($AI161,"-","")),0),0)</f>
        <v>0</v>
      </c>
    </row>
    <row r="162" customFormat="false" ht="15" hidden="false" customHeight="true" outlineLevel="0" collapsed="false">
      <c r="A162" s="30" t="s">
        <v>4965</v>
      </c>
      <c r="B162" s="239" t="s">
        <v>4525</v>
      </c>
      <c r="C162" s="30" t="s">
        <v>4689</v>
      </c>
      <c r="D162" s="30" t="s">
        <v>4654</v>
      </c>
      <c r="E162" s="6" t="s">
        <v>257</v>
      </c>
      <c r="F162" s="239" t="s">
        <v>348</v>
      </c>
      <c r="G162" s="239" t="s">
        <v>4527</v>
      </c>
      <c r="H162" s="30" t="s">
        <v>4966</v>
      </c>
      <c r="I162" s="20" t="s">
        <v>4870</v>
      </c>
      <c r="J162" s="30" t="s">
        <v>751</v>
      </c>
      <c r="K162" s="239"/>
      <c r="L162" s="239"/>
      <c r="M162" s="30" t="s">
        <v>751</v>
      </c>
      <c r="N162" s="20" t="s">
        <v>4665</v>
      </c>
      <c r="O162" s="6" t="s">
        <v>751</v>
      </c>
      <c r="P162" s="239" t="s">
        <v>4530</v>
      </c>
      <c r="Q162" s="49" t="n">
        <f aca="false">Spec_Rack!F34</f>
        <v>20</v>
      </c>
      <c r="R162" s="184" t="n">
        <f aca="false">SRC_HW_034</f>
        <v>2.5</v>
      </c>
      <c r="S162" s="44" t="str">
        <f aca="false">IF(ISNUMBER($AF162),INDEX(IDX_SrcStat,$AF162),"—")</f>
        <v>Active</v>
      </c>
      <c r="T162" s="44" t="n">
        <f aca="false">IF(ISNUMBER($AF162),INDEX(IDX_SrcGrade,$AF162),"—")</f>
        <v>3</v>
      </c>
      <c r="U162" s="44" t="s">
        <v>4564</v>
      </c>
      <c r="V162" s="32" t="n">
        <f aca="false">IF(AND($F162="原始數據",$U162&lt;&gt;"連結 SRC"),1,0)</f>
        <v>0</v>
      </c>
      <c r="W162" s="32" t="n">
        <f aca="false">IF(AND($F162="Analogy",OR($H162="—",$H162="")),1,0)</f>
        <v>0</v>
      </c>
      <c r="X162" s="32" t="n">
        <f aca="false">IF(AND(OR($F162="Analogy",$F162="Assumed"),$G162&lt;&gt;"低",$G162&lt;&gt;"高",NOT(ISNUMBER($K162)),NOT(ISNUMBER($L162)),OR($M162="—",$M162="")),1,0)</f>
        <v>0</v>
      </c>
      <c r="Y162" s="32" t="n">
        <f aca="false">IF(AND(OR($F162="Analogy",$F162="Assumed",$F162="Derived（待改公式）",$F162="Derived（公式）"),OR($N162="—",$N162="",$N162=0)),1,0)</f>
        <v>0</v>
      </c>
      <c r="Z162" s="32" t="n">
        <f aca="false">IF(AND($F162="Decision",OR($J162="—",$J162="")),1,0)</f>
        <v>0</v>
      </c>
      <c r="AA162" s="33" t="n">
        <f aca="false">IF(OR($J162="—",$J162=""),0,IF(COUNTIF(Decisions!$A$5:$A$300,$J162)=0,1,0))</f>
        <v>0</v>
      </c>
      <c r="AB162" s="32" t="n">
        <f aca="false">IF(AND($F162="原始數據",$S162&lt;&gt;"Active"),1,0)</f>
        <v>0</v>
      </c>
      <c r="AC162" s="32" t="n">
        <f aca="false">IF(AND(ISNUMBER($K162),ISNUMBER($L162),ISNUMBER($Q162)),IF(OR($Q162&lt;MIN($K162,$L162),$Q162&gt;MAX($K162,$L162)),1,0),0)</f>
        <v>0</v>
      </c>
      <c r="AD162" s="32" t="n">
        <f aca="false">IF(AND(ISNUMBER($T162),$P162="高"),IF($T162=3,1,0),0)</f>
        <v>0</v>
      </c>
      <c r="AE162" s="32" t="n">
        <f aca="false">IF($S162="不存在",1,0)</f>
        <v>0</v>
      </c>
      <c r="AF162" s="44" t="n">
        <f aca="false">IF(OR($H162="—",$H162=""),"—",MATCH($H162,IDX_SrcID,0))</f>
        <v>34</v>
      </c>
      <c r="AG162" s="32" t="n">
        <f aca="false">IF(AND($P162="高",OR($AD162=1,$X162=1)),1,0)</f>
        <v>0</v>
      </c>
      <c r="AH162" s="32" t="n">
        <f aca="false">IF(AND($P162="高",$AG162=0,OR($F162&lt;&gt;"原始數據",$T162&lt;&gt;1)),1,0)</f>
        <v>0</v>
      </c>
      <c r="AI162" s="44" t="str">
        <f aca="false">IF(AND($P162="高",ISNUMBER($AF162)),INDEX(IDX_SrcDate,$AF162),"—")</f>
        <v>—</v>
      </c>
      <c r="AJ162" s="32" t="n">
        <f aca="false">IF(AND(ISTEXT($AI162),LEN($AI162)=10),IF(ISNUMBER(VALUE(SUBSTITUTE($AI162,"-",""))),VALUE(SUBSTITUTE($AI162,"-","")),0),0)</f>
        <v>0</v>
      </c>
    </row>
    <row r="163" customFormat="false" ht="15" hidden="false" customHeight="true" outlineLevel="0" collapsed="false">
      <c r="A163" s="30" t="s">
        <v>4967</v>
      </c>
      <c r="B163" s="239" t="s">
        <v>4525</v>
      </c>
      <c r="C163" s="30" t="s">
        <v>4689</v>
      </c>
      <c r="D163" s="30" t="s">
        <v>4968</v>
      </c>
      <c r="E163" s="6" t="s">
        <v>257</v>
      </c>
      <c r="F163" s="30" t="s">
        <v>114</v>
      </c>
      <c r="G163" s="239" t="s">
        <v>97</v>
      </c>
      <c r="H163" s="30" t="s">
        <v>751</v>
      </c>
      <c r="I163" s="6" t="s">
        <v>751</v>
      </c>
      <c r="J163" s="30" t="s">
        <v>751</v>
      </c>
      <c r="K163" s="184" t="n">
        <f aca="false">Spec_Rack!G34*0.7</f>
        <v>12.6</v>
      </c>
      <c r="L163" s="184" t="n">
        <f aca="false">Spec_Rack!G34*1.3</f>
        <v>23.4</v>
      </c>
      <c r="M163" s="30" t="s">
        <v>4817</v>
      </c>
      <c r="N163" s="6" t="s">
        <v>4945</v>
      </c>
      <c r="O163" s="6" t="s">
        <v>751</v>
      </c>
      <c r="P163" s="239" t="s">
        <v>4530</v>
      </c>
      <c r="Q163" s="49" t="n">
        <f aca="false">Spec_Rack!G34</f>
        <v>18</v>
      </c>
      <c r="R163" s="30" t="s">
        <v>751</v>
      </c>
      <c r="S163" s="44" t="str">
        <f aca="false">IF(ISNUMBER($AF163),INDEX(IDX_SrcStat,$AF163),"—")</f>
        <v>—</v>
      </c>
      <c r="T163" s="44" t="str">
        <f aca="false">IF(ISNUMBER($AF163),INDEX(IDX_SrcGrade,$AF163),"—")</f>
        <v>—</v>
      </c>
      <c r="U163" s="44" t="s">
        <v>4531</v>
      </c>
      <c r="V163" s="32" t="n">
        <f aca="false">IF(AND($F163="原始數據",$U163&lt;&gt;"連結 SRC"),1,0)</f>
        <v>0</v>
      </c>
      <c r="W163" s="32" t="n">
        <f aca="false">IF(AND($F163="Analogy",OR($H163="—",$H163="")),1,0)</f>
        <v>0</v>
      </c>
      <c r="X163" s="32" t="n">
        <f aca="false">IF(AND(OR($F163="Analogy",$F163="Assumed"),$G163&lt;&gt;"低",$G163&lt;&gt;"高",NOT(ISNUMBER($K163)),NOT(ISNUMBER($L163)),OR($M163="—",$M163="")),1,0)</f>
        <v>0</v>
      </c>
      <c r="Y163" s="32" t="n">
        <f aca="false">IF(AND(OR($F163="Analogy",$F163="Assumed",$F163="Derived（待改公式）",$F163="Derived（公式）"),OR($N163="—",$N163="",$N163=0)),1,0)</f>
        <v>0</v>
      </c>
      <c r="Z163" s="32" t="n">
        <f aca="false">IF(AND($F163="Decision",OR($J163="—",$J163="")),1,0)</f>
        <v>0</v>
      </c>
      <c r="AA163" s="33" t="n">
        <f aca="false">IF(OR($J163="—",$J163=""),0,IF(COUNTIF(Decisions!$A$5:$A$300,$J163)=0,1,0))</f>
        <v>0</v>
      </c>
      <c r="AB163" s="32" t="n">
        <f aca="false">IF(AND($F163="原始數據",$S163&lt;&gt;"Active"),1,0)</f>
        <v>0</v>
      </c>
      <c r="AC163" s="32" t="n">
        <f aca="false">IF(AND(ISNUMBER($K163),ISNUMBER($L163),ISNUMBER($Q163)),IF(OR($Q163&lt;MIN($K163,$L163),$Q163&gt;MAX($K163,$L163)),1,0),0)</f>
        <v>0</v>
      </c>
      <c r="AD163" s="32" t="n">
        <f aca="false">IF(AND(ISNUMBER($T163),$P163="高"),IF($T163=3,1,0),0)</f>
        <v>0</v>
      </c>
      <c r="AE163" s="32" t="n">
        <f aca="false">IF($S163="不存在",1,0)</f>
        <v>0</v>
      </c>
      <c r="AF163" s="44" t="str">
        <f aca="false">IF(OR($H163="—",$H163=""),"—",MATCH($H163,IDX_SrcID,0))</f>
        <v>—</v>
      </c>
      <c r="AG163" s="32" t="n">
        <f aca="false">IF(AND($P163="高",OR($AD163=1,$X163=1)),1,0)</f>
        <v>0</v>
      </c>
      <c r="AH163" s="32" t="n">
        <f aca="false">IF(AND($P163="高",$AG163=0,OR($F163&lt;&gt;"原始數據",$T163&lt;&gt;1)),1,0)</f>
        <v>0</v>
      </c>
      <c r="AI163" s="44" t="str">
        <f aca="false">IF(AND($P163="高",ISNUMBER($AF163)),INDEX(IDX_SrcDate,$AF163),"—")</f>
        <v>—</v>
      </c>
      <c r="AJ163" s="32" t="n">
        <f aca="false">IF(AND(ISTEXT($AI163),LEN($AI163)=10),IF(ISNUMBER(VALUE(SUBSTITUTE($AI163,"-",""))),VALUE(SUBSTITUTE($AI163,"-","")),0),0)</f>
        <v>0</v>
      </c>
    </row>
    <row r="164" customFormat="false" ht="15" hidden="false" customHeight="true" outlineLevel="0" collapsed="false">
      <c r="A164" s="30" t="s">
        <v>4969</v>
      </c>
      <c r="B164" s="239" t="s">
        <v>4525</v>
      </c>
      <c r="C164" s="30" t="s">
        <v>4689</v>
      </c>
      <c r="D164" s="30" t="s">
        <v>4970</v>
      </c>
      <c r="E164" s="6" t="s">
        <v>262</v>
      </c>
      <c r="F164" s="239" t="s">
        <v>348</v>
      </c>
      <c r="G164" s="239" t="s">
        <v>4527</v>
      </c>
      <c r="H164" s="30" t="s">
        <v>4971</v>
      </c>
      <c r="I164" s="20" t="s">
        <v>4562</v>
      </c>
      <c r="J164" s="30" t="s">
        <v>751</v>
      </c>
      <c r="K164" s="239"/>
      <c r="L164" s="239"/>
      <c r="M164" s="30" t="s">
        <v>751</v>
      </c>
      <c r="N164" s="20" t="s">
        <v>4665</v>
      </c>
      <c r="O164" s="6" t="s">
        <v>751</v>
      </c>
      <c r="P164" s="239" t="s">
        <v>4530</v>
      </c>
      <c r="Q164" s="46" t="n">
        <f aca="false">Spec_Rack!C39</f>
        <v>0.989</v>
      </c>
      <c r="R164" s="184" t="n">
        <f aca="false">SRC_HW_019</f>
        <v>0.989</v>
      </c>
      <c r="S164" s="44" t="str">
        <f aca="false">IF(ISNUMBER($AF164),INDEX(IDX_SrcStat,$AF164),"—")</f>
        <v>Active</v>
      </c>
      <c r="T164" s="44" t="n">
        <f aca="false">IF(ISNUMBER($AF164),INDEX(IDX_SrcGrade,$AF164),"—")</f>
        <v>3</v>
      </c>
      <c r="U164" s="44" t="s">
        <v>4564</v>
      </c>
      <c r="V164" s="32" t="n">
        <f aca="false">IF(AND($F164="原始數據",$U164&lt;&gt;"連結 SRC"),1,0)</f>
        <v>0</v>
      </c>
      <c r="W164" s="32" t="n">
        <f aca="false">IF(AND($F164="Analogy",OR($H164="—",$H164="")),1,0)</f>
        <v>0</v>
      </c>
      <c r="X164" s="32" t="n">
        <f aca="false">IF(AND(OR($F164="Analogy",$F164="Assumed"),$G164&lt;&gt;"低",$G164&lt;&gt;"高",NOT(ISNUMBER($K164)),NOT(ISNUMBER($L164)),OR($M164="—",$M164="")),1,0)</f>
        <v>0</v>
      </c>
      <c r="Y164" s="32" t="n">
        <f aca="false">IF(AND(OR($F164="Analogy",$F164="Assumed",$F164="Derived（待改公式）",$F164="Derived（公式）"),OR($N164="—",$N164="",$N164=0)),1,0)</f>
        <v>0</v>
      </c>
      <c r="Z164" s="32" t="n">
        <f aca="false">IF(AND($F164="Decision",OR($J164="—",$J164="")),1,0)</f>
        <v>0</v>
      </c>
      <c r="AA164" s="33" t="n">
        <f aca="false">IF(OR($J164="—",$J164=""),0,IF(COUNTIF(Decisions!$A$5:$A$300,$J164)=0,1,0))</f>
        <v>0</v>
      </c>
      <c r="AB164" s="32" t="n">
        <f aca="false">IF(AND($F164="原始數據",$S164&lt;&gt;"Active"),1,0)</f>
        <v>0</v>
      </c>
      <c r="AC164" s="32" t="n">
        <f aca="false">IF(AND(ISNUMBER($K164),ISNUMBER($L164),ISNUMBER($Q164)),IF(OR($Q164&lt;MIN($K164,$L164),$Q164&gt;MAX($K164,$L164)),1,0),0)</f>
        <v>0</v>
      </c>
      <c r="AD164" s="32" t="n">
        <f aca="false">IF(AND(ISNUMBER($T164),$P164="高"),IF($T164=3,1,0),0)</f>
        <v>0</v>
      </c>
      <c r="AE164" s="32" t="n">
        <f aca="false">IF($S164="不存在",1,0)</f>
        <v>0</v>
      </c>
      <c r="AF164" s="44" t="n">
        <f aca="false">IF(OR($H164="—",$H164=""),"—",MATCH($H164,IDX_SrcID,0))</f>
        <v>19</v>
      </c>
      <c r="AG164" s="32" t="n">
        <f aca="false">IF(AND($P164="高",OR($AD164=1,$X164=1)),1,0)</f>
        <v>0</v>
      </c>
      <c r="AH164" s="32" t="n">
        <f aca="false">IF(AND($P164="高",$AG164=0,OR($F164&lt;&gt;"原始數據",$T164&lt;&gt;1)),1,0)</f>
        <v>0</v>
      </c>
      <c r="AI164" s="44" t="str">
        <f aca="false">IF(AND($P164="高",ISNUMBER($AF164)),INDEX(IDX_SrcDate,$AF164),"—")</f>
        <v>—</v>
      </c>
      <c r="AJ164" s="32" t="n">
        <f aca="false">IF(AND(ISTEXT($AI164),LEN($AI164)=10),IF(ISNUMBER(VALUE(SUBSTITUTE($AI164,"-",""))),VALUE(SUBSTITUTE($AI164,"-","")),0),0)</f>
        <v>0</v>
      </c>
    </row>
    <row r="165" customFormat="false" ht="15" hidden="false" customHeight="true" outlineLevel="0" collapsed="false">
      <c r="A165" s="30" t="s">
        <v>4972</v>
      </c>
      <c r="B165" s="239" t="s">
        <v>4525</v>
      </c>
      <c r="C165" s="30" t="s">
        <v>4689</v>
      </c>
      <c r="D165" s="30" t="s">
        <v>4973</v>
      </c>
      <c r="E165" s="6" t="s">
        <v>262</v>
      </c>
      <c r="F165" s="239" t="s">
        <v>348</v>
      </c>
      <c r="G165" s="239" t="s">
        <v>4527</v>
      </c>
      <c r="H165" s="30" t="s">
        <v>4974</v>
      </c>
      <c r="I165" s="20" t="s">
        <v>4562</v>
      </c>
      <c r="J165" s="30" t="s">
        <v>751</v>
      </c>
      <c r="K165" s="239"/>
      <c r="L165" s="239"/>
      <c r="M165" s="30" t="s">
        <v>751</v>
      </c>
      <c r="N165" s="20" t="s">
        <v>4665</v>
      </c>
      <c r="O165" s="6" t="s">
        <v>751</v>
      </c>
      <c r="P165" s="239" t="s">
        <v>4530</v>
      </c>
      <c r="Q165" s="46" t="n">
        <f aca="false">Spec_Rack!D39</f>
        <v>2.5</v>
      </c>
      <c r="R165" s="184" t="n">
        <f aca="false">SRC_HW_042</f>
        <v>2.5</v>
      </c>
      <c r="S165" s="44" t="str">
        <f aca="false">IF(ISNUMBER($AF165),INDEX(IDX_SrcStat,$AF165),"—")</f>
        <v>Active</v>
      </c>
      <c r="T165" s="44" t="n">
        <f aca="false">IF(ISNUMBER($AF165),INDEX(IDX_SrcGrade,$AF165),"—")</f>
        <v>3</v>
      </c>
      <c r="U165" s="44" t="s">
        <v>4564</v>
      </c>
      <c r="V165" s="32" t="n">
        <f aca="false">IF(AND($F165="原始數據",$U165&lt;&gt;"連結 SRC"),1,0)</f>
        <v>0</v>
      </c>
      <c r="W165" s="32" t="n">
        <f aca="false">IF(AND($F165="Analogy",OR($H165="—",$H165="")),1,0)</f>
        <v>0</v>
      </c>
      <c r="X165" s="32" t="n">
        <f aca="false">IF(AND(OR($F165="Analogy",$F165="Assumed"),$G165&lt;&gt;"低",$G165&lt;&gt;"高",NOT(ISNUMBER($K165)),NOT(ISNUMBER($L165)),OR($M165="—",$M165="")),1,0)</f>
        <v>0</v>
      </c>
      <c r="Y165" s="32" t="n">
        <f aca="false">IF(AND(OR($F165="Analogy",$F165="Assumed",$F165="Derived（待改公式）",$F165="Derived（公式）"),OR($N165="—",$N165="",$N165=0)),1,0)</f>
        <v>0</v>
      </c>
      <c r="Z165" s="32" t="n">
        <f aca="false">IF(AND($F165="Decision",OR($J165="—",$J165="")),1,0)</f>
        <v>0</v>
      </c>
      <c r="AA165" s="33" t="n">
        <f aca="false">IF(OR($J165="—",$J165=""),0,IF(COUNTIF(Decisions!$A$5:$A$300,$J165)=0,1,0))</f>
        <v>0</v>
      </c>
      <c r="AB165" s="32" t="n">
        <f aca="false">IF(AND($F165="原始數據",$S165&lt;&gt;"Active"),1,0)</f>
        <v>0</v>
      </c>
      <c r="AC165" s="32" t="n">
        <f aca="false">IF(AND(ISNUMBER($K165),ISNUMBER($L165),ISNUMBER($Q165)),IF(OR($Q165&lt;MIN($K165,$L165),$Q165&gt;MAX($K165,$L165)),1,0),0)</f>
        <v>0</v>
      </c>
      <c r="AD165" s="32" t="n">
        <f aca="false">IF(AND(ISNUMBER($T165),$P165="高"),IF($T165=3,1,0),0)</f>
        <v>0</v>
      </c>
      <c r="AE165" s="32" t="n">
        <f aca="false">IF($S165="不存在",1,0)</f>
        <v>0</v>
      </c>
      <c r="AF165" s="44" t="n">
        <f aca="false">IF(OR($H165="—",$H165=""),"—",MATCH($H165,IDX_SrcID,0))</f>
        <v>42</v>
      </c>
      <c r="AG165" s="32" t="n">
        <f aca="false">IF(AND($P165="高",OR($AD165=1,$X165=1)),1,0)</f>
        <v>0</v>
      </c>
      <c r="AH165" s="32" t="n">
        <f aca="false">IF(AND($P165="高",$AG165=0,OR($F165&lt;&gt;"原始數據",$T165&lt;&gt;1)),1,0)</f>
        <v>0</v>
      </c>
      <c r="AI165" s="44" t="str">
        <f aca="false">IF(AND($P165="高",ISNUMBER($AF165)),INDEX(IDX_SrcDate,$AF165),"—")</f>
        <v>—</v>
      </c>
      <c r="AJ165" s="32" t="n">
        <f aca="false">IF(AND(ISTEXT($AI165),LEN($AI165)=10),IF(ISNUMBER(VALUE(SUBSTITUTE($AI165,"-",""))),VALUE(SUBSTITUTE($AI165,"-","")),0),0)</f>
        <v>0</v>
      </c>
    </row>
    <row r="166" customFormat="false" ht="15" hidden="false" customHeight="true" outlineLevel="0" collapsed="false">
      <c r="A166" s="30" t="s">
        <v>4975</v>
      </c>
      <c r="B166" s="239" t="s">
        <v>4525</v>
      </c>
      <c r="C166" s="30" t="s">
        <v>4689</v>
      </c>
      <c r="D166" s="30" t="s">
        <v>4976</v>
      </c>
      <c r="E166" s="6" t="s">
        <v>262</v>
      </c>
      <c r="F166" s="239" t="s">
        <v>348</v>
      </c>
      <c r="G166" s="239" t="s">
        <v>4527</v>
      </c>
      <c r="H166" s="30" t="s">
        <v>4974</v>
      </c>
      <c r="I166" s="20" t="s">
        <v>4562</v>
      </c>
      <c r="J166" s="30" t="s">
        <v>751</v>
      </c>
      <c r="K166" s="239"/>
      <c r="L166" s="239"/>
      <c r="M166" s="30" t="s">
        <v>751</v>
      </c>
      <c r="N166" s="20" t="s">
        <v>4665</v>
      </c>
      <c r="O166" s="6" t="s">
        <v>751</v>
      </c>
      <c r="P166" s="239" t="s">
        <v>4530</v>
      </c>
      <c r="Q166" s="46" t="n">
        <f aca="false">Spec_Rack!E39</f>
        <v>2.5</v>
      </c>
      <c r="R166" s="184" t="n">
        <f aca="false">SRC_HW_042</f>
        <v>2.5</v>
      </c>
      <c r="S166" s="44" t="str">
        <f aca="false">IF(ISNUMBER($AF166),INDEX(IDX_SrcStat,$AF166),"—")</f>
        <v>Active</v>
      </c>
      <c r="T166" s="44" t="n">
        <f aca="false">IF(ISNUMBER($AF166),INDEX(IDX_SrcGrade,$AF166),"—")</f>
        <v>3</v>
      </c>
      <c r="U166" s="44" t="s">
        <v>4564</v>
      </c>
      <c r="V166" s="32" t="n">
        <f aca="false">IF(AND($F166="原始數據",$U166&lt;&gt;"連結 SRC"),1,0)</f>
        <v>0</v>
      </c>
      <c r="W166" s="32" t="n">
        <f aca="false">IF(AND($F166="Analogy",OR($H166="—",$H166="")),1,0)</f>
        <v>0</v>
      </c>
      <c r="X166" s="32" t="n">
        <f aca="false">IF(AND(OR($F166="Analogy",$F166="Assumed"),$G166&lt;&gt;"低",$G166&lt;&gt;"高",NOT(ISNUMBER($K166)),NOT(ISNUMBER($L166)),OR($M166="—",$M166="")),1,0)</f>
        <v>0</v>
      </c>
      <c r="Y166" s="32" t="n">
        <f aca="false">IF(AND(OR($F166="Analogy",$F166="Assumed",$F166="Derived（待改公式）",$F166="Derived（公式）"),OR($N166="—",$N166="",$N166=0)),1,0)</f>
        <v>0</v>
      </c>
      <c r="Z166" s="32" t="n">
        <f aca="false">IF(AND($F166="Decision",OR($J166="—",$J166="")),1,0)</f>
        <v>0</v>
      </c>
      <c r="AA166" s="33" t="n">
        <f aca="false">IF(OR($J166="—",$J166=""),0,IF(COUNTIF(Decisions!$A$5:$A$300,$J166)=0,1,0))</f>
        <v>0</v>
      </c>
      <c r="AB166" s="32" t="n">
        <f aca="false">IF(AND($F166="原始數據",$S166&lt;&gt;"Active"),1,0)</f>
        <v>0</v>
      </c>
      <c r="AC166" s="32" t="n">
        <f aca="false">IF(AND(ISNUMBER($K166),ISNUMBER($L166),ISNUMBER($Q166)),IF(OR($Q166&lt;MIN($K166,$L166),$Q166&gt;MAX($K166,$L166)),1,0),0)</f>
        <v>0</v>
      </c>
      <c r="AD166" s="32" t="n">
        <f aca="false">IF(AND(ISNUMBER($T166),$P166="高"),IF($T166=3,1,0),0)</f>
        <v>0</v>
      </c>
      <c r="AE166" s="32" t="n">
        <f aca="false">IF($S166="不存在",1,0)</f>
        <v>0</v>
      </c>
      <c r="AF166" s="44" t="n">
        <f aca="false">IF(OR($H166="—",$H166=""),"—",MATCH($H166,IDX_SrcID,0))</f>
        <v>42</v>
      </c>
      <c r="AG166" s="32" t="n">
        <f aca="false">IF(AND($P166="高",OR($AD166=1,$X166=1)),1,0)</f>
        <v>0</v>
      </c>
      <c r="AH166" s="32" t="n">
        <f aca="false">IF(AND($P166="高",$AG166=0,OR($F166&lt;&gt;"原始數據",$T166&lt;&gt;1)),1,0)</f>
        <v>0</v>
      </c>
      <c r="AI166" s="44" t="str">
        <f aca="false">IF(AND($P166="高",ISNUMBER($AF166)),INDEX(IDX_SrcDate,$AF166),"—")</f>
        <v>—</v>
      </c>
      <c r="AJ166" s="32" t="n">
        <f aca="false">IF(AND(ISTEXT($AI166),LEN($AI166)=10),IF(ISNUMBER(VALUE(SUBSTITUTE($AI166,"-",""))),VALUE(SUBSTITUTE($AI166,"-","")),0),0)</f>
        <v>0</v>
      </c>
    </row>
    <row r="167" customFormat="false" ht="15" hidden="false" customHeight="true" outlineLevel="0" collapsed="false">
      <c r="A167" s="30" t="s">
        <v>4977</v>
      </c>
      <c r="B167" s="239" t="s">
        <v>4525</v>
      </c>
      <c r="C167" s="30" t="s">
        <v>4689</v>
      </c>
      <c r="D167" s="30" t="s">
        <v>4978</v>
      </c>
      <c r="E167" s="6" t="s">
        <v>262</v>
      </c>
      <c r="F167" s="239" t="s">
        <v>348</v>
      </c>
      <c r="G167" s="239" t="s">
        <v>4527</v>
      </c>
      <c r="H167" s="30" t="s">
        <v>4979</v>
      </c>
      <c r="I167" s="20" t="s">
        <v>4870</v>
      </c>
      <c r="J167" s="30" t="s">
        <v>751</v>
      </c>
      <c r="K167" s="239"/>
      <c r="L167" s="239"/>
      <c r="M167" s="30" t="s">
        <v>751</v>
      </c>
      <c r="N167" s="20" t="s">
        <v>4665</v>
      </c>
      <c r="O167" s="6" t="s">
        <v>751</v>
      </c>
      <c r="P167" s="239" t="s">
        <v>4530</v>
      </c>
      <c r="Q167" s="46" t="n">
        <f aca="false">Spec_Rack!F39</f>
        <v>4</v>
      </c>
      <c r="R167" s="184" t="n">
        <f aca="false">SRC_HW_039</f>
        <v>288</v>
      </c>
      <c r="S167" s="44" t="str">
        <f aca="false">IF(ISNUMBER($AF167),INDEX(IDX_SrcStat,$AF167),"—")</f>
        <v>Active</v>
      </c>
      <c r="T167" s="44" t="n">
        <f aca="false">IF(ISNUMBER($AF167),INDEX(IDX_SrcGrade,$AF167),"—")</f>
        <v>2</v>
      </c>
      <c r="U167" s="44" t="s">
        <v>4564</v>
      </c>
      <c r="V167" s="32" t="n">
        <f aca="false">IF(AND($F167="原始數據",$U167&lt;&gt;"連結 SRC"),1,0)</f>
        <v>0</v>
      </c>
      <c r="W167" s="32" t="n">
        <f aca="false">IF(AND($F167="Analogy",OR($H167="—",$H167="")),1,0)</f>
        <v>0</v>
      </c>
      <c r="X167" s="32" t="n">
        <f aca="false">IF(AND(OR($F167="Analogy",$F167="Assumed"),$G167&lt;&gt;"低",$G167&lt;&gt;"高",NOT(ISNUMBER($K167)),NOT(ISNUMBER($L167)),OR($M167="—",$M167="")),1,0)</f>
        <v>0</v>
      </c>
      <c r="Y167" s="32" t="n">
        <f aca="false">IF(AND(OR($F167="Analogy",$F167="Assumed",$F167="Derived（待改公式）",$F167="Derived（公式）"),OR($N167="—",$N167="",$N167=0)),1,0)</f>
        <v>0</v>
      </c>
      <c r="Z167" s="32" t="n">
        <f aca="false">IF(AND($F167="Decision",OR($J167="—",$J167="")),1,0)</f>
        <v>0</v>
      </c>
      <c r="AA167" s="33" t="n">
        <f aca="false">IF(OR($J167="—",$J167=""),0,IF(COUNTIF(Decisions!$A$5:$A$300,$J167)=0,1,0))</f>
        <v>0</v>
      </c>
      <c r="AB167" s="32" t="n">
        <f aca="false">IF(AND($F167="原始數據",$S167&lt;&gt;"Active"),1,0)</f>
        <v>0</v>
      </c>
      <c r="AC167" s="32" t="n">
        <f aca="false">IF(AND(ISNUMBER($K167),ISNUMBER($L167),ISNUMBER($Q167)),IF(OR($Q167&lt;MIN($K167,$L167),$Q167&gt;MAX($K167,$L167)),1,0),0)</f>
        <v>0</v>
      </c>
      <c r="AD167" s="32" t="n">
        <f aca="false">IF(AND(ISNUMBER($T167),$P167="高"),IF($T167=3,1,0),0)</f>
        <v>0</v>
      </c>
      <c r="AE167" s="32" t="n">
        <f aca="false">IF($S167="不存在",1,0)</f>
        <v>0</v>
      </c>
      <c r="AF167" s="44" t="n">
        <f aca="false">IF(OR($H167="—",$H167=""),"—",MATCH($H167,IDX_SrcID,0))</f>
        <v>39</v>
      </c>
      <c r="AG167" s="32" t="n">
        <f aca="false">IF(AND($P167="高",OR($AD167=1,$X167=1)),1,0)</f>
        <v>0</v>
      </c>
      <c r="AH167" s="32" t="n">
        <f aca="false">IF(AND($P167="高",$AG167=0,OR($F167&lt;&gt;"原始數據",$T167&lt;&gt;1)),1,0)</f>
        <v>0</v>
      </c>
      <c r="AI167" s="44" t="str">
        <f aca="false">IF(AND($P167="高",ISNUMBER($AF167)),INDEX(IDX_SrcDate,$AF167),"—")</f>
        <v>—</v>
      </c>
      <c r="AJ167" s="32" t="n">
        <f aca="false">IF(AND(ISTEXT($AI167),LEN($AI167)=10),IF(ISNUMBER(VALUE(SUBSTITUTE($AI167,"-",""))),VALUE(SUBSTITUTE($AI167,"-","")),0),0)</f>
        <v>0</v>
      </c>
    </row>
    <row r="168" customFormat="false" ht="15" hidden="false" customHeight="true" outlineLevel="0" collapsed="false">
      <c r="A168" s="30" t="s">
        <v>4980</v>
      </c>
      <c r="B168" s="239" t="s">
        <v>4525</v>
      </c>
      <c r="C168" s="30" t="s">
        <v>4689</v>
      </c>
      <c r="D168" s="30" t="s">
        <v>4981</v>
      </c>
      <c r="E168" s="6" t="s">
        <v>262</v>
      </c>
      <c r="F168" s="30" t="s">
        <v>114</v>
      </c>
      <c r="G168" s="239" t="s">
        <v>97</v>
      </c>
      <c r="H168" s="30" t="s">
        <v>751</v>
      </c>
      <c r="I168" s="6" t="s">
        <v>751</v>
      </c>
      <c r="J168" s="30" t="s">
        <v>751</v>
      </c>
      <c r="K168" s="184" t="n">
        <f aca="false">Spec_Rack!G39*0.7</f>
        <v>5.6</v>
      </c>
      <c r="L168" s="184" t="n">
        <f aca="false">Spec_Rack!G39*1.3</f>
        <v>10.4</v>
      </c>
      <c r="M168" s="30" t="s">
        <v>4817</v>
      </c>
      <c r="N168" s="6" t="s">
        <v>4945</v>
      </c>
      <c r="O168" s="6" t="s">
        <v>751</v>
      </c>
      <c r="P168" s="239" t="s">
        <v>4530</v>
      </c>
      <c r="Q168" s="46" t="n">
        <f aca="false">Spec_Rack!G39</f>
        <v>8</v>
      </c>
      <c r="R168" s="30" t="s">
        <v>751</v>
      </c>
      <c r="S168" s="44" t="str">
        <f aca="false">IF(ISNUMBER($AF168),INDEX(IDX_SrcStat,$AF168),"—")</f>
        <v>—</v>
      </c>
      <c r="T168" s="44" t="str">
        <f aca="false">IF(ISNUMBER($AF168),INDEX(IDX_SrcGrade,$AF168),"—")</f>
        <v>—</v>
      </c>
      <c r="U168" s="44" t="s">
        <v>4531</v>
      </c>
      <c r="V168" s="32" t="n">
        <f aca="false">IF(AND($F168="原始數據",$U168&lt;&gt;"連結 SRC"),1,0)</f>
        <v>0</v>
      </c>
      <c r="W168" s="32" t="n">
        <f aca="false">IF(AND($F168="Analogy",OR($H168="—",$H168="")),1,0)</f>
        <v>0</v>
      </c>
      <c r="X168" s="32" t="n">
        <f aca="false">IF(AND(OR($F168="Analogy",$F168="Assumed"),$G168&lt;&gt;"低",$G168&lt;&gt;"高",NOT(ISNUMBER($K168)),NOT(ISNUMBER($L168)),OR($M168="—",$M168="")),1,0)</f>
        <v>0</v>
      </c>
      <c r="Y168" s="32" t="n">
        <f aca="false">IF(AND(OR($F168="Analogy",$F168="Assumed",$F168="Derived（待改公式）",$F168="Derived（公式）"),OR($N168="—",$N168="",$N168=0)),1,0)</f>
        <v>0</v>
      </c>
      <c r="Z168" s="32" t="n">
        <f aca="false">IF(AND($F168="Decision",OR($J168="—",$J168="")),1,0)</f>
        <v>0</v>
      </c>
      <c r="AA168" s="33" t="n">
        <f aca="false">IF(OR($J168="—",$J168=""),0,IF(COUNTIF(Decisions!$A$5:$A$300,$J168)=0,1,0))</f>
        <v>0</v>
      </c>
      <c r="AB168" s="32" t="n">
        <f aca="false">IF(AND($F168="原始數據",$S168&lt;&gt;"Active"),1,0)</f>
        <v>0</v>
      </c>
      <c r="AC168" s="32" t="n">
        <f aca="false">IF(AND(ISNUMBER($K168),ISNUMBER($L168),ISNUMBER($Q168)),IF(OR($Q168&lt;MIN($K168,$L168),$Q168&gt;MAX($K168,$L168)),1,0),0)</f>
        <v>0</v>
      </c>
      <c r="AD168" s="32" t="n">
        <f aca="false">IF(AND(ISNUMBER($T168),$P168="高"),IF($T168=3,1,0),0)</f>
        <v>0</v>
      </c>
      <c r="AE168" s="32" t="n">
        <f aca="false">IF($S168="不存在",1,0)</f>
        <v>0</v>
      </c>
      <c r="AF168" s="44" t="str">
        <f aca="false">IF(OR($H168="—",$H168=""),"—",MATCH($H168,IDX_SrcID,0))</f>
        <v>—</v>
      </c>
      <c r="AG168" s="32" t="n">
        <f aca="false">IF(AND($P168="高",OR($AD168=1,$X168=1)),1,0)</f>
        <v>0</v>
      </c>
      <c r="AH168" s="32" t="n">
        <f aca="false">IF(AND($P168="高",$AG168=0,OR($F168&lt;&gt;"原始數據",$T168&lt;&gt;1)),1,0)</f>
        <v>0</v>
      </c>
      <c r="AI168" s="44" t="str">
        <f aca="false">IF(AND($P168="高",ISNUMBER($AF168)),INDEX(IDX_SrcDate,$AF168),"—")</f>
        <v>—</v>
      </c>
      <c r="AJ168" s="32" t="n">
        <f aca="false">IF(AND(ISTEXT($AI168),LEN($AI168)=10),IF(ISNUMBER(VALUE(SUBSTITUTE($AI168,"-",""))),VALUE(SUBSTITUTE($AI168,"-","")),0),0)</f>
        <v>0</v>
      </c>
    </row>
    <row r="169" customFormat="false" ht="29.25" hidden="false" customHeight="true" outlineLevel="0" collapsed="false">
      <c r="A169" s="30" t="s">
        <v>4982</v>
      </c>
      <c r="B169" s="239" t="s">
        <v>4525</v>
      </c>
      <c r="C169" s="30" t="s">
        <v>4689</v>
      </c>
      <c r="D169" s="30" t="s">
        <v>4983</v>
      </c>
      <c r="E169" s="6" t="s">
        <v>264</v>
      </c>
      <c r="F169" s="239" t="s">
        <v>348</v>
      </c>
      <c r="G169" s="239" t="s">
        <v>4527</v>
      </c>
      <c r="H169" s="30" t="s">
        <v>4806</v>
      </c>
      <c r="I169" s="20" t="s">
        <v>4562</v>
      </c>
      <c r="J169" s="30" t="s">
        <v>751</v>
      </c>
      <c r="K169" s="239"/>
      <c r="L169" s="239"/>
      <c r="M169" s="30" t="s">
        <v>751</v>
      </c>
      <c r="N169" s="20" t="s">
        <v>4754</v>
      </c>
      <c r="O169" s="6" t="s">
        <v>751</v>
      </c>
      <c r="P169" s="239" t="s">
        <v>4530</v>
      </c>
      <c r="Q169" s="46" t="n">
        <f aca="false">Spec_Rack!C40</f>
        <v>1.979</v>
      </c>
      <c r="R169" s="184" t="n">
        <f aca="false">SRC_HW_040</f>
        <v>1.979</v>
      </c>
      <c r="S169" s="44" t="str">
        <f aca="false">IF(ISNUMBER($AF169),INDEX(IDX_SrcStat,$AF169),"—")</f>
        <v>Active</v>
      </c>
      <c r="T169" s="44" t="n">
        <f aca="false">IF(ISNUMBER($AF169),INDEX(IDX_SrcGrade,$AF169),"—")</f>
        <v>1</v>
      </c>
      <c r="U169" s="44" t="s">
        <v>4564</v>
      </c>
      <c r="V169" s="32" t="n">
        <f aca="false">IF(AND($F169="原始數據",$U169&lt;&gt;"連結 SRC"),1,0)</f>
        <v>0</v>
      </c>
      <c r="W169" s="32" t="n">
        <f aca="false">IF(AND($F169="Analogy",OR($H169="—",$H169="")),1,0)</f>
        <v>0</v>
      </c>
      <c r="X169" s="32" t="n">
        <f aca="false">IF(AND(OR($F169="Analogy",$F169="Assumed"),$G169&lt;&gt;"低",$G169&lt;&gt;"高",NOT(ISNUMBER($K169)),NOT(ISNUMBER($L169)),OR($M169="—",$M169="")),1,0)</f>
        <v>0</v>
      </c>
      <c r="Y169" s="32" t="n">
        <f aca="false">IF(AND(OR($F169="Analogy",$F169="Assumed",$F169="Derived（待改公式）",$F169="Derived（公式）"),OR($N169="—",$N169="",$N169=0)),1,0)</f>
        <v>0</v>
      </c>
      <c r="Z169" s="32" t="n">
        <f aca="false">IF(AND($F169="Decision",OR($J169="—",$J169="")),1,0)</f>
        <v>0</v>
      </c>
      <c r="AA169" s="33" t="n">
        <f aca="false">IF(OR($J169="—",$J169=""),0,IF(COUNTIF(Decisions!$A$5:$A$300,$J169)=0,1,0))</f>
        <v>0</v>
      </c>
      <c r="AB169" s="32" t="n">
        <f aca="false">IF(AND($F169="原始數據",$S169&lt;&gt;"Active"),1,0)</f>
        <v>0</v>
      </c>
      <c r="AC169" s="32" t="n">
        <f aca="false">IF(AND(ISNUMBER($K169),ISNUMBER($L169),ISNUMBER($Q169)),IF(OR($Q169&lt;MIN($K169,$L169),$Q169&gt;MAX($K169,$L169)),1,0),0)</f>
        <v>0</v>
      </c>
      <c r="AD169" s="32" t="n">
        <f aca="false">IF(AND(ISNUMBER($T169),$P169="高"),IF($T169=3,1,0),0)</f>
        <v>0</v>
      </c>
      <c r="AE169" s="32" t="n">
        <f aca="false">IF($S169="不存在",1,0)</f>
        <v>0</v>
      </c>
      <c r="AF169" s="44" t="n">
        <f aca="false">IF(OR($H169="—",$H169=""),"—",MATCH($H169,IDX_SrcID,0))</f>
        <v>40</v>
      </c>
      <c r="AG169" s="32" t="n">
        <f aca="false">IF(AND($P169="高",OR($AD169=1,$X169=1)),1,0)</f>
        <v>0</v>
      </c>
      <c r="AH169" s="32" t="n">
        <f aca="false">IF(AND($P169="高",$AG169=0,OR($F169&lt;&gt;"原始數據",$T169&lt;&gt;1)),1,0)</f>
        <v>0</v>
      </c>
      <c r="AI169" s="44" t="str">
        <f aca="false">IF(AND($P169="高",ISNUMBER($AF169)),INDEX(IDX_SrcDate,$AF169),"—")</f>
        <v>—</v>
      </c>
      <c r="AJ169" s="32" t="n">
        <f aca="false">IF(AND(ISTEXT($AI169),LEN($AI169)=10),IF(ISNUMBER(VALUE(SUBSTITUTE($AI169,"-",""))),VALUE(SUBSTITUTE($AI169,"-","")),0),0)</f>
        <v>0</v>
      </c>
    </row>
    <row r="170" customFormat="false" ht="29.25" hidden="false" customHeight="true" outlineLevel="0" collapsed="false">
      <c r="A170" s="30" t="s">
        <v>4984</v>
      </c>
      <c r="B170" s="239" t="s">
        <v>4525</v>
      </c>
      <c r="C170" s="30" t="s">
        <v>4689</v>
      </c>
      <c r="D170" s="30" t="s">
        <v>4985</v>
      </c>
      <c r="E170" s="6" t="s">
        <v>264</v>
      </c>
      <c r="F170" s="239" t="s">
        <v>348</v>
      </c>
      <c r="G170" s="239" t="s">
        <v>4527</v>
      </c>
      <c r="H170" s="30" t="s">
        <v>4986</v>
      </c>
      <c r="I170" s="20" t="s">
        <v>4562</v>
      </c>
      <c r="J170" s="30" t="s">
        <v>751</v>
      </c>
      <c r="K170" s="239"/>
      <c r="L170" s="239"/>
      <c r="M170" s="30" t="s">
        <v>751</v>
      </c>
      <c r="N170" s="20" t="s">
        <v>4754</v>
      </c>
      <c r="O170" s="6" t="s">
        <v>751</v>
      </c>
      <c r="P170" s="239" t="s">
        <v>4530</v>
      </c>
      <c r="Q170" s="46" t="n">
        <f aca="false">Spec_Rack!D40</f>
        <v>5</v>
      </c>
      <c r="R170" s="184" t="n">
        <f aca="false">SRC_HW_043</f>
        <v>5</v>
      </c>
      <c r="S170" s="44" t="str">
        <f aca="false">IF(ISNUMBER($AF170),INDEX(IDX_SrcStat,$AF170),"—")</f>
        <v>Active</v>
      </c>
      <c r="T170" s="44" t="n">
        <f aca="false">IF(ISNUMBER($AF170),INDEX(IDX_SrcGrade,$AF170),"—")</f>
        <v>1</v>
      </c>
      <c r="U170" s="44" t="s">
        <v>4564</v>
      </c>
      <c r="V170" s="32" t="n">
        <f aca="false">IF(AND($F170="原始數據",$U170&lt;&gt;"連結 SRC"),1,0)</f>
        <v>0</v>
      </c>
      <c r="W170" s="32" t="n">
        <f aca="false">IF(AND($F170="Analogy",OR($H170="—",$H170="")),1,0)</f>
        <v>0</v>
      </c>
      <c r="X170" s="32" t="n">
        <f aca="false">IF(AND(OR($F170="Analogy",$F170="Assumed"),$G170&lt;&gt;"低",$G170&lt;&gt;"高",NOT(ISNUMBER($K170)),NOT(ISNUMBER($L170)),OR($M170="—",$M170="")),1,0)</f>
        <v>0</v>
      </c>
      <c r="Y170" s="32" t="n">
        <f aca="false">IF(AND(OR($F170="Analogy",$F170="Assumed",$F170="Derived（待改公式）",$F170="Derived（公式）"),OR($N170="—",$N170="",$N170=0)),1,0)</f>
        <v>0</v>
      </c>
      <c r="Z170" s="32" t="n">
        <f aca="false">IF(AND($F170="Decision",OR($J170="—",$J170="")),1,0)</f>
        <v>0</v>
      </c>
      <c r="AA170" s="33" t="n">
        <f aca="false">IF(OR($J170="—",$J170=""),0,IF(COUNTIF(Decisions!$A$5:$A$300,$J170)=0,1,0))</f>
        <v>0</v>
      </c>
      <c r="AB170" s="32" t="n">
        <f aca="false">IF(AND($F170="原始數據",$S170&lt;&gt;"Active"),1,0)</f>
        <v>0</v>
      </c>
      <c r="AC170" s="32" t="n">
        <f aca="false">IF(AND(ISNUMBER($K170),ISNUMBER($L170),ISNUMBER($Q170)),IF(OR($Q170&lt;MIN($K170,$L170),$Q170&gt;MAX($K170,$L170)),1,0),0)</f>
        <v>0</v>
      </c>
      <c r="AD170" s="32" t="n">
        <f aca="false">IF(AND(ISNUMBER($T170),$P170="高"),IF($T170=3,1,0),0)</f>
        <v>0</v>
      </c>
      <c r="AE170" s="32" t="n">
        <f aca="false">IF($S170="不存在",1,0)</f>
        <v>0</v>
      </c>
      <c r="AF170" s="44" t="n">
        <f aca="false">IF(OR($H170="—",$H170=""),"—",MATCH($H170,IDX_SrcID,0))</f>
        <v>43</v>
      </c>
      <c r="AG170" s="32" t="n">
        <f aca="false">IF(AND($P170="高",OR($AD170=1,$X170=1)),1,0)</f>
        <v>0</v>
      </c>
      <c r="AH170" s="32" t="n">
        <f aca="false">IF(AND($P170="高",$AG170=0,OR($F170&lt;&gt;"原始數據",$T170&lt;&gt;1)),1,0)</f>
        <v>0</v>
      </c>
      <c r="AI170" s="44" t="str">
        <f aca="false">IF(AND($P170="高",ISNUMBER($AF170)),INDEX(IDX_SrcDate,$AF170),"—")</f>
        <v>—</v>
      </c>
      <c r="AJ170" s="32" t="n">
        <f aca="false">IF(AND(ISTEXT($AI170),LEN($AI170)=10),IF(ISNUMBER(VALUE(SUBSTITUTE($AI170,"-",""))),VALUE(SUBSTITUTE($AI170,"-","")),0),0)</f>
        <v>0</v>
      </c>
    </row>
    <row r="171" customFormat="false" ht="29.25" hidden="false" customHeight="true" outlineLevel="0" collapsed="false">
      <c r="A171" s="30" t="s">
        <v>4987</v>
      </c>
      <c r="B171" s="239" t="s">
        <v>4525</v>
      </c>
      <c r="C171" s="30" t="s">
        <v>4689</v>
      </c>
      <c r="D171" s="30" t="s">
        <v>4988</v>
      </c>
      <c r="E171" s="6" t="s">
        <v>264</v>
      </c>
      <c r="F171" s="239" t="s">
        <v>348</v>
      </c>
      <c r="G171" s="239" t="s">
        <v>4527</v>
      </c>
      <c r="H171" s="30" t="s">
        <v>4986</v>
      </c>
      <c r="I171" s="20" t="s">
        <v>4562</v>
      </c>
      <c r="J171" s="30" t="s">
        <v>751</v>
      </c>
      <c r="K171" s="239"/>
      <c r="L171" s="239"/>
      <c r="M171" s="30" t="s">
        <v>751</v>
      </c>
      <c r="N171" s="20" t="s">
        <v>4754</v>
      </c>
      <c r="O171" s="6" t="s">
        <v>751</v>
      </c>
      <c r="P171" s="239" t="s">
        <v>4530</v>
      </c>
      <c r="Q171" s="46" t="n">
        <f aca="false">Spec_Rack!E40</f>
        <v>5</v>
      </c>
      <c r="R171" s="184" t="n">
        <f aca="false">SRC_HW_043</f>
        <v>5</v>
      </c>
      <c r="S171" s="44" t="str">
        <f aca="false">IF(ISNUMBER($AF171),INDEX(IDX_SrcStat,$AF171),"—")</f>
        <v>Active</v>
      </c>
      <c r="T171" s="44" t="n">
        <f aca="false">IF(ISNUMBER($AF171),INDEX(IDX_SrcGrade,$AF171),"—")</f>
        <v>1</v>
      </c>
      <c r="U171" s="44" t="s">
        <v>4564</v>
      </c>
      <c r="V171" s="32" t="n">
        <f aca="false">IF(AND($F171="原始數據",$U171&lt;&gt;"連結 SRC"),1,0)</f>
        <v>0</v>
      </c>
      <c r="W171" s="32" t="n">
        <f aca="false">IF(AND($F171="Analogy",OR($H171="—",$H171="")),1,0)</f>
        <v>0</v>
      </c>
      <c r="X171" s="32" t="n">
        <f aca="false">IF(AND(OR($F171="Analogy",$F171="Assumed"),$G171&lt;&gt;"低",$G171&lt;&gt;"高",NOT(ISNUMBER($K171)),NOT(ISNUMBER($L171)),OR($M171="—",$M171="")),1,0)</f>
        <v>0</v>
      </c>
      <c r="Y171" s="32" t="n">
        <f aca="false">IF(AND(OR($F171="Analogy",$F171="Assumed",$F171="Derived（待改公式）",$F171="Derived（公式）"),OR($N171="—",$N171="",$N171=0)),1,0)</f>
        <v>0</v>
      </c>
      <c r="Z171" s="32" t="n">
        <f aca="false">IF(AND($F171="Decision",OR($J171="—",$J171="")),1,0)</f>
        <v>0</v>
      </c>
      <c r="AA171" s="33" t="n">
        <f aca="false">IF(OR($J171="—",$J171=""),0,IF(COUNTIF(Decisions!$A$5:$A$300,$J171)=0,1,0))</f>
        <v>0</v>
      </c>
      <c r="AB171" s="32" t="n">
        <f aca="false">IF(AND($F171="原始數據",$S171&lt;&gt;"Active"),1,0)</f>
        <v>0</v>
      </c>
      <c r="AC171" s="32" t="n">
        <f aca="false">IF(AND(ISNUMBER($K171),ISNUMBER($L171),ISNUMBER($Q171)),IF(OR($Q171&lt;MIN($K171,$L171),$Q171&gt;MAX($K171,$L171)),1,0),0)</f>
        <v>0</v>
      </c>
      <c r="AD171" s="32" t="n">
        <f aca="false">IF(AND(ISNUMBER($T171),$P171="高"),IF($T171=3,1,0),0)</f>
        <v>0</v>
      </c>
      <c r="AE171" s="32" t="n">
        <f aca="false">IF($S171="不存在",1,0)</f>
        <v>0</v>
      </c>
      <c r="AF171" s="44" t="n">
        <f aca="false">IF(OR($H171="—",$H171=""),"—",MATCH($H171,IDX_SrcID,0))</f>
        <v>43</v>
      </c>
      <c r="AG171" s="32" t="n">
        <f aca="false">IF(AND($P171="高",OR($AD171=1,$X171=1)),1,0)</f>
        <v>0</v>
      </c>
      <c r="AH171" s="32" t="n">
        <f aca="false">IF(AND($P171="高",$AG171=0,OR($F171&lt;&gt;"原始數據",$T171&lt;&gt;1)),1,0)</f>
        <v>0</v>
      </c>
      <c r="AI171" s="44" t="str">
        <f aca="false">IF(AND($P171="高",ISNUMBER($AF171)),INDEX(IDX_SrcDate,$AF171),"—")</f>
        <v>—</v>
      </c>
      <c r="AJ171" s="32" t="n">
        <f aca="false">IF(AND(ISTEXT($AI171),LEN($AI171)=10),IF(ISNUMBER(VALUE(SUBSTITUTE($AI171,"-",""))),VALUE(SUBSTITUTE($AI171,"-","")),0),0)</f>
        <v>0</v>
      </c>
    </row>
    <row r="172" customFormat="false" ht="29.25" hidden="false" customHeight="true" outlineLevel="0" collapsed="false">
      <c r="A172" s="30" t="s">
        <v>4989</v>
      </c>
      <c r="B172" s="239" t="s">
        <v>4525</v>
      </c>
      <c r="C172" s="30" t="s">
        <v>4689</v>
      </c>
      <c r="D172" s="30" t="s">
        <v>4990</v>
      </c>
      <c r="E172" s="6" t="s">
        <v>264</v>
      </c>
      <c r="F172" s="239" t="s">
        <v>348</v>
      </c>
      <c r="G172" s="239" t="s">
        <v>4527</v>
      </c>
      <c r="H172" s="30" t="s">
        <v>4991</v>
      </c>
      <c r="I172" s="20" t="s">
        <v>4870</v>
      </c>
      <c r="J172" s="30" t="s">
        <v>751</v>
      </c>
      <c r="K172" s="239"/>
      <c r="L172" s="239"/>
      <c r="M172" s="30" t="s">
        <v>751</v>
      </c>
      <c r="N172" s="20" t="s">
        <v>4754</v>
      </c>
      <c r="O172" s="6" t="s">
        <v>751</v>
      </c>
      <c r="P172" s="239" t="s">
        <v>4530</v>
      </c>
      <c r="Q172" s="46" t="n">
        <f aca="false">Spec_Rack!F40</f>
        <v>17.5</v>
      </c>
      <c r="R172" s="184" t="n">
        <f aca="false">SRC_HW_038</f>
        <v>1260</v>
      </c>
      <c r="S172" s="44" t="str">
        <f aca="false">IF(ISNUMBER($AF172),INDEX(IDX_SrcStat,$AF172),"—")</f>
        <v>Active</v>
      </c>
      <c r="T172" s="44" t="n">
        <f aca="false">IF(ISNUMBER($AF172),INDEX(IDX_SrcGrade,$AF172),"—")</f>
        <v>2</v>
      </c>
      <c r="U172" s="44" t="s">
        <v>4564</v>
      </c>
      <c r="V172" s="32" t="n">
        <f aca="false">IF(AND($F172="原始數據",$U172&lt;&gt;"連結 SRC"),1,0)</f>
        <v>0</v>
      </c>
      <c r="W172" s="32" t="n">
        <f aca="false">IF(AND($F172="Analogy",OR($H172="—",$H172="")),1,0)</f>
        <v>0</v>
      </c>
      <c r="X172" s="32" t="n">
        <f aca="false">IF(AND(OR($F172="Analogy",$F172="Assumed"),$G172&lt;&gt;"低",$G172&lt;&gt;"高",NOT(ISNUMBER($K172)),NOT(ISNUMBER($L172)),OR($M172="—",$M172="")),1,0)</f>
        <v>0</v>
      </c>
      <c r="Y172" s="32" t="n">
        <f aca="false">IF(AND(OR($F172="Analogy",$F172="Assumed",$F172="Derived（待改公式）",$F172="Derived（公式）"),OR($N172="—",$N172="",$N172=0)),1,0)</f>
        <v>0</v>
      </c>
      <c r="Z172" s="32" t="n">
        <f aca="false">IF(AND($F172="Decision",OR($J172="—",$J172="")),1,0)</f>
        <v>0</v>
      </c>
      <c r="AA172" s="33" t="n">
        <f aca="false">IF(OR($J172="—",$J172=""),0,IF(COUNTIF(Decisions!$A$5:$A$300,$J172)=0,1,0))</f>
        <v>0</v>
      </c>
      <c r="AB172" s="32" t="n">
        <f aca="false">IF(AND($F172="原始數據",$S172&lt;&gt;"Active"),1,0)</f>
        <v>0</v>
      </c>
      <c r="AC172" s="32" t="n">
        <f aca="false">IF(AND(ISNUMBER($K172),ISNUMBER($L172),ISNUMBER($Q172)),IF(OR($Q172&lt;MIN($K172,$L172),$Q172&gt;MAX($K172,$L172)),1,0),0)</f>
        <v>0</v>
      </c>
      <c r="AD172" s="32" t="n">
        <f aca="false">IF(AND(ISNUMBER($T172),$P172="高"),IF($T172=3,1,0),0)</f>
        <v>0</v>
      </c>
      <c r="AE172" s="32" t="n">
        <f aca="false">IF($S172="不存在",1,0)</f>
        <v>0</v>
      </c>
      <c r="AF172" s="44" t="n">
        <f aca="false">IF(OR($H172="—",$H172=""),"—",MATCH($H172,IDX_SrcID,0))</f>
        <v>38</v>
      </c>
      <c r="AG172" s="32" t="n">
        <f aca="false">IF(AND($P172="高",OR($AD172=1,$X172=1)),1,0)</f>
        <v>0</v>
      </c>
      <c r="AH172" s="32" t="n">
        <f aca="false">IF(AND($P172="高",$AG172=0,OR($F172&lt;&gt;"原始數據",$T172&lt;&gt;1)),1,0)</f>
        <v>0</v>
      </c>
      <c r="AI172" s="44" t="str">
        <f aca="false">IF(AND($P172="高",ISNUMBER($AF172)),INDEX(IDX_SrcDate,$AF172),"—")</f>
        <v>—</v>
      </c>
      <c r="AJ172" s="32" t="n">
        <f aca="false">IF(AND(ISTEXT($AI172),LEN($AI172)=10),IF(ISNUMBER(VALUE(SUBSTITUTE($AI172,"-",""))),VALUE(SUBSTITUTE($AI172,"-","")),0),0)</f>
        <v>0</v>
      </c>
    </row>
    <row r="173" customFormat="false" ht="43.5" hidden="false" customHeight="true" outlineLevel="0" collapsed="false">
      <c r="A173" s="30" t="s">
        <v>4992</v>
      </c>
      <c r="B173" s="239" t="s">
        <v>4525</v>
      </c>
      <c r="C173" s="30" t="s">
        <v>4689</v>
      </c>
      <c r="D173" s="30" t="s">
        <v>4993</v>
      </c>
      <c r="E173" s="6" t="s">
        <v>264</v>
      </c>
      <c r="F173" s="239" t="s">
        <v>162</v>
      </c>
      <c r="G173" s="239" t="s">
        <v>4527</v>
      </c>
      <c r="H173" s="30" t="s">
        <v>4815</v>
      </c>
      <c r="I173" s="20" t="s">
        <v>4994</v>
      </c>
      <c r="J173" s="30" t="s">
        <v>751</v>
      </c>
      <c r="K173" s="239"/>
      <c r="L173" s="239"/>
      <c r="M173" s="30" t="s">
        <v>751</v>
      </c>
      <c r="N173" s="20" t="s">
        <v>4995</v>
      </c>
      <c r="O173" s="20" t="s">
        <v>4834</v>
      </c>
      <c r="P173" s="239" t="s">
        <v>4530</v>
      </c>
      <c r="Q173" s="46" t="n">
        <f aca="false">Spec_Rack!G40</f>
        <v>35</v>
      </c>
      <c r="R173" s="184" t="n">
        <f aca="false">SRC_HW_063</f>
        <v>2520</v>
      </c>
      <c r="S173" s="44" t="str">
        <f aca="false">IF(ISNUMBER($AF173),INDEX(IDX_SrcStat,$AF173),"—")</f>
        <v>Active</v>
      </c>
      <c r="T173" s="44" t="n">
        <f aca="false">IF(ISNUMBER($AF173),INDEX(IDX_SrcGrade,$AF173),"—")</f>
        <v>1</v>
      </c>
      <c r="U173" s="44" t="s">
        <v>4531</v>
      </c>
      <c r="V173" s="32" t="n">
        <f aca="false">IF(AND($F173="原始數據",$U173&lt;&gt;"連結 SRC"),1,0)</f>
        <v>0</v>
      </c>
      <c r="W173" s="32" t="n">
        <f aca="false">IF(AND($F173="Analogy",OR($H173="—",$H173="")),1,0)</f>
        <v>0</v>
      </c>
      <c r="X173" s="32" t="n">
        <f aca="false">IF(AND(OR($F173="Analogy",$F173="Assumed"),$G173&lt;&gt;"低",$G173&lt;&gt;"高",NOT(ISNUMBER($K173)),NOT(ISNUMBER($L173)),OR($M173="—",$M173="")),1,0)</f>
        <v>0</v>
      </c>
      <c r="Y173" s="32" t="n">
        <f aca="false">IF(AND(OR($F173="Analogy",$F173="Assumed",$F173="Derived（待改公式）",$F173="Derived（公式）"),OR($N173="—",$N173="",$N173=0)),1,0)</f>
        <v>0</v>
      </c>
      <c r="Z173" s="32" t="n">
        <f aca="false">IF(AND($F173="Decision",OR($J173="—",$J173="")),1,0)</f>
        <v>0</v>
      </c>
      <c r="AA173" s="33" t="n">
        <f aca="false">IF(OR($J173="—",$J173=""),0,IF(COUNTIF(Decisions!$A$5:$A$300,$J173)=0,1,0))</f>
        <v>0</v>
      </c>
      <c r="AB173" s="32" t="n">
        <f aca="false">IF(AND($F173="原始數據",$S173&lt;&gt;"Active"),1,0)</f>
        <v>0</v>
      </c>
      <c r="AC173" s="32" t="n">
        <f aca="false">IF(AND(ISNUMBER($K173),ISNUMBER($L173),ISNUMBER($Q173)),IF(OR($Q173&lt;MIN($K173,$L173),$Q173&gt;MAX($K173,$L173)),1,0),0)</f>
        <v>0</v>
      </c>
      <c r="AD173" s="32" t="n">
        <f aca="false">IF(AND(ISNUMBER($T173),$P173="高"),IF($T173=3,1,0),0)</f>
        <v>0</v>
      </c>
      <c r="AE173" s="32" t="n">
        <f aca="false">IF($S173="不存在",1,0)</f>
        <v>0</v>
      </c>
      <c r="AF173" s="44" t="n">
        <f aca="false">IF(OR($H173="—",$H173=""),"—",MATCH($H173,IDX_SrcID,0))</f>
        <v>63</v>
      </c>
      <c r="AG173" s="32" t="n">
        <f aca="false">IF(AND($P173="高",OR($AD173=1,$X173=1)),1,0)</f>
        <v>0</v>
      </c>
      <c r="AH173" s="32" t="n">
        <f aca="false">IF(AND($P173="高",$AG173=0,OR($F173&lt;&gt;"原始數據",$T173&lt;&gt;1)),1,0)</f>
        <v>0</v>
      </c>
      <c r="AI173" s="44" t="str">
        <f aca="false">IF(AND($P173="高",ISNUMBER($AF173)),INDEX(IDX_SrcDate,$AF173),"—")</f>
        <v>—</v>
      </c>
      <c r="AJ173" s="32" t="n">
        <f aca="false">IF(AND(ISTEXT($AI173),LEN($AI173)=10),IF(ISNUMBER(VALUE(SUBSTITUTE($AI173,"-",""))),VALUE(SUBSTITUTE($AI173,"-","")),0),0)</f>
        <v>0</v>
      </c>
    </row>
    <row r="174" customFormat="false" ht="43.5" hidden="false" customHeight="true" outlineLevel="0" collapsed="false">
      <c r="A174" s="30" t="s">
        <v>4996</v>
      </c>
      <c r="B174" s="239" t="s">
        <v>4525</v>
      </c>
      <c r="C174" s="30" t="s">
        <v>4689</v>
      </c>
      <c r="D174" s="30" t="s">
        <v>4997</v>
      </c>
      <c r="E174" s="6" t="s">
        <v>266</v>
      </c>
      <c r="F174" s="30" t="s">
        <v>4619</v>
      </c>
      <c r="G174" s="239" t="s">
        <v>4527</v>
      </c>
      <c r="H174" s="30" t="s">
        <v>751</v>
      </c>
      <c r="I174" s="6" t="s">
        <v>751</v>
      </c>
      <c r="J174" s="30" t="s">
        <v>751</v>
      </c>
      <c r="K174" s="239"/>
      <c r="L174" s="239"/>
      <c r="M174" s="30" t="s">
        <v>751</v>
      </c>
      <c r="N174" s="6" t="s">
        <v>4998</v>
      </c>
      <c r="O174" s="6" t="s">
        <v>751</v>
      </c>
      <c r="P174" s="239" t="s">
        <v>4530</v>
      </c>
      <c r="Q174" s="46" t="n">
        <f aca="false">Spec_Rack!C41</f>
        <v>1.979</v>
      </c>
      <c r="R174" s="30" t="s">
        <v>751</v>
      </c>
      <c r="S174" s="44" t="str">
        <f aca="false">IF(ISNUMBER($AF174),INDEX(IDX_SrcStat,$AF174),"—")</f>
        <v>—</v>
      </c>
      <c r="T174" s="44" t="str">
        <f aca="false">IF(ISNUMBER($AF174),INDEX(IDX_SrcGrade,$AF174),"—")</f>
        <v>—</v>
      </c>
      <c r="U174" s="44" t="s">
        <v>4623</v>
      </c>
      <c r="V174" s="32" t="n">
        <f aca="false">IF(AND($F174="原始數據",$U174&lt;&gt;"連結 SRC"),1,0)</f>
        <v>0</v>
      </c>
      <c r="W174" s="32" t="n">
        <f aca="false">IF(AND($F174="Analogy",OR($H174="—",$H174="")),1,0)</f>
        <v>0</v>
      </c>
      <c r="X174" s="32" t="n">
        <f aca="false">IF(AND(OR($F174="Analogy",$F174="Assumed"),$G174&lt;&gt;"低",$G174&lt;&gt;"高",NOT(ISNUMBER($K174)),NOT(ISNUMBER($L174)),OR($M174="—",$M174="")),1,0)</f>
        <v>0</v>
      </c>
      <c r="Y174" s="32" t="n">
        <f aca="false">IF(AND(OR($F174="Analogy",$F174="Assumed",$F174="Derived（待改公式）",$F174="Derived（公式）"),OR($N174="—",$N174="",$N174=0)),1,0)</f>
        <v>0</v>
      </c>
      <c r="Z174" s="32" t="n">
        <f aca="false">IF(AND($F174="Decision",OR($J174="—",$J174="")),1,0)</f>
        <v>0</v>
      </c>
      <c r="AA174" s="33" t="n">
        <f aca="false">IF(OR($J174="—",$J174=""),0,IF(COUNTIF(Decisions!$A$5:$A$300,$J174)=0,1,0))</f>
        <v>0</v>
      </c>
      <c r="AB174" s="32" t="n">
        <f aca="false">IF(AND($F174="原始數據",$S174&lt;&gt;"Active"),1,0)</f>
        <v>0</v>
      </c>
      <c r="AC174" s="32" t="n">
        <f aca="false">IF(AND(ISNUMBER($K174),ISNUMBER($L174),ISNUMBER($Q174)),IF(OR($Q174&lt;MIN($K174,$L174),$Q174&gt;MAX($K174,$L174)),1,0),0)</f>
        <v>0</v>
      </c>
      <c r="AD174" s="32" t="n">
        <f aca="false">IF(AND(ISNUMBER($T174),$P174="高"),IF($T174=3,1,0),0)</f>
        <v>0</v>
      </c>
      <c r="AE174" s="32" t="n">
        <f aca="false">IF($S174="不存在",1,0)</f>
        <v>0</v>
      </c>
      <c r="AF174" s="44" t="str">
        <f aca="false">IF(OR($H174="—",$H174=""),"—",MATCH($H174,IDX_SrcID,0))</f>
        <v>—</v>
      </c>
      <c r="AG174" s="32" t="n">
        <f aca="false">IF(AND($P174="高",OR($AD174=1,$X174=1)),1,0)</f>
        <v>0</v>
      </c>
      <c r="AH174" s="32" t="n">
        <f aca="false">IF(AND($P174="高",$AG174=0,OR($F174&lt;&gt;"原始數據",$T174&lt;&gt;1)),1,0)</f>
        <v>0</v>
      </c>
      <c r="AI174" s="44" t="str">
        <f aca="false">IF(AND($P174="高",ISNUMBER($AF174)),INDEX(IDX_SrcDate,$AF174),"—")</f>
        <v>—</v>
      </c>
      <c r="AJ174" s="32" t="n">
        <f aca="false">IF(AND(ISTEXT($AI174),LEN($AI174)=10),IF(ISNUMBER(VALUE(SUBSTITUTE($AI174,"-",""))),VALUE(SUBSTITUTE($AI174,"-","")),0),0)</f>
        <v>0</v>
      </c>
    </row>
    <row r="175" customFormat="false" ht="69" hidden="false" customHeight="true" outlineLevel="0" collapsed="false">
      <c r="A175" s="30" t="s">
        <v>4999</v>
      </c>
      <c r="B175" s="239" t="s">
        <v>4525</v>
      </c>
      <c r="C175" s="30" t="s">
        <v>4689</v>
      </c>
      <c r="D175" s="30" t="s">
        <v>5000</v>
      </c>
      <c r="E175" s="6" t="s">
        <v>266</v>
      </c>
      <c r="F175" s="30" t="s">
        <v>119</v>
      </c>
      <c r="G175" s="239" t="s">
        <v>4527</v>
      </c>
      <c r="H175" s="30" t="s">
        <v>5001</v>
      </c>
      <c r="I175" s="20" t="s">
        <v>5002</v>
      </c>
      <c r="J175" s="30" t="s">
        <v>751</v>
      </c>
      <c r="K175" s="241" t="n">
        <v>5</v>
      </c>
      <c r="L175" s="241" t="n">
        <v>10</v>
      </c>
      <c r="M175" s="30" t="s">
        <v>5003</v>
      </c>
      <c r="N175" s="240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5" s="6" t="s">
        <v>751</v>
      </c>
      <c r="P175" s="239" t="s">
        <v>4530</v>
      </c>
      <c r="Q175" s="46" t="n">
        <f aca="false">Spec_Rack!D41</f>
        <v>10</v>
      </c>
      <c r="R175" s="184" t="n">
        <f aca="false">SRC_HW_037</f>
        <v>2520</v>
      </c>
      <c r="S175" s="44" t="str">
        <f aca="false">IF(ISNUMBER($AF175),INDEX(IDX_SrcStat,$AF175),"—")</f>
        <v>Active</v>
      </c>
      <c r="T175" s="44" t="n">
        <f aca="false">IF(ISNUMBER($AF175),INDEX(IDX_SrcGrade,$AF175),"—")</f>
        <v>2</v>
      </c>
      <c r="U175" s="44" t="s">
        <v>4531</v>
      </c>
      <c r="V175" s="32" t="n">
        <f aca="false">IF(AND($F175="原始數據",$U175&lt;&gt;"連結 SRC"),1,0)</f>
        <v>0</v>
      </c>
      <c r="W175" s="32" t="n">
        <f aca="false">IF(AND($F175="Analogy",OR($H175="—",$H175="")),1,0)</f>
        <v>0</v>
      </c>
      <c r="X175" s="32" t="n">
        <f aca="false">IF(AND(OR($F175="Analogy",$F175="Assumed"),$G175&lt;&gt;"低",$G175&lt;&gt;"高",NOT(ISNUMBER($K175)),NOT(ISNUMBER($L175)),OR($M175="—",$M175="")),1,0)</f>
        <v>0</v>
      </c>
      <c r="Y175" s="32" t="n">
        <f aca="false">IF(AND(OR($F175="Analogy",$F175="Assumed",$F175="Derived（待改公式）",$F175="Derived（公式）"),OR($N175="—",$N175="",$N175=0)),1,0)</f>
        <v>0</v>
      </c>
      <c r="Z175" s="32" t="n">
        <f aca="false">IF(AND($F175="Decision",OR($J175="—",$J175="")),1,0)</f>
        <v>0</v>
      </c>
      <c r="AA175" s="33" t="n">
        <f aca="false">IF(OR($J175="—",$J175=""),0,IF(COUNTIF(Decisions!$A$5:$A$300,$J175)=0,1,0))</f>
        <v>0</v>
      </c>
      <c r="AB175" s="32" t="n">
        <f aca="false">IF(AND($F175="原始數據",$S175&lt;&gt;"Active"),1,0)</f>
        <v>0</v>
      </c>
      <c r="AC175" s="32" t="n">
        <f aca="false">IF(AND(ISNUMBER($K175),ISNUMBER($L175),ISNUMBER($Q175)),IF(OR($Q175&lt;MIN($K175,$L175),$Q175&gt;MAX($K175,$L175)),1,0),0)</f>
        <v>0</v>
      </c>
      <c r="AD175" s="32" t="n">
        <f aca="false">IF(AND(ISNUMBER($T175),$P175="高"),IF($T175=3,1,0),0)</f>
        <v>0</v>
      </c>
      <c r="AE175" s="32" t="n">
        <f aca="false">IF($S175="不存在",1,0)</f>
        <v>0</v>
      </c>
      <c r="AF175" s="44" t="n">
        <f aca="false">IF(OR($H175="—",$H175=""),"—",MATCH($H175,IDX_SrcID,0))</f>
        <v>37</v>
      </c>
      <c r="AG175" s="32" t="n">
        <f aca="false">IF(AND($P175="高",OR($AD175=1,$X175=1)),1,0)</f>
        <v>0</v>
      </c>
      <c r="AH175" s="32" t="n">
        <f aca="false">IF(AND($P175="高",$AG175=0,OR($F175&lt;&gt;"原始數據",$T175&lt;&gt;1)),1,0)</f>
        <v>0</v>
      </c>
      <c r="AI175" s="44" t="str">
        <f aca="false">IF(AND($P175="高",ISNUMBER($AF175)),INDEX(IDX_SrcDate,$AF175),"—")</f>
        <v>—</v>
      </c>
      <c r="AJ175" s="32" t="n">
        <f aca="false">IF(AND(ISTEXT($AI175),LEN($AI175)=10),IF(ISNUMBER(VALUE(SUBSTITUTE($AI175,"-",""))),VALUE(SUBSTITUTE($AI175,"-","")),0),0)</f>
        <v>0</v>
      </c>
    </row>
    <row r="176" customFormat="false" ht="69" hidden="false" customHeight="true" outlineLevel="0" collapsed="false">
      <c r="A176" s="30" t="s">
        <v>5004</v>
      </c>
      <c r="B176" s="239" t="s">
        <v>4525</v>
      </c>
      <c r="C176" s="30" t="s">
        <v>4689</v>
      </c>
      <c r="D176" s="30" t="s">
        <v>5005</v>
      </c>
      <c r="E176" s="6" t="s">
        <v>266</v>
      </c>
      <c r="F176" s="30" t="s">
        <v>114</v>
      </c>
      <c r="G176" s="239" t="s">
        <v>4527</v>
      </c>
      <c r="H176" s="30" t="s">
        <v>751</v>
      </c>
      <c r="I176" s="6" t="s">
        <v>751</v>
      </c>
      <c r="J176" s="30" t="s">
        <v>751</v>
      </c>
      <c r="K176" s="241" t="n">
        <v>10</v>
      </c>
      <c r="L176" s="241" t="n">
        <v>15</v>
      </c>
      <c r="M176" s="30" t="s">
        <v>5006</v>
      </c>
      <c r="N176" s="240" t="str">
        <f aca="false">Spec_Rack!$H$41</f>
        <v>Hopper 無 FP4，取 FP8；GB200 10（NVIDIA：Rubin 為 Blackwell 3.5 倍）；GB300 15 [Assumed，區間 10–15]；VR 2,520 PF ÷ 72＝35（S36）；RU＝2×VR 35＝70 [Derived；v5.18，舊 VR×104/50＝73]</v>
      </c>
      <c r="O176" s="6" t="s">
        <v>751</v>
      </c>
      <c r="P176" s="239" t="s">
        <v>4530</v>
      </c>
      <c r="Q176" s="46" t="n">
        <f aca="false">Spec_Rack!E41</f>
        <v>15</v>
      </c>
      <c r="R176" s="30" t="s">
        <v>751</v>
      </c>
      <c r="S176" s="44" t="str">
        <f aca="false">IF(ISNUMBER($AF176),INDEX(IDX_SrcStat,$AF176),"—")</f>
        <v>—</v>
      </c>
      <c r="T176" s="44" t="str">
        <f aca="false">IF(ISNUMBER($AF176),INDEX(IDX_SrcGrade,$AF176),"—")</f>
        <v>—</v>
      </c>
      <c r="U176" s="44" t="s">
        <v>4531</v>
      </c>
      <c r="V176" s="32" t="n">
        <f aca="false">IF(AND($F176="原始數據",$U176&lt;&gt;"連結 SRC"),1,0)</f>
        <v>0</v>
      </c>
      <c r="W176" s="32" t="n">
        <f aca="false">IF(AND($F176="Analogy",OR($H176="—",$H176="")),1,0)</f>
        <v>0</v>
      </c>
      <c r="X176" s="32" t="n">
        <f aca="false">IF(AND(OR($F176="Analogy",$F176="Assumed"),$G176&lt;&gt;"低",$G176&lt;&gt;"高",NOT(ISNUMBER($K176)),NOT(ISNUMBER($L176)),OR($M176="—",$M176="")),1,0)</f>
        <v>0</v>
      </c>
      <c r="Y176" s="32" t="n">
        <f aca="false">IF(AND(OR($F176="Analogy",$F176="Assumed",$F176="Derived（待改公式）",$F176="Derived（公式）"),OR($N176="—",$N176="",$N176=0)),1,0)</f>
        <v>0</v>
      </c>
      <c r="Z176" s="32" t="n">
        <f aca="false">IF(AND($F176="Decision",OR($J176="—",$J176="")),1,0)</f>
        <v>0</v>
      </c>
      <c r="AA176" s="33" t="n">
        <f aca="false">IF(OR($J176="—",$J176=""),0,IF(COUNTIF(Decisions!$A$5:$A$300,$J176)=0,1,0))</f>
        <v>0</v>
      </c>
      <c r="AB176" s="32" t="n">
        <f aca="false">IF(AND($F176="原始數據",$S176&lt;&gt;"Active"),1,0)</f>
        <v>0</v>
      </c>
      <c r="AC176" s="32" t="n">
        <f aca="false">IF(AND(ISNUMBER($K176),ISNUMBER($L176),ISNUMBER($Q176)),IF(OR($Q176&lt;MIN($K176,$L176),$Q176&gt;MAX($K176,$L176)),1,0),0)</f>
        <v>0</v>
      </c>
      <c r="AD176" s="32" t="n">
        <f aca="false">IF(AND(ISNUMBER($T176),$P176="高"),IF($T176=3,1,0),0)</f>
        <v>0</v>
      </c>
      <c r="AE176" s="32" t="n">
        <f aca="false">IF($S176="不存在",1,0)</f>
        <v>0</v>
      </c>
      <c r="AF176" s="44" t="str">
        <f aca="false">IF(OR($H176="—",$H176=""),"—",MATCH($H176,IDX_SrcID,0))</f>
        <v>—</v>
      </c>
      <c r="AG176" s="32" t="n">
        <f aca="false">IF(AND($P176="高",OR($AD176=1,$X176=1)),1,0)</f>
        <v>0</v>
      </c>
      <c r="AH176" s="32" t="n">
        <f aca="false">IF(AND($P176="高",$AG176=0,OR($F176&lt;&gt;"原始數據",$T176&lt;&gt;1)),1,0)</f>
        <v>0</v>
      </c>
      <c r="AI176" s="44" t="str">
        <f aca="false">IF(AND($P176="高",ISNUMBER($AF176)),INDEX(IDX_SrcDate,$AF176),"—")</f>
        <v>—</v>
      </c>
      <c r="AJ176" s="32" t="n">
        <f aca="false">IF(AND(ISTEXT($AI176),LEN($AI176)=10),IF(ISNUMBER(VALUE(SUBSTITUTE($AI176,"-",""))),VALUE(SUBSTITUTE($AI176,"-","")),0),0)</f>
        <v>0</v>
      </c>
    </row>
    <row r="177" customFormat="false" ht="43.5" hidden="false" customHeight="true" outlineLevel="0" collapsed="false">
      <c r="A177" s="30" t="s">
        <v>5007</v>
      </c>
      <c r="B177" s="239" t="s">
        <v>4525</v>
      </c>
      <c r="C177" s="30" t="s">
        <v>4689</v>
      </c>
      <c r="D177" s="30" t="s">
        <v>5008</v>
      </c>
      <c r="E177" s="6" t="s">
        <v>266</v>
      </c>
      <c r="F177" s="239" t="s">
        <v>348</v>
      </c>
      <c r="G177" s="239" t="s">
        <v>4527</v>
      </c>
      <c r="H177" s="30" t="s">
        <v>5001</v>
      </c>
      <c r="I177" s="20" t="s">
        <v>4870</v>
      </c>
      <c r="J177" s="30" t="s">
        <v>751</v>
      </c>
      <c r="K177" s="239"/>
      <c r="L177" s="239"/>
      <c r="M177" s="30" t="s">
        <v>751</v>
      </c>
      <c r="N177" s="20" t="s">
        <v>4665</v>
      </c>
      <c r="O177" s="6" t="s">
        <v>751</v>
      </c>
      <c r="P177" s="239" t="s">
        <v>4530</v>
      </c>
      <c r="Q177" s="46" t="n">
        <f aca="false">Spec_Rack!F41</f>
        <v>35</v>
      </c>
      <c r="R177" s="184" t="n">
        <f aca="false">SRC_HW_037</f>
        <v>2520</v>
      </c>
      <c r="S177" s="44" t="str">
        <f aca="false">IF(ISNUMBER($AF177),INDEX(IDX_SrcStat,$AF177),"—")</f>
        <v>Active</v>
      </c>
      <c r="T177" s="44" t="n">
        <f aca="false">IF(ISNUMBER($AF177),INDEX(IDX_SrcGrade,$AF177),"—")</f>
        <v>2</v>
      </c>
      <c r="U177" s="44" t="s">
        <v>4564</v>
      </c>
      <c r="V177" s="32" t="n">
        <f aca="false">IF(AND($F177="原始數據",$U177&lt;&gt;"連結 SRC"),1,0)</f>
        <v>0</v>
      </c>
      <c r="W177" s="32" t="n">
        <f aca="false">IF(AND($F177="Analogy",OR($H177="—",$H177="")),1,0)</f>
        <v>0</v>
      </c>
      <c r="X177" s="32" t="n">
        <f aca="false">IF(AND(OR($F177="Analogy",$F177="Assumed"),$G177&lt;&gt;"低",$G177&lt;&gt;"高",NOT(ISNUMBER($K177)),NOT(ISNUMBER($L177)),OR($M177="—",$M177="")),1,0)</f>
        <v>0</v>
      </c>
      <c r="Y177" s="32" t="n">
        <f aca="false">IF(AND(OR($F177="Analogy",$F177="Assumed",$F177="Derived（待改公式）",$F177="Derived（公式）"),OR($N177="—",$N177="",$N177=0)),1,0)</f>
        <v>0</v>
      </c>
      <c r="Z177" s="32" t="n">
        <f aca="false">IF(AND($F177="Decision",OR($J177="—",$J177="")),1,0)</f>
        <v>0</v>
      </c>
      <c r="AA177" s="33" t="n">
        <f aca="false">IF(OR($J177="—",$J177=""),0,IF(COUNTIF(Decisions!$A$5:$A$300,$J177)=0,1,0))</f>
        <v>0</v>
      </c>
      <c r="AB177" s="32" t="n">
        <f aca="false">IF(AND($F177="原始數據",$S177&lt;&gt;"Active"),1,0)</f>
        <v>0</v>
      </c>
      <c r="AC177" s="32" t="n">
        <f aca="false">IF(AND(ISNUMBER($K177),ISNUMBER($L177),ISNUMBER($Q177)),IF(OR($Q177&lt;MIN($K177,$L177),$Q177&gt;MAX($K177,$L177)),1,0),0)</f>
        <v>0</v>
      </c>
      <c r="AD177" s="32" t="n">
        <f aca="false">IF(AND(ISNUMBER($T177),$P177="高"),IF($T177=3,1,0),0)</f>
        <v>0</v>
      </c>
      <c r="AE177" s="32" t="n">
        <f aca="false">IF($S177="不存在",1,0)</f>
        <v>0</v>
      </c>
      <c r="AF177" s="44" t="n">
        <f aca="false">IF(OR($H177="—",$H177=""),"—",MATCH($H177,IDX_SrcID,0))</f>
        <v>37</v>
      </c>
      <c r="AG177" s="32" t="n">
        <f aca="false">IF(AND($P177="高",OR($AD177=1,$X177=1)),1,0)</f>
        <v>0</v>
      </c>
      <c r="AH177" s="32" t="n">
        <f aca="false">IF(AND($P177="高",$AG177=0,OR($F177&lt;&gt;"原始數據",$T177&lt;&gt;1)),1,0)</f>
        <v>0</v>
      </c>
      <c r="AI177" s="44" t="str">
        <f aca="false">IF(AND($P177="高",ISNUMBER($AF177)),INDEX(IDX_SrcDate,$AF177),"—")</f>
        <v>—</v>
      </c>
      <c r="AJ177" s="32" t="n">
        <f aca="false">IF(AND(ISTEXT($AI177),LEN($AI177)=10),IF(ISNUMBER(VALUE(SUBSTITUTE($AI177,"-",""))),VALUE(SUBSTITUTE($AI177,"-","")),0),0)</f>
        <v>0</v>
      </c>
    </row>
    <row r="178" customFormat="false" ht="43.5" hidden="false" customHeight="true" outlineLevel="0" collapsed="false">
      <c r="A178" s="30" t="s">
        <v>5009</v>
      </c>
      <c r="B178" s="239" t="s">
        <v>4525</v>
      </c>
      <c r="C178" s="30" t="s">
        <v>4689</v>
      </c>
      <c r="D178" s="30" t="s">
        <v>5010</v>
      </c>
      <c r="E178" s="6" t="s">
        <v>266</v>
      </c>
      <c r="F178" s="30" t="s">
        <v>114</v>
      </c>
      <c r="G178" s="239" t="s">
        <v>97</v>
      </c>
      <c r="H178" s="30" t="s">
        <v>751</v>
      </c>
      <c r="I178" s="6" t="s">
        <v>751</v>
      </c>
      <c r="J178" s="30" t="s">
        <v>751</v>
      </c>
      <c r="K178" s="184" t="n">
        <f aca="false">Spec_Rack!G41*0.7</f>
        <v>49</v>
      </c>
      <c r="L178" s="184" t="n">
        <f aca="false">Spec_Rack!G41*1.3</f>
        <v>91</v>
      </c>
      <c r="M178" s="30" t="s">
        <v>4817</v>
      </c>
      <c r="N178" s="6" t="s">
        <v>4945</v>
      </c>
      <c r="O178" s="6" t="s">
        <v>751</v>
      </c>
      <c r="P178" s="239" t="s">
        <v>4530</v>
      </c>
      <c r="Q178" s="46" t="n">
        <f aca="false">Spec_Rack!G41</f>
        <v>70</v>
      </c>
      <c r="R178" s="30" t="s">
        <v>751</v>
      </c>
      <c r="S178" s="44" t="str">
        <f aca="false">IF(ISNUMBER($AF178),INDEX(IDX_SrcStat,$AF178),"—")</f>
        <v>—</v>
      </c>
      <c r="T178" s="44" t="str">
        <f aca="false">IF(ISNUMBER($AF178),INDEX(IDX_SrcGrade,$AF178),"—")</f>
        <v>—</v>
      </c>
      <c r="U178" s="44" t="s">
        <v>4531</v>
      </c>
      <c r="V178" s="32" t="n">
        <f aca="false">IF(AND($F178="原始數據",$U178&lt;&gt;"連結 SRC"),1,0)</f>
        <v>0</v>
      </c>
      <c r="W178" s="32" t="n">
        <f aca="false">IF(AND($F178="Analogy",OR($H178="—",$H178="")),1,0)</f>
        <v>0</v>
      </c>
      <c r="X178" s="32" t="n">
        <f aca="false">IF(AND(OR($F178="Analogy",$F178="Assumed"),$G178&lt;&gt;"低",$G178&lt;&gt;"高",NOT(ISNUMBER($K178)),NOT(ISNUMBER($L178)),OR($M178="—",$M178="")),1,0)</f>
        <v>0</v>
      </c>
      <c r="Y178" s="32" t="n">
        <f aca="false">IF(AND(OR($F178="Analogy",$F178="Assumed",$F178="Derived（待改公式）",$F178="Derived（公式）"),OR($N178="—",$N178="",$N178=0)),1,0)</f>
        <v>0</v>
      </c>
      <c r="Z178" s="32" t="n">
        <f aca="false">IF(AND($F178="Decision",OR($J178="—",$J178="")),1,0)</f>
        <v>0</v>
      </c>
      <c r="AA178" s="33" t="n">
        <f aca="false">IF(OR($J178="—",$J178=""),0,IF(COUNTIF(Decisions!$A$5:$A$300,$J178)=0,1,0))</f>
        <v>0</v>
      </c>
      <c r="AB178" s="32" t="n">
        <f aca="false">IF(AND($F178="原始數據",$S178&lt;&gt;"Active"),1,0)</f>
        <v>0</v>
      </c>
      <c r="AC178" s="32" t="n">
        <f aca="false">IF(AND(ISNUMBER($K178),ISNUMBER($L178),ISNUMBER($Q178)),IF(OR($Q178&lt;MIN($K178,$L178),$Q178&gt;MAX($K178,$L178)),1,0),0)</f>
        <v>0</v>
      </c>
      <c r="AD178" s="32" t="n">
        <f aca="false">IF(AND(ISNUMBER($T178),$P178="高"),IF($T178=3,1,0),0)</f>
        <v>0</v>
      </c>
      <c r="AE178" s="32" t="n">
        <f aca="false">IF($S178="不存在",1,0)</f>
        <v>0</v>
      </c>
      <c r="AF178" s="44" t="str">
        <f aca="false">IF(OR($H178="—",$H178=""),"—",MATCH($H178,IDX_SrcID,0))</f>
        <v>—</v>
      </c>
      <c r="AG178" s="32" t="n">
        <f aca="false">IF(AND($P178="高",OR($AD178=1,$X178=1)),1,0)</f>
        <v>0</v>
      </c>
      <c r="AH178" s="32" t="n">
        <f aca="false">IF(AND($P178="高",$AG178=0,OR($F178&lt;&gt;"原始數據",$T178&lt;&gt;1)),1,0)</f>
        <v>0</v>
      </c>
      <c r="AI178" s="44" t="str">
        <f aca="false">IF(AND($P178="高",ISNUMBER($AF178)),INDEX(IDX_SrcDate,$AF178),"—")</f>
        <v>—</v>
      </c>
      <c r="AJ178" s="32" t="n">
        <f aca="false">IF(AND(ISTEXT($AI178),LEN($AI178)=10),IF(ISNUMBER(VALUE(SUBSTITUTE($AI178,"-",""))),VALUE(SUBSTITUTE($AI178,"-","")),0),0)</f>
        <v>0</v>
      </c>
    </row>
    <row r="179" customFormat="false" ht="15" hidden="false" customHeight="true" outlineLevel="0" collapsed="false">
      <c r="A179" s="30" t="s">
        <v>5011</v>
      </c>
      <c r="B179" s="239" t="s">
        <v>4525</v>
      </c>
      <c r="C179" s="30" t="s">
        <v>5012</v>
      </c>
      <c r="D179" s="30" t="s">
        <v>4690</v>
      </c>
      <c r="E179" s="20" t="s">
        <v>286</v>
      </c>
      <c r="F179" s="239" t="s">
        <v>348</v>
      </c>
      <c r="G179" s="239" t="s">
        <v>4527</v>
      </c>
      <c r="H179" s="30" t="s">
        <v>5013</v>
      </c>
      <c r="I179" s="20" t="s">
        <v>4562</v>
      </c>
      <c r="J179" s="30" t="s">
        <v>751</v>
      </c>
      <c r="K179" s="239"/>
      <c r="L179" s="239"/>
      <c r="M179" s="30" t="s">
        <v>751</v>
      </c>
      <c r="N179" s="20" t="s">
        <v>4754</v>
      </c>
      <c r="O179" s="6" t="s">
        <v>751</v>
      </c>
      <c r="P179" s="239" t="s">
        <v>4586</v>
      </c>
      <c r="Q179" s="49" t="n">
        <f aca="false">Arch!C6</f>
        <v>284</v>
      </c>
      <c r="R179" s="184" t="n">
        <f aca="false">SRC_MOD_005</f>
        <v>284</v>
      </c>
      <c r="S179" s="44" t="str">
        <f aca="false">IF(ISNUMBER($AF179),INDEX(IDX_SrcStat,$AF179),"—")</f>
        <v>Active</v>
      </c>
      <c r="T179" s="44" t="n">
        <f aca="false">IF(ISNUMBER($AF179),INDEX(IDX_SrcGrade,$AF179),"—")</f>
        <v>3</v>
      </c>
      <c r="U179" s="44" t="s">
        <v>4564</v>
      </c>
      <c r="V179" s="32" t="n">
        <f aca="false">IF(AND($F179="原始數據",$U179&lt;&gt;"連結 SRC"),1,0)</f>
        <v>0</v>
      </c>
      <c r="W179" s="32" t="n">
        <f aca="false">IF(AND($F179="Analogy",OR($H179="—",$H179="")),1,0)</f>
        <v>0</v>
      </c>
      <c r="X179" s="32" t="n">
        <f aca="false">IF(AND(OR($F179="Analogy",$F179="Assumed"),$G179&lt;&gt;"低",$G179&lt;&gt;"高",NOT(ISNUMBER($K179)),NOT(ISNUMBER($L179)),OR($M179="—",$M179="")),1,0)</f>
        <v>0</v>
      </c>
      <c r="Y179" s="32" t="n">
        <f aca="false">IF(AND(OR($F179="Analogy",$F179="Assumed",$F179="Derived（待改公式）",$F179="Derived（公式）"),OR($N179="—",$N179="",$N179=0)),1,0)</f>
        <v>0</v>
      </c>
      <c r="Z179" s="32" t="n">
        <f aca="false">IF(AND($F179="Decision",OR($J179="—",$J179="")),1,0)</f>
        <v>0</v>
      </c>
      <c r="AA179" s="33" t="n">
        <f aca="false">IF(OR($J179="—",$J179=""),0,IF(COUNTIF(Decisions!$A$5:$A$300,$J179)=0,1,0))</f>
        <v>0</v>
      </c>
      <c r="AB179" s="32" t="n">
        <f aca="false">IF(AND($F179="原始數據",$S179&lt;&gt;"Active"),1,0)</f>
        <v>0</v>
      </c>
      <c r="AC179" s="32" t="n">
        <f aca="false">IF(AND(ISNUMBER($K179),ISNUMBER($L179),ISNUMBER($Q179)),IF(OR($Q179&lt;MIN($K179,$L179),$Q179&gt;MAX($K179,$L179)),1,0),0)</f>
        <v>0</v>
      </c>
      <c r="AD179" s="32" t="n">
        <f aca="false">IF(AND(ISNUMBER($T179),$P179="高"),IF($T179=3,1,0),0)</f>
        <v>0</v>
      </c>
      <c r="AE179" s="32" t="n">
        <f aca="false">IF($S179="不存在",1,0)</f>
        <v>0</v>
      </c>
      <c r="AF179" s="44" t="n">
        <f aca="false">IF(OR($H179="—",$H179=""),"—",MATCH($H179,IDX_SrcID,0))</f>
        <v>188</v>
      </c>
      <c r="AG179" s="32" t="n">
        <f aca="false">IF(AND($P179="高",OR($AD179=1,$X179=1)),1,0)</f>
        <v>0</v>
      </c>
      <c r="AH179" s="32" t="n">
        <f aca="false">IF(AND($P179="高",$AG179=0,OR($F179&lt;&gt;"原始數據",$T179&lt;&gt;1)),1,0)</f>
        <v>0</v>
      </c>
      <c r="AI179" s="44" t="str">
        <f aca="false">IF(AND($P179="高",ISNUMBER($AF179)),INDEX(IDX_SrcDate,$AF179),"—")</f>
        <v>—</v>
      </c>
      <c r="AJ179" s="32" t="n">
        <f aca="false">IF(AND(ISTEXT($AI179),LEN($AI179)=10),IF(ISNUMBER(VALUE(SUBSTITUTE($AI179,"-",""))),VALUE(SUBSTITUTE($AI179,"-","")),0),0)</f>
        <v>0</v>
      </c>
    </row>
    <row r="180" customFormat="false" ht="15" hidden="false" customHeight="true" outlineLevel="0" collapsed="false">
      <c r="A180" s="30" t="s">
        <v>5014</v>
      </c>
      <c r="B180" s="239" t="s">
        <v>4525</v>
      </c>
      <c r="C180" s="30" t="s">
        <v>5012</v>
      </c>
      <c r="D180" s="30" t="s">
        <v>4694</v>
      </c>
      <c r="E180" s="20" t="s">
        <v>286</v>
      </c>
      <c r="F180" s="239" t="s">
        <v>348</v>
      </c>
      <c r="G180" s="239" t="s">
        <v>4527</v>
      </c>
      <c r="H180" s="30" t="s">
        <v>5015</v>
      </c>
      <c r="I180" s="20" t="s">
        <v>4562</v>
      </c>
      <c r="J180" s="30" t="s">
        <v>751</v>
      </c>
      <c r="K180" s="239"/>
      <c r="L180" s="239"/>
      <c r="M180" s="30" t="s">
        <v>751</v>
      </c>
      <c r="N180" s="20" t="s">
        <v>4754</v>
      </c>
      <c r="O180" s="6" t="s">
        <v>751</v>
      </c>
      <c r="P180" s="239" t="s">
        <v>4586</v>
      </c>
      <c r="Q180" s="49" t="n">
        <f aca="false">Arch!D6</f>
        <v>1600</v>
      </c>
      <c r="R180" s="184" t="n">
        <f aca="false">SRC_MOD_001</f>
        <v>1600</v>
      </c>
      <c r="S180" s="44" t="str">
        <f aca="false">IF(ISNUMBER($AF180),INDEX(IDX_SrcStat,$AF180),"—")</f>
        <v>Active</v>
      </c>
      <c r="T180" s="44" t="n">
        <f aca="false">IF(ISNUMBER($AF180),INDEX(IDX_SrcGrade,$AF180),"—")</f>
        <v>3</v>
      </c>
      <c r="U180" s="44" t="s">
        <v>4564</v>
      </c>
      <c r="V180" s="32" t="n">
        <f aca="false">IF(AND($F180="原始數據",$U180&lt;&gt;"連結 SRC"),1,0)</f>
        <v>0</v>
      </c>
      <c r="W180" s="32" t="n">
        <f aca="false">IF(AND($F180="Analogy",OR($H180="—",$H180="")),1,0)</f>
        <v>0</v>
      </c>
      <c r="X180" s="32" t="n">
        <f aca="false">IF(AND(OR($F180="Analogy",$F180="Assumed"),$G180&lt;&gt;"低",$G180&lt;&gt;"高",NOT(ISNUMBER($K180)),NOT(ISNUMBER($L180)),OR($M180="—",$M180="")),1,0)</f>
        <v>0</v>
      </c>
      <c r="Y180" s="32" t="n">
        <f aca="false">IF(AND(OR($F180="Analogy",$F180="Assumed",$F180="Derived（待改公式）",$F180="Derived（公式）"),OR($N180="—",$N180="",$N180=0)),1,0)</f>
        <v>0</v>
      </c>
      <c r="Z180" s="32" t="n">
        <f aca="false">IF(AND($F180="Decision",OR($J180="—",$J180="")),1,0)</f>
        <v>0</v>
      </c>
      <c r="AA180" s="33" t="n">
        <f aca="false">IF(OR($J180="—",$J180=""),0,IF(COUNTIF(Decisions!$A$5:$A$300,$J180)=0,1,0))</f>
        <v>0</v>
      </c>
      <c r="AB180" s="32" t="n">
        <f aca="false">IF(AND($F180="原始數據",$S180&lt;&gt;"Active"),1,0)</f>
        <v>0</v>
      </c>
      <c r="AC180" s="32" t="n">
        <f aca="false">IF(AND(ISNUMBER($K180),ISNUMBER($L180),ISNUMBER($Q180)),IF(OR($Q180&lt;MIN($K180,$L180),$Q180&gt;MAX($K180,$L180)),1,0),0)</f>
        <v>0</v>
      </c>
      <c r="AD180" s="32" t="n">
        <f aca="false">IF(AND(ISNUMBER($T180),$P180="高"),IF($T180=3,1,0),0)</f>
        <v>0</v>
      </c>
      <c r="AE180" s="32" t="n">
        <f aca="false">IF($S180="不存在",1,0)</f>
        <v>0</v>
      </c>
      <c r="AF180" s="44" t="n">
        <f aca="false">IF(OR($H180="—",$H180=""),"—",MATCH($H180,IDX_SrcID,0))</f>
        <v>184</v>
      </c>
      <c r="AG180" s="32" t="n">
        <f aca="false">IF(AND($P180="高",OR($AD180=1,$X180=1)),1,0)</f>
        <v>0</v>
      </c>
      <c r="AH180" s="32" t="n">
        <f aca="false">IF(AND($P180="高",$AG180=0,OR($F180&lt;&gt;"原始數據",$T180&lt;&gt;1)),1,0)</f>
        <v>0</v>
      </c>
      <c r="AI180" s="44" t="str">
        <f aca="false">IF(AND($P180="高",ISNUMBER($AF180)),INDEX(IDX_SrcDate,$AF180),"—")</f>
        <v>—</v>
      </c>
      <c r="AJ180" s="32" t="n">
        <f aca="false">IF(AND(ISTEXT($AI180),LEN($AI180)=10),IF(ISNUMBER(VALUE(SUBSTITUTE($AI180,"-",""))),VALUE(SUBSTITUTE($AI180,"-","")),0),0)</f>
        <v>0</v>
      </c>
    </row>
    <row r="181" customFormat="false" ht="15" hidden="false" customHeight="true" outlineLevel="0" collapsed="false">
      <c r="A181" s="30" t="s">
        <v>5016</v>
      </c>
      <c r="B181" s="239" t="s">
        <v>4525</v>
      </c>
      <c r="C181" s="30" t="s">
        <v>5012</v>
      </c>
      <c r="D181" s="30" t="s">
        <v>5017</v>
      </c>
      <c r="E181" s="20" t="s">
        <v>290</v>
      </c>
      <c r="F181" s="239" t="s">
        <v>348</v>
      </c>
      <c r="G181" s="239" t="s">
        <v>4527</v>
      </c>
      <c r="H181" s="30" t="s">
        <v>5018</v>
      </c>
      <c r="I181" s="20" t="s">
        <v>4562</v>
      </c>
      <c r="J181" s="30" t="s">
        <v>751</v>
      </c>
      <c r="K181" s="239"/>
      <c r="L181" s="239"/>
      <c r="M181" s="30" t="s">
        <v>751</v>
      </c>
      <c r="N181" s="20" t="s">
        <v>4665</v>
      </c>
      <c r="O181" s="6" t="s">
        <v>751</v>
      </c>
      <c r="P181" s="239" t="s">
        <v>1309</v>
      </c>
      <c r="Q181" s="49" t="n">
        <f aca="false">Arch!C7</f>
        <v>13</v>
      </c>
      <c r="R181" s="184" t="n">
        <f aca="false">SRC_MOD_006</f>
        <v>13</v>
      </c>
      <c r="S181" s="44" t="str">
        <f aca="false">IF(ISNUMBER($AF181),INDEX(IDX_SrcStat,$AF181),"—")</f>
        <v>Active</v>
      </c>
      <c r="T181" s="44" t="n">
        <f aca="false">IF(ISNUMBER($AF181),INDEX(IDX_SrcGrade,$AF181),"—")</f>
        <v>1</v>
      </c>
      <c r="U181" s="44" t="s">
        <v>4564</v>
      </c>
      <c r="V181" s="32" t="n">
        <f aca="false">IF(AND($F181="原始數據",$U181&lt;&gt;"連結 SRC"),1,0)</f>
        <v>0</v>
      </c>
      <c r="W181" s="32" t="n">
        <f aca="false">IF(AND($F181="Analogy",OR($H181="—",$H181="")),1,0)</f>
        <v>0</v>
      </c>
      <c r="X181" s="32" t="n">
        <f aca="false">IF(AND(OR($F181="Analogy",$F181="Assumed"),$G181&lt;&gt;"低",$G181&lt;&gt;"高",NOT(ISNUMBER($K181)),NOT(ISNUMBER($L181)),OR($M181="—",$M181="")),1,0)</f>
        <v>0</v>
      </c>
      <c r="Y181" s="32" t="n">
        <f aca="false">IF(AND(OR($F181="Analogy",$F181="Assumed",$F181="Derived（待改公式）",$F181="Derived（公式）"),OR($N181="—",$N181="",$N181=0)),1,0)</f>
        <v>0</v>
      </c>
      <c r="Z181" s="32" t="n">
        <f aca="false">IF(AND($F181="Decision",OR($J181="—",$J181="")),1,0)</f>
        <v>0</v>
      </c>
      <c r="AA181" s="33" t="n">
        <f aca="false">IF(OR($J181="—",$J181=""),0,IF(COUNTIF(Decisions!$A$5:$A$300,$J181)=0,1,0))</f>
        <v>0</v>
      </c>
      <c r="AB181" s="32" t="n">
        <f aca="false">IF(AND($F181="原始數據",$S181&lt;&gt;"Active"),1,0)</f>
        <v>0</v>
      </c>
      <c r="AC181" s="32" t="n">
        <f aca="false">IF(AND(ISNUMBER($K181),ISNUMBER($L181),ISNUMBER($Q181)),IF(OR($Q181&lt;MIN($K181,$L181),$Q181&gt;MAX($K181,$L181)),1,0),0)</f>
        <v>0</v>
      </c>
      <c r="AD181" s="32" t="n">
        <f aca="false">IF(AND(ISNUMBER($T181),$P181="高"),IF($T181=3,1,0),0)</f>
        <v>0</v>
      </c>
      <c r="AE181" s="32" t="n">
        <f aca="false">IF($S181="不存在",1,0)</f>
        <v>0</v>
      </c>
      <c r="AF181" s="44" t="n">
        <f aca="false">IF(OR($H181="—",$H181=""),"—",MATCH($H181,IDX_SrcID,0))</f>
        <v>189</v>
      </c>
      <c r="AG181" s="32" t="n">
        <f aca="false">IF(AND($P181="高",OR($AD181=1,$X181=1)),1,0)</f>
        <v>0</v>
      </c>
      <c r="AH181" s="32" t="n">
        <f aca="false">IF(AND($P181="高",$AG181=0,OR($F181&lt;&gt;"原始數據",$T181&lt;&gt;1)),1,0)</f>
        <v>0</v>
      </c>
      <c r="AI181" s="44" t="str">
        <f aca="false">IF(AND($P181="高",ISNUMBER($AF181)),INDEX(IDX_SrcDate,$AF181),"—")</f>
        <v>2026-10-05</v>
      </c>
      <c r="AJ181" s="32" t="n">
        <f aca="false">IF(AND(ISTEXT($AI181),LEN($AI181)=10),IF(ISNUMBER(VALUE(SUBSTITUTE($AI181,"-",""))),VALUE(SUBSTITUTE($AI181,"-","")),0),0)</f>
        <v>20261005</v>
      </c>
    </row>
    <row r="182" customFormat="false" ht="15" hidden="false" customHeight="true" outlineLevel="0" collapsed="false">
      <c r="A182" s="30" t="s">
        <v>5019</v>
      </c>
      <c r="B182" s="239" t="s">
        <v>4525</v>
      </c>
      <c r="C182" s="30" t="s">
        <v>5012</v>
      </c>
      <c r="D182" s="30" t="s">
        <v>5020</v>
      </c>
      <c r="E182" s="20" t="s">
        <v>290</v>
      </c>
      <c r="F182" s="239" t="s">
        <v>348</v>
      </c>
      <c r="G182" s="239" t="s">
        <v>4527</v>
      </c>
      <c r="H182" s="30" t="s">
        <v>5021</v>
      </c>
      <c r="I182" s="20" t="s">
        <v>4562</v>
      </c>
      <c r="J182" s="30" t="s">
        <v>751</v>
      </c>
      <c r="K182" s="239"/>
      <c r="L182" s="239"/>
      <c r="M182" s="30" t="s">
        <v>751</v>
      </c>
      <c r="N182" s="20" t="s">
        <v>4665</v>
      </c>
      <c r="O182" s="6" t="s">
        <v>751</v>
      </c>
      <c r="P182" s="239" t="s">
        <v>1309</v>
      </c>
      <c r="Q182" s="49" t="n">
        <f aca="false">Arch!D7</f>
        <v>49</v>
      </c>
      <c r="R182" s="184" t="n">
        <f aca="false">SRC_MOD_002</f>
        <v>49</v>
      </c>
      <c r="S182" s="44" t="str">
        <f aca="false">IF(ISNUMBER($AF182),INDEX(IDX_SrcStat,$AF182),"—")</f>
        <v>Active</v>
      </c>
      <c r="T182" s="44" t="n">
        <f aca="false">IF(ISNUMBER($AF182),INDEX(IDX_SrcGrade,$AF182),"—")</f>
        <v>1</v>
      </c>
      <c r="U182" s="44" t="s">
        <v>4564</v>
      </c>
      <c r="V182" s="32" t="n">
        <f aca="false">IF(AND($F182="原始數據",$U182&lt;&gt;"連結 SRC"),1,0)</f>
        <v>0</v>
      </c>
      <c r="W182" s="32" t="n">
        <f aca="false">IF(AND($F182="Analogy",OR($H182="—",$H182="")),1,0)</f>
        <v>0</v>
      </c>
      <c r="X182" s="32" t="n">
        <f aca="false">IF(AND(OR($F182="Analogy",$F182="Assumed"),$G182&lt;&gt;"低",$G182&lt;&gt;"高",NOT(ISNUMBER($K182)),NOT(ISNUMBER($L182)),OR($M182="—",$M182="")),1,0)</f>
        <v>0</v>
      </c>
      <c r="Y182" s="32" t="n">
        <f aca="false">IF(AND(OR($F182="Analogy",$F182="Assumed",$F182="Derived（待改公式）",$F182="Derived（公式）"),OR($N182="—",$N182="",$N182=0)),1,0)</f>
        <v>0</v>
      </c>
      <c r="Z182" s="32" t="n">
        <f aca="false">IF(AND($F182="Decision",OR($J182="—",$J182="")),1,0)</f>
        <v>0</v>
      </c>
      <c r="AA182" s="33" t="n">
        <f aca="false">IF(OR($J182="—",$J182=""),0,IF(COUNTIF(Decisions!$A$5:$A$300,$J182)=0,1,0))</f>
        <v>0</v>
      </c>
      <c r="AB182" s="32" t="n">
        <f aca="false">IF(AND($F182="原始數據",$S182&lt;&gt;"Active"),1,0)</f>
        <v>0</v>
      </c>
      <c r="AC182" s="32" t="n">
        <f aca="false">IF(AND(ISNUMBER($K182),ISNUMBER($L182),ISNUMBER($Q182)),IF(OR($Q182&lt;MIN($K182,$L182),$Q182&gt;MAX($K182,$L182)),1,0),0)</f>
        <v>0</v>
      </c>
      <c r="AD182" s="32" t="n">
        <f aca="false">IF(AND(ISNUMBER($T182),$P182="高"),IF($T182=3,1,0),0)</f>
        <v>0</v>
      </c>
      <c r="AE182" s="32" t="n">
        <f aca="false">IF($S182="不存在",1,0)</f>
        <v>0</v>
      </c>
      <c r="AF182" s="44" t="n">
        <f aca="false">IF(OR($H182="—",$H182=""),"—",MATCH($H182,IDX_SrcID,0))</f>
        <v>185</v>
      </c>
      <c r="AG182" s="32" t="n">
        <f aca="false">IF(AND($P182="高",OR($AD182=1,$X182=1)),1,0)</f>
        <v>0</v>
      </c>
      <c r="AH182" s="32" t="n">
        <f aca="false">IF(AND($P182="高",$AG182=0,OR($F182&lt;&gt;"原始數據",$T182&lt;&gt;1)),1,0)</f>
        <v>0</v>
      </c>
      <c r="AI182" s="44" t="str">
        <f aca="false">IF(AND($P182="高",ISNUMBER($AF182)),INDEX(IDX_SrcDate,$AF182),"—")</f>
        <v>2026-10-05</v>
      </c>
      <c r="AJ182" s="32" t="n">
        <f aca="false">IF(AND(ISTEXT($AI182),LEN($AI182)=10),IF(ISNUMBER(VALUE(SUBSTITUTE($AI182,"-",""))),VALUE(SUBSTITUTE($AI182,"-","")),0),0)</f>
        <v>20261005</v>
      </c>
    </row>
    <row r="183" customFormat="false" ht="15" hidden="false" customHeight="true" outlineLevel="0" collapsed="false">
      <c r="A183" s="30" t="s">
        <v>5022</v>
      </c>
      <c r="B183" s="239" t="s">
        <v>4525</v>
      </c>
      <c r="C183" s="30" t="s">
        <v>5012</v>
      </c>
      <c r="D183" s="30" t="s">
        <v>4703</v>
      </c>
      <c r="E183" s="20" t="s">
        <v>292</v>
      </c>
      <c r="F183" s="239" t="s">
        <v>348</v>
      </c>
      <c r="G183" s="239" t="s">
        <v>4527</v>
      </c>
      <c r="H183" s="30" t="s">
        <v>5023</v>
      </c>
      <c r="I183" s="20" t="s">
        <v>4562</v>
      </c>
      <c r="J183" s="30" t="s">
        <v>751</v>
      </c>
      <c r="K183" s="239"/>
      <c r="L183" s="239"/>
      <c r="M183" s="30" t="s">
        <v>751</v>
      </c>
      <c r="N183" s="20" t="s">
        <v>4754</v>
      </c>
      <c r="O183" s="6" t="s">
        <v>751</v>
      </c>
      <c r="P183" s="239" t="s">
        <v>4586</v>
      </c>
      <c r="Q183" s="49" t="n">
        <f aca="false">Arch!C8</f>
        <v>43</v>
      </c>
      <c r="R183" s="184" t="n">
        <f aca="false">SRC_MOD_007</f>
        <v>43</v>
      </c>
      <c r="S183" s="44" t="str">
        <f aca="false">IF(ISNUMBER($AF183),INDEX(IDX_SrcStat,$AF183),"—")</f>
        <v>Active</v>
      </c>
      <c r="T183" s="44" t="n">
        <f aca="false">IF(ISNUMBER($AF183),INDEX(IDX_SrcGrade,$AF183),"—")</f>
        <v>1</v>
      </c>
      <c r="U183" s="44" t="s">
        <v>4564</v>
      </c>
      <c r="V183" s="32" t="n">
        <f aca="false">IF(AND($F183="原始數據",$U183&lt;&gt;"連結 SRC"),1,0)</f>
        <v>0</v>
      </c>
      <c r="W183" s="32" t="n">
        <f aca="false">IF(AND($F183="Analogy",OR($H183="—",$H183="")),1,0)</f>
        <v>0</v>
      </c>
      <c r="X183" s="32" t="n">
        <f aca="false">IF(AND(OR($F183="Analogy",$F183="Assumed"),$G183&lt;&gt;"低",$G183&lt;&gt;"高",NOT(ISNUMBER($K183)),NOT(ISNUMBER($L183)),OR($M183="—",$M183="")),1,0)</f>
        <v>0</v>
      </c>
      <c r="Y183" s="32" t="n">
        <f aca="false">IF(AND(OR($F183="Analogy",$F183="Assumed",$F183="Derived（待改公式）",$F183="Derived（公式）"),OR($N183="—",$N183="",$N183=0)),1,0)</f>
        <v>0</v>
      </c>
      <c r="Z183" s="32" t="n">
        <f aca="false">IF(AND($F183="Decision",OR($J183="—",$J183="")),1,0)</f>
        <v>0</v>
      </c>
      <c r="AA183" s="33" t="n">
        <f aca="false">IF(OR($J183="—",$J183=""),0,IF(COUNTIF(Decisions!$A$5:$A$300,$J183)=0,1,0))</f>
        <v>0</v>
      </c>
      <c r="AB183" s="32" t="n">
        <f aca="false">IF(AND($F183="原始數據",$S183&lt;&gt;"Active"),1,0)</f>
        <v>0</v>
      </c>
      <c r="AC183" s="32" t="n">
        <f aca="false">IF(AND(ISNUMBER($K183),ISNUMBER($L183),ISNUMBER($Q183)),IF(OR($Q183&lt;MIN($K183,$L183),$Q183&gt;MAX($K183,$L183)),1,0),0)</f>
        <v>0</v>
      </c>
      <c r="AD183" s="32" t="n">
        <f aca="false">IF(AND(ISNUMBER($T183),$P183="高"),IF($T183=3,1,0),0)</f>
        <v>0</v>
      </c>
      <c r="AE183" s="32" t="n">
        <f aca="false">IF($S183="不存在",1,0)</f>
        <v>0</v>
      </c>
      <c r="AF183" s="44" t="n">
        <f aca="false">IF(OR($H183="—",$H183=""),"—",MATCH($H183,IDX_SrcID,0))</f>
        <v>190</v>
      </c>
      <c r="AG183" s="32" t="n">
        <f aca="false">IF(AND($P183="高",OR($AD183=1,$X183=1)),1,0)</f>
        <v>0</v>
      </c>
      <c r="AH183" s="32" t="n">
        <f aca="false">IF(AND($P183="高",$AG183=0,OR($F183&lt;&gt;"原始數據",$T183&lt;&gt;1)),1,0)</f>
        <v>0</v>
      </c>
      <c r="AI183" s="44" t="str">
        <f aca="false">IF(AND($P183="高",ISNUMBER($AF183)),INDEX(IDX_SrcDate,$AF183),"—")</f>
        <v>—</v>
      </c>
      <c r="AJ183" s="32" t="n">
        <f aca="false">IF(AND(ISTEXT($AI183),LEN($AI183)=10),IF(ISNUMBER(VALUE(SUBSTITUTE($AI183,"-",""))),VALUE(SUBSTITUTE($AI183,"-","")),0),0)</f>
        <v>0</v>
      </c>
    </row>
    <row r="184" customFormat="false" ht="15" hidden="false" customHeight="true" outlineLevel="0" collapsed="false">
      <c r="A184" s="30" t="s">
        <v>5024</v>
      </c>
      <c r="B184" s="239" t="s">
        <v>4525</v>
      </c>
      <c r="C184" s="30" t="s">
        <v>5012</v>
      </c>
      <c r="D184" s="30" t="s">
        <v>4706</v>
      </c>
      <c r="E184" s="20" t="s">
        <v>292</v>
      </c>
      <c r="F184" s="239" t="s">
        <v>348</v>
      </c>
      <c r="G184" s="239" t="s">
        <v>4527</v>
      </c>
      <c r="H184" s="30" t="s">
        <v>5025</v>
      </c>
      <c r="I184" s="20" t="s">
        <v>4562</v>
      </c>
      <c r="J184" s="30" t="s">
        <v>751</v>
      </c>
      <c r="K184" s="239"/>
      <c r="L184" s="239"/>
      <c r="M184" s="30" t="s">
        <v>751</v>
      </c>
      <c r="N184" s="20" t="s">
        <v>4754</v>
      </c>
      <c r="O184" s="6" t="s">
        <v>751</v>
      </c>
      <c r="P184" s="239" t="s">
        <v>4586</v>
      </c>
      <c r="Q184" s="49" t="n">
        <f aca="false">Arch!D8</f>
        <v>61</v>
      </c>
      <c r="R184" s="184" t="n">
        <f aca="false">SRC_MOD_003</f>
        <v>61</v>
      </c>
      <c r="S184" s="44" t="str">
        <f aca="false">IF(ISNUMBER($AF184),INDEX(IDX_SrcStat,$AF184),"—")</f>
        <v>Active</v>
      </c>
      <c r="T184" s="44" t="n">
        <f aca="false">IF(ISNUMBER($AF184),INDEX(IDX_SrcGrade,$AF184),"—")</f>
        <v>3</v>
      </c>
      <c r="U184" s="44" t="s">
        <v>4564</v>
      </c>
      <c r="V184" s="32" t="n">
        <f aca="false">IF(AND($F184="原始數據",$U184&lt;&gt;"連結 SRC"),1,0)</f>
        <v>0</v>
      </c>
      <c r="W184" s="32" t="n">
        <f aca="false">IF(AND($F184="Analogy",OR($H184="—",$H184="")),1,0)</f>
        <v>0</v>
      </c>
      <c r="X184" s="32" t="n">
        <f aca="false">IF(AND(OR($F184="Analogy",$F184="Assumed"),$G184&lt;&gt;"低",$G184&lt;&gt;"高",NOT(ISNUMBER($K184)),NOT(ISNUMBER($L184)),OR($M184="—",$M184="")),1,0)</f>
        <v>0</v>
      </c>
      <c r="Y184" s="32" t="n">
        <f aca="false">IF(AND(OR($F184="Analogy",$F184="Assumed",$F184="Derived（待改公式）",$F184="Derived（公式）"),OR($N184="—",$N184="",$N184=0)),1,0)</f>
        <v>0</v>
      </c>
      <c r="Z184" s="32" t="n">
        <f aca="false">IF(AND($F184="Decision",OR($J184="—",$J184="")),1,0)</f>
        <v>0</v>
      </c>
      <c r="AA184" s="33" t="n">
        <f aca="false">IF(OR($J184="—",$J184=""),0,IF(COUNTIF(Decisions!$A$5:$A$300,$J184)=0,1,0))</f>
        <v>0</v>
      </c>
      <c r="AB184" s="32" t="n">
        <f aca="false">IF(AND($F184="原始數據",$S184&lt;&gt;"Active"),1,0)</f>
        <v>0</v>
      </c>
      <c r="AC184" s="32" t="n">
        <f aca="false">IF(AND(ISNUMBER($K184),ISNUMBER($L184),ISNUMBER($Q184)),IF(OR($Q184&lt;MIN($K184,$L184),$Q184&gt;MAX($K184,$L184)),1,0),0)</f>
        <v>0</v>
      </c>
      <c r="AD184" s="32" t="n">
        <f aca="false">IF(AND(ISNUMBER($T184),$P184="高"),IF($T184=3,1,0),0)</f>
        <v>0</v>
      </c>
      <c r="AE184" s="32" t="n">
        <f aca="false">IF($S184="不存在",1,0)</f>
        <v>0</v>
      </c>
      <c r="AF184" s="44" t="n">
        <f aca="false">IF(OR($H184="—",$H184=""),"—",MATCH($H184,IDX_SrcID,0))</f>
        <v>186</v>
      </c>
      <c r="AG184" s="32" t="n">
        <f aca="false">IF(AND($P184="高",OR($AD184=1,$X184=1)),1,0)</f>
        <v>0</v>
      </c>
      <c r="AH184" s="32" t="n">
        <f aca="false">IF(AND($P184="高",$AG184=0,OR($F184&lt;&gt;"原始數據",$T184&lt;&gt;1)),1,0)</f>
        <v>0</v>
      </c>
      <c r="AI184" s="44" t="str">
        <f aca="false">IF(AND($P184="高",ISNUMBER($AF184)),INDEX(IDX_SrcDate,$AF184),"—")</f>
        <v>—</v>
      </c>
      <c r="AJ184" s="32" t="n">
        <f aca="false">IF(AND(ISTEXT($AI184),LEN($AI184)=10),IF(ISNUMBER(VALUE(SUBSTITUTE($AI184,"-",""))),VALUE(SUBSTITUTE($AI184,"-","")),0),0)</f>
        <v>0</v>
      </c>
    </row>
    <row r="185" customFormat="false" ht="15" hidden="false" customHeight="true" outlineLevel="0" collapsed="false">
      <c r="A185" s="30" t="s">
        <v>5026</v>
      </c>
      <c r="B185" s="239" t="s">
        <v>4525</v>
      </c>
      <c r="C185" s="30" t="s">
        <v>5012</v>
      </c>
      <c r="D185" s="30" t="s">
        <v>4748</v>
      </c>
      <c r="E185" s="6" t="s">
        <v>299</v>
      </c>
      <c r="F185" s="239" t="s">
        <v>348</v>
      </c>
      <c r="G185" s="239" t="s">
        <v>4527</v>
      </c>
      <c r="H185" s="30" t="s">
        <v>5027</v>
      </c>
      <c r="I185" s="20" t="s">
        <v>4562</v>
      </c>
      <c r="J185" s="30" t="s">
        <v>751</v>
      </c>
      <c r="K185" s="239"/>
      <c r="L185" s="239"/>
      <c r="M185" s="30" t="s">
        <v>751</v>
      </c>
      <c r="N185" s="20" t="s">
        <v>4665</v>
      </c>
      <c r="O185" s="6" t="s">
        <v>751</v>
      </c>
      <c r="P185" s="239" t="s">
        <v>4586</v>
      </c>
      <c r="Q185" s="49" t="n">
        <f aca="false">Arch!C11</f>
        <v>512</v>
      </c>
      <c r="R185" s="184" t="n">
        <f aca="false">SRC_MOD_009</f>
        <v>512</v>
      </c>
      <c r="S185" s="44" t="str">
        <f aca="false">IF(ISNUMBER($AF185),INDEX(IDX_SrcStat,$AF185),"—")</f>
        <v>Active</v>
      </c>
      <c r="T185" s="44" t="n">
        <f aca="false">IF(ISNUMBER($AF185),INDEX(IDX_SrcGrade,$AF185),"—")</f>
        <v>1</v>
      </c>
      <c r="U185" s="44" t="s">
        <v>4564</v>
      </c>
      <c r="V185" s="32" t="n">
        <f aca="false">IF(AND($F185="原始數據",$U185&lt;&gt;"連結 SRC"),1,0)</f>
        <v>0</v>
      </c>
      <c r="W185" s="32" t="n">
        <f aca="false">IF(AND($F185="Analogy",OR($H185="—",$H185="")),1,0)</f>
        <v>0</v>
      </c>
      <c r="X185" s="32" t="n">
        <f aca="false">IF(AND(OR($F185="Analogy",$F185="Assumed"),$G185&lt;&gt;"低",$G185&lt;&gt;"高",NOT(ISNUMBER($K185)),NOT(ISNUMBER($L185)),OR($M185="—",$M185="")),1,0)</f>
        <v>0</v>
      </c>
      <c r="Y185" s="32" t="n">
        <f aca="false">IF(AND(OR($F185="Analogy",$F185="Assumed",$F185="Derived（待改公式）",$F185="Derived（公式）"),OR($N185="—",$N185="",$N185=0)),1,0)</f>
        <v>0</v>
      </c>
      <c r="Z185" s="32" t="n">
        <f aca="false">IF(AND($F185="Decision",OR($J185="—",$J185="")),1,0)</f>
        <v>0</v>
      </c>
      <c r="AA185" s="33" t="n">
        <f aca="false">IF(OR($J185="—",$J185=""),0,IF(COUNTIF(Decisions!$A$5:$A$300,$J185)=0,1,0))</f>
        <v>0</v>
      </c>
      <c r="AB185" s="32" t="n">
        <f aca="false">IF(AND($F185="原始數據",$S185&lt;&gt;"Active"),1,0)</f>
        <v>0</v>
      </c>
      <c r="AC185" s="32" t="n">
        <f aca="false">IF(AND(ISNUMBER($K185),ISNUMBER($L185),ISNUMBER($Q185)),IF(OR($Q185&lt;MIN($K185,$L185),$Q185&gt;MAX($K185,$L185)),1,0),0)</f>
        <v>0</v>
      </c>
      <c r="AD185" s="32" t="n">
        <f aca="false">IF(AND(ISNUMBER($T185),$P185="高"),IF($T185=3,1,0),0)</f>
        <v>0</v>
      </c>
      <c r="AE185" s="32" t="n">
        <f aca="false">IF($S185="不存在",1,0)</f>
        <v>0</v>
      </c>
      <c r="AF185" s="44" t="n">
        <f aca="false">IF(OR($H185="—",$H185=""),"—",MATCH($H185,IDX_SrcID,0))</f>
        <v>192</v>
      </c>
      <c r="AG185" s="32" t="n">
        <f aca="false">IF(AND($P185="高",OR($AD185=1,$X185=1)),1,0)</f>
        <v>0</v>
      </c>
      <c r="AH185" s="32" t="n">
        <f aca="false">IF(AND($P185="高",$AG185=0,OR($F185&lt;&gt;"原始數據",$T185&lt;&gt;1)),1,0)</f>
        <v>0</v>
      </c>
      <c r="AI185" s="44" t="str">
        <f aca="false">IF(AND($P185="高",ISNUMBER($AF185)),INDEX(IDX_SrcDate,$AF185),"—")</f>
        <v>—</v>
      </c>
      <c r="AJ185" s="32" t="n">
        <f aca="false">IF(AND(ISTEXT($AI185),LEN($AI185)=10),IF(ISNUMBER(VALUE(SUBSTITUTE($AI185,"-",""))),VALUE(SUBSTITUTE($AI185,"-","")),0),0)</f>
        <v>0</v>
      </c>
    </row>
    <row r="186" customFormat="false" ht="15" hidden="false" customHeight="true" outlineLevel="0" collapsed="false">
      <c r="A186" s="30" t="s">
        <v>5028</v>
      </c>
      <c r="B186" s="239" t="s">
        <v>4525</v>
      </c>
      <c r="C186" s="30" t="s">
        <v>5012</v>
      </c>
      <c r="D186" s="30" t="s">
        <v>4552</v>
      </c>
      <c r="E186" s="6" t="s">
        <v>299</v>
      </c>
      <c r="F186" s="239" t="s">
        <v>348</v>
      </c>
      <c r="G186" s="239" t="s">
        <v>4527</v>
      </c>
      <c r="H186" s="30" t="s">
        <v>5027</v>
      </c>
      <c r="I186" s="20" t="s">
        <v>4562</v>
      </c>
      <c r="J186" s="30" t="s">
        <v>751</v>
      </c>
      <c r="K186" s="239"/>
      <c r="L186" s="239"/>
      <c r="M186" s="30" t="s">
        <v>751</v>
      </c>
      <c r="N186" s="20" t="s">
        <v>4665</v>
      </c>
      <c r="O186" s="6" t="s">
        <v>751</v>
      </c>
      <c r="P186" s="239" t="s">
        <v>4586</v>
      </c>
      <c r="Q186" s="49" t="n">
        <f aca="false">Arch!D11</f>
        <v>512</v>
      </c>
      <c r="R186" s="184" t="n">
        <f aca="false">SRC_MOD_009</f>
        <v>512</v>
      </c>
      <c r="S186" s="44" t="str">
        <f aca="false">IF(ISNUMBER($AF186),INDEX(IDX_SrcStat,$AF186),"—")</f>
        <v>Active</v>
      </c>
      <c r="T186" s="44" t="n">
        <f aca="false">IF(ISNUMBER($AF186),INDEX(IDX_SrcGrade,$AF186),"—")</f>
        <v>1</v>
      </c>
      <c r="U186" s="44" t="s">
        <v>4564</v>
      </c>
      <c r="V186" s="32" t="n">
        <f aca="false">IF(AND($F186="原始數據",$U186&lt;&gt;"連結 SRC"),1,0)</f>
        <v>0</v>
      </c>
      <c r="W186" s="32" t="n">
        <f aca="false">IF(AND($F186="Analogy",OR($H186="—",$H186="")),1,0)</f>
        <v>0</v>
      </c>
      <c r="X186" s="32" t="n">
        <f aca="false">IF(AND(OR($F186="Analogy",$F186="Assumed"),$G186&lt;&gt;"低",$G186&lt;&gt;"高",NOT(ISNUMBER($K186)),NOT(ISNUMBER($L186)),OR($M186="—",$M186="")),1,0)</f>
        <v>0</v>
      </c>
      <c r="Y186" s="32" t="n">
        <f aca="false">IF(AND(OR($F186="Analogy",$F186="Assumed",$F186="Derived（待改公式）",$F186="Derived（公式）"),OR($N186="—",$N186="",$N186=0)),1,0)</f>
        <v>0</v>
      </c>
      <c r="Z186" s="32" t="n">
        <f aca="false">IF(AND($F186="Decision",OR($J186="—",$J186="")),1,0)</f>
        <v>0</v>
      </c>
      <c r="AA186" s="33" t="n">
        <f aca="false">IF(OR($J186="—",$J186=""),0,IF(COUNTIF(Decisions!$A$5:$A$300,$J186)=0,1,0))</f>
        <v>0</v>
      </c>
      <c r="AB186" s="32" t="n">
        <f aca="false">IF(AND($F186="原始數據",$S186&lt;&gt;"Active"),1,0)</f>
        <v>0</v>
      </c>
      <c r="AC186" s="32" t="n">
        <f aca="false">IF(AND(ISNUMBER($K186),ISNUMBER($L186),ISNUMBER($Q186)),IF(OR($Q186&lt;MIN($K186,$L186),$Q186&gt;MAX($K186,$L186)),1,0),0)</f>
        <v>0</v>
      </c>
      <c r="AD186" s="32" t="n">
        <f aca="false">IF(AND(ISNUMBER($T186),$P186="高"),IF($T186=3,1,0),0)</f>
        <v>0</v>
      </c>
      <c r="AE186" s="32" t="n">
        <f aca="false">IF($S186="不存在",1,0)</f>
        <v>0</v>
      </c>
      <c r="AF186" s="44" t="n">
        <f aca="false">IF(OR($H186="—",$H186=""),"—",MATCH($H186,IDX_SrcID,0))</f>
        <v>192</v>
      </c>
      <c r="AG186" s="32" t="n">
        <f aca="false">IF(AND($P186="高",OR($AD186=1,$X186=1)),1,0)</f>
        <v>0</v>
      </c>
      <c r="AH186" s="32" t="n">
        <f aca="false">IF(AND($P186="高",$AG186=0,OR($F186&lt;&gt;"原始數據",$T186&lt;&gt;1)),1,0)</f>
        <v>0</v>
      </c>
      <c r="AI186" s="44" t="str">
        <f aca="false">IF(AND($P186="高",ISNUMBER($AF186)),INDEX(IDX_SrcDate,$AF186),"—")</f>
        <v>—</v>
      </c>
      <c r="AJ186" s="32" t="n">
        <f aca="false">IF(AND(ISTEXT($AI186),LEN($AI186)=10),IF(ISNUMBER(VALUE(SUBSTITUTE($AI186,"-",""))),VALUE(SUBSTITUTE($AI186,"-","")),0),0)</f>
        <v>0</v>
      </c>
    </row>
    <row r="187" customFormat="false" ht="15" hidden="false" customHeight="true" outlineLevel="0" collapsed="false">
      <c r="A187" s="30" t="s">
        <v>5029</v>
      </c>
      <c r="B187" s="239" t="s">
        <v>4525</v>
      </c>
      <c r="C187" s="30" t="s">
        <v>5012</v>
      </c>
      <c r="D187" s="30" t="s">
        <v>4769</v>
      </c>
      <c r="E187" s="6" t="s">
        <v>301</v>
      </c>
      <c r="F187" s="239" t="s">
        <v>348</v>
      </c>
      <c r="G187" s="239" t="s">
        <v>4527</v>
      </c>
      <c r="H187" s="30" t="s">
        <v>5030</v>
      </c>
      <c r="I187" s="20" t="s">
        <v>4562</v>
      </c>
      <c r="J187" s="30" t="s">
        <v>751</v>
      </c>
      <c r="K187" s="239"/>
      <c r="L187" s="239"/>
      <c r="M187" s="30" t="s">
        <v>751</v>
      </c>
      <c r="N187" s="20" t="s">
        <v>4754</v>
      </c>
      <c r="O187" s="6" t="s">
        <v>751</v>
      </c>
      <c r="P187" s="239" t="s">
        <v>4586</v>
      </c>
      <c r="Q187" s="49" t="n">
        <f aca="false">Arch!C12</f>
        <v>256</v>
      </c>
      <c r="R187" s="184" t="n">
        <f aca="false">SRC_MOD_010</f>
        <v>256</v>
      </c>
      <c r="S187" s="44" t="str">
        <f aca="false">IF(ISNUMBER($AF187),INDEX(IDX_SrcStat,$AF187),"—")</f>
        <v>Active</v>
      </c>
      <c r="T187" s="44" t="n">
        <f aca="false">IF(ISNUMBER($AF187),INDEX(IDX_SrcGrade,$AF187),"—")</f>
        <v>1</v>
      </c>
      <c r="U187" s="44" t="s">
        <v>4564</v>
      </c>
      <c r="V187" s="32" t="n">
        <f aca="false">IF(AND($F187="原始數據",$U187&lt;&gt;"連結 SRC"),1,0)</f>
        <v>0</v>
      </c>
      <c r="W187" s="32" t="n">
        <f aca="false">IF(AND($F187="Analogy",OR($H187="—",$H187="")),1,0)</f>
        <v>0</v>
      </c>
      <c r="X187" s="32" t="n">
        <f aca="false">IF(AND(OR($F187="Analogy",$F187="Assumed"),$G187&lt;&gt;"低",$G187&lt;&gt;"高",NOT(ISNUMBER($K187)),NOT(ISNUMBER($L187)),OR($M187="—",$M187="")),1,0)</f>
        <v>0</v>
      </c>
      <c r="Y187" s="32" t="n">
        <f aca="false">IF(AND(OR($F187="Analogy",$F187="Assumed",$F187="Derived（待改公式）",$F187="Derived（公式）"),OR($N187="—",$N187="",$N187=0)),1,0)</f>
        <v>0</v>
      </c>
      <c r="Z187" s="32" t="n">
        <f aca="false">IF(AND($F187="Decision",OR($J187="—",$J187="")),1,0)</f>
        <v>0</v>
      </c>
      <c r="AA187" s="33" t="n">
        <f aca="false">IF(OR($J187="—",$J187=""),0,IF(COUNTIF(Decisions!$A$5:$A$300,$J187)=0,1,0))</f>
        <v>0</v>
      </c>
      <c r="AB187" s="32" t="n">
        <f aca="false">IF(AND($F187="原始數據",$S187&lt;&gt;"Active"),1,0)</f>
        <v>0</v>
      </c>
      <c r="AC187" s="32" t="n">
        <f aca="false">IF(AND(ISNUMBER($K187),ISNUMBER($L187),ISNUMBER($Q187)),IF(OR($Q187&lt;MIN($K187,$L187),$Q187&gt;MAX($K187,$L187)),1,0),0)</f>
        <v>0</v>
      </c>
      <c r="AD187" s="32" t="n">
        <f aca="false">IF(AND(ISNUMBER($T187),$P187="高"),IF($T187=3,1,0),0)</f>
        <v>0</v>
      </c>
      <c r="AE187" s="32" t="n">
        <f aca="false">IF($S187="不存在",1,0)</f>
        <v>0</v>
      </c>
      <c r="AF187" s="44" t="n">
        <f aca="false">IF(OR($H187="—",$H187=""),"—",MATCH($H187,IDX_SrcID,0))</f>
        <v>193</v>
      </c>
      <c r="AG187" s="32" t="n">
        <f aca="false">IF(AND($P187="高",OR($AD187=1,$X187=1)),1,0)</f>
        <v>0</v>
      </c>
      <c r="AH187" s="32" t="n">
        <f aca="false">IF(AND($P187="高",$AG187=0,OR($F187&lt;&gt;"原始數據",$T187&lt;&gt;1)),1,0)</f>
        <v>0</v>
      </c>
      <c r="AI187" s="44" t="str">
        <f aca="false">IF(AND($P187="高",ISNUMBER($AF187)),INDEX(IDX_SrcDate,$AF187),"—")</f>
        <v>—</v>
      </c>
      <c r="AJ187" s="32" t="n">
        <f aca="false">IF(AND(ISTEXT($AI187),LEN($AI187)=10),IF(ISNUMBER(VALUE(SUBSTITUTE($AI187,"-",""))),VALUE(SUBSTITUTE($AI187,"-","")),0),0)</f>
        <v>0</v>
      </c>
    </row>
    <row r="188" customFormat="false" ht="15" hidden="false" customHeight="true" outlineLevel="0" collapsed="false">
      <c r="A188" s="30" t="s">
        <v>5031</v>
      </c>
      <c r="B188" s="239" t="s">
        <v>4525</v>
      </c>
      <c r="C188" s="30" t="s">
        <v>5012</v>
      </c>
      <c r="D188" s="30" t="s">
        <v>4773</v>
      </c>
      <c r="E188" s="6" t="s">
        <v>301</v>
      </c>
      <c r="F188" s="239" t="s">
        <v>348</v>
      </c>
      <c r="G188" s="239" t="s">
        <v>4527</v>
      </c>
      <c r="H188" s="30" t="s">
        <v>5032</v>
      </c>
      <c r="I188" s="20" t="s">
        <v>4562</v>
      </c>
      <c r="J188" s="30" t="s">
        <v>751</v>
      </c>
      <c r="K188" s="239"/>
      <c r="L188" s="239"/>
      <c r="M188" s="30" t="s">
        <v>751</v>
      </c>
      <c r="N188" s="20" t="s">
        <v>4754</v>
      </c>
      <c r="O188" s="6" t="s">
        <v>751</v>
      </c>
      <c r="P188" s="239" t="s">
        <v>4586</v>
      </c>
      <c r="Q188" s="49" t="n">
        <f aca="false">Arch!D12</f>
        <v>384</v>
      </c>
      <c r="R188" s="184" t="n">
        <f aca="false">SRC_MOD_011</f>
        <v>384</v>
      </c>
      <c r="S188" s="44" t="str">
        <f aca="false">IF(ISNUMBER($AF188),INDEX(IDX_SrcStat,$AF188),"—")</f>
        <v>Active</v>
      </c>
      <c r="T188" s="44" t="n">
        <f aca="false">IF(ISNUMBER($AF188),INDEX(IDX_SrcGrade,$AF188),"—")</f>
        <v>1</v>
      </c>
      <c r="U188" s="44" t="s">
        <v>4564</v>
      </c>
      <c r="V188" s="32" t="n">
        <f aca="false">IF(AND($F188="原始數據",$U188&lt;&gt;"連結 SRC"),1,0)</f>
        <v>0</v>
      </c>
      <c r="W188" s="32" t="n">
        <f aca="false">IF(AND($F188="Analogy",OR($H188="—",$H188="")),1,0)</f>
        <v>0</v>
      </c>
      <c r="X188" s="32" t="n">
        <f aca="false">IF(AND(OR($F188="Analogy",$F188="Assumed"),$G188&lt;&gt;"低",$G188&lt;&gt;"高",NOT(ISNUMBER($K188)),NOT(ISNUMBER($L188)),OR($M188="—",$M188="")),1,0)</f>
        <v>0</v>
      </c>
      <c r="Y188" s="32" t="n">
        <f aca="false">IF(AND(OR($F188="Analogy",$F188="Assumed",$F188="Derived（待改公式）",$F188="Derived（公式）"),OR($N188="—",$N188="",$N188=0)),1,0)</f>
        <v>0</v>
      </c>
      <c r="Z188" s="32" t="n">
        <f aca="false">IF(AND($F188="Decision",OR($J188="—",$J188="")),1,0)</f>
        <v>0</v>
      </c>
      <c r="AA188" s="33" t="n">
        <f aca="false">IF(OR($J188="—",$J188=""),0,IF(COUNTIF(Decisions!$A$5:$A$300,$J188)=0,1,0))</f>
        <v>0</v>
      </c>
      <c r="AB188" s="32" t="n">
        <f aca="false">IF(AND($F188="原始數據",$S188&lt;&gt;"Active"),1,0)</f>
        <v>0</v>
      </c>
      <c r="AC188" s="32" t="n">
        <f aca="false">IF(AND(ISNUMBER($K188),ISNUMBER($L188),ISNUMBER($Q188)),IF(OR($Q188&lt;MIN($K188,$L188),$Q188&gt;MAX($K188,$L188)),1,0),0)</f>
        <v>0</v>
      </c>
      <c r="AD188" s="32" t="n">
        <f aca="false">IF(AND(ISNUMBER($T188),$P188="高"),IF($T188=3,1,0),0)</f>
        <v>0</v>
      </c>
      <c r="AE188" s="32" t="n">
        <f aca="false">IF($S188="不存在",1,0)</f>
        <v>0</v>
      </c>
      <c r="AF188" s="44" t="n">
        <f aca="false">IF(OR($H188="—",$H188=""),"—",MATCH($H188,IDX_SrcID,0))</f>
        <v>194</v>
      </c>
      <c r="AG188" s="32" t="n">
        <f aca="false">IF(AND($P188="高",OR($AD188=1,$X188=1)),1,0)</f>
        <v>0</v>
      </c>
      <c r="AH188" s="32" t="n">
        <f aca="false">IF(AND($P188="高",$AG188=0,OR($F188&lt;&gt;"原始數據",$T188&lt;&gt;1)),1,0)</f>
        <v>0</v>
      </c>
      <c r="AI188" s="44" t="str">
        <f aca="false">IF(AND($P188="高",ISNUMBER($AF188)),INDEX(IDX_SrcDate,$AF188),"—")</f>
        <v>—</v>
      </c>
      <c r="AJ188" s="32" t="n">
        <f aca="false">IF(AND(ISTEXT($AI188),LEN($AI188)=10),IF(ISNUMBER(VALUE(SUBSTITUTE($AI188,"-",""))),VALUE(SUBSTITUTE($AI188,"-","")),0),0)</f>
        <v>0</v>
      </c>
    </row>
    <row r="189" customFormat="false" ht="15" hidden="false" customHeight="true" outlineLevel="0" collapsed="false">
      <c r="A189" s="30" t="s">
        <v>5033</v>
      </c>
      <c r="B189" s="239" t="s">
        <v>4525</v>
      </c>
      <c r="C189" s="30" t="s">
        <v>5012</v>
      </c>
      <c r="D189" s="30" t="s">
        <v>4789</v>
      </c>
      <c r="E189" s="20" t="s">
        <v>5034</v>
      </c>
      <c r="F189" s="239" t="s">
        <v>348</v>
      </c>
      <c r="G189" s="239" t="s">
        <v>4527</v>
      </c>
      <c r="H189" s="30" t="s">
        <v>5035</v>
      </c>
      <c r="I189" s="20" t="s">
        <v>4562</v>
      </c>
      <c r="J189" s="30" t="s">
        <v>751</v>
      </c>
      <c r="K189" s="239"/>
      <c r="L189" s="239"/>
      <c r="M189" s="30" t="s">
        <v>751</v>
      </c>
      <c r="N189" s="20" t="s">
        <v>4754</v>
      </c>
      <c r="O189" s="6" t="s">
        <v>751</v>
      </c>
      <c r="P189" s="239" t="s">
        <v>4586</v>
      </c>
      <c r="Q189" s="49" t="n">
        <f aca="false">Arch!C13</f>
        <v>6</v>
      </c>
      <c r="R189" s="184" t="n">
        <f aca="false">SRC_MOD_012</f>
        <v>6</v>
      </c>
      <c r="S189" s="44" t="str">
        <f aca="false">IF(ISNUMBER($AF189),INDEX(IDX_SrcStat,$AF189),"—")</f>
        <v>Active</v>
      </c>
      <c r="T189" s="44" t="n">
        <f aca="false">IF(ISNUMBER($AF189),INDEX(IDX_SrcGrade,$AF189),"—")</f>
        <v>1</v>
      </c>
      <c r="U189" s="44" t="s">
        <v>4564</v>
      </c>
      <c r="V189" s="32" t="n">
        <f aca="false">IF(AND($F189="原始數據",$U189&lt;&gt;"連結 SRC"),1,0)</f>
        <v>0</v>
      </c>
      <c r="W189" s="32" t="n">
        <f aca="false">IF(AND($F189="Analogy",OR($H189="—",$H189="")),1,0)</f>
        <v>0</v>
      </c>
      <c r="X189" s="32" t="n">
        <f aca="false">IF(AND(OR($F189="Analogy",$F189="Assumed"),$G189&lt;&gt;"低",$G189&lt;&gt;"高",NOT(ISNUMBER($K189)),NOT(ISNUMBER($L189)),OR($M189="—",$M189="")),1,0)</f>
        <v>0</v>
      </c>
      <c r="Y189" s="32" t="n">
        <f aca="false">IF(AND(OR($F189="Analogy",$F189="Assumed",$F189="Derived（待改公式）",$F189="Derived（公式）"),OR($N189="—",$N189="",$N189=0)),1,0)</f>
        <v>0</v>
      </c>
      <c r="Z189" s="32" t="n">
        <f aca="false">IF(AND($F189="Decision",OR($J189="—",$J189="")),1,0)</f>
        <v>0</v>
      </c>
      <c r="AA189" s="33" t="n">
        <f aca="false">IF(OR($J189="—",$J189=""),0,IF(COUNTIF(Decisions!$A$5:$A$300,$J189)=0,1,0))</f>
        <v>0</v>
      </c>
      <c r="AB189" s="32" t="n">
        <f aca="false">IF(AND($F189="原始數據",$S189&lt;&gt;"Active"),1,0)</f>
        <v>0</v>
      </c>
      <c r="AC189" s="32" t="n">
        <f aca="false">IF(AND(ISNUMBER($K189),ISNUMBER($L189),ISNUMBER($Q189)),IF(OR($Q189&lt;MIN($K189,$L189),$Q189&gt;MAX($K189,$L189)),1,0),0)</f>
        <v>0</v>
      </c>
      <c r="AD189" s="32" t="n">
        <f aca="false">IF(AND(ISNUMBER($T189),$P189="高"),IF($T189=3,1,0),0)</f>
        <v>0</v>
      </c>
      <c r="AE189" s="32" t="n">
        <f aca="false">IF($S189="不存在",1,0)</f>
        <v>0</v>
      </c>
      <c r="AF189" s="44" t="n">
        <f aca="false">IF(OR($H189="—",$H189=""),"—",MATCH($H189,IDX_SrcID,0))</f>
        <v>195</v>
      </c>
      <c r="AG189" s="32" t="n">
        <f aca="false">IF(AND($P189="高",OR($AD189=1,$X189=1)),1,0)</f>
        <v>0</v>
      </c>
      <c r="AH189" s="32" t="n">
        <f aca="false">IF(AND($P189="高",$AG189=0,OR($F189&lt;&gt;"原始數據",$T189&lt;&gt;1)),1,0)</f>
        <v>0</v>
      </c>
      <c r="AI189" s="44" t="str">
        <f aca="false">IF(AND($P189="高",ISNUMBER($AF189)),INDEX(IDX_SrcDate,$AF189),"—")</f>
        <v>—</v>
      </c>
      <c r="AJ189" s="32" t="n">
        <f aca="false">IF(AND(ISTEXT($AI189),LEN($AI189)=10),IF(ISNUMBER(VALUE(SUBSTITUTE($AI189,"-",""))),VALUE(SUBSTITUTE($AI189,"-","")),0),0)</f>
        <v>0</v>
      </c>
    </row>
    <row r="190" customFormat="false" ht="15" hidden="false" customHeight="true" outlineLevel="0" collapsed="false">
      <c r="A190" s="30" t="s">
        <v>5036</v>
      </c>
      <c r="B190" s="239" t="s">
        <v>4525</v>
      </c>
      <c r="C190" s="30" t="s">
        <v>5012</v>
      </c>
      <c r="D190" s="30" t="s">
        <v>4558</v>
      </c>
      <c r="E190" s="20" t="s">
        <v>5034</v>
      </c>
      <c r="F190" s="239" t="s">
        <v>348</v>
      </c>
      <c r="G190" s="239" t="s">
        <v>4527</v>
      </c>
      <c r="H190" s="30" t="s">
        <v>5035</v>
      </c>
      <c r="I190" s="20" t="s">
        <v>4562</v>
      </c>
      <c r="J190" s="30" t="s">
        <v>751</v>
      </c>
      <c r="K190" s="239"/>
      <c r="L190" s="239"/>
      <c r="M190" s="30" t="s">
        <v>751</v>
      </c>
      <c r="N190" s="20" t="s">
        <v>4754</v>
      </c>
      <c r="O190" s="6" t="s">
        <v>751</v>
      </c>
      <c r="P190" s="239" t="s">
        <v>4586</v>
      </c>
      <c r="Q190" s="49" t="n">
        <f aca="false">Arch!D13</f>
        <v>6</v>
      </c>
      <c r="R190" s="184" t="n">
        <f aca="false">SRC_MOD_012</f>
        <v>6</v>
      </c>
      <c r="S190" s="44" t="str">
        <f aca="false">IF(ISNUMBER($AF190),INDEX(IDX_SrcStat,$AF190),"—")</f>
        <v>Active</v>
      </c>
      <c r="T190" s="44" t="n">
        <f aca="false">IF(ISNUMBER($AF190),INDEX(IDX_SrcGrade,$AF190),"—")</f>
        <v>1</v>
      </c>
      <c r="U190" s="44" t="s">
        <v>4564</v>
      </c>
      <c r="V190" s="32" t="n">
        <f aca="false">IF(AND($F190="原始數據",$U190&lt;&gt;"連結 SRC"),1,0)</f>
        <v>0</v>
      </c>
      <c r="W190" s="32" t="n">
        <f aca="false">IF(AND($F190="Analogy",OR($H190="—",$H190="")),1,0)</f>
        <v>0</v>
      </c>
      <c r="X190" s="32" t="n">
        <f aca="false">IF(AND(OR($F190="Analogy",$F190="Assumed"),$G190&lt;&gt;"低",$G190&lt;&gt;"高",NOT(ISNUMBER($K190)),NOT(ISNUMBER($L190)),OR($M190="—",$M190="")),1,0)</f>
        <v>0</v>
      </c>
      <c r="Y190" s="32" t="n">
        <f aca="false">IF(AND(OR($F190="Analogy",$F190="Assumed",$F190="Derived（待改公式）",$F190="Derived（公式）"),OR($N190="—",$N190="",$N190=0)),1,0)</f>
        <v>0</v>
      </c>
      <c r="Z190" s="32" t="n">
        <f aca="false">IF(AND($F190="Decision",OR($J190="—",$J190="")),1,0)</f>
        <v>0</v>
      </c>
      <c r="AA190" s="33" t="n">
        <f aca="false">IF(OR($J190="—",$J190=""),0,IF(COUNTIF(Decisions!$A$5:$A$300,$J190)=0,1,0))</f>
        <v>0</v>
      </c>
      <c r="AB190" s="32" t="n">
        <f aca="false">IF(AND($F190="原始數據",$S190&lt;&gt;"Active"),1,0)</f>
        <v>0</v>
      </c>
      <c r="AC190" s="32" t="n">
        <f aca="false">IF(AND(ISNUMBER($K190),ISNUMBER($L190),ISNUMBER($Q190)),IF(OR($Q190&lt;MIN($K190,$L190),$Q190&gt;MAX($K190,$L190)),1,0),0)</f>
        <v>0</v>
      </c>
      <c r="AD190" s="32" t="n">
        <f aca="false">IF(AND(ISNUMBER($T190),$P190="高"),IF($T190=3,1,0),0)</f>
        <v>0</v>
      </c>
      <c r="AE190" s="32" t="n">
        <f aca="false">IF($S190="不存在",1,0)</f>
        <v>0</v>
      </c>
      <c r="AF190" s="44" t="n">
        <f aca="false">IF(OR($H190="—",$H190=""),"—",MATCH($H190,IDX_SrcID,0))</f>
        <v>195</v>
      </c>
      <c r="AG190" s="32" t="n">
        <f aca="false">IF(AND($P190="高",OR($AD190=1,$X190=1)),1,0)</f>
        <v>0</v>
      </c>
      <c r="AH190" s="32" t="n">
        <f aca="false">IF(AND($P190="高",$AG190=0,OR($F190&lt;&gt;"原始數據",$T190&lt;&gt;1)),1,0)</f>
        <v>0</v>
      </c>
      <c r="AI190" s="44" t="str">
        <f aca="false">IF(AND($P190="高",ISNUMBER($AF190)),INDEX(IDX_SrcDate,$AF190),"—")</f>
        <v>—</v>
      </c>
      <c r="AJ190" s="32" t="n">
        <f aca="false">IF(AND(ISTEXT($AI190),LEN($AI190)=10),IF(ISNUMBER(VALUE(SUBSTITUTE($AI190,"-",""))),VALUE(SUBSTITUTE($AI190,"-","")),0),0)</f>
        <v>0</v>
      </c>
    </row>
    <row r="191" customFormat="false" ht="15" hidden="false" customHeight="true" outlineLevel="0" collapsed="false">
      <c r="A191" s="30" t="s">
        <v>5037</v>
      </c>
      <c r="B191" s="239" t="s">
        <v>4525</v>
      </c>
      <c r="C191" s="30" t="s">
        <v>5012</v>
      </c>
      <c r="D191" s="30" t="s">
        <v>5038</v>
      </c>
      <c r="E191" s="6" t="s">
        <v>303</v>
      </c>
      <c r="F191" s="239" t="s">
        <v>348</v>
      </c>
      <c r="G191" s="239" t="s">
        <v>4527</v>
      </c>
      <c r="H191" s="30" t="s">
        <v>5039</v>
      </c>
      <c r="I191" s="20" t="s">
        <v>4562</v>
      </c>
      <c r="J191" s="30" t="s">
        <v>751</v>
      </c>
      <c r="K191" s="239"/>
      <c r="L191" s="239"/>
      <c r="M191" s="30" t="s">
        <v>751</v>
      </c>
      <c r="N191" s="20" t="s">
        <v>4665</v>
      </c>
      <c r="O191" s="6" t="s">
        <v>751</v>
      </c>
      <c r="P191" s="239" t="s">
        <v>1308</v>
      </c>
      <c r="Q191" s="49" t="n">
        <f aca="false">Arch!C14</f>
        <v>1</v>
      </c>
      <c r="R191" s="184" t="n">
        <f aca="false">SRC_MOD_013</f>
        <v>1</v>
      </c>
      <c r="S191" s="44" t="str">
        <f aca="false">IF(ISNUMBER($AF191),INDEX(IDX_SrcStat,$AF191),"—")</f>
        <v>Active</v>
      </c>
      <c r="T191" s="44" t="n">
        <f aca="false">IF(ISNUMBER($AF191),INDEX(IDX_SrcGrade,$AF191),"—")</f>
        <v>1</v>
      </c>
      <c r="U191" s="44" t="s">
        <v>4564</v>
      </c>
      <c r="V191" s="32" t="n">
        <f aca="false">IF(AND($F191="原始數據",$U191&lt;&gt;"連結 SRC"),1,0)</f>
        <v>0</v>
      </c>
      <c r="W191" s="32" t="n">
        <f aca="false">IF(AND($F191="Analogy",OR($H191="—",$H191="")),1,0)</f>
        <v>0</v>
      </c>
      <c r="X191" s="32" t="n">
        <f aca="false">IF(AND(OR($F191="Analogy",$F191="Assumed"),$G191&lt;&gt;"低",$G191&lt;&gt;"高",NOT(ISNUMBER($K191)),NOT(ISNUMBER($L191)),OR($M191="—",$M191="")),1,0)</f>
        <v>0</v>
      </c>
      <c r="Y191" s="32" t="n">
        <f aca="false">IF(AND(OR($F191="Analogy",$F191="Assumed",$F191="Derived（待改公式）",$F191="Derived（公式）"),OR($N191="—",$N191="",$N191=0)),1,0)</f>
        <v>0</v>
      </c>
      <c r="Z191" s="32" t="n">
        <f aca="false">IF(AND($F191="Decision",OR($J191="—",$J191="")),1,0)</f>
        <v>0</v>
      </c>
      <c r="AA191" s="33" t="n">
        <f aca="false">IF(OR($J191="—",$J191=""),0,IF(COUNTIF(Decisions!$A$5:$A$300,$J191)=0,1,0))</f>
        <v>0</v>
      </c>
      <c r="AB191" s="32" t="n">
        <f aca="false">IF(AND($F191="原始數據",$S191&lt;&gt;"Active"),1,0)</f>
        <v>0</v>
      </c>
      <c r="AC191" s="32" t="n">
        <f aca="false">IF(AND(ISNUMBER($K191),ISNUMBER($L191),ISNUMBER($Q191)),IF(OR($Q191&lt;MIN($K191,$L191),$Q191&gt;MAX($K191,$L191)),1,0),0)</f>
        <v>0</v>
      </c>
      <c r="AD191" s="32" t="n">
        <f aca="false">IF(AND(ISNUMBER($T191),$P191="高"),IF($T191=3,1,0),0)</f>
        <v>0</v>
      </c>
      <c r="AE191" s="32" t="n">
        <f aca="false">IF($S191="不存在",1,0)</f>
        <v>0</v>
      </c>
      <c r="AF191" s="44" t="n">
        <f aca="false">IF(OR($H191="—",$H191=""),"—",MATCH($H191,IDX_SrcID,0))</f>
        <v>196</v>
      </c>
      <c r="AG191" s="32" t="n">
        <f aca="false">IF(AND($P191="高",OR($AD191=1,$X191=1)),1,0)</f>
        <v>0</v>
      </c>
      <c r="AH191" s="32" t="n">
        <f aca="false">IF(AND($P191="高",$AG191=0,OR($F191&lt;&gt;"原始數據",$T191&lt;&gt;1)),1,0)</f>
        <v>0</v>
      </c>
      <c r="AI191" s="44" t="str">
        <f aca="false">IF(AND($P191="高",ISNUMBER($AF191)),INDEX(IDX_SrcDate,$AF191),"—")</f>
        <v>—</v>
      </c>
      <c r="AJ191" s="32" t="n">
        <f aca="false">IF(AND(ISTEXT($AI191),LEN($AI191)=10),IF(ISNUMBER(VALUE(SUBSTITUTE($AI191,"-",""))),VALUE(SUBSTITUTE($AI191,"-","")),0),0)</f>
        <v>0</v>
      </c>
    </row>
    <row r="192" customFormat="false" ht="15" hidden="false" customHeight="true" outlineLevel="0" collapsed="false">
      <c r="A192" s="30" t="s">
        <v>5040</v>
      </c>
      <c r="B192" s="239" t="s">
        <v>4525</v>
      </c>
      <c r="C192" s="30" t="s">
        <v>5012</v>
      </c>
      <c r="D192" s="30" t="s">
        <v>4568</v>
      </c>
      <c r="E192" s="6" t="s">
        <v>303</v>
      </c>
      <c r="F192" s="239" t="s">
        <v>348</v>
      </c>
      <c r="G192" s="239" t="s">
        <v>4527</v>
      </c>
      <c r="H192" s="30" t="s">
        <v>5039</v>
      </c>
      <c r="I192" s="20" t="s">
        <v>4562</v>
      </c>
      <c r="J192" s="30" t="s">
        <v>751</v>
      </c>
      <c r="K192" s="239"/>
      <c r="L192" s="239"/>
      <c r="M192" s="30" t="s">
        <v>751</v>
      </c>
      <c r="N192" s="20" t="s">
        <v>4665</v>
      </c>
      <c r="O192" s="6" t="s">
        <v>751</v>
      </c>
      <c r="P192" s="239" t="s">
        <v>1308</v>
      </c>
      <c r="Q192" s="49" t="n">
        <f aca="false">Arch!D14</f>
        <v>1</v>
      </c>
      <c r="R192" s="184" t="n">
        <f aca="false">SRC_MOD_013</f>
        <v>1</v>
      </c>
      <c r="S192" s="44" t="str">
        <f aca="false">IF(ISNUMBER($AF192),INDEX(IDX_SrcStat,$AF192),"—")</f>
        <v>Active</v>
      </c>
      <c r="T192" s="44" t="n">
        <f aca="false">IF(ISNUMBER($AF192),INDEX(IDX_SrcGrade,$AF192),"—")</f>
        <v>1</v>
      </c>
      <c r="U192" s="44" t="s">
        <v>4564</v>
      </c>
      <c r="V192" s="32" t="n">
        <f aca="false">IF(AND($F192="原始數據",$U192&lt;&gt;"連結 SRC"),1,0)</f>
        <v>0</v>
      </c>
      <c r="W192" s="32" t="n">
        <f aca="false">IF(AND($F192="Analogy",OR($H192="—",$H192="")),1,0)</f>
        <v>0</v>
      </c>
      <c r="X192" s="32" t="n">
        <f aca="false">IF(AND(OR($F192="Analogy",$F192="Assumed"),$G192&lt;&gt;"低",$G192&lt;&gt;"高",NOT(ISNUMBER($K192)),NOT(ISNUMBER($L192)),OR($M192="—",$M192="")),1,0)</f>
        <v>0</v>
      </c>
      <c r="Y192" s="32" t="n">
        <f aca="false">IF(AND(OR($F192="Analogy",$F192="Assumed",$F192="Derived（待改公式）",$F192="Derived（公式）"),OR($N192="—",$N192="",$N192=0)),1,0)</f>
        <v>0</v>
      </c>
      <c r="Z192" s="32" t="n">
        <f aca="false">IF(AND($F192="Decision",OR($J192="—",$J192="")),1,0)</f>
        <v>0</v>
      </c>
      <c r="AA192" s="33" t="n">
        <f aca="false">IF(OR($J192="—",$J192=""),0,IF(COUNTIF(Decisions!$A$5:$A$300,$J192)=0,1,0))</f>
        <v>0</v>
      </c>
      <c r="AB192" s="32" t="n">
        <f aca="false">IF(AND($F192="原始數據",$S192&lt;&gt;"Active"),1,0)</f>
        <v>0</v>
      </c>
      <c r="AC192" s="32" t="n">
        <f aca="false">IF(AND(ISNUMBER($K192),ISNUMBER($L192),ISNUMBER($Q192)),IF(OR($Q192&lt;MIN($K192,$L192),$Q192&gt;MAX($K192,$L192)),1,0),0)</f>
        <v>0</v>
      </c>
      <c r="AD192" s="32" t="n">
        <f aca="false">IF(AND(ISNUMBER($T192),$P192="高"),IF($T192=3,1,0),0)</f>
        <v>0</v>
      </c>
      <c r="AE192" s="32" t="n">
        <f aca="false">IF($S192="不存在",1,0)</f>
        <v>0</v>
      </c>
      <c r="AF192" s="44" t="n">
        <f aca="false">IF(OR($H192="—",$H192=""),"—",MATCH($H192,IDX_SrcID,0))</f>
        <v>196</v>
      </c>
      <c r="AG192" s="32" t="n">
        <f aca="false">IF(AND($P192="高",OR($AD192=1,$X192=1)),1,0)</f>
        <v>0</v>
      </c>
      <c r="AH192" s="32" t="n">
        <f aca="false">IF(AND($P192="高",$AG192=0,OR($F192&lt;&gt;"原始數據",$T192&lt;&gt;1)),1,0)</f>
        <v>0</v>
      </c>
      <c r="AI192" s="44" t="str">
        <f aca="false">IF(AND($P192="高",ISNUMBER($AF192)),INDEX(IDX_SrcDate,$AF192),"—")</f>
        <v>—</v>
      </c>
      <c r="AJ192" s="32" t="n">
        <f aca="false">IF(AND(ISTEXT($AI192),LEN($AI192)=10),IF(ISNUMBER(VALUE(SUBSTITUTE($AI192,"-",""))),VALUE(SUBSTITUTE($AI192,"-","")),0),0)</f>
        <v>0</v>
      </c>
    </row>
    <row r="193" customFormat="false" ht="15" hidden="false" customHeight="true" outlineLevel="0" collapsed="false">
      <c r="A193" s="30" t="s">
        <v>5041</v>
      </c>
      <c r="B193" s="239" t="s">
        <v>4525</v>
      </c>
      <c r="C193" s="30" t="s">
        <v>5012</v>
      </c>
      <c r="D193" s="30" t="s">
        <v>5042</v>
      </c>
      <c r="E193" s="6" t="s">
        <v>304</v>
      </c>
      <c r="F193" s="239" t="s">
        <v>348</v>
      </c>
      <c r="G193" s="239" t="s">
        <v>4527</v>
      </c>
      <c r="H193" s="30" t="s">
        <v>5043</v>
      </c>
      <c r="I193" s="20" t="s">
        <v>4562</v>
      </c>
      <c r="J193" s="30" t="s">
        <v>751</v>
      </c>
      <c r="K193" s="239"/>
      <c r="L193" s="239"/>
      <c r="M193" s="30" t="s">
        <v>751</v>
      </c>
      <c r="N193" s="20" t="s">
        <v>4665</v>
      </c>
      <c r="O193" s="6" t="s">
        <v>751</v>
      </c>
      <c r="P193" s="239" t="s">
        <v>4530</v>
      </c>
      <c r="Q193" s="49" t="n">
        <f aca="false">Arch!C15</f>
        <v>129280</v>
      </c>
      <c r="R193" s="184" t="n">
        <f aca="false">SRC_MOD_014</f>
        <v>129280</v>
      </c>
      <c r="S193" s="44" t="str">
        <f aca="false">IF(ISNUMBER($AF193),INDEX(IDX_SrcStat,$AF193),"—")</f>
        <v>Active</v>
      </c>
      <c r="T193" s="44" t="n">
        <f aca="false">IF(ISNUMBER($AF193),INDEX(IDX_SrcGrade,$AF193),"—")</f>
        <v>1</v>
      </c>
      <c r="U193" s="44" t="s">
        <v>4564</v>
      </c>
      <c r="V193" s="32" t="n">
        <f aca="false">IF(AND($F193="原始數據",$U193&lt;&gt;"連結 SRC"),1,0)</f>
        <v>0</v>
      </c>
      <c r="W193" s="32" t="n">
        <f aca="false">IF(AND($F193="Analogy",OR($H193="—",$H193="")),1,0)</f>
        <v>0</v>
      </c>
      <c r="X193" s="32" t="n">
        <f aca="false">IF(AND(OR($F193="Analogy",$F193="Assumed"),$G193&lt;&gt;"低",$G193&lt;&gt;"高",NOT(ISNUMBER($K193)),NOT(ISNUMBER($L193)),OR($M193="—",$M193="")),1,0)</f>
        <v>0</v>
      </c>
      <c r="Y193" s="32" t="n">
        <f aca="false">IF(AND(OR($F193="Analogy",$F193="Assumed",$F193="Derived（待改公式）",$F193="Derived（公式）"),OR($N193="—",$N193="",$N193=0)),1,0)</f>
        <v>0</v>
      </c>
      <c r="Z193" s="32" t="n">
        <f aca="false">IF(AND($F193="Decision",OR($J193="—",$J193="")),1,0)</f>
        <v>0</v>
      </c>
      <c r="AA193" s="33" t="n">
        <f aca="false">IF(OR($J193="—",$J193=""),0,IF(COUNTIF(Decisions!$A$5:$A$300,$J193)=0,1,0))</f>
        <v>0</v>
      </c>
      <c r="AB193" s="32" t="n">
        <f aca="false">IF(AND($F193="原始數據",$S193&lt;&gt;"Active"),1,0)</f>
        <v>0</v>
      </c>
      <c r="AC193" s="32" t="n">
        <f aca="false">IF(AND(ISNUMBER($K193),ISNUMBER($L193),ISNUMBER($Q193)),IF(OR($Q193&lt;MIN($K193,$L193),$Q193&gt;MAX($K193,$L193)),1,0),0)</f>
        <v>0</v>
      </c>
      <c r="AD193" s="32" t="n">
        <f aca="false">IF(AND(ISNUMBER($T193),$P193="高"),IF($T193=3,1,0),0)</f>
        <v>0</v>
      </c>
      <c r="AE193" s="32" t="n">
        <f aca="false">IF($S193="不存在",1,0)</f>
        <v>0</v>
      </c>
      <c r="AF193" s="44" t="n">
        <f aca="false">IF(OR($H193="—",$H193=""),"—",MATCH($H193,IDX_SrcID,0))</f>
        <v>197</v>
      </c>
      <c r="AG193" s="32" t="n">
        <f aca="false">IF(AND($P193="高",OR($AD193=1,$X193=1)),1,0)</f>
        <v>0</v>
      </c>
      <c r="AH193" s="32" t="n">
        <f aca="false">IF(AND($P193="高",$AG193=0,OR($F193&lt;&gt;"原始數據",$T193&lt;&gt;1)),1,0)</f>
        <v>0</v>
      </c>
      <c r="AI193" s="44" t="str">
        <f aca="false">IF(AND($P193="高",ISNUMBER($AF193)),INDEX(IDX_SrcDate,$AF193),"—")</f>
        <v>—</v>
      </c>
      <c r="AJ193" s="32" t="n">
        <f aca="false">IF(AND(ISTEXT($AI193),LEN($AI193)=10),IF(ISNUMBER(VALUE(SUBSTITUTE($AI193,"-",""))),VALUE(SUBSTITUTE($AI193,"-","")),0),0)</f>
        <v>0</v>
      </c>
    </row>
    <row r="194" customFormat="false" ht="15" hidden="false" customHeight="true" outlineLevel="0" collapsed="false">
      <c r="A194" s="30" t="s">
        <v>5044</v>
      </c>
      <c r="B194" s="239" t="s">
        <v>4525</v>
      </c>
      <c r="C194" s="30" t="s">
        <v>5012</v>
      </c>
      <c r="D194" s="30" t="s">
        <v>5045</v>
      </c>
      <c r="E194" s="6" t="s">
        <v>304</v>
      </c>
      <c r="F194" s="239" t="s">
        <v>348</v>
      </c>
      <c r="G194" s="239" t="s">
        <v>4527</v>
      </c>
      <c r="H194" s="30" t="s">
        <v>5043</v>
      </c>
      <c r="I194" s="20" t="s">
        <v>4562</v>
      </c>
      <c r="J194" s="30" t="s">
        <v>751</v>
      </c>
      <c r="K194" s="239"/>
      <c r="L194" s="239"/>
      <c r="M194" s="30" t="s">
        <v>751</v>
      </c>
      <c r="N194" s="20" t="s">
        <v>4665</v>
      </c>
      <c r="O194" s="6" t="s">
        <v>751</v>
      </c>
      <c r="P194" s="239" t="s">
        <v>4530</v>
      </c>
      <c r="Q194" s="49" t="n">
        <f aca="false">Arch!D15</f>
        <v>129280</v>
      </c>
      <c r="R194" s="184" t="n">
        <f aca="false">SRC_MOD_014</f>
        <v>129280</v>
      </c>
      <c r="S194" s="44" t="str">
        <f aca="false">IF(ISNUMBER($AF194),INDEX(IDX_SrcStat,$AF194),"—")</f>
        <v>Active</v>
      </c>
      <c r="T194" s="44" t="n">
        <f aca="false">IF(ISNUMBER($AF194),INDEX(IDX_SrcGrade,$AF194),"—")</f>
        <v>1</v>
      </c>
      <c r="U194" s="44" t="s">
        <v>4564</v>
      </c>
      <c r="V194" s="32" t="n">
        <f aca="false">IF(AND($F194="原始數據",$U194&lt;&gt;"連結 SRC"),1,0)</f>
        <v>0</v>
      </c>
      <c r="W194" s="32" t="n">
        <f aca="false">IF(AND($F194="Analogy",OR($H194="—",$H194="")),1,0)</f>
        <v>0</v>
      </c>
      <c r="X194" s="32" t="n">
        <f aca="false">IF(AND(OR($F194="Analogy",$F194="Assumed"),$G194&lt;&gt;"低",$G194&lt;&gt;"高",NOT(ISNUMBER($K194)),NOT(ISNUMBER($L194)),OR($M194="—",$M194="")),1,0)</f>
        <v>0</v>
      </c>
      <c r="Y194" s="32" t="n">
        <f aca="false">IF(AND(OR($F194="Analogy",$F194="Assumed",$F194="Derived（待改公式）",$F194="Derived（公式）"),OR($N194="—",$N194="",$N194=0)),1,0)</f>
        <v>0</v>
      </c>
      <c r="Z194" s="32" t="n">
        <f aca="false">IF(AND($F194="Decision",OR($J194="—",$J194="")),1,0)</f>
        <v>0</v>
      </c>
      <c r="AA194" s="33" t="n">
        <f aca="false">IF(OR($J194="—",$J194=""),0,IF(COUNTIF(Decisions!$A$5:$A$300,$J194)=0,1,0))</f>
        <v>0</v>
      </c>
      <c r="AB194" s="32" t="n">
        <f aca="false">IF(AND($F194="原始數據",$S194&lt;&gt;"Active"),1,0)</f>
        <v>0</v>
      </c>
      <c r="AC194" s="32" t="n">
        <f aca="false">IF(AND(ISNUMBER($K194),ISNUMBER($L194),ISNUMBER($Q194)),IF(OR($Q194&lt;MIN($K194,$L194),$Q194&gt;MAX($K194,$L194)),1,0),0)</f>
        <v>0</v>
      </c>
      <c r="AD194" s="32" t="n">
        <f aca="false">IF(AND(ISNUMBER($T194),$P194="高"),IF($T194=3,1,0),0)</f>
        <v>0</v>
      </c>
      <c r="AE194" s="32" t="n">
        <f aca="false">IF($S194="不存在",1,0)</f>
        <v>0</v>
      </c>
      <c r="AF194" s="44" t="n">
        <f aca="false">IF(OR($H194="—",$H194=""),"—",MATCH($H194,IDX_SrcID,0))</f>
        <v>197</v>
      </c>
      <c r="AG194" s="32" t="n">
        <f aca="false">IF(AND($P194="高",OR($AD194=1,$X194=1)),1,0)</f>
        <v>0</v>
      </c>
      <c r="AH194" s="32" t="n">
        <f aca="false">IF(AND($P194="高",$AG194=0,OR($F194&lt;&gt;"原始數據",$T194&lt;&gt;1)),1,0)</f>
        <v>0</v>
      </c>
      <c r="AI194" s="44" t="str">
        <f aca="false">IF(AND($P194="高",ISNUMBER($AF194)),INDEX(IDX_SrcDate,$AF194),"—")</f>
        <v>—</v>
      </c>
      <c r="AJ194" s="32" t="n">
        <f aca="false">IF(AND(ISTEXT($AI194),LEN($AI194)=10),IF(ISNUMBER(VALUE(SUBSTITUTE($AI194,"-",""))),VALUE(SUBSTITUTE($AI194,"-","")),0),0)</f>
        <v>0</v>
      </c>
    </row>
    <row r="195" customFormat="false" ht="15" hidden="false" customHeight="true" outlineLevel="0" collapsed="false">
      <c r="A195" s="30" t="s">
        <v>5046</v>
      </c>
      <c r="B195" s="239" t="s">
        <v>4525</v>
      </c>
      <c r="C195" s="30" t="s">
        <v>5012</v>
      </c>
      <c r="D195" s="30" t="s">
        <v>5047</v>
      </c>
      <c r="E195" s="20" t="s">
        <v>305</v>
      </c>
      <c r="F195" s="239" t="s">
        <v>348</v>
      </c>
      <c r="G195" s="239" t="s">
        <v>4527</v>
      </c>
      <c r="H195" s="30" t="s">
        <v>5048</v>
      </c>
      <c r="I195" s="20" t="s">
        <v>4562</v>
      </c>
      <c r="J195" s="30" t="s">
        <v>751</v>
      </c>
      <c r="K195" s="239"/>
      <c r="L195" s="239"/>
      <c r="M195" s="30" t="s">
        <v>751</v>
      </c>
      <c r="N195" s="20" t="s">
        <v>4665</v>
      </c>
      <c r="O195" s="6" t="s">
        <v>751</v>
      </c>
      <c r="P195" s="239" t="s">
        <v>4586</v>
      </c>
      <c r="Q195" s="194" t="n">
        <f aca="false">Arch!C16</f>
        <v>0.512</v>
      </c>
      <c r="R195" s="184" t="n">
        <f aca="false">SRC_MOD_015</f>
        <v>0.512</v>
      </c>
      <c r="S195" s="44" t="str">
        <f aca="false">IF(ISNUMBER($AF195),INDEX(IDX_SrcStat,$AF195),"—")</f>
        <v>Active</v>
      </c>
      <c r="T195" s="44" t="n">
        <f aca="false">IF(ISNUMBER($AF195),INDEX(IDX_SrcGrade,$AF195),"—")</f>
        <v>1</v>
      </c>
      <c r="U195" s="44" t="s">
        <v>4564</v>
      </c>
      <c r="V195" s="32" t="n">
        <f aca="false">IF(AND($F195="原始數據",$U195&lt;&gt;"連結 SRC"),1,0)</f>
        <v>0</v>
      </c>
      <c r="W195" s="32" t="n">
        <f aca="false">IF(AND($F195="Analogy",OR($H195="—",$H195="")),1,0)</f>
        <v>0</v>
      </c>
      <c r="X195" s="32" t="n">
        <f aca="false">IF(AND(OR($F195="Analogy",$F195="Assumed"),$G195&lt;&gt;"低",$G195&lt;&gt;"高",NOT(ISNUMBER($K195)),NOT(ISNUMBER($L195)),OR($M195="—",$M195="")),1,0)</f>
        <v>0</v>
      </c>
      <c r="Y195" s="32" t="n">
        <f aca="false">IF(AND(OR($F195="Analogy",$F195="Assumed",$F195="Derived（待改公式）",$F195="Derived（公式）"),OR($N195="—",$N195="",$N195=0)),1,0)</f>
        <v>0</v>
      </c>
      <c r="Z195" s="32" t="n">
        <f aca="false">IF(AND($F195="Decision",OR($J195="—",$J195="")),1,0)</f>
        <v>0</v>
      </c>
      <c r="AA195" s="33" t="n">
        <f aca="false">IF(OR($J195="—",$J195=""),0,IF(COUNTIF(Decisions!$A$5:$A$300,$J195)=0,1,0))</f>
        <v>0</v>
      </c>
      <c r="AB195" s="32" t="n">
        <f aca="false">IF(AND($F195="原始數據",$S195&lt;&gt;"Active"),1,0)</f>
        <v>0</v>
      </c>
      <c r="AC195" s="32" t="n">
        <f aca="false">IF(AND(ISNUMBER($K195),ISNUMBER($L195),ISNUMBER($Q195)),IF(OR($Q195&lt;MIN($K195,$L195),$Q195&gt;MAX($K195,$L195)),1,0),0)</f>
        <v>0</v>
      </c>
      <c r="AD195" s="32" t="n">
        <f aca="false">IF(AND(ISNUMBER($T195),$P195="高"),IF($T195=3,1,0),0)</f>
        <v>0</v>
      </c>
      <c r="AE195" s="32" t="n">
        <f aca="false">IF($S195="不存在",1,0)</f>
        <v>0</v>
      </c>
      <c r="AF195" s="44" t="n">
        <f aca="false">IF(OR($H195="—",$H195=""),"—",MATCH($H195,IDX_SrcID,0))</f>
        <v>198</v>
      </c>
      <c r="AG195" s="32" t="n">
        <f aca="false">IF(AND($P195="高",OR($AD195=1,$X195=1)),1,0)</f>
        <v>0</v>
      </c>
      <c r="AH195" s="32" t="n">
        <f aca="false">IF(AND($P195="高",$AG195=0,OR($F195&lt;&gt;"原始數據",$T195&lt;&gt;1)),1,0)</f>
        <v>0</v>
      </c>
      <c r="AI195" s="44" t="str">
        <f aca="false">IF(AND($P195="高",ISNUMBER($AF195)),INDEX(IDX_SrcDate,$AF195),"—")</f>
        <v>—</v>
      </c>
      <c r="AJ195" s="32" t="n">
        <f aca="false">IF(AND(ISTEXT($AI195),LEN($AI195)=10),IF(ISNUMBER(VALUE(SUBSTITUTE($AI195,"-",""))),VALUE(SUBSTITUTE($AI195,"-","")),0),0)</f>
        <v>0</v>
      </c>
    </row>
    <row r="196" customFormat="false" ht="15" hidden="false" customHeight="true" outlineLevel="0" collapsed="false">
      <c r="A196" s="30" t="s">
        <v>5049</v>
      </c>
      <c r="B196" s="239" t="s">
        <v>4525</v>
      </c>
      <c r="C196" s="30" t="s">
        <v>5012</v>
      </c>
      <c r="D196" s="30" t="s">
        <v>4574</v>
      </c>
      <c r="E196" s="20" t="s">
        <v>305</v>
      </c>
      <c r="F196" s="239" t="s">
        <v>348</v>
      </c>
      <c r="G196" s="239" t="s">
        <v>4527</v>
      </c>
      <c r="H196" s="30" t="s">
        <v>5048</v>
      </c>
      <c r="I196" s="20" t="s">
        <v>4562</v>
      </c>
      <c r="J196" s="30" t="s">
        <v>751</v>
      </c>
      <c r="K196" s="239"/>
      <c r="L196" s="239"/>
      <c r="M196" s="30" t="s">
        <v>751</v>
      </c>
      <c r="N196" s="20" t="s">
        <v>4665</v>
      </c>
      <c r="O196" s="6" t="s">
        <v>751</v>
      </c>
      <c r="P196" s="239" t="s">
        <v>4586</v>
      </c>
      <c r="Q196" s="194" t="n">
        <f aca="false">Arch!D16</f>
        <v>0.492</v>
      </c>
      <c r="R196" s="184" t="n">
        <f aca="false">SRC_MOD_015</f>
        <v>0.512</v>
      </c>
      <c r="S196" s="44" t="str">
        <f aca="false">IF(ISNUMBER($AF196),INDEX(IDX_SrcStat,$AF196),"—")</f>
        <v>Active</v>
      </c>
      <c r="T196" s="44" t="n">
        <f aca="false">IF(ISNUMBER($AF196),INDEX(IDX_SrcGrade,$AF196),"—")</f>
        <v>1</v>
      </c>
      <c r="U196" s="44" t="s">
        <v>4564</v>
      </c>
      <c r="V196" s="32" t="n">
        <f aca="false">IF(AND($F196="原始數據",$U196&lt;&gt;"連結 SRC"),1,0)</f>
        <v>0</v>
      </c>
      <c r="W196" s="32" t="n">
        <f aca="false">IF(AND($F196="Analogy",OR($H196="—",$H196="")),1,0)</f>
        <v>0</v>
      </c>
      <c r="X196" s="32" t="n">
        <f aca="false">IF(AND(OR($F196="Analogy",$F196="Assumed"),$G196&lt;&gt;"低",$G196&lt;&gt;"高",NOT(ISNUMBER($K196)),NOT(ISNUMBER($L196)),OR($M196="—",$M196="")),1,0)</f>
        <v>0</v>
      </c>
      <c r="Y196" s="32" t="n">
        <f aca="false">IF(AND(OR($F196="Analogy",$F196="Assumed",$F196="Derived（待改公式）",$F196="Derived（公式）"),OR($N196="—",$N196="",$N196=0)),1,0)</f>
        <v>0</v>
      </c>
      <c r="Z196" s="32" t="n">
        <f aca="false">IF(AND($F196="Decision",OR($J196="—",$J196="")),1,0)</f>
        <v>0</v>
      </c>
      <c r="AA196" s="33" t="n">
        <f aca="false">IF(OR($J196="—",$J196=""),0,IF(COUNTIF(Decisions!$A$5:$A$300,$J196)=0,1,0))</f>
        <v>0</v>
      </c>
      <c r="AB196" s="32" t="n">
        <f aca="false">IF(AND($F196="原始數據",$S196&lt;&gt;"Active"),1,0)</f>
        <v>0</v>
      </c>
      <c r="AC196" s="32" t="n">
        <f aca="false">IF(AND(ISNUMBER($K196),ISNUMBER($L196),ISNUMBER($Q196)),IF(OR($Q196&lt;MIN($K196,$L196),$Q196&gt;MAX($K196,$L196)),1,0),0)</f>
        <v>0</v>
      </c>
      <c r="AD196" s="32" t="n">
        <f aca="false">IF(AND(ISNUMBER($T196),$P196="高"),IF($T196=3,1,0),0)</f>
        <v>0</v>
      </c>
      <c r="AE196" s="32" t="n">
        <f aca="false">IF($S196="不存在",1,0)</f>
        <v>0</v>
      </c>
      <c r="AF196" s="44" t="n">
        <f aca="false">IF(OR($H196="—",$H196=""),"—",MATCH($H196,IDX_SrcID,0))</f>
        <v>198</v>
      </c>
      <c r="AG196" s="32" t="n">
        <f aca="false">IF(AND($P196="高",OR($AD196=1,$X196=1)),1,0)</f>
        <v>0</v>
      </c>
      <c r="AH196" s="32" t="n">
        <f aca="false">IF(AND($P196="高",$AG196=0,OR($F196&lt;&gt;"原始數據",$T196&lt;&gt;1)),1,0)</f>
        <v>0</v>
      </c>
      <c r="AI196" s="44" t="str">
        <f aca="false">IF(AND($P196="高",ISNUMBER($AF196)),INDEX(IDX_SrcDate,$AF196),"—")</f>
        <v>—</v>
      </c>
      <c r="AJ196" s="32" t="n">
        <f aca="false">IF(AND(ISTEXT($AI196),LEN($AI196)=10),IF(ISNUMBER(VALUE(SUBSTITUTE($AI196,"-",""))),VALUE(SUBSTITUTE($AI196,"-","")),0),0)</f>
        <v>0</v>
      </c>
    </row>
    <row r="197" customFormat="false" ht="15" hidden="false" customHeight="true" outlineLevel="0" collapsed="false">
      <c r="A197" s="30" t="s">
        <v>5050</v>
      </c>
      <c r="B197" s="239" t="s">
        <v>4525</v>
      </c>
      <c r="C197" s="30" t="s">
        <v>5012</v>
      </c>
      <c r="D197" s="30" t="s">
        <v>5051</v>
      </c>
      <c r="E197" s="20" t="s">
        <v>310</v>
      </c>
      <c r="F197" s="239" t="s">
        <v>348</v>
      </c>
      <c r="G197" s="239" t="s">
        <v>4527</v>
      </c>
      <c r="H197" s="30" t="s">
        <v>5052</v>
      </c>
      <c r="I197" s="20" t="s">
        <v>4562</v>
      </c>
      <c r="J197" s="30" t="s">
        <v>751</v>
      </c>
      <c r="K197" s="239"/>
      <c r="L197" s="239"/>
      <c r="M197" s="30" t="s">
        <v>751</v>
      </c>
      <c r="N197" s="20" t="s">
        <v>4665</v>
      </c>
      <c r="O197" s="6" t="s">
        <v>751</v>
      </c>
      <c r="P197" s="239" t="s">
        <v>1308</v>
      </c>
      <c r="Q197" s="49" t="n">
        <f aca="false">Arch!C18</f>
        <v>128</v>
      </c>
      <c r="R197" s="184" t="n">
        <f aca="false">SRC_MOD_016</f>
        <v>128</v>
      </c>
      <c r="S197" s="44" t="str">
        <f aca="false">IF(ISNUMBER($AF197),INDEX(IDX_SrcStat,$AF197),"—")</f>
        <v>Active</v>
      </c>
      <c r="T197" s="44" t="n">
        <f aca="false">IF(ISNUMBER($AF197),INDEX(IDX_SrcGrade,$AF197),"—")</f>
        <v>1</v>
      </c>
      <c r="U197" s="44" t="s">
        <v>4564</v>
      </c>
      <c r="V197" s="32" t="n">
        <f aca="false">IF(AND($F197="原始數據",$U197&lt;&gt;"連結 SRC"),1,0)</f>
        <v>0</v>
      </c>
      <c r="W197" s="32" t="n">
        <f aca="false">IF(AND($F197="Analogy",OR($H197="—",$H197="")),1,0)</f>
        <v>0</v>
      </c>
      <c r="X197" s="32" t="n">
        <f aca="false">IF(AND(OR($F197="Analogy",$F197="Assumed"),$G197&lt;&gt;"低",$G197&lt;&gt;"高",NOT(ISNUMBER($K197)),NOT(ISNUMBER($L197)),OR($M197="—",$M197="")),1,0)</f>
        <v>0</v>
      </c>
      <c r="Y197" s="32" t="n">
        <f aca="false">IF(AND(OR($F197="Analogy",$F197="Assumed",$F197="Derived（待改公式）",$F197="Derived（公式）"),OR($N197="—",$N197="",$N197=0)),1,0)</f>
        <v>0</v>
      </c>
      <c r="Z197" s="32" t="n">
        <f aca="false">IF(AND($F197="Decision",OR($J197="—",$J197="")),1,0)</f>
        <v>0</v>
      </c>
      <c r="AA197" s="33" t="n">
        <f aca="false">IF(OR($J197="—",$J197=""),0,IF(COUNTIF(Decisions!$A$5:$A$300,$J197)=0,1,0))</f>
        <v>0</v>
      </c>
      <c r="AB197" s="32" t="n">
        <f aca="false">IF(AND($F197="原始數據",$S197&lt;&gt;"Active"),1,0)</f>
        <v>0</v>
      </c>
      <c r="AC197" s="32" t="n">
        <f aca="false">IF(AND(ISNUMBER($K197),ISNUMBER($L197),ISNUMBER($Q197)),IF(OR($Q197&lt;MIN($K197,$L197),$Q197&gt;MAX($K197,$L197)),1,0),0)</f>
        <v>0</v>
      </c>
      <c r="AD197" s="32" t="n">
        <f aca="false">IF(AND(ISNUMBER($T197),$P197="高"),IF($T197=3,1,0),0)</f>
        <v>0</v>
      </c>
      <c r="AE197" s="32" t="n">
        <f aca="false">IF($S197="不存在",1,0)</f>
        <v>0</v>
      </c>
      <c r="AF197" s="44" t="n">
        <f aca="false">IF(OR($H197="—",$H197=""),"—",MATCH($H197,IDX_SrcID,0))</f>
        <v>199</v>
      </c>
      <c r="AG197" s="32" t="n">
        <f aca="false">IF(AND($P197="高",OR($AD197=1,$X197=1)),1,0)</f>
        <v>0</v>
      </c>
      <c r="AH197" s="32" t="n">
        <f aca="false">IF(AND($P197="高",$AG197=0,OR($F197&lt;&gt;"原始數據",$T197&lt;&gt;1)),1,0)</f>
        <v>0</v>
      </c>
      <c r="AI197" s="44" t="str">
        <f aca="false">IF(AND($P197="高",ISNUMBER($AF197)),INDEX(IDX_SrcDate,$AF197),"—")</f>
        <v>—</v>
      </c>
      <c r="AJ197" s="32" t="n">
        <f aca="false">IF(AND(ISTEXT($AI197),LEN($AI197)=10),IF(ISNUMBER(VALUE(SUBSTITUTE($AI197,"-",""))),VALUE(SUBSTITUTE($AI197,"-","")),0),0)</f>
        <v>0</v>
      </c>
    </row>
    <row r="198" customFormat="false" ht="15" hidden="false" customHeight="true" outlineLevel="0" collapsed="false">
      <c r="A198" s="30" t="s">
        <v>5053</v>
      </c>
      <c r="B198" s="239" t="s">
        <v>4525</v>
      </c>
      <c r="C198" s="30" t="s">
        <v>5012</v>
      </c>
      <c r="D198" s="30" t="s">
        <v>4588</v>
      </c>
      <c r="E198" s="20" t="s">
        <v>310</v>
      </c>
      <c r="F198" s="239" t="s">
        <v>348</v>
      </c>
      <c r="G198" s="239" t="s">
        <v>4527</v>
      </c>
      <c r="H198" s="30" t="s">
        <v>5052</v>
      </c>
      <c r="I198" s="20" t="s">
        <v>4562</v>
      </c>
      <c r="J198" s="30" t="s">
        <v>751</v>
      </c>
      <c r="K198" s="239"/>
      <c r="L198" s="239"/>
      <c r="M198" s="30" t="s">
        <v>751</v>
      </c>
      <c r="N198" s="20" t="s">
        <v>4665</v>
      </c>
      <c r="O198" s="6" t="s">
        <v>751</v>
      </c>
      <c r="P198" s="239" t="s">
        <v>1308</v>
      </c>
      <c r="Q198" s="49" t="n">
        <f aca="false">Arch!D18</f>
        <v>128</v>
      </c>
      <c r="R198" s="184" t="n">
        <f aca="false">SRC_MOD_016</f>
        <v>128</v>
      </c>
      <c r="S198" s="44" t="str">
        <f aca="false">IF(ISNUMBER($AF198),INDEX(IDX_SrcStat,$AF198),"—")</f>
        <v>Active</v>
      </c>
      <c r="T198" s="44" t="n">
        <f aca="false">IF(ISNUMBER($AF198),INDEX(IDX_SrcGrade,$AF198),"—")</f>
        <v>1</v>
      </c>
      <c r="U198" s="44" t="s">
        <v>4564</v>
      </c>
      <c r="V198" s="32" t="n">
        <f aca="false">IF(AND($F198="原始數據",$U198&lt;&gt;"連結 SRC"),1,0)</f>
        <v>0</v>
      </c>
      <c r="W198" s="32" t="n">
        <f aca="false">IF(AND($F198="Analogy",OR($H198="—",$H198="")),1,0)</f>
        <v>0</v>
      </c>
      <c r="X198" s="32" t="n">
        <f aca="false">IF(AND(OR($F198="Analogy",$F198="Assumed"),$G198&lt;&gt;"低",$G198&lt;&gt;"高",NOT(ISNUMBER($K198)),NOT(ISNUMBER($L198)),OR($M198="—",$M198="")),1,0)</f>
        <v>0</v>
      </c>
      <c r="Y198" s="32" t="n">
        <f aca="false">IF(AND(OR($F198="Analogy",$F198="Assumed",$F198="Derived（待改公式）",$F198="Derived（公式）"),OR($N198="—",$N198="",$N198=0)),1,0)</f>
        <v>0</v>
      </c>
      <c r="Z198" s="32" t="n">
        <f aca="false">IF(AND($F198="Decision",OR($J198="—",$J198="")),1,0)</f>
        <v>0</v>
      </c>
      <c r="AA198" s="33" t="n">
        <f aca="false">IF(OR($J198="—",$J198=""),0,IF(COUNTIF(Decisions!$A$5:$A$300,$J198)=0,1,0))</f>
        <v>0</v>
      </c>
      <c r="AB198" s="32" t="n">
        <f aca="false">IF(AND($F198="原始數據",$S198&lt;&gt;"Active"),1,0)</f>
        <v>0</v>
      </c>
      <c r="AC198" s="32" t="n">
        <f aca="false">IF(AND(ISNUMBER($K198),ISNUMBER($L198),ISNUMBER($Q198)),IF(OR($Q198&lt;MIN($K198,$L198),$Q198&gt;MAX($K198,$L198)),1,0),0)</f>
        <v>0</v>
      </c>
      <c r="AD198" s="32" t="n">
        <f aca="false">IF(AND(ISNUMBER($T198),$P198="高"),IF($T198=3,1,0),0)</f>
        <v>0</v>
      </c>
      <c r="AE198" s="32" t="n">
        <f aca="false">IF($S198="不存在",1,0)</f>
        <v>0</v>
      </c>
      <c r="AF198" s="44" t="n">
        <f aca="false">IF(OR($H198="—",$H198=""),"—",MATCH($H198,IDX_SrcID,0))</f>
        <v>199</v>
      </c>
      <c r="AG198" s="32" t="n">
        <f aca="false">IF(AND($P198="高",OR($AD198=1,$X198=1)),1,0)</f>
        <v>0</v>
      </c>
      <c r="AH198" s="32" t="n">
        <f aca="false">IF(AND($P198="高",$AG198=0,OR($F198&lt;&gt;"原始數據",$T198&lt;&gt;1)),1,0)</f>
        <v>0</v>
      </c>
      <c r="AI198" s="44" t="str">
        <f aca="false">IF(AND($P198="高",ISNUMBER($AF198)),INDEX(IDX_SrcDate,$AF198),"—")</f>
        <v>—</v>
      </c>
      <c r="AJ198" s="32" t="n">
        <f aca="false">IF(AND(ISTEXT($AI198),LEN($AI198)=10),IF(ISNUMBER(VALUE(SUBSTITUTE($AI198,"-",""))),VALUE(SUBSTITUTE($AI198,"-","")),0),0)</f>
        <v>0</v>
      </c>
    </row>
    <row r="199" customFormat="false" ht="15" hidden="false" customHeight="true" outlineLevel="0" collapsed="false">
      <c r="A199" s="30" t="s">
        <v>5054</v>
      </c>
      <c r="B199" s="239" t="s">
        <v>4525</v>
      </c>
      <c r="C199" s="30" t="s">
        <v>5012</v>
      </c>
      <c r="D199" s="30" t="s">
        <v>5055</v>
      </c>
      <c r="E199" s="20" t="s">
        <v>312</v>
      </c>
      <c r="F199" s="239" t="s">
        <v>348</v>
      </c>
      <c r="G199" s="239" t="s">
        <v>4527</v>
      </c>
      <c r="H199" s="30" t="s">
        <v>5056</v>
      </c>
      <c r="I199" s="20" t="s">
        <v>4562</v>
      </c>
      <c r="J199" s="30" t="s">
        <v>751</v>
      </c>
      <c r="K199" s="239"/>
      <c r="L199" s="239"/>
      <c r="M199" s="30" t="s">
        <v>751</v>
      </c>
      <c r="N199" s="20" t="s">
        <v>4665</v>
      </c>
      <c r="O199" s="6" t="s">
        <v>751</v>
      </c>
      <c r="P199" s="239" t="s">
        <v>1308</v>
      </c>
      <c r="Q199" s="49" t="n">
        <f aca="false">Arch!C19</f>
        <v>128</v>
      </c>
      <c r="R199" s="184" t="n">
        <f aca="false">SRC_MOD_017</f>
        <v>128</v>
      </c>
      <c r="S199" s="44" t="str">
        <f aca="false">IF(ISNUMBER($AF199),INDEX(IDX_SrcStat,$AF199),"—")</f>
        <v>Active</v>
      </c>
      <c r="T199" s="44" t="n">
        <f aca="false">IF(ISNUMBER($AF199),INDEX(IDX_SrcGrade,$AF199),"—")</f>
        <v>1</v>
      </c>
      <c r="U199" s="44" t="s">
        <v>4564</v>
      </c>
      <c r="V199" s="32" t="n">
        <f aca="false">IF(AND($F199="原始數據",$U199&lt;&gt;"連結 SRC"),1,0)</f>
        <v>0</v>
      </c>
      <c r="W199" s="32" t="n">
        <f aca="false">IF(AND($F199="Analogy",OR($H199="—",$H199="")),1,0)</f>
        <v>0</v>
      </c>
      <c r="X199" s="32" t="n">
        <f aca="false">IF(AND(OR($F199="Analogy",$F199="Assumed"),$G199&lt;&gt;"低",$G199&lt;&gt;"高",NOT(ISNUMBER($K199)),NOT(ISNUMBER($L199)),OR($M199="—",$M199="")),1,0)</f>
        <v>0</v>
      </c>
      <c r="Y199" s="32" t="n">
        <f aca="false">IF(AND(OR($F199="Analogy",$F199="Assumed",$F199="Derived（待改公式）",$F199="Derived（公式）"),OR($N199="—",$N199="",$N199=0)),1,0)</f>
        <v>0</v>
      </c>
      <c r="Z199" s="32" t="n">
        <f aca="false">IF(AND($F199="Decision",OR($J199="—",$J199="")),1,0)</f>
        <v>0</v>
      </c>
      <c r="AA199" s="33" t="n">
        <f aca="false">IF(OR($J199="—",$J199=""),0,IF(COUNTIF(Decisions!$A$5:$A$300,$J199)=0,1,0))</f>
        <v>0</v>
      </c>
      <c r="AB199" s="32" t="n">
        <f aca="false">IF(AND($F199="原始數據",$S199&lt;&gt;"Active"),1,0)</f>
        <v>0</v>
      </c>
      <c r="AC199" s="32" t="n">
        <f aca="false">IF(AND(ISNUMBER($K199),ISNUMBER($L199),ISNUMBER($Q199)),IF(OR($Q199&lt;MIN($K199,$L199),$Q199&gt;MAX($K199,$L199)),1,0),0)</f>
        <v>0</v>
      </c>
      <c r="AD199" s="32" t="n">
        <f aca="false">IF(AND(ISNUMBER($T199),$P199="高"),IF($T199=3,1,0),0)</f>
        <v>0</v>
      </c>
      <c r="AE199" s="32" t="n">
        <f aca="false">IF($S199="不存在",1,0)</f>
        <v>0</v>
      </c>
      <c r="AF199" s="44" t="n">
        <f aca="false">IF(OR($H199="—",$H199=""),"—",MATCH($H199,IDX_SrcID,0))</f>
        <v>200</v>
      </c>
      <c r="AG199" s="32" t="n">
        <f aca="false">IF(AND($P199="高",OR($AD199=1,$X199=1)),1,0)</f>
        <v>0</v>
      </c>
      <c r="AH199" s="32" t="n">
        <f aca="false">IF(AND($P199="高",$AG199=0,OR($F199&lt;&gt;"原始數據",$T199&lt;&gt;1)),1,0)</f>
        <v>0</v>
      </c>
      <c r="AI199" s="44" t="str">
        <f aca="false">IF(AND($P199="高",ISNUMBER($AF199)),INDEX(IDX_SrcDate,$AF199),"—")</f>
        <v>—</v>
      </c>
      <c r="AJ199" s="32" t="n">
        <f aca="false">IF(AND(ISTEXT($AI199),LEN($AI199)=10),IF(ISNUMBER(VALUE(SUBSTITUTE($AI199,"-",""))),VALUE(SUBSTITUTE($AI199,"-","")),0),0)</f>
        <v>0</v>
      </c>
    </row>
    <row r="200" customFormat="false" ht="15" hidden="false" customHeight="true" outlineLevel="0" collapsed="false">
      <c r="A200" s="30" t="s">
        <v>5057</v>
      </c>
      <c r="B200" s="239" t="s">
        <v>4525</v>
      </c>
      <c r="C200" s="30" t="s">
        <v>5012</v>
      </c>
      <c r="D200" s="30" t="s">
        <v>4594</v>
      </c>
      <c r="E200" s="20" t="s">
        <v>312</v>
      </c>
      <c r="F200" s="239" t="s">
        <v>348</v>
      </c>
      <c r="G200" s="239" t="s">
        <v>4527</v>
      </c>
      <c r="H200" s="30" t="s">
        <v>5056</v>
      </c>
      <c r="I200" s="20" t="s">
        <v>4562</v>
      </c>
      <c r="J200" s="30" t="s">
        <v>751</v>
      </c>
      <c r="K200" s="239"/>
      <c r="L200" s="239"/>
      <c r="M200" s="30" t="s">
        <v>751</v>
      </c>
      <c r="N200" s="20" t="s">
        <v>4665</v>
      </c>
      <c r="O200" s="6" t="s">
        <v>751</v>
      </c>
      <c r="P200" s="239" t="s">
        <v>1308</v>
      </c>
      <c r="Q200" s="49" t="n">
        <f aca="false">Arch!D19</f>
        <v>128</v>
      </c>
      <c r="R200" s="184" t="n">
        <f aca="false">SRC_MOD_017</f>
        <v>128</v>
      </c>
      <c r="S200" s="44" t="str">
        <f aca="false">IF(ISNUMBER($AF200),INDEX(IDX_SrcStat,$AF200),"—")</f>
        <v>Active</v>
      </c>
      <c r="T200" s="44" t="n">
        <f aca="false">IF(ISNUMBER($AF200),INDEX(IDX_SrcGrade,$AF200),"—")</f>
        <v>1</v>
      </c>
      <c r="U200" s="44" t="s">
        <v>4564</v>
      </c>
      <c r="V200" s="32" t="n">
        <f aca="false">IF(AND($F200="原始數據",$U200&lt;&gt;"連結 SRC"),1,0)</f>
        <v>0</v>
      </c>
      <c r="W200" s="32" t="n">
        <f aca="false">IF(AND($F200="Analogy",OR($H200="—",$H200="")),1,0)</f>
        <v>0</v>
      </c>
      <c r="X200" s="32" t="n">
        <f aca="false">IF(AND(OR($F200="Analogy",$F200="Assumed"),$G200&lt;&gt;"低",$G200&lt;&gt;"高",NOT(ISNUMBER($K200)),NOT(ISNUMBER($L200)),OR($M200="—",$M200="")),1,0)</f>
        <v>0</v>
      </c>
      <c r="Y200" s="32" t="n">
        <f aca="false">IF(AND(OR($F200="Analogy",$F200="Assumed",$F200="Derived（待改公式）",$F200="Derived（公式）"),OR($N200="—",$N200="",$N200=0)),1,0)</f>
        <v>0</v>
      </c>
      <c r="Z200" s="32" t="n">
        <f aca="false">IF(AND($F200="Decision",OR($J200="—",$J200="")),1,0)</f>
        <v>0</v>
      </c>
      <c r="AA200" s="33" t="n">
        <f aca="false">IF(OR($J200="—",$J200=""),0,IF(COUNTIF(Decisions!$A$5:$A$300,$J200)=0,1,0))</f>
        <v>0</v>
      </c>
      <c r="AB200" s="32" t="n">
        <f aca="false">IF(AND($F200="原始數據",$S200&lt;&gt;"Active"),1,0)</f>
        <v>0</v>
      </c>
      <c r="AC200" s="32" t="n">
        <f aca="false">IF(AND(ISNUMBER($K200),ISNUMBER($L200),ISNUMBER($Q200)),IF(OR($Q200&lt;MIN($K200,$L200),$Q200&gt;MAX($K200,$L200)),1,0),0)</f>
        <v>0</v>
      </c>
      <c r="AD200" s="32" t="n">
        <f aca="false">IF(AND(ISNUMBER($T200),$P200="高"),IF($T200=3,1,0),0)</f>
        <v>0</v>
      </c>
      <c r="AE200" s="32" t="n">
        <f aca="false">IF($S200="不存在",1,0)</f>
        <v>0</v>
      </c>
      <c r="AF200" s="44" t="n">
        <f aca="false">IF(OR($H200="—",$H200=""),"—",MATCH($H200,IDX_SrcID,0))</f>
        <v>200</v>
      </c>
      <c r="AG200" s="32" t="n">
        <f aca="false">IF(AND($P200="高",OR($AD200=1,$X200=1)),1,0)</f>
        <v>0</v>
      </c>
      <c r="AH200" s="32" t="n">
        <f aca="false">IF(AND($P200="高",$AG200=0,OR($F200&lt;&gt;"原始數據",$T200&lt;&gt;1)),1,0)</f>
        <v>0</v>
      </c>
      <c r="AI200" s="44" t="str">
        <f aca="false">IF(AND($P200="高",ISNUMBER($AF200)),INDEX(IDX_SrcDate,$AF200),"—")</f>
        <v>—</v>
      </c>
      <c r="AJ200" s="32" t="n">
        <f aca="false">IF(AND(ISTEXT($AI200),LEN($AI200)=10),IF(ISNUMBER(VALUE(SUBSTITUTE($AI200,"-",""))),VALUE(SUBSTITUTE($AI200,"-","")),0),0)</f>
        <v>0</v>
      </c>
    </row>
    <row r="201" customFormat="false" ht="15" hidden="false" customHeight="true" outlineLevel="0" collapsed="false">
      <c r="A201" s="30" t="s">
        <v>5058</v>
      </c>
      <c r="B201" s="239" t="s">
        <v>4525</v>
      </c>
      <c r="C201" s="30" t="s">
        <v>5012</v>
      </c>
      <c r="D201" s="30" t="s">
        <v>4540</v>
      </c>
      <c r="E201" s="6" t="s">
        <v>295</v>
      </c>
      <c r="F201" s="239" t="s">
        <v>348</v>
      </c>
      <c r="G201" s="239" t="s">
        <v>4527</v>
      </c>
      <c r="H201" s="30" t="s">
        <v>5059</v>
      </c>
      <c r="I201" s="20" t="s">
        <v>4562</v>
      </c>
      <c r="J201" s="30" t="s">
        <v>751</v>
      </c>
      <c r="K201" s="239"/>
      <c r="L201" s="239"/>
      <c r="M201" s="30" t="s">
        <v>751</v>
      </c>
      <c r="N201" s="20" t="s">
        <v>4665</v>
      </c>
      <c r="O201" s="6" t="s">
        <v>751</v>
      </c>
      <c r="P201" s="239" t="s">
        <v>4530</v>
      </c>
      <c r="Q201" s="49" t="n">
        <f aca="false">Arch!D9</f>
        <v>7168</v>
      </c>
      <c r="R201" s="184" t="n">
        <f aca="false">SRC_MOD_004</f>
        <v>7168</v>
      </c>
      <c r="S201" s="44" t="str">
        <f aca="false">IF(ISNUMBER($AF201),INDEX(IDX_SrcStat,$AF201),"—")</f>
        <v>Active</v>
      </c>
      <c r="T201" s="44" t="n">
        <f aca="false">IF(ISNUMBER($AF201),INDEX(IDX_SrcGrade,$AF201),"—")</f>
        <v>3</v>
      </c>
      <c r="U201" s="44" t="s">
        <v>4564</v>
      </c>
      <c r="V201" s="32" t="n">
        <f aca="false">IF(AND($F201="原始數據",$U201&lt;&gt;"連結 SRC"),1,0)</f>
        <v>0</v>
      </c>
      <c r="W201" s="32" t="n">
        <f aca="false">IF(AND($F201="Analogy",OR($H201="—",$H201="")),1,0)</f>
        <v>0</v>
      </c>
      <c r="X201" s="32" t="n">
        <f aca="false">IF(AND(OR($F201="Analogy",$F201="Assumed"),$G201&lt;&gt;"低",$G201&lt;&gt;"高",NOT(ISNUMBER($K201)),NOT(ISNUMBER($L201)),OR($M201="—",$M201="")),1,0)</f>
        <v>0</v>
      </c>
      <c r="Y201" s="32" t="n">
        <f aca="false">IF(AND(OR($F201="Analogy",$F201="Assumed",$F201="Derived（待改公式）",$F201="Derived（公式）"),OR($N201="—",$N201="",$N201=0)),1,0)</f>
        <v>0</v>
      </c>
      <c r="Z201" s="32" t="n">
        <f aca="false">IF(AND($F201="Decision",OR($J201="—",$J201="")),1,0)</f>
        <v>0</v>
      </c>
      <c r="AA201" s="33" t="n">
        <f aca="false">IF(OR($J201="—",$J201=""),0,IF(COUNTIF(Decisions!$A$5:$A$300,$J201)=0,1,0))</f>
        <v>0</v>
      </c>
      <c r="AB201" s="32" t="n">
        <f aca="false">IF(AND($F201="原始數據",$S201&lt;&gt;"Active"),1,0)</f>
        <v>0</v>
      </c>
      <c r="AC201" s="32" t="n">
        <f aca="false">IF(AND(ISNUMBER($K201),ISNUMBER($L201),ISNUMBER($Q201)),IF(OR($Q201&lt;MIN($K201,$L201),$Q201&gt;MAX($K201,$L201)),1,0),0)</f>
        <v>0</v>
      </c>
      <c r="AD201" s="32" t="n">
        <f aca="false">IF(AND(ISNUMBER($T201),$P201="高"),IF($T201=3,1,0),0)</f>
        <v>0</v>
      </c>
      <c r="AE201" s="32" t="n">
        <f aca="false">IF($S201="不存在",1,0)</f>
        <v>0</v>
      </c>
      <c r="AF201" s="44" t="n">
        <f aca="false">IF(OR($H201="—",$H201=""),"—",MATCH($H201,IDX_SrcID,0))</f>
        <v>187</v>
      </c>
      <c r="AG201" s="32" t="n">
        <f aca="false">IF(AND($P201="高",OR($AD201=1,$X201=1)),1,0)</f>
        <v>0</v>
      </c>
      <c r="AH201" s="32" t="n">
        <f aca="false">IF(AND($P201="高",$AG201=0,OR($F201&lt;&gt;"原始數據",$T201&lt;&gt;1)),1,0)</f>
        <v>0</v>
      </c>
      <c r="AI201" s="44" t="str">
        <f aca="false">IF(AND($P201="高",ISNUMBER($AF201)),INDEX(IDX_SrcDate,$AF201),"—")</f>
        <v>—</v>
      </c>
      <c r="AJ201" s="32" t="n">
        <f aca="false">IF(AND(ISTEXT($AI201),LEN($AI201)=10),IF(ISNUMBER(VALUE(SUBSTITUTE($AI201,"-",""))),VALUE(SUBSTITUTE($AI201,"-","")),0),0)</f>
        <v>0</v>
      </c>
    </row>
    <row r="202" customFormat="false" ht="15" hidden="false" customHeight="true" outlineLevel="0" collapsed="false">
      <c r="A202" s="30" t="s">
        <v>5060</v>
      </c>
      <c r="B202" s="239" t="s">
        <v>4525</v>
      </c>
      <c r="C202" s="30" t="s">
        <v>5012</v>
      </c>
      <c r="D202" s="30" t="s">
        <v>4545</v>
      </c>
      <c r="E202" s="6" t="s">
        <v>297</v>
      </c>
      <c r="F202" s="239" t="s">
        <v>348</v>
      </c>
      <c r="G202" s="239" t="s">
        <v>4527</v>
      </c>
      <c r="H202" s="30" t="s">
        <v>5061</v>
      </c>
      <c r="I202" s="20" t="s">
        <v>4562</v>
      </c>
      <c r="J202" s="30" t="s">
        <v>751</v>
      </c>
      <c r="K202" s="239"/>
      <c r="L202" s="239"/>
      <c r="M202" s="30" t="s">
        <v>751</v>
      </c>
      <c r="N202" s="20" t="s">
        <v>4665</v>
      </c>
      <c r="O202" s="6" t="s">
        <v>751</v>
      </c>
      <c r="P202" s="239" t="s">
        <v>4586</v>
      </c>
      <c r="Q202" s="49" t="n">
        <f aca="false">Arch!D10</f>
        <v>128</v>
      </c>
      <c r="R202" s="184" t="n">
        <f aca="false">SRC_MOD_008</f>
        <v>128</v>
      </c>
      <c r="S202" s="44" t="str">
        <f aca="false">IF(ISNUMBER($AF202),INDEX(IDX_SrcStat,$AF202),"—")</f>
        <v>Active</v>
      </c>
      <c r="T202" s="44" t="n">
        <f aca="false">IF(ISNUMBER($AF202),INDEX(IDX_SrcGrade,$AF202),"—")</f>
        <v>3</v>
      </c>
      <c r="U202" s="44" t="s">
        <v>4564</v>
      </c>
      <c r="V202" s="32" t="n">
        <f aca="false">IF(AND($F202="原始數據",$U202&lt;&gt;"連結 SRC"),1,0)</f>
        <v>0</v>
      </c>
      <c r="W202" s="32" t="n">
        <f aca="false">IF(AND($F202="Analogy",OR($H202="—",$H202="")),1,0)</f>
        <v>0</v>
      </c>
      <c r="X202" s="32" t="n">
        <f aca="false">IF(AND(OR($F202="Analogy",$F202="Assumed"),$G202&lt;&gt;"低",$G202&lt;&gt;"高",NOT(ISNUMBER($K202)),NOT(ISNUMBER($L202)),OR($M202="—",$M202="")),1,0)</f>
        <v>0</v>
      </c>
      <c r="Y202" s="32" t="n">
        <f aca="false">IF(AND(OR($F202="Analogy",$F202="Assumed",$F202="Derived（待改公式）",$F202="Derived（公式）"),OR($N202="—",$N202="",$N202=0)),1,0)</f>
        <v>0</v>
      </c>
      <c r="Z202" s="32" t="n">
        <f aca="false">IF(AND($F202="Decision",OR($J202="—",$J202="")),1,0)</f>
        <v>0</v>
      </c>
      <c r="AA202" s="33" t="n">
        <f aca="false">IF(OR($J202="—",$J202=""),0,IF(COUNTIF(Decisions!$A$5:$A$300,$J202)=0,1,0))</f>
        <v>0</v>
      </c>
      <c r="AB202" s="32" t="n">
        <f aca="false">IF(AND($F202="原始數據",$S202&lt;&gt;"Active"),1,0)</f>
        <v>0</v>
      </c>
      <c r="AC202" s="32" t="n">
        <f aca="false">IF(AND(ISNUMBER($K202),ISNUMBER($L202),ISNUMBER($Q202)),IF(OR($Q202&lt;MIN($K202,$L202),$Q202&gt;MAX($K202,$L202)),1,0),0)</f>
        <v>0</v>
      </c>
      <c r="AD202" s="32" t="n">
        <f aca="false">IF(AND(ISNUMBER($T202),$P202="高"),IF($T202=3,1,0),0)</f>
        <v>0</v>
      </c>
      <c r="AE202" s="32" t="n">
        <f aca="false">IF($S202="不存在",1,0)</f>
        <v>0</v>
      </c>
      <c r="AF202" s="44" t="n">
        <f aca="false">IF(OR($H202="—",$H202=""),"—",MATCH($H202,IDX_SrcID,0))</f>
        <v>191</v>
      </c>
      <c r="AG202" s="32" t="n">
        <f aca="false">IF(AND($P202="高",OR($AD202=1,$X202=1)),1,0)</f>
        <v>0</v>
      </c>
      <c r="AH202" s="32" t="n">
        <f aca="false">IF(AND($P202="高",$AG202=0,OR($F202&lt;&gt;"原始數據",$T202&lt;&gt;1)),1,0)</f>
        <v>0</v>
      </c>
      <c r="AI202" s="44" t="str">
        <f aca="false">IF(AND($P202="高",ISNUMBER($AF202)),INDEX(IDX_SrcDate,$AF202),"—")</f>
        <v>—</v>
      </c>
      <c r="AJ202" s="32" t="n">
        <f aca="false">IF(AND(ISTEXT($AI202),LEN($AI202)=10),IF(ISNUMBER(VALUE(SUBSTITUTE($AI202,"-",""))),VALUE(SUBSTITUTE($AI202,"-","")),0),0)</f>
        <v>0</v>
      </c>
    </row>
    <row r="203" customFormat="false" ht="29.25" hidden="false" customHeight="true" outlineLevel="0" collapsed="false">
      <c r="A203" s="30" t="s">
        <v>5062</v>
      </c>
      <c r="B203" s="239" t="s">
        <v>4525</v>
      </c>
      <c r="C203" s="30" t="s">
        <v>5012</v>
      </c>
      <c r="D203" s="30" t="s">
        <v>4717</v>
      </c>
      <c r="E203" s="6" t="s">
        <v>295</v>
      </c>
      <c r="F203" s="239" t="s">
        <v>348</v>
      </c>
      <c r="G203" s="239" t="s">
        <v>4527</v>
      </c>
      <c r="H203" s="30" t="s">
        <v>5063</v>
      </c>
      <c r="I203" s="20" t="s">
        <v>4562</v>
      </c>
      <c r="J203" s="30" t="s">
        <v>751</v>
      </c>
      <c r="K203" s="239"/>
      <c r="L203" s="239"/>
      <c r="M203" s="30" t="s">
        <v>751</v>
      </c>
      <c r="N203" s="20" t="s">
        <v>5064</v>
      </c>
      <c r="O203" s="6" t="s">
        <v>751</v>
      </c>
      <c r="P203" s="239" t="s">
        <v>4530</v>
      </c>
      <c r="Q203" s="49" t="n">
        <f aca="false">Arch!C9</f>
        <v>4096</v>
      </c>
      <c r="R203" s="184" t="n">
        <f aca="false">SRC_MOD_052</f>
        <v>4096</v>
      </c>
      <c r="S203" s="44" t="str">
        <f aca="false">IF(ISNUMBER($AF203),INDEX(IDX_SrcStat,$AF203),"—")</f>
        <v>Active</v>
      </c>
      <c r="T203" s="44" t="n">
        <f aca="false">IF(ISNUMBER($AF203),INDEX(IDX_SrcGrade,$AF203),"—")</f>
        <v>1</v>
      </c>
      <c r="U203" s="44" t="s">
        <v>4564</v>
      </c>
      <c r="V203" s="32" t="n">
        <f aca="false">IF(AND($F203="原始數據",$U203&lt;&gt;"連結 SRC"),1,0)</f>
        <v>0</v>
      </c>
      <c r="W203" s="32" t="n">
        <f aca="false">IF(AND($F203="Analogy",OR($H203="—",$H203="")),1,0)</f>
        <v>0</v>
      </c>
      <c r="X203" s="32" t="n">
        <f aca="false">IF(AND(OR($F203="Analogy",$F203="Assumed"),$G203&lt;&gt;"低",$G203&lt;&gt;"高",NOT(ISNUMBER($K203)),NOT(ISNUMBER($L203)),OR($M203="—",$M203="")),1,0)</f>
        <v>0</v>
      </c>
      <c r="Y203" s="32" t="n">
        <f aca="false">IF(AND(OR($F203="Analogy",$F203="Assumed",$F203="Derived（待改公式）",$F203="Derived（公式）"),OR($N203="—",$N203="",$N203=0)),1,0)</f>
        <v>0</v>
      </c>
      <c r="Z203" s="32" t="n">
        <f aca="false">IF(AND($F203="Decision",OR($J203="—",$J203="")),1,0)</f>
        <v>0</v>
      </c>
      <c r="AA203" s="33" t="n">
        <f aca="false">IF(OR($J203="—",$J203=""),0,IF(COUNTIF(Decisions!$A$5:$A$300,$J203)=0,1,0))</f>
        <v>0</v>
      </c>
      <c r="AB203" s="32" t="n">
        <f aca="false">IF(AND($F203="原始數據",$S203&lt;&gt;"Active"),1,0)</f>
        <v>0</v>
      </c>
      <c r="AC203" s="32" t="n">
        <f aca="false">IF(AND(ISNUMBER($K203),ISNUMBER($L203),ISNUMBER($Q203)),IF(OR($Q203&lt;MIN($K203,$L203),$Q203&gt;MAX($K203,$L203)),1,0),0)</f>
        <v>0</v>
      </c>
      <c r="AD203" s="32" t="n">
        <f aca="false">IF(AND(ISNUMBER($T203),$P203="高"),IF($T203=3,1,0),0)</f>
        <v>0</v>
      </c>
      <c r="AE203" s="32" t="n">
        <f aca="false">IF($S203="不存在",1,0)</f>
        <v>0</v>
      </c>
      <c r="AF203" s="44" t="n">
        <f aca="false">IF(OR($H203="—",$H203=""),"—",MATCH($H203,IDX_SrcID,0))</f>
        <v>235</v>
      </c>
      <c r="AG203" s="32" t="n">
        <f aca="false">IF(AND($P203="高",OR($AD203=1,$X203=1)),1,0)</f>
        <v>0</v>
      </c>
      <c r="AH203" s="32" t="n">
        <f aca="false">IF(AND($P203="高",$AG203=0,OR($F203&lt;&gt;"原始數據",$T203&lt;&gt;1)),1,0)</f>
        <v>0</v>
      </c>
      <c r="AI203" s="44" t="str">
        <f aca="false">IF(AND($P203="高",ISNUMBER($AF203)),INDEX(IDX_SrcDate,$AF203),"—")</f>
        <v>—</v>
      </c>
      <c r="AJ203" s="32" t="n">
        <f aca="false">IF(AND(ISTEXT($AI203),LEN($AI203)=10),IF(ISNUMBER(VALUE(SUBSTITUTE($AI203,"-",""))),VALUE(SUBSTITUTE($AI203,"-","")),0),0)</f>
        <v>0</v>
      </c>
    </row>
    <row r="204" customFormat="false" ht="15" hidden="false" customHeight="true" outlineLevel="0" collapsed="false">
      <c r="A204" s="30" t="s">
        <v>5065</v>
      </c>
      <c r="B204" s="239" t="s">
        <v>4525</v>
      </c>
      <c r="C204" s="30" t="s">
        <v>5012</v>
      </c>
      <c r="D204" s="30" t="s">
        <v>4737</v>
      </c>
      <c r="E204" s="6" t="s">
        <v>297</v>
      </c>
      <c r="F204" s="239" t="s">
        <v>348</v>
      </c>
      <c r="G204" s="239" t="s">
        <v>4527</v>
      </c>
      <c r="H204" s="30" t="s">
        <v>5066</v>
      </c>
      <c r="I204" s="20" t="s">
        <v>4562</v>
      </c>
      <c r="J204" s="30" t="s">
        <v>751</v>
      </c>
      <c r="K204" s="241"/>
      <c r="L204" s="241"/>
      <c r="M204" s="30" t="s">
        <v>751</v>
      </c>
      <c r="N204" s="240" t="str">
        <f aca="false">Arch!$G$10</f>
        <v>V4-Pro 128；V4-Flash 64（官方 config.json num_attention_heads，v5.13 讀原文）；Astra [Assumed]</v>
      </c>
      <c r="O204" s="6" t="s">
        <v>5067</v>
      </c>
      <c r="P204" s="239" t="s">
        <v>4586</v>
      </c>
      <c r="Q204" s="49" t="n">
        <f aca="false">Arch!C10</f>
        <v>64</v>
      </c>
      <c r="R204" s="184" t="n">
        <f aca="false">SRC_MOD_053</f>
        <v>64</v>
      </c>
      <c r="S204" s="44" t="str">
        <f aca="false">IF(ISNUMBER($AF204),INDEX(IDX_SrcStat,$AF204),"—")</f>
        <v>Active</v>
      </c>
      <c r="T204" s="44" t="n">
        <f aca="false">IF(ISNUMBER($AF204),INDEX(IDX_SrcGrade,$AF204),"—")</f>
        <v>1</v>
      </c>
      <c r="U204" s="44" t="s">
        <v>4564</v>
      </c>
      <c r="V204" s="32" t="n">
        <f aca="false">IF(AND($F204="原始數據",$U204&lt;&gt;"連結 SRC"),1,0)</f>
        <v>0</v>
      </c>
      <c r="W204" s="32" t="n">
        <f aca="false">IF(AND($F204="Analogy",OR($H204="—",$H204="")),1,0)</f>
        <v>0</v>
      </c>
      <c r="X204" s="32" t="n">
        <f aca="false">IF(AND(OR($F204="Analogy",$F204="Assumed"),$G204&lt;&gt;"低",$G204&lt;&gt;"高",NOT(ISNUMBER($K204)),NOT(ISNUMBER($L204)),OR($M204="—",$M204="")),1,0)</f>
        <v>0</v>
      </c>
      <c r="Y204" s="32" t="n">
        <f aca="false">IF(AND(OR($F204="Analogy",$F204="Assumed",$F204="Derived（待改公式）",$F204="Derived（公式）"),OR($N204="—",$N204="",$N204=0)),1,0)</f>
        <v>0</v>
      </c>
      <c r="Z204" s="32" t="n">
        <f aca="false">IF(AND($F204="Decision",OR($J204="—",$J204="")),1,0)</f>
        <v>0</v>
      </c>
      <c r="AA204" s="33" t="n">
        <f aca="false">IF(OR($J204="—",$J204=""),0,IF(COUNTIF(Decisions!$A$5:$A$300,$J204)=0,1,0))</f>
        <v>0</v>
      </c>
      <c r="AB204" s="32" t="n">
        <f aca="false">IF(AND($F204="原始數據",$S204&lt;&gt;"Active"),1,0)</f>
        <v>0</v>
      </c>
      <c r="AC204" s="32" t="n">
        <f aca="false">IF(AND(ISNUMBER($K204),ISNUMBER($L204),ISNUMBER($Q204)),IF(OR($Q204&lt;MIN($K204,$L204),$Q204&gt;MAX($K204,$L204)),1,0),0)</f>
        <v>0</v>
      </c>
      <c r="AD204" s="32" t="n">
        <f aca="false">IF(AND(ISNUMBER($T204),$P204="高"),IF($T204=3,1,0),0)</f>
        <v>0</v>
      </c>
      <c r="AE204" s="32" t="n">
        <f aca="false">IF($S204="不存在",1,0)</f>
        <v>0</v>
      </c>
      <c r="AF204" s="44" t="n">
        <f aca="false">IF(OR($H204="—",$H204=""),"—",MATCH($H204,IDX_SrcID,0))</f>
        <v>236</v>
      </c>
      <c r="AG204" s="32" t="n">
        <f aca="false">IF(AND($P204="高",OR($AD204=1,$X204=1)),1,0)</f>
        <v>0</v>
      </c>
      <c r="AH204" s="32" t="n">
        <f aca="false">IF(AND($P204="高",$AG204=0,OR($F204&lt;&gt;"原始數據",$T204&lt;&gt;1)),1,0)</f>
        <v>0</v>
      </c>
      <c r="AI204" s="44" t="str">
        <f aca="false">IF(AND($P204="高",ISNUMBER($AF204)),INDEX(IDX_SrcDate,$AF204),"—")</f>
        <v>—</v>
      </c>
      <c r="AJ204" s="32" t="n">
        <f aca="false">IF(AND(ISTEXT($AI204),LEN($AI204)=10),IF(ISNUMBER(VALUE(SUBSTITUTE($AI204,"-",""))),VALUE(SUBSTITUTE($AI204,"-","")),0),0)</f>
        <v>0</v>
      </c>
    </row>
    <row r="205" customFormat="false" ht="29.25" hidden="false" customHeight="true" outlineLevel="0" collapsed="false">
      <c r="A205" s="30" t="s">
        <v>5068</v>
      </c>
      <c r="B205" s="239" t="s">
        <v>4525</v>
      </c>
      <c r="C205" s="30" t="s">
        <v>5012</v>
      </c>
      <c r="D205" s="30" t="s">
        <v>5069</v>
      </c>
      <c r="E205" s="20" t="s">
        <v>5070</v>
      </c>
      <c r="F205" s="239" t="s">
        <v>348</v>
      </c>
      <c r="G205" s="239" t="s">
        <v>4527</v>
      </c>
      <c r="H205" s="30" t="s">
        <v>5071</v>
      </c>
      <c r="I205" s="20" t="s">
        <v>4870</v>
      </c>
      <c r="J205" s="30" t="s">
        <v>751</v>
      </c>
      <c r="K205" s="239"/>
      <c r="L205" s="239"/>
      <c r="M205" s="30" t="s">
        <v>751</v>
      </c>
      <c r="N205" s="20" t="s">
        <v>4665</v>
      </c>
      <c r="O205" s="6" t="s">
        <v>751</v>
      </c>
      <c r="P205" s="239" t="s">
        <v>4530</v>
      </c>
      <c r="Q205" s="49" t="n">
        <f aca="false">Arch!C17</f>
        <v>4224</v>
      </c>
      <c r="R205" s="184" t="n">
        <f aca="false">SRC_MOD_018</f>
        <v>1024</v>
      </c>
      <c r="S205" s="44" t="str">
        <f aca="false">IF(ISNUMBER($AF205),INDEX(IDX_SrcStat,$AF205),"—")</f>
        <v>Active</v>
      </c>
      <c r="T205" s="44" t="n">
        <f aca="false">IF(ISNUMBER($AF205),INDEX(IDX_SrcGrade,$AF205),"—")</f>
        <v>3</v>
      </c>
      <c r="U205" s="44" t="s">
        <v>4564</v>
      </c>
      <c r="V205" s="32" t="n">
        <f aca="false">IF(AND($F205="原始數據",$U205&lt;&gt;"連結 SRC"),1,0)</f>
        <v>0</v>
      </c>
      <c r="W205" s="32" t="n">
        <f aca="false">IF(AND($F205="Analogy",OR($H205="—",$H205="")),1,0)</f>
        <v>0</v>
      </c>
      <c r="X205" s="32" t="n">
        <f aca="false">IF(AND(OR($F205="Analogy",$F205="Assumed"),$G205&lt;&gt;"低",$G205&lt;&gt;"高",NOT(ISNUMBER($K205)),NOT(ISNUMBER($L205)),OR($M205="—",$M205="")),1,0)</f>
        <v>0</v>
      </c>
      <c r="Y205" s="32" t="n">
        <f aca="false">IF(AND(OR($F205="Analogy",$F205="Assumed",$F205="Derived（待改公式）",$F205="Derived（公式）"),OR($N205="—",$N205="",$N205=0)),1,0)</f>
        <v>0</v>
      </c>
      <c r="Z205" s="32" t="n">
        <f aca="false">IF(AND($F205="Decision",OR($J205="—",$J205="")),1,0)</f>
        <v>0</v>
      </c>
      <c r="AA205" s="33" t="n">
        <f aca="false">IF(OR($J205="—",$J205=""),0,IF(COUNTIF(Decisions!$A$5:$A$300,$J205)=0,1,0))</f>
        <v>0</v>
      </c>
      <c r="AB205" s="32" t="n">
        <f aca="false">IF(AND($F205="原始數據",$S205&lt;&gt;"Active"),1,0)</f>
        <v>0</v>
      </c>
      <c r="AC205" s="32" t="n">
        <f aca="false">IF(AND(ISNUMBER($K205),ISNUMBER($L205),ISNUMBER($Q205)),IF(OR($Q205&lt;MIN($K205,$L205),$Q205&gt;MAX($K205,$L205)),1,0),0)</f>
        <v>0</v>
      </c>
      <c r="AD205" s="32" t="n">
        <f aca="false">IF(AND(ISNUMBER($T205),$P205="高"),IF($T205=3,1,0),0)</f>
        <v>0</v>
      </c>
      <c r="AE205" s="32" t="n">
        <f aca="false">IF($S205="不存在",1,0)</f>
        <v>0</v>
      </c>
      <c r="AF205" s="44" t="n">
        <f aca="false">IF(OR($H205="—",$H205=""),"—",MATCH($H205,IDX_SrcID,0))</f>
        <v>201</v>
      </c>
      <c r="AG205" s="32" t="n">
        <f aca="false">IF(AND($P205="高",OR($AD205=1,$X205=1)),1,0)</f>
        <v>0</v>
      </c>
      <c r="AH205" s="32" t="n">
        <f aca="false">IF(AND($P205="高",$AG205=0,OR($F205&lt;&gt;"原始數據",$T205&lt;&gt;1)),1,0)</f>
        <v>0</v>
      </c>
      <c r="AI205" s="44" t="str">
        <f aca="false">IF(AND($P205="高",ISNUMBER($AF205)),INDEX(IDX_SrcDate,$AF205),"—")</f>
        <v>—</v>
      </c>
      <c r="AJ205" s="32" t="n">
        <f aca="false">IF(AND(ISTEXT($AI205),LEN($AI205)=10),IF(ISNUMBER(VALUE(SUBSTITUTE($AI205,"-",""))),VALUE(SUBSTITUTE($AI205,"-","")),0),0)</f>
        <v>0</v>
      </c>
    </row>
    <row r="206" customFormat="false" ht="29.25" hidden="false" customHeight="true" outlineLevel="0" collapsed="false">
      <c r="A206" s="30" t="s">
        <v>5072</v>
      </c>
      <c r="B206" s="239" t="s">
        <v>4525</v>
      </c>
      <c r="C206" s="30" t="s">
        <v>5012</v>
      </c>
      <c r="D206" s="30" t="s">
        <v>4580</v>
      </c>
      <c r="E206" s="20" t="s">
        <v>5070</v>
      </c>
      <c r="F206" s="239" t="s">
        <v>348</v>
      </c>
      <c r="G206" s="239" t="s">
        <v>4527</v>
      </c>
      <c r="H206" s="30" t="s">
        <v>5071</v>
      </c>
      <c r="I206" s="20" t="s">
        <v>4870</v>
      </c>
      <c r="J206" s="30" t="s">
        <v>751</v>
      </c>
      <c r="K206" s="239"/>
      <c r="L206" s="239"/>
      <c r="M206" s="30" t="s">
        <v>751</v>
      </c>
      <c r="N206" s="20" t="s">
        <v>4665</v>
      </c>
      <c r="O206" s="6" t="s">
        <v>751</v>
      </c>
      <c r="P206" s="239" t="s">
        <v>4530</v>
      </c>
      <c r="Q206" s="49" t="n">
        <f aca="false">Arch!D17</f>
        <v>4224</v>
      </c>
      <c r="R206" s="184" t="n">
        <f aca="false">SRC_MOD_018</f>
        <v>1024</v>
      </c>
      <c r="S206" s="44" t="str">
        <f aca="false">IF(ISNUMBER($AF206),INDEX(IDX_SrcStat,$AF206),"—")</f>
        <v>Active</v>
      </c>
      <c r="T206" s="44" t="n">
        <f aca="false">IF(ISNUMBER($AF206),INDEX(IDX_SrcGrade,$AF206),"—")</f>
        <v>3</v>
      </c>
      <c r="U206" s="44" t="s">
        <v>4564</v>
      </c>
      <c r="V206" s="32" t="n">
        <f aca="false">IF(AND($F206="原始數據",$U206&lt;&gt;"連結 SRC"),1,0)</f>
        <v>0</v>
      </c>
      <c r="W206" s="32" t="n">
        <f aca="false">IF(AND($F206="Analogy",OR($H206="—",$H206="")),1,0)</f>
        <v>0</v>
      </c>
      <c r="X206" s="32" t="n">
        <f aca="false">IF(AND(OR($F206="Analogy",$F206="Assumed"),$G206&lt;&gt;"低",$G206&lt;&gt;"高",NOT(ISNUMBER($K206)),NOT(ISNUMBER($L206)),OR($M206="—",$M206="")),1,0)</f>
        <v>0</v>
      </c>
      <c r="Y206" s="32" t="n">
        <f aca="false">IF(AND(OR($F206="Analogy",$F206="Assumed",$F206="Derived（待改公式）",$F206="Derived（公式）"),OR($N206="—",$N206="",$N206=0)),1,0)</f>
        <v>0</v>
      </c>
      <c r="Z206" s="32" t="n">
        <f aca="false">IF(AND($F206="Decision",OR($J206="—",$J206="")),1,0)</f>
        <v>0</v>
      </c>
      <c r="AA206" s="33" t="n">
        <f aca="false">IF(OR($J206="—",$J206=""),0,IF(COUNTIF(Decisions!$A$5:$A$300,$J206)=0,1,0))</f>
        <v>0</v>
      </c>
      <c r="AB206" s="32" t="n">
        <f aca="false">IF(AND($F206="原始數據",$S206&lt;&gt;"Active"),1,0)</f>
        <v>0</v>
      </c>
      <c r="AC206" s="32" t="n">
        <f aca="false">IF(AND(ISNUMBER($K206),ISNUMBER($L206),ISNUMBER($Q206)),IF(OR($Q206&lt;MIN($K206,$L206),$Q206&gt;MAX($K206,$L206)),1,0),0)</f>
        <v>0</v>
      </c>
      <c r="AD206" s="32" t="n">
        <f aca="false">IF(AND(ISNUMBER($T206),$P206="高"),IF($T206=3,1,0),0)</f>
        <v>0</v>
      </c>
      <c r="AE206" s="32" t="n">
        <f aca="false">IF($S206="不存在",1,0)</f>
        <v>0</v>
      </c>
      <c r="AF206" s="44" t="n">
        <f aca="false">IF(OR($H206="—",$H206=""),"—",MATCH($H206,IDX_SrcID,0))</f>
        <v>201</v>
      </c>
      <c r="AG206" s="32" t="n">
        <f aca="false">IF(AND($P206="高",OR($AD206=1,$X206=1)),1,0)</f>
        <v>0</v>
      </c>
      <c r="AH206" s="32" t="n">
        <f aca="false">IF(AND($P206="高",$AG206=0,OR($F206&lt;&gt;"原始數據",$T206&lt;&gt;1)),1,0)</f>
        <v>0</v>
      </c>
      <c r="AI206" s="44" t="str">
        <f aca="false">IF(AND($P206="高",ISNUMBER($AF206)),INDEX(IDX_SrcDate,$AF206),"—")</f>
        <v>—</v>
      </c>
      <c r="AJ206" s="32" t="n">
        <f aca="false">IF(AND(ISTEXT($AI206),LEN($AI206)=10),IF(ISNUMBER(VALUE(SUBSTITUTE($AI206,"-",""))),VALUE(SUBSTITUTE($AI206,"-","")),0),0)</f>
        <v>0</v>
      </c>
    </row>
    <row r="207" customFormat="false" ht="40.5" hidden="false" customHeight="true" outlineLevel="0" collapsed="false">
      <c r="A207" s="30" t="s">
        <v>5073</v>
      </c>
      <c r="B207" s="239" t="s">
        <v>4525</v>
      </c>
      <c r="C207" s="30" t="s">
        <v>5012</v>
      </c>
      <c r="D207" s="30" t="s">
        <v>4307</v>
      </c>
      <c r="E207" s="20" t="s">
        <v>286</v>
      </c>
      <c r="F207" s="30" t="s">
        <v>114</v>
      </c>
      <c r="G207" s="239" t="s">
        <v>4527</v>
      </c>
      <c r="H207" s="30" t="s">
        <v>751</v>
      </c>
      <c r="I207" s="6" t="s">
        <v>751</v>
      </c>
      <c r="J207" s="30" t="s">
        <v>751</v>
      </c>
      <c r="K207" s="241" t="n">
        <v>2000</v>
      </c>
      <c r="L207" s="241" t="n">
        <v>10000</v>
      </c>
      <c r="M207" s="30" t="s">
        <v>5074</v>
      </c>
      <c r="N207" s="240" t="str">
        <f aca="false">Arch!$G$6&amp;" ｜補充旗標（IF 全欄分段，非分段依據）：高"&amp;" ｜v5.19 X2 升段：單變數擺動 +6.8%／+24.3%（低／高端；IF_RevGW_Astra VR200）；chat 端掃描 2026-10-06"&amp;" ｜v5.20 X3：6.2 齊備（DB_Evidence E237；摘要級）"&amp;" ｜v5.25 X12：Epoch GPT-6 Astra 1.0e27（E248）；J8 未結"&amp;" ｜v5.27：Kimi K3（E253）"</f>
        <v>V4-Flash 284B、V4-Pro 1.6T（模型卡，S27）；Astra 4T [Assumed，區間 2–10T] ｜補充旗標（IF 全欄分段，非分段依據）：高 ｜v5.19 X2 升段：單變數擺動 +6.8%／+24.3%（低／高端；IF_RevGW_Astra VR200）；chat 端掃描 2026-10-06 ｜v5.20 X3：6.2 齊備（DB_Evidence E237；摘要級） ｜v5.25 X12：Epoch GPT-6 Astra 1.0e27（E248）；J8 未結 ｜v5.27：Kimi K3（E253）</v>
      </c>
      <c r="O207" s="6" t="s">
        <v>751</v>
      </c>
      <c r="P207" s="239" t="s">
        <v>1309</v>
      </c>
      <c r="Q207" s="49" t="n">
        <f aca="false">Arch!E6</f>
        <v>4000</v>
      </c>
      <c r="R207" s="30" t="s">
        <v>751</v>
      </c>
      <c r="S207" s="44" t="str">
        <f aca="false">IF(ISNUMBER($AF207),INDEX(IDX_SrcStat,$AF207),"—")</f>
        <v>—</v>
      </c>
      <c r="T207" s="44" t="str">
        <f aca="false">IF(ISNUMBER($AF207),INDEX(IDX_SrcGrade,$AF207),"—")</f>
        <v>—</v>
      </c>
      <c r="U207" s="44" t="s">
        <v>4531</v>
      </c>
      <c r="V207" s="32" t="n">
        <f aca="false">IF(AND($F207="原始數據",$U207&lt;&gt;"連結 SRC"),1,0)</f>
        <v>0</v>
      </c>
      <c r="W207" s="32" t="n">
        <f aca="false">IF(AND($F207="Analogy",OR($H207="—",$H207="")),1,0)</f>
        <v>0</v>
      </c>
      <c r="X207" s="32" t="n">
        <f aca="false">IF(AND(OR($F207="Analogy",$F207="Assumed"),$G207&lt;&gt;"低",$G207&lt;&gt;"高",NOT(ISNUMBER($K207)),NOT(ISNUMBER($L207)),OR($M207="—",$M207="")),1,0)</f>
        <v>0</v>
      </c>
      <c r="Y207" s="32" t="n">
        <f aca="false">IF(AND(OR($F207="Analogy",$F207="Assumed",$F207="Derived（待改公式）",$F207="Derived（公式）"),OR($N207="—",$N207="",$N207=0)),1,0)</f>
        <v>0</v>
      </c>
      <c r="Z207" s="32" t="n">
        <f aca="false">IF(AND($F207="Decision",OR($J207="—",$J207="")),1,0)</f>
        <v>0</v>
      </c>
      <c r="AA207" s="33" t="n">
        <f aca="false">IF(OR($J207="—",$J207=""),0,IF(COUNTIF(Decisions!$A$5:$A$300,$J207)=0,1,0))</f>
        <v>0</v>
      </c>
      <c r="AB207" s="32" t="n">
        <f aca="false">IF(AND($F207="原始數據",$S207&lt;&gt;"Active"),1,0)</f>
        <v>0</v>
      </c>
      <c r="AC207" s="32" t="n">
        <f aca="false">IF(AND(ISNUMBER($K207),ISNUMBER($L207),ISNUMBER($Q207)),IF(OR($Q207&lt;MIN($K207,$L207),$Q207&gt;MAX($K207,$L207)),1,0),0)</f>
        <v>0</v>
      </c>
      <c r="AD207" s="32" t="n">
        <f aca="false">IF(AND(ISNUMBER($T207),$P207="高"),IF($T207=3,1,0),0)</f>
        <v>0</v>
      </c>
      <c r="AE207" s="32" t="n">
        <f aca="false">IF($S207="不存在",1,0)</f>
        <v>0</v>
      </c>
      <c r="AF207" s="44" t="str">
        <f aca="false">IF(OR($H207="—",$H207=""),"—",MATCH($H207,IDX_SrcID,0))</f>
        <v>—</v>
      </c>
      <c r="AG207" s="32" t="n">
        <f aca="false">IF(AND($P207="高",OR($AD207=1,$X207=1)),1,0)</f>
        <v>0</v>
      </c>
      <c r="AH207" s="32" t="n">
        <f aca="false">IF(AND($P207="高",$AG207=0,OR($F207&lt;&gt;"原始數據",$T207&lt;&gt;1)),1,0)</f>
        <v>1</v>
      </c>
      <c r="AI207" s="44" t="str">
        <f aca="false">IF(AND($P207="高",ISNUMBER($AF207)),INDEX(IDX_SrcDate,$AF207),"—")</f>
        <v>—</v>
      </c>
      <c r="AJ207" s="32" t="n">
        <f aca="false">IF(AND(ISTEXT($AI207),LEN($AI207)=10),IF(ISNUMBER(VALUE(SUBSTITUTE($AI207,"-",""))),VALUE(SUBSTITUTE($AI207,"-","")),0),0)</f>
        <v>0</v>
      </c>
    </row>
    <row r="208" customFormat="false" ht="29.25" hidden="false" customHeight="true" outlineLevel="0" collapsed="false">
      <c r="A208" s="30" t="s">
        <v>5075</v>
      </c>
      <c r="B208" s="239" t="s">
        <v>4525</v>
      </c>
      <c r="C208" s="30" t="s">
        <v>5012</v>
      </c>
      <c r="D208" s="30" t="s">
        <v>4310</v>
      </c>
      <c r="E208" s="20" t="s">
        <v>290</v>
      </c>
      <c r="F208" s="30" t="s">
        <v>114</v>
      </c>
      <c r="G208" s="239" t="s">
        <v>4527</v>
      </c>
      <c r="H208" s="30" t="s">
        <v>751</v>
      </c>
      <c r="I208" s="6" t="s">
        <v>751</v>
      </c>
      <c r="J208" s="30" t="s">
        <v>751</v>
      </c>
      <c r="K208" s="241" t="n">
        <v>60</v>
      </c>
      <c r="L208" s="241" t="n">
        <v>250</v>
      </c>
      <c r="M208" s="30" t="s">
        <v>5076</v>
      </c>
      <c r="N208" s="240" t="str">
        <f aca="false">Arch!$G$7&amp;" ｜v5.25 X12：Epoch GPT-6 Astra 1.0e27（E248）；J8 未結"&amp;" ｜v5.27：Kimi K3（E253）"</f>
        <v>V4-Flash 13B、V4-Pro 49B；Astra 180B [Assumed，區間 60–250B] ｜v5.25 X12：Epoch GPT-6 Astra 1.0e27（E248）；J8 未結 ｜v5.27：Kimi K3（E253）</v>
      </c>
      <c r="O208" s="6" t="s">
        <v>751</v>
      </c>
      <c r="P208" s="239" t="s">
        <v>1309</v>
      </c>
      <c r="Q208" s="49" t="n">
        <f aca="false">Arch!E7</f>
        <v>180</v>
      </c>
      <c r="R208" s="30" t="s">
        <v>751</v>
      </c>
      <c r="S208" s="44" t="str">
        <f aca="false">IF(ISNUMBER($AF208),INDEX(IDX_SrcStat,$AF208),"—")</f>
        <v>—</v>
      </c>
      <c r="T208" s="44" t="str">
        <f aca="false">IF(ISNUMBER($AF208),INDEX(IDX_SrcGrade,$AF208),"—")</f>
        <v>—</v>
      </c>
      <c r="U208" s="44" t="s">
        <v>4531</v>
      </c>
      <c r="V208" s="32" t="n">
        <f aca="false">IF(AND($F208="原始數據",$U208&lt;&gt;"連結 SRC"),1,0)</f>
        <v>0</v>
      </c>
      <c r="W208" s="32" t="n">
        <f aca="false">IF(AND($F208="Analogy",OR($H208="—",$H208="")),1,0)</f>
        <v>0</v>
      </c>
      <c r="X208" s="32" t="n">
        <f aca="false">IF(AND(OR($F208="Analogy",$F208="Assumed"),$G208&lt;&gt;"低",$G208&lt;&gt;"高",NOT(ISNUMBER($K208)),NOT(ISNUMBER($L208)),OR($M208="—",$M208="")),1,0)</f>
        <v>0</v>
      </c>
      <c r="Y208" s="32" t="n">
        <f aca="false">IF(AND(OR($F208="Analogy",$F208="Assumed",$F208="Derived（待改公式）",$F208="Derived（公式）"),OR($N208="—",$N208="",$N208=0)),1,0)</f>
        <v>0</v>
      </c>
      <c r="Z208" s="32" t="n">
        <f aca="false">IF(AND($F208="Decision",OR($J208="—",$J208="")),1,0)</f>
        <v>0</v>
      </c>
      <c r="AA208" s="33" t="n">
        <f aca="false">IF(OR($J208="—",$J208=""),0,IF(COUNTIF(Decisions!$A$5:$A$300,$J208)=0,1,0))</f>
        <v>0</v>
      </c>
      <c r="AB208" s="32" t="n">
        <f aca="false">IF(AND($F208="原始數據",$S208&lt;&gt;"Active"),1,0)</f>
        <v>0</v>
      </c>
      <c r="AC208" s="32" t="n">
        <f aca="false">IF(AND(ISNUMBER($K208),ISNUMBER($L208),ISNUMBER($Q208)),IF(OR($Q208&lt;MIN($K208,$L208),$Q208&gt;MAX($K208,$L208)),1,0),0)</f>
        <v>0</v>
      </c>
      <c r="AD208" s="32" t="n">
        <f aca="false">IF(AND(ISNUMBER($T208),$P208="高"),IF($T208=3,1,0),0)</f>
        <v>0</v>
      </c>
      <c r="AE208" s="32" t="n">
        <f aca="false">IF($S208="不存在",1,0)</f>
        <v>0</v>
      </c>
      <c r="AF208" s="44" t="str">
        <f aca="false">IF(OR($H208="—",$H208=""),"—",MATCH($H208,IDX_SrcID,0))</f>
        <v>—</v>
      </c>
      <c r="AG208" s="32" t="n">
        <f aca="false">IF(AND($P208="高",OR($AD208=1,$X208=1)),1,0)</f>
        <v>0</v>
      </c>
      <c r="AH208" s="32" t="n">
        <f aca="false">IF(AND($P208="高",$AG208=0,OR($F208&lt;&gt;"原始數據",$T208&lt;&gt;1)),1,0)</f>
        <v>1</v>
      </c>
      <c r="AI208" s="44" t="str">
        <f aca="false">IF(AND($P208="高",ISNUMBER($AF208)),INDEX(IDX_SrcDate,$AF208),"—")</f>
        <v>—</v>
      </c>
      <c r="AJ208" s="32" t="n">
        <f aca="false">IF(AND(ISTEXT($AI208),LEN($AI208)=10),IF(ISNUMBER(VALUE(SUBSTITUTE($AI208,"-",""))),VALUE(SUBSTITUTE($AI208,"-","")),0),0)</f>
        <v>0</v>
      </c>
    </row>
    <row r="209" customFormat="false" ht="15" hidden="false" customHeight="true" outlineLevel="0" collapsed="false">
      <c r="A209" s="30" t="s">
        <v>5077</v>
      </c>
      <c r="B209" s="239" t="s">
        <v>4525</v>
      </c>
      <c r="C209" s="30" t="s">
        <v>5012</v>
      </c>
      <c r="D209" s="30" t="s">
        <v>4313</v>
      </c>
      <c r="E209" s="20" t="s">
        <v>292</v>
      </c>
      <c r="F209" s="30" t="s">
        <v>114</v>
      </c>
      <c r="G209" s="239" t="s">
        <v>4527</v>
      </c>
      <c r="H209" s="30" t="s">
        <v>751</v>
      </c>
      <c r="I209" s="6" t="s">
        <v>751</v>
      </c>
      <c r="J209" s="30" t="s">
        <v>751</v>
      </c>
      <c r="K209" s="241" t="n">
        <v>80</v>
      </c>
      <c r="L209" s="241" t="n">
        <v>160</v>
      </c>
      <c r="M209" s="30" t="s">
        <v>5078</v>
      </c>
      <c r="N209" s="6" t="s">
        <v>5079</v>
      </c>
      <c r="O209" s="6" t="s">
        <v>751</v>
      </c>
      <c r="P209" s="239" t="s">
        <v>1309</v>
      </c>
      <c r="Q209" s="49" t="n">
        <f aca="false">Arch!E8</f>
        <v>100</v>
      </c>
      <c r="R209" s="30" t="s">
        <v>751</v>
      </c>
      <c r="S209" s="44" t="str">
        <f aca="false">IF(ISNUMBER($AF209),INDEX(IDX_SrcStat,$AF209),"—")</f>
        <v>—</v>
      </c>
      <c r="T209" s="44" t="str">
        <f aca="false">IF(ISNUMBER($AF209),INDEX(IDX_SrcGrade,$AF209),"—")</f>
        <v>—</v>
      </c>
      <c r="U209" s="44" t="s">
        <v>4531</v>
      </c>
      <c r="V209" s="32" t="n">
        <f aca="false">IF(AND($F209="原始數據",$U209&lt;&gt;"連結 SRC"),1,0)</f>
        <v>0</v>
      </c>
      <c r="W209" s="32" t="n">
        <f aca="false">IF(AND($F209="Analogy",OR($H209="—",$H209="")),1,0)</f>
        <v>0</v>
      </c>
      <c r="X209" s="32" t="n">
        <f aca="false">IF(AND(OR($F209="Analogy",$F209="Assumed"),$G209&lt;&gt;"低",$G209&lt;&gt;"高",NOT(ISNUMBER($K209)),NOT(ISNUMBER($L209)),OR($M209="—",$M209="")),1,0)</f>
        <v>0</v>
      </c>
      <c r="Y209" s="32" t="n">
        <f aca="false">IF(AND(OR($F209="Analogy",$F209="Assumed",$F209="Derived（待改公式）",$F209="Derived（公式）"),OR($N209="—",$N209="",$N209=0)),1,0)</f>
        <v>0</v>
      </c>
      <c r="Z209" s="32" t="n">
        <f aca="false">IF(AND($F209="Decision",OR($J209="—",$J209="")),1,0)</f>
        <v>0</v>
      </c>
      <c r="AA209" s="33" t="n">
        <f aca="false">IF(OR($J209="—",$J209=""),0,IF(COUNTIF(Decisions!$A$5:$A$300,$J209)=0,1,0))</f>
        <v>0</v>
      </c>
      <c r="AB209" s="32" t="n">
        <f aca="false">IF(AND($F209="原始數據",$S209&lt;&gt;"Active"),1,0)</f>
        <v>0</v>
      </c>
      <c r="AC209" s="32" t="n">
        <f aca="false">IF(AND(ISNUMBER($K209),ISNUMBER($L209),ISNUMBER($Q209)),IF(OR($Q209&lt;MIN($K209,$L209),$Q209&gt;MAX($K209,$L209)),1,0),0)</f>
        <v>0</v>
      </c>
      <c r="AD209" s="32" t="n">
        <f aca="false">IF(AND(ISNUMBER($T209),$P209="高"),IF($T209=3,1,0),0)</f>
        <v>0</v>
      </c>
      <c r="AE209" s="32" t="n">
        <f aca="false">IF($S209="不存在",1,0)</f>
        <v>0</v>
      </c>
      <c r="AF209" s="44" t="str">
        <f aca="false">IF(OR($H209="—",$H209=""),"—",MATCH($H209,IDX_SrcID,0))</f>
        <v>—</v>
      </c>
      <c r="AG209" s="32" t="n">
        <f aca="false">IF(AND($P209="高",OR($AD209=1,$X209=1)),1,0)</f>
        <v>0</v>
      </c>
      <c r="AH209" s="32" t="n">
        <f aca="false">IF(AND($P209="高",$AG209=0,OR($F209&lt;&gt;"原始數據",$T209&lt;&gt;1)),1,0)</f>
        <v>1</v>
      </c>
      <c r="AI209" s="44" t="str">
        <f aca="false">IF(AND($P209="高",ISNUMBER($AF209)),INDEX(IDX_SrcDate,$AF209),"—")</f>
        <v>—</v>
      </c>
      <c r="AJ209" s="32" t="n">
        <f aca="false">IF(AND(ISTEXT($AI209),LEN($AI209)=10),IF(ISNUMBER(VALUE(SUBSTITUTE($AI209,"-",""))),VALUE(SUBSTITUTE($AI209,"-","")),0),0)</f>
        <v>0</v>
      </c>
    </row>
    <row r="210" customFormat="false" ht="15" hidden="false" customHeight="true" outlineLevel="0" collapsed="false">
      <c r="A210" s="30" t="s">
        <v>5080</v>
      </c>
      <c r="B210" s="239" t="s">
        <v>4525</v>
      </c>
      <c r="C210" s="30" t="s">
        <v>5012</v>
      </c>
      <c r="D210" s="30" t="s">
        <v>4316</v>
      </c>
      <c r="E210" s="6" t="s">
        <v>295</v>
      </c>
      <c r="F210" s="30" t="s">
        <v>114</v>
      </c>
      <c r="G210" s="239" t="s">
        <v>4527</v>
      </c>
      <c r="H210" s="30" t="s">
        <v>751</v>
      </c>
      <c r="I210" s="6" t="s">
        <v>751</v>
      </c>
      <c r="J210" s="30" t="s">
        <v>751</v>
      </c>
      <c r="K210" s="241" t="n">
        <v>8192</v>
      </c>
      <c r="L210" s="241" t="n">
        <v>16384</v>
      </c>
      <c r="M210" s="30" t="s">
        <v>5081</v>
      </c>
      <c r="N210" s="6" t="s">
        <v>5082</v>
      </c>
      <c r="O210" s="6" t="s">
        <v>751</v>
      </c>
      <c r="P210" s="239" t="s">
        <v>4530</v>
      </c>
      <c r="Q210" s="49" t="n">
        <f aca="false">Arch!E9</f>
        <v>12288</v>
      </c>
      <c r="R210" s="30" t="s">
        <v>751</v>
      </c>
      <c r="S210" s="44" t="str">
        <f aca="false">IF(ISNUMBER($AF210),INDEX(IDX_SrcStat,$AF210),"—")</f>
        <v>—</v>
      </c>
      <c r="T210" s="44" t="str">
        <f aca="false">IF(ISNUMBER($AF210),INDEX(IDX_SrcGrade,$AF210),"—")</f>
        <v>—</v>
      </c>
      <c r="U210" s="44" t="s">
        <v>4531</v>
      </c>
      <c r="V210" s="32" t="n">
        <f aca="false">IF(AND($F210="原始數據",$U210&lt;&gt;"連結 SRC"),1,0)</f>
        <v>0</v>
      </c>
      <c r="W210" s="32" t="n">
        <f aca="false">IF(AND($F210="Analogy",OR($H210="—",$H210="")),1,0)</f>
        <v>0</v>
      </c>
      <c r="X210" s="32" t="n">
        <f aca="false">IF(AND(OR($F210="Analogy",$F210="Assumed"),$G210&lt;&gt;"低",$G210&lt;&gt;"高",NOT(ISNUMBER($K210)),NOT(ISNUMBER($L210)),OR($M210="—",$M210="")),1,0)</f>
        <v>0</v>
      </c>
      <c r="Y210" s="32" t="n">
        <f aca="false">IF(AND(OR($F210="Analogy",$F210="Assumed",$F210="Derived（待改公式）",$F210="Derived（公式）"),OR($N210="—",$N210="",$N210=0)),1,0)</f>
        <v>0</v>
      </c>
      <c r="Z210" s="32" t="n">
        <f aca="false">IF(AND($F210="Decision",OR($J210="—",$J210="")),1,0)</f>
        <v>0</v>
      </c>
      <c r="AA210" s="33" t="n">
        <f aca="false">IF(OR($J210="—",$J210=""),0,IF(COUNTIF(Decisions!$A$5:$A$300,$J210)=0,1,0))</f>
        <v>0</v>
      </c>
      <c r="AB210" s="32" t="n">
        <f aca="false">IF(AND($F210="原始數據",$S210&lt;&gt;"Active"),1,0)</f>
        <v>0</v>
      </c>
      <c r="AC210" s="32" t="n">
        <f aca="false">IF(AND(ISNUMBER($K210),ISNUMBER($L210),ISNUMBER($Q210)),IF(OR($Q210&lt;MIN($K210,$L210),$Q210&gt;MAX($K210,$L210)),1,0),0)</f>
        <v>0</v>
      </c>
      <c r="AD210" s="32" t="n">
        <f aca="false">IF(AND(ISNUMBER($T210),$P210="高"),IF($T210=3,1,0),0)</f>
        <v>0</v>
      </c>
      <c r="AE210" s="32" t="n">
        <f aca="false">IF($S210="不存在",1,0)</f>
        <v>0</v>
      </c>
      <c r="AF210" s="44" t="str">
        <f aca="false">IF(OR($H210="—",$H210=""),"—",MATCH($H210,IDX_SrcID,0))</f>
        <v>—</v>
      </c>
      <c r="AG210" s="32" t="n">
        <f aca="false">IF(AND($P210="高",OR($AD210=1,$X210=1)),1,0)</f>
        <v>0</v>
      </c>
      <c r="AH210" s="32" t="n">
        <f aca="false">IF(AND($P210="高",$AG210=0,OR($F210&lt;&gt;"原始數據",$T210&lt;&gt;1)),1,0)</f>
        <v>0</v>
      </c>
      <c r="AI210" s="44" t="str">
        <f aca="false">IF(AND($P210="高",ISNUMBER($AF210)),INDEX(IDX_SrcDate,$AF210),"—")</f>
        <v>—</v>
      </c>
      <c r="AJ210" s="32" t="n">
        <f aca="false">IF(AND(ISTEXT($AI210),LEN($AI210)=10),IF(ISNUMBER(VALUE(SUBSTITUTE($AI210,"-",""))),VALUE(SUBSTITUTE($AI210,"-","")),0),0)</f>
        <v>0</v>
      </c>
    </row>
    <row r="211" customFormat="false" ht="15" hidden="false" customHeight="true" outlineLevel="0" collapsed="false">
      <c r="A211" s="30" t="s">
        <v>5083</v>
      </c>
      <c r="B211" s="239" t="s">
        <v>4525</v>
      </c>
      <c r="C211" s="30" t="s">
        <v>5012</v>
      </c>
      <c r="D211" s="30" t="s">
        <v>4319</v>
      </c>
      <c r="E211" s="6" t="s">
        <v>297</v>
      </c>
      <c r="F211" s="30" t="s">
        <v>114</v>
      </c>
      <c r="G211" s="239" t="s">
        <v>4527</v>
      </c>
      <c r="H211" s="30" t="s">
        <v>751</v>
      </c>
      <c r="I211" s="6" t="s">
        <v>751</v>
      </c>
      <c r="J211" s="30" t="s">
        <v>751</v>
      </c>
      <c r="K211" s="241" t="n">
        <v>64</v>
      </c>
      <c r="L211" s="241" t="n">
        <v>128</v>
      </c>
      <c r="M211" s="30" t="s">
        <v>5084</v>
      </c>
      <c r="N211" s="6" t="s">
        <v>5082</v>
      </c>
      <c r="O211" s="6" t="s">
        <v>751</v>
      </c>
      <c r="P211" s="239" t="s">
        <v>4586</v>
      </c>
      <c r="Q211" s="49" t="n">
        <f aca="false">Arch!E10</f>
        <v>96</v>
      </c>
      <c r="R211" s="30" t="s">
        <v>751</v>
      </c>
      <c r="S211" s="44" t="str">
        <f aca="false">IF(ISNUMBER($AF211),INDEX(IDX_SrcStat,$AF211),"—")</f>
        <v>—</v>
      </c>
      <c r="T211" s="44" t="str">
        <f aca="false">IF(ISNUMBER($AF211),INDEX(IDX_SrcGrade,$AF211),"—")</f>
        <v>—</v>
      </c>
      <c r="U211" s="44" t="s">
        <v>4531</v>
      </c>
      <c r="V211" s="32" t="n">
        <f aca="false">IF(AND($F211="原始數據",$U211&lt;&gt;"連結 SRC"),1,0)</f>
        <v>0</v>
      </c>
      <c r="W211" s="32" t="n">
        <f aca="false">IF(AND($F211="Analogy",OR($H211="—",$H211="")),1,0)</f>
        <v>0</v>
      </c>
      <c r="X211" s="32" t="n">
        <f aca="false">IF(AND(OR($F211="Analogy",$F211="Assumed"),$G211&lt;&gt;"低",$G211&lt;&gt;"高",NOT(ISNUMBER($K211)),NOT(ISNUMBER($L211)),OR($M211="—",$M211="")),1,0)</f>
        <v>0</v>
      </c>
      <c r="Y211" s="32" t="n">
        <f aca="false">IF(AND(OR($F211="Analogy",$F211="Assumed",$F211="Derived（待改公式）",$F211="Derived（公式）"),OR($N211="—",$N211="",$N211=0)),1,0)</f>
        <v>0</v>
      </c>
      <c r="Z211" s="32" t="n">
        <f aca="false">IF(AND($F211="Decision",OR($J211="—",$J211="")),1,0)</f>
        <v>0</v>
      </c>
      <c r="AA211" s="33" t="n">
        <f aca="false">IF(OR($J211="—",$J211=""),0,IF(COUNTIF(Decisions!$A$5:$A$300,$J211)=0,1,0))</f>
        <v>0</v>
      </c>
      <c r="AB211" s="32" t="n">
        <f aca="false">IF(AND($F211="原始數據",$S211&lt;&gt;"Active"),1,0)</f>
        <v>0</v>
      </c>
      <c r="AC211" s="32" t="n">
        <f aca="false">IF(AND(ISNUMBER($K211),ISNUMBER($L211),ISNUMBER($Q211)),IF(OR($Q211&lt;MIN($K211,$L211),$Q211&gt;MAX($K211,$L211)),1,0),0)</f>
        <v>0</v>
      </c>
      <c r="AD211" s="32" t="n">
        <f aca="false">IF(AND(ISNUMBER($T211),$P211="高"),IF($T211=3,1,0),0)</f>
        <v>0</v>
      </c>
      <c r="AE211" s="32" t="n">
        <f aca="false">IF($S211="不存在",1,0)</f>
        <v>0</v>
      </c>
      <c r="AF211" s="44" t="str">
        <f aca="false">IF(OR($H211="—",$H211=""),"—",MATCH($H211,IDX_SrcID,0))</f>
        <v>—</v>
      </c>
      <c r="AG211" s="32" t="n">
        <f aca="false">IF(AND($P211="高",OR($AD211=1,$X211=1)),1,0)</f>
        <v>0</v>
      </c>
      <c r="AH211" s="32" t="n">
        <f aca="false">IF(AND($P211="高",$AG211=0,OR($F211&lt;&gt;"原始數據",$T211&lt;&gt;1)),1,0)</f>
        <v>0</v>
      </c>
      <c r="AI211" s="44" t="str">
        <f aca="false">IF(AND($P211="高",ISNUMBER($AF211)),INDEX(IDX_SrcDate,$AF211),"—")</f>
        <v>—</v>
      </c>
      <c r="AJ211" s="32" t="n">
        <f aca="false">IF(AND(ISTEXT($AI211),LEN($AI211)=10),IF(ISNUMBER(VALUE(SUBSTITUTE($AI211,"-",""))),VALUE(SUBSTITUTE($AI211,"-","")),0),0)</f>
        <v>0</v>
      </c>
    </row>
    <row r="212" customFormat="false" ht="15" hidden="false" customHeight="true" outlineLevel="0" collapsed="false">
      <c r="A212" s="30" t="s">
        <v>5085</v>
      </c>
      <c r="B212" s="239" t="s">
        <v>4525</v>
      </c>
      <c r="C212" s="30" t="s">
        <v>5012</v>
      </c>
      <c r="D212" s="30" t="s">
        <v>4322</v>
      </c>
      <c r="E212" s="6" t="s">
        <v>299</v>
      </c>
      <c r="F212" s="30" t="s">
        <v>114</v>
      </c>
      <c r="G212" s="239" t="s">
        <v>4527</v>
      </c>
      <c r="H212" s="30" t="s">
        <v>751</v>
      </c>
      <c r="I212" s="6" t="s">
        <v>751</v>
      </c>
      <c r="J212" s="30" t="s">
        <v>751</v>
      </c>
      <c r="K212" s="241" t="n">
        <v>128</v>
      </c>
      <c r="L212" s="241" t="n">
        <v>192</v>
      </c>
      <c r="M212" s="30" t="s">
        <v>5086</v>
      </c>
      <c r="N212" s="6" t="s">
        <v>5082</v>
      </c>
      <c r="O212" s="6" t="s">
        <v>751</v>
      </c>
      <c r="P212" s="239" t="s">
        <v>4586</v>
      </c>
      <c r="Q212" s="49" t="n">
        <f aca="false">Arch!E11</f>
        <v>128</v>
      </c>
      <c r="R212" s="30" t="s">
        <v>751</v>
      </c>
      <c r="S212" s="44" t="str">
        <f aca="false">IF(ISNUMBER($AF212),INDEX(IDX_SrcStat,$AF212),"—")</f>
        <v>—</v>
      </c>
      <c r="T212" s="44" t="str">
        <f aca="false">IF(ISNUMBER($AF212),INDEX(IDX_SrcGrade,$AF212),"—")</f>
        <v>—</v>
      </c>
      <c r="U212" s="44" t="s">
        <v>4531</v>
      </c>
      <c r="V212" s="32" t="n">
        <f aca="false">IF(AND($F212="原始數據",$U212&lt;&gt;"連結 SRC"),1,0)</f>
        <v>0</v>
      </c>
      <c r="W212" s="32" t="n">
        <f aca="false">IF(AND($F212="Analogy",OR($H212="—",$H212="")),1,0)</f>
        <v>0</v>
      </c>
      <c r="X212" s="32" t="n">
        <f aca="false">IF(AND(OR($F212="Analogy",$F212="Assumed"),$G212&lt;&gt;"低",$G212&lt;&gt;"高",NOT(ISNUMBER($K212)),NOT(ISNUMBER($L212)),OR($M212="—",$M212="")),1,0)</f>
        <v>0</v>
      </c>
      <c r="Y212" s="32" t="n">
        <f aca="false">IF(AND(OR($F212="Analogy",$F212="Assumed",$F212="Derived（待改公式）",$F212="Derived（公式）"),OR($N212="—",$N212="",$N212=0)),1,0)</f>
        <v>0</v>
      </c>
      <c r="Z212" s="32" t="n">
        <f aca="false">IF(AND($F212="Decision",OR($J212="—",$J212="")),1,0)</f>
        <v>0</v>
      </c>
      <c r="AA212" s="33" t="n">
        <f aca="false">IF(OR($J212="—",$J212=""),0,IF(COUNTIF(Decisions!$A$5:$A$300,$J212)=0,1,0))</f>
        <v>0</v>
      </c>
      <c r="AB212" s="32" t="n">
        <f aca="false">IF(AND($F212="原始數據",$S212&lt;&gt;"Active"),1,0)</f>
        <v>0</v>
      </c>
      <c r="AC212" s="32" t="n">
        <f aca="false">IF(AND(ISNUMBER($K212),ISNUMBER($L212),ISNUMBER($Q212)),IF(OR($Q212&lt;MIN($K212,$L212),$Q212&gt;MAX($K212,$L212)),1,0),0)</f>
        <v>0</v>
      </c>
      <c r="AD212" s="32" t="n">
        <f aca="false">IF(AND(ISNUMBER($T212),$P212="高"),IF($T212=3,1,0),0)</f>
        <v>0</v>
      </c>
      <c r="AE212" s="32" t="n">
        <f aca="false">IF($S212="不存在",1,0)</f>
        <v>0</v>
      </c>
      <c r="AF212" s="44" t="str">
        <f aca="false">IF(OR($H212="—",$H212=""),"—",MATCH($H212,IDX_SrcID,0))</f>
        <v>—</v>
      </c>
      <c r="AG212" s="32" t="n">
        <f aca="false">IF(AND($P212="高",OR($AD212=1,$X212=1)),1,0)</f>
        <v>0</v>
      </c>
      <c r="AH212" s="32" t="n">
        <f aca="false">IF(AND($P212="高",$AG212=0,OR($F212&lt;&gt;"原始數據",$T212&lt;&gt;1)),1,0)</f>
        <v>0</v>
      </c>
      <c r="AI212" s="44" t="str">
        <f aca="false">IF(AND($P212="高",ISNUMBER($AF212)),INDEX(IDX_SrcDate,$AF212),"—")</f>
        <v>—</v>
      </c>
      <c r="AJ212" s="32" t="n">
        <f aca="false">IF(AND(ISTEXT($AI212),LEN($AI212)=10),IF(ISNUMBER(VALUE(SUBSTITUTE($AI212,"-",""))),VALUE(SUBSTITUTE($AI212,"-","")),0),0)</f>
        <v>0</v>
      </c>
    </row>
    <row r="213" customFormat="false" ht="15" hidden="false" customHeight="true" outlineLevel="0" collapsed="false">
      <c r="A213" s="30" t="s">
        <v>5087</v>
      </c>
      <c r="B213" s="239" t="s">
        <v>4525</v>
      </c>
      <c r="C213" s="30" t="s">
        <v>5012</v>
      </c>
      <c r="D213" s="30" t="s">
        <v>4325</v>
      </c>
      <c r="E213" s="6" t="s">
        <v>301</v>
      </c>
      <c r="F213" s="30" t="s">
        <v>114</v>
      </c>
      <c r="G213" s="239" t="s">
        <v>4527</v>
      </c>
      <c r="H213" s="30" t="s">
        <v>751</v>
      </c>
      <c r="I213" s="6" t="s">
        <v>751</v>
      </c>
      <c r="J213" s="30" t="s">
        <v>751</v>
      </c>
      <c r="K213" s="241" t="n">
        <v>256</v>
      </c>
      <c r="L213" s="241" t="n">
        <v>1024</v>
      </c>
      <c r="M213" s="30" t="s">
        <v>5088</v>
      </c>
      <c r="N213" s="6" t="s">
        <v>5089</v>
      </c>
      <c r="O213" s="6" t="s">
        <v>751</v>
      </c>
      <c r="P213" s="239" t="s">
        <v>4586</v>
      </c>
      <c r="Q213" s="49" t="n">
        <f aca="false">Arch!E12</f>
        <v>512</v>
      </c>
      <c r="R213" s="30" t="s">
        <v>751</v>
      </c>
      <c r="S213" s="44" t="str">
        <f aca="false">IF(ISNUMBER($AF213),INDEX(IDX_SrcStat,$AF213),"—")</f>
        <v>—</v>
      </c>
      <c r="T213" s="44" t="str">
        <f aca="false">IF(ISNUMBER($AF213),INDEX(IDX_SrcGrade,$AF213),"—")</f>
        <v>—</v>
      </c>
      <c r="U213" s="44" t="s">
        <v>4531</v>
      </c>
      <c r="V213" s="32" t="n">
        <f aca="false">IF(AND($F213="原始數據",$U213&lt;&gt;"連結 SRC"),1,0)</f>
        <v>0</v>
      </c>
      <c r="W213" s="32" t="n">
        <f aca="false">IF(AND($F213="Analogy",OR($H213="—",$H213="")),1,0)</f>
        <v>0</v>
      </c>
      <c r="X213" s="32" t="n">
        <f aca="false">IF(AND(OR($F213="Analogy",$F213="Assumed"),$G213&lt;&gt;"低",$G213&lt;&gt;"高",NOT(ISNUMBER($K213)),NOT(ISNUMBER($L213)),OR($M213="—",$M213="")),1,0)</f>
        <v>0</v>
      </c>
      <c r="Y213" s="32" t="n">
        <f aca="false">IF(AND(OR($F213="Analogy",$F213="Assumed",$F213="Derived（待改公式）",$F213="Derived（公式）"),OR($N213="—",$N213="",$N213=0)),1,0)</f>
        <v>0</v>
      </c>
      <c r="Z213" s="32" t="n">
        <f aca="false">IF(AND($F213="Decision",OR($J213="—",$J213="")),1,0)</f>
        <v>0</v>
      </c>
      <c r="AA213" s="33" t="n">
        <f aca="false">IF(OR($J213="—",$J213=""),0,IF(COUNTIF(Decisions!$A$5:$A$300,$J213)=0,1,0))</f>
        <v>0</v>
      </c>
      <c r="AB213" s="32" t="n">
        <f aca="false">IF(AND($F213="原始數據",$S213&lt;&gt;"Active"),1,0)</f>
        <v>0</v>
      </c>
      <c r="AC213" s="32" t="n">
        <f aca="false">IF(AND(ISNUMBER($K213),ISNUMBER($L213),ISNUMBER($Q213)),IF(OR($Q213&lt;MIN($K213,$L213),$Q213&gt;MAX($K213,$L213)),1,0),0)</f>
        <v>0</v>
      </c>
      <c r="AD213" s="32" t="n">
        <f aca="false">IF(AND(ISNUMBER($T213),$P213="高"),IF($T213=3,1,0),0)</f>
        <v>0</v>
      </c>
      <c r="AE213" s="32" t="n">
        <f aca="false">IF($S213="不存在",1,0)</f>
        <v>0</v>
      </c>
      <c r="AF213" s="44" t="str">
        <f aca="false">IF(OR($H213="—",$H213=""),"—",MATCH($H213,IDX_SrcID,0))</f>
        <v>—</v>
      </c>
      <c r="AG213" s="32" t="n">
        <f aca="false">IF(AND($P213="高",OR($AD213=1,$X213=1)),1,0)</f>
        <v>0</v>
      </c>
      <c r="AH213" s="32" t="n">
        <f aca="false">IF(AND($P213="高",$AG213=0,OR($F213&lt;&gt;"原始數據",$T213&lt;&gt;1)),1,0)</f>
        <v>0</v>
      </c>
      <c r="AI213" s="44" t="str">
        <f aca="false">IF(AND($P213="高",ISNUMBER($AF213)),INDEX(IDX_SrcDate,$AF213),"—")</f>
        <v>—</v>
      </c>
      <c r="AJ213" s="32" t="n">
        <f aca="false">IF(AND(ISTEXT($AI213),LEN($AI213)=10),IF(ISNUMBER(VALUE(SUBSTITUTE($AI213,"-",""))),VALUE(SUBSTITUTE($AI213,"-","")),0),0)</f>
        <v>0</v>
      </c>
    </row>
    <row r="214" customFormat="false" ht="15" hidden="false" customHeight="true" outlineLevel="0" collapsed="false">
      <c r="A214" s="30" t="s">
        <v>5090</v>
      </c>
      <c r="B214" s="239" t="s">
        <v>4525</v>
      </c>
      <c r="C214" s="30" t="s">
        <v>5012</v>
      </c>
      <c r="D214" s="30" t="s">
        <v>4327</v>
      </c>
      <c r="E214" s="20" t="s">
        <v>5034</v>
      </c>
      <c r="F214" s="30" t="s">
        <v>114</v>
      </c>
      <c r="G214" s="239" t="s">
        <v>4527</v>
      </c>
      <c r="H214" s="30" t="s">
        <v>751</v>
      </c>
      <c r="I214" s="6" t="s">
        <v>751</v>
      </c>
      <c r="J214" s="30" t="s">
        <v>751</v>
      </c>
      <c r="K214" s="241" t="n">
        <v>8</v>
      </c>
      <c r="L214" s="241" t="n">
        <v>32</v>
      </c>
      <c r="M214" s="30" t="s">
        <v>5091</v>
      </c>
      <c r="N214" s="6" t="s">
        <v>5089</v>
      </c>
      <c r="O214" s="6" t="s">
        <v>751</v>
      </c>
      <c r="P214" s="239" t="s">
        <v>4586</v>
      </c>
      <c r="Q214" s="49" t="n">
        <f aca="false">Arch!E13</f>
        <v>16</v>
      </c>
      <c r="R214" s="30" t="s">
        <v>751</v>
      </c>
      <c r="S214" s="44" t="str">
        <f aca="false">IF(ISNUMBER($AF214),INDEX(IDX_SrcStat,$AF214),"—")</f>
        <v>—</v>
      </c>
      <c r="T214" s="44" t="str">
        <f aca="false">IF(ISNUMBER($AF214),INDEX(IDX_SrcGrade,$AF214),"—")</f>
        <v>—</v>
      </c>
      <c r="U214" s="44" t="s">
        <v>4531</v>
      </c>
      <c r="V214" s="32" t="n">
        <f aca="false">IF(AND($F214="原始數據",$U214&lt;&gt;"連結 SRC"),1,0)</f>
        <v>0</v>
      </c>
      <c r="W214" s="32" t="n">
        <f aca="false">IF(AND($F214="Analogy",OR($H214="—",$H214="")),1,0)</f>
        <v>0</v>
      </c>
      <c r="X214" s="32" t="n">
        <f aca="false">IF(AND(OR($F214="Analogy",$F214="Assumed"),$G214&lt;&gt;"低",$G214&lt;&gt;"高",NOT(ISNUMBER($K214)),NOT(ISNUMBER($L214)),OR($M214="—",$M214="")),1,0)</f>
        <v>0</v>
      </c>
      <c r="Y214" s="32" t="n">
        <f aca="false">IF(AND(OR($F214="Analogy",$F214="Assumed",$F214="Derived（待改公式）",$F214="Derived（公式）"),OR($N214="—",$N214="",$N214=0)),1,0)</f>
        <v>0</v>
      </c>
      <c r="Z214" s="32" t="n">
        <f aca="false">IF(AND($F214="Decision",OR($J214="—",$J214="")),1,0)</f>
        <v>0</v>
      </c>
      <c r="AA214" s="33" t="n">
        <f aca="false">IF(OR($J214="—",$J214=""),0,IF(COUNTIF(Decisions!$A$5:$A$300,$J214)=0,1,0))</f>
        <v>0</v>
      </c>
      <c r="AB214" s="32" t="n">
        <f aca="false">IF(AND($F214="原始數據",$S214&lt;&gt;"Active"),1,0)</f>
        <v>0</v>
      </c>
      <c r="AC214" s="32" t="n">
        <f aca="false">IF(AND(ISNUMBER($K214),ISNUMBER($L214),ISNUMBER($Q214)),IF(OR($Q214&lt;MIN($K214,$L214),$Q214&gt;MAX($K214,$L214)),1,0),0)</f>
        <v>0</v>
      </c>
      <c r="AD214" s="32" t="n">
        <f aca="false">IF(AND(ISNUMBER($T214),$P214="高"),IF($T214=3,1,0),0)</f>
        <v>0</v>
      </c>
      <c r="AE214" s="32" t="n">
        <f aca="false">IF($S214="不存在",1,0)</f>
        <v>0</v>
      </c>
      <c r="AF214" s="44" t="str">
        <f aca="false">IF(OR($H214="—",$H214=""),"—",MATCH($H214,IDX_SrcID,0))</f>
        <v>—</v>
      </c>
      <c r="AG214" s="32" t="n">
        <f aca="false">IF(AND($P214="高",OR($AD214=1,$X214=1)),1,0)</f>
        <v>0</v>
      </c>
      <c r="AH214" s="32" t="n">
        <f aca="false">IF(AND($P214="高",$AG214=0,OR($F214&lt;&gt;"原始數據",$T214&lt;&gt;1)),1,0)</f>
        <v>0</v>
      </c>
      <c r="AI214" s="44" t="str">
        <f aca="false">IF(AND($P214="高",ISNUMBER($AF214)),INDEX(IDX_SrcDate,$AF214),"—")</f>
        <v>—</v>
      </c>
      <c r="AJ214" s="32" t="n">
        <f aca="false">IF(AND(ISTEXT($AI214),LEN($AI214)=10),IF(ISNUMBER(VALUE(SUBSTITUTE($AI214,"-",""))),VALUE(SUBSTITUTE($AI214,"-","")),0),0)</f>
        <v>0</v>
      </c>
    </row>
    <row r="215" customFormat="false" ht="15" hidden="false" customHeight="true" outlineLevel="0" collapsed="false">
      <c r="A215" s="30" t="s">
        <v>5092</v>
      </c>
      <c r="B215" s="239" t="s">
        <v>4525</v>
      </c>
      <c r="C215" s="30" t="s">
        <v>5012</v>
      </c>
      <c r="D215" s="30" t="s">
        <v>5093</v>
      </c>
      <c r="E215" s="6" t="s">
        <v>304</v>
      </c>
      <c r="F215" s="30" t="s">
        <v>114</v>
      </c>
      <c r="G215" s="239" t="s">
        <v>4527</v>
      </c>
      <c r="H215" s="30" t="s">
        <v>751</v>
      </c>
      <c r="I215" s="6" t="s">
        <v>751</v>
      </c>
      <c r="J215" s="30" t="s">
        <v>751</v>
      </c>
      <c r="K215" s="241" t="n">
        <v>128000</v>
      </c>
      <c r="L215" s="241" t="n">
        <v>262144</v>
      </c>
      <c r="M215" s="30" t="s">
        <v>5094</v>
      </c>
      <c r="N215" s="6" t="s">
        <v>5082</v>
      </c>
      <c r="O215" s="6" t="s">
        <v>751</v>
      </c>
      <c r="P215" s="239" t="s">
        <v>4530</v>
      </c>
      <c r="Q215" s="49" t="n">
        <f aca="false">Arch!E15</f>
        <v>200000</v>
      </c>
      <c r="R215" s="30" t="s">
        <v>751</v>
      </c>
      <c r="S215" s="44" t="str">
        <f aca="false">IF(ISNUMBER($AF215),INDEX(IDX_SrcStat,$AF215),"—")</f>
        <v>—</v>
      </c>
      <c r="T215" s="44" t="str">
        <f aca="false">IF(ISNUMBER($AF215),INDEX(IDX_SrcGrade,$AF215),"—")</f>
        <v>—</v>
      </c>
      <c r="U215" s="44" t="s">
        <v>4531</v>
      </c>
      <c r="V215" s="32" t="n">
        <f aca="false">IF(AND($F215="原始數據",$U215&lt;&gt;"連結 SRC"),1,0)</f>
        <v>0</v>
      </c>
      <c r="W215" s="32" t="n">
        <f aca="false">IF(AND($F215="Analogy",OR($H215="—",$H215="")),1,0)</f>
        <v>0</v>
      </c>
      <c r="X215" s="32" t="n">
        <f aca="false">IF(AND(OR($F215="Analogy",$F215="Assumed"),$G215&lt;&gt;"低",$G215&lt;&gt;"高",NOT(ISNUMBER($K215)),NOT(ISNUMBER($L215)),OR($M215="—",$M215="")),1,0)</f>
        <v>0</v>
      </c>
      <c r="Y215" s="32" t="n">
        <f aca="false">IF(AND(OR($F215="Analogy",$F215="Assumed",$F215="Derived（待改公式）",$F215="Derived（公式）"),OR($N215="—",$N215="",$N215=0)),1,0)</f>
        <v>0</v>
      </c>
      <c r="Z215" s="32" t="n">
        <f aca="false">IF(AND($F215="Decision",OR($J215="—",$J215="")),1,0)</f>
        <v>0</v>
      </c>
      <c r="AA215" s="33" t="n">
        <f aca="false">IF(OR($J215="—",$J215=""),0,IF(COUNTIF(Decisions!$A$5:$A$300,$J215)=0,1,0))</f>
        <v>0</v>
      </c>
      <c r="AB215" s="32" t="n">
        <f aca="false">IF(AND($F215="原始數據",$S215&lt;&gt;"Active"),1,0)</f>
        <v>0</v>
      </c>
      <c r="AC215" s="32" t="n">
        <f aca="false">IF(AND(ISNUMBER($K215),ISNUMBER($L215),ISNUMBER($Q215)),IF(OR($Q215&lt;MIN($K215,$L215),$Q215&gt;MAX($K215,$L215)),1,0),0)</f>
        <v>0</v>
      </c>
      <c r="AD215" s="32" t="n">
        <f aca="false">IF(AND(ISNUMBER($T215),$P215="高"),IF($T215=3,1,0),0)</f>
        <v>0</v>
      </c>
      <c r="AE215" s="32" t="n">
        <f aca="false">IF($S215="不存在",1,0)</f>
        <v>0</v>
      </c>
      <c r="AF215" s="44" t="str">
        <f aca="false">IF(OR($H215="—",$H215=""),"—",MATCH($H215,IDX_SrcID,0))</f>
        <v>—</v>
      </c>
      <c r="AG215" s="32" t="n">
        <f aca="false">IF(AND($P215="高",OR($AD215=1,$X215=1)),1,0)</f>
        <v>0</v>
      </c>
      <c r="AH215" s="32" t="n">
        <f aca="false">IF(AND($P215="高",$AG215=0,OR($F215&lt;&gt;"原始數據",$T215&lt;&gt;1)),1,0)</f>
        <v>0</v>
      </c>
      <c r="AI215" s="44" t="str">
        <f aca="false">IF(AND($P215="高",ISNUMBER($AF215)),INDEX(IDX_SrcDate,$AF215),"—")</f>
        <v>—</v>
      </c>
      <c r="AJ215" s="32" t="n">
        <f aca="false">IF(AND(ISTEXT($AI215),LEN($AI215)=10),IF(ISNUMBER(VALUE(SUBSTITUTE($AI215,"-",""))),VALUE(SUBSTITUTE($AI215,"-","")),0),0)</f>
        <v>0</v>
      </c>
    </row>
    <row r="216" customFormat="false" ht="15" hidden="false" customHeight="true" outlineLevel="0" collapsed="false">
      <c r="A216" s="30" t="s">
        <v>5095</v>
      </c>
      <c r="B216" s="239" t="s">
        <v>4525</v>
      </c>
      <c r="C216" s="30" t="s">
        <v>5012</v>
      </c>
      <c r="D216" s="30" t="s">
        <v>4566</v>
      </c>
      <c r="E216" s="6" t="s">
        <v>303</v>
      </c>
      <c r="F216" s="30" t="s">
        <v>114</v>
      </c>
      <c r="G216" s="239" t="s">
        <v>4527</v>
      </c>
      <c r="H216" s="30" t="s">
        <v>751</v>
      </c>
      <c r="I216" s="6" t="s">
        <v>751</v>
      </c>
      <c r="J216" s="30" t="s">
        <v>751</v>
      </c>
      <c r="K216" s="239"/>
      <c r="L216" s="239"/>
      <c r="M216" s="239" t="s">
        <v>4352</v>
      </c>
      <c r="N216" s="6" t="s">
        <v>5096</v>
      </c>
      <c r="O216" s="6" t="s">
        <v>751</v>
      </c>
      <c r="P216" s="239" t="s">
        <v>1308</v>
      </c>
      <c r="Q216" s="49" t="n">
        <f aca="false">Arch!E14</f>
        <v>1</v>
      </c>
      <c r="R216" s="30" t="s">
        <v>751</v>
      </c>
      <c r="S216" s="44" t="str">
        <f aca="false">IF(ISNUMBER($AF216),INDEX(IDX_SrcStat,$AF216),"—")</f>
        <v>—</v>
      </c>
      <c r="T216" s="44" t="str">
        <f aca="false">IF(ISNUMBER($AF216),INDEX(IDX_SrcGrade,$AF216),"—")</f>
        <v>—</v>
      </c>
      <c r="U216" s="44" t="s">
        <v>4531</v>
      </c>
      <c r="V216" s="32" t="n">
        <f aca="false">IF(AND($F216="原始數據",$U216&lt;&gt;"連結 SRC"),1,0)</f>
        <v>0</v>
      </c>
      <c r="W216" s="32" t="n">
        <f aca="false">IF(AND($F216="Analogy",OR($H216="—",$H216="")),1,0)</f>
        <v>0</v>
      </c>
      <c r="X216" s="32" t="n">
        <f aca="false">IF(AND(OR($F216="Analogy",$F216="Assumed"),$G216&lt;&gt;"低",$G216&lt;&gt;"高",NOT(ISNUMBER($K216)),NOT(ISNUMBER($L216)),OR($M216="—",$M216="")),1,0)</f>
        <v>0</v>
      </c>
      <c r="Y216" s="32" t="n">
        <f aca="false">IF(AND(OR($F216="Analogy",$F216="Assumed",$F216="Derived（待改公式）",$F216="Derived（公式）"),OR($N216="—",$N216="",$N216=0)),1,0)</f>
        <v>0</v>
      </c>
      <c r="Z216" s="32" t="n">
        <f aca="false">IF(AND($F216="Decision",OR($J216="—",$J216="")),1,0)</f>
        <v>0</v>
      </c>
      <c r="AA216" s="33" t="n">
        <f aca="false">IF(OR($J216="—",$J216=""),0,IF(COUNTIF(Decisions!$A$5:$A$300,$J216)=0,1,0))</f>
        <v>0</v>
      </c>
      <c r="AB216" s="32" t="n">
        <f aca="false">IF(AND($F216="原始數據",$S216&lt;&gt;"Active"),1,0)</f>
        <v>0</v>
      </c>
      <c r="AC216" s="32" t="n">
        <f aca="false">IF(AND(ISNUMBER($K216),ISNUMBER($L216),ISNUMBER($Q216)),IF(OR($Q216&lt;MIN($K216,$L216),$Q216&gt;MAX($K216,$L216)),1,0),0)</f>
        <v>0</v>
      </c>
      <c r="AD216" s="32" t="n">
        <f aca="false">IF(AND(ISNUMBER($T216),$P216="高"),IF($T216=3,1,0),0)</f>
        <v>0</v>
      </c>
      <c r="AE216" s="32" t="n">
        <f aca="false">IF($S216="不存在",1,0)</f>
        <v>0</v>
      </c>
      <c r="AF216" s="44" t="str">
        <f aca="false">IF(OR($H216="—",$H216=""),"—",MATCH($H216,IDX_SrcID,0))</f>
        <v>—</v>
      </c>
      <c r="AG216" s="32" t="n">
        <f aca="false">IF(AND($P216="高",OR($AD216=1,$X216=1)),1,0)</f>
        <v>0</v>
      </c>
      <c r="AH216" s="32" t="n">
        <f aca="false">IF(AND($P216="高",$AG216=0,OR($F216&lt;&gt;"原始數據",$T216&lt;&gt;1)),1,0)</f>
        <v>0</v>
      </c>
      <c r="AI216" s="44" t="str">
        <f aca="false">IF(AND($P216="高",ISNUMBER($AF216)),INDEX(IDX_SrcDate,$AF216),"—")</f>
        <v>—</v>
      </c>
      <c r="AJ216" s="32" t="n">
        <f aca="false">IF(AND(ISTEXT($AI216),LEN($AI216)=10),IF(ISNUMBER(VALUE(SUBSTITUTE($AI216,"-",""))),VALUE(SUBSTITUTE($AI216,"-","")),0),0)</f>
        <v>0</v>
      </c>
    </row>
    <row r="217" customFormat="false" ht="29.25" hidden="false" customHeight="true" outlineLevel="0" collapsed="false">
      <c r="A217" s="30" t="s">
        <v>5097</v>
      </c>
      <c r="B217" s="239" t="s">
        <v>4525</v>
      </c>
      <c r="C217" s="30" t="s">
        <v>5012</v>
      </c>
      <c r="D217" s="30" t="s">
        <v>4572</v>
      </c>
      <c r="E217" s="20" t="s">
        <v>305</v>
      </c>
      <c r="F217" s="30" t="s">
        <v>114</v>
      </c>
      <c r="G217" s="239" t="s">
        <v>4527</v>
      </c>
      <c r="H217" s="30" t="s">
        <v>751</v>
      </c>
      <c r="I217" s="6" t="s">
        <v>751</v>
      </c>
      <c r="J217" s="30" t="s">
        <v>751</v>
      </c>
      <c r="K217" s="239"/>
      <c r="L217" s="239"/>
      <c r="M217" s="239" t="s">
        <v>4352</v>
      </c>
      <c r="N217" s="6" t="s">
        <v>5098</v>
      </c>
      <c r="O217" s="6" t="s">
        <v>751</v>
      </c>
      <c r="P217" s="239" t="s">
        <v>4586</v>
      </c>
      <c r="Q217" s="194" t="n">
        <f aca="false">Arch!E16</f>
        <v>1</v>
      </c>
      <c r="R217" s="30" t="s">
        <v>751</v>
      </c>
      <c r="S217" s="44" t="str">
        <f aca="false">IF(ISNUMBER($AF217),INDEX(IDX_SrcStat,$AF217),"—")</f>
        <v>—</v>
      </c>
      <c r="T217" s="44" t="str">
        <f aca="false">IF(ISNUMBER($AF217),INDEX(IDX_SrcGrade,$AF217),"—")</f>
        <v>—</v>
      </c>
      <c r="U217" s="44" t="s">
        <v>4531</v>
      </c>
      <c r="V217" s="32" t="n">
        <f aca="false">IF(AND($F217="原始數據",$U217&lt;&gt;"連結 SRC"),1,0)</f>
        <v>0</v>
      </c>
      <c r="W217" s="32" t="n">
        <f aca="false">IF(AND($F217="Analogy",OR($H217="—",$H217="")),1,0)</f>
        <v>0</v>
      </c>
      <c r="X217" s="32" t="n">
        <f aca="false">IF(AND(OR($F217="Analogy",$F217="Assumed"),$G217&lt;&gt;"低",$G217&lt;&gt;"高",NOT(ISNUMBER($K217)),NOT(ISNUMBER($L217)),OR($M217="—",$M217="")),1,0)</f>
        <v>0</v>
      </c>
      <c r="Y217" s="32" t="n">
        <f aca="false">IF(AND(OR($F217="Analogy",$F217="Assumed",$F217="Derived（待改公式）",$F217="Derived（公式）"),OR($N217="—",$N217="",$N217=0)),1,0)</f>
        <v>0</v>
      </c>
      <c r="Z217" s="32" t="n">
        <f aca="false">IF(AND($F217="Decision",OR($J217="—",$J217="")),1,0)</f>
        <v>0</v>
      </c>
      <c r="AA217" s="33" t="n">
        <f aca="false">IF(OR($J217="—",$J217=""),0,IF(COUNTIF(Decisions!$A$5:$A$300,$J217)=0,1,0))</f>
        <v>0</v>
      </c>
      <c r="AB217" s="32" t="n">
        <f aca="false">IF(AND($F217="原始數據",$S217&lt;&gt;"Active"),1,0)</f>
        <v>0</v>
      </c>
      <c r="AC217" s="32" t="n">
        <f aca="false">IF(AND(ISNUMBER($K217),ISNUMBER($L217),ISNUMBER($Q217)),IF(OR($Q217&lt;MIN($K217,$L217),$Q217&gt;MAX($K217,$L217)),1,0),0)</f>
        <v>0</v>
      </c>
      <c r="AD217" s="32" t="n">
        <f aca="false">IF(AND(ISNUMBER($T217),$P217="高"),IF($T217=3,1,0),0)</f>
        <v>0</v>
      </c>
      <c r="AE217" s="32" t="n">
        <f aca="false">IF($S217="不存在",1,0)</f>
        <v>0</v>
      </c>
      <c r="AF217" s="44" t="str">
        <f aca="false">IF(OR($H217="—",$H217=""),"—",MATCH($H217,IDX_SrcID,0))</f>
        <v>—</v>
      </c>
      <c r="AG217" s="32" t="n">
        <f aca="false">IF(AND($P217="高",OR($AD217=1,$X217=1)),1,0)</f>
        <v>0</v>
      </c>
      <c r="AH217" s="32" t="n">
        <f aca="false">IF(AND($P217="高",$AG217=0,OR($F217&lt;&gt;"原始數據",$T217&lt;&gt;1)),1,0)</f>
        <v>0</v>
      </c>
      <c r="AI217" s="44" t="str">
        <f aca="false">IF(AND($P217="高",ISNUMBER($AF217)),INDEX(IDX_SrcDate,$AF217),"—")</f>
        <v>—</v>
      </c>
      <c r="AJ217" s="32" t="n">
        <f aca="false">IF(AND(ISTEXT($AI217),LEN($AI217)=10),IF(ISNUMBER(VALUE(SUBSTITUTE($AI217,"-",""))),VALUE(SUBSTITUTE($AI217,"-","")),0),0)</f>
        <v>0</v>
      </c>
    </row>
    <row r="218" customFormat="false" ht="29.25" hidden="false" customHeight="true" outlineLevel="0" collapsed="false">
      <c r="A218" s="30" t="s">
        <v>5099</v>
      </c>
      <c r="B218" s="239" t="s">
        <v>4525</v>
      </c>
      <c r="C218" s="30" t="s">
        <v>5012</v>
      </c>
      <c r="D218" s="30" t="s">
        <v>4578</v>
      </c>
      <c r="E218" s="20" t="s">
        <v>5070</v>
      </c>
      <c r="F218" s="30" t="s">
        <v>114</v>
      </c>
      <c r="G218" s="239" t="s">
        <v>4527</v>
      </c>
      <c r="H218" s="30" t="s">
        <v>751</v>
      </c>
      <c r="I218" s="6" t="s">
        <v>751</v>
      </c>
      <c r="J218" s="30" t="s">
        <v>751</v>
      </c>
      <c r="K218" s="239"/>
      <c r="L218" s="239"/>
      <c r="M218" s="239" t="s">
        <v>4352</v>
      </c>
      <c r="N218" s="6" t="s">
        <v>5100</v>
      </c>
      <c r="O218" s="6" t="s">
        <v>751</v>
      </c>
      <c r="P218" s="239" t="s">
        <v>4530</v>
      </c>
      <c r="Q218" s="49" t="n">
        <f aca="false">Arch!E17</f>
        <v>0</v>
      </c>
      <c r="R218" s="30" t="s">
        <v>751</v>
      </c>
      <c r="S218" s="44" t="str">
        <f aca="false">IF(ISNUMBER($AF218),INDEX(IDX_SrcStat,$AF218),"—")</f>
        <v>—</v>
      </c>
      <c r="T218" s="44" t="str">
        <f aca="false">IF(ISNUMBER($AF218),INDEX(IDX_SrcGrade,$AF218),"—")</f>
        <v>—</v>
      </c>
      <c r="U218" s="44" t="s">
        <v>4531</v>
      </c>
      <c r="V218" s="32" t="n">
        <f aca="false">IF(AND($F218="原始數據",$U218&lt;&gt;"連結 SRC"),1,0)</f>
        <v>0</v>
      </c>
      <c r="W218" s="32" t="n">
        <f aca="false">IF(AND($F218="Analogy",OR($H218="—",$H218="")),1,0)</f>
        <v>0</v>
      </c>
      <c r="X218" s="32" t="n">
        <f aca="false">IF(AND(OR($F218="Analogy",$F218="Assumed"),$G218&lt;&gt;"低",$G218&lt;&gt;"高",NOT(ISNUMBER($K218)),NOT(ISNUMBER($L218)),OR($M218="—",$M218="")),1,0)</f>
        <v>0</v>
      </c>
      <c r="Y218" s="32" t="n">
        <f aca="false">IF(AND(OR($F218="Analogy",$F218="Assumed",$F218="Derived（待改公式）",$F218="Derived（公式）"),OR($N218="—",$N218="",$N218=0)),1,0)</f>
        <v>0</v>
      </c>
      <c r="Z218" s="32" t="n">
        <f aca="false">IF(AND($F218="Decision",OR($J218="—",$J218="")),1,0)</f>
        <v>0</v>
      </c>
      <c r="AA218" s="33" t="n">
        <f aca="false">IF(OR($J218="—",$J218=""),0,IF(COUNTIF(Decisions!$A$5:$A$300,$J218)=0,1,0))</f>
        <v>0</v>
      </c>
      <c r="AB218" s="32" t="n">
        <f aca="false">IF(AND($F218="原始數據",$S218&lt;&gt;"Active"),1,0)</f>
        <v>0</v>
      </c>
      <c r="AC218" s="32" t="n">
        <f aca="false">IF(AND(ISNUMBER($K218),ISNUMBER($L218),ISNUMBER($Q218)),IF(OR($Q218&lt;MIN($K218,$L218),$Q218&gt;MAX($K218,$L218)),1,0),0)</f>
        <v>0</v>
      </c>
      <c r="AD218" s="32" t="n">
        <f aca="false">IF(AND(ISNUMBER($T218),$P218="高"),IF($T218=3,1,0),0)</f>
        <v>0</v>
      </c>
      <c r="AE218" s="32" t="n">
        <f aca="false">IF($S218="不存在",1,0)</f>
        <v>0</v>
      </c>
      <c r="AF218" s="44" t="str">
        <f aca="false">IF(OR($H218="—",$H218=""),"—",MATCH($H218,IDX_SrcID,0))</f>
        <v>—</v>
      </c>
      <c r="AG218" s="32" t="n">
        <f aca="false">IF(AND($P218="高",OR($AD218=1,$X218=1)),1,0)</f>
        <v>0</v>
      </c>
      <c r="AH218" s="32" t="n">
        <f aca="false">IF(AND($P218="高",$AG218=0,OR($F218&lt;&gt;"原始數據",$T218&lt;&gt;1)),1,0)</f>
        <v>0</v>
      </c>
      <c r="AI218" s="44" t="str">
        <f aca="false">IF(AND($P218="高",ISNUMBER($AF218)),INDEX(IDX_SrcDate,$AF218),"—")</f>
        <v>—</v>
      </c>
      <c r="AJ218" s="32" t="n">
        <f aca="false">IF(AND(ISTEXT($AI218),LEN($AI218)=10),IF(ISNUMBER(VALUE(SUBSTITUTE($AI218,"-",""))),VALUE(SUBSTITUTE($AI218,"-","")),0),0)</f>
        <v>0</v>
      </c>
    </row>
    <row r="219" customFormat="false" ht="15" hidden="false" customHeight="true" outlineLevel="0" collapsed="false">
      <c r="A219" s="30" t="s">
        <v>5101</v>
      </c>
      <c r="B219" s="239" t="s">
        <v>4525</v>
      </c>
      <c r="C219" s="30" t="s">
        <v>5012</v>
      </c>
      <c r="D219" s="30" t="s">
        <v>4584</v>
      </c>
      <c r="E219" s="20" t="s">
        <v>310</v>
      </c>
      <c r="F219" s="30" t="s">
        <v>114</v>
      </c>
      <c r="G219" s="239" t="s">
        <v>4527</v>
      </c>
      <c r="H219" s="30" t="s">
        <v>751</v>
      </c>
      <c r="I219" s="6" t="s">
        <v>751</v>
      </c>
      <c r="J219" s="30" t="s">
        <v>751</v>
      </c>
      <c r="K219" s="239"/>
      <c r="L219" s="239"/>
      <c r="M219" s="239" t="s">
        <v>4352</v>
      </c>
      <c r="N219" s="6" t="s">
        <v>5102</v>
      </c>
      <c r="O219" s="6" t="s">
        <v>751</v>
      </c>
      <c r="P219" s="239" t="s">
        <v>1308</v>
      </c>
      <c r="Q219" s="49" t="n">
        <f aca="false">Arch!E18</f>
        <v>1</v>
      </c>
      <c r="R219" s="30" t="s">
        <v>751</v>
      </c>
      <c r="S219" s="44" t="str">
        <f aca="false">IF(ISNUMBER($AF219),INDEX(IDX_SrcStat,$AF219),"—")</f>
        <v>—</v>
      </c>
      <c r="T219" s="44" t="str">
        <f aca="false">IF(ISNUMBER($AF219),INDEX(IDX_SrcGrade,$AF219),"—")</f>
        <v>—</v>
      </c>
      <c r="U219" s="44" t="s">
        <v>4531</v>
      </c>
      <c r="V219" s="32" t="n">
        <f aca="false">IF(AND($F219="原始數據",$U219&lt;&gt;"連結 SRC"),1,0)</f>
        <v>0</v>
      </c>
      <c r="W219" s="32" t="n">
        <f aca="false">IF(AND($F219="Analogy",OR($H219="—",$H219="")),1,0)</f>
        <v>0</v>
      </c>
      <c r="X219" s="32" t="n">
        <f aca="false">IF(AND(OR($F219="Analogy",$F219="Assumed"),$G219&lt;&gt;"低",$G219&lt;&gt;"高",NOT(ISNUMBER($K219)),NOT(ISNUMBER($L219)),OR($M219="—",$M219="")),1,0)</f>
        <v>0</v>
      </c>
      <c r="Y219" s="32" t="n">
        <f aca="false">IF(AND(OR($F219="Analogy",$F219="Assumed",$F219="Derived（待改公式）",$F219="Derived（公式）"),OR($N219="—",$N219="",$N219=0)),1,0)</f>
        <v>0</v>
      </c>
      <c r="Z219" s="32" t="n">
        <f aca="false">IF(AND($F219="Decision",OR($J219="—",$J219="")),1,0)</f>
        <v>0</v>
      </c>
      <c r="AA219" s="33" t="n">
        <f aca="false">IF(OR($J219="—",$J219=""),0,IF(COUNTIF(Decisions!$A$5:$A$300,$J219)=0,1,0))</f>
        <v>0</v>
      </c>
      <c r="AB219" s="32" t="n">
        <f aca="false">IF(AND($F219="原始數據",$S219&lt;&gt;"Active"),1,0)</f>
        <v>0</v>
      </c>
      <c r="AC219" s="32" t="n">
        <f aca="false">IF(AND(ISNUMBER($K219),ISNUMBER($L219),ISNUMBER($Q219)),IF(OR($Q219&lt;MIN($K219,$L219),$Q219&gt;MAX($K219,$L219)),1,0),0)</f>
        <v>0</v>
      </c>
      <c r="AD219" s="32" t="n">
        <f aca="false">IF(AND(ISNUMBER($T219),$P219="高"),IF($T219=3,1,0),0)</f>
        <v>0</v>
      </c>
      <c r="AE219" s="32" t="n">
        <f aca="false">IF($S219="不存在",1,0)</f>
        <v>0</v>
      </c>
      <c r="AF219" s="44" t="str">
        <f aca="false">IF(OR($H219="—",$H219=""),"—",MATCH($H219,IDX_SrcID,0))</f>
        <v>—</v>
      </c>
      <c r="AG219" s="32" t="n">
        <f aca="false">IF(AND($P219="高",OR($AD219=1,$X219=1)),1,0)</f>
        <v>0</v>
      </c>
      <c r="AH219" s="32" t="n">
        <f aca="false">IF(AND($P219="高",$AG219=0,OR($F219&lt;&gt;"原始數據",$T219&lt;&gt;1)),1,0)</f>
        <v>0</v>
      </c>
      <c r="AI219" s="44" t="str">
        <f aca="false">IF(AND($P219="高",ISNUMBER($AF219)),INDEX(IDX_SrcDate,$AF219),"—")</f>
        <v>—</v>
      </c>
      <c r="AJ219" s="32" t="n">
        <f aca="false">IF(AND(ISTEXT($AI219),LEN($AI219)=10),IF(ISNUMBER(VALUE(SUBSTITUTE($AI219,"-",""))),VALUE(SUBSTITUTE($AI219,"-","")),0),0)</f>
        <v>0</v>
      </c>
    </row>
    <row r="220" customFormat="false" ht="15" hidden="false" customHeight="true" outlineLevel="0" collapsed="false">
      <c r="A220" s="30" t="s">
        <v>5103</v>
      </c>
      <c r="B220" s="239" t="s">
        <v>4525</v>
      </c>
      <c r="C220" s="30" t="s">
        <v>5012</v>
      </c>
      <c r="D220" s="30" t="s">
        <v>4592</v>
      </c>
      <c r="E220" s="20" t="s">
        <v>312</v>
      </c>
      <c r="F220" s="30" t="s">
        <v>114</v>
      </c>
      <c r="G220" s="239" t="s">
        <v>4527</v>
      </c>
      <c r="H220" s="30" t="s">
        <v>751</v>
      </c>
      <c r="I220" s="6" t="s">
        <v>751</v>
      </c>
      <c r="J220" s="30" t="s">
        <v>751</v>
      </c>
      <c r="K220" s="239"/>
      <c r="L220" s="239"/>
      <c r="M220" s="239" t="s">
        <v>4352</v>
      </c>
      <c r="N220" s="6" t="s">
        <v>5104</v>
      </c>
      <c r="O220" s="6" t="s">
        <v>751</v>
      </c>
      <c r="P220" s="239" t="s">
        <v>1308</v>
      </c>
      <c r="Q220" s="49" t="n">
        <f aca="false">Arch!E19</f>
        <v>0</v>
      </c>
      <c r="R220" s="30" t="s">
        <v>751</v>
      </c>
      <c r="S220" s="44" t="str">
        <f aca="false">IF(ISNUMBER($AF220),INDEX(IDX_SrcStat,$AF220),"—")</f>
        <v>—</v>
      </c>
      <c r="T220" s="44" t="str">
        <f aca="false">IF(ISNUMBER($AF220),INDEX(IDX_SrcGrade,$AF220),"—")</f>
        <v>—</v>
      </c>
      <c r="U220" s="44" t="s">
        <v>4531</v>
      </c>
      <c r="V220" s="32" t="n">
        <f aca="false">IF(AND($F220="原始數據",$U220&lt;&gt;"連結 SRC"),1,0)</f>
        <v>0</v>
      </c>
      <c r="W220" s="32" t="n">
        <f aca="false">IF(AND($F220="Analogy",OR($H220="—",$H220="")),1,0)</f>
        <v>0</v>
      </c>
      <c r="X220" s="32" t="n">
        <f aca="false">IF(AND(OR($F220="Analogy",$F220="Assumed"),$G220&lt;&gt;"低",$G220&lt;&gt;"高",NOT(ISNUMBER($K220)),NOT(ISNUMBER($L220)),OR($M220="—",$M220="")),1,0)</f>
        <v>0</v>
      </c>
      <c r="Y220" s="32" t="n">
        <f aca="false">IF(AND(OR($F220="Analogy",$F220="Assumed",$F220="Derived（待改公式）",$F220="Derived（公式）"),OR($N220="—",$N220="",$N220=0)),1,0)</f>
        <v>0</v>
      </c>
      <c r="Z220" s="32" t="n">
        <f aca="false">IF(AND($F220="Decision",OR($J220="—",$J220="")),1,0)</f>
        <v>0</v>
      </c>
      <c r="AA220" s="33" t="n">
        <f aca="false">IF(OR($J220="—",$J220=""),0,IF(COUNTIF(Decisions!$A$5:$A$300,$J220)=0,1,0))</f>
        <v>0</v>
      </c>
      <c r="AB220" s="32" t="n">
        <f aca="false">IF(AND($F220="原始數據",$S220&lt;&gt;"Active"),1,0)</f>
        <v>0</v>
      </c>
      <c r="AC220" s="32" t="n">
        <f aca="false">IF(AND(ISNUMBER($K220),ISNUMBER($L220),ISNUMBER($Q220)),IF(OR($Q220&lt;MIN($K220,$L220),$Q220&gt;MAX($K220,$L220)),1,0),0)</f>
        <v>0</v>
      </c>
      <c r="AD220" s="32" t="n">
        <f aca="false">IF(AND(ISNUMBER($T220),$P220="高"),IF($T220=3,1,0),0)</f>
        <v>0</v>
      </c>
      <c r="AE220" s="32" t="n">
        <f aca="false">IF($S220="不存在",1,0)</f>
        <v>0</v>
      </c>
      <c r="AF220" s="44" t="str">
        <f aca="false">IF(OR($H220="—",$H220=""),"—",MATCH($H220,IDX_SrcID,0))</f>
        <v>—</v>
      </c>
      <c r="AG220" s="32" t="n">
        <f aca="false">IF(AND($P220="高",OR($AD220=1,$X220=1)),1,0)</f>
        <v>0</v>
      </c>
      <c r="AH220" s="32" t="n">
        <f aca="false">IF(AND($P220="高",$AG220=0,OR($F220&lt;&gt;"原始數據",$T220&lt;&gt;1)),1,0)</f>
        <v>0</v>
      </c>
      <c r="AI220" s="44" t="str">
        <f aca="false">IF(AND($P220="高",ISNUMBER($AF220)),INDEX(IDX_SrcDate,$AF220),"—")</f>
        <v>—</v>
      </c>
      <c r="AJ220" s="32" t="n">
        <f aca="false">IF(AND(ISTEXT($AI220),LEN($AI220)=10),IF(ISNUMBER(VALUE(SUBSTITUTE($AI220,"-",""))),VALUE(SUBSTITUTE($AI220,"-","")),0),0)</f>
        <v>0</v>
      </c>
    </row>
    <row r="221" customFormat="false" ht="29.25" hidden="false" customHeight="true" outlineLevel="0" collapsed="false">
      <c r="A221" s="30" t="s">
        <v>5105</v>
      </c>
      <c r="B221" s="239" t="s">
        <v>4525</v>
      </c>
      <c r="C221" s="30" t="s">
        <v>5012</v>
      </c>
      <c r="D221" s="30" t="s">
        <v>4598</v>
      </c>
      <c r="E221" s="6" t="s">
        <v>313</v>
      </c>
      <c r="F221" s="30" t="s">
        <v>104</v>
      </c>
      <c r="G221" s="239" t="s">
        <v>4527</v>
      </c>
      <c r="H221" s="30" t="s">
        <v>751</v>
      </c>
      <c r="I221" s="6" t="s">
        <v>751</v>
      </c>
      <c r="J221" s="30" t="s">
        <v>5106</v>
      </c>
      <c r="K221" s="239"/>
      <c r="L221" s="239"/>
      <c r="M221" s="30" t="s">
        <v>751</v>
      </c>
      <c r="N221" s="6" t="s">
        <v>5107</v>
      </c>
      <c r="O221" s="6" t="s">
        <v>751</v>
      </c>
      <c r="P221" s="239" t="s">
        <v>4530</v>
      </c>
      <c r="Q221" s="33" t="n">
        <f aca="false">Arch!E20</f>
        <v>2</v>
      </c>
      <c r="R221" s="30" t="s">
        <v>751</v>
      </c>
      <c r="S221" s="44" t="str">
        <f aca="false">IF(ISNUMBER($AF221),INDEX(IDX_SrcStat,$AF221),"—")</f>
        <v>—</v>
      </c>
      <c r="T221" s="44" t="str">
        <f aca="false">IF(ISNUMBER($AF221),INDEX(IDX_SrcGrade,$AF221),"—")</f>
        <v>—</v>
      </c>
      <c r="U221" s="44" t="s">
        <v>4531</v>
      </c>
      <c r="V221" s="32" t="n">
        <f aca="false">IF(AND($F221="原始數據",$U221&lt;&gt;"連結 SRC"),1,0)</f>
        <v>0</v>
      </c>
      <c r="W221" s="32" t="n">
        <f aca="false">IF(AND($F221="Analogy",OR($H221="—",$H221="")),1,0)</f>
        <v>0</v>
      </c>
      <c r="X221" s="32" t="n">
        <f aca="false">IF(AND(OR($F221="Analogy",$F221="Assumed"),$G221&lt;&gt;"低",$G221&lt;&gt;"高",NOT(ISNUMBER($K221)),NOT(ISNUMBER($L221)),OR($M221="—",$M221="")),1,0)</f>
        <v>0</v>
      </c>
      <c r="Y221" s="32" t="n">
        <f aca="false">IF(AND(OR($F221="Analogy",$F221="Assumed",$F221="Derived（待改公式）",$F221="Derived（公式）"),OR($N221="—",$N221="",$N221=0)),1,0)</f>
        <v>0</v>
      </c>
      <c r="Z221" s="32" t="n">
        <f aca="false">IF(AND($F221="Decision",OR($J221="—",$J221="")),1,0)</f>
        <v>0</v>
      </c>
      <c r="AA221" s="33" t="n">
        <f aca="false">IF(OR($J221="—",$J221=""),0,IF(COUNTIF(Decisions!$A$5:$A$300,$J221)=0,1,0))</f>
        <v>0</v>
      </c>
      <c r="AB221" s="32" t="n">
        <f aca="false">IF(AND($F221="原始數據",$S221&lt;&gt;"Active"),1,0)</f>
        <v>0</v>
      </c>
      <c r="AC221" s="32" t="n">
        <f aca="false">IF(AND(ISNUMBER($K221),ISNUMBER($L221),ISNUMBER($Q221)),IF(OR($Q221&lt;MIN($K221,$L221),$Q221&gt;MAX($K221,$L221)),1,0),0)</f>
        <v>0</v>
      </c>
      <c r="AD221" s="32" t="n">
        <f aca="false">IF(AND(ISNUMBER($T221),$P221="高"),IF($T221=3,1,0),0)</f>
        <v>0</v>
      </c>
      <c r="AE221" s="32" t="n">
        <f aca="false">IF($S221="不存在",1,0)</f>
        <v>0</v>
      </c>
      <c r="AF221" s="44" t="str">
        <f aca="false">IF(OR($H221="—",$H221=""),"—",MATCH($H221,IDX_SrcID,0))</f>
        <v>—</v>
      </c>
      <c r="AG221" s="32" t="n">
        <f aca="false">IF(AND($P221="高",OR($AD221=1,$X221=1)),1,0)</f>
        <v>0</v>
      </c>
      <c r="AH221" s="32" t="n">
        <f aca="false">IF(AND($P221="高",$AG221=0,OR($F221&lt;&gt;"原始數據",$T221&lt;&gt;1)),1,0)</f>
        <v>0</v>
      </c>
      <c r="AI221" s="44" t="str">
        <f aca="false">IF(AND($P221="高",ISNUMBER($AF221)),INDEX(IDX_SrcDate,$AF221),"—")</f>
        <v>—</v>
      </c>
      <c r="AJ221" s="32" t="n">
        <f aca="false">IF(AND(ISTEXT($AI221),LEN($AI221)=10),IF(ISNUMBER(VALUE(SUBSTITUTE($AI221,"-",""))),VALUE(SUBSTITUTE($AI221,"-","")),0),0)</f>
        <v>0</v>
      </c>
    </row>
    <row r="222" customFormat="false" ht="43.5" hidden="false" customHeight="true" outlineLevel="0" collapsed="false">
      <c r="A222" s="30" t="s">
        <v>5108</v>
      </c>
      <c r="B222" s="239" t="s">
        <v>4525</v>
      </c>
      <c r="C222" s="30" t="s">
        <v>5012</v>
      </c>
      <c r="D222" s="30" t="s">
        <v>5109</v>
      </c>
      <c r="E222" s="6" t="s">
        <v>315</v>
      </c>
      <c r="F222" s="30" t="s">
        <v>4619</v>
      </c>
      <c r="G222" s="239" t="s">
        <v>4527</v>
      </c>
      <c r="H222" s="30" t="s">
        <v>751</v>
      </c>
      <c r="I222" s="6" t="s">
        <v>751</v>
      </c>
      <c r="J222" s="30" t="s">
        <v>751</v>
      </c>
      <c r="K222" s="239"/>
      <c r="L222" s="239"/>
      <c r="M222" s="30" t="s">
        <v>751</v>
      </c>
      <c r="N222" s="243" t="s">
        <v>5110</v>
      </c>
      <c r="O222" s="6" t="s">
        <v>751</v>
      </c>
      <c r="P222" s="239" t="s">
        <v>4530</v>
      </c>
      <c r="Q222" s="49" t="n">
        <f aca="false">Arch!C21</f>
        <v>2795</v>
      </c>
      <c r="R222" s="30" t="s">
        <v>751</v>
      </c>
      <c r="S222" s="44" t="str">
        <f aca="false">IF(ISNUMBER($AF222),INDEX(IDX_SrcStat,$AF222),"—")</f>
        <v>—</v>
      </c>
      <c r="T222" s="44" t="str">
        <f aca="false">IF(ISNUMBER($AF222),INDEX(IDX_SrcGrade,$AF222),"—")</f>
        <v>—</v>
      </c>
      <c r="U222" s="44" t="s">
        <v>4623</v>
      </c>
      <c r="V222" s="32" t="n">
        <f aca="false">IF(AND($F222="原始數據",$U222&lt;&gt;"連結 SRC"),1,0)</f>
        <v>0</v>
      </c>
      <c r="W222" s="32" t="n">
        <f aca="false">IF(AND($F222="Analogy",OR($H222="—",$H222="")),1,0)</f>
        <v>0</v>
      </c>
      <c r="X222" s="32" t="n">
        <f aca="false">IF(AND(OR($F222="Analogy",$F222="Assumed"),$G222&lt;&gt;"低",$G222&lt;&gt;"高",NOT(ISNUMBER($K222)),NOT(ISNUMBER($L222)),OR($M222="—",$M222="")),1,0)</f>
        <v>0</v>
      </c>
      <c r="Y222" s="32" t="n">
        <f aca="false">IF(AND(OR($F222="Analogy",$F222="Assumed",$F222="Derived（待改公式）",$F222="Derived（公式）"),OR($N222="—",$N222="",$N222=0)),1,0)</f>
        <v>0</v>
      </c>
      <c r="Z222" s="32" t="n">
        <f aca="false">IF(AND($F222="Decision",OR($J222="—",$J222="")),1,0)</f>
        <v>0</v>
      </c>
      <c r="AA222" s="33" t="n">
        <f aca="false">IF(OR($J222="—",$J222=""),0,IF(COUNTIF(Decisions!$A$5:$A$300,$J222)=0,1,0))</f>
        <v>0</v>
      </c>
      <c r="AB222" s="32" t="n">
        <f aca="false">IF(AND($F222="原始數據",$S222&lt;&gt;"Active"),1,0)</f>
        <v>0</v>
      </c>
      <c r="AC222" s="32" t="n">
        <f aca="false">IF(AND(ISNUMBER($K222),ISNUMBER($L222),ISNUMBER($Q222)),IF(OR($Q222&lt;MIN($K222,$L222),$Q222&gt;MAX($K222,$L222)),1,0),0)</f>
        <v>0</v>
      </c>
      <c r="AD222" s="32" t="n">
        <f aca="false">IF(AND(ISNUMBER($T222),$P222="高"),IF($T222=3,1,0),0)</f>
        <v>0</v>
      </c>
      <c r="AE222" s="32" t="n">
        <f aca="false">IF($S222="不存在",1,0)</f>
        <v>0</v>
      </c>
      <c r="AF222" s="44" t="str">
        <f aca="false">IF(OR($H222="—",$H222=""),"—",MATCH($H222,IDX_SrcID,0))</f>
        <v>—</v>
      </c>
      <c r="AG222" s="32" t="n">
        <f aca="false">IF(AND($P222="高",OR($AD222=1,$X222=1)),1,0)</f>
        <v>0</v>
      </c>
      <c r="AH222" s="32" t="n">
        <f aca="false">IF(AND($P222="高",$AG222=0,OR($F222&lt;&gt;"原始數據",$T222&lt;&gt;1)),1,0)</f>
        <v>0</v>
      </c>
      <c r="AI222" s="44" t="str">
        <f aca="false">IF(AND($P222="高",ISNUMBER($AF222)),INDEX(IDX_SrcDate,$AF222),"—")</f>
        <v>—</v>
      </c>
      <c r="AJ222" s="32" t="n">
        <f aca="false">IF(AND(ISTEXT($AI222),LEN($AI222)=10),IF(ISNUMBER(VALUE(SUBSTITUTE($AI222,"-",""))),VALUE(SUBSTITUTE($AI222,"-","")),0),0)</f>
        <v>0</v>
      </c>
    </row>
    <row r="223" customFormat="false" ht="43.5" hidden="false" customHeight="true" outlineLevel="0" collapsed="false">
      <c r="A223" s="30" t="s">
        <v>5111</v>
      </c>
      <c r="B223" s="239" t="s">
        <v>4525</v>
      </c>
      <c r="C223" s="30" t="s">
        <v>5012</v>
      </c>
      <c r="D223" s="30" t="s">
        <v>4608</v>
      </c>
      <c r="E223" s="6" t="s">
        <v>315</v>
      </c>
      <c r="F223" s="30" t="s">
        <v>4619</v>
      </c>
      <c r="G223" s="239" t="s">
        <v>4527</v>
      </c>
      <c r="H223" s="30" t="s">
        <v>751</v>
      </c>
      <c r="I223" s="6" t="s">
        <v>751</v>
      </c>
      <c r="J223" s="30" t="s">
        <v>751</v>
      </c>
      <c r="K223" s="239"/>
      <c r="L223" s="239"/>
      <c r="M223" s="30" t="s">
        <v>751</v>
      </c>
      <c r="N223" s="243" t="s">
        <v>5110</v>
      </c>
      <c r="O223" s="6" t="s">
        <v>751</v>
      </c>
      <c r="P223" s="239" t="s">
        <v>4530</v>
      </c>
      <c r="Q223" s="49" t="n">
        <f aca="false">Arch!D21</f>
        <v>3965</v>
      </c>
      <c r="R223" s="30" t="s">
        <v>751</v>
      </c>
      <c r="S223" s="44" t="str">
        <f aca="false">IF(ISNUMBER($AF223),INDEX(IDX_SrcStat,$AF223),"—")</f>
        <v>—</v>
      </c>
      <c r="T223" s="44" t="str">
        <f aca="false">IF(ISNUMBER($AF223),INDEX(IDX_SrcGrade,$AF223),"—")</f>
        <v>—</v>
      </c>
      <c r="U223" s="44" t="s">
        <v>4623</v>
      </c>
      <c r="V223" s="32" t="n">
        <f aca="false">IF(AND($F223="原始數據",$U223&lt;&gt;"連結 SRC"),1,0)</f>
        <v>0</v>
      </c>
      <c r="W223" s="32" t="n">
        <f aca="false">IF(AND($F223="Analogy",OR($H223="—",$H223="")),1,0)</f>
        <v>0</v>
      </c>
      <c r="X223" s="32" t="n">
        <f aca="false">IF(AND(OR($F223="Analogy",$F223="Assumed"),$G223&lt;&gt;"低",$G223&lt;&gt;"高",NOT(ISNUMBER($K223)),NOT(ISNUMBER($L223)),OR($M223="—",$M223="")),1,0)</f>
        <v>0</v>
      </c>
      <c r="Y223" s="32" t="n">
        <f aca="false">IF(AND(OR($F223="Analogy",$F223="Assumed",$F223="Derived（待改公式）",$F223="Derived（公式）"),OR($N223="—",$N223="",$N223=0)),1,0)</f>
        <v>0</v>
      </c>
      <c r="Z223" s="32" t="n">
        <f aca="false">IF(AND($F223="Decision",OR($J223="—",$J223="")),1,0)</f>
        <v>0</v>
      </c>
      <c r="AA223" s="33" t="n">
        <f aca="false">IF(OR($J223="—",$J223=""),0,IF(COUNTIF(Decisions!$A$5:$A$300,$J223)=0,1,0))</f>
        <v>0</v>
      </c>
      <c r="AB223" s="32" t="n">
        <f aca="false">IF(AND($F223="原始數據",$S223&lt;&gt;"Active"),1,0)</f>
        <v>0</v>
      </c>
      <c r="AC223" s="32" t="n">
        <f aca="false">IF(AND(ISNUMBER($K223),ISNUMBER($L223),ISNUMBER($Q223)),IF(OR($Q223&lt;MIN($K223,$L223),$Q223&gt;MAX($K223,$L223)),1,0),0)</f>
        <v>0</v>
      </c>
      <c r="AD223" s="32" t="n">
        <f aca="false">IF(AND(ISNUMBER($T223),$P223="高"),IF($T223=3,1,0),0)</f>
        <v>0</v>
      </c>
      <c r="AE223" s="32" t="n">
        <f aca="false">IF($S223="不存在",1,0)</f>
        <v>0</v>
      </c>
      <c r="AF223" s="44" t="str">
        <f aca="false">IF(OR($H223="—",$H223=""),"—",MATCH($H223,IDX_SrcID,0))</f>
        <v>—</v>
      </c>
      <c r="AG223" s="32" t="n">
        <f aca="false">IF(AND($P223="高",OR($AD223=1,$X223=1)),1,0)</f>
        <v>0</v>
      </c>
      <c r="AH223" s="32" t="n">
        <f aca="false">IF(AND($P223="高",$AG223=0,OR($F223&lt;&gt;"原始數據",$T223&lt;&gt;1)),1,0)</f>
        <v>0</v>
      </c>
      <c r="AI223" s="44" t="str">
        <f aca="false">IF(AND($P223="高",ISNUMBER($AF223)),INDEX(IDX_SrcDate,$AF223),"—")</f>
        <v>—</v>
      </c>
      <c r="AJ223" s="32" t="n">
        <f aca="false">IF(AND(ISTEXT($AI223),LEN($AI223)=10),IF(ISNUMBER(VALUE(SUBSTITUTE($AI223,"-",""))),VALUE(SUBSTITUTE($AI223,"-","")),0),0)</f>
        <v>0</v>
      </c>
    </row>
    <row r="224" customFormat="false" ht="43.5" hidden="false" customHeight="true" outlineLevel="0" collapsed="false">
      <c r="A224" s="30" t="s">
        <v>5112</v>
      </c>
      <c r="B224" s="239" t="s">
        <v>4525</v>
      </c>
      <c r="C224" s="30" t="s">
        <v>5012</v>
      </c>
      <c r="D224" s="30" t="s">
        <v>4605</v>
      </c>
      <c r="E224" s="6" t="s">
        <v>315</v>
      </c>
      <c r="F224" s="30" t="s">
        <v>4619</v>
      </c>
      <c r="G224" s="239" t="s">
        <v>4527</v>
      </c>
      <c r="H224" s="30" t="s">
        <v>751</v>
      </c>
      <c r="I224" s="6" t="s">
        <v>751</v>
      </c>
      <c r="J224" s="30" t="s">
        <v>751</v>
      </c>
      <c r="K224" s="239"/>
      <c r="L224" s="239"/>
      <c r="M224" s="30" t="s">
        <v>751</v>
      </c>
      <c r="N224" s="243" t="s">
        <v>5110</v>
      </c>
      <c r="O224" s="6" t="s">
        <v>751</v>
      </c>
      <c r="P224" s="239" t="s">
        <v>4530</v>
      </c>
      <c r="Q224" s="49" t="n">
        <f aca="false">Arch!E21</f>
        <v>14976</v>
      </c>
      <c r="R224" s="30" t="s">
        <v>751</v>
      </c>
      <c r="S224" s="44" t="str">
        <f aca="false">IF(ISNUMBER($AF224),INDEX(IDX_SrcStat,$AF224),"—")</f>
        <v>—</v>
      </c>
      <c r="T224" s="44" t="str">
        <f aca="false">IF(ISNUMBER($AF224),INDEX(IDX_SrcGrade,$AF224),"—")</f>
        <v>—</v>
      </c>
      <c r="U224" s="44" t="s">
        <v>4623</v>
      </c>
      <c r="V224" s="32" t="n">
        <f aca="false">IF(AND($F224="原始數據",$U224&lt;&gt;"連結 SRC"),1,0)</f>
        <v>0</v>
      </c>
      <c r="W224" s="32" t="n">
        <f aca="false">IF(AND($F224="Analogy",OR($H224="—",$H224="")),1,0)</f>
        <v>0</v>
      </c>
      <c r="X224" s="32" t="n">
        <f aca="false">IF(AND(OR($F224="Analogy",$F224="Assumed"),$G224&lt;&gt;"低",$G224&lt;&gt;"高",NOT(ISNUMBER($K224)),NOT(ISNUMBER($L224)),OR($M224="—",$M224="")),1,0)</f>
        <v>0</v>
      </c>
      <c r="Y224" s="32" t="n">
        <f aca="false">IF(AND(OR($F224="Analogy",$F224="Assumed",$F224="Derived（待改公式）",$F224="Derived（公式）"),OR($N224="—",$N224="",$N224=0)),1,0)</f>
        <v>0</v>
      </c>
      <c r="Z224" s="32" t="n">
        <f aca="false">IF(AND($F224="Decision",OR($J224="—",$J224="")),1,0)</f>
        <v>0</v>
      </c>
      <c r="AA224" s="33" t="n">
        <f aca="false">IF(OR($J224="—",$J224=""),0,IF(COUNTIF(Decisions!$A$5:$A$300,$J224)=0,1,0))</f>
        <v>0</v>
      </c>
      <c r="AB224" s="32" t="n">
        <f aca="false">IF(AND($F224="原始數據",$S224&lt;&gt;"Active"),1,0)</f>
        <v>0</v>
      </c>
      <c r="AC224" s="32" t="n">
        <f aca="false">IF(AND(ISNUMBER($K224),ISNUMBER($L224),ISNUMBER($Q224)),IF(OR($Q224&lt;MIN($K224,$L224),$Q224&gt;MAX($K224,$L224)),1,0),0)</f>
        <v>0</v>
      </c>
      <c r="AD224" s="32" t="n">
        <f aca="false">IF(AND(ISNUMBER($T224),$P224="高"),IF($T224=3,1,0),0)</f>
        <v>0</v>
      </c>
      <c r="AE224" s="32" t="n">
        <f aca="false">IF($S224="不存在",1,0)</f>
        <v>0</v>
      </c>
      <c r="AF224" s="44" t="str">
        <f aca="false">IF(OR($H224="—",$H224=""),"—",MATCH($H224,IDX_SrcID,0))</f>
        <v>—</v>
      </c>
      <c r="AG224" s="32" t="n">
        <f aca="false">IF(AND($P224="高",OR($AD224=1,$X224=1)),1,0)</f>
        <v>0</v>
      </c>
      <c r="AH224" s="32" t="n">
        <f aca="false">IF(AND($P224="高",$AG224=0,OR($F224&lt;&gt;"原始數據",$T224&lt;&gt;1)),1,0)</f>
        <v>0</v>
      </c>
      <c r="AI224" s="44" t="str">
        <f aca="false">IF(AND($P224="高",ISNUMBER($AF224)),INDEX(IDX_SrcDate,$AF224),"—")</f>
        <v>—</v>
      </c>
      <c r="AJ224" s="32" t="n">
        <f aca="false">IF(AND(ISTEXT($AI224),LEN($AI224)=10),IF(ISNUMBER(VALUE(SUBSTITUTE($AI224,"-",""))),VALUE(SUBSTITUTE($AI224,"-","")),0),0)</f>
        <v>0</v>
      </c>
    </row>
    <row r="225" customFormat="false" ht="43.5" hidden="false" customHeight="true" outlineLevel="0" collapsed="false">
      <c r="A225" s="30" t="s">
        <v>5113</v>
      </c>
      <c r="B225" s="239" t="s">
        <v>4525</v>
      </c>
      <c r="C225" s="30" t="s">
        <v>5012</v>
      </c>
      <c r="D225" s="30" t="s">
        <v>5114</v>
      </c>
      <c r="E225" s="6" t="s">
        <v>318</v>
      </c>
      <c r="F225" s="30" t="s">
        <v>4619</v>
      </c>
      <c r="G225" s="239" t="s">
        <v>4527</v>
      </c>
      <c r="H225" s="30" t="s">
        <v>751</v>
      </c>
      <c r="I225" s="6" t="s">
        <v>751</v>
      </c>
      <c r="J225" s="30" t="s">
        <v>751</v>
      </c>
      <c r="K225" s="239"/>
      <c r="L225" s="239"/>
      <c r="M225" s="30" t="s">
        <v>751</v>
      </c>
      <c r="N225" s="243" t="s">
        <v>5110</v>
      </c>
      <c r="O225" s="6" t="s">
        <v>751</v>
      </c>
      <c r="P225" s="239" t="s">
        <v>4530</v>
      </c>
      <c r="Q225" s="49" t="n">
        <f aca="false">Arch!C22</f>
        <v>2795</v>
      </c>
      <c r="R225" s="30" t="s">
        <v>751</v>
      </c>
      <c r="S225" s="44" t="str">
        <f aca="false">IF(ISNUMBER($AF225),INDEX(IDX_SrcStat,$AF225),"—")</f>
        <v>—</v>
      </c>
      <c r="T225" s="44" t="str">
        <f aca="false">IF(ISNUMBER($AF225),INDEX(IDX_SrcGrade,$AF225),"—")</f>
        <v>—</v>
      </c>
      <c r="U225" s="44" t="s">
        <v>4623</v>
      </c>
      <c r="V225" s="32" t="n">
        <f aca="false">IF(AND($F225="原始數據",$U225&lt;&gt;"連結 SRC"),1,0)</f>
        <v>0</v>
      </c>
      <c r="W225" s="32" t="n">
        <f aca="false">IF(AND($F225="Analogy",OR($H225="—",$H225="")),1,0)</f>
        <v>0</v>
      </c>
      <c r="X225" s="32" t="n">
        <f aca="false">IF(AND(OR($F225="Analogy",$F225="Assumed"),$G225&lt;&gt;"低",$G225&lt;&gt;"高",NOT(ISNUMBER($K225)),NOT(ISNUMBER($L225)),OR($M225="—",$M225="")),1,0)</f>
        <v>0</v>
      </c>
      <c r="Y225" s="32" t="n">
        <f aca="false">IF(AND(OR($F225="Analogy",$F225="Assumed",$F225="Derived（待改公式）",$F225="Derived（公式）"),OR($N225="—",$N225="",$N225=0)),1,0)</f>
        <v>0</v>
      </c>
      <c r="Z225" s="32" t="n">
        <f aca="false">IF(AND($F225="Decision",OR($J225="—",$J225="")),1,0)</f>
        <v>0</v>
      </c>
      <c r="AA225" s="33" t="n">
        <f aca="false">IF(OR($J225="—",$J225=""),0,IF(COUNTIF(Decisions!$A$5:$A$300,$J225)=0,1,0))</f>
        <v>0</v>
      </c>
      <c r="AB225" s="32" t="n">
        <f aca="false">IF(AND($F225="原始數據",$S225&lt;&gt;"Active"),1,0)</f>
        <v>0</v>
      </c>
      <c r="AC225" s="32" t="n">
        <f aca="false">IF(AND(ISNUMBER($K225),ISNUMBER($L225),ISNUMBER($Q225)),IF(OR($Q225&lt;MIN($K225,$L225),$Q225&gt;MAX($K225,$L225)),1,0),0)</f>
        <v>0</v>
      </c>
      <c r="AD225" s="32" t="n">
        <f aca="false">IF(AND(ISNUMBER($T225),$P225="高"),IF($T225=3,1,0),0)</f>
        <v>0</v>
      </c>
      <c r="AE225" s="32" t="n">
        <f aca="false">IF($S225="不存在",1,0)</f>
        <v>0</v>
      </c>
      <c r="AF225" s="44" t="str">
        <f aca="false">IF(OR($H225="—",$H225=""),"—",MATCH($H225,IDX_SrcID,0))</f>
        <v>—</v>
      </c>
      <c r="AG225" s="32" t="n">
        <f aca="false">IF(AND($P225="高",OR($AD225=1,$X225=1)),1,0)</f>
        <v>0</v>
      </c>
      <c r="AH225" s="32" t="n">
        <f aca="false">IF(AND($P225="高",$AG225=0,OR($F225&lt;&gt;"原始數據",$T225&lt;&gt;1)),1,0)</f>
        <v>0</v>
      </c>
      <c r="AI225" s="44" t="str">
        <f aca="false">IF(AND($P225="高",ISNUMBER($AF225)),INDEX(IDX_SrcDate,$AF225),"—")</f>
        <v>—</v>
      </c>
      <c r="AJ225" s="32" t="n">
        <f aca="false">IF(AND(ISTEXT($AI225),LEN($AI225)=10),IF(ISNUMBER(VALUE(SUBSTITUTE($AI225,"-",""))),VALUE(SUBSTITUTE($AI225,"-","")),0),0)</f>
        <v>0</v>
      </c>
    </row>
    <row r="226" customFormat="false" ht="43.5" hidden="false" customHeight="true" outlineLevel="0" collapsed="false">
      <c r="A226" s="30" t="s">
        <v>5115</v>
      </c>
      <c r="B226" s="239" t="s">
        <v>4525</v>
      </c>
      <c r="C226" s="30" t="s">
        <v>5012</v>
      </c>
      <c r="D226" s="30" t="s">
        <v>5116</v>
      </c>
      <c r="E226" s="6" t="s">
        <v>318</v>
      </c>
      <c r="F226" s="30" t="s">
        <v>4619</v>
      </c>
      <c r="G226" s="239" t="s">
        <v>4527</v>
      </c>
      <c r="H226" s="30" t="s">
        <v>751</v>
      </c>
      <c r="I226" s="6" t="s">
        <v>751</v>
      </c>
      <c r="J226" s="30" t="s">
        <v>751</v>
      </c>
      <c r="K226" s="239"/>
      <c r="L226" s="239"/>
      <c r="M226" s="30" t="s">
        <v>751</v>
      </c>
      <c r="N226" s="243" t="s">
        <v>5110</v>
      </c>
      <c r="O226" s="6" t="s">
        <v>751</v>
      </c>
      <c r="P226" s="239" t="s">
        <v>4530</v>
      </c>
      <c r="Q226" s="49" t="n">
        <f aca="false">Arch!D22</f>
        <v>3965</v>
      </c>
      <c r="R226" s="30" t="s">
        <v>751</v>
      </c>
      <c r="S226" s="44" t="str">
        <f aca="false">IF(ISNUMBER($AF226),INDEX(IDX_SrcStat,$AF226),"—")</f>
        <v>—</v>
      </c>
      <c r="T226" s="44" t="str">
        <f aca="false">IF(ISNUMBER($AF226),INDEX(IDX_SrcGrade,$AF226),"—")</f>
        <v>—</v>
      </c>
      <c r="U226" s="44" t="s">
        <v>4623</v>
      </c>
      <c r="V226" s="32" t="n">
        <f aca="false">IF(AND($F226="原始數據",$U226&lt;&gt;"連結 SRC"),1,0)</f>
        <v>0</v>
      </c>
      <c r="W226" s="32" t="n">
        <f aca="false">IF(AND($F226="Analogy",OR($H226="—",$H226="")),1,0)</f>
        <v>0</v>
      </c>
      <c r="X226" s="32" t="n">
        <f aca="false">IF(AND(OR($F226="Analogy",$F226="Assumed"),$G226&lt;&gt;"低",$G226&lt;&gt;"高",NOT(ISNUMBER($K226)),NOT(ISNUMBER($L226)),OR($M226="—",$M226="")),1,0)</f>
        <v>0</v>
      </c>
      <c r="Y226" s="32" t="n">
        <f aca="false">IF(AND(OR($F226="Analogy",$F226="Assumed",$F226="Derived（待改公式）",$F226="Derived（公式）"),OR($N226="—",$N226="",$N226=0)),1,0)</f>
        <v>0</v>
      </c>
      <c r="Z226" s="32" t="n">
        <f aca="false">IF(AND($F226="Decision",OR($J226="—",$J226="")),1,0)</f>
        <v>0</v>
      </c>
      <c r="AA226" s="33" t="n">
        <f aca="false">IF(OR($J226="—",$J226=""),0,IF(COUNTIF(Decisions!$A$5:$A$300,$J226)=0,1,0))</f>
        <v>0</v>
      </c>
      <c r="AB226" s="32" t="n">
        <f aca="false">IF(AND($F226="原始數據",$S226&lt;&gt;"Active"),1,0)</f>
        <v>0</v>
      </c>
      <c r="AC226" s="32" t="n">
        <f aca="false">IF(AND(ISNUMBER($K226),ISNUMBER($L226),ISNUMBER($Q226)),IF(OR($Q226&lt;MIN($K226,$L226),$Q226&gt;MAX($K226,$L226)),1,0),0)</f>
        <v>0</v>
      </c>
      <c r="AD226" s="32" t="n">
        <f aca="false">IF(AND(ISNUMBER($T226),$P226="高"),IF($T226=3,1,0),0)</f>
        <v>0</v>
      </c>
      <c r="AE226" s="32" t="n">
        <f aca="false">IF($S226="不存在",1,0)</f>
        <v>0</v>
      </c>
      <c r="AF226" s="44" t="str">
        <f aca="false">IF(OR($H226="—",$H226=""),"—",MATCH($H226,IDX_SrcID,0))</f>
        <v>—</v>
      </c>
      <c r="AG226" s="32" t="n">
        <f aca="false">IF(AND($P226="高",OR($AD226=1,$X226=1)),1,0)</f>
        <v>0</v>
      </c>
      <c r="AH226" s="32" t="n">
        <f aca="false">IF(AND($P226="高",$AG226=0,OR($F226&lt;&gt;"原始數據",$T226&lt;&gt;1)),1,0)</f>
        <v>0</v>
      </c>
      <c r="AI226" s="44" t="str">
        <f aca="false">IF(AND($P226="高",ISNUMBER($AF226)),INDEX(IDX_SrcDate,$AF226),"—")</f>
        <v>—</v>
      </c>
      <c r="AJ226" s="32" t="n">
        <f aca="false">IF(AND(ISTEXT($AI226),LEN($AI226)=10),IF(ISNUMBER(VALUE(SUBSTITUTE($AI226,"-",""))),VALUE(SUBSTITUTE($AI226,"-","")),0),0)</f>
        <v>0</v>
      </c>
    </row>
    <row r="227" customFormat="false" ht="43.5" hidden="false" customHeight="true" outlineLevel="0" collapsed="false">
      <c r="A227" s="30" t="s">
        <v>5117</v>
      </c>
      <c r="B227" s="239" t="s">
        <v>4525</v>
      </c>
      <c r="C227" s="30" t="s">
        <v>5012</v>
      </c>
      <c r="D227" s="30" t="s">
        <v>5118</v>
      </c>
      <c r="E227" s="6" t="s">
        <v>318</v>
      </c>
      <c r="F227" s="30" t="s">
        <v>4619</v>
      </c>
      <c r="G227" s="239" t="s">
        <v>4527</v>
      </c>
      <c r="H227" s="30" t="s">
        <v>751</v>
      </c>
      <c r="I227" s="6" t="s">
        <v>751</v>
      </c>
      <c r="J227" s="30" t="s">
        <v>751</v>
      </c>
      <c r="K227" s="239"/>
      <c r="L227" s="239"/>
      <c r="M227" s="30" t="s">
        <v>751</v>
      </c>
      <c r="N227" s="243" t="s">
        <v>5110</v>
      </c>
      <c r="O227" s="6" t="s">
        <v>751</v>
      </c>
      <c r="P227" s="239" t="s">
        <v>4530</v>
      </c>
      <c r="Q227" s="49" t="n">
        <f aca="false">Arch!E22</f>
        <v>57600</v>
      </c>
      <c r="R227" s="30" t="s">
        <v>751</v>
      </c>
      <c r="S227" s="44" t="str">
        <f aca="false">IF(ISNUMBER($AF227),INDEX(IDX_SrcStat,$AF227),"—")</f>
        <v>—</v>
      </c>
      <c r="T227" s="44" t="str">
        <f aca="false">IF(ISNUMBER($AF227),INDEX(IDX_SrcGrade,$AF227),"—")</f>
        <v>—</v>
      </c>
      <c r="U227" s="44" t="s">
        <v>4623</v>
      </c>
      <c r="V227" s="32" t="n">
        <f aca="false">IF(AND($F227="原始數據",$U227&lt;&gt;"連結 SRC"),1,0)</f>
        <v>0</v>
      </c>
      <c r="W227" s="32" t="n">
        <f aca="false">IF(AND($F227="Analogy",OR($H227="—",$H227="")),1,0)</f>
        <v>0</v>
      </c>
      <c r="X227" s="32" t="n">
        <f aca="false">IF(AND(OR($F227="Analogy",$F227="Assumed"),$G227&lt;&gt;"低",$G227&lt;&gt;"高",NOT(ISNUMBER($K227)),NOT(ISNUMBER($L227)),OR($M227="—",$M227="")),1,0)</f>
        <v>0</v>
      </c>
      <c r="Y227" s="32" t="n">
        <f aca="false">IF(AND(OR($F227="Analogy",$F227="Assumed",$F227="Derived（待改公式）",$F227="Derived（公式）"),OR($N227="—",$N227="",$N227=0)),1,0)</f>
        <v>0</v>
      </c>
      <c r="Z227" s="32" t="n">
        <f aca="false">IF(AND($F227="Decision",OR($J227="—",$J227="")),1,0)</f>
        <v>0</v>
      </c>
      <c r="AA227" s="33" t="n">
        <f aca="false">IF(OR($J227="—",$J227=""),0,IF(COUNTIF(Decisions!$A$5:$A$300,$J227)=0,1,0))</f>
        <v>0</v>
      </c>
      <c r="AB227" s="32" t="n">
        <f aca="false">IF(AND($F227="原始數據",$S227&lt;&gt;"Active"),1,0)</f>
        <v>0</v>
      </c>
      <c r="AC227" s="32" t="n">
        <f aca="false">IF(AND(ISNUMBER($K227),ISNUMBER($L227),ISNUMBER($Q227)),IF(OR($Q227&lt;MIN($K227,$L227),$Q227&gt;MAX($K227,$L227)),1,0),0)</f>
        <v>0</v>
      </c>
      <c r="AD227" s="32" t="n">
        <f aca="false">IF(AND(ISNUMBER($T227),$P227="高"),IF($T227=3,1,0),0)</f>
        <v>0</v>
      </c>
      <c r="AE227" s="32" t="n">
        <f aca="false">IF($S227="不存在",1,0)</f>
        <v>0</v>
      </c>
      <c r="AF227" s="44" t="str">
        <f aca="false">IF(OR($H227="—",$H227=""),"—",MATCH($H227,IDX_SrcID,0))</f>
        <v>—</v>
      </c>
      <c r="AG227" s="32" t="n">
        <f aca="false">IF(AND($P227="高",OR($AD227=1,$X227=1)),1,0)</f>
        <v>0</v>
      </c>
      <c r="AH227" s="32" t="n">
        <f aca="false">IF(AND($P227="高",$AG227=0,OR($F227&lt;&gt;"原始數據",$T227&lt;&gt;1)),1,0)</f>
        <v>0</v>
      </c>
      <c r="AI227" s="44" t="str">
        <f aca="false">IF(AND($P227="高",ISNUMBER($AF227)),INDEX(IDX_SrcDate,$AF227),"—")</f>
        <v>—</v>
      </c>
      <c r="AJ227" s="32" t="n">
        <f aca="false">IF(AND(ISTEXT($AI227),LEN($AI227)=10),IF(ISNUMBER(VALUE(SUBSTITUTE($AI227,"-",""))),VALUE(SUBSTITUTE($AI227,"-","")),0),0)</f>
        <v>0</v>
      </c>
    </row>
    <row r="228" customFormat="false" ht="43.5" hidden="false" customHeight="true" outlineLevel="0" collapsed="false">
      <c r="A228" s="30" t="s">
        <v>5119</v>
      </c>
      <c r="B228" s="239" t="s">
        <v>4525</v>
      </c>
      <c r="C228" s="30" t="s">
        <v>5012</v>
      </c>
      <c r="D228" s="30" t="s">
        <v>4804</v>
      </c>
      <c r="E228" s="6" t="s">
        <v>320</v>
      </c>
      <c r="F228" s="30" t="s">
        <v>4619</v>
      </c>
      <c r="G228" s="239" t="s">
        <v>4527</v>
      </c>
      <c r="H228" s="30" t="s">
        <v>751</v>
      </c>
      <c r="I228" s="6" t="s">
        <v>751</v>
      </c>
      <c r="J228" s="30" t="s">
        <v>751</v>
      </c>
      <c r="K228" s="239"/>
      <c r="L228" s="239"/>
      <c r="M228" s="30" t="s">
        <v>751</v>
      </c>
      <c r="N228" s="243" t="s">
        <v>5110</v>
      </c>
      <c r="O228" s="6" t="s">
        <v>751</v>
      </c>
      <c r="P228" s="239" t="s">
        <v>4530</v>
      </c>
      <c r="Q228" s="49" t="n">
        <f aca="false">Arch!C23</f>
        <v>2795</v>
      </c>
      <c r="R228" s="30" t="s">
        <v>751</v>
      </c>
      <c r="S228" s="44" t="str">
        <f aca="false">IF(ISNUMBER($AF228),INDEX(IDX_SrcStat,$AF228),"—")</f>
        <v>—</v>
      </c>
      <c r="T228" s="44" t="str">
        <f aca="false">IF(ISNUMBER($AF228),INDEX(IDX_SrcGrade,$AF228),"—")</f>
        <v>—</v>
      </c>
      <c r="U228" s="44" t="s">
        <v>4623</v>
      </c>
      <c r="V228" s="32" t="n">
        <f aca="false">IF(AND($F228="原始數據",$U228&lt;&gt;"連結 SRC"),1,0)</f>
        <v>0</v>
      </c>
      <c r="W228" s="32" t="n">
        <f aca="false">IF(AND($F228="Analogy",OR($H228="—",$H228="")),1,0)</f>
        <v>0</v>
      </c>
      <c r="X228" s="32" t="n">
        <f aca="false">IF(AND(OR($F228="Analogy",$F228="Assumed"),$G228&lt;&gt;"低",$G228&lt;&gt;"高",NOT(ISNUMBER($K228)),NOT(ISNUMBER($L228)),OR($M228="—",$M228="")),1,0)</f>
        <v>0</v>
      </c>
      <c r="Y228" s="32" t="n">
        <f aca="false">IF(AND(OR($F228="Analogy",$F228="Assumed",$F228="Derived（待改公式）",$F228="Derived（公式）"),OR($N228="—",$N228="",$N228=0)),1,0)</f>
        <v>0</v>
      </c>
      <c r="Z228" s="32" t="n">
        <f aca="false">IF(AND($F228="Decision",OR($J228="—",$J228="")),1,0)</f>
        <v>0</v>
      </c>
      <c r="AA228" s="33" t="n">
        <f aca="false">IF(OR($J228="—",$J228=""),0,IF(COUNTIF(Decisions!$A$5:$A$300,$J228)=0,1,0))</f>
        <v>0</v>
      </c>
      <c r="AB228" s="32" t="n">
        <f aca="false">IF(AND($F228="原始數據",$S228&lt;&gt;"Active"),1,0)</f>
        <v>0</v>
      </c>
      <c r="AC228" s="32" t="n">
        <f aca="false">IF(AND(ISNUMBER($K228),ISNUMBER($L228),ISNUMBER($Q228)),IF(OR($Q228&lt;MIN($K228,$L228),$Q228&gt;MAX($K228,$L228)),1,0),0)</f>
        <v>0</v>
      </c>
      <c r="AD228" s="32" t="n">
        <f aca="false">IF(AND(ISNUMBER($T228),$P228="高"),IF($T228=3,1,0),0)</f>
        <v>0</v>
      </c>
      <c r="AE228" s="32" t="n">
        <f aca="false">IF($S228="不存在",1,0)</f>
        <v>0</v>
      </c>
      <c r="AF228" s="44" t="str">
        <f aca="false">IF(OR($H228="—",$H228=""),"—",MATCH($H228,IDX_SrcID,0))</f>
        <v>—</v>
      </c>
      <c r="AG228" s="32" t="n">
        <f aca="false">IF(AND($P228="高",OR($AD228=1,$X228=1)),1,0)</f>
        <v>0</v>
      </c>
      <c r="AH228" s="32" t="n">
        <f aca="false">IF(AND($P228="高",$AG228=0,OR($F228&lt;&gt;"原始數據",$T228&lt;&gt;1)),1,0)</f>
        <v>0</v>
      </c>
      <c r="AI228" s="44" t="str">
        <f aca="false">IF(AND($P228="高",ISNUMBER($AF228)),INDEX(IDX_SrcDate,$AF228),"—")</f>
        <v>—</v>
      </c>
      <c r="AJ228" s="32" t="n">
        <f aca="false">IF(AND(ISTEXT($AI228),LEN($AI228)=10),IF(ISNUMBER(VALUE(SUBSTITUTE($AI228,"-",""))),VALUE(SUBSTITUTE($AI228,"-","")),0),0)</f>
        <v>0</v>
      </c>
    </row>
    <row r="229" customFormat="false" ht="43.5" hidden="false" customHeight="true" outlineLevel="0" collapsed="false">
      <c r="A229" s="30" t="s">
        <v>5120</v>
      </c>
      <c r="B229" s="239" t="s">
        <v>4525</v>
      </c>
      <c r="C229" s="30" t="s">
        <v>5012</v>
      </c>
      <c r="D229" s="30" t="s">
        <v>4662</v>
      </c>
      <c r="E229" s="6" t="s">
        <v>320</v>
      </c>
      <c r="F229" s="30" t="s">
        <v>4619</v>
      </c>
      <c r="G229" s="239" t="s">
        <v>4527</v>
      </c>
      <c r="H229" s="30" t="s">
        <v>751</v>
      </c>
      <c r="I229" s="6" t="s">
        <v>751</v>
      </c>
      <c r="J229" s="30" t="s">
        <v>751</v>
      </c>
      <c r="K229" s="239"/>
      <c r="L229" s="239"/>
      <c r="M229" s="30" t="s">
        <v>751</v>
      </c>
      <c r="N229" s="243" t="s">
        <v>5110</v>
      </c>
      <c r="O229" s="6" t="s">
        <v>751</v>
      </c>
      <c r="P229" s="239" t="s">
        <v>4530</v>
      </c>
      <c r="Q229" s="49" t="n">
        <f aca="false">Arch!D23</f>
        <v>3965</v>
      </c>
      <c r="R229" s="30" t="s">
        <v>751</v>
      </c>
      <c r="S229" s="44" t="str">
        <f aca="false">IF(ISNUMBER($AF229),INDEX(IDX_SrcStat,$AF229),"—")</f>
        <v>—</v>
      </c>
      <c r="T229" s="44" t="str">
        <f aca="false">IF(ISNUMBER($AF229),INDEX(IDX_SrcGrade,$AF229),"—")</f>
        <v>—</v>
      </c>
      <c r="U229" s="44" t="s">
        <v>4623</v>
      </c>
      <c r="V229" s="32" t="n">
        <f aca="false">IF(AND($F229="原始數據",$U229&lt;&gt;"連結 SRC"),1,0)</f>
        <v>0</v>
      </c>
      <c r="W229" s="32" t="n">
        <f aca="false">IF(AND($F229="Analogy",OR($H229="—",$H229="")),1,0)</f>
        <v>0</v>
      </c>
      <c r="X229" s="32" t="n">
        <f aca="false">IF(AND(OR($F229="Analogy",$F229="Assumed"),$G229&lt;&gt;"低",$G229&lt;&gt;"高",NOT(ISNUMBER($K229)),NOT(ISNUMBER($L229)),OR($M229="—",$M229="")),1,0)</f>
        <v>0</v>
      </c>
      <c r="Y229" s="32" t="n">
        <f aca="false">IF(AND(OR($F229="Analogy",$F229="Assumed",$F229="Derived（待改公式）",$F229="Derived（公式）"),OR($N229="—",$N229="",$N229=0)),1,0)</f>
        <v>0</v>
      </c>
      <c r="Z229" s="32" t="n">
        <f aca="false">IF(AND($F229="Decision",OR($J229="—",$J229="")),1,0)</f>
        <v>0</v>
      </c>
      <c r="AA229" s="33" t="n">
        <f aca="false">IF(OR($J229="—",$J229=""),0,IF(COUNTIF(Decisions!$A$5:$A$300,$J229)=0,1,0))</f>
        <v>0</v>
      </c>
      <c r="AB229" s="32" t="n">
        <f aca="false">IF(AND($F229="原始數據",$S229&lt;&gt;"Active"),1,0)</f>
        <v>0</v>
      </c>
      <c r="AC229" s="32" t="n">
        <f aca="false">IF(AND(ISNUMBER($K229),ISNUMBER($L229),ISNUMBER($Q229)),IF(OR($Q229&lt;MIN($K229,$L229),$Q229&gt;MAX($K229,$L229)),1,0),0)</f>
        <v>0</v>
      </c>
      <c r="AD229" s="32" t="n">
        <f aca="false">IF(AND(ISNUMBER($T229),$P229="高"),IF($T229=3,1,0),0)</f>
        <v>0</v>
      </c>
      <c r="AE229" s="32" t="n">
        <f aca="false">IF($S229="不存在",1,0)</f>
        <v>0</v>
      </c>
      <c r="AF229" s="44" t="str">
        <f aca="false">IF(OR($H229="—",$H229=""),"—",MATCH($H229,IDX_SrcID,0))</f>
        <v>—</v>
      </c>
      <c r="AG229" s="32" t="n">
        <f aca="false">IF(AND($P229="高",OR($AD229=1,$X229=1)),1,0)</f>
        <v>0</v>
      </c>
      <c r="AH229" s="32" t="n">
        <f aca="false">IF(AND($P229="高",$AG229=0,OR($F229&lt;&gt;"原始數據",$T229&lt;&gt;1)),1,0)</f>
        <v>0</v>
      </c>
      <c r="AI229" s="44" t="str">
        <f aca="false">IF(AND($P229="高",ISNUMBER($AF229)),INDEX(IDX_SrcDate,$AF229),"—")</f>
        <v>—</v>
      </c>
      <c r="AJ229" s="32" t="n">
        <f aca="false">IF(AND(ISTEXT($AI229),LEN($AI229)=10),IF(ISNUMBER(VALUE(SUBSTITUTE($AI229,"-",""))),VALUE(SUBSTITUTE($AI229,"-","")),0),0)</f>
        <v>0</v>
      </c>
    </row>
    <row r="230" customFormat="false" ht="43.5" hidden="false" customHeight="true" outlineLevel="0" collapsed="false">
      <c r="A230" s="30" t="s">
        <v>5121</v>
      </c>
      <c r="B230" s="239" t="s">
        <v>4525</v>
      </c>
      <c r="C230" s="30" t="s">
        <v>5012</v>
      </c>
      <c r="D230" s="30" t="s">
        <v>4667</v>
      </c>
      <c r="E230" s="6" t="s">
        <v>320</v>
      </c>
      <c r="F230" s="30" t="s">
        <v>4619</v>
      </c>
      <c r="G230" s="239" t="s">
        <v>4527</v>
      </c>
      <c r="H230" s="30" t="s">
        <v>751</v>
      </c>
      <c r="I230" s="6" t="s">
        <v>751</v>
      </c>
      <c r="J230" s="30" t="s">
        <v>751</v>
      </c>
      <c r="K230" s="239"/>
      <c r="L230" s="239"/>
      <c r="M230" s="30" t="s">
        <v>751</v>
      </c>
      <c r="N230" s="243" t="s">
        <v>5110</v>
      </c>
      <c r="O230" s="6" t="s">
        <v>751</v>
      </c>
      <c r="P230" s="239" t="s">
        <v>4530</v>
      </c>
      <c r="Q230" s="49" t="n">
        <f aca="false">Arch!E23</f>
        <v>204800</v>
      </c>
      <c r="R230" s="30" t="s">
        <v>751</v>
      </c>
      <c r="S230" s="44" t="str">
        <f aca="false">IF(ISNUMBER($AF230),INDEX(IDX_SrcStat,$AF230),"—")</f>
        <v>—</v>
      </c>
      <c r="T230" s="44" t="str">
        <f aca="false">IF(ISNUMBER($AF230),INDEX(IDX_SrcGrade,$AF230),"—")</f>
        <v>—</v>
      </c>
      <c r="U230" s="44" t="s">
        <v>4623</v>
      </c>
      <c r="V230" s="32" t="n">
        <f aca="false">IF(AND($F230="原始數據",$U230&lt;&gt;"連結 SRC"),1,0)</f>
        <v>0</v>
      </c>
      <c r="W230" s="32" t="n">
        <f aca="false">IF(AND($F230="Analogy",OR($H230="—",$H230="")),1,0)</f>
        <v>0</v>
      </c>
      <c r="X230" s="32" t="n">
        <f aca="false">IF(AND(OR($F230="Analogy",$F230="Assumed"),$G230&lt;&gt;"低",$G230&lt;&gt;"高",NOT(ISNUMBER($K230)),NOT(ISNUMBER($L230)),OR($M230="—",$M230="")),1,0)</f>
        <v>0</v>
      </c>
      <c r="Y230" s="32" t="n">
        <f aca="false">IF(AND(OR($F230="Analogy",$F230="Assumed",$F230="Derived（待改公式）",$F230="Derived（公式）"),OR($N230="—",$N230="",$N230=0)),1,0)</f>
        <v>0</v>
      </c>
      <c r="Z230" s="32" t="n">
        <f aca="false">IF(AND($F230="Decision",OR($J230="—",$J230="")),1,0)</f>
        <v>0</v>
      </c>
      <c r="AA230" s="33" t="n">
        <f aca="false">IF(OR($J230="—",$J230=""),0,IF(COUNTIF(Decisions!$A$5:$A$300,$J230)=0,1,0))</f>
        <v>0</v>
      </c>
      <c r="AB230" s="32" t="n">
        <f aca="false">IF(AND($F230="原始數據",$S230&lt;&gt;"Active"),1,0)</f>
        <v>0</v>
      </c>
      <c r="AC230" s="32" t="n">
        <f aca="false">IF(AND(ISNUMBER($K230),ISNUMBER($L230),ISNUMBER($Q230)),IF(OR($Q230&lt;MIN($K230,$L230),$Q230&gt;MAX($K230,$L230)),1,0),0)</f>
        <v>0</v>
      </c>
      <c r="AD230" s="32" t="n">
        <f aca="false">IF(AND(ISNUMBER($T230),$P230="高"),IF($T230=3,1,0),0)</f>
        <v>0</v>
      </c>
      <c r="AE230" s="32" t="n">
        <f aca="false">IF($S230="不存在",1,0)</f>
        <v>0</v>
      </c>
      <c r="AF230" s="44" t="str">
        <f aca="false">IF(OR($H230="—",$H230=""),"—",MATCH($H230,IDX_SrcID,0))</f>
        <v>—</v>
      </c>
      <c r="AG230" s="32" t="n">
        <f aca="false">IF(AND($P230="高",OR($AD230=1,$X230=1)),1,0)</f>
        <v>0</v>
      </c>
      <c r="AH230" s="32" t="n">
        <f aca="false">IF(AND($P230="高",$AG230=0,OR($F230&lt;&gt;"原始數據",$T230&lt;&gt;1)),1,0)</f>
        <v>0</v>
      </c>
      <c r="AI230" s="44" t="str">
        <f aca="false">IF(AND($P230="高",ISNUMBER($AF230)),INDEX(IDX_SrcDate,$AF230),"—")</f>
        <v>—</v>
      </c>
      <c r="AJ230" s="32" t="n">
        <f aca="false">IF(AND(ISTEXT($AI230),LEN($AI230)=10),IF(ISNUMBER(VALUE(SUBSTITUTE($AI230,"-",""))),VALUE(SUBSTITUTE($AI230,"-","")),0),0)</f>
        <v>0</v>
      </c>
    </row>
    <row r="231" customFormat="false" ht="29.25" hidden="false" customHeight="true" outlineLevel="0" collapsed="false">
      <c r="A231" s="30" t="s">
        <v>5122</v>
      </c>
      <c r="B231" s="239" t="s">
        <v>4525</v>
      </c>
      <c r="C231" s="30" t="s">
        <v>5123</v>
      </c>
      <c r="D231" s="30" t="s">
        <v>4690</v>
      </c>
      <c r="E231" s="6" t="s">
        <v>358</v>
      </c>
      <c r="F231" s="30" t="s">
        <v>119</v>
      </c>
      <c r="G231" s="239" t="s">
        <v>4527</v>
      </c>
      <c r="H231" s="30" t="s">
        <v>5124</v>
      </c>
      <c r="I231" s="20" t="s">
        <v>5125</v>
      </c>
      <c r="J231" s="30" t="s">
        <v>751</v>
      </c>
      <c r="K231" s="241" t="n">
        <v>1</v>
      </c>
      <c r="L231" s="241" t="n">
        <v>5</v>
      </c>
      <c r="M231" s="30" t="s">
        <v>5126</v>
      </c>
      <c r="N231" s="240" t="str">
        <f aca="false">Serving!$F$6&amp;" ｜補充旗標（IF 全欄分段，非分段依據）：中"</f>
        <v>DeepSeek MTP；區間 1–5 ｜補充旗標（IF 全欄分段，非分段依據）：中</v>
      </c>
      <c r="O231" s="6" t="s">
        <v>751</v>
      </c>
      <c r="P231" s="239" t="s">
        <v>1308</v>
      </c>
      <c r="Q231" s="33" t="n">
        <f aca="false">Serving!C6</f>
        <v>3</v>
      </c>
      <c r="R231" s="184" t="n">
        <f aca="false">SRC_PERF_035</f>
        <v>3</v>
      </c>
      <c r="S231" s="44" t="str">
        <f aca="false">IF(ISNUMBER($AF231),INDEX(IDX_SrcStat,$AF231),"—")</f>
        <v>Active</v>
      </c>
      <c r="T231" s="44" t="n">
        <f aca="false">IF(ISNUMBER($AF231),INDEX(IDX_SrcGrade,$AF231),"—")</f>
        <v>1</v>
      </c>
      <c r="U231" s="44" t="s">
        <v>4531</v>
      </c>
      <c r="V231" s="32" t="n">
        <f aca="false">IF(AND($F231="原始數據",$U231&lt;&gt;"連結 SRC"),1,0)</f>
        <v>0</v>
      </c>
      <c r="W231" s="32" t="n">
        <f aca="false">IF(AND($F231="Analogy",OR($H231="—",$H231="")),1,0)</f>
        <v>0</v>
      </c>
      <c r="X231" s="32" t="n">
        <f aca="false">IF(AND(OR($F231="Analogy",$F231="Assumed"),$G231&lt;&gt;"低",$G231&lt;&gt;"高",NOT(ISNUMBER($K231)),NOT(ISNUMBER($L231)),OR($M231="—",$M231="")),1,0)</f>
        <v>0</v>
      </c>
      <c r="Y231" s="32" t="n">
        <f aca="false">IF(AND(OR($F231="Analogy",$F231="Assumed",$F231="Derived（待改公式）",$F231="Derived（公式）"),OR($N231="—",$N231="",$N231=0)),1,0)</f>
        <v>0</v>
      </c>
      <c r="Z231" s="32" t="n">
        <f aca="false">IF(AND($F231="Decision",OR($J231="—",$J231="")),1,0)</f>
        <v>0</v>
      </c>
      <c r="AA231" s="33" t="n">
        <f aca="false">IF(OR($J231="—",$J231=""),0,IF(COUNTIF(Decisions!$A$5:$A$300,$J231)=0,1,0))</f>
        <v>0</v>
      </c>
      <c r="AB231" s="32" t="n">
        <f aca="false">IF(AND($F231="原始數據",$S231&lt;&gt;"Active"),1,0)</f>
        <v>0</v>
      </c>
      <c r="AC231" s="32" t="n">
        <f aca="false">IF(AND(ISNUMBER($K231),ISNUMBER($L231),ISNUMBER($Q231)),IF(OR($Q231&lt;MIN($K231,$L231),$Q231&gt;MAX($K231,$L231)),1,0),0)</f>
        <v>0</v>
      </c>
      <c r="AD231" s="32" t="n">
        <f aca="false">IF(AND(ISNUMBER($T231),$P231="高"),IF($T231=3,1,0),0)</f>
        <v>0</v>
      </c>
      <c r="AE231" s="32" t="n">
        <f aca="false">IF($S231="不存在",1,0)</f>
        <v>0</v>
      </c>
      <c r="AF231" s="44" t="n">
        <f aca="false">IF(OR($H231="—",$H231=""),"—",MATCH($H231,IDX_SrcID,0))</f>
        <v>329</v>
      </c>
      <c r="AG231" s="32" t="n">
        <f aca="false">IF(AND($P231="高",OR($AD231=1,$X231=1)),1,0)</f>
        <v>0</v>
      </c>
      <c r="AH231" s="32" t="n">
        <f aca="false">IF(AND($P231="高",$AG231=0,OR($F231&lt;&gt;"原始數據",$T231&lt;&gt;1)),1,0)</f>
        <v>0</v>
      </c>
      <c r="AI231" s="44" t="str">
        <f aca="false">IF(AND($P231="高",ISNUMBER($AF231)),INDEX(IDX_SrcDate,$AF231),"—")</f>
        <v>—</v>
      </c>
      <c r="AJ231" s="32" t="n">
        <f aca="false">IF(AND(ISTEXT($AI231),LEN($AI231)=10),IF(ISNUMBER(VALUE(SUBSTITUTE($AI231,"-",""))),VALUE(SUBSTITUTE($AI231,"-","")),0),0)</f>
        <v>0</v>
      </c>
    </row>
    <row r="232" customFormat="false" ht="15" hidden="false" customHeight="true" outlineLevel="0" collapsed="false">
      <c r="A232" s="30" t="s">
        <v>5127</v>
      </c>
      <c r="B232" s="239" t="s">
        <v>4525</v>
      </c>
      <c r="C232" s="30" t="s">
        <v>5123</v>
      </c>
      <c r="D232" s="30" t="s">
        <v>5017</v>
      </c>
      <c r="E232" s="20" t="s">
        <v>5128</v>
      </c>
      <c r="F232" s="239" t="s">
        <v>348</v>
      </c>
      <c r="G232" s="239" t="s">
        <v>4527</v>
      </c>
      <c r="H232" s="30" t="s">
        <v>5129</v>
      </c>
      <c r="I232" s="20" t="s">
        <v>4562</v>
      </c>
      <c r="J232" s="30" t="s">
        <v>751</v>
      </c>
      <c r="K232" s="239"/>
      <c r="L232" s="239"/>
      <c r="M232" s="30" t="s">
        <v>751</v>
      </c>
      <c r="N232" s="20" t="s">
        <v>4754</v>
      </c>
      <c r="O232" s="6" t="s">
        <v>751</v>
      </c>
      <c r="P232" s="239" t="s">
        <v>4586</v>
      </c>
      <c r="Q232" s="194" t="n">
        <f aca="false">Serving!C7</f>
        <v>0.7</v>
      </c>
      <c r="R232" s="184" t="n">
        <f aca="false">SRC_PERF_005</f>
        <v>0.7</v>
      </c>
      <c r="S232" s="44" t="str">
        <f aca="false">IF(ISNUMBER($AF232),INDEX(IDX_SrcStat,$AF232),"—")</f>
        <v>Active</v>
      </c>
      <c r="T232" s="44" t="n">
        <f aca="false">IF(ISNUMBER($AF232),INDEX(IDX_SrcGrade,$AF232),"—")</f>
        <v>1</v>
      </c>
      <c r="U232" s="44" t="s">
        <v>4564</v>
      </c>
      <c r="V232" s="32" t="n">
        <f aca="false">IF(AND($F232="原始數據",$U232&lt;&gt;"連結 SRC"),1,0)</f>
        <v>0</v>
      </c>
      <c r="W232" s="32" t="n">
        <f aca="false">IF(AND($F232="Analogy",OR($H232="—",$H232="")),1,0)</f>
        <v>0</v>
      </c>
      <c r="X232" s="32" t="n">
        <f aca="false">IF(AND(OR($F232="Analogy",$F232="Assumed"),$G232&lt;&gt;"低",$G232&lt;&gt;"高",NOT(ISNUMBER($K232)),NOT(ISNUMBER($L232)),OR($M232="—",$M232="")),1,0)</f>
        <v>0</v>
      </c>
      <c r="Y232" s="32" t="n">
        <f aca="false">IF(AND(OR($F232="Analogy",$F232="Assumed",$F232="Derived（待改公式）",$F232="Derived（公式）"),OR($N232="—",$N232="",$N232=0)),1,0)</f>
        <v>0</v>
      </c>
      <c r="Z232" s="32" t="n">
        <f aca="false">IF(AND($F232="Decision",OR($J232="—",$J232="")),1,0)</f>
        <v>0</v>
      </c>
      <c r="AA232" s="33" t="n">
        <f aca="false">IF(OR($J232="—",$J232=""),0,IF(COUNTIF(Decisions!$A$5:$A$300,$J232)=0,1,0))</f>
        <v>0</v>
      </c>
      <c r="AB232" s="32" t="n">
        <f aca="false">IF(AND($F232="原始數據",$S232&lt;&gt;"Active"),1,0)</f>
        <v>0</v>
      </c>
      <c r="AC232" s="32" t="n">
        <f aca="false">IF(AND(ISNUMBER($K232),ISNUMBER($L232),ISNUMBER($Q232)),IF(OR($Q232&lt;MIN($K232,$L232),$Q232&gt;MAX($K232,$L232)),1,0),0)</f>
        <v>0</v>
      </c>
      <c r="AD232" s="32" t="n">
        <f aca="false">IF(AND(ISNUMBER($T232),$P232="高"),IF($T232=3,1,0),0)</f>
        <v>0</v>
      </c>
      <c r="AE232" s="32" t="n">
        <f aca="false">IF($S232="不存在",1,0)</f>
        <v>0</v>
      </c>
      <c r="AF232" s="44" t="n">
        <f aca="false">IF(OR($H232="—",$H232=""),"—",MATCH($H232,IDX_SrcID,0))</f>
        <v>299</v>
      </c>
      <c r="AG232" s="32" t="n">
        <f aca="false">IF(AND($P232="高",OR($AD232=1,$X232=1)),1,0)</f>
        <v>0</v>
      </c>
      <c r="AH232" s="32" t="n">
        <f aca="false">IF(AND($P232="高",$AG232=0,OR($F232&lt;&gt;"原始數據",$T232&lt;&gt;1)),1,0)</f>
        <v>0</v>
      </c>
      <c r="AI232" s="44" t="str">
        <f aca="false">IF(AND($P232="高",ISNUMBER($AF232)),INDEX(IDX_SrcDate,$AF232),"—")</f>
        <v>—</v>
      </c>
      <c r="AJ232" s="32" t="n">
        <f aca="false">IF(AND(ISTEXT($AI232),LEN($AI232)=10),IF(ISNUMBER(VALUE(SUBSTITUTE($AI232,"-",""))),VALUE(SUBSTITUTE($AI232,"-","")),0),0)</f>
        <v>0</v>
      </c>
    </row>
    <row r="233" customFormat="false" ht="29.25" hidden="false" customHeight="true" outlineLevel="0" collapsed="false">
      <c r="A233" s="30" t="s">
        <v>5130</v>
      </c>
      <c r="B233" s="239" t="s">
        <v>4525</v>
      </c>
      <c r="C233" s="30" t="s">
        <v>5123</v>
      </c>
      <c r="D233" s="30" t="s">
        <v>4717</v>
      </c>
      <c r="E233" s="6" t="s">
        <v>365</v>
      </c>
      <c r="F233" s="30" t="s">
        <v>114</v>
      </c>
      <c r="G233" s="239" t="s">
        <v>4527</v>
      </c>
      <c r="H233" s="30" t="s">
        <v>751</v>
      </c>
      <c r="I233" s="6" t="s">
        <v>751</v>
      </c>
      <c r="J233" s="30" t="s">
        <v>751</v>
      </c>
      <c r="K233" s="241" t="n">
        <v>0.05</v>
      </c>
      <c r="L233" s="241" t="n">
        <v>0.2</v>
      </c>
      <c r="M233" s="30" t="s">
        <v>5131</v>
      </c>
      <c r="N233" s="240" t="str">
        <f aca="false">Serving!$F$9&amp;" ｜補充旗標（IF 全欄分段，非分段依據）：中"</f>
        <v>區間 5–20% ｜補充旗標（IF 全欄分段，非分段依據）：中</v>
      </c>
      <c r="O233" s="6" t="s">
        <v>751</v>
      </c>
      <c r="P233" s="239" t="s">
        <v>1308</v>
      </c>
      <c r="Q233" s="194" t="n">
        <f aca="false">Serving!C9</f>
        <v>0.1</v>
      </c>
      <c r="R233" s="30" t="s">
        <v>751</v>
      </c>
      <c r="S233" s="44" t="str">
        <f aca="false">IF(ISNUMBER($AF233),INDEX(IDX_SrcStat,$AF233),"—")</f>
        <v>—</v>
      </c>
      <c r="T233" s="44" t="str">
        <f aca="false">IF(ISNUMBER($AF233),INDEX(IDX_SrcGrade,$AF233),"—")</f>
        <v>—</v>
      </c>
      <c r="U233" s="44" t="s">
        <v>4531</v>
      </c>
      <c r="V233" s="32" t="n">
        <f aca="false">IF(AND($F233="原始數據",$U233&lt;&gt;"連結 SRC"),1,0)</f>
        <v>0</v>
      </c>
      <c r="W233" s="32" t="n">
        <f aca="false">IF(AND($F233="Analogy",OR($H233="—",$H233="")),1,0)</f>
        <v>0</v>
      </c>
      <c r="X233" s="32" t="n">
        <f aca="false">IF(AND(OR($F233="Analogy",$F233="Assumed"),$G233&lt;&gt;"低",$G233&lt;&gt;"高",NOT(ISNUMBER($K233)),NOT(ISNUMBER($L233)),OR($M233="—",$M233="")),1,0)</f>
        <v>0</v>
      </c>
      <c r="Y233" s="32" t="n">
        <f aca="false">IF(AND(OR($F233="Analogy",$F233="Assumed",$F233="Derived（待改公式）",$F233="Derived（公式）"),OR($N233="—",$N233="",$N233=0)),1,0)</f>
        <v>0</v>
      </c>
      <c r="Z233" s="32" t="n">
        <f aca="false">IF(AND($F233="Decision",OR($J233="—",$J233="")),1,0)</f>
        <v>0</v>
      </c>
      <c r="AA233" s="33" t="n">
        <f aca="false">IF(OR($J233="—",$J233=""),0,IF(COUNTIF(Decisions!$A$5:$A$300,$J233)=0,1,0))</f>
        <v>0</v>
      </c>
      <c r="AB233" s="32" t="n">
        <f aca="false">IF(AND($F233="原始數據",$S233&lt;&gt;"Active"),1,0)</f>
        <v>0</v>
      </c>
      <c r="AC233" s="32" t="n">
        <f aca="false">IF(AND(ISNUMBER($K233),ISNUMBER($L233),ISNUMBER($Q233)),IF(OR($Q233&lt;MIN($K233,$L233),$Q233&gt;MAX($K233,$L233)),1,0),0)</f>
        <v>0</v>
      </c>
      <c r="AD233" s="32" t="n">
        <f aca="false">IF(AND(ISNUMBER($T233),$P233="高"),IF($T233=3,1,0),0)</f>
        <v>0</v>
      </c>
      <c r="AE233" s="32" t="n">
        <f aca="false">IF($S233="不存在",1,0)</f>
        <v>0</v>
      </c>
      <c r="AF233" s="44" t="str">
        <f aca="false">IF(OR($H233="—",$H233=""),"—",MATCH($H233,IDX_SrcID,0))</f>
        <v>—</v>
      </c>
      <c r="AG233" s="32" t="n">
        <f aca="false">IF(AND($P233="高",OR($AD233=1,$X233=1)),1,0)</f>
        <v>0</v>
      </c>
      <c r="AH233" s="32" t="n">
        <f aca="false">IF(AND($P233="高",$AG233=0,OR($F233&lt;&gt;"原始數據",$T233&lt;&gt;1)),1,0)</f>
        <v>0</v>
      </c>
      <c r="AI233" s="44" t="str">
        <f aca="false">IF(AND($P233="高",ISNUMBER($AF233)),INDEX(IDX_SrcDate,$AF233),"—")</f>
        <v>—</v>
      </c>
      <c r="AJ233" s="32" t="n">
        <f aca="false">IF(AND(ISTEXT($AI233),LEN($AI233)=10),IF(ISNUMBER(VALUE(SUBSTITUTE($AI233,"-",""))),VALUE(SUBSTITUTE($AI233,"-","")),0),0)</f>
        <v>0</v>
      </c>
    </row>
    <row r="234" customFormat="false" ht="15" hidden="false" customHeight="true" outlineLevel="0" collapsed="false">
      <c r="A234" s="30" t="s">
        <v>5132</v>
      </c>
      <c r="B234" s="239" t="s">
        <v>4525</v>
      </c>
      <c r="C234" s="30" t="s">
        <v>5123</v>
      </c>
      <c r="D234" s="30" t="s">
        <v>4737</v>
      </c>
      <c r="E234" s="20" t="s">
        <v>5133</v>
      </c>
      <c r="F234" s="30" t="s">
        <v>114</v>
      </c>
      <c r="G234" s="239" t="s">
        <v>4527</v>
      </c>
      <c r="H234" s="30" t="s">
        <v>751</v>
      </c>
      <c r="I234" s="6" t="s">
        <v>751</v>
      </c>
      <c r="J234" s="30" t="s">
        <v>751</v>
      </c>
      <c r="K234" s="241" t="n">
        <v>0.1</v>
      </c>
      <c r="L234" s="241" t="n">
        <v>0.3</v>
      </c>
      <c r="M234" s="30" t="s">
        <v>5134</v>
      </c>
      <c r="N234" s="240" t="str">
        <f aca="false">Serving!$F$10&amp;" ｜補充旗標（IF 全欄分段，非分段依據）：高"</f>
        <v>超過時自動以注意力 TP 切分 ｜補充旗標（IF 全欄分段，非分段依據）：高</v>
      </c>
      <c r="O234" s="6" t="s">
        <v>751</v>
      </c>
      <c r="P234" s="239" t="s">
        <v>4586</v>
      </c>
      <c r="Q234" s="194" t="n">
        <f aca="false">Serving!C10</f>
        <v>0.2</v>
      </c>
      <c r="R234" s="30" t="s">
        <v>751</v>
      </c>
      <c r="S234" s="44" t="str">
        <f aca="false">IF(ISNUMBER($AF234),INDEX(IDX_SrcStat,$AF234),"—")</f>
        <v>—</v>
      </c>
      <c r="T234" s="44" t="str">
        <f aca="false">IF(ISNUMBER($AF234),INDEX(IDX_SrcGrade,$AF234),"—")</f>
        <v>—</v>
      </c>
      <c r="U234" s="44" t="s">
        <v>4531</v>
      </c>
      <c r="V234" s="32" t="n">
        <f aca="false">IF(AND($F234="原始數據",$U234&lt;&gt;"連結 SRC"),1,0)</f>
        <v>0</v>
      </c>
      <c r="W234" s="32" t="n">
        <f aca="false">IF(AND($F234="Analogy",OR($H234="—",$H234="")),1,0)</f>
        <v>0</v>
      </c>
      <c r="X234" s="32" t="n">
        <f aca="false">IF(AND(OR($F234="Analogy",$F234="Assumed"),$G234&lt;&gt;"低",$G234&lt;&gt;"高",NOT(ISNUMBER($K234)),NOT(ISNUMBER($L234)),OR($M234="—",$M234="")),1,0)</f>
        <v>0</v>
      </c>
      <c r="Y234" s="32" t="n">
        <f aca="false">IF(AND(OR($F234="Analogy",$F234="Assumed",$F234="Derived（待改公式）",$F234="Derived（公式）"),OR($N234="—",$N234="",$N234=0)),1,0)</f>
        <v>0</v>
      </c>
      <c r="Z234" s="32" t="n">
        <f aca="false">IF(AND($F234="Decision",OR($J234="—",$J234="")),1,0)</f>
        <v>0</v>
      </c>
      <c r="AA234" s="33" t="n">
        <f aca="false">IF(OR($J234="—",$J234=""),0,IF(COUNTIF(Decisions!$A$5:$A$300,$J234)=0,1,0))</f>
        <v>0</v>
      </c>
      <c r="AB234" s="32" t="n">
        <f aca="false">IF(AND($F234="原始數據",$S234&lt;&gt;"Active"),1,0)</f>
        <v>0</v>
      </c>
      <c r="AC234" s="32" t="n">
        <f aca="false">IF(AND(ISNUMBER($K234),ISNUMBER($L234),ISNUMBER($Q234)),IF(OR($Q234&lt;MIN($K234,$L234),$Q234&gt;MAX($K234,$L234)),1,0),0)</f>
        <v>0</v>
      </c>
      <c r="AD234" s="32" t="n">
        <f aca="false">IF(AND(ISNUMBER($T234),$P234="高"),IF($T234=3,1,0),0)</f>
        <v>0</v>
      </c>
      <c r="AE234" s="32" t="n">
        <f aca="false">IF($S234="不存在",1,0)</f>
        <v>0</v>
      </c>
      <c r="AF234" s="44" t="str">
        <f aca="false">IF(OR($H234="—",$H234=""),"—",MATCH($H234,IDX_SrcID,0))</f>
        <v>—</v>
      </c>
      <c r="AG234" s="32" t="n">
        <f aca="false">IF(AND($P234="高",OR($AD234=1,$X234=1)),1,0)</f>
        <v>0</v>
      </c>
      <c r="AH234" s="32" t="n">
        <f aca="false">IF(AND($P234="高",$AG234=0,OR($F234&lt;&gt;"原始數據",$T234&lt;&gt;1)),1,0)</f>
        <v>0</v>
      </c>
      <c r="AI234" s="44" t="str">
        <f aca="false">IF(AND($P234="高",ISNUMBER($AF234)),INDEX(IDX_SrcDate,$AF234),"—")</f>
        <v>—</v>
      </c>
      <c r="AJ234" s="32" t="n">
        <f aca="false">IF(AND(ISTEXT($AI234),LEN($AI234)=10),IF(ISNUMBER(VALUE(SUBSTITUTE($AI234,"-",""))),VALUE(SUBSTITUTE($AI234,"-","")),0),0)</f>
        <v>0</v>
      </c>
    </row>
    <row r="235" customFormat="false" ht="15" hidden="false" customHeight="true" outlineLevel="0" collapsed="false">
      <c r="A235" s="30" t="s">
        <v>5135</v>
      </c>
      <c r="B235" s="239" t="s">
        <v>4525</v>
      </c>
      <c r="C235" s="30" t="s">
        <v>5123</v>
      </c>
      <c r="D235" s="30" t="s">
        <v>4748</v>
      </c>
      <c r="E235" s="20" t="s">
        <v>5136</v>
      </c>
      <c r="F235" s="30" t="s">
        <v>114</v>
      </c>
      <c r="G235" s="239" t="s">
        <v>4527</v>
      </c>
      <c r="H235" s="30" t="s">
        <v>751</v>
      </c>
      <c r="I235" s="6" t="s">
        <v>751</v>
      </c>
      <c r="J235" s="30" t="s">
        <v>751</v>
      </c>
      <c r="K235" s="241" t="n">
        <v>0.3</v>
      </c>
      <c r="L235" s="241" t="n">
        <v>0.5</v>
      </c>
      <c r="M235" s="30" t="s">
        <v>5137</v>
      </c>
      <c r="N235" s="240" t="str">
        <f aca="false">Serving!$F$11&amp;" ｜補充旗標（IF 全欄分段，非分段依據）：高"</f>
        <v>超過時自動加寬 EP ｜補充旗標（IF 全欄分段，非分段依據）：高</v>
      </c>
      <c r="O235" s="6" t="s">
        <v>751</v>
      </c>
      <c r="P235" s="239" t="s">
        <v>1308</v>
      </c>
      <c r="Q235" s="194" t="n">
        <f aca="false">Serving!C11</f>
        <v>0.4</v>
      </c>
      <c r="R235" s="30" t="s">
        <v>751</v>
      </c>
      <c r="S235" s="44" t="str">
        <f aca="false">IF(ISNUMBER($AF235),INDEX(IDX_SrcStat,$AF235),"—")</f>
        <v>—</v>
      </c>
      <c r="T235" s="44" t="str">
        <f aca="false">IF(ISNUMBER($AF235),INDEX(IDX_SrcGrade,$AF235),"—")</f>
        <v>—</v>
      </c>
      <c r="U235" s="44" t="s">
        <v>4531</v>
      </c>
      <c r="V235" s="32" t="n">
        <f aca="false">IF(AND($F235="原始數據",$U235&lt;&gt;"連結 SRC"),1,0)</f>
        <v>0</v>
      </c>
      <c r="W235" s="32" t="n">
        <f aca="false">IF(AND($F235="Analogy",OR($H235="—",$H235="")),1,0)</f>
        <v>0</v>
      </c>
      <c r="X235" s="32" t="n">
        <f aca="false">IF(AND(OR($F235="Analogy",$F235="Assumed"),$G235&lt;&gt;"低",$G235&lt;&gt;"高",NOT(ISNUMBER($K235)),NOT(ISNUMBER($L235)),OR($M235="—",$M235="")),1,0)</f>
        <v>0</v>
      </c>
      <c r="Y235" s="32" t="n">
        <f aca="false">IF(AND(OR($F235="Analogy",$F235="Assumed",$F235="Derived（待改公式）",$F235="Derived（公式）"),OR($N235="—",$N235="",$N235=0)),1,0)</f>
        <v>0</v>
      </c>
      <c r="Z235" s="32" t="n">
        <f aca="false">IF(AND($F235="Decision",OR($J235="—",$J235="")),1,0)</f>
        <v>0</v>
      </c>
      <c r="AA235" s="33" t="n">
        <f aca="false">IF(OR($J235="—",$J235=""),0,IF(COUNTIF(Decisions!$A$5:$A$300,$J235)=0,1,0))</f>
        <v>0</v>
      </c>
      <c r="AB235" s="32" t="n">
        <f aca="false">IF(AND($F235="原始數據",$S235&lt;&gt;"Active"),1,0)</f>
        <v>0</v>
      </c>
      <c r="AC235" s="32" t="n">
        <f aca="false">IF(AND(ISNUMBER($K235),ISNUMBER($L235),ISNUMBER($Q235)),IF(OR($Q235&lt;MIN($K235,$L235),$Q235&gt;MAX($K235,$L235)),1,0),0)</f>
        <v>0</v>
      </c>
      <c r="AD235" s="32" t="n">
        <f aca="false">IF(AND(ISNUMBER($T235),$P235="高"),IF($T235=3,1,0),0)</f>
        <v>0</v>
      </c>
      <c r="AE235" s="32" t="n">
        <f aca="false">IF($S235="不存在",1,0)</f>
        <v>0</v>
      </c>
      <c r="AF235" s="44" t="str">
        <f aca="false">IF(OR($H235="—",$H235=""),"—",MATCH($H235,IDX_SrcID,0))</f>
        <v>—</v>
      </c>
      <c r="AG235" s="32" t="n">
        <f aca="false">IF(AND($P235="高",OR($AD235=1,$X235=1)),1,0)</f>
        <v>0</v>
      </c>
      <c r="AH235" s="32" t="n">
        <f aca="false">IF(AND($P235="高",$AG235=0,OR($F235&lt;&gt;"原始數據",$T235&lt;&gt;1)),1,0)</f>
        <v>0</v>
      </c>
      <c r="AI235" s="44" t="str">
        <f aca="false">IF(AND($P235="高",ISNUMBER($AF235)),INDEX(IDX_SrcDate,$AF235),"—")</f>
        <v>—</v>
      </c>
      <c r="AJ235" s="32" t="n">
        <f aca="false">IF(AND(ISTEXT($AI235),LEN($AI235)=10),IF(ISNUMBER(VALUE(SUBSTITUTE($AI235,"-",""))),VALUE(SUBSTITUTE($AI235,"-","")),0),0)</f>
        <v>0</v>
      </c>
    </row>
    <row r="236" customFormat="false" ht="29.25" hidden="false" customHeight="true" outlineLevel="0" collapsed="false">
      <c r="A236" s="30" t="s">
        <v>5138</v>
      </c>
      <c r="B236" s="239" t="s">
        <v>4525</v>
      </c>
      <c r="C236" s="30" t="s">
        <v>5123</v>
      </c>
      <c r="D236" s="30" t="s">
        <v>4769</v>
      </c>
      <c r="E236" s="6" t="s">
        <v>371</v>
      </c>
      <c r="F236" s="30" t="s">
        <v>114</v>
      </c>
      <c r="G236" s="239" t="s">
        <v>4527</v>
      </c>
      <c r="H236" s="30" t="s">
        <v>751</v>
      </c>
      <c r="I236" s="6" t="s">
        <v>751</v>
      </c>
      <c r="J236" s="30" t="s">
        <v>751</v>
      </c>
      <c r="K236" s="241" t="n">
        <v>2</v>
      </c>
      <c r="L236" s="241" t="n">
        <v>4</v>
      </c>
      <c r="M236" s="30" t="s">
        <v>5139</v>
      </c>
      <c r="N236" s="240" t="str">
        <f aca="false">Serving!$F$12</f>
        <v>FP8 dispatch 1 B＋BF16 combine 2 B</v>
      </c>
      <c r="O236" s="6" t="s">
        <v>4925</v>
      </c>
      <c r="P236" s="239" t="s">
        <v>4530</v>
      </c>
      <c r="Q236" s="199" t="n">
        <f aca="false">Serving!C12</f>
        <v>3</v>
      </c>
      <c r="R236" s="30" t="s">
        <v>751</v>
      </c>
      <c r="S236" s="44" t="str">
        <f aca="false">IF(ISNUMBER($AF236),INDEX(IDX_SrcStat,$AF236),"—")</f>
        <v>—</v>
      </c>
      <c r="T236" s="44" t="str">
        <f aca="false">IF(ISNUMBER($AF236),INDEX(IDX_SrcGrade,$AF236),"—")</f>
        <v>—</v>
      </c>
      <c r="U236" s="44" t="s">
        <v>4531</v>
      </c>
      <c r="V236" s="32" t="n">
        <f aca="false">IF(AND($F236="原始數據",$U236&lt;&gt;"連結 SRC"),1,0)</f>
        <v>0</v>
      </c>
      <c r="W236" s="32" t="n">
        <f aca="false">IF(AND($F236="Analogy",OR($H236="—",$H236="")),1,0)</f>
        <v>0</v>
      </c>
      <c r="X236" s="32" t="n">
        <f aca="false">IF(AND(OR($F236="Analogy",$F236="Assumed"),$G236&lt;&gt;"低",$G236&lt;&gt;"高",NOT(ISNUMBER($K236)),NOT(ISNUMBER($L236)),OR($M236="—",$M236="")),1,0)</f>
        <v>0</v>
      </c>
      <c r="Y236" s="32" t="n">
        <f aca="false">IF(AND(OR($F236="Analogy",$F236="Assumed",$F236="Derived（待改公式）",$F236="Derived（公式）"),OR($N236="—",$N236="",$N236=0)),1,0)</f>
        <v>0</v>
      </c>
      <c r="Z236" s="32" t="n">
        <f aca="false">IF(AND($F236="Decision",OR($J236="—",$J236="")),1,0)</f>
        <v>0</v>
      </c>
      <c r="AA236" s="33" t="n">
        <f aca="false">IF(OR($J236="—",$J236=""),0,IF(COUNTIF(Decisions!$A$5:$A$300,$J236)=0,1,0))</f>
        <v>0</v>
      </c>
      <c r="AB236" s="32" t="n">
        <f aca="false">IF(AND($F236="原始數據",$S236&lt;&gt;"Active"),1,0)</f>
        <v>0</v>
      </c>
      <c r="AC236" s="32" t="n">
        <f aca="false">IF(AND(ISNUMBER($K236),ISNUMBER($L236),ISNUMBER($Q236)),IF(OR($Q236&lt;MIN($K236,$L236),$Q236&gt;MAX($K236,$L236)),1,0),0)</f>
        <v>0</v>
      </c>
      <c r="AD236" s="32" t="n">
        <f aca="false">IF(AND(ISNUMBER($T236),$P236="高"),IF($T236=3,1,0),0)</f>
        <v>0</v>
      </c>
      <c r="AE236" s="32" t="n">
        <f aca="false">IF($S236="不存在",1,0)</f>
        <v>0</v>
      </c>
      <c r="AF236" s="44" t="str">
        <f aca="false">IF(OR($H236="—",$H236=""),"—",MATCH($H236,IDX_SrcID,0))</f>
        <v>—</v>
      </c>
      <c r="AG236" s="32" t="n">
        <f aca="false">IF(AND($P236="高",OR($AD236=1,$X236=1)),1,0)</f>
        <v>0</v>
      </c>
      <c r="AH236" s="32" t="n">
        <f aca="false">IF(AND($P236="高",$AG236=0,OR($F236&lt;&gt;"原始數據",$T236&lt;&gt;1)),1,0)</f>
        <v>0</v>
      </c>
      <c r="AI236" s="44" t="str">
        <f aca="false">IF(AND($P236="高",ISNUMBER($AF236)),INDEX(IDX_SrcDate,$AF236),"—")</f>
        <v>—</v>
      </c>
      <c r="AJ236" s="32" t="n">
        <f aca="false">IF(AND(ISTEXT($AI236),LEN($AI236)=10),IF(ISNUMBER(VALUE(SUBSTITUTE($AI236,"-",""))),VALUE(SUBSTITUTE($AI236,"-","")),0),0)</f>
        <v>0</v>
      </c>
    </row>
    <row r="237" customFormat="false" ht="29.25" hidden="false" customHeight="true" outlineLevel="0" collapsed="false">
      <c r="A237" s="30" t="s">
        <v>5140</v>
      </c>
      <c r="B237" s="239" t="s">
        <v>4525</v>
      </c>
      <c r="C237" s="30" t="s">
        <v>5123</v>
      </c>
      <c r="D237" s="30" t="s">
        <v>4789</v>
      </c>
      <c r="E237" s="6" t="s">
        <v>373</v>
      </c>
      <c r="F237" s="30" t="s">
        <v>114</v>
      </c>
      <c r="G237" s="239" t="s">
        <v>4527</v>
      </c>
      <c r="H237" s="30" t="s">
        <v>751</v>
      </c>
      <c r="I237" s="6" t="s">
        <v>751</v>
      </c>
      <c r="J237" s="30" t="s">
        <v>751</v>
      </c>
      <c r="K237" s="241" t="n">
        <v>0.5</v>
      </c>
      <c r="L237" s="241" t="n">
        <v>0.85</v>
      </c>
      <c r="M237" s="30" t="s">
        <v>5141</v>
      </c>
      <c r="N237" s="240" t="str">
        <f aca="false">Serving!$F$13</f>
        <v>區間 0.5–0.85</v>
      </c>
      <c r="O237" s="6" t="s">
        <v>4925</v>
      </c>
      <c r="P237" s="239" t="s">
        <v>4530</v>
      </c>
      <c r="Q237" s="194" t="n">
        <f aca="false">Serving!C13</f>
        <v>0.7</v>
      </c>
      <c r="R237" s="30" t="s">
        <v>751</v>
      </c>
      <c r="S237" s="44" t="str">
        <f aca="false">IF(ISNUMBER($AF237),INDEX(IDX_SrcStat,$AF237),"—")</f>
        <v>—</v>
      </c>
      <c r="T237" s="44" t="str">
        <f aca="false">IF(ISNUMBER($AF237),INDEX(IDX_SrcGrade,$AF237),"—")</f>
        <v>—</v>
      </c>
      <c r="U237" s="44" t="s">
        <v>4531</v>
      </c>
      <c r="V237" s="32" t="n">
        <f aca="false">IF(AND($F237="原始數據",$U237&lt;&gt;"連結 SRC"),1,0)</f>
        <v>0</v>
      </c>
      <c r="W237" s="32" t="n">
        <f aca="false">IF(AND($F237="Analogy",OR($H237="—",$H237="")),1,0)</f>
        <v>0</v>
      </c>
      <c r="X237" s="32" t="n">
        <f aca="false">IF(AND(OR($F237="Analogy",$F237="Assumed"),$G237&lt;&gt;"低",$G237&lt;&gt;"高",NOT(ISNUMBER($K237)),NOT(ISNUMBER($L237)),OR($M237="—",$M237="")),1,0)</f>
        <v>0</v>
      </c>
      <c r="Y237" s="32" t="n">
        <f aca="false">IF(AND(OR($F237="Analogy",$F237="Assumed",$F237="Derived（待改公式）",$F237="Derived（公式）"),OR($N237="—",$N237="",$N237=0)),1,0)</f>
        <v>0</v>
      </c>
      <c r="Z237" s="32" t="n">
        <f aca="false">IF(AND($F237="Decision",OR($J237="—",$J237="")),1,0)</f>
        <v>0</v>
      </c>
      <c r="AA237" s="33" t="n">
        <f aca="false">IF(OR($J237="—",$J237=""),0,IF(COUNTIF(Decisions!$A$5:$A$300,$J237)=0,1,0))</f>
        <v>0</v>
      </c>
      <c r="AB237" s="32" t="n">
        <f aca="false">IF(AND($F237="原始數據",$S237&lt;&gt;"Active"),1,0)</f>
        <v>0</v>
      </c>
      <c r="AC237" s="32" t="n">
        <f aca="false">IF(AND(ISNUMBER($K237),ISNUMBER($L237),ISNUMBER($Q237)),IF(OR($Q237&lt;MIN($K237,$L237),$Q237&gt;MAX($K237,$L237)),1,0),0)</f>
        <v>0</v>
      </c>
      <c r="AD237" s="32" t="n">
        <f aca="false">IF(AND(ISNUMBER($T237),$P237="高"),IF($T237=3,1,0),0)</f>
        <v>0</v>
      </c>
      <c r="AE237" s="32" t="n">
        <f aca="false">IF($S237="不存在",1,0)</f>
        <v>0</v>
      </c>
      <c r="AF237" s="44" t="str">
        <f aca="false">IF(OR($H237="—",$H237=""),"—",MATCH($H237,IDX_SrcID,0))</f>
        <v>—</v>
      </c>
      <c r="AG237" s="32" t="n">
        <f aca="false">IF(AND($P237="高",OR($AD237=1,$X237=1)),1,0)</f>
        <v>0</v>
      </c>
      <c r="AH237" s="32" t="n">
        <f aca="false">IF(AND($P237="高",$AG237=0,OR($F237&lt;&gt;"原始數據",$T237&lt;&gt;1)),1,0)</f>
        <v>0</v>
      </c>
      <c r="AI237" s="44" t="str">
        <f aca="false">IF(AND($P237="高",ISNUMBER($AF237)),INDEX(IDX_SrcDate,$AF237),"—")</f>
        <v>—</v>
      </c>
      <c r="AJ237" s="32" t="n">
        <f aca="false">IF(AND(ISTEXT($AI237),LEN($AI237)=10),IF(ISNUMBER(VALUE(SUBSTITUTE($AI237,"-",""))),VALUE(SUBSTITUTE($AI237,"-","")),0),0)</f>
        <v>0</v>
      </c>
    </row>
    <row r="238" customFormat="false" ht="29.25" hidden="false" customHeight="true" outlineLevel="0" collapsed="false">
      <c r="A238" s="30" t="s">
        <v>5142</v>
      </c>
      <c r="B238" s="239" t="s">
        <v>4525</v>
      </c>
      <c r="C238" s="30" t="s">
        <v>5123</v>
      </c>
      <c r="D238" s="30" t="s">
        <v>5038</v>
      </c>
      <c r="E238" s="6" t="s">
        <v>375</v>
      </c>
      <c r="F238" s="30" t="s">
        <v>114</v>
      </c>
      <c r="G238" s="239" t="s">
        <v>4527</v>
      </c>
      <c r="H238" s="30" t="s">
        <v>751</v>
      </c>
      <c r="I238" s="6" t="s">
        <v>751</v>
      </c>
      <c r="J238" s="30" t="s">
        <v>751</v>
      </c>
      <c r="K238" s="241" t="n">
        <v>0.5</v>
      </c>
      <c r="L238" s="241" t="n">
        <v>0.85</v>
      </c>
      <c r="M238" s="30" t="s">
        <v>5141</v>
      </c>
      <c r="N238" s="240" t="str">
        <f aca="false">Serving!$F$14</f>
        <v>區間 0.5–0.85</v>
      </c>
      <c r="O238" s="6" t="s">
        <v>4925</v>
      </c>
      <c r="P238" s="239" t="s">
        <v>4530</v>
      </c>
      <c r="Q238" s="194" t="n">
        <f aca="false">Serving!C14</f>
        <v>0.7</v>
      </c>
      <c r="R238" s="30" t="s">
        <v>751</v>
      </c>
      <c r="S238" s="44" t="str">
        <f aca="false">IF(ISNUMBER($AF238),INDEX(IDX_SrcStat,$AF238),"—")</f>
        <v>—</v>
      </c>
      <c r="T238" s="44" t="str">
        <f aca="false">IF(ISNUMBER($AF238),INDEX(IDX_SrcGrade,$AF238),"—")</f>
        <v>—</v>
      </c>
      <c r="U238" s="44" t="s">
        <v>4531</v>
      </c>
      <c r="V238" s="32" t="n">
        <f aca="false">IF(AND($F238="原始數據",$U238&lt;&gt;"連結 SRC"),1,0)</f>
        <v>0</v>
      </c>
      <c r="W238" s="32" t="n">
        <f aca="false">IF(AND($F238="Analogy",OR($H238="—",$H238="")),1,0)</f>
        <v>0</v>
      </c>
      <c r="X238" s="32" t="n">
        <f aca="false">IF(AND(OR($F238="Analogy",$F238="Assumed"),$G238&lt;&gt;"低",$G238&lt;&gt;"高",NOT(ISNUMBER($K238)),NOT(ISNUMBER($L238)),OR($M238="—",$M238="")),1,0)</f>
        <v>0</v>
      </c>
      <c r="Y238" s="32" t="n">
        <f aca="false">IF(AND(OR($F238="Analogy",$F238="Assumed",$F238="Derived（待改公式）",$F238="Derived（公式）"),OR($N238="—",$N238="",$N238=0)),1,0)</f>
        <v>0</v>
      </c>
      <c r="Z238" s="32" t="n">
        <f aca="false">IF(AND($F238="Decision",OR($J238="—",$J238="")),1,0)</f>
        <v>0</v>
      </c>
      <c r="AA238" s="33" t="n">
        <f aca="false">IF(OR($J238="—",$J238=""),0,IF(COUNTIF(Decisions!$A$5:$A$300,$J238)=0,1,0))</f>
        <v>0</v>
      </c>
      <c r="AB238" s="32" t="n">
        <f aca="false">IF(AND($F238="原始數據",$S238&lt;&gt;"Active"),1,0)</f>
        <v>0</v>
      </c>
      <c r="AC238" s="32" t="n">
        <f aca="false">IF(AND(ISNUMBER($K238),ISNUMBER($L238),ISNUMBER($Q238)),IF(OR($Q238&lt;MIN($K238,$L238),$Q238&gt;MAX($K238,$L238)),1,0),0)</f>
        <v>0</v>
      </c>
      <c r="AD238" s="32" t="n">
        <f aca="false">IF(AND(ISNUMBER($T238),$P238="高"),IF($T238=3,1,0),0)</f>
        <v>0</v>
      </c>
      <c r="AE238" s="32" t="n">
        <f aca="false">IF($S238="不存在",1,0)</f>
        <v>0</v>
      </c>
      <c r="AF238" s="44" t="str">
        <f aca="false">IF(OR($H238="—",$H238=""),"—",MATCH($H238,IDX_SrcID,0))</f>
        <v>—</v>
      </c>
      <c r="AG238" s="32" t="n">
        <f aca="false">IF(AND($P238="高",OR($AD238=1,$X238=1)),1,0)</f>
        <v>0</v>
      </c>
      <c r="AH238" s="32" t="n">
        <f aca="false">IF(AND($P238="高",$AG238=0,OR($F238&lt;&gt;"原始數據",$T238&lt;&gt;1)),1,0)</f>
        <v>0</v>
      </c>
      <c r="AI238" s="44" t="str">
        <f aca="false">IF(AND($P238="高",ISNUMBER($AF238)),INDEX(IDX_SrcDate,$AF238),"—")</f>
        <v>—</v>
      </c>
      <c r="AJ238" s="32" t="n">
        <f aca="false">IF(AND(ISTEXT($AI238),LEN($AI238)=10),IF(ISNUMBER(VALUE(SUBSTITUTE($AI238,"-",""))),VALUE(SUBSTITUTE($AI238,"-","")),0),0)</f>
        <v>0</v>
      </c>
    </row>
    <row r="239" customFormat="false" ht="29.25" hidden="false" customHeight="true" outlineLevel="0" collapsed="false">
      <c r="A239" s="30" t="s">
        <v>5143</v>
      </c>
      <c r="B239" s="239" t="s">
        <v>4525</v>
      </c>
      <c r="C239" s="30" t="s">
        <v>5123</v>
      </c>
      <c r="D239" s="30" t="s">
        <v>5042</v>
      </c>
      <c r="E239" s="20" t="s">
        <v>5144</v>
      </c>
      <c r="F239" s="30" t="s">
        <v>114</v>
      </c>
      <c r="G239" s="239" t="s">
        <v>4527</v>
      </c>
      <c r="H239" s="30" t="s">
        <v>751</v>
      </c>
      <c r="I239" s="6" t="s">
        <v>751</v>
      </c>
      <c r="J239" s="30" t="s">
        <v>751</v>
      </c>
      <c r="K239" s="241" t="n">
        <v>0.05</v>
      </c>
      <c r="L239" s="241" t="n">
        <v>0.4</v>
      </c>
      <c r="M239" s="30" t="s">
        <v>5145</v>
      </c>
      <c r="N239" s="240" t="str">
        <f aca="false">Serving!$F$15&amp;" ｜補充旗標（IF 全欄分段，非分段依據）：高"</f>
        <v>主機記憶體／SSD 經 NIC 載入；區間 0.05–0.4。未計快取儲存成本 ｜補充旗標（IF 全欄分段，非分段依據）：高</v>
      </c>
      <c r="O239" s="6" t="s">
        <v>751</v>
      </c>
      <c r="P239" s="239" t="s">
        <v>1308</v>
      </c>
      <c r="Q239" s="192" t="n">
        <f aca="false">Serving!C15</f>
        <v>0.1</v>
      </c>
      <c r="R239" s="30" t="s">
        <v>751</v>
      </c>
      <c r="S239" s="44" t="str">
        <f aca="false">IF(ISNUMBER($AF239),INDEX(IDX_SrcStat,$AF239),"—")</f>
        <v>—</v>
      </c>
      <c r="T239" s="44" t="str">
        <f aca="false">IF(ISNUMBER($AF239),INDEX(IDX_SrcGrade,$AF239),"—")</f>
        <v>—</v>
      </c>
      <c r="U239" s="44" t="s">
        <v>4531</v>
      </c>
      <c r="V239" s="32" t="n">
        <f aca="false">IF(AND($F239="原始數據",$U239&lt;&gt;"連結 SRC"),1,0)</f>
        <v>0</v>
      </c>
      <c r="W239" s="32" t="n">
        <f aca="false">IF(AND($F239="Analogy",OR($H239="—",$H239="")),1,0)</f>
        <v>0</v>
      </c>
      <c r="X239" s="32" t="n">
        <f aca="false">IF(AND(OR($F239="Analogy",$F239="Assumed"),$G239&lt;&gt;"低",$G239&lt;&gt;"高",NOT(ISNUMBER($K239)),NOT(ISNUMBER($L239)),OR($M239="—",$M239="")),1,0)</f>
        <v>0</v>
      </c>
      <c r="Y239" s="32" t="n">
        <f aca="false">IF(AND(OR($F239="Analogy",$F239="Assumed",$F239="Derived（待改公式）",$F239="Derived（公式）"),OR($N239="—",$N239="",$N239=0)),1,0)</f>
        <v>0</v>
      </c>
      <c r="Z239" s="32" t="n">
        <f aca="false">IF(AND($F239="Decision",OR($J239="—",$J239="")),1,0)</f>
        <v>0</v>
      </c>
      <c r="AA239" s="33" t="n">
        <f aca="false">IF(OR($J239="—",$J239=""),0,IF(COUNTIF(Decisions!$A$5:$A$300,$J239)=0,1,0))</f>
        <v>0</v>
      </c>
      <c r="AB239" s="32" t="n">
        <f aca="false">IF(AND($F239="原始數據",$S239&lt;&gt;"Active"),1,0)</f>
        <v>0</v>
      </c>
      <c r="AC239" s="32" t="n">
        <f aca="false">IF(AND(ISNUMBER($K239),ISNUMBER($L239),ISNUMBER($Q239)),IF(OR($Q239&lt;MIN($K239,$L239),$Q239&gt;MAX($K239,$L239)),1,0),0)</f>
        <v>0</v>
      </c>
      <c r="AD239" s="32" t="n">
        <f aca="false">IF(AND(ISNUMBER($T239),$P239="高"),IF($T239=3,1,0),0)</f>
        <v>0</v>
      </c>
      <c r="AE239" s="32" t="n">
        <f aca="false">IF($S239="不存在",1,0)</f>
        <v>0</v>
      </c>
      <c r="AF239" s="44" t="str">
        <f aca="false">IF(OR($H239="—",$H239=""),"—",MATCH($H239,IDX_SrcID,0))</f>
        <v>—</v>
      </c>
      <c r="AG239" s="32" t="n">
        <f aca="false">IF(AND($P239="高",OR($AD239=1,$X239=1)),1,0)</f>
        <v>0</v>
      </c>
      <c r="AH239" s="32" t="n">
        <f aca="false">IF(AND($P239="高",$AG239=0,OR($F239&lt;&gt;"原始數據",$T239&lt;&gt;1)),1,0)</f>
        <v>0</v>
      </c>
      <c r="AI239" s="44" t="str">
        <f aca="false">IF(AND($P239="高",ISNUMBER($AF239)),INDEX(IDX_SrcDate,$AF239),"—")</f>
        <v>—</v>
      </c>
      <c r="AJ239" s="32" t="n">
        <f aca="false">IF(AND(ISTEXT($AI239),LEN($AI239)=10),IF(ISNUMBER(VALUE(SUBSTITUTE($AI239,"-",""))),VALUE(SUBSTITUTE($AI239,"-","")),0),0)</f>
        <v>0</v>
      </c>
    </row>
    <row r="240" customFormat="false" ht="43.5" hidden="false" customHeight="true" outlineLevel="0" collapsed="false">
      <c r="A240" s="30" t="s">
        <v>5146</v>
      </c>
      <c r="B240" s="239" t="s">
        <v>4525</v>
      </c>
      <c r="C240" s="30" t="s">
        <v>5123</v>
      </c>
      <c r="D240" s="30" t="s">
        <v>5069</v>
      </c>
      <c r="E240" s="20" t="s">
        <v>5147</v>
      </c>
      <c r="F240" s="30" t="s">
        <v>114</v>
      </c>
      <c r="G240" s="239" t="s">
        <v>4527</v>
      </c>
      <c r="H240" s="30" t="s">
        <v>751</v>
      </c>
      <c r="I240" s="6" t="s">
        <v>751</v>
      </c>
      <c r="J240" s="30" t="s">
        <v>5148</v>
      </c>
      <c r="K240" s="241" t="n">
        <v>0.4</v>
      </c>
      <c r="L240" s="241" t="n">
        <v>0.8</v>
      </c>
      <c r="M240" s="30" t="s">
        <v>5149</v>
      </c>
      <c r="N240" s="240" t="str">
        <f aca="false">Serving!$F$17&amp;" ｜v5.29：進 L1_FleetBreakeven／L1_FleetMargin，X14 (c)"</f>
        <v>J6：Andy 尚未給值，暫沿用 OpenAI v0.5 的 60%（區間 40–80%）。Unit_Cost 同時輸出 100% 版 ｜暫定、待證據（D13）；區間 0.4–0.8 ｜v5.29：進 L1_FleetBreakeven／L1_FleetMargin，X14 (c)</v>
      </c>
      <c r="O240" s="6" t="s">
        <v>751</v>
      </c>
      <c r="P240" s="239" t="s">
        <v>1309</v>
      </c>
      <c r="Q240" s="194" t="n">
        <f aca="false">Serving!C17</f>
        <v>0.6</v>
      </c>
      <c r="R240" s="30" t="s">
        <v>751</v>
      </c>
      <c r="S240" s="44" t="str">
        <f aca="false">IF(ISNUMBER($AF240),INDEX(IDX_SrcStat,$AF240),"—")</f>
        <v>—</v>
      </c>
      <c r="T240" s="44" t="str">
        <f aca="false">IF(ISNUMBER($AF240),INDEX(IDX_SrcGrade,$AF240),"—")</f>
        <v>—</v>
      </c>
      <c r="U240" s="44" t="s">
        <v>4531</v>
      </c>
      <c r="V240" s="32" t="n">
        <f aca="false">IF(AND($F240="原始數據",$U240&lt;&gt;"連結 SRC"),1,0)</f>
        <v>0</v>
      </c>
      <c r="W240" s="32" t="n">
        <f aca="false">IF(AND($F240="Analogy",OR($H240="—",$H240="")),1,0)</f>
        <v>0</v>
      </c>
      <c r="X240" s="32" t="n">
        <f aca="false">IF(AND(OR($F240="Analogy",$F240="Assumed"),$G240&lt;&gt;"低",$G240&lt;&gt;"高",NOT(ISNUMBER($K240)),NOT(ISNUMBER($L240)),OR($M240="—",$M240="")),1,0)</f>
        <v>0</v>
      </c>
      <c r="Y240" s="32" t="n">
        <f aca="false">IF(AND(OR($F240="Analogy",$F240="Assumed",$F240="Derived（待改公式）",$F240="Derived（公式）"),OR($N240="—",$N240="",$N240=0)),1,0)</f>
        <v>0</v>
      </c>
      <c r="Z240" s="32" t="n">
        <f aca="false">IF(AND($F240="Decision",OR($J240="—",$J240="")),1,0)</f>
        <v>0</v>
      </c>
      <c r="AA240" s="33" t="n">
        <f aca="false">IF(OR($J240="—",$J240=""),0,IF(COUNTIF(Decisions!$A$5:$A$300,$J240)=0,1,0))</f>
        <v>0</v>
      </c>
      <c r="AB240" s="32" t="n">
        <f aca="false">IF(AND($F240="原始數據",$S240&lt;&gt;"Active"),1,0)</f>
        <v>0</v>
      </c>
      <c r="AC240" s="32" t="n">
        <f aca="false">IF(AND(ISNUMBER($K240),ISNUMBER($L240),ISNUMBER($Q240)),IF(OR($Q240&lt;MIN($K240,$L240),$Q240&gt;MAX($K240,$L240)),1,0),0)</f>
        <v>0</v>
      </c>
      <c r="AD240" s="32" t="n">
        <f aca="false">IF(AND(ISNUMBER($T240),$P240="高"),IF($T240=3,1,0),0)</f>
        <v>0</v>
      </c>
      <c r="AE240" s="32" t="n">
        <f aca="false">IF($S240="不存在",1,0)</f>
        <v>0</v>
      </c>
      <c r="AF240" s="44" t="str">
        <f aca="false">IF(OR($H240="—",$H240=""),"—",MATCH($H240,IDX_SrcID,0))</f>
        <v>—</v>
      </c>
      <c r="AG240" s="32" t="n">
        <f aca="false">IF(AND($P240="高",OR($AD240=1,$X240=1)),1,0)</f>
        <v>0</v>
      </c>
      <c r="AH240" s="32" t="n">
        <f aca="false">IF(AND($P240="高",$AG240=0,OR($F240&lt;&gt;"原始數據",$T240&lt;&gt;1)),1,0)</f>
        <v>1</v>
      </c>
      <c r="AI240" s="44" t="str">
        <f aca="false">IF(AND($P240="高",ISNUMBER($AF240)),INDEX(IDX_SrcDate,$AF240),"—")</f>
        <v>—</v>
      </c>
      <c r="AJ240" s="32" t="n">
        <f aca="false">IF(AND(ISTEXT($AI240),LEN($AI240)=10),IF(ISNUMBER(VALUE(SUBSTITUTE($AI240,"-",""))),VALUE(SUBSTITUTE($AI240,"-","")),0),0)</f>
        <v>0</v>
      </c>
    </row>
    <row r="241" customFormat="false" ht="86.25" hidden="false" customHeight="true" outlineLevel="0" collapsed="false">
      <c r="A241" s="30" t="s">
        <v>5150</v>
      </c>
      <c r="B241" s="239" t="s">
        <v>4525</v>
      </c>
      <c r="C241" s="30" t="s">
        <v>5123</v>
      </c>
      <c r="D241" s="30" t="s">
        <v>5051</v>
      </c>
      <c r="E241" s="20" t="s">
        <v>383</v>
      </c>
      <c r="F241" s="30" t="s">
        <v>114</v>
      </c>
      <c r="G241" s="239" t="s">
        <v>4527</v>
      </c>
      <c r="H241" s="30" t="s">
        <v>751</v>
      </c>
      <c r="I241" s="6" t="s">
        <v>751</v>
      </c>
      <c r="J241" s="30" t="s">
        <v>5148</v>
      </c>
      <c r="K241" s="241" t="n">
        <v>0.7</v>
      </c>
      <c r="L241" s="241" t="n">
        <v>1</v>
      </c>
      <c r="M241" s="30" t="s">
        <v>5151</v>
      </c>
      <c r="N241" s="240" t="str">
        <f aca="false">Serving!$F$18&amp;" ｜v5.29：進 L1_FleetBreakeven／L1_FleetMargin，X14 (c)"</f>
        <v>待 Andy 決定。基準測試為固定長度、穩態負載；生產環境另有長度變異、路由不均、故障。1.0＝不折減。作用：η_p、η_d 乘此值，每層延遲除以此值。第二來源（MLPerf、DeepSeek 自揭）目前均高於本模型，見 Calib H 節 ｜暫定、待證據（D13）；區間 0.7–1.0；基準 1.0 在區間端點（1.0＝主路徑不折減，折減改由 C28 表達；J3（第 2 批 2-2 段，v7.0；chat 端預設，可撤回）：C18 固定 1.0，不再作為折減入口；生產折減一律由 C28 `CTL_ProdDerate` 表達，情境 b_prod_derate 的輸入改為 CTL_ProdDerate） ｜v5.29：進 L1_FleetBreakeven／L1_FleetMargin，X14 (c)</v>
      </c>
      <c r="O241" s="6" t="s">
        <v>751</v>
      </c>
      <c r="P241" s="239" t="s">
        <v>1309</v>
      </c>
      <c r="Q241" s="192" t="n">
        <f aca="false">Serving!C18</f>
        <v>1</v>
      </c>
      <c r="R241" s="30" t="s">
        <v>751</v>
      </c>
      <c r="S241" s="44" t="str">
        <f aca="false">IF(ISNUMBER($AF241),INDEX(IDX_SrcStat,$AF241),"—")</f>
        <v>—</v>
      </c>
      <c r="T241" s="44" t="str">
        <f aca="false">IF(ISNUMBER($AF241),INDEX(IDX_SrcGrade,$AF241),"—")</f>
        <v>—</v>
      </c>
      <c r="U241" s="44" t="s">
        <v>4531</v>
      </c>
      <c r="V241" s="32" t="n">
        <f aca="false">IF(AND($F241="原始數據",$U241&lt;&gt;"連結 SRC"),1,0)</f>
        <v>0</v>
      </c>
      <c r="W241" s="32" t="n">
        <f aca="false">IF(AND($F241="Analogy",OR($H241="—",$H241="")),1,0)</f>
        <v>0</v>
      </c>
      <c r="X241" s="32" t="n">
        <f aca="false">IF(AND(OR($F241="Analogy",$F241="Assumed"),$G241&lt;&gt;"低",$G241&lt;&gt;"高",NOT(ISNUMBER($K241)),NOT(ISNUMBER($L241)),OR($M241="—",$M241="")),1,0)</f>
        <v>0</v>
      </c>
      <c r="Y241" s="32" t="n">
        <f aca="false">IF(AND(OR($F241="Analogy",$F241="Assumed",$F241="Derived（待改公式）",$F241="Derived（公式）"),OR($N241="—",$N241="",$N241=0)),1,0)</f>
        <v>0</v>
      </c>
      <c r="Z241" s="32" t="n">
        <f aca="false">IF(AND($F241="Decision",OR($J241="—",$J241="")),1,0)</f>
        <v>0</v>
      </c>
      <c r="AA241" s="33" t="n">
        <f aca="false">IF(OR($J241="—",$J241=""),0,IF(COUNTIF(Decisions!$A$5:$A$300,$J241)=0,1,0))</f>
        <v>0</v>
      </c>
      <c r="AB241" s="32" t="n">
        <f aca="false">IF(AND($F241="原始數據",$S241&lt;&gt;"Active"),1,0)</f>
        <v>0</v>
      </c>
      <c r="AC241" s="32" t="n">
        <f aca="false">IF(AND(ISNUMBER($K241),ISNUMBER($L241),ISNUMBER($Q241)),IF(OR($Q241&lt;MIN($K241,$L241),$Q241&gt;MAX($K241,$L241)),1,0),0)</f>
        <v>0</v>
      </c>
      <c r="AD241" s="32" t="n">
        <f aca="false">IF(AND(ISNUMBER($T241),$P241="高"),IF($T241=3,1,0),0)</f>
        <v>0</v>
      </c>
      <c r="AE241" s="32" t="n">
        <f aca="false">IF($S241="不存在",1,0)</f>
        <v>0</v>
      </c>
      <c r="AF241" s="44" t="str">
        <f aca="false">IF(OR($H241="—",$H241=""),"—",MATCH($H241,IDX_SrcID,0))</f>
        <v>—</v>
      </c>
      <c r="AG241" s="32" t="n">
        <f aca="false">IF(AND($P241="高",OR($AD241=1,$X241=1)),1,0)</f>
        <v>0</v>
      </c>
      <c r="AH241" s="32" t="n">
        <f aca="false">IF(AND($P241="高",$AG241=0,OR($F241&lt;&gt;"原始數據",$T241&lt;&gt;1)),1,0)</f>
        <v>1</v>
      </c>
      <c r="AI241" s="44" t="str">
        <f aca="false">IF(AND($P241="高",ISNUMBER($AF241)),INDEX(IDX_SrcDate,$AF241),"—")</f>
        <v>—</v>
      </c>
      <c r="AJ241" s="32" t="n">
        <f aca="false">IF(AND(ISTEXT($AI241),LEN($AI241)=10),IF(ISNUMBER(VALUE(SUBSTITUTE($AI241,"-",""))),VALUE(SUBSTITUTE($AI241,"-","")),0),0)</f>
        <v>0</v>
      </c>
    </row>
    <row r="242" customFormat="false" ht="29.25" hidden="false" customHeight="true" outlineLevel="0" collapsed="false">
      <c r="A242" s="30" t="s">
        <v>5152</v>
      </c>
      <c r="B242" s="239" t="s">
        <v>4525</v>
      </c>
      <c r="C242" s="30" t="s">
        <v>5123</v>
      </c>
      <c r="D242" s="30" t="s">
        <v>5047</v>
      </c>
      <c r="E242" s="20" t="s">
        <v>5153</v>
      </c>
      <c r="F242" s="30" t="s">
        <v>104</v>
      </c>
      <c r="G242" s="239" t="s">
        <v>4527</v>
      </c>
      <c r="H242" s="30" t="s">
        <v>751</v>
      </c>
      <c r="I242" s="6" t="s">
        <v>751</v>
      </c>
      <c r="J242" s="30" t="s">
        <v>5154</v>
      </c>
      <c r="K242" s="239"/>
      <c r="L242" s="239"/>
      <c r="M242" s="30" t="s">
        <v>751</v>
      </c>
      <c r="N242" s="6" t="s">
        <v>5155</v>
      </c>
      <c r="O242" s="6" t="s">
        <v>751</v>
      </c>
      <c r="P242" s="239" t="s">
        <v>4530</v>
      </c>
      <c r="Q242" s="33" t="n">
        <f aca="false">Serving!C16</f>
        <v>1</v>
      </c>
      <c r="R242" s="30" t="s">
        <v>751</v>
      </c>
      <c r="S242" s="44" t="str">
        <f aca="false">IF(ISNUMBER($AF242),INDEX(IDX_SrcStat,$AF242),"—")</f>
        <v>—</v>
      </c>
      <c r="T242" s="44" t="str">
        <f aca="false">IF(ISNUMBER($AF242),INDEX(IDX_SrcGrade,$AF242),"—")</f>
        <v>—</v>
      </c>
      <c r="U242" s="44" t="s">
        <v>4531</v>
      </c>
      <c r="V242" s="32" t="n">
        <f aca="false">IF(AND($F242="原始數據",$U242&lt;&gt;"連結 SRC"),1,0)</f>
        <v>0</v>
      </c>
      <c r="W242" s="32" t="n">
        <f aca="false">IF(AND($F242="Analogy",OR($H242="—",$H242="")),1,0)</f>
        <v>0</v>
      </c>
      <c r="X242" s="32" t="n">
        <f aca="false">IF(AND(OR($F242="Analogy",$F242="Assumed"),$G242&lt;&gt;"低",$G242&lt;&gt;"高",NOT(ISNUMBER($K242)),NOT(ISNUMBER($L242)),OR($M242="—",$M242="")),1,0)</f>
        <v>0</v>
      </c>
      <c r="Y242" s="32" t="n">
        <f aca="false">IF(AND(OR($F242="Analogy",$F242="Assumed",$F242="Derived（待改公式）",$F242="Derived（公式）"),OR($N242="—",$N242="",$N242=0)),1,0)</f>
        <v>0</v>
      </c>
      <c r="Z242" s="32" t="n">
        <f aca="false">IF(AND($F242="Decision",OR($J242="—",$J242="")),1,0)</f>
        <v>0</v>
      </c>
      <c r="AA242" s="33" t="n">
        <f aca="false">IF(OR($J242="—",$J242=""),0,IF(COUNTIF(Decisions!$A$5:$A$300,$J242)=0,1,0))</f>
        <v>0</v>
      </c>
      <c r="AB242" s="32" t="n">
        <f aca="false">IF(AND($F242="原始數據",$S242&lt;&gt;"Active"),1,0)</f>
        <v>0</v>
      </c>
      <c r="AC242" s="32" t="n">
        <f aca="false">IF(AND(ISNUMBER($K242),ISNUMBER($L242),ISNUMBER($Q242)),IF(OR($Q242&lt;MIN($K242,$L242),$Q242&gt;MAX($K242,$L242)),1,0),0)</f>
        <v>0</v>
      </c>
      <c r="AD242" s="32" t="n">
        <f aca="false">IF(AND(ISNUMBER($T242),$P242="高"),IF($T242=3,1,0),0)</f>
        <v>0</v>
      </c>
      <c r="AE242" s="32" t="n">
        <f aca="false">IF($S242="不存在",1,0)</f>
        <v>0</v>
      </c>
      <c r="AF242" s="44" t="str">
        <f aca="false">IF(OR($H242="—",$H242=""),"—",MATCH($H242,IDX_SrcID,0))</f>
        <v>—</v>
      </c>
      <c r="AG242" s="32" t="n">
        <f aca="false">IF(AND($P242="高",OR($AD242=1,$X242=1)),1,0)</f>
        <v>0</v>
      </c>
      <c r="AH242" s="32" t="n">
        <f aca="false">IF(AND($P242="高",$AG242=0,OR($F242&lt;&gt;"原始數據",$T242&lt;&gt;1)),1,0)</f>
        <v>0</v>
      </c>
      <c r="AI242" s="44" t="str">
        <f aca="false">IF(AND($P242="高",ISNUMBER($AF242)),INDEX(IDX_SrcDate,$AF242),"—")</f>
        <v>—</v>
      </c>
      <c r="AJ242" s="32" t="n">
        <f aca="false">IF(AND(ISTEXT($AI242),LEN($AI242)=10),IF(ISNUMBER(VALUE(SUBSTITUTE($AI242,"-",""))),VALUE(SUBSTITUTE($AI242,"-","")),0),0)</f>
        <v>0</v>
      </c>
    </row>
    <row r="243" customFormat="false" ht="15" hidden="false" customHeight="true" outlineLevel="0" collapsed="false">
      <c r="A243" s="30" t="s">
        <v>5156</v>
      </c>
      <c r="B243" s="239" t="s">
        <v>4525</v>
      </c>
      <c r="C243" s="30" t="s">
        <v>5123</v>
      </c>
      <c r="D243" s="30" t="s">
        <v>5109</v>
      </c>
      <c r="E243" s="6" t="s">
        <v>388</v>
      </c>
      <c r="F243" s="239" t="s">
        <v>5157</v>
      </c>
      <c r="G243" s="239" t="s">
        <v>4527</v>
      </c>
      <c r="H243" s="30" t="s">
        <v>5158</v>
      </c>
      <c r="I243" s="20" t="s">
        <v>5159</v>
      </c>
      <c r="J243" s="30" t="s">
        <v>5160</v>
      </c>
      <c r="K243" s="239" t="n">
        <v>61</v>
      </c>
      <c r="L243" s="239" t="n">
        <v>116.5</v>
      </c>
      <c r="M243" s="30" t="s">
        <v>5161</v>
      </c>
      <c r="N243" s="20" t="s">
        <v>5162</v>
      </c>
      <c r="O243" s="5" t="s">
        <v>5163</v>
      </c>
      <c r="P243" s="239" t="s">
        <v>1309</v>
      </c>
      <c r="Q243" s="49" t="n">
        <f aca="false">Serving!C21</f>
        <v>84.3000593119602</v>
      </c>
      <c r="R243" s="184" t="n">
        <f aca="false">SRC_PERF_066</f>
        <v>116.5</v>
      </c>
      <c r="S243" s="44" t="str">
        <f aca="false">IF(ISNUMBER($AF243),INDEX(IDX_SrcStat,$AF243),"—")</f>
        <v>Active</v>
      </c>
      <c r="T243" s="44" t="n">
        <f aca="false">IF(ISNUMBER($AF243),INDEX(IDX_SrcGrade,$AF243),"—")</f>
        <v>2</v>
      </c>
      <c r="U243" s="44" t="s">
        <v>4564</v>
      </c>
      <c r="V243" s="32" t="n">
        <f aca="false">IF(AND($F243="原始數據",$U243&lt;&gt;"連結 SRC"),1,0)</f>
        <v>0</v>
      </c>
      <c r="W243" s="32" t="n">
        <f aca="false">IF(AND($F243="Analogy",OR($H243="—",$H243="")),1,0)</f>
        <v>0</v>
      </c>
      <c r="X243" s="32" t="n">
        <f aca="false">IF(AND(OR($F243="Analogy",$F243="Assumed"),$G243&lt;&gt;"低",$G243&lt;&gt;"高",NOT(ISNUMBER($K243)),NOT(ISNUMBER($L243)),OR($M243="—",$M243="")),1,0)</f>
        <v>0</v>
      </c>
      <c r="Y243" s="32" t="n">
        <f aca="false">IF(AND(OR($F243="Analogy",$F243="Assumed",$F243="Derived（待改公式）",$F243="Derived（公式）"),OR($N243="—",$N243="",$N243=0)),1,0)</f>
        <v>0</v>
      </c>
      <c r="Z243" s="32" t="n">
        <f aca="false">IF(AND($F243="Decision",OR($J243="—",$J243="")),1,0)</f>
        <v>0</v>
      </c>
      <c r="AA243" s="33" t="n">
        <f aca="false">IF(OR($J243="—",$J243=""),0,IF(COUNTIF(Decisions!$A$5:$A$300,$J243)=0,1,0))</f>
        <v>0</v>
      </c>
      <c r="AB243" s="32" t="n">
        <f aca="false">IF(AND($F243="原始數據",$S243&lt;&gt;"Active"),1,0)</f>
        <v>0</v>
      </c>
      <c r="AC243" s="32" t="n">
        <f aca="false">IF(AND(ISNUMBER($K243),ISNUMBER($L243),ISNUMBER($Q243)),IF(OR($Q243&lt;MIN($K243,$L243),$Q243&gt;MAX($K243,$L243)),1,0),0)</f>
        <v>0</v>
      </c>
      <c r="AD243" s="32" t="n">
        <f aca="false">IF(AND(ISNUMBER($T243),$P243="高"),IF($T243=3,1,0),0)</f>
        <v>0</v>
      </c>
      <c r="AE243" s="32" t="n">
        <f aca="false">IF($S243="不存在",1,0)</f>
        <v>0</v>
      </c>
      <c r="AF243" s="44" t="n">
        <f aca="false">IF(OR($H243="—",$H243=""),"—",MATCH($H243,IDX_SrcID,0))</f>
        <v>360</v>
      </c>
      <c r="AG243" s="32" t="n">
        <f aca="false">IF(AND($P243="高",OR($AD243=1,$X243=1)),1,0)</f>
        <v>0</v>
      </c>
      <c r="AH243" s="32" t="n">
        <f aca="false">IF(AND($P243="高",$AG243=0,OR($F243&lt;&gt;"原始數據",$T243&lt;&gt;1)),1,0)</f>
        <v>1</v>
      </c>
      <c r="AI243" s="44" t="str">
        <f aca="false">IF(AND($P243="高",ISNUMBER($AF243)),INDEX(IDX_SrcDate,$AF243),"—")</f>
        <v>—</v>
      </c>
      <c r="AJ243" s="32" t="n">
        <f aca="false">IF(AND(ISTEXT($AI243),LEN($AI243)=10),IF(ISNUMBER(VALUE(SUBSTITUTE($AI243,"-",""))),VALUE(SUBSTITUTE($AI243,"-","")),0),0)</f>
        <v>0</v>
      </c>
    </row>
    <row r="244" customFormat="false" ht="29.25" hidden="false" customHeight="true" outlineLevel="0" collapsed="false">
      <c r="A244" s="30" t="s">
        <v>5164</v>
      </c>
      <c r="B244" s="239" t="s">
        <v>4525</v>
      </c>
      <c r="C244" s="30" t="s">
        <v>5123</v>
      </c>
      <c r="D244" s="30" t="s">
        <v>4608</v>
      </c>
      <c r="E244" s="6" t="s">
        <v>388</v>
      </c>
      <c r="F244" s="30" t="s">
        <v>4619</v>
      </c>
      <c r="G244" s="239" t="s">
        <v>4527</v>
      </c>
      <c r="H244" s="30" t="s">
        <v>5165</v>
      </c>
      <c r="I244" s="20" t="s">
        <v>5166</v>
      </c>
      <c r="J244" s="30" t="s">
        <v>5160</v>
      </c>
      <c r="K244" s="239" t="n">
        <v>37</v>
      </c>
      <c r="L244" s="239" t="n">
        <v>50.7</v>
      </c>
      <c r="M244" s="30" t="s">
        <v>5167</v>
      </c>
      <c r="N244" s="6" t="s">
        <v>5168</v>
      </c>
      <c r="O244" s="5" t="s">
        <v>5163</v>
      </c>
      <c r="P244" s="239" t="s">
        <v>1309</v>
      </c>
      <c r="Q244" s="49" t="n">
        <f aca="false">Serving!D21</f>
        <v>43.31166124729</v>
      </c>
      <c r="R244" s="184" t="n">
        <f aca="false">SRC_PERF_068</f>
        <v>50.7</v>
      </c>
      <c r="S244" s="44" t="str">
        <f aca="false">IF(ISNUMBER($AF244),INDEX(IDX_SrcStat,$AF244),"—")</f>
        <v>Active</v>
      </c>
      <c r="T244" s="44" t="n">
        <f aca="false">IF(ISNUMBER($AF244),INDEX(IDX_SrcGrade,$AF244),"—")</f>
        <v>2</v>
      </c>
      <c r="U244" s="44" t="s">
        <v>4564</v>
      </c>
      <c r="V244" s="32" t="n">
        <f aca="false">IF(AND($F244="原始數據",$U244&lt;&gt;"連結 SRC"),1,0)</f>
        <v>0</v>
      </c>
      <c r="W244" s="32" t="n">
        <f aca="false">IF(AND($F244="Analogy",OR($H244="—",$H244="")),1,0)</f>
        <v>0</v>
      </c>
      <c r="X244" s="32" t="n">
        <f aca="false">IF(AND(OR($F244="Analogy",$F244="Assumed"),$G244&lt;&gt;"低",$G244&lt;&gt;"高",NOT(ISNUMBER($K244)),NOT(ISNUMBER($L244)),OR($M244="—",$M244="")),1,0)</f>
        <v>0</v>
      </c>
      <c r="Y244" s="32" t="n">
        <f aca="false">IF(AND(OR($F244="Analogy",$F244="Assumed",$F244="Derived（待改公式）",$F244="Derived（公式）"),OR($N244="—",$N244="",$N244=0)),1,0)</f>
        <v>0</v>
      </c>
      <c r="Z244" s="32" t="n">
        <f aca="false">IF(AND($F244="Decision",OR($J244="—",$J244="")),1,0)</f>
        <v>0</v>
      </c>
      <c r="AA244" s="33" t="n">
        <f aca="false">IF(OR($J244="—",$J244=""),0,IF(COUNTIF(Decisions!$A$5:$A$300,$J244)=0,1,0))</f>
        <v>0</v>
      </c>
      <c r="AB244" s="32" t="n">
        <f aca="false">IF(AND($F244="原始數據",$S244&lt;&gt;"Active"),1,0)</f>
        <v>0</v>
      </c>
      <c r="AC244" s="32" t="n">
        <f aca="false">IF(AND(ISNUMBER($K244),ISNUMBER($L244),ISNUMBER($Q244)),IF(OR($Q244&lt;MIN($K244,$L244),$Q244&gt;MAX($K244,$L244)),1,0),0)</f>
        <v>0</v>
      </c>
      <c r="AD244" s="32" t="n">
        <f aca="false">IF(AND(ISNUMBER($T244),$P244="高"),IF($T244=3,1,0),0)</f>
        <v>0</v>
      </c>
      <c r="AE244" s="32" t="n">
        <f aca="false">IF($S244="不存在",1,0)</f>
        <v>0</v>
      </c>
      <c r="AF244" s="44" t="n">
        <f aca="false">IF(OR($H244="—",$H244=""),"—",MATCH($H244,IDX_SrcID,0))</f>
        <v>362</v>
      </c>
      <c r="AG244" s="32" t="n">
        <f aca="false">IF(AND($P244="高",OR($AD244=1,$X244=1)),1,0)</f>
        <v>0</v>
      </c>
      <c r="AH244" s="32" t="n">
        <f aca="false">IF(AND($P244="高",$AG244=0,OR($F244&lt;&gt;"原始數據",$T244&lt;&gt;1)),1,0)</f>
        <v>1</v>
      </c>
      <c r="AI244" s="44" t="str">
        <f aca="false">IF(AND($P244="高",ISNUMBER($AF244)),INDEX(IDX_SrcDate,$AF244),"—")</f>
        <v>—</v>
      </c>
      <c r="AJ244" s="32" t="n">
        <f aca="false">IF(AND(ISTEXT($AI244),LEN($AI244)=10),IF(ISNUMBER(VALUE(SUBSTITUTE($AI244,"-",""))),VALUE(SUBSTITUTE($AI244,"-","")),0),0)</f>
        <v>0</v>
      </c>
    </row>
    <row r="245" customFormat="false" ht="15" hidden="false" customHeight="true" outlineLevel="0" collapsed="false">
      <c r="A245" s="30" t="s">
        <v>5169</v>
      </c>
      <c r="B245" s="239" t="s">
        <v>4525</v>
      </c>
      <c r="C245" s="30" t="s">
        <v>5123</v>
      </c>
      <c r="D245" s="30" t="s">
        <v>4605</v>
      </c>
      <c r="E245" s="6" t="s">
        <v>388</v>
      </c>
      <c r="F245" s="30" t="s">
        <v>4619</v>
      </c>
      <c r="G245" s="239" t="s">
        <v>4527</v>
      </c>
      <c r="H245" s="30" t="s">
        <v>5170</v>
      </c>
      <c r="I245" s="20" t="s">
        <v>5171</v>
      </c>
      <c r="J245" s="30" t="s">
        <v>5160</v>
      </c>
      <c r="K245" s="239" t="n">
        <v>32</v>
      </c>
      <c r="L245" s="239" t="n">
        <v>52.1</v>
      </c>
      <c r="M245" s="30" t="s">
        <v>5172</v>
      </c>
      <c r="N245" s="6" t="s">
        <v>5168</v>
      </c>
      <c r="O245" s="5" t="s">
        <v>5163</v>
      </c>
      <c r="P245" s="239" t="s">
        <v>1309</v>
      </c>
      <c r="Q245" s="49" t="n">
        <f aca="false">Serving!E21</f>
        <v>40.8313604965595</v>
      </c>
      <c r="R245" s="184" t="n">
        <f aca="false">SRC_PERF_070</f>
        <v>52.1</v>
      </c>
      <c r="S245" s="44" t="str">
        <f aca="false">IF(ISNUMBER($AF245),INDEX(IDX_SrcStat,$AF245),"—")</f>
        <v>Active</v>
      </c>
      <c r="T245" s="44" t="n">
        <f aca="false">IF(ISNUMBER($AF245),INDEX(IDX_SrcGrade,$AF245),"—")</f>
        <v>2</v>
      </c>
      <c r="U245" s="44" t="s">
        <v>4564</v>
      </c>
      <c r="V245" s="32" t="n">
        <f aca="false">IF(AND($F245="原始數據",$U245&lt;&gt;"連結 SRC"),1,0)</f>
        <v>0</v>
      </c>
      <c r="W245" s="32" t="n">
        <f aca="false">IF(AND($F245="Analogy",OR($H245="—",$H245="")),1,0)</f>
        <v>0</v>
      </c>
      <c r="X245" s="32" t="n">
        <f aca="false">IF(AND(OR($F245="Analogy",$F245="Assumed"),$G245&lt;&gt;"低",$G245&lt;&gt;"高",NOT(ISNUMBER($K245)),NOT(ISNUMBER($L245)),OR($M245="—",$M245="")),1,0)</f>
        <v>0</v>
      </c>
      <c r="Y245" s="32" t="n">
        <f aca="false">IF(AND(OR($F245="Analogy",$F245="Assumed",$F245="Derived（待改公式）",$F245="Derived（公式）"),OR($N245="—",$N245="",$N245=0)),1,0)</f>
        <v>0</v>
      </c>
      <c r="Z245" s="32" t="n">
        <f aca="false">IF(AND($F245="Decision",OR($J245="—",$J245="")),1,0)</f>
        <v>0</v>
      </c>
      <c r="AA245" s="33" t="n">
        <f aca="false">IF(OR($J245="—",$J245=""),0,IF(COUNTIF(Decisions!$A$5:$A$300,$J245)=0,1,0))</f>
        <v>0</v>
      </c>
      <c r="AB245" s="32" t="n">
        <f aca="false">IF(AND($F245="原始數據",$S245&lt;&gt;"Active"),1,0)</f>
        <v>0</v>
      </c>
      <c r="AC245" s="32" t="n">
        <f aca="false">IF(AND(ISNUMBER($K245),ISNUMBER($L245),ISNUMBER($Q245)),IF(OR($Q245&lt;MIN($K245,$L245),$Q245&gt;MAX($K245,$L245)),1,0),0)</f>
        <v>0</v>
      </c>
      <c r="AD245" s="32" t="n">
        <f aca="false">IF(AND(ISNUMBER($T245),$P245="高"),IF($T245=3,1,0),0)</f>
        <v>0</v>
      </c>
      <c r="AE245" s="32" t="n">
        <f aca="false">IF($S245="不存在",1,0)</f>
        <v>0</v>
      </c>
      <c r="AF245" s="44" t="n">
        <f aca="false">IF(OR($H245="—",$H245=""),"—",MATCH($H245,IDX_SrcID,0))</f>
        <v>364</v>
      </c>
      <c r="AG245" s="32" t="n">
        <f aca="false">IF(AND($P245="高",OR($AD245=1,$X245=1)),1,0)</f>
        <v>0</v>
      </c>
      <c r="AH245" s="32" t="n">
        <f aca="false">IF(AND($P245="高",$AG245=0,OR($F245&lt;&gt;"原始數據",$T245&lt;&gt;1)),1,0)</f>
        <v>1</v>
      </c>
      <c r="AI245" s="44" t="str">
        <f aca="false">IF(AND($P245="高",ISNUMBER($AF245)),INDEX(IDX_SrcDate,$AF245),"—")</f>
        <v>—</v>
      </c>
      <c r="AJ245" s="32" t="n">
        <f aca="false">IF(AND(ISTEXT($AI245),LEN($AI245)=10),IF(ISNUMBER(VALUE(SUBSTITUTE($AI245,"-",""))),VALUE(SUBSTITUTE($AI245,"-","")),0),0)</f>
        <v>0</v>
      </c>
    </row>
    <row r="246" customFormat="false" ht="15" hidden="false" customHeight="true" outlineLevel="0" collapsed="false">
      <c r="A246" s="30" t="s">
        <v>5173</v>
      </c>
      <c r="B246" s="239" t="s">
        <v>4525</v>
      </c>
      <c r="C246" s="30" t="s">
        <v>5123</v>
      </c>
      <c r="D246" s="30" t="s">
        <v>5114</v>
      </c>
      <c r="E246" s="6" t="s">
        <v>391</v>
      </c>
      <c r="F246" s="30" t="s">
        <v>114</v>
      </c>
      <c r="G246" s="239" t="s">
        <v>4527</v>
      </c>
      <c r="H246" s="30" t="s">
        <v>751</v>
      </c>
      <c r="I246" s="6" t="s">
        <v>751</v>
      </c>
      <c r="J246" s="30" t="s">
        <v>751</v>
      </c>
      <c r="K246" s="184" t="n">
        <f aca="false">Serving!C22*0.5</f>
        <v>1</v>
      </c>
      <c r="L246" s="184" t="n">
        <f aca="false">Serving!C22*2</f>
        <v>4</v>
      </c>
      <c r="M246" s="30" t="s">
        <v>5174</v>
      </c>
      <c r="N246" s="6" t="s">
        <v>5175</v>
      </c>
      <c r="O246" s="6" t="s">
        <v>751</v>
      </c>
      <c r="P246" s="239" t="s">
        <v>4530</v>
      </c>
      <c r="Q246" s="199" t="n">
        <f aca="false">Serving!C22</f>
        <v>2</v>
      </c>
      <c r="R246" s="30" t="s">
        <v>751</v>
      </c>
      <c r="S246" s="44" t="str">
        <f aca="false">IF(ISNUMBER($AF246),INDEX(IDX_SrcStat,$AF246),"—")</f>
        <v>—</v>
      </c>
      <c r="T246" s="44" t="str">
        <f aca="false">IF(ISNUMBER($AF246),INDEX(IDX_SrcGrade,$AF246),"—")</f>
        <v>—</v>
      </c>
      <c r="U246" s="44" t="s">
        <v>4531</v>
      </c>
      <c r="V246" s="32" t="n">
        <f aca="false">IF(AND($F246="原始數據",$U246&lt;&gt;"連結 SRC"),1,0)</f>
        <v>0</v>
      </c>
      <c r="W246" s="32" t="n">
        <f aca="false">IF(AND($F246="Analogy",OR($H246="—",$H246="")),1,0)</f>
        <v>0</v>
      </c>
      <c r="X246" s="32" t="n">
        <f aca="false">IF(AND(OR($F246="Analogy",$F246="Assumed"),$G246&lt;&gt;"低",$G246&lt;&gt;"高",NOT(ISNUMBER($K246)),NOT(ISNUMBER($L246)),OR($M246="—",$M246="")),1,0)</f>
        <v>0</v>
      </c>
      <c r="Y246" s="32" t="n">
        <f aca="false">IF(AND(OR($F246="Analogy",$F246="Assumed",$F246="Derived（待改公式）",$F246="Derived（公式）"),OR($N246="—",$N246="",$N246=0)),1,0)</f>
        <v>0</v>
      </c>
      <c r="Z246" s="32" t="n">
        <f aca="false">IF(AND($F246="Decision",OR($J246="—",$J246="")),1,0)</f>
        <v>0</v>
      </c>
      <c r="AA246" s="33" t="n">
        <f aca="false">IF(OR($J246="—",$J246=""),0,IF(COUNTIF(Decisions!$A$5:$A$300,$J246)=0,1,0))</f>
        <v>0</v>
      </c>
      <c r="AB246" s="32" t="n">
        <f aca="false">IF(AND($F246="原始數據",$S246&lt;&gt;"Active"),1,0)</f>
        <v>0</v>
      </c>
      <c r="AC246" s="32" t="n">
        <f aca="false">IF(AND(ISNUMBER($K246),ISNUMBER($L246),ISNUMBER($Q246)),IF(OR($Q246&lt;MIN($K246,$L246),$Q246&gt;MAX($K246,$L246)),1,0),0)</f>
        <v>0</v>
      </c>
      <c r="AD246" s="32" t="n">
        <f aca="false">IF(AND(ISNUMBER($T246),$P246="高"),IF($T246=3,1,0),0)</f>
        <v>0</v>
      </c>
      <c r="AE246" s="32" t="n">
        <f aca="false">IF($S246="不存在",1,0)</f>
        <v>0</v>
      </c>
      <c r="AF246" s="44" t="str">
        <f aca="false">IF(OR($H246="—",$H246=""),"—",MATCH($H246,IDX_SrcID,0))</f>
        <v>—</v>
      </c>
      <c r="AG246" s="32" t="n">
        <f aca="false">IF(AND($P246="高",OR($AD246=1,$X246=1)),1,0)</f>
        <v>0</v>
      </c>
      <c r="AH246" s="32" t="n">
        <f aca="false">IF(AND($P246="高",$AG246=0,OR($F246&lt;&gt;"原始數據",$T246&lt;&gt;1)),1,0)</f>
        <v>0</v>
      </c>
      <c r="AI246" s="44" t="str">
        <f aca="false">IF(AND($P246="高",ISNUMBER($AF246)),INDEX(IDX_SrcDate,$AF246),"—")</f>
        <v>—</v>
      </c>
      <c r="AJ246" s="32" t="n">
        <f aca="false">IF(AND(ISTEXT($AI246),LEN($AI246)=10),IF(ISNUMBER(VALUE(SUBSTITUTE($AI246,"-",""))),VALUE(SUBSTITUTE($AI246,"-","")),0),0)</f>
        <v>0</v>
      </c>
    </row>
    <row r="247" customFormat="false" ht="15" hidden="false" customHeight="true" outlineLevel="0" collapsed="false">
      <c r="A247" s="30" t="s">
        <v>5176</v>
      </c>
      <c r="B247" s="239" t="s">
        <v>4525</v>
      </c>
      <c r="C247" s="30" t="s">
        <v>5123</v>
      </c>
      <c r="D247" s="30" t="s">
        <v>5116</v>
      </c>
      <c r="E247" s="6" t="s">
        <v>391</v>
      </c>
      <c r="F247" s="30" t="s">
        <v>114</v>
      </c>
      <c r="G247" s="239" t="s">
        <v>4527</v>
      </c>
      <c r="H247" s="30" t="s">
        <v>751</v>
      </c>
      <c r="I247" s="6" t="s">
        <v>751</v>
      </c>
      <c r="J247" s="30" t="s">
        <v>751</v>
      </c>
      <c r="K247" s="184" t="n">
        <f aca="false">Serving!D22*0.5</f>
        <v>1.5</v>
      </c>
      <c r="L247" s="184" t="n">
        <f aca="false">Serving!D22*2</f>
        <v>6</v>
      </c>
      <c r="M247" s="30" t="s">
        <v>5174</v>
      </c>
      <c r="N247" s="6" t="s">
        <v>5175</v>
      </c>
      <c r="O247" s="6" t="s">
        <v>751</v>
      </c>
      <c r="P247" s="239" t="s">
        <v>4530</v>
      </c>
      <c r="Q247" s="199" t="n">
        <f aca="false">Serving!D22</f>
        <v>3</v>
      </c>
      <c r="R247" s="30" t="s">
        <v>751</v>
      </c>
      <c r="S247" s="44" t="str">
        <f aca="false">IF(ISNUMBER($AF247),INDEX(IDX_SrcStat,$AF247),"—")</f>
        <v>—</v>
      </c>
      <c r="T247" s="44" t="str">
        <f aca="false">IF(ISNUMBER($AF247),INDEX(IDX_SrcGrade,$AF247),"—")</f>
        <v>—</v>
      </c>
      <c r="U247" s="44" t="s">
        <v>4531</v>
      </c>
      <c r="V247" s="32" t="n">
        <f aca="false">IF(AND($F247="原始數據",$U247&lt;&gt;"連結 SRC"),1,0)</f>
        <v>0</v>
      </c>
      <c r="W247" s="32" t="n">
        <f aca="false">IF(AND($F247="Analogy",OR($H247="—",$H247="")),1,0)</f>
        <v>0</v>
      </c>
      <c r="X247" s="32" t="n">
        <f aca="false">IF(AND(OR($F247="Analogy",$F247="Assumed"),$G247&lt;&gt;"低",$G247&lt;&gt;"高",NOT(ISNUMBER($K247)),NOT(ISNUMBER($L247)),OR($M247="—",$M247="")),1,0)</f>
        <v>0</v>
      </c>
      <c r="Y247" s="32" t="n">
        <f aca="false">IF(AND(OR($F247="Analogy",$F247="Assumed",$F247="Derived（待改公式）",$F247="Derived（公式）"),OR($N247="—",$N247="",$N247=0)),1,0)</f>
        <v>0</v>
      </c>
      <c r="Z247" s="32" t="n">
        <f aca="false">IF(AND($F247="Decision",OR($J247="—",$J247="")),1,0)</f>
        <v>0</v>
      </c>
      <c r="AA247" s="33" t="n">
        <f aca="false">IF(OR($J247="—",$J247=""),0,IF(COUNTIF(Decisions!$A$5:$A$300,$J247)=0,1,0))</f>
        <v>0</v>
      </c>
      <c r="AB247" s="32" t="n">
        <f aca="false">IF(AND($F247="原始數據",$S247&lt;&gt;"Active"),1,0)</f>
        <v>0</v>
      </c>
      <c r="AC247" s="32" t="n">
        <f aca="false">IF(AND(ISNUMBER($K247),ISNUMBER($L247),ISNUMBER($Q247)),IF(OR($Q247&lt;MIN($K247,$L247),$Q247&gt;MAX($K247,$L247)),1,0),0)</f>
        <v>0</v>
      </c>
      <c r="AD247" s="32" t="n">
        <f aca="false">IF(AND(ISNUMBER($T247),$P247="高"),IF($T247=3,1,0),0)</f>
        <v>0</v>
      </c>
      <c r="AE247" s="32" t="n">
        <f aca="false">IF($S247="不存在",1,0)</f>
        <v>0</v>
      </c>
      <c r="AF247" s="44" t="str">
        <f aca="false">IF(OR($H247="—",$H247=""),"—",MATCH($H247,IDX_SrcID,0))</f>
        <v>—</v>
      </c>
      <c r="AG247" s="32" t="n">
        <f aca="false">IF(AND($P247="高",OR($AD247=1,$X247=1)),1,0)</f>
        <v>0</v>
      </c>
      <c r="AH247" s="32" t="n">
        <f aca="false">IF(AND($P247="高",$AG247=0,OR($F247&lt;&gt;"原始數據",$T247&lt;&gt;1)),1,0)</f>
        <v>0</v>
      </c>
      <c r="AI247" s="44" t="str">
        <f aca="false">IF(AND($P247="高",ISNUMBER($AF247)),INDEX(IDX_SrcDate,$AF247),"—")</f>
        <v>—</v>
      </c>
      <c r="AJ247" s="32" t="n">
        <f aca="false">IF(AND(ISTEXT($AI247),LEN($AI247)=10),IF(ISNUMBER(VALUE(SUBSTITUTE($AI247,"-",""))),VALUE(SUBSTITUTE($AI247,"-","")),0),0)</f>
        <v>0</v>
      </c>
    </row>
    <row r="248" customFormat="false" ht="15" hidden="false" customHeight="true" outlineLevel="0" collapsed="false">
      <c r="A248" s="30" t="s">
        <v>5177</v>
      </c>
      <c r="B248" s="239" t="s">
        <v>4525</v>
      </c>
      <c r="C248" s="30" t="s">
        <v>5123</v>
      </c>
      <c r="D248" s="30" t="s">
        <v>5118</v>
      </c>
      <c r="E248" s="6" t="s">
        <v>391</v>
      </c>
      <c r="F248" s="30" t="s">
        <v>114</v>
      </c>
      <c r="G248" s="239" t="s">
        <v>4527</v>
      </c>
      <c r="H248" s="30" t="s">
        <v>751</v>
      </c>
      <c r="I248" s="6" t="s">
        <v>751</v>
      </c>
      <c r="J248" s="30" t="s">
        <v>751</v>
      </c>
      <c r="K248" s="184" t="n">
        <f aca="false">Serving!E22*0.5</f>
        <v>2.5</v>
      </c>
      <c r="L248" s="184" t="n">
        <f aca="false">Serving!E22*2</f>
        <v>10</v>
      </c>
      <c r="M248" s="30" t="s">
        <v>5174</v>
      </c>
      <c r="N248" s="6" t="s">
        <v>5175</v>
      </c>
      <c r="O248" s="6" t="s">
        <v>751</v>
      </c>
      <c r="P248" s="239" t="s">
        <v>4530</v>
      </c>
      <c r="Q248" s="199" t="n">
        <f aca="false">Serving!E22</f>
        <v>5</v>
      </c>
      <c r="R248" s="30" t="s">
        <v>751</v>
      </c>
      <c r="S248" s="44" t="str">
        <f aca="false">IF(ISNUMBER($AF248),INDEX(IDX_SrcStat,$AF248),"—")</f>
        <v>—</v>
      </c>
      <c r="T248" s="44" t="str">
        <f aca="false">IF(ISNUMBER($AF248),INDEX(IDX_SrcGrade,$AF248),"—")</f>
        <v>—</v>
      </c>
      <c r="U248" s="44" t="s">
        <v>4531</v>
      </c>
      <c r="V248" s="32" t="n">
        <f aca="false">IF(AND($F248="原始數據",$U248&lt;&gt;"連結 SRC"),1,0)</f>
        <v>0</v>
      </c>
      <c r="W248" s="32" t="n">
        <f aca="false">IF(AND($F248="Analogy",OR($H248="—",$H248="")),1,0)</f>
        <v>0</v>
      </c>
      <c r="X248" s="32" t="n">
        <f aca="false">IF(AND(OR($F248="Analogy",$F248="Assumed"),$G248&lt;&gt;"低",$G248&lt;&gt;"高",NOT(ISNUMBER($K248)),NOT(ISNUMBER($L248)),OR($M248="—",$M248="")),1,0)</f>
        <v>0</v>
      </c>
      <c r="Y248" s="32" t="n">
        <f aca="false">IF(AND(OR($F248="Analogy",$F248="Assumed",$F248="Derived（待改公式）",$F248="Derived（公式）"),OR($N248="—",$N248="",$N248=0)),1,0)</f>
        <v>0</v>
      </c>
      <c r="Z248" s="32" t="n">
        <f aca="false">IF(AND($F248="Decision",OR($J248="—",$J248="")),1,0)</f>
        <v>0</v>
      </c>
      <c r="AA248" s="33" t="n">
        <f aca="false">IF(OR($J248="—",$J248=""),0,IF(COUNTIF(Decisions!$A$5:$A$300,$J248)=0,1,0))</f>
        <v>0</v>
      </c>
      <c r="AB248" s="32" t="n">
        <f aca="false">IF(AND($F248="原始數據",$S248&lt;&gt;"Active"),1,0)</f>
        <v>0</v>
      </c>
      <c r="AC248" s="32" t="n">
        <f aca="false">IF(AND(ISNUMBER($K248),ISNUMBER($L248),ISNUMBER($Q248)),IF(OR($Q248&lt;MIN($K248,$L248),$Q248&gt;MAX($K248,$L248)),1,0),0)</f>
        <v>0</v>
      </c>
      <c r="AD248" s="32" t="n">
        <f aca="false">IF(AND(ISNUMBER($T248),$P248="高"),IF($T248=3,1,0),0)</f>
        <v>0</v>
      </c>
      <c r="AE248" s="32" t="n">
        <f aca="false">IF($S248="不存在",1,0)</f>
        <v>0</v>
      </c>
      <c r="AF248" s="44" t="str">
        <f aca="false">IF(OR($H248="—",$H248=""),"—",MATCH($H248,IDX_SrcID,0))</f>
        <v>—</v>
      </c>
      <c r="AG248" s="32" t="n">
        <f aca="false">IF(AND($P248="高",OR($AD248=1,$X248=1)),1,0)</f>
        <v>0</v>
      </c>
      <c r="AH248" s="32" t="n">
        <f aca="false">IF(AND($P248="高",$AG248=0,OR($F248&lt;&gt;"原始數據",$T248&lt;&gt;1)),1,0)</f>
        <v>0</v>
      </c>
      <c r="AI248" s="44" t="str">
        <f aca="false">IF(AND($P248="高",ISNUMBER($AF248)),INDEX(IDX_SrcDate,$AF248),"—")</f>
        <v>—</v>
      </c>
      <c r="AJ248" s="32" t="n">
        <f aca="false">IF(AND(ISTEXT($AI248),LEN($AI248)=10),IF(ISNUMBER(VALUE(SUBSTITUTE($AI248,"-",""))),VALUE(SUBSTITUTE($AI248,"-","")),0),0)</f>
        <v>0</v>
      </c>
    </row>
    <row r="249" customFormat="false" ht="29.25" hidden="false" customHeight="true" outlineLevel="0" collapsed="false">
      <c r="A249" s="30" t="s">
        <v>5178</v>
      </c>
      <c r="B249" s="239" t="s">
        <v>4525</v>
      </c>
      <c r="C249" s="30" t="s">
        <v>5123</v>
      </c>
      <c r="D249" s="30" t="s">
        <v>4804</v>
      </c>
      <c r="E249" s="20" t="s">
        <v>5179</v>
      </c>
      <c r="F249" s="30" t="s">
        <v>114</v>
      </c>
      <c r="G249" s="239" t="s">
        <v>4527</v>
      </c>
      <c r="H249" s="30" t="s">
        <v>751</v>
      </c>
      <c r="I249" s="6" t="s">
        <v>751</v>
      </c>
      <c r="J249" s="30" t="s">
        <v>751</v>
      </c>
      <c r="K249" s="184" t="n">
        <f aca="false">Serving!C23*0.5</f>
        <v>4096</v>
      </c>
      <c r="L249" s="184" t="n">
        <f aca="false">Serving!C23*2</f>
        <v>16384</v>
      </c>
      <c r="M249" s="30" t="s">
        <v>5174</v>
      </c>
      <c r="N249" s="20" t="s">
        <v>5180</v>
      </c>
      <c r="O249" s="6" t="s">
        <v>751</v>
      </c>
      <c r="P249" s="239" t="s">
        <v>1309</v>
      </c>
      <c r="Q249" s="49" t="n">
        <f aca="false">Serving!C23</f>
        <v>8192</v>
      </c>
      <c r="R249" s="30" t="s">
        <v>751</v>
      </c>
      <c r="S249" s="44" t="str">
        <f aca="false">IF(ISNUMBER($AF249),INDEX(IDX_SrcStat,$AF249),"—")</f>
        <v>—</v>
      </c>
      <c r="T249" s="44" t="str">
        <f aca="false">IF(ISNUMBER($AF249),INDEX(IDX_SrcGrade,$AF249),"—")</f>
        <v>—</v>
      </c>
      <c r="U249" s="44" t="s">
        <v>4531</v>
      </c>
      <c r="V249" s="32" t="n">
        <f aca="false">IF(AND($F249="原始數據",$U249&lt;&gt;"連結 SRC"),1,0)</f>
        <v>0</v>
      </c>
      <c r="W249" s="32" t="n">
        <f aca="false">IF(AND($F249="Analogy",OR($H249="—",$H249="")),1,0)</f>
        <v>0</v>
      </c>
      <c r="X249" s="32" t="n">
        <f aca="false">IF(AND(OR($F249="Analogy",$F249="Assumed"),$G249&lt;&gt;"低",$G249&lt;&gt;"高",NOT(ISNUMBER($K249)),NOT(ISNUMBER($L249)),OR($M249="—",$M249="")),1,0)</f>
        <v>0</v>
      </c>
      <c r="Y249" s="32" t="n">
        <f aca="false">IF(AND(OR($F249="Analogy",$F249="Assumed",$F249="Derived（待改公式）",$F249="Derived（公式）"),OR($N249="—",$N249="",$N249=0)),1,0)</f>
        <v>0</v>
      </c>
      <c r="Z249" s="32" t="n">
        <f aca="false">IF(AND($F249="Decision",OR($J249="—",$J249="")),1,0)</f>
        <v>0</v>
      </c>
      <c r="AA249" s="33" t="n">
        <f aca="false">IF(OR($J249="—",$J249=""),0,IF(COUNTIF(Decisions!$A$5:$A$300,$J249)=0,1,0))</f>
        <v>0</v>
      </c>
      <c r="AB249" s="32" t="n">
        <f aca="false">IF(AND($F249="原始數據",$S249&lt;&gt;"Active"),1,0)</f>
        <v>0</v>
      </c>
      <c r="AC249" s="32" t="n">
        <f aca="false">IF(AND(ISNUMBER($K249),ISNUMBER($L249),ISNUMBER($Q249)),IF(OR($Q249&lt;MIN($K249,$L249),$Q249&gt;MAX($K249,$L249)),1,0),0)</f>
        <v>0</v>
      </c>
      <c r="AD249" s="32" t="n">
        <f aca="false">IF(AND(ISNUMBER($T249),$P249="高"),IF($T249=3,1,0),0)</f>
        <v>0</v>
      </c>
      <c r="AE249" s="32" t="n">
        <f aca="false">IF($S249="不存在",1,0)</f>
        <v>0</v>
      </c>
      <c r="AF249" s="44" t="str">
        <f aca="false">IF(OR($H249="—",$H249=""),"—",MATCH($H249,IDX_SrcID,0))</f>
        <v>—</v>
      </c>
      <c r="AG249" s="32" t="n">
        <f aca="false">IF(AND($P249="高",OR($AD249=1,$X249=1)),1,0)</f>
        <v>0</v>
      </c>
      <c r="AH249" s="32" t="n">
        <f aca="false">IF(AND($P249="高",$AG249=0,OR($F249&lt;&gt;"原始數據",$T249&lt;&gt;1)),1,0)</f>
        <v>1</v>
      </c>
      <c r="AI249" s="44" t="str">
        <f aca="false">IF(AND($P249="高",ISNUMBER($AF249)),INDEX(IDX_SrcDate,$AF249),"—")</f>
        <v>—</v>
      </c>
      <c r="AJ249" s="32" t="n">
        <f aca="false">IF(AND(ISTEXT($AI249),LEN($AI249)=10),IF(ISNUMBER(VALUE(SUBSTITUTE($AI249,"-",""))),VALUE(SUBSTITUTE($AI249,"-","")),0),0)</f>
        <v>0</v>
      </c>
    </row>
    <row r="250" customFormat="false" ht="29.25" hidden="false" customHeight="true" outlineLevel="0" collapsed="false">
      <c r="A250" s="30" t="s">
        <v>5181</v>
      </c>
      <c r="B250" s="239" t="s">
        <v>4525</v>
      </c>
      <c r="C250" s="30" t="s">
        <v>5123</v>
      </c>
      <c r="D250" s="30" t="s">
        <v>4662</v>
      </c>
      <c r="E250" s="20" t="s">
        <v>5179</v>
      </c>
      <c r="F250" s="30" t="s">
        <v>114</v>
      </c>
      <c r="G250" s="239" t="s">
        <v>4527</v>
      </c>
      <c r="H250" s="30" t="s">
        <v>751</v>
      </c>
      <c r="I250" s="6" t="s">
        <v>751</v>
      </c>
      <c r="J250" s="30" t="s">
        <v>751</v>
      </c>
      <c r="K250" s="184" t="n">
        <f aca="false">Serving!D23*0.5</f>
        <v>8192</v>
      </c>
      <c r="L250" s="184" t="n">
        <v>68000</v>
      </c>
      <c r="M250" s="30" t="s">
        <v>5174</v>
      </c>
      <c r="N250" s="20" t="s">
        <v>5182</v>
      </c>
      <c r="O250" s="6" t="s">
        <v>751</v>
      </c>
      <c r="P250" s="239" t="s">
        <v>1309</v>
      </c>
      <c r="Q250" s="49" t="n">
        <f aca="false">Serving!D23</f>
        <v>16384</v>
      </c>
      <c r="R250" s="30" t="s">
        <v>751</v>
      </c>
      <c r="S250" s="44" t="str">
        <f aca="false">IF(ISNUMBER($AF250),INDEX(IDX_SrcStat,$AF250),"—")</f>
        <v>—</v>
      </c>
      <c r="T250" s="44" t="str">
        <f aca="false">IF(ISNUMBER($AF250),INDEX(IDX_SrcGrade,$AF250),"—")</f>
        <v>—</v>
      </c>
      <c r="U250" s="44" t="s">
        <v>4531</v>
      </c>
      <c r="V250" s="32" t="n">
        <f aca="false">IF(AND($F250="原始數據",$U250&lt;&gt;"連結 SRC"),1,0)</f>
        <v>0</v>
      </c>
      <c r="W250" s="32" t="n">
        <f aca="false">IF(AND($F250="Analogy",OR($H250="—",$H250="")),1,0)</f>
        <v>0</v>
      </c>
      <c r="X250" s="32" t="n">
        <f aca="false">IF(AND(OR($F250="Analogy",$F250="Assumed"),$G250&lt;&gt;"低",$G250&lt;&gt;"高",NOT(ISNUMBER($K250)),NOT(ISNUMBER($L250)),OR($M250="—",$M250="")),1,0)</f>
        <v>0</v>
      </c>
      <c r="Y250" s="32" t="n">
        <f aca="false">IF(AND(OR($F250="Analogy",$F250="Assumed",$F250="Derived（待改公式）",$F250="Derived（公式）"),OR($N250="—",$N250="",$N250=0)),1,0)</f>
        <v>0</v>
      </c>
      <c r="Z250" s="32" t="n">
        <f aca="false">IF(AND($F250="Decision",OR($J250="—",$J250="")),1,0)</f>
        <v>0</v>
      </c>
      <c r="AA250" s="33" t="n">
        <f aca="false">IF(OR($J250="—",$J250=""),0,IF(COUNTIF(Decisions!$A$5:$A$300,$J250)=0,1,0))</f>
        <v>0</v>
      </c>
      <c r="AB250" s="32" t="n">
        <f aca="false">IF(AND($F250="原始數據",$S250&lt;&gt;"Active"),1,0)</f>
        <v>0</v>
      </c>
      <c r="AC250" s="32" t="n">
        <f aca="false">IF(AND(ISNUMBER($K250),ISNUMBER($L250),ISNUMBER($Q250)),IF(OR($Q250&lt;MIN($K250,$L250),$Q250&gt;MAX($K250,$L250)),1,0),0)</f>
        <v>0</v>
      </c>
      <c r="AD250" s="32" t="n">
        <f aca="false">IF(AND(ISNUMBER($T250),$P250="高"),IF($T250=3,1,0),0)</f>
        <v>0</v>
      </c>
      <c r="AE250" s="32" t="n">
        <f aca="false">IF($S250="不存在",1,0)</f>
        <v>0</v>
      </c>
      <c r="AF250" s="44" t="str">
        <f aca="false">IF(OR($H250="—",$H250=""),"—",MATCH($H250,IDX_SrcID,0))</f>
        <v>—</v>
      </c>
      <c r="AG250" s="32" t="n">
        <f aca="false">IF(AND($P250="高",OR($AD250=1,$X250=1)),1,0)</f>
        <v>0</v>
      </c>
      <c r="AH250" s="32" t="n">
        <f aca="false">IF(AND($P250="高",$AG250=0,OR($F250&lt;&gt;"原始數據",$T250&lt;&gt;1)),1,0)</f>
        <v>1</v>
      </c>
      <c r="AI250" s="44" t="str">
        <f aca="false">IF(AND($P250="高",ISNUMBER($AF250)),INDEX(IDX_SrcDate,$AF250),"—")</f>
        <v>—</v>
      </c>
      <c r="AJ250" s="32" t="n">
        <f aca="false">IF(AND(ISTEXT($AI250),LEN($AI250)=10),IF(ISNUMBER(VALUE(SUBSTITUTE($AI250,"-",""))),VALUE(SUBSTITUTE($AI250,"-","")),0),0)</f>
        <v>0</v>
      </c>
    </row>
    <row r="251" customFormat="false" ht="29.25" hidden="false" customHeight="true" outlineLevel="0" collapsed="false">
      <c r="A251" s="30" t="s">
        <v>5183</v>
      </c>
      <c r="B251" s="239" t="s">
        <v>4525</v>
      </c>
      <c r="C251" s="30" t="s">
        <v>5123</v>
      </c>
      <c r="D251" s="30" t="s">
        <v>4667</v>
      </c>
      <c r="E251" s="20" t="s">
        <v>5179</v>
      </c>
      <c r="F251" s="30" t="s">
        <v>114</v>
      </c>
      <c r="G251" s="239" t="s">
        <v>4527</v>
      </c>
      <c r="H251" s="30" t="s">
        <v>751</v>
      </c>
      <c r="I251" s="6" t="s">
        <v>751</v>
      </c>
      <c r="J251" s="30" t="s">
        <v>751</v>
      </c>
      <c r="K251" s="184" t="n">
        <f aca="false">Serving!E23*0.5</f>
        <v>16384</v>
      </c>
      <c r="L251" s="184" t="n">
        <v>68000</v>
      </c>
      <c r="M251" s="30" t="s">
        <v>5174</v>
      </c>
      <c r="N251" s="20" t="s">
        <v>5182</v>
      </c>
      <c r="O251" s="6" t="s">
        <v>751</v>
      </c>
      <c r="P251" s="239" t="s">
        <v>1309</v>
      </c>
      <c r="Q251" s="49" t="n">
        <f aca="false">Serving!E23</f>
        <v>32768</v>
      </c>
      <c r="R251" s="30" t="s">
        <v>751</v>
      </c>
      <c r="S251" s="44" t="str">
        <f aca="false">IF(ISNUMBER($AF251),INDEX(IDX_SrcStat,$AF251),"—")</f>
        <v>—</v>
      </c>
      <c r="T251" s="44" t="str">
        <f aca="false">IF(ISNUMBER($AF251),INDEX(IDX_SrcGrade,$AF251),"—")</f>
        <v>—</v>
      </c>
      <c r="U251" s="44" t="s">
        <v>4531</v>
      </c>
      <c r="V251" s="32" t="n">
        <f aca="false">IF(AND($F251="原始數據",$U251&lt;&gt;"連結 SRC"),1,0)</f>
        <v>0</v>
      </c>
      <c r="W251" s="32" t="n">
        <f aca="false">IF(AND($F251="Analogy",OR($H251="—",$H251="")),1,0)</f>
        <v>0</v>
      </c>
      <c r="X251" s="32" t="n">
        <f aca="false">IF(AND(OR($F251="Analogy",$F251="Assumed"),$G251&lt;&gt;"低",$G251&lt;&gt;"高",NOT(ISNUMBER($K251)),NOT(ISNUMBER($L251)),OR($M251="—",$M251="")),1,0)</f>
        <v>0</v>
      </c>
      <c r="Y251" s="32" t="n">
        <f aca="false">IF(AND(OR($F251="Analogy",$F251="Assumed",$F251="Derived（待改公式）",$F251="Derived（公式）"),OR($N251="—",$N251="",$N251=0)),1,0)</f>
        <v>0</v>
      </c>
      <c r="Z251" s="32" t="n">
        <f aca="false">IF(AND($F251="Decision",OR($J251="—",$J251="")),1,0)</f>
        <v>0</v>
      </c>
      <c r="AA251" s="33" t="n">
        <f aca="false">IF(OR($J251="—",$J251=""),0,IF(COUNTIF(Decisions!$A$5:$A$300,$J251)=0,1,0))</f>
        <v>0</v>
      </c>
      <c r="AB251" s="32" t="n">
        <f aca="false">IF(AND($F251="原始數據",$S251&lt;&gt;"Active"),1,0)</f>
        <v>0</v>
      </c>
      <c r="AC251" s="32" t="n">
        <f aca="false">IF(AND(ISNUMBER($K251),ISNUMBER($L251),ISNUMBER($Q251)),IF(OR($Q251&lt;MIN($K251,$L251),$Q251&gt;MAX($K251,$L251)),1,0),0)</f>
        <v>0</v>
      </c>
      <c r="AD251" s="32" t="n">
        <f aca="false">IF(AND(ISNUMBER($T251),$P251="高"),IF($T251=3,1,0),0)</f>
        <v>0</v>
      </c>
      <c r="AE251" s="32" t="n">
        <f aca="false">IF($S251="不存在",1,0)</f>
        <v>0</v>
      </c>
      <c r="AF251" s="44" t="str">
        <f aca="false">IF(OR($H251="—",$H251=""),"—",MATCH($H251,IDX_SrcID,0))</f>
        <v>—</v>
      </c>
      <c r="AG251" s="32" t="n">
        <f aca="false">IF(AND($P251="高",OR($AD251=1,$X251=1)),1,0)</f>
        <v>0</v>
      </c>
      <c r="AH251" s="32" t="n">
        <f aca="false">IF(AND($P251="高",$AG251=0,OR($F251&lt;&gt;"原始數據",$T251&lt;&gt;1)),1,0)</f>
        <v>1</v>
      </c>
      <c r="AI251" s="44" t="str">
        <f aca="false">IF(AND($P251="高",ISNUMBER($AF251)),INDEX(IDX_SrcDate,$AF251),"—")</f>
        <v>—</v>
      </c>
      <c r="AJ251" s="32" t="n">
        <f aca="false">IF(AND(ISTEXT($AI251),LEN($AI251)=10),IF(ISNUMBER(VALUE(SUBSTITUTE($AI251,"-",""))),VALUE(SUBSTITUTE($AI251,"-","")),0),0)</f>
        <v>0</v>
      </c>
    </row>
    <row r="252" customFormat="false" ht="15" hidden="false" customHeight="true" outlineLevel="0" collapsed="false">
      <c r="A252" s="30" t="s">
        <v>5184</v>
      </c>
      <c r="B252" s="239" t="s">
        <v>4525</v>
      </c>
      <c r="C252" s="30" t="s">
        <v>5123</v>
      </c>
      <c r="D252" s="30" t="s">
        <v>4821</v>
      </c>
      <c r="E252" s="20" t="s">
        <v>5185</v>
      </c>
      <c r="F252" s="30" t="s">
        <v>114</v>
      </c>
      <c r="G252" s="239" t="s">
        <v>4527</v>
      </c>
      <c r="H252" s="30" t="s">
        <v>751</v>
      </c>
      <c r="I252" s="6" t="s">
        <v>751</v>
      </c>
      <c r="J252" s="30" t="s">
        <v>751</v>
      </c>
      <c r="K252" s="241" t="n">
        <v>400</v>
      </c>
      <c r="L252" s="184" t="n">
        <f aca="false">Serving!C24*2</f>
        <v>2048</v>
      </c>
      <c r="M252" s="30" t="s">
        <v>5186</v>
      </c>
      <c r="N252" s="20" t="s">
        <v>5187</v>
      </c>
      <c r="O252" s="6" t="s">
        <v>751</v>
      </c>
      <c r="P252" s="239" t="s">
        <v>1309</v>
      </c>
      <c r="Q252" s="49" t="n">
        <f aca="false">Serving!C24</f>
        <v>1024</v>
      </c>
      <c r="R252" s="30" t="s">
        <v>751</v>
      </c>
      <c r="S252" s="44" t="str">
        <f aca="false">IF(ISNUMBER($AF252),INDEX(IDX_SrcStat,$AF252),"—")</f>
        <v>—</v>
      </c>
      <c r="T252" s="44" t="str">
        <f aca="false">IF(ISNUMBER($AF252),INDEX(IDX_SrcGrade,$AF252),"—")</f>
        <v>—</v>
      </c>
      <c r="U252" s="44" t="s">
        <v>4531</v>
      </c>
      <c r="V252" s="32" t="n">
        <f aca="false">IF(AND($F252="原始數據",$U252&lt;&gt;"連結 SRC"),1,0)</f>
        <v>0</v>
      </c>
      <c r="W252" s="32" t="n">
        <f aca="false">IF(AND($F252="Analogy",OR($H252="—",$H252="")),1,0)</f>
        <v>0</v>
      </c>
      <c r="X252" s="32" t="n">
        <f aca="false">IF(AND(OR($F252="Analogy",$F252="Assumed"),$G252&lt;&gt;"低",$G252&lt;&gt;"高",NOT(ISNUMBER($K252)),NOT(ISNUMBER($L252)),OR($M252="—",$M252="")),1,0)</f>
        <v>0</v>
      </c>
      <c r="Y252" s="32" t="n">
        <f aca="false">IF(AND(OR($F252="Analogy",$F252="Assumed",$F252="Derived（待改公式）",$F252="Derived（公式）"),OR($N252="—",$N252="",$N252=0)),1,0)</f>
        <v>0</v>
      </c>
      <c r="Z252" s="32" t="n">
        <f aca="false">IF(AND($F252="Decision",OR($J252="—",$J252="")),1,0)</f>
        <v>0</v>
      </c>
      <c r="AA252" s="33" t="n">
        <f aca="false">IF(OR($J252="—",$J252=""),0,IF(COUNTIF(Decisions!$A$5:$A$300,$J252)=0,1,0))</f>
        <v>0</v>
      </c>
      <c r="AB252" s="32" t="n">
        <f aca="false">IF(AND($F252="原始數據",$S252&lt;&gt;"Active"),1,0)</f>
        <v>0</v>
      </c>
      <c r="AC252" s="32" t="n">
        <f aca="false">IF(AND(ISNUMBER($K252),ISNUMBER($L252),ISNUMBER($Q252)),IF(OR($Q252&lt;MIN($K252,$L252),$Q252&gt;MAX($K252,$L252)),1,0),0)</f>
        <v>0</v>
      </c>
      <c r="AD252" s="32" t="n">
        <f aca="false">IF(AND(ISNUMBER($T252),$P252="高"),IF($T252=3,1,0),0)</f>
        <v>0</v>
      </c>
      <c r="AE252" s="32" t="n">
        <f aca="false">IF($S252="不存在",1,0)</f>
        <v>0</v>
      </c>
      <c r="AF252" s="44" t="str">
        <f aca="false">IF(OR($H252="—",$H252=""),"—",MATCH($H252,IDX_SrcID,0))</f>
        <v>—</v>
      </c>
      <c r="AG252" s="32" t="n">
        <f aca="false">IF(AND($P252="高",OR($AD252=1,$X252=1)),1,0)</f>
        <v>0</v>
      </c>
      <c r="AH252" s="32" t="n">
        <f aca="false">IF(AND($P252="高",$AG252=0,OR($F252&lt;&gt;"原始數據",$T252&lt;&gt;1)),1,0)</f>
        <v>1</v>
      </c>
      <c r="AI252" s="44" t="str">
        <f aca="false">IF(AND($P252="高",ISNUMBER($AF252)),INDEX(IDX_SrcDate,$AF252),"—")</f>
        <v>—</v>
      </c>
      <c r="AJ252" s="32" t="n">
        <f aca="false">IF(AND(ISTEXT($AI252),LEN($AI252)=10),IF(ISNUMBER(VALUE(SUBSTITUTE($AI252,"-",""))),VALUE(SUBSTITUTE($AI252,"-","")),0),0)</f>
        <v>0</v>
      </c>
    </row>
    <row r="253" customFormat="false" ht="15" hidden="false" customHeight="true" outlineLevel="0" collapsed="false">
      <c r="A253" s="30" t="s">
        <v>5188</v>
      </c>
      <c r="B253" s="239" t="s">
        <v>4525</v>
      </c>
      <c r="C253" s="30" t="s">
        <v>5123</v>
      </c>
      <c r="D253" s="30" t="s">
        <v>4825</v>
      </c>
      <c r="E253" s="20" t="s">
        <v>5185</v>
      </c>
      <c r="F253" s="30" t="s">
        <v>114</v>
      </c>
      <c r="G253" s="239" t="s">
        <v>4527</v>
      </c>
      <c r="H253" s="30" t="s">
        <v>751</v>
      </c>
      <c r="I253" s="6" t="s">
        <v>751</v>
      </c>
      <c r="J253" s="30" t="s">
        <v>751</v>
      </c>
      <c r="K253" s="184" t="n">
        <f aca="false">Serving!D24*0.5</f>
        <v>1024</v>
      </c>
      <c r="L253" s="184" t="n">
        <f aca="false">Serving!D24*2</f>
        <v>4096</v>
      </c>
      <c r="M253" s="30" t="s">
        <v>5174</v>
      </c>
      <c r="N253" s="20" t="s">
        <v>5187</v>
      </c>
      <c r="O253" s="6" t="s">
        <v>751</v>
      </c>
      <c r="P253" s="239" t="s">
        <v>1309</v>
      </c>
      <c r="Q253" s="49" t="n">
        <f aca="false">Serving!D24</f>
        <v>2048</v>
      </c>
      <c r="R253" s="30" t="s">
        <v>751</v>
      </c>
      <c r="S253" s="44" t="str">
        <f aca="false">IF(ISNUMBER($AF253),INDEX(IDX_SrcStat,$AF253),"—")</f>
        <v>—</v>
      </c>
      <c r="T253" s="44" t="str">
        <f aca="false">IF(ISNUMBER($AF253),INDEX(IDX_SrcGrade,$AF253),"—")</f>
        <v>—</v>
      </c>
      <c r="U253" s="44" t="s">
        <v>4531</v>
      </c>
      <c r="V253" s="32" t="n">
        <f aca="false">IF(AND($F253="原始數據",$U253&lt;&gt;"連結 SRC"),1,0)</f>
        <v>0</v>
      </c>
      <c r="W253" s="32" t="n">
        <f aca="false">IF(AND($F253="Analogy",OR($H253="—",$H253="")),1,0)</f>
        <v>0</v>
      </c>
      <c r="X253" s="32" t="n">
        <f aca="false">IF(AND(OR($F253="Analogy",$F253="Assumed"),$G253&lt;&gt;"低",$G253&lt;&gt;"高",NOT(ISNUMBER($K253)),NOT(ISNUMBER($L253)),OR($M253="—",$M253="")),1,0)</f>
        <v>0</v>
      </c>
      <c r="Y253" s="32" t="n">
        <f aca="false">IF(AND(OR($F253="Analogy",$F253="Assumed",$F253="Derived（待改公式）",$F253="Derived（公式）"),OR($N253="—",$N253="",$N253=0)),1,0)</f>
        <v>0</v>
      </c>
      <c r="Z253" s="32" t="n">
        <f aca="false">IF(AND($F253="Decision",OR($J253="—",$J253="")),1,0)</f>
        <v>0</v>
      </c>
      <c r="AA253" s="33" t="n">
        <f aca="false">IF(OR($J253="—",$J253=""),0,IF(COUNTIF(Decisions!$A$5:$A$300,$J253)=0,1,0))</f>
        <v>0</v>
      </c>
      <c r="AB253" s="32" t="n">
        <f aca="false">IF(AND($F253="原始數據",$S253&lt;&gt;"Active"),1,0)</f>
        <v>0</v>
      </c>
      <c r="AC253" s="32" t="n">
        <f aca="false">IF(AND(ISNUMBER($K253),ISNUMBER($L253),ISNUMBER($Q253)),IF(OR($Q253&lt;MIN($K253,$L253),$Q253&gt;MAX($K253,$L253)),1,0),0)</f>
        <v>0</v>
      </c>
      <c r="AD253" s="32" t="n">
        <f aca="false">IF(AND(ISNUMBER($T253),$P253="高"),IF($T253=3,1,0),0)</f>
        <v>0</v>
      </c>
      <c r="AE253" s="32" t="n">
        <f aca="false">IF($S253="不存在",1,0)</f>
        <v>0</v>
      </c>
      <c r="AF253" s="44" t="str">
        <f aca="false">IF(OR($H253="—",$H253=""),"—",MATCH($H253,IDX_SrcID,0))</f>
        <v>—</v>
      </c>
      <c r="AG253" s="32" t="n">
        <f aca="false">IF(AND($P253="高",OR($AD253=1,$X253=1)),1,0)</f>
        <v>0</v>
      </c>
      <c r="AH253" s="32" t="n">
        <f aca="false">IF(AND($P253="高",$AG253=0,OR($F253&lt;&gt;"原始數據",$T253&lt;&gt;1)),1,0)</f>
        <v>1</v>
      </c>
      <c r="AI253" s="44" t="str">
        <f aca="false">IF(AND($P253="高",ISNUMBER($AF253)),INDEX(IDX_SrcDate,$AF253),"—")</f>
        <v>—</v>
      </c>
      <c r="AJ253" s="32" t="n">
        <f aca="false">IF(AND(ISTEXT($AI253),LEN($AI253)=10),IF(ISNUMBER(VALUE(SUBSTITUTE($AI253,"-",""))),VALUE(SUBSTITUTE($AI253,"-","")),0),0)</f>
        <v>0</v>
      </c>
    </row>
    <row r="254" customFormat="false" ht="15" hidden="false" customHeight="true" outlineLevel="0" collapsed="false">
      <c r="A254" s="30" t="s">
        <v>5189</v>
      </c>
      <c r="B254" s="239" t="s">
        <v>4525</v>
      </c>
      <c r="C254" s="30" t="s">
        <v>5123</v>
      </c>
      <c r="D254" s="30" t="s">
        <v>4672</v>
      </c>
      <c r="E254" s="20" t="s">
        <v>5185</v>
      </c>
      <c r="F254" s="30" t="s">
        <v>114</v>
      </c>
      <c r="G254" s="239" t="s">
        <v>4527</v>
      </c>
      <c r="H254" s="30" t="s">
        <v>751</v>
      </c>
      <c r="I254" s="6" t="s">
        <v>751</v>
      </c>
      <c r="J254" s="30" t="s">
        <v>751</v>
      </c>
      <c r="K254" s="184" t="n">
        <f aca="false">Serving!E24*0.5</f>
        <v>2048</v>
      </c>
      <c r="L254" s="184" t="n">
        <f aca="false">Serving!E24*2</f>
        <v>8192</v>
      </c>
      <c r="M254" s="30" t="s">
        <v>5174</v>
      </c>
      <c r="N254" s="20" t="s">
        <v>5187</v>
      </c>
      <c r="O254" s="6" t="s">
        <v>751</v>
      </c>
      <c r="P254" s="239" t="s">
        <v>1309</v>
      </c>
      <c r="Q254" s="49" t="n">
        <f aca="false">Serving!E24</f>
        <v>4096</v>
      </c>
      <c r="R254" s="30" t="s">
        <v>751</v>
      </c>
      <c r="S254" s="44" t="str">
        <f aca="false">IF(ISNUMBER($AF254),INDEX(IDX_SrcStat,$AF254),"—")</f>
        <v>—</v>
      </c>
      <c r="T254" s="44" t="str">
        <f aca="false">IF(ISNUMBER($AF254),INDEX(IDX_SrcGrade,$AF254),"—")</f>
        <v>—</v>
      </c>
      <c r="U254" s="44" t="s">
        <v>4531</v>
      </c>
      <c r="V254" s="32" t="n">
        <f aca="false">IF(AND($F254="原始數據",$U254&lt;&gt;"連結 SRC"),1,0)</f>
        <v>0</v>
      </c>
      <c r="W254" s="32" t="n">
        <f aca="false">IF(AND($F254="Analogy",OR($H254="—",$H254="")),1,0)</f>
        <v>0</v>
      </c>
      <c r="X254" s="32" t="n">
        <f aca="false">IF(AND(OR($F254="Analogy",$F254="Assumed"),$G254&lt;&gt;"低",$G254&lt;&gt;"高",NOT(ISNUMBER($K254)),NOT(ISNUMBER($L254)),OR($M254="—",$M254="")),1,0)</f>
        <v>0</v>
      </c>
      <c r="Y254" s="32" t="n">
        <f aca="false">IF(AND(OR($F254="Analogy",$F254="Assumed",$F254="Derived（待改公式）",$F254="Derived（公式）"),OR($N254="—",$N254="",$N254=0)),1,0)</f>
        <v>0</v>
      </c>
      <c r="Z254" s="32" t="n">
        <f aca="false">IF(AND($F254="Decision",OR($J254="—",$J254="")),1,0)</f>
        <v>0</v>
      </c>
      <c r="AA254" s="33" t="n">
        <f aca="false">IF(OR($J254="—",$J254=""),0,IF(COUNTIF(Decisions!$A$5:$A$300,$J254)=0,1,0))</f>
        <v>0</v>
      </c>
      <c r="AB254" s="32" t="n">
        <f aca="false">IF(AND($F254="原始數據",$S254&lt;&gt;"Active"),1,0)</f>
        <v>0</v>
      </c>
      <c r="AC254" s="32" t="n">
        <f aca="false">IF(AND(ISNUMBER($K254),ISNUMBER($L254),ISNUMBER($Q254)),IF(OR($Q254&lt;MIN($K254,$L254),$Q254&gt;MAX($K254,$L254)),1,0),0)</f>
        <v>0</v>
      </c>
      <c r="AD254" s="32" t="n">
        <f aca="false">IF(AND(ISNUMBER($T254),$P254="高"),IF($T254=3,1,0),0)</f>
        <v>0</v>
      </c>
      <c r="AE254" s="32" t="n">
        <f aca="false">IF($S254="不存在",1,0)</f>
        <v>0</v>
      </c>
      <c r="AF254" s="44" t="str">
        <f aca="false">IF(OR($H254="—",$H254=""),"—",MATCH($H254,IDX_SrcID,0))</f>
        <v>—</v>
      </c>
      <c r="AG254" s="32" t="n">
        <f aca="false">IF(AND($P254="高",OR($AD254=1,$X254=1)),1,0)</f>
        <v>0</v>
      </c>
      <c r="AH254" s="32" t="n">
        <f aca="false">IF(AND($P254="高",$AG254=0,OR($F254&lt;&gt;"原始數據",$T254&lt;&gt;1)),1,0)</f>
        <v>1</v>
      </c>
      <c r="AI254" s="44" t="str">
        <f aca="false">IF(AND($P254="高",ISNUMBER($AF254)),INDEX(IDX_SrcDate,$AF254),"—")</f>
        <v>—</v>
      </c>
      <c r="AJ254" s="32" t="n">
        <f aca="false">IF(AND(ISTEXT($AI254),LEN($AI254)=10),IF(ISNUMBER(VALUE(SUBSTITUTE($AI254,"-",""))),VALUE(SUBSTITUTE($AI254,"-","")),0),0)</f>
        <v>0</v>
      </c>
    </row>
    <row r="255" customFormat="false" ht="29.25" hidden="false" customHeight="true" outlineLevel="0" collapsed="false">
      <c r="A255" s="30" t="s">
        <v>5190</v>
      </c>
      <c r="B255" s="239" t="s">
        <v>4525</v>
      </c>
      <c r="C255" s="30" t="s">
        <v>5191</v>
      </c>
      <c r="D255" s="30" t="s">
        <v>5192</v>
      </c>
      <c r="E255" s="20" t="s">
        <v>5193</v>
      </c>
      <c r="F255" s="30" t="s">
        <v>114</v>
      </c>
      <c r="G255" s="239" t="s">
        <v>4527</v>
      </c>
      <c r="H255" s="30" t="s">
        <v>751</v>
      </c>
      <c r="I255" s="6" t="s">
        <v>751</v>
      </c>
      <c r="J255" s="30" t="s">
        <v>751</v>
      </c>
      <c r="K255" s="184" t="n">
        <f aca="false">MAX(1,Workload!C5*0.5)</f>
        <v>1</v>
      </c>
      <c r="L255" s="184" t="n">
        <f aca="false">Workload!C5*2</f>
        <v>2</v>
      </c>
      <c r="M255" s="30" t="s">
        <v>5194</v>
      </c>
      <c r="N255" s="20" t="s">
        <v>5195</v>
      </c>
      <c r="O255" s="6" t="s">
        <v>751</v>
      </c>
      <c r="P255" s="239" t="s">
        <v>1309</v>
      </c>
      <c r="Q255" s="49" t="n">
        <f aca="false">Workload!C5</f>
        <v>1</v>
      </c>
      <c r="R255" s="30" t="s">
        <v>751</v>
      </c>
      <c r="S255" s="44" t="str">
        <f aca="false">IF(ISNUMBER($AF255),INDEX(IDX_SrcStat,$AF255),"—")</f>
        <v>—</v>
      </c>
      <c r="T255" s="44" t="str">
        <f aca="false">IF(ISNUMBER($AF255),INDEX(IDX_SrcGrade,$AF255),"—")</f>
        <v>—</v>
      </c>
      <c r="U255" s="44" t="s">
        <v>4531</v>
      </c>
      <c r="V255" s="32" t="n">
        <f aca="false">IF(AND($F255="原始數據",$U255&lt;&gt;"連結 SRC"),1,0)</f>
        <v>0</v>
      </c>
      <c r="W255" s="32" t="n">
        <f aca="false">IF(AND($F255="Analogy",OR($H255="—",$H255="")),1,0)</f>
        <v>0</v>
      </c>
      <c r="X255" s="32" t="n">
        <f aca="false">IF(AND(OR($F255="Analogy",$F255="Assumed"),$G255&lt;&gt;"低",$G255&lt;&gt;"高",NOT(ISNUMBER($K255)),NOT(ISNUMBER($L255)),OR($M255="—",$M255="")),1,0)</f>
        <v>0</v>
      </c>
      <c r="Y255" s="32" t="n">
        <f aca="false">IF(AND(OR($F255="Analogy",$F255="Assumed",$F255="Derived（待改公式）",$F255="Derived（公式）"),OR($N255="—",$N255="",$N255=0)),1,0)</f>
        <v>0</v>
      </c>
      <c r="Z255" s="32" t="n">
        <f aca="false">IF(AND($F255="Decision",OR($J255="—",$J255="")),1,0)</f>
        <v>0</v>
      </c>
      <c r="AA255" s="33" t="n">
        <f aca="false">IF(OR($J255="—",$J255=""),0,IF(COUNTIF(Decisions!$A$5:$A$300,$J255)=0,1,0))</f>
        <v>0</v>
      </c>
      <c r="AB255" s="32" t="n">
        <f aca="false">IF(AND($F255="原始數據",$S255&lt;&gt;"Active"),1,0)</f>
        <v>0</v>
      </c>
      <c r="AC255" s="32" t="n">
        <f aca="false">IF(AND(ISNUMBER($K255),ISNUMBER($L255),ISNUMBER($Q255)),IF(OR($Q255&lt;MIN($K255,$L255),$Q255&gt;MAX($K255,$L255)),1,0),0)</f>
        <v>0</v>
      </c>
      <c r="AD255" s="32" t="n">
        <f aca="false">IF(AND(ISNUMBER($T255),$P255="高"),IF($T255=3,1,0),0)</f>
        <v>0</v>
      </c>
      <c r="AE255" s="32" t="n">
        <f aca="false">IF($S255="不存在",1,0)</f>
        <v>0</v>
      </c>
      <c r="AF255" s="44" t="str">
        <f aca="false">IF(OR($H255="—",$H255=""),"—",MATCH($H255,IDX_SrcID,0))</f>
        <v>—</v>
      </c>
      <c r="AG255" s="32" t="n">
        <f aca="false">IF(AND($P255="高",OR($AD255=1,$X255=1)),1,0)</f>
        <v>0</v>
      </c>
      <c r="AH255" s="32" t="n">
        <f aca="false">IF(AND($P255="高",$AG255=0,OR($F255&lt;&gt;"原始數據",$T255&lt;&gt;1)),1,0)</f>
        <v>1</v>
      </c>
      <c r="AI255" s="44" t="str">
        <f aca="false">IF(AND($P255="高",ISNUMBER($AF255)),INDEX(IDX_SrcDate,$AF255),"—")</f>
        <v>—</v>
      </c>
      <c r="AJ255" s="32" t="n">
        <f aca="false">IF(AND(ISTEXT($AI255),LEN($AI255)=10),IF(ISNUMBER(VALUE(SUBSTITUTE($AI255,"-",""))),VALUE(SUBSTITUTE($AI255,"-","")),0),0)</f>
        <v>0</v>
      </c>
    </row>
    <row r="256" customFormat="false" ht="29.25" hidden="false" customHeight="true" outlineLevel="0" collapsed="false">
      <c r="A256" s="30" t="s">
        <v>5196</v>
      </c>
      <c r="B256" s="239" t="s">
        <v>4525</v>
      </c>
      <c r="C256" s="30" t="s">
        <v>5191</v>
      </c>
      <c r="D256" s="30" t="s">
        <v>5197</v>
      </c>
      <c r="E256" s="20" t="s">
        <v>5193</v>
      </c>
      <c r="F256" s="30" t="s">
        <v>114</v>
      </c>
      <c r="G256" s="239" t="s">
        <v>4527</v>
      </c>
      <c r="H256" s="30" t="s">
        <v>751</v>
      </c>
      <c r="I256" s="6" t="s">
        <v>751</v>
      </c>
      <c r="J256" s="30" t="s">
        <v>751</v>
      </c>
      <c r="K256" s="184" t="n">
        <f aca="false">MAX(1,Workload!D5*0.5)</f>
        <v>1</v>
      </c>
      <c r="L256" s="184" t="n">
        <f aca="false">Workload!D5*2</f>
        <v>2</v>
      </c>
      <c r="M256" s="30" t="s">
        <v>5194</v>
      </c>
      <c r="N256" s="20" t="s">
        <v>5195</v>
      </c>
      <c r="O256" s="6" t="s">
        <v>751</v>
      </c>
      <c r="P256" s="239" t="s">
        <v>1309</v>
      </c>
      <c r="Q256" s="49" t="n">
        <f aca="false">Workload!D5</f>
        <v>1</v>
      </c>
      <c r="R256" s="30" t="s">
        <v>751</v>
      </c>
      <c r="S256" s="44" t="str">
        <f aca="false">IF(ISNUMBER($AF256),INDEX(IDX_SrcStat,$AF256),"—")</f>
        <v>—</v>
      </c>
      <c r="T256" s="44" t="str">
        <f aca="false">IF(ISNUMBER($AF256),INDEX(IDX_SrcGrade,$AF256),"—")</f>
        <v>—</v>
      </c>
      <c r="U256" s="44" t="s">
        <v>4531</v>
      </c>
      <c r="V256" s="32" t="n">
        <f aca="false">IF(AND($F256="原始數據",$U256&lt;&gt;"連結 SRC"),1,0)</f>
        <v>0</v>
      </c>
      <c r="W256" s="32" t="n">
        <f aca="false">IF(AND($F256="Analogy",OR($H256="—",$H256="")),1,0)</f>
        <v>0</v>
      </c>
      <c r="X256" s="32" t="n">
        <f aca="false">IF(AND(OR($F256="Analogy",$F256="Assumed"),$G256&lt;&gt;"低",$G256&lt;&gt;"高",NOT(ISNUMBER($K256)),NOT(ISNUMBER($L256)),OR($M256="—",$M256="")),1,0)</f>
        <v>0</v>
      </c>
      <c r="Y256" s="32" t="n">
        <f aca="false">IF(AND(OR($F256="Analogy",$F256="Assumed",$F256="Derived（待改公式）",$F256="Derived（公式）"),OR($N256="—",$N256="",$N256=0)),1,0)</f>
        <v>0</v>
      </c>
      <c r="Z256" s="32" t="n">
        <f aca="false">IF(AND($F256="Decision",OR($J256="—",$J256="")),1,0)</f>
        <v>0</v>
      </c>
      <c r="AA256" s="33" t="n">
        <f aca="false">IF(OR($J256="—",$J256=""),0,IF(COUNTIF(Decisions!$A$5:$A$300,$J256)=0,1,0))</f>
        <v>0</v>
      </c>
      <c r="AB256" s="32" t="n">
        <f aca="false">IF(AND($F256="原始數據",$S256&lt;&gt;"Active"),1,0)</f>
        <v>0</v>
      </c>
      <c r="AC256" s="32" t="n">
        <f aca="false">IF(AND(ISNUMBER($K256),ISNUMBER($L256),ISNUMBER($Q256)),IF(OR($Q256&lt;MIN($K256,$L256),$Q256&gt;MAX($K256,$L256)),1,0),0)</f>
        <v>0</v>
      </c>
      <c r="AD256" s="32" t="n">
        <f aca="false">IF(AND(ISNUMBER($T256),$P256="高"),IF($T256=3,1,0),0)</f>
        <v>0</v>
      </c>
      <c r="AE256" s="32" t="n">
        <f aca="false">IF($S256="不存在",1,0)</f>
        <v>0</v>
      </c>
      <c r="AF256" s="44" t="str">
        <f aca="false">IF(OR($H256="—",$H256=""),"—",MATCH($H256,IDX_SrcID,0))</f>
        <v>—</v>
      </c>
      <c r="AG256" s="32" t="n">
        <f aca="false">IF(AND($P256="高",OR($AD256=1,$X256=1)),1,0)</f>
        <v>0</v>
      </c>
      <c r="AH256" s="32" t="n">
        <f aca="false">IF(AND($P256="高",$AG256=0,OR($F256&lt;&gt;"原始數據",$T256&lt;&gt;1)),1,0)</f>
        <v>1</v>
      </c>
      <c r="AI256" s="44" t="str">
        <f aca="false">IF(AND($P256="高",ISNUMBER($AF256)),INDEX(IDX_SrcDate,$AF256),"—")</f>
        <v>—</v>
      </c>
      <c r="AJ256" s="32" t="n">
        <f aca="false">IF(AND(ISTEXT($AI256),LEN($AI256)=10),IF(ISNUMBER(VALUE(SUBSTITUTE($AI256,"-",""))),VALUE(SUBSTITUTE($AI256,"-","")),0),0)</f>
        <v>0</v>
      </c>
    </row>
    <row r="257" customFormat="false" ht="29.25" hidden="false" customHeight="true" outlineLevel="0" collapsed="false">
      <c r="A257" s="30" t="s">
        <v>5198</v>
      </c>
      <c r="B257" s="239" t="s">
        <v>4525</v>
      </c>
      <c r="C257" s="30" t="s">
        <v>5191</v>
      </c>
      <c r="D257" s="30" t="s">
        <v>4305</v>
      </c>
      <c r="E257" s="20" t="s">
        <v>5193</v>
      </c>
      <c r="F257" s="30" t="s">
        <v>114</v>
      </c>
      <c r="G257" s="239" t="s">
        <v>4527</v>
      </c>
      <c r="H257" s="30" t="s">
        <v>751</v>
      </c>
      <c r="I257" s="6" t="s">
        <v>751</v>
      </c>
      <c r="J257" s="30" t="s">
        <v>751</v>
      </c>
      <c r="K257" s="184" t="n">
        <f aca="false">MAX(1,Workload!E5*0.5)</f>
        <v>2</v>
      </c>
      <c r="L257" s="184" t="n">
        <f aca="false">Workload!E5*2</f>
        <v>8</v>
      </c>
      <c r="M257" s="30" t="s">
        <v>5194</v>
      </c>
      <c r="N257" s="20" t="s">
        <v>5195</v>
      </c>
      <c r="O257" s="6" t="s">
        <v>751</v>
      </c>
      <c r="P257" s="239" t="s">
        <v>1309</v>
      </c>
      <c r="Q257" s="49" t="n">
        <f aca="false">Workload!E5</f>
        <v>4</v>
      </c>
      <c r="R257" s="30" t="s">
        <v>751</v>
      </c>
      <c r="S257" s="44" t="str">
        <f aca="false">IF(ISNUMBER($AF257),INDEX(IDX_SrcStat,$AF257),"—")</f>
        <v>—</v>
      </c>
      <c r="T257" s="44" t="str">
        <f aca="false">IF(ISNUMBER($AF257),INDEX(IDX_SrcGrade,$AF257),"—")</f>
        <v>—</v>
      </c>
      <c r="U257" s="44" t="s">
        <v>4531</v>
      </c>
      <c r="V257" s="32" t="n">
        <f aca="false">IF(AND($F257="原始數據",$U257&lt;&gt;"連結 SRC"),1,0)</f>
        <v>0</v>
      </c>
      <c r="W257" s="32" t="n">
        <f aca="false">IF(AND($F257="Analogy",OR($H257="—",$H257="")),1,0)</f>
        <v>0</v>
      </c>
      <c r="X257" s="32" t="n">
        <f aca="false">IF(AND(OR($F257="Analogy",$F257="Assumed"),$G257&lt;&gt;"低",$G257&lt;&gt;"高",NOT(ISNUMBER($K257)),NOT(ISNUMBER($L257)),OR($M257="—",$M257="")),1,0)</f>
        <v>0</v>
      </c>
      <c r="Y257" s="32" t="n">
        <f aca="false">IF(AND(OR($F257="Analogy",$F257="Assumed",$F257="Derived（待改公式）",$F257="Derived（公式）"),OR($N257="—",$N257="",$N257=0)),1,0)</f>
        <v>0</v>
      </c>
      <c r="Z257" s="32" t="n">
        <f aca="false">IF(AND($F257="Decision",OR($J257="—",$J257="")),1,0)</f>
        <v>0</v>
      </c>
      <c r="AA257" s="33" t="n">
        <f aca="false">IF(OR($J257="—",$J257=""),0,IF(COUNTIF(Decisions!$A$5:$A$300,$J257)=0,1,0))</f>
        <v>0</v>
      </c>
      <c r="AB257" s="32" t="n">
        <f aca="false">IF(AND($F257="原始數據",$S257&lt;&gt;"Active"),1,0)</f>
        <v>0</v>
      </c>
      <c r="AC257" s="32" t="n">
        <f aca="false">IF(AND(ISNUMBER($K257),ISNUMBER($L257),ISNUMBER($Q257)),IF(OR($Q257&lt;MIN($K257,$L257),$Q257&gt;MAX($K257,$L257)),1,0),0)</f>
        <v>0</v>
      </c>
      <c r="AD257" s="32" t="n">
        <f aca="false">IF(AND(ISNUMBER($T257),$P257="高"),IF($T257=3,1,0),0)</f>
        <v>0</v>
      </c>
      <c r="AE257" s="32" t="n">
        <f aca="false">IF($S257="不存在",1,0)</f>
        <v>0</v>
      </c>
      <c r="AF257" s="44" t="str">
        <f aca="false">IF(OR($H257="—",$H257=""),"—",MATCH($H257,IDX_SrcID,0))</f>
        <v>—</v>
      </c>
      <c r="AG257" s="32" t="n">
        <f aca="false">IF(AND($P257="高",OR($AD257=1,$X257=1)),1,0)</f>
        <v>0</v>
      </c>
      <c r="AH257" s="32" t="n">
        <f aca="false">IF(AND($P257="高",$AG257=0,OR($F257&lt;&gt;"原始數據",$T257&lt;&gt;1)),1,0)</f>
        <v>1</v>
      </c>
      <c r="AI257" s="44" t="str">
        <f aca="false">IF(AND($P257="高",ISNUMBER($AF257)),INDEX(IDX_SrcDate,$AF257),"—")</f>
        <v>—</v>
      </c>
      <c r="AJ257" s="32" t="n">
        <f aca="false">IF(AND(ISTEXT($AI257),LEN($AI257)=10),IF(ISNUMBER(VALUE(SUBSTITUTE($AI257,"-",""))),VALUE(SUBSTITUTE($AI257,"-","")),0),0)</f>
        <v>0</v>
      </c>
    </row>
    <row r="258" customFormat="false" ht="29.25" hidden="false" customHeight="true" outlineLevel="0" collapsed="false">
      <c r="A258" s="30" t="s">
        <v>5199</v>
      </c>
      <c r="B258" s="239" t="s">
        <v>4525</v>
      </c>
      <c r="C258" s="30" t="s">
        <v>5191</v>
      </c>
      <c r="D258" s="30" t="s">
        <v>5200</v>
      </c>
      <c r="E258" s="20" t="s">
        <v>5193</v>
      </c>
      <c r="F258" s="30" t="s">
        <v>114</v>
      </c>
      <c r="G258" s="239" t="s">
        <v>4527</v>
      </c>
      <c r="H258" s="30" t="s">
        <v>751</v>
      </c>
      <c r="I258" s="6" t="s">
        <v>751</v>
      </c>
      <c r="J258" s="30" t="s">
        <v>751</v>
      </c>
      <c r="K258" s="184" t="n">
        <f aca="false">MAX(1,Workload!F5*0.5)</f>
        <v>2</v>
      </c>
      <c r="L258" s="184" t="n">
        <f aca="false">Workload!F5*2</f>
        <v>8</v>
      </c>
      <c r="M258" s="30" t="s">
        <v>5194</v>
      </c>
      <c r="N258" s="20" t="s">
        <v>5195</v>
      </c>
      <c r="O258" s="6" t="s">
        <v>751</v>
      </c>
      <c r="P258" s="239" t="s">
        <v>1309</v>
      </c>
      <c r="Q258" s="49" t="n">
        <f aca="false">Workload!F5</f>
        <v>4</v>
      </c>
      <c r="R258" s="30" t="s">
        <v>751</v>
      </c>
      <c r="S258" s="44" t="str">
        <f aca="false">IF(ISNUMBER($AF258),INDEX(IDX_SrcStat,$AF258),"—")</f>
        <v>—</v>
      </c>
      <c r="T258" s="44" t="str">
        <f aca="false">IF(ISNUMBER($AF258),INDEX(IDX_SrcGrade,$AF258),"—")</f>
        <v>—</v>
      </c>
      <c r="U258" s="44" t="s">
        <v>4531</v>
      </c>
      <c r="V258" s="32" t="n">
        <f aca="false">IF(AND($F258="原始數據",$U258&lt;&gt;"連結 SRC"),1,0)</f>
        <v>0</v>
      </c>
      <c r="W258" s="32" t="n">
        <f aca="false">IF(AND($F258="Analogy",OR($H258="—",$H258="")),1,0)</f>
        <v>0</v>
      </c>
      <c r="X258" s="32" t="n">
        <f aca="false">IF(AND(OR($F258="Analogy",$F258="Assumed"),$G258&lt;&gt;"低",$G258&lt;&gt;"高",NOT(ISNUMBER($K258)),NOT(ISNUMBER($L258)),OR($M258="—",$M258="")),1,0)</f>
        <v>0</v>
      </c>
      <c r="Y258" s="32" t="n">
        <f aca="false">IF(AND(OR($F258="Analogy",$F258="Assumed",$F258="Derived（待改公式）",$F258="Derived（公式）"),OR($N258="—",$N258="",$N258=0)),1,0)</f>
        <v>0</v>
      </c>
      <c r="Z258" s="32" t="n">
        <f aca="false">IF(AND($F258="Decision",OR($J258="—",$J258="")),1,0)</f>
        <v>0</v>
      </c>
      <c r="AA258" s="33" t="n">
        <f aca="false">IF(OR($J258="—",$J258=""),0,IF(COUNTIF(Decisions!$A$5:$A$300,$J258)=0,1,0))</f>
        <v>0</v>
      </c>
      <c r="AB258" s="32" t="n">
        <f aca="false">IF(AND($F258="原始數據",$S258&lt;&gt;"Active"),1,0)</f>
        <v>0</v>
      </c>
      <c r="AC258" s="32" t="n">
        <f aca="false">IF(AND(ISNUMBER($K258),ISNUMBER($L258),ISNUMBER($Q258)),IF(OR($Q258&lt;MIN($K258,$L258),$Q258&gt;MAX($K258,$L258)),1,0),0)</f>
        <v>0</v>
      </c>
      <c r="AD258" s="32" t="n">
        <f aca="false">IF(AND(ISNUMBER($T258),$P258="高"),IF($T258=3,1,0),0)</f>
        <v>0</v>
      </c>
      <c r="AE258" s="32" t="n">
        <f aca="false">IF($S258="不存在",1,0)</f>
        <v>0</v>
      </c>
      <c r="AF258" s="44" t="str">
        <f aca="false">IF(OR($H258="—",$H258=""),"—",MATCH($H258,IDX_SrcID,0))</f>
        <v>—</v>
      </c>
      <c r="AG258" s="32" t="n">
        <f aca="false">IF(AND($P258="高",OR($AD258=1,$X258=1)),1,0)</f>
        <v>0</v>
      </c>
      <c r="AH258" s="32" t="n">
        <f aca="false">IF(AND($P258="高",$AG258=0,OR($F258&lt;&gt;"原始數據",$T258&lt;&gt;1)),1,0)</f>
        <v>1</v>
      </c>
      <c r="AI258" s="44" t="str">
        <f aca="false">IF(AND($P258="高",ISNUMBER($AF258)),INDEX(IDX_SrcDate,$AF258),"—")</f>
        <v>—</v>
      </c>
      <c r="AJ258" s="32" t="n">
        <f aca="false">IF(AND(ISTEXT($AI258),LEN($AI258)=10),IF(ISNUMBER(VALUE(SUBSTITUTE($AI258,"-",""))),VALUE(SUBSTITUTE($AI258,"-","")),0),0)</f>
        <v>0</v>
      </c>
    </row>
    <row r="259" customFormat="false" ht="29.25" hidden="false" customHeight="true" outlineLevel="0" collapsed="false">
      <c r="A259" s="30" t="s">
        <v>5201</v>
      </c>
      <c r="B259" s="239" t="s">
        <v>4525</v>
      </c>
      <c r="C259" s="30" t="s">
        <v>5191</v>
      </c>
      <c r="D259" s="30" t="s">
        <v>5202</v>
      </c>
      <c r="E259" s="20" t="s">
        <v>5193</v>
      </c>
      <c r="F259" s="30" t="s">
        <v>114</v>
      </c>
      <c r="G259" s="239" t="s">
        <v>4527</v>
      </c>
      <c r="H259" s="30" t="s">
        <v>751</v>
      </c>
      <c r="I259" s="6" t="s">
        <v>751</v>
      </c>
      <c r="J259" s="30" t="s">
        <v>751</v>
      </c>
      <c r="K259" s="184" t="n">
        <f aca="false">MAX(1,Workload!G5*0.5)</f>
        <v>15</v>
      </c>
      <c r="L259" s="184" t="n">
        <f aca="false">Workload!G5*2</f>
        <v>60</v>
      </c>
      <c r="M259" s="30" t="s">
        <v>5194</v>
      </c>
      <c r="N259" s="20" t="s">
        <v>5203</v>
      </c>
      <c r="O259" s="6" t="s">
        <v>751</v>
      </c>
      <c r="P259" s="239" t="s">
        <v>1309</v>
      </c>
      <c r="Q259" s="49" t="n">
        <f aca="false">Workload!G5</f>
        <v>30</v>
      </c>
      <c r="R259" s="30" t="s">
        <v>751</v>
      </c>
      <c r="S259" s="44" t="str">
        <f aca="false">IF(ISNUMBER($AF259),INDEX(IDX_SrcStat,$AF259),"—")</f>
        <v>—</v>
      </c>
      <c r="T259" s="44" t="str">
        <f aca="false">IF(ISNUMBER($AF259),INDEX(IDX_SrcGrade,$AF259),"—")</f>
        <v>—</v>
      </c>
      <c r="U259" s="44" t="s">
        <v>4531</v>
      </c>
      <c r="V259" s="32" t="n">
        <f aca="false">IF(AND($F259="原始數據",$U259&lt;&gt;"連結 SRC"),1,0)</f>
        <v>0</v>
      </c>
      <c r="W259" s="32" t="n">
        <f aca="false">IF(AND($F259="Analogy",OR($H259="—",$H259="")),1,0)</f>
        <v>0</v>
      </c>
      <c r="X259" s="32" t="n">
        <f aca="false">IF(AND(OR($F259="Analogy",$F259="Assumed"),$G259&lt;&gt;"低",$G259&lt;&gt;"高",NOT(ISNUMBER($K259)),NOT(ISNUMBER($L259)),OR($M259="—",$M259="")),1,0)</f>
        <v>0</v>
      </c>
      <c r="Y259" s="32" t="n">
        <f aca="false">IF(AND(OR($F259="Analogy",$F259="Assumed",$F259="Derived（待改公式）",$F259="Derived（公式）"),OR($N259="—",$N259="",$N259=0)),1,0)</f>
        <v>0</v>
      </c>
      <c r="Z259" s="32" t="n">
        <f aca="false">IF(AND($F259="Decision",OR($J259="—",$J259="")),1,0)</f>
        <v>0</v>
      </c>
      <c r="AA259" s="33" t="n">
        <f aca="false">IF(OR($J259="—",$J259=""),0,IF(COUNTIF(Decisions!$A$5:$A$300,$J259)=0,1,0))</f>
        <v>0</v>
      </c>
      <c r="AB259" s="32" t="n">
        <f aca="false">IF(AND($F259="原始數據",$S259&lt;&gt;"Active"),1,0)</f>
        <v>0</v>
      </c>
      <c r="AC259" s="32" t="n">
        <f aca="false">IF(AND(ISNUMBER($K259),ISNUMBER($L259),ISNUMBER($Q259)),IF(OR($Q259&lt;MIN($K259,$L259),$Q259&gt;MAX($K259,$L259)),1,0),0)</f>
        <v>0</v>
      </c>
      <c r="AD259" s="32" t="n">
        <f aca="false">IF(AND(ISNUMBER($T259),$P259="高"),IF($T259=3,1,0),0)</f>
        <v>0</v>
      </c>
      <c r="AE259" s="32" t="n">
        <f aca="false">IF($S259="不存在",1,0)</f>
        <v>0</v>
      </c>
      <c r="AF259" s="44" t="str">
        <f aca="false">IF(OR($H259="—",$H259=""),"—",MATCH($H259,IDX_SrcID,0))</f>
        <v>—</v>
      </c>
      <c r="AG259" s="32" t="n">
        <f aca="false">IF(AND($P259="高",OR($AD259=1,$X259=1)),1,0)</f>
        <v>0</v>
      </c>
      <c r="AH259" s="32" t="n">
        <f aca="false">IF(AND($P259="高",$AG259=0,OR($F259&lt;&gt;"原始數據",$T259&lt;&gt;1)),1,0)</f>
        <v>1</v>
      </c>
      <c r="AI259" s="44" t="str">
        <f aca="false">IF(AND($P259="高",ISNUMBER($AF259)),INDEX(IDX_SrcDate,$AF259),"—")</f>
        <v>—</v>
      </c>
      <c r="AJ259" s="32" t="n">
        <f aca="false">IF(AND(ISTEXT($AI259),LEN($AI259)=10),IF(ISNUMBER(VALUE(SUBSTITUTE($AI259,"-",""))),VALUE(SUBSTITUTE($AI259,"-","")),0),0)</f>
        <v>0</v>
      </c>
    </row>
    <row r="260" customFormat="false" ht="29.25" hidden="false" customHeight="true" outlineLevel="0" collapsed="false">
      <c r="A260" s="30" t="s">
        <v>5204</v>
      </c>
      <c r="B260" s="239" t="s">
        <v>4525</v>
      </c>
      <c r="C260" s="30" t="s">
        <v>5191</v>
      </c>
      <c r="D260" s="30" t="s">
        <v>4690</v>
      </c>
      <c r="E260" s="20" t="s">
        <v>5205</v>
      </c>
      <c r="F260" s="30" t="s">
        <v>114</v>
      </c>
      <c r="G260" s="239" t="s">
        <v>4527</v>
      </c>
      <c r="H260" s="30" t="s">
        <v>751</v>
      </c>
      <c r="I260" s="6" t="s">
        <v>751</v>
      </c>
      <c r="J260" s="30" t="s">
        <v>751</v>
      </c>
      <c r="K260" s="184" t="n">
        <f aca="false">Workload!C6*0.5</f>
        <v>1000</v>
      </c>
      <c r="L260" s="184" t="n">
        <f aca="false">Workload!C6*2</f>
        <v>4000</v>
      </c>
      <c r="M260" s="30" t="s">
        <v>5174</v>
      </c>
      <c r="N260" s="20" t="s">
        <v>5206</v>
      </c>
      <c r="O260" s="6" t="s">
        <v>751</v>
      </c>
      <c r="P260" s="239" t="s">
        <v>1308</v>
      </c>
      <c r="Q260" s="49" t="n">
        <f aca="false">Workload!C6</f>
        <v>2000</v>
      </c>
      <c r="R260" s="30" t="s">
        <v>751</v>
      </c>
      <c r="S260" s="44" t="str">
        <f aca="false">IF(ISNUMBER($AF260),INDEX(IDX_SrcStat,$AF260),"—")</f>
        <v>—</v>
      </c>
      <c r="T260" s="44" t="str">
        <f aca="false">IF(ISNUMBER($AF260),INDEX(IDX_SrcGrade,$AF260),"—")</f>
        <v>—</v>
      </c>
      <c r="U260" s="44" t="s">
        <v>4531</v>
      </c>
      <c r="V260" s="32" t="n">
        <f aca="false">IF(AND($F260="原始數據",$U260&lt;&gt;"連結 SRC"),1,0)</f>
        <v>0</v>
      </c>
      <c r="W260" s="32" t="n">
        <f aca="false">IF(AND($F260="Analogy",OR($H260="—",$H260="")),1,0)</f>
        <v>0</v>
      </c>
      <c r="X260" s="32" t="n">
        <f aca="false">IF(AND(OR($F260="Analogy",$F260="Assumed"),$G260&lt;&gt;"低",$G260&lt;&gt;"高",NOT(ISNUMBER($K260)),NOT(ISNUMBER($L260)),OR($M260="—",$M260="")),1,0)</f>
        <v>0</v>
      </c>
      <c r="Y260" s="32" t="n">
        <f aca="false">IF(AND(OR($F260="Analogy",$F260="Assumed",$F260="Derived（待改公式）",$F260="Derived（公式）"),OR($N260="—",$N260="",$N260=0)),1,0)</f>
        <v>0</v>
      </c>
      <c r="Z260" s="32" t="n">
        <f aca="false">IF(AND($F260="Decision",OR($J260="—",$J260="")),1,0)</f>
        <v>0</v>
      </c>
      <c r="AA260" s="33" t="n">
        <f aca="false">IF(OR($J260="—",$J260=""),0,IF(COUNTIF(Decisions!$A$5:$A$300,$J260)=0,1,0))</f>
        <v>0</v>
      </c>
      <c r="AB260" s="32" t="n">
        <f aca="false">IF(AND($F260="原始數據",$S260&lt;&gt;"Active"),1,0)</f>
        <v>0</v>
      </c>
      <c r="AC260" s="32" t="n">
        <f aca="false">IF(AND(ISNUMBER($K260),ISNUMBER($L260),ISNUMBER($Q260)),IF(OR($Q260&lt;MIN($K260,$L260),$Q260&gt;MAX($K260,$L260)),1,0),0)</f>
        <v>0</v>
      </c>
      <c r="AD260" s="32" t="n">
        <f aca="false">IF(AND(ISNUMBER($T260),$P260="高"),IF($T260=3,1,0),0)</f>
        <v>0</v>
      </c>
      <c r="AE260" s="32" t="n">
        <f aca="false">IF($S260="不存在",1,0)</f>
        <v>0</v>
      </c>
      <c r="AF260" s="44" t="str">
        <f aca="false">IF(OR($H260="—",$H260=""),"—",MATCH($H260,IDX_SrcID,0))</f>
        <v>—</v>
      </c>
      <c r="AG260" s="32" t="n">
        <f aca="false">IF(AND($P260="高",OR($AD260=1,$X260=1)),1,0)</f>
        <v>0</v>
      </c>
      <c r="AH260" s="32" t="n">
        <f aca="false">IF(AND($P260="高",$AG260=0,OR($F260&lt;&gt;"原始數據",$T260&lt;&gt;1)),1,0)</f>
        <v>0</v>
      </c>
      <c r="AI260" s="44" t="str">
        <f aca="false">IF(AND($P260="高",ISNUMBER($AF260)),INDEX(IDX_SrcDate,$AF260),"—")</f>
        <v>—</v>
      </c>
      <c r="AJ260" s="32" t="n">
        <f aca="false">IF(AND(ISTEXT($AI260),LEN($AI260)=10),IF(ISNUMBER(VALUE(SUBSTITUTE($AI260,"-",""))),VALUE(SUBSTITUTE($AI260,"-","")),0),0)</f>
        <v>0</v>
      </c>
    </row>
    <row r="261" customFormat="false" ht="29.25" hidden="false" customHeight="true" outlineLevel="0" collapsed="false">
      <c r="A261" s="30" t="s">
        <v>5207</v>
      </c>
      <c r="B261" s="239" t="s">
        <v>4525</v>
      </c>
      <c r="C261" s="30" t="s">
        <v>5191</v>
      </c>
      <c r="D261" s="30" t="s">
        <v>4694</v>
      </c>
      <c r="E261" s="20" t="s">
        <v>5205</v>
      </c>
      <c r="F261" s="30" t="s">
        <v>114</v>
      </c>
      <c r="G261" s="239" t="s">
        <v>4527</v>
      </c>
      <c r="H261" s="30" t="s">
        <v>751</v>
      </c>
      <c r="I261" s="6" t="s">
        <v>751</v>
      </c>
      <c r="J261" s="30" t="s">
        <v>751</v>
      </c>
      <c r="K261" s="184" t="n">
        <f aca="false">Workload!D6*0.5</f>
        <v>1000</v>
      </c>
      <c r="L261" s="184" t="n">
        <f aca="false">Workload!D6*2</f>
        <v>4000</v>
      </c>
      <c r="M261" s="30" t="s">
        <v>5174</v>
      </c>
      <c r="N261" s="20" t="s">
        <v>5206</v>
      </c>
      <c r="O261" s="6" t="s">
        <v>751</v>
      </c>
      <c r="P261" s="239" t="s">
        <v>1308</v>
      </c>
      <c r="Q261" s="49" t="n">
        <f aca="false">Workload!D6</f>
        <v>2000</v>
      </c>
      <c r="R261" s="30" t="s">
        <v>751</v>
      </c>
      <c r="S261" s="44" t="str">
        <f aca="false">IF(ISNUMBER($AF261),INDEX(IDX_SrcStat,$AF261),"—")</f>
        <v>—</v>
      </c>
      <c r="T261" s="44" t="str">
        <f aca="false">IF(ISNUMBER($AF261),INDEX(IDX_SrcGrade,$AF261),"—")</f>
        <v>—</v>
      </c>
      <c r="U261" s="44" t="s">
        <v>4531</v>
      </c>
      <c r="V261" s="32" t="n">
        <f aca="false">IF(AND($F261="原始數據",$U261&lt;&gt;"連結 SRC"),1,0)</f>
        <v>0</v>
      </c>
      <c r="W261" s="32" t="n">
        <f aca="false">IF(AND($F261="Analogy",OR($H261="—",$H261="")),1,0)</f>
        <v>0</v>
      </c>
      <c r="X261" s="32" t="n">
        <f aca="false">IF(AND(OR($F261="Analogy",$F261="Assumed"),$G261&lt;&gt;"低",$G261&lt;&gt;"高",NOT(ISNUMBER($K261)),NOT(ISNUMBER($L261)),OR($M261="—",$M261="")),1,0)</f>
        <v>0</v>
      </c>
      <c r="Y261" s="32" t="n">
        <f aca="false">IF(AND(OR($F261="Analogy",$F261="Assumed",$F261="Derived（待改公式）",$F261="Derived（公式）"),OR($N261="—",$N261="",$N261=0)),1,0)</f>
        <v>0</v>
      </c>
      <c r="Z261" s="32" t="n">
        <f aca="false">IF(AND($F261="Decision",OR($J261="—",$J261="")),1,0)</f>
        <v>0</v>
      </c>
      <c r="AA261" s="33" t="n">
        <f aca="false">IF(OR($J261="—",$J261=""),0,IF(COUNTIF(Decisions!$A$5:$A$300,$J261)=0,1,0))</f>
        <v>0</v>
      </c>
      <c r="AB261" s="32" t="n">
        <f aca="false">IF(AND($F261="原始數據",$S261&lt;&gt;"Active"),1,0)</f>
        <v>0</v>
      </c>
      <c r="AC261" s="32" t="n">
        <f aca="false">IF(AND(ISNUMBER($K261),ISNUMBER($L261),ISNUMBER($Q261)),IF(OR($Q261&lt;MIN($K261,$L261),$Q261&gt;MAX($K261,$L261)),1,0),0)</f>
        <v>0</v>
      </c>
      <c r="AD261" s="32" t="n">
        <f aca="false">IF(AND(ISNUMBER($T261),$P261="高"),IF($T261=3,1,0),0)</f>
        <v>0</v>
      </c>
      <c r="AE261" s="32" t="n">
        <f aca="false">IF($S261="不存在",1,0)</f>
        <v>0</v>
      </c>
      <c r="AF261" s="44" t="str">
        <f aca="false">IF(OR($H261="—",$H261=""),"—",MATCH($H261,IDX_SrcID,0))</f>
        <v>—</v>
      </c>
      <c r="AG261" s="32" t="n">
        <f aca="false">IF(AND($P261="高",OR($AD261=1,$X261=1)),1,0)</f>
        <v>0</v>
      </c>
      <c r="AH261" s="32" t="n">
        <f aca="false">IF(AND($P261="高",$AG261=0,OR($F261&lt;&gt;"原始數據",$T261&lt;&gt;1)),1,0)</f>
        <v>0</v>
      </c>
      <c r="AI261" s="44" t="str">
        <f aca="false">IF(AND($P261="高",ISNUMBER($AF261)),INDEX(IDX_SrcDate,$AF261),"—")</f>
        <v>—</v>
      </c>
      <c r="AJ261" s="32" t="n">
        <f aca="false">IF(AND(ISTEXT($AI261),LEN($AI261)=10),IF(ISNUMBER(VALUE(SUBSTITUTE($AI261,"-",""))),VALUE(SUBSTITUTE($AI261,"-","")),0),0)</f>
        <v>0</v>
      </c>
    </row>
    <row r="262" customFormat="false" ht="29.25" hidden="false" customHeight="true" outlineLevel="0" collapsed="false">
      <c r="A262" s="30" t="s">
        <v>5208</v>
      </c>
      <c r="B262" s="239" t="s">
        <v>4525</v>
      </c>
      <c r="C262" s="30" t="s">
        <v>5191</v>
      </c>
      <c r="D262" s="30" t="s">
        <v>4307</v>
      </c>
      <c r="E262" s="20" t="s">
        <v>5205</v>
      </c>
      <c r="F262" s="30" t="s">
        <v>114</v>
      </c>
      <c r="G262" s="239" t="s">
        <v>4527</v>
      </c>
      <c r="H262" s="30" t="s">
        <v>751</v>
      </c>
      <c r="I262" s="6" t="s">
        <v>751</v>
      </c>
      <c r="J262" s="30" t="s">
        <v>751</v>
      </c>
      <c r="K262" s="184" t="n">
        <f aca="false">Workload!E6*0.5</f>
        <v>1500</v>
      </c>
      <c r="L262" s="184" t="n">
        <f aca="false">Workload!E6*2</f>
        <v>6000</v>
      </c>
      <c r="M262" s="30" t="s">
        <v>5174</v>
      </c>
      <c r="N262" s="20" t="s">
        <v>5206</v>
      </c>
      <c r="O262" s="6" t="s">
        <v>751</v>
      </c>
      <c r="P262" s="239" t="s">
        <v>1308</v>
      </c>
      <c r="Q262" s="49" t="n">
        <f aca="false">Workload!E6</f>
        <v>3000</v>
      </c>
      <c r="R262" s="30" t="s">
        <v>751</v>
      </c>
      <c r="S262" s="44" t="str">
        <f aca="false">IF(ISNUMBER($AF262),INDEX(IDX_SrcStat,$AF262),"—")</f>
        <v>—</v>
      </c>
      <c r="T262" s="44" t="str">
        <f aca="false">IF(ISNUMBER($AF262),INDEX(IDX_SrcGrade,$AF262),"—")</f>
        <v>—</v>
      </c>
      <c r="U262" s="44" t="s">
        <v>4531</v>
      </c>
      <c r="V262" s="32" t="n">
        <f aca="false">IF(AND($F262="原始數據",$U262&lt;&gt;"連結 SRC"),1,0)</f>
        <v>0</v>
      </c>
      <c r="W262" s="32" t="n">
        <f aca="false">IF(AND($F262="Analogy",OR($H262="—",$H262="")),1,0)</f>
        <v>0</v>
      </c>
      <c r="X262" s="32" t="n">
        <f aca="false">IF(AND(OR($F262="Analogy",$F262="Assumed"),$G262&lt;&gt;"低",$G262&lt;&gt;"高",NOT(ISNUMBER($K262)),NOT(ISNUMBER($L262)),OR($M262="—",$M262="")),1,0)</f>
        <v>0</v>
      </c>
      <c r="Y262" s="32" t="n">
        <f aca="false">IF(AND(OR($F262="Analogy",$F262="Assumed",$F262="Derived（待改公式）",$F262="Derived（公式）"),OR($N262="—",$N262="",$N262=0)),1,0)</f>
        <v>0</v>
      </c>
      <c r="Z262" s="32" t="n">
        <f aca="false">IF(AND($F262="Decision",OR($J262="—",$J262="")),1,0)</f>
        <v>0</v>
      </c>
      <c r="AA262" s="33" t="n">
        <f aca="false">IF(OR($J262="—",$J262=""),0,IF(COUNTIF(Decisions!$A$5:$A$300,$J262)=0,1,0))</f>
        <v>0</v>
      </c>
      <c r="AB262" s="32" t="n">
        <f aca="false">IF(AND($F262="原始數據",$S262&lt;&gt;"Active"),1,0)</f>
        <v>0</v>
      </c>
      <c r="AC262" s="32" t="n">
        <f aca="false">IF(AND(ISNUMBER($K262),ISNUMBER($L262),ISNUMBER($Q262)),IF(OR($Q262&lt;MIN($K262,$L262),$Q262&gt;MAX($K262,$L262)),1,0),0)</f>
        <v>0</v>
      </c>
      <c r="AD262" s="32" t="n">
        <f aca="false">IF(AND(ISNUMBER($T262),$P262="高"),IF($T262=3,1,0),0)</f>
        <v>0</v>
      </c>
      <c r="AE262" s="32" t="n">
        <f aca="false">IF($S262="不存在",1,0)</f>
        <v>0</v>
      </c>
      <c r="AF262" s="44" t="str">
        <f aca="false">IF(OR($H262="—",$H262=""),"—",MATCH($H262,IDX_SrcID,0))</f>
        <v>—</v>
      </c>
      <c r="AG262" s="32" t="n">
        <f aca="false">IF(AND($P262="高",OR($AD262=1,$X262=1)),1,0)</f>
        <v>0</v>
      </c>
      <c r="AH262" s="32" t="n">
        <f aca="false">IF(AND($P262="高",$AG262=0,OR($F262&lt;&gt;"原始數據",$T262&lt;&gt;1)),1,0)</f>
        <v>0</v>
      </c>
      <c r="AI262" s="44" t="str">
        <f aca="false">IF(AND($P262="高",ISNUMBER($AF262)),INDEX(IDX_SrcDate,$AF262),"—")</f>
        <v>—</v>
      </c>
      <c r="AJ262" s="32" t="n">
        <f aca="false">IF(AND(ISTEXT($AI262),LEN($AI262)=10),IF(ISNUMBER(VALUE(SUBSTITUTE($AI262,"-",""))),VALUE(SUBSTITUTE($AI262,"-","")),0),0)</f>
        <v>0</v>
      </c>
    </row>
    <row r="263" customFormat="false" ht="29.25" hidden="false" customHeight="true" outlineLevel="0" collapsed="false">
      <c r="A263" s="30" t="s">
        <v>5209</v>
      </c>
      <c r="B263" s="239" t="s">
        <v>4525</v>
      </c>
      <c r="C263" s="30" t="s">
        <v>5191</v>
      </c>
      <c r="D263" s="30" t="s">
        <v>4698</v>
      </c>
      <c r="E263" s="20" t="s">
        <v>5205</v>
      </c>
      <c r="F263" s="30" t="s">
        <v>114</v>
      </c>
      <c r="G263" s="239" t="s">
        <v>4527</v>
      </c>
      <c r="H263" s="30" t="s">
        <v>751</v>
      </c>
      <c r="I263" s="6" t="s">
        <v>751</v>
      </c>
      <c r="J263" s="30" t="s">
        <v>751</v>
      </c>
      <c r="K263" s="184" t="n">
        <f aca="false">Workload!F6*0.5</f>
        <v>1500</v>
      </c>
      <c r="L263" s="184" t="n">
        <f aca="false">Workload!F6*2</f>
        <v>6000</v>
      </c>
      <c r="M263" s="30" t="s">
        <v>5174</v>
      </c>
      <c r="N263" s="20" t="s">
        <v>5206</v>
      </c>
      <c r="O263" s="6" t="s">
        <v>751</v>
      </c>
      <c r="P263" s="239" t="s">
        <v>1308</v>
      </c>
      <c r="Q263" s="49" t="n">
        <f aca="false">Workload!F6</f>
        <v>3000</v>
      </c>
      <c r="R263" s="30" t="s">
        <v>751</v>
      </c>
      <c r="S263" s="44" t="str">
        <f aca="false">IF(ISNUMBER($AF263),INDEX(IDX_SrcStat,$AF263),"—")</f>
        <v>—</v>
      </c>
      <c r="T263" s="44" t="str">
        <f aca="false">IF(ISNUMBER($AF263),INDEX(IDX_SrcGrade,$AF263),"—")</f>
        <v>—</v>
      </c>
      <c r="U263" s="44" t="s">
        <v>4531</v>
      </c>
      <c r="V263" s="32" t="n">
        <f aca="false">IF(AND($F263="原始數據",$U263&lt;&gt;"連結 SRC"),1,0)</f>
        <v>0</v>
      </c>
      <c r="W263" s="32" t="n">
        <f aca="false">IF(AND($F263="Analogy",OR($H263="—",$H263="")),1,0)</f>
        <v>0</v>
      </c>
      <c r="X263" s="32" t="n">
        <f aca="false">IF(AND(OR($F263="Analogy",$F263="Assumed"),$G263&lt;&gt;"低",$G263&lt;&gt;"高",NOT(ISNUMBER($K263)),NOT(ISNUMBER($L263)),OR($M263="—",$M263="")),1,0)</f>
        <v>0</v>
      </c>
      <c r="Y263" s="32" t="n">
        <f aca="false">IF(AND(OR($F263="Analogy",$F263="Assumed",$F263="Derived（待改公式）",$F263="Derived（公式）"),OR($N263="—",$N263="",$N263=0)),1,0)</f>
        <v>0</v>
      </c>
      <c r="Z263" s="32" t="n">
        <f aca="false">IF(AND($F263="Decision",OR($J263="—",$J263="")),1,0)</f>
        <v>0</v>
      </c>
      <c r="AA263" s="33" t="n">
        <f aca="false">IF(OR($J263="—",$J263=""),0,IF(COUNTIF(Decisions!$A$5:$A$300,$J263)=0,1,0))</f>
        <v>0</v>
      </c>
      <c r="AB263" s="32" t="n">
        <f aca="false">IF(AND($F263="原始數據",$S263&lt;&gt;"Active"),1,0)</f>
        <v>0</v>
      </c>
      <c r="AC263" s="32" t="n">
        <f aca="false">IF(AND(ISNUMBER($K263),ISNUMBER($L263),ISNUMBER($Q263)),IF(OR($Q263&lt;MIN($K263,$L263),$Q263&gt;MAX($K263,$L263)),1,0),0)</f>
        <v>0</v>
      </c>
      <c r="AD263" s="32" t="n">
        <f aca="false">IF(AND(ISNUMBER($T263),$P263="高"),IF($T263=3,1,0),0)</f>
        <v>0</v>
      </c>
      <c r="AE263" s="32" t="n">
        <f aca="false">IF($S263="不存在",1,0)</f>
        <v>0</v>
      </c>
      <c r="AF263" s="44" t="str">
        <f aca="false">IF(OR($H263="—",$H263=""),"—",MATCH($H263,IDX_SrcID,0))</f>
        <v>—</v>
      </c>
      <c r="AG263" s="32" t="n">
        <f aca="false">IF(AND($P263="高",OR($AD263=1,$X263=1)),1,0)</f>
        <v>0</v>
      </c>
      <c r="AH263" s="32" t="n">
        <f aca="false">IF(AND($P263="高",$AG263=0,OR($F263&lt;&gt;"原始數據",$T263&lt;&gt;1)),1,0)</f>
        <v>0</v>
      </c>
      <c r="AI263" s="44" t="str">
        <f aca="false">IF(AND($P263="高",ISNUMBER($AF263)),INDEX(IDX_SrcDate,$AF263),"—")</f>
        <v>—</v>
      </c>
      <c r="AJ263" s="32" t="n">
        <f aca="false">IF(AND(ISTEXT($AI263),LEN($AI263)=10),IF(ISNUMBER(VALUE(SUBSTITUTE($AI263,"-",""))),VALUE(SUBSTITUTE($AI263,"-","")),0),0)</f>
        <v>0</v>
      </c>
    </row>
    <row r="264" customFormat="false" ht="29.25" hidden="false" customHeight="true" outlineLevel="0" collapsed="false">
      <c r="A264" s="30" t="s">
        <v>5210</v>
      </c>
      <c r="B264" s="239" t="s">
        <v>4525</v>
      </c>
      <c r="C264" s="30" t="s">
        <v>5191</v>
      </c>
      <c r="D264" s="30" t="s">
        <v>4700</v>
      </c>
      <c r="E264" s="20" t="s">
        <v>5205</v>
      </c>
      <c r="F264" s="30" t="s">
        <v>114</v>
      </c>
      <c r="G264" s="239" t="s">
        <v>4527</v>
      </c>
      <c r="H264" s="30" t="s">
        <v>751</v>
      </c>
      <c r="I264" s="6" t="s">
        <v>751</v>
      </c>
      <c r="J264" s="30" t="s">
        <v>751</v>
      </c>
      <c r="K264" s="184" t="n">
        <f aca="false">Workload!G6*0.5</f>
        <v>6000</v>
      </c>
      <c r="L264" s="184" t="n">
        <f aca="false">Workload!G6*2</f>
        <v>24000</v>
      </c>
      <c r="M264" s="30" t="s">
        <v>5174</v>
      </c>
      <c r="N264" s="20" t="s">
        <v>5206</v>
      </c>
      <c r="O264" s="6" t="s">
        <v>751</v>
      </c>
      <c r="P264" s="239" t="s">
        <v>1308</v>
      </c>
      <c r="Q264" s="49" t="n">
        <f aca="false">Workload!G6</f>
        <v>12000</v>
      </c>
      <c r="R264" s="30" t="s">
        <v>751</v>
      </c>
      <c r="S264" s="44" t="str">
        <f aca="false">IF(ISNUMBER($AF264),INDEX(IDX_SrcStat,$AF264),"—")</f>
        <v>—</v>
      </c>
      <c r="T264" s="44" t="str">
        <f aca="false">IF(ISNUMBER($AF264),INDEX(IDX_SrcGrade,$AF264),"—")</f>
        <v>—</v>
      </c>
      <c r="U264" s="44" t="s">
        <v>4531</v>
      </c>
      <c r="V264" s="32" t="n">
        <f aca="false">IF(AND($F264="原始數據",$U264&lt;&gt;"連結 SRC"),1,0)</f>
        <v>0</v>
      </c>
      <c r="W264" s="32" t="n">
        <f aca="false">IF(AND($F264="Analogy",OR($H264="—",$H264="")),1,0)</f>
        <v>0</v>
      </c>
      <c r="X264" s="32" t="n">
        <f aca="false">IF(AND(OR($F264="Analogy",$F264="Assumed"),$G264&lt;&gt;"低",$G264&lt;&gt;"高",NOT(ISNUMBER($K264)),NOT(ISNUMBER($L264)),OR($M264="—",$M264="")),1,0)</f>
        <v>0</v>
      </c>
      <c r="Y264" s="32" t="n">
        <f aca="false">IF(AND(OR($F264="Analogy",$F264="Assumed",$F264="Derived（待改公式）",$F264="Derived（公式）"),OR($N264="—",$N264="",$N264=0)),1,0)</f>
        <v>0</v>
      </c>
      <c r="Z264" s="32" t="n">
        <f aca="false">IF(AND($F264="Decision",OR($J264="—",$J264="")),1,0)</f>
        <v>0</v>
      </c>
      <c r="AA264" s="33" t="n">
        <f aca="false">IF(OR($J264="—",$J264=""),0,IF(COUNTIF(Decisions!$A$5:$A$300,$J264)=0,1,0))</f>
        <v>0</v>
      </c>
      <c r="AB264" s="32" t="n">
        <f aca="false">IF(AND($F264="原始數據",$S264&lt;&gt;"Active"),1,0)</f>
        <v>0</v>
      </c>
      <c r="AC264" s="32" t="n">
        <f aca="false">IF(AND(ISNUMBER($K264),ISNUMBER($L264),ISNUMBER($Q264)),IF(OR($Q264&lt;MIN($K264,$L264),$Q264&gt;MAX($K264,$L264)),1,0),0)</f>
        <v>0</v>
      </c>
      <c r="AD264" s="32" t="n">
        <f aca="false">IF(AND(ISNUMBER($T264),$P264="高"),IF($T264=3,1,0),0)</f>
        <v>0</v>
      </c>
      <c r="AE264" s="32" t="n">
        <f aca="false">IF($S264="不存在",1,0)</f>
        <v>0</v>
      </c>
      <c r="AF264" s="44" t="str">
        <f aca="false">IF(OR($H264="—",$H264=""),"—",MATCH($H264,IDX_SrcID,0))</f>
        <v>—</v>
      </c>
      <c r="AG264" s="32" t="n">
        <f aca="false">IF(AND($P264="高",OR($AD264=1,$X264=1)),1,0)</f>
        <v>0</v>
      </c>
      <c r="AH264" s="32" t="n">
        <f aca="false">IF(AND($P264="高",$AG264=0,OR($F264&lt;&gt;"原始數據",$T264&lt;&gt;1)),1,0)</f>
        <v>0</v>
      </c>
      <c r="AI264" s="44" t="str">
        <f aca="false">IF(AND($P264="高",ISNUMBER($AF264)),INDEX(IDX_SrcDate,$AF264),"—")</f>
        <v>—</v>
      </c>
      <c r="AJ264" s="32" t="n">
        <f aca="false">IF(AND(ISTEXT($AI264),LEN($AI264)=10),IF(ISNUMBER(VALUE(SUBSTITUTE($AI264,"-",""))),VALUE(SUBSTITUTE($AI264,"-","")),0),0)</f>
        <v>0</v>
      </c>
    </row>
    <row r="265" customFormat="false" ht="29.25" hidden="false" customHeight="true" outlineLevel="0" collapsed="false">
      <c r="A265" s="30" t="s">
        <v>5211</v>
      </c>
      <c r="B265" s="239" t="s">
        <v>4525</v>
      </c>
      <c r="C265" s="30" t="s">
        <v>5191</v>
      </c>
      <c r="D265" s="30" t="s">
        <v>5017</v>
      </c>
      <c r="E265" s="20" t="s">
        <v>5212</v>
      </c>
      <c r="F265" s="30" t="s">
        <v>114</v>
      </c>
      <c r="G265" s="239" t="s">
        <v>4527</v>
      </c>
      <c r="H265" s="30" t="s">
        <v>751</v>
      </c>
      <c r="I265" s="6" t="s">
        <v>751</v>
      </c>
      <c r="J265" s="30" t="s">
        <v>751</v>
      </c>
      <c r="K265" s="184" t="n">
        <f aca="false">Workload!C7*0.5</f>
        <v>250</v>
      </c>
      <c r="L265" s="184" t="n">
        <f aca="false">Workload!C7*2</f>
        <v>1000</v>
      </c>
      <c r="M265" s="30" t="s">
        <v>5174</v>
      </c>
      <c r="N265" s="20" t="s">
        <v>5206</v>
      </c>
      <c r="O265" s="6" t="s">
        <v>751</v>
      </c>
      <c r="P265" s="239" t="s">
        <v>4586</v>
      </c>
      <c r="Q265" s="49" t="n">
        <f aca="false">Workload!C7</f>
        <v>500</v>
      </c>
      <c r="R265" s="30" t="s">
        <v>751</v>
      </c>
      <c r="S265" s="44" t="str">
        <f aca="false">IF(ISNUMBER($AF265),INDEX(IDX_SrcStat,$AF265),"—")</f>
        <v>—</v>
      </c>
      <c r="T265" s="44" t="str">
        <f aca="false">IF(ISNUMBER($AF265),INDEX(IDX_SrcGrade,$AF265),"—")</f>
        <v>—</v>
      </c>
      <c r="U265" s="44" t="s">
        <v>4531</v>
      </c>
      <c r="V265" s="32" t="n">
        <f aca="false">IF(AND($F265="原始數據",$U265&lt;&gt;"連結 SRC"),1,0)</f>
        <v>0</v>
      </c>
      <c r="W265" s="32" t="n">
        <f aca="false">IF(AND($F265="Analogy",OR($H265="—",$H265="")),1,0)</f>
        <v>0</v>
      </c>
      <c r="X265" s="32" t="n">
        <f aca="false">IF(AND(OR($F265="Analogy",$F265="Assumed"),$G265&lt;&gt;"低",$G265&lt;&gt;"高",NOT(ISNUMBER($K265)),NOT(ISNUMBER($L265)),OR($M265="—",$M265="")),1,0)</f>
        <v>0</v>
      </c>
      <c r="Y265" s="32" t="n">
        <f aca="false">IF(AND(OR($F265="Analogy",$F265="Assumed",$F265="Derived（待改公式）",$F265="Derived（公式）"),OR($N265="—",$N265="",$N265=0)),1,0)</f>
        <v>0</v>
      </c>
      <c r="Z265" s="32" t="n">
        <f aca="false">IF(AND($F265="Decision",OR($J265="—",$J265="")),1,0)</f>
        <v>0</v>
      </c>
      <c r="AA265" s="33" t="n">
        <f aca="false">IF(OR($J265="—",$J265=""),0,IF(COUNTIF(Decisions!$A$5:$A$300,$J265)=0,1,0))</f>
        <v>0</v>
      </c>
      <c r="AB265" s="32" t="n">
        <f aca="false">IF(AND($F265="原始數據",$S265&lt;&gt;"Active"),1,0)</f>
        <v>0</v>
      </c>
      <c r="AC265" s="32" t="n">
        <f aca="false">IF(AND(ISNUMBER($K265),ISNUMBER($L265),ISNUMBER($Q265)),IF(OR($Q265&lt;MIN($K265,$L265),$Q265&gt;MAX($K265,$L265)),1,0),0)</f>
        <v>0</v>
      </c>
      <c r="AD265" s="32" t="n">
        <f aca="false">IF(AND(ISNUMBER($T265),$P265="高"),IF($T265=3,1,0),0)</f>
        <v>0</v>
      </c>
      <c r="AE265" s="32" t="n">
        <f aca="false">IF($S265="不存在",1,0)</f>
        <v>0</v>
      </c>
      <c r="AF265" s="44" t="str">
        <f aca="false">IF(OR($H265="—",$H265=""),"—",MATCH($H265,IDX_SrcID,0))</f>
        <v>—</v>
      </c>
      <c r="AG265" s="32" t="n">
        <f aca="false">IF(AND($P265="高",OR($AD265=1,$X265=1)),1,0)</f>
        <v>0</v>
      </c>
      <c r="AH265" s="32" t="n">
        <f aca="false">IF(AND($P265="高",$AG265=0,OR($F265&lt;&gt;"原始數據",$T265&lt;&gt;1)),1,0)</f>
        <v>0</v>
      </c>
      <c r="AI265" s="44" t="str">
        <f aca="false">IF(AND($P265="高",ISNUMBER($AF265)),INDEX(IDX_SrcDate,$AF265),"—")</f>
        <v>—</v>
      </c>
      <c r="AJ265" s="32" t="n">
        <f aca="false">IF(AND(ISTEXT($AI265),LEN($AI265)=10),IF(ISNUMBER(VALUE(SUBSTITUTE($AI265,"-",""))),VALUE(SUBSTITUTE($AI265,"-","")),0),0)</f>
        <v>0</v>
      </c>
    </row>
    <row r="266" customFormat="false" ht="29.25" hidden="false" customHeight="true" outlineLevel="0" collapsed="false">
      <c r="A266" s="30" t="s">
        <v>5213</v>
      </c>
      <c r="B266" s="239" t="s">
        <v>4525</v>
      </c>
      <c r="C266" s="30" t="s">
        <v>5191</v>
      </c>
      <c r="D266" s="30" t="s">
        <v>5020</v>
      </c>
      <c r="E266" s="20" t="s">
        <v>5212</v>
      </c>
      <c r="F266" s="30" t="s">
        <v>114</v>
      </c>
      <c r="G266" s="239" t="s">
        <v>4527</v>
      </c>
      <c r="H266" s="30" t="s">
        <v>751</v>
      </c>
      <c r="I266" s="6" t="s">
        <v>751</v>
      </c>
      <c r="J266" s="30" t="s">
        <v>751</v>
      </c>
      <c r="K266" s="184" t="n">
        <f aca="false">Workload!D7*0.5</f>
        <v>250</v>
      </c>
      <c r="L266" s="184" t="n">
        <f aca="false">Workload!D7*2</f>
        <v>1000</v>
      </c>
      <c r="M266" s="30" t="s">
        <v>5174</v>
      </c>
      <c r="N266" s="20" t="s">
        <v>5206</v>
      </c>
      <c r="O266" s="6" t="s">
        <v>751</v>
      </c>
      <c r="P266" s="239" t="s">
        <v>4586</v>
      </c>
      <c r="Q266" s="49" t="n">
        <f aca="false">Workload!D7</f>
        <v>500</v>
      </c>
      <c r="R266" s="30" t="s">
        <v>751</v>
      </c>
      <c r="S266" s="44" t="str">
        <f aca="false">IF(ISNUMBER($AF266),INDEX(IDX_SrcStat,$AF266),"—")</f>
        <v>—</v>
      </c>
      <c r="T266" s="44" t="str">
        <f aca="false">IF(ISNUMBER($AF266),INDEX(IDX_SrcGrade,$AF266),"—")</f>
        <v>—</v>
      </c>
      <c r="U266" s="44" t="s">
        <v>4531</v>
      </c>
      <c r="V266" s="32" t="n">
        <f aca="false">IF(AND($F266="原始數據",$U266&lt;&gt;"連結 SRC"),1,0)</f>
        <v>0</v>
      </c>
      <c r="W266" s="32" t="n">
        <f aca="false">IF(AND($F266="Analogy",OR($H266="—",$H266="")),1,0)</f>
        <v>0</v>
      </c>
      <c r="X266" s="32" t="n">
        <f aca="false">IF(AND(OR($F266="Analogy",$F266="Assumed"),$G266&lt;&gt;"低",$G266&lt;&gt;"高",NOT(ISNUMBER($K266)),NOT(ISNUMBER($L266)),OR($M266="—",$M266="")),1,0)</f>
        <v>0</v>
      </c>
      <c r="Y266" s="32" t="n">
        <f aca="false">IF(AND(OR($F266="Analogy",$F266="Assumed",$F266="Derived（待改公式）",$F266="Derived（公式）"),OR($N266="—",$N266="",$N266=0)),1,0)</f>
        <v>0</v>
      </c>
      <c r="Z266" s="32" t="n">
        <f aca="false">IF(AND($F266="Decision",OR($J266="—",$J266="")),1,0)</f>
        <v>0</v>
      </c>
      <c r="AA266" s="33" t="n">
        <f aca="false">IF(OR($J266="—",$J266=""),0,IF(COUNTIF(Decisions!$A$5:$A$300,$J266)=0,1,0))</f>
        <v>0</v>
      </c>
      <c r="AB266" s="32" t="n">
        <f aca="false">IF(AND($F266="原始數據",$S266&lt;&gt;"Active"),1,0)</f>
        <v>0</v>
      </c>
      <c r="AC266" s="32" t="n">
        <f aca="false">IF(AND(ISNUMBER($K266),ISNUMBER($L266),ISNUMBER($Q266)),IF(OR($Q266&lt;MIN($K266,$L266),$Q266&gt;MAX($K266,$L266)),1,0),0)</f>
        <v>0</v>
      </c>
      <c r="AD266" s="32" t="n">
        <f aca="false">IF(AND(ISNUMBER($T266),$P266="高"),IF($T266=3,1,0),0)</f>
        <v>0</v>
      </c>
      <c r="AE266" s="32" t="n">
        <f aca="false">IF($S266="不存在",1,0)</f>
        <v>0</v>
      </c>
      <c r="AF266" s="44" t="str">
        <f aca="false">IF(OR($H266="—",$H266=""),"—",MATCH($H266,IDX_SrcID,0))</f>
        <v>—</v>
      </c>
      <c r="AG266" s="32" t="n">
        <f aca="false">IF(AND($P266="高",OR($AD266=1,$X266=1)),1,0)</f>
        <v>0</v>
      </c>
      <c r="AH266" s="32" t="n">
        <f aca="false">IF(AND($P266="高",$AG266=0,OR($F266&lt;&gt;"原始數據",$T266&lt;&gt;1)),1,0)</f>
        <v>0</v>
      </c>
      <c r="AI266" s="44" t="str">
        <f aca="false">IF(AND($P266="高",ISNUMBER($AF266)),INDEX(IDX_SrcDate,$AF266),"—")</f>
        <v>—</v>
      </c>
      <c r="AJ266" s="32" t="n">
        <f aca="false">IF(AND(ISTEXT($AI266),LEN($AI266)=10),IF(ISNUMBER(VALUE(SUBSTITUTE($AI266,"-",""))),VALUE(SUBSTITUTE($AI266,"-","")),0),0)</f>
        <v>0</v>
      </c>
    </row>
    <row r="267" customFormat="false" ht="29.25" hidden="false" customHeight="true" outlineLevel="0" collapsed="false">
      <c r="A267" s="30" t="s">
        <v>5214</v>
      </c>
      <c r="B267" s="239" t="s">
        <v>4525</v>
      </c>
      <c r="C267" s="30" t="s">
        <v>5191</v>
      </c>
      <c r="D267" s="30" t="s">
        <v>4310</v>
      </c>
      <c r="E267" s="20" t="s">
        <v>5212</v>
      </c>
      <c r="F267" s="30" t="s">
        <v>114</v>
      </c>
      <c r="G267" s="239" t="s">
        <v>4527</v>
      </c>
      <c r="H267" s="30" t="s">
        <v>751</v>
      </c>
      <c r="I267" s="6" t="s">
        <v>751</v>
      </c>
      <c r="J267" s="30" t="s">
        <v>751</v>
      </c>
      <c r="K267" s="184" t="n">
        <f aca="false">Workload!E7*0.5</f>
        <v>600</v>
      </c>
      <c r="L267" s="184" t="n">
        <f aca="false">Workload!E7*2</f>
        <v>2400</v>
      </c>
      <c r="M267" s="30" t="s">
        <v>5174</v>
      </c>
      <c r="N267" s="20" t="s">
        <v>5206</v>
      </c>
      <c r="O267" s="6" t="s">
        <v>751</v>
      </c>
      <c r="P267" s="239" t="s">
        <v>4586</v>
      </c>
      <c r="Q267" s="49" t="n">
        <f aca="false">Workload!E7</f>
        <v>1200</v>
      </c>
      <c r="R267" s="30" t="s">
        <v>751</v>
      </c>
      <c r="S267" s="44" t="str">
        <f aca="false">IF(ISNUMBER($AF267),INDEX(IDX_SrcStat,$AF267),"—")</f>
        <v>—</v>
      </c>
      <c r="T267" s="44" t="str">
        <f aca="false">IF(ISNUMBER($AF267),INDEX(IDX_SrcGrade,$AF267),"—")</f>
        <v>—</v>
      </c>
      <c r="U267" s="44" t="s">
        <v>4531</v>
      </c>
      <c r="V267" s="32" t="n">
        <f aca="false">IF(AND($F267="原始數據",$U267&lt;&gt;"連結 SRC"),1,0)</f>
        <v>0</v>
      </c>
      <c r="W267" s="32" t="n">
        <f aca="false">IF(AND($F267="Analogy",OR($H267="—",$H267="")),1,0)</f>
        <v>0</v>
      </c>
      <c r="X267" s="32" t="n">
        <f aca="false">IF(AND(OR($F267="Analogy",$F267="Assumed"),$G267&lt;&gt;"低",$G267&lt;&gt;"高",NOT(ISNUMBER($K267)),NOT(ISNUMBER($L267)),OR($M267="—",$M267="")),1,0)</f>
        <v>0</v>
      </c>
      <c r="Y267" s="32" t="n">
        <f aca="false">IF(AND(OR($F267="Analogy",$F267="Assumed",$F267="Derived（待改公式）",$F267="Derived（公式）"),OR($N267="—",$N267="",$N267=0)),1,0)</f>
        <v>0</v>
      </c>
      <c r="Z267" s="32" t="n">
        <f aca="false">IF(AND($F267="Decision",OR($J267="—",$J267="")),1,0)</f>
        <v>0</v>
      </c>
      <c r="AA267" s="33" t="n">
        <f aca="false">IF(OR($J267="—",$J267=""),0,IF(COUNTIF(Decisions!$A$5:$A$300,$J267)=0,1,0))</f>
        <v>0</v>
      </c>
      <c r="AB267" s="32" t="n">
        <f aca="false">IF(AND($F267="原始數據",$S267&lt;&gt;"Active"),1,0)</f>
        <v>0</v>
      </c>
      <c r="AC267" s="32" t="n">
        <f aca="false">IF(AND(ISNUMBER($K267),ISNUMBER($L267),ISNUMBER($Q267)),IF(OR($Q267&lt;MIN($K267,$L267),$Q267&gt;MAX($K267,$L267)),1,0),0)</f>
        <v>0</v>
      </c>
      <c r="AD267" s="32" t="n">
        <f aca="false">IF(AND(ISNUMBER($T267),$P267="高"),IF($T267=3,1,0),0)</f>
        <v>0</v>
      </c>
      <c r="AE267" s="32" t="n">
        <f aca="false">IF($S267="不存在",1,0)</f>
        <v>0</v>
      </c>
      <c r="AF267" s="44" t="str">
        <f aca="false">IF(OR($H267="—",$H267=""),"—",MATCH($H267,IDX_SrcID,0))</f>
        <v>—</v>
      </c>
      <c r="AG267" s="32" t="n">
        <f aca="false">IF(AND($P267="高",OR($AD267=1,$X267=1)),1,0)</f>
        <v>0</v>
      </c>
      <c r="AH267" s="32" t="n">
        <f aca="false">IF(AND($P267="高",$AG267=0,OR($F267&lt;&gt;"原始數據",$T267&lt;&gt;1)),1,0)</f>
        <v>0</v>
      </c>
      <c r="AI267" s="44" t="str">
        <f aca="false">IF(AND($P267="高",ISNUMBER($AF267)),INDEX(IDX_SrcDate,$AF267),"—")</f>
        <v>—</v>
      </c>
      <c r="AJ267" s="32" t="n">
        <f aca="false">IF(AND(ISTEXT($AI267),LEN($AI267)=10),IF(ISNUMBER(VALUE(SUBSTITUTE($AI267,"-",""))),VALUE(SUBSTITUTE($AI267,"-","")),0),0)</f>
        <v>0</v>
      </c>
    </row>
    <row r="268" customFormat="false" ht="29.25" hidden="false" customHeight="true" outlineLevel="0" collapsed="false">
      <c r="A268" s="30" t="s">
        <v>5215</v>
      </c>
      <c r="B268" s="239" t="s">
        <v>4525</v>
      </c>
      <c r="C268" s="30" t="s">
        <v>5191</v>
      </c>
      <c r="D268" s="30" t="s">
        <v>5216</v>
      </c>
      <c r="E268" s="20" t="s">
        <v>5212</v>
      </c>
      <c r="F268" s="30" t="s">
        <v>114</v>
      </c>
      <c r="G268" s="239" t="s">
        <v>4527</v>
      </c>
      <c r="H268" s="30" t="s">
        <v>751</v>
      </c>
      <c r="I268" s="6" t="s">
        <v>751</v>
      </c>
      <c r="J268" s="30" t="s">
        <v>751</v>
      </c>
      <c r="K268" s="184" t="n">
        <f aca="false">Workload!F7*0.5</f>
        <v>600</v>
      </c>
      <c r="L268" s="184" t="n">
        <f aca="false">Workload!F7*2</f>
        <v>2400</v>
      </c>
      <c r="M268" s="30" t="s">
        <v>5174</v>
      </c>
      <c r="N268" s="20" t="s">
        <v>5206</v>
      </c>
      <c r="O268" s="6" t="s">
        <v>751</v>
      </c>
      <c r="P268" s="239" t="s">
        <v>4586</v>
      </c>
      <c r="Q268" s="49" t="n">
        <f aca="false">Workload!F7</f>
        <v>1200</v>
      </c>
      <c r="R268" s="30" t="s">
        <v>751</v>
      </c>
      <c r="S268" s="44" t="str">
        <f aca="false">IF(ISNUMBER($AF268),INDEX(IDX_SrcStat,$AF268),"—")</f>
        <v>—</v>
      </c>
      <c r="T268" s="44" t="str">
        <f aca="false">IF(ISNUMBER($AF268),INDEX(IDX_SrcGrade,$AF268),"—")</f>
        <v>—</v>
      </c>
      <c r="U268" s="44" t="s">
        <v>4531</v>
      </c>
      <c r="V268" s="32" t="n">
        <f aca="false">IF(AND($F268="原始數據",$U268&lt;&gt;"連結 SRC"),1,0)</f>
        <v>0</v>
      </c>
      <c r="W268" s="32" t="n">
        <f aca="false">IF(AND($F268="Analogy",OR($H268="—",$H268="")),1,0)</f>
        <v>0</v>
      </c>
      <c r="X268" s="32" t="n">
        <f aca="false">IF(AND(OR($F268="Analogy",$F268="Assumed"),$G268&lt;&gt;"低",$G268&lt;&gt;"高",NOT(ISNUMBER($K268)),NOT(ISNUMBER($L268)),OR($M268="—",$M268="")),1,0)</f>
        <v>0</v>
      </c>
      <c r="Y268" s="32" t="n">
        <f aca="false">IF(AND(OR($F268="Analogy",$F268="Assumed",$F268="Derived（待改公式）",$F268="Derived（公式）"),OR($N268="—",$N268="",$N268=0)),1,0)</f>
        <v>0</v>
      </c>
      <c r="Z268" s="32" t="n">
        <f aca="false">IF(AND($F268="Decision",OR($J268="—",$J268="")),1,0)</f>
        <v>0</v>
      </c>
      <c r="AA268" s="33" t="n">
        <f aca="false">IF(OR($J268="—",$J268=""),0,IF(COUNTIF(Decisions!$A$5:$A$300,$J268)=0,1,0))</f>
        <v>0</v>
      </c>
      <c r="AB268" s="32" t="n">
        <f aca="false">IF(AND($F268="原始數據",$S268&lt;&gt;"Active"),1,0)</f>
        <v>0</v>
      </c>
      <c r="AC268" s="32" t="n">
        <f aca="false">IF(AND(ISNUMBER($K268),ISNUMBER($L268),ISNUMBER($Q268)),IF(OR($Q268&lt;MIN($K268,$L268),$Q268&gt;MAX($K268,$L268)),1,0),0)</f>
        <v>0</v>
      </c>
      <c r="AD268" s="32" t="n">
        <f aca="false">IF(AND(ISNUMBER($T268),$P268="高"),IF($T268=3,1,0),0)</f>
        <v>0</v>
      </c>
      <c r="AE268" s="32" t="n">
        <f aca="false">IF($S268="不存在",1,0)</f>
        <v>0</v>
      </c>
      <c r="AF268" s="44" t="str">
        <f aca="false">IF(OR($H268="—",$H268=""),"—",MATCH($H268,IDX_SrcID,0))</f>
        <v>—</v>
      </c>
      <c r="AG268" s="32" t="n">
        <f aca="false">IF(AND($P268="高",OR($AD268=1,$X268=1)),1,0)</f>
        <v>0</v>
      </c>
      <c r="AH268" s="32" t="n">
        <f aca="false">IF(AND($P268="高",$AG268=0,OR($F268&lt;&gt;"原始數據",$T268&lt;&gt;1)),1,0)</f>
        <v>0</v>
      </c>
      <c r="AI268" s="44" t="str">
        <f aca="false">IF(AND($P268="高",ISNUMBER($AF268)),INDEX(IDX_SrcDate,$AF268),"—")</f>
        <v>—</v>
      </c>
      <c r="AJ268" s="32" t="n">
        <f aca="false">IF(AND(ISTEXT($AI268),LEN($AI268)=10),IF(ISNUMBER(VALUE(SUBSTITUTE($AI268,"-",""))),VALUE(SUBSTITUTE($AI268,"-","")),0),0)</f>
        <v>0</v>
      </c>
    </row>
    <row r="269" customFormat="false" ht="29.25" hidden="false" customHeight="true" outlineLevel="0" collapsed="false">
      <c r="A269" s="30" t="s">
        <v>5217</v>
      </c>
      <c r="B269" s="239" t="s">
        <v>4525</v>
      </c>
      <c r="C269" s="30" t="s">
        <v>5191</v>
      </c>
      <c r="D269" s="30" t="s">
        <v>5218</v>
      </c>
      <c r="E269" s="20" t="s">
        <v>5212</v>
      </c>
      <c r="F269" s="30" t="s">
        <v>114</v>
      </c>
      <c r="G269" s="239" t="s">
        <v>4527</v>
      </c>
      <c r="H269" s="30" t="s">
        <v>751</v>
      </c>
      <c r="I269" s="6" t="s">
        <v>751</v>
      </c>
      <c r="J269" s="30" t="s">
        <v>751</v>
      </c>
      <c r="K269" s="184" t="n">
        <f aca="false">Workload!G7*0.5</f>
        <v>1000</v>
      </c>
      <c r="L269" s="184" t="n">
        <f aca="false">Workload!G7*2</f>
        <v>4000</v>
      </c>
      <c r="M269" s="30" t="s">
        <v>5174</v>
      </c>
      <c r="N269" s="20" t="s">
        <v>5206</v>
      </c>
      <c r="O269" s="6" t="s">
        <v>751</v>
      </c>
      <c r="P269" s="239" t="s">
        <v>4586</v>
      </c>
      <c r="Q269" s="49" t="n">
        <f aca="false">Workload!G7</f>
        <v>2000</v>
      </c>
      <c r="R269" s="30" t="s">
        <v>751</v>
      </c>
      <c r="S269" s="44" t="str">
        <f aca="false">IF(ISNUMBER($AF269),INDEX(IDX_SrcStat,$AF269),"—")</f>
        <v>—</v>
      </c>
      <c r="T269" s="44" t="str">
        <f aca="false">IF(ISNUMBER($AF269),INDEX(IDX_SrcGrade,$AF269),"—")</f>
        <v>—</v>
      </c>
      <c r="U269" s="44" t="s">
        <v>4531</v>
      </c>
      <c r="V269" s="32" t="n">
        <f aca="false">IF(AND($F269="原始數據",$U269&lt;&gt;"連結 SRC"),1,0)</f>
        <v>0</v>
      </c>
      <c r="W269" s="32" t="n">
        <f aca="false">IF(AND($F269="Analogy",OR($H269="—",$H269="")),1,0)</f>
        <v>0</v>
      </c>
      <c r="X269" s="32" t="n">
        <f aca="false">IF(AND(OR($F269="Analogy",$F269="Assumed"),$G269&lt;&gt;"低",$G269&lt;&gt;"高",NOT(ISNUMBER($K269)),NOT(ISNUMBER($L269)),OR($M269="—",$M269="")),1,0)</f>
        <v>0</v>
      </c>
      <c r="Y269" s="32" t="n">
        <f aca="false">IF(AND(OR($F269="Analogy",$F269="Assumed",$F269="Derived（待改公式）",$F269="Derived（公式）"),OR($N269="—",$N269="",$N269=0)),1,0)</f>
        <v>0</v>
      </c>
      <c r="Z269" s="32" t="n">
        <f aca="false">IF(AND($F269="Decision",OR($J269="—",$J269="")),1,0)</f>
        <v>0</v>
      </c>
      <c r="AA269" s="33" t="n">
        <f aca="false">IF(OR($J269="—",$J269=""),0,IF(COUNTIF(Decisions!$A$5:$A$300,$J269)=0,1,0))</f>
        <v>0</v>
      </c>
      <c r="AB269" s="32" t="n">
        <f aca="false">IF(AND($F269="原始數據",$S269&lt;&gt;"Active"),1,0)</f>
        <v>0</v>
      </c>
      <c r="AC269" s="32" t="n">
        <f aca="false">IF(AND(ISNUMBER($K269),ISNUMBER($L269),ISNUMBER($Q269)),IF(OR($Q269&lt;MIN($K269,$L269),$Q269&gt;MAX($K269,$L269)),1,0),0)</f>
        <v>0</v>
      </c>
      <c r="AD269" s="32" t="n">
        <f aca="false">IF(AND(ISNUMBER($T269),$P269="高"),IF($T269=3,1,0),0)</f>
        <v>0</v>
      </c>
      <c r="AE269" s="32" t="n">
        <f aca="false">IF($S269="不存在",1,0)</f>
        <v>0</v>
      </c>
      <c r="AF269" s="44" t="str">
        <f aca="false">IF(OR($H269="—",$H269=""),"—",MATCH($H269,IDX_SrcID,0))</f>
        <v>—</v>
      </c>
      <c r="AG269" s="32" t="n">
        <f aca="false">IF(AND($P269="高",OR($AD269=1,$X269=1)),1,0)</f>
        <v>0</v>
      </c>
      <c r="AH269" s="32" t="n">
        <f aca="false">IF(AND($P269="高",$AG269=0,OR($F269&lt;&gt;"原始數據",$T269&lt;&gt;1)),1,0)</f>
        <v>0</v>
      </c>
      <c r="AI269" s="44" t="str">
        <f aca="false">IF(AND($P269="高",ISNUMBER($AF269)),INDEX(IDX_SrcDate,$AF269),"—")</f>
        <v>—</v>
      </c>
      <c r="AJ269" s="32" t="n">
        <f aca="false">IF(AND(ISTEXT($AI269),LEN($AI269)=10),IF(ISNUMBER(VALUE(SUBSTITUTE($AI269,"-",""))),VALUE(SUBSTITUTE($AI269,"-","")),0),0)</f>
        <v>0</v>
      </c>
    </row>
    <row r="270" customFormat="false" ht="15" hidden="false" customHeight="true" outlineLevel="0" collapsed="false">
      <c r="A270" s="30" t="s">
        <v>5219</v>
      </c>
      <c r="B270" s="239" t="s">
        <v>4525</v>
      </c>
      <c r="C270" s="30" t="s">
        <v>5191</v>
      </c>
      <c r="D270" s="30" t="s">
        <v>4703</v>
      </c>
      <c r="E270" s="20" t="s">
        <v>5220</v>
      </c>
      <c r="F270" s="30" t="s">
        <v>114</v>
      </c>
      <c r="G270" s="239" t="s">
        <v>4527</v>
      </c>
      <c r="H270" s="30" t="s">
        <v>751</v>
      </c>
      <c r="I270" s="6" t="s">
        <v>751</v>
      </c>
      <c r="J270" s="30" t="s">
        <v>751</v>
      </c>
      <c r="K270" s="184" t="n">
        <f aca="false">Workload!C8*0.5</f>
        <v>0</v>
      </c>
      <c r="L270" s="184" t="n">
        <f aca="false">Workload!C8*2</f>
        <v>0</v>
      </c>
      <c r="M270" s="30" t="s">
        <v>5174</v>
      </c>
      <c r="N270" s="240" t="str">
        <f aca="false">Workload!$H$8&amp;" ｜補充旗標（IF 全欄分段，非分段依據）：高"</f>
        <v>Assumed；服務端思考占比待查 ｜補充旗標（IF 全欄分段，非分段依據）：高</v>
      </c>
      <c r="O270" s="6" t="s">
        <v>751</v>
      </c>
      <c r="P270" s="239" t="s">
        <v>4586</v>
      </c>
      <c r="Q270" s="49" t="n">
        <f aca="false">Workload!C8</f>
        <v>0</v>
      </c>
      <c r="R270" s="30" t="s">
        <v>751</v>
      </c>
      <c r="S270" s="44" t="str">
        <f aca="false">IF(ISNUMBER($AF270),INDEX(IDX_SrcStat,$AF270),"—")</f>
        <v>—</v>
      </c>
      <c r="T270" s="44" t="str">
        <f aca="false">IF(ISNUMBER($AF270),INDEX(IDX_SrcGrade,$AF270),"—")</f>
        <v>—</v>
      </c>
      <c r="U270" s="44" t="s">
        <v>4531</v>
      </c>
      <c r="V270" s="32" t="n">
        <f aca="false">IF(AND($F270="原始數據",$U270&lt;&gt;"連結 SRC"),1,0)</f>
        <v>0</v>
      </c>
      <c r="W270" s="32" t="n">
        <f aca="false">IF(AND($F270="Analogy",OR($H270="—",$H270="")),1,0)</f>
        <v>0</v>
      </c>
      <c r="X270" s="32" t="n">
        <f aca="false">IF(AND(OR($F270="Analogy",$F270="Assumed"),$G270&lt;&gt;"低",$G270&lt;&gt;"高",NOT(ISNUMBER($K270)),NOT(ISNUMBER($L270)),OR($M270="—",$M270="")),1,0)</f>
        <v>0</v>
      </c>
      <c r="Y270" s="32" t="n">
        <f aca="false">IF(AND(OR($F270="Analogy",$F270="Assumed",$F270="Derived（待改公式）",$F270="Derived（公式）"),OR($N270="—",$N270="",$N270=0)),1,0)</f>
        <v>0</v>
      </c>
      <c r="Z270" s="32" t="n">
        <f aca="false">IF(AND($F270="Decision",OR($J270="—",$J270="")),1,0)</f>
        <v>0</v>
      </c>
      <c r="AA270" s="33" t="n">
        <f aca="false">IF(OR($J270="—",$J270=""),0,IF(COUNTIF(Decisions!$A$5:$A$300,$J270)=0,1,0))</f>
        <v>0</v>
      </c>
      <c r="AB270" s="32" t="n">
        <f aca="false">IF(AND($F270="原始數據",$S270&lt;&gt;"Active"),1,0)</f>
        <v>0</v>
      </c>
      <c r="AC270" s="32" t="n">
        <f aca="false">IF(AND(ISNUMBER($K270),ISNUMBER($L270),ISNUMBER($Q270)),IF(OR($Q270&lt;MIN($K270,$L270),$Q270&gt;MAX($K270,$L270)),1,0),0)</f>
        <v>0</v>
      </c>
      <c r="AD270" s="32" t="n">
        <f aca="false">IF(AND(ISNUMBER($T270),$P270="高"),IF($T270=3,1,0),0)</f>
        <v>0</v>
      </c>
      <c r="AE270" s="32" t="n">
        <f aca="false">IF($S270="不存在",1,0)</f>
        <v>0</v>
      </c>
      <c r="AF270" s="44" t="str">
        <f aca="false">IF(OR($H270="—",$H270=""),"—",MATCH($H270,IDX_SrcID,0))</f>
        <v>—</v>
      </c>
      <c r="AG270" s="32" t="n">
        <f aca="false">IF(AND($P270="高",OR($AD270=1,$X270=1)),1,0)</f>
        <v>0</v>
      </c>
      <c r="AH270" s="32" t="n">
        <f aca="false">IF(AND($P270="高",$AG270=0,OR($F270&lt;&gt;"原始數據",$T270&lt;&gt;1)),1,0)</f>
        <v>0</v>
      </c>
      <c r="AI270" s="44" t="str">
        <f aca="false">IF(AND($P270="高",ISNUMBER($AF270)),INDEX(IDX_SrcDate,$AF270),"—")</f>
        <v>—</v>
      </c>
      <c r="AJ270" s="32" t="n">
        <f aca="false">IF(AND(ISTEXT($AI270),LEN($AI270)=10),IF(ISNUMBER(VALUE(SUBSTITUTE($AI270,"-",""))),VALUE(SUBSTITUTE($AI270,"-","")),0),0)</f>
        <v>0</v>
      </c>
    </row>
    <row r="271" customFormat="false" ht="15" hidden="false" customHeight="true" outlineLevel="0" collapsed="false">
      <c r="A271" s="30" t="s">
        <v>5221</v>
      </c>
      <c r="B271" s="239" t="s">
        <v>4525</v>
      </c>
      <c r="C271" s="30" t="s">
        <v>5191</v>
      </c>
      <c r="D271" s="30" t="s">
        <v>4706</v>
      </c>
      <c r="E271" s="20" t="s">
        <v>5220</v>
      </c>
      <c r="F271" s="30" t="s">
        <v>114</v>
      </c>
      <c r="G271" s="239" t="s">
        <v>4527</v>
      </c>
      <c r="H271" s="30" t="s">
        <v>751</v>
      </c>
      <c r="I271" s="6" t="s">
        <v>751</v>
      </c>
      <c r="J271" s="30" t="s">
        <v>751</v>
      </c>
      <c r="K271" s="184" t="n">
        <f aca="false">Workload!D8*0.5</f>
        <v>1500</v>
      </c>
      <c r="L271" s="184" t="n">
        <f aca="false">Workload!D8*2</f>
        <v>6000</v>
      </c>
      <c r="M271" s="30" t="s">
        <v>5174</v>
      </c>
      <c r="N271" s="240" t="str">
        <f aca="false">Workload!$H$8&amp;" ｜補充旗標（IF 全欄分段，非分段依據）：高"</f>
        <v>Assumed；服務端思考占比待查 ｜補充旗標（IF 全欄分段，非分段依據）：高</v>
      </c>
      <c r="O271" s="6" t="s">
        <v>751</v>
      </c>
      <c r="P271" s="239" t="s">
        <v>4586</v>
      </c>
      <c r="Q271" s="49" t="n">
        <f aca="false">Workload!D8</f>
        <v>3000</v>
      </c>
      <c r="R271" s="30" t="s">
        <v>751</v>
      </c>
      <c r="S271" s="44" t="str">
        <f aca="false">IF(ISNUMBER($AF271),INDEX(IDX_SrcStat,$AF271),"—")</f>
        <v>—</v>
      </c>
      <c r="T271" s="44" t="str">
        <f aca="false">IF(ISNUMBER($AF271),INDEX(IDX_SrcGrade,$AF271),"—")</f>
        <v>—</v>
      </c>
      <c r="U271" s="44" t="s">
        <v>4531</v>
      </c>
      <c r="V271" s="32" t="n">
        <f aca="false">IF(AND($F271="原始數據",$U271&lt;&gt;"連結 SRC"),1,0)</f>
        <v>0</v>
      </c>
      <c r="W271" s="32" t="n">
        <f aca="false">IF(AND($F271="Analogy",OR($H271="—",$H271="")),1,0)</f>
        <v>0</v>
      </c>
      <c r="X271" s="32" t="n">
        <f aca="false">IF(AND(OR($F271="Analogy",$F271="Assumed"),$G271&lt;&gt;"低",$G271&lt;&gt;"高",NOT(ISNUMBER($K271)),NOT(ISNUMBER($L271)),OR($M271="—",$M271="")),1,0)</f>
        <v>0</v>
      </c>
      <c r="Y271" s="32" t="n">
        <f aca="false">IF(AND(OR($F271="Analogy",$F271="Assumed",$F271="Derived（待改公式）",$F271="Derived（公式）"),OR($N271="—",$N271="",$N271=0)),1,0)</f>
        <v>0</v>
      </c>
      <c r="Z271" s="32" t="n">
        <f aca="false">IF(AND($F271="Decision",OR($J271="—",$J271="")),1,0)</f>
        <v>0</v>
      </c>
      <c r="AA271" s="33" t="n">
        <f aca="false">IF(OR($J271="—",$J271=""),0,IF(COUNTIF(Decisions!$A$5:$A$300,$J271)=0,1,0))</f>
        <v>0</v>
      </c>
      <c r="AB271" s="32" t="n">
        <f aca="false">IF(AND($F271="原始數據",$S271&lt;&gt;"Active"),1,0)</f>
        <v>0</v>
      </c>
      <c r="AC271" s="32" t="n">
        <f aca="false">IF(AND(ISNUMBER($K271),ISNUMBER($L271),ISNUMBER($Q271)),IF(OR($Q271&lt;MIN($K271,$L271),$Q271&gt;MAX($K271,$L271)),1,0),0)</f>
        <v>0</v>
      </c>
      <c r="AD271" s="32" t="n">
        <f aca="false">IF(AND(ISNUMBER($T271),$P271="高"),IF($T271=3,1,0),0)</f>
        <v>0</v>
      </c>
      <c r="AE271" s="32" t="n">
        <f aca="false">IF($S271="不存在",1,0)</f>
        <v>0</v>
      </c>
      <c r="AF271" s="44" t="str">
        <f aca="false">IF(OR($H271="—",$H271=""),"—",MATCH($H271,IDX_SrcID,0))</f>
        <v>—</v>
      </c>
      <c r="AG271" s="32" t="n">
        <f aca="false">IF(AND($P271="高",OR($AD271=1,$X271=1)),1,0)</f>
        <v>0</v>
      </c>
      <c r="AH271" s="32" t="n">
        <f aca="false">IF(AND($P271="高",$AG271=0,OR($F271&lt;&gt;"原始數據",$T271&lt;&gt;1)),1,0)</f>
        <v>0</v>
      </c>
      <c r="AI271" s="44" t="str">
        <f aca="false">IF(AND($P271="高",ISNUMBER($AF271)),INDEX(IDX_SrcDate,$AF271),"—")</f>
        <v>—</v>
      </c>
      <c r="AJ271" s="32" t="n">
        <f aca="false">IF(AND(ISTEXT($AI271),LEN($AI271)=10),IF(ISNUMBER(VALUE(SUBSTITUTE($AI271,"-",""))),VALUE(SUBSTITUTE($AI271,"-","")),0),0)</f>
        <v>0</v>
      </c>
    </row>
    <row r="272" customFormat="false" ht="15" hidden="false" customHeight="true" outlineLevel="0" collapsed="false">
      <c r="A272" s="30" t="s">
        <v>5222</v>
      </c>
      <c r="B272" s="239" t="s">
        <v>4525</v>
      </c>
      <c r="C272" s="30" t="s">
        <v>5191</v>
      </c>
      <c r="D272" s="30" t="s">
        <v>4313</v>
      </c>
      <c r="E272" s="20" t="s">
        <v>5220</v>
      </c>
      <c r="F272" s="30" t="s">
        <v>114</v>
      </c>
      <c r="G272" s="239" t="s">
        <v>4527</v>
      </c>
      <c r="H272" s="30" t="s">
        <v>751</v>
      </c>
      <c r="I272" s="6" t="s">
        <v>751</v>
      </c>
      <c r="J272" s="30" t="s">
        <v>751</v>
      </c>
      <c r="K272" s="184" t="n">
        <f aca="false">Workload!E8*0.5</f>
        <v>200</v>
      </c>
      <c r="L272" s="184" t="n">
        <f aca="false">Workload!E8*2</f>
        <v>800</v>
      </c>
      <c r="M272" s="30" t="s">
        <v>5174</v>
      </c>
      <c r="N272" s="240" t="str">
        <f aca="false">Workload!$H$8&amp;" ｜補充旗標（IF 全欄分段，非分段依據）：高"</f>
        <v>Assumed；服務端思考占比待查 ｜補充旗標（IF 全欄分段，非分段依據）：高</v>
      </c>
      <c r="O272" s="6" t="s">
        <v>751</v>
      </c>
      <c r="P272" s="239" t="s">
        <v>4586</v>
      </c>
      <c r="Q272" s="49" t="n">
        <f aca="false">Workload!E8</f>
        <v>400</v>
      </c>
      <c r="R272" s="30" t="s">
        <v>751</v>
      </c>
      <c r="S272" s="44" t="str">
        <f aca="false">IF(ISNUMBER($AF272),INDEX(IDX_SrcStat,$AF272),"—")</f>
        <v>—</v>
      </c>
      <c r="T272" s="44" t="str">
        <f aca="false">IF(ISNUMBER($AF272),INDEX(IDX_SrcGrade,$AF272),"—")</f>
        <v>—</v>
      </c>
      <c r="U272" s="44" t="s">
        <v>4531</v>
      </c>
      <c r="V272" s="32" t="n">
        <f aca="false">IF(AND($F272="原始數據",$U272&lt;&gt;"連結 SRC"),1,0)</f>
        <v>0</v>
      </c>
      <c r="W272" s="32" t="n">
        <f aca="false">IF(AND($F272="Analogy",OR($H272="—",$H272="")),1,0)</f>
        <v>0</v>
      </c>
      <c r="X272" s="32" t="n">
        <f aca="false">IF(AND(OR($F272="Analogy",$F272="Assumed"),$G272&lt;&gt;"低",$G272&lt;&gt;"高",NOT(ISNUMBER($K272)),NOT(ISNUMBER($L272)),OR($M272="—",$M272="")),1,0)</f>
        <v>0</v>
      </c>
      <c r="Y272" s="32" t="n">
        <f aca="false">IF(AND(OR($F272="Analogy",$F272="Assumed",$F272="Derived（待改公式）",$F272="Derived（公式）"),OR($N272="—",$N272="",$N272=0)),1,0)</f>
        <v>0</v>
      </c>
      <c r="Z272" s="32" t="n">
        <f aca="false">IF(AND($F272="Decision",OR($J272="—",$J272="")),1,0)</f>
        <v>0</v>
      </c>
      <c r="AA272" s="33" t="n">
        <f aca="false">IF(OR($J272="—",$J272=""),0,IF(COUNTIF(Decisions!$A$5:$A$300,$J272)=0,1,0))</f>
        <v>0</v>
      </c>
      <c r="AB272" s="32" t="n">
        <f aca="false">IF(AND($F272="原始數據",$S272&lt;&gt;"Active"),1,0)</f>
        <v>0</v>
      </c>
      <c r="AC272" s="32" t="n">
        <f aca="false">IF(AND(ISNUMBER($K272),ISNUMBER($L272),ISNUMBER($Q272)),IF(OR($Q272&lt;MIN($K272,$L272),$Q272&gt;MAX($K272,$L272)),1,0),0)</f>
        <v>0</v>
      </c>
      <c r="AD272" s="32" t="n">
        <f aca="false">IF(AND(ISNUMBER($T272),$P272="高"),IF($T272=3,1,0),0)</f>
        <v>0</v>
      </c>
      <c r="AE272" s="32" t="n">
        <f aca="false">IF($S272="不存在",1,0)</f>
        <v>0</v>
      </c>
      <c r="AF272" s="44" t="str">
        <f aca="false">IF(OR($H272="—",$H272=""),"—",MATCH($H272,IDX_SrcID,0))</f>
        <v>—</v>
      </c>
      <c r="AG272" s="32" t="n">
        <f aca="false">IF(AND($P272="高",OR($AD272=1,$X272=1)),1,0)</f>
        <v>0</v>
      </c>
      <c r="AH272" s="32" t="n">
        <f aca="false">IF(AND($P272="高",$AG272=0,OR($F272&lt;&gt;"原始數據",$T272&lt;&gt;1)),1,0)</f>
        <v>0</v>
      </c>
      <c r="AI272" s="44" t="str">
        <f aca="false">IF(AND($P272="高",ISNUMBER($AF272)),INDEX(IDX_SrcDate,$AF272),"—")</f>
        <v>—</v>
      </c>
      <c r="AJ272" s="32" t="n">
        <f aca="false">IF(AND(ISTEXT($AI272),LEN($AI272)=10),IF(ISNUMBER(VALUE(SUBSTITUTE($AI272,"-",""))),VALUE(SUBSTITUTE($AI272,"-","")),0),0)</f>
        <v>0</v>
      </c>
    </row>
    <row r="273" customFormat="false" ht="15" hidden="false" customHeight="true" outlineLevel="0" collapsed="false">
      <c r="A273" s="30" t="s">
        <v>5223</v>
      </c>
      <c r="B273" s="239" t="s">
        <v>4525</v>
      </c>
      <c r="C273" s="30" t="s">
        <v>5191</v>
      </c>
      <c r="D273" s="30" t="s">
        <v>4711</v>
      </c>
      <c r="E273" s="20" t="s">
        <v>5220</v>
      </c>
      <c r="F273" s="30" t="s">
        <v>114</v>
      </c>
      <c r="G273" s="239" t="s">
        <v>4527</v>
      </c>
      <c r="H273" s="30" t="s">
        <v>751</v>
      </c>
      <c r="I273" s="6" t="s">
        <v>751</v>
      </c>
      <c r="J273" s="30" t="s">
        <v>751</v>
      </c>
      <c r="K273" s="184" t="n">
        <f aca="false">Workload!F8*0.5</f>
        <v>200</v>
      </c>
      <c r="L273" s="184" t="n">
        <f aca="false">Workload!F8*2</f>
        <v>800</v>
      </c>
      <c r="M273" s="30" t="s">
        <v>5174</v>
      </c>
      <c r="N273" s="240" t="str">
        <f aca="false">Workload!$H$8&amp;" ｜補充旗標（IF 全欄分段，非分段依據）：高"</f>
        <v>Assumed；服務端思考占比待查 ｜補充旗標（IF 全欄分段，非分段依據）：高</v>
      </c>
      <c r="O273" s="6" t="s">
        <v>751</v>
      </c>
      <c r="P273" s="239" t="s">
        <v>4586</v>
      </c>
      <c r="Q273" s="49" t="n">
        <f aca="false">Workload!F8</f>
        <v>400</v>
      </c>
      <c r="R273" s="30" t="s">
        <v>751</v>
      </c>
      <c r="S273" s="44" t="str">
        <f aca="false">IF(ISNUMBER($AF273),INDEX(IDX_SrcStat,$AF273),"—")</f>
        <v>—</v>
      </c>
      <c r="T273" s="44" t="str">
        <f aca="false">IF(ISNUMBER($AF273),INDEX(IDX_SrcGrade,$AF273),"—")</f>
        <v>—</v>
      </c>
      <c r="U273" s="44" t="s">
        <v>4531</v>
      </c>
      <c r="V273" s="32" t="n">
        <f aca="false">IF(AND($F273="原始數據",$U273&lt;&gt;"連結 SRC"),1,0)</f>
        <v>0</v>
      </c>
      <c r="W273" s="32" t="n">
        <f aca="false">IF(AND($F273="Analogy",OR($H273="—",$H273="")),1,0)</f>
        <v>0</v>
      </c>
      <c r="X273" s="32" t="n">
        <f aca="false">IF(AND(OR($F273="Analogy",$F273="Assumed"),$G273&lt;&gt;"低",$G273&lt;&gt;"高",NOT(ISNUMBER($K273)),NOT(ISNUMBER($L273)),OR($M273="—",$M273="")),1,0)</f>
        <v>0</v>
      </c>
      <c r="Y273" s="32" t="n">
        <f aca="false">IF(AND(OR($F273="Analogy",$F273="Assumed",$F273="Derived（待改公式）",$F273="Derived（公式）"),OR($N273="—",$N273="",$N273=0)),1,0)</f>
        <v>0</v>
      </c>
      <c r="Z273" s="32" t="n">
        <f aca="false">IF(AND($F273="Decision",OR($J273="—",$J273="")),1,0)</f>
        <v>0</v>
      </c>
      <c r="AA273" s="33" t="n">
        <f aca="false">IF(OR($J273="—",$J273=""),0,IF(COUNTIF(Decisions!$A$5:$A$300,$J273)=0,1,0))</f>
        <v>0</v>
      </c>
      <c r="AB273" s="32" t="n">
        <f aca="false">IF(AND($F273="原始數據",$S273&lt;&gt;"Active"),1,0)</f>
        <v>0</v>
      </c>
      <c r="AC273" s="32" t="n">
        <f aca="false">IF(AND(ISNUMBER($K273),ISNUMBER($L273),ISNUMBER($Q273)),IF(OR($Q273&lt;MIN($K273,$L273),$Q273&gt;MAX($K273,$L273)),1,0),0)</f>
        <v>0</v>
      </c>
      <c r="AD273" s="32" t="n">
        <f aca="false">IF(AND(ISNUMBER($T273),$P273="高"),IF($T273=3,1,0),0)</f>
        <v>0</v>
      </c>
      <c r="AE273" s="32" t="n">
        <f aca="false">IF($S273="不存在",1,0)</f>
        <v>0</v>
      </c>
      <c r="AF273" s="44" t="str">
        <f aca="false">IF(OR($H273="—",$H273=""),"—",MATCH($H273,IDX_SrcID,0))</f>
        <v>—</v>
      </c>
      <c r="AG273" s="32" t="n">
        <f aca="false">IF(AND($P273="高",OR($AD273=1,$X273=1)),1,0)</f>
        <v>0</v>
      </c>
      <c r="AH273" s="32" t="n">
        <f aca="false">IF(AND($P273="高",$AG273=0,OR($F273&lt;&gt;"原始數據",$T273&lt;&gt;1)),1,0)</f>
        <v>0</v>
      </c>
      <c r="AI273" s="44" t="str">
        <f aca="false">IF(AND($P273="高",ISNUMBER($AF273)),INDEX(IDX_SrcDate,$AF273),"—")</f>
        <v>—</v>
      </c>
      <c r="AJ273" s="32" t="n">
        <f aca="false">IF(AND(ISTEXT($AI273),LEN($AI273)=10),IF(ISNUMBER(VALUE(SUBSTITUTE($AI273,"-",""))),VALUE(SUBSTITUTE($AI273,"-","")),0),0)</f>
        <v>0</v>
      </c>
    </row>
    <row r="274" customFormat="false" ht="15" hidden="false" customHeight="true" outlineLevel="0" collapsed="false">
      <c r="A274" s="30" t="s">
        <v>5224</v>
      </c>
      <c r="B274" s="239" t="s">
        <v>4525</v>
      </c>
      <c r="C274" s="30" t="s">
        <v>5191</v>
      </c>
      <c r="D274" s="30" t="s">
        <v>4714</v>
      </c>
      <c r="E274" s="20" t="s">
        <v>5220</v>
      </c>
      <c r="F274" s="30" t="s">
        <v>114</v>
      </c>
      <c r="G274" s="239" t="s">
        <v>4527</v>
      </c>
      <c r="H274" s="30" t="s">
        <v>751</v>
      </c>
      <c r="I274" s="6" t="s">
        <v>751</v>
      </c>
      <c r="J274" s="30" t="s">
        <v>751</v>
      </c>
      <c r="K274" s="184" t="n">
        <f aca="false">Workload!G8*0.5</f>
        <v>300</v>
      </c>
      <c r="L274" s="184" t="n">
        <f aca="false">Workload!G8*2</f>
        <v>1200</v>
      </c>
      <c r="M274" s="30" t="s">
        <v>5174</v>
      </c>
      <c r="N274" s="240" t="str">
        <f aca="false">Workload!$H$8&amp;" ｜補充旗標（IF 全欄分段，非分段依據）：高"&amp;" ｜v5.19 X2 升段：單變數擺動 −21.5%／+43.0%（低／高端；L1_Ans9）；chat 端掃描 2026-10-06"&amp;" ｜v5.20 X3：6.2 齊備（DB_Evidence E239；摘要級）"</f>
        <v>Assumed；服務端思考占比待查 ｜補充旗標（IF 全欄分段，非分段依據）：高 ｜v5.19 X2 升段：單變數擺動 −21.5%／+43.0%（低／高端；L1_Ans9）；chat 端掃描 2026-10-06 ｜v5.20 X3：6.2 齊備（DB_Evidence E239；摘要級）</v>
      </c>
      <c r="O274" s="6" t="s">
        <v>751</v>
      </c>
      <c r="P274" s="239" t="s">
        <v>1309</v>
      </c>
      <c r="Q274" s="49" t="n">
        <f aca="false">Workload!G8</f>
        <v>600</v>
      </c>
      <c r="R274" s="30" t="s">
        <v>751</v>
      </c>
      <c r="S274" s="44" t="str">
        <f aca="false">IF(ISNUMBER($AF274),INDEX(IDX_SrcStat,$AF274),"—")</f>
        <v>—</v>
      </c>
      <c r="T274" s="44" t="str">
        <f aca="false">IF(ISNUMBER($AF274),INDEX(IDX_SrcGrade,$AF274),"—")</f>
        <v>—</v>
      </c>
      <c r="U274" s="44" t="s">
        <v>4531</v>
      </c>
      <c r="V274" s="32" t="n">
        <f aca="false">IF(AND($F274="原始數據",$U274&lt;&gt;"連結 SRC"),1,0)</f>
        <v>0</v>
      </c>
      <c r="W274" s="32" t="n">
        <f aca="false">IF(AND($F274="Analogy",OR($H274="—",$H274="")),1,0)</f>
        <v>0</v>
      </c>
      <c r="X274" s="32" t="n">
        <f aca="false">IF(AND(OR($F274="Analogy",$F274="Assumed"),$G274&lt;&gt;"低",$G274&lt;&gt;"高",NOT(ISNUMBER($K274)),NOT(ISNUMBER($L274)),OR($M274="—",$M274="")),1,0)</f>
        <v>0</v>
      </c>
      <c r="Y274" s="32" t="n">
        <f aca="false">IF(AND(OR($F274="Analogy",$F274="Assumed",$F274="Derived（待改公式）",$F274="Derived（公式）"),OR($N274="—",$N274="",$N274=0)),1,0)</f>
        <v>0</v>
      </c>
      <c r="Z274" s="32" t="n">
        <f aca="false">IF(AND($F274="Decision",OR($J274="—",$J274="")),1,0)</f>
        <v>0</v>
      </c>
      <c r="AA274" s="33" t="n">
        <f aca="false">IF(OR($J274="—",$J274=""),0,IF(COUNTIF(Decisions!$A$5:$A$300,$J274)=0,1,0))</f>
        <v>0</v>
      </c>
      <c r="AB274" s="32" t="n">
        <f aca="false">IF(AND($F274="原始數據",$S274&lt;&gt;"Active"),1,0)</f>
        <v>0</v>
      </c>
      <c r="AC274" s="32" t="n">
        <f aca="false">IF(AND(ISNUMBER($K274),ISNUMBER($L274),ISNUMBER($Q274)),IF(OR($Q274&lt;MIN($K274,$L274),$Q274&gt;MAX($K274,$L274)),1,0),0)</f>
        <v>0</v>
      </c>
      <c r="AD274" s="32" t="n">
        <f aca="false">IF(AND(ISNUMBER($T274),$P274="高"),IF($T274=3,1,0),0)</f>
        <v>0</v>
      </c>
      <c r="AE274" s="32" t="n">
        <f aca="false">IF($S274="不存在",1,0)</f>
        <v>0</v>
      </c>
      <c r="AF274" s="44" t="str">
        <f aca="false">IF(OR($H274="—",$H274=""),"—",MATCH($H274,IDX_SrcID,0))</f>
        <v>—</v>
      </c>
      <c r="AG274" s="32" t="n">
        <f aca="false">IF(AND($P274="高",OR($AD274=1,$X274=1)),1,0)</f>
        <v>0</v>
      </c>
      <c r="AH274" s="32" t="n">
        <f aca="false">IF(AND($P274="高",$AG274=0,OR($F274&lt;&gt;"原始數據",$T274&lt;&gt;1)),1,0)</f>
        <v>1</v>
      </c>
      <c r="AI274" s="44" t="str">
        <f aca="false">IF(AND($P274="高",ISNUMBER($AF274)),INDEX(IDX_SrcDate,$AF274),"—")</f>
        <v>—</v>
      </c>
      <c r="AJ274" s="32" t="n">
        <f aca="false">IF(AND(ISTEXT($AI274),LEN($AI274)=10),IF(ISNUMBER(VALUE(SUBSTITUTE($AI274,"-",""))),VALUE(SUBSTITUTE($AI274,"-","")),0),0)</f>
        <v>0</v>
      </c>
    </row>
    <row r="275" customFormat="false" ht="29.25" hidden="false" customHeight="true" outlineLevel="0" collapsed="false">
      <c r="A275" s="30" t="s">
        <v>5225</v>
      </c>
      <c r="B275" s="239" t="s">
        <v>4525</v>
      </c>
      <c r="C275" s="30" t="s">
        <v>5191</v>
      </c>
      <c r="D275" s="30" t="s">
        <v>4717</v>
      </c>
      <c r="E275" s="20" t="s">
        <v>5226</v>
      </c>
      <c r="F275" s="30" t="s">
        <v>114</v>
      </c>
      <c r="G275" s="239" t="s">
        <v>4527</v>
      </c>
      <c r="H275" s="30" t="s">
        <v>751</v>
      </c>
      <c r="I275" s="6" t="s">
        <v>751</v>
      </c>
      <c r="J275" s="30" t="s">
        <v>751</v>
      </c>
      <c r="K275" s="184" t="n">
        <f aca="false">Workload!C9*0.5</f>
        <v>250</v>
      </c>
      <c r="L275" s="184" t="n">
        <f aca="false">Workload!C9*2</f>
        <v>1000</v>
      </c>
      <c r="M275" s="30" t="s">
        <v>5174</v>
      </c>
      <c r="N275" s="20" t="s">
        <v>5206</v>
      </c>
      <c r="O275" s="6" t="s">
        <v>751</v>
      </c>
      <c r="P275" s="239" t="s">
        <v>4586</v>
      </c>
      <c r="Q275" s="49" t="n">
        <f aca="false">Workload!C9</f>
        <v>500</v>
      </c>
      <c r="R275" s="30" t="s">
        <v>751</v>
      </c>
      <c r="S275" s="44" t="str">
        <f aca="false">IF(ISNUMBER($AF275),INDEX(IDX_SrcStat,$AF275),"—")</f>
        <v>—</v>
      </c>
      <c r="T275" s="44" t="str">
        <f aca="false">IF(ISNUMBER($AF275),INDEX(IDX_SrcGrade,$AF275),"—")</f>
        <v>—</v>
      </c>
      <c r="U275" s="44" t="s">
        <v>4531</v>
      </c>
      <c r="V275" s="32" t="n">
        <f aca="false">IF(AND($F275="原始數據",$U275&lt;&gt;"連結 SRC"),1,0)</f>
        <v>0</v>
      </c>
      <c r="W275" s="32" t="n">
        <f aca="false">IF(AND($F275="Analogy",OR($H275="—",$H275="")),1,0)</f>
        <v>0</v>
      </c>
      <c r="X275" s="32" t="n">
        <f aca="false">IF(AND(OR($F275="Analogy",$F275="Assumed"),$G275&lt;&gt;"低",$G275&lt;&gt;"高",NOT(ISNUMBER($K275)),NOT(ISNUMBER($L275)),OR($M275="—",$M275="")),1,0)</f>
        <v>0</v>
      </c>
      <c r="Y275" s="32" t="n">
        <f aca="false">IF(AND(OR($F275="Analogy",$F275="Assumed",$F275="Derived（待改公式）",$F275="Derived（公式）"),OR($N275="—",$N275="",$N275=0)),1,0)</f>
        <v>0</v>
      </c>
      <c r="Z275" s="32" t="n">
        <f aca="false">IF(AND($F275="Decision",OR($J275="—",$J275="")),1,0)</f>
        <v>0</v>
      </c>
      <c r="AA275" s="33" t="n">
        <f aca="false">IF(OR($J275="—",$J275=""),0,IF(COUNTIF(Decisions!$A$5:$A$300,$J275)=0,1,0))</f>
        <v>0</v>
      </c>
      <c r="AB275" s="32" t="n">
        <f aca="false">IF(AND($F275="原始數據",$S275&lt;&gt;"Active"),1,0)</f>
        <v>0</v>
      </c>
      <c r="AC275" s="32" t="n">
        <f aca="false">IF(AND(ISNUMBER($K275),ISNUMBER($L275),ISNUMBER($Q275)),IF(OR($Q275&lt;MIN($K275,$L275),$Q275&gt;MAX($K275,$L275)),1,0),0)</f>
        <v>0</v>
      </c>
      <c r="AD275" s="32" t="n">
        <f aca="false">IF(AND(ISNUMBER($T275),$P275="高"),IF($T275=3,1,0),0)</f>
        <v>0</v>
      </c>
      <c r="AE275" s="32" t="n">
        <f aca="false">IF($S275="不存在",1,0)</f>
        <v>0</v>
      </c>
      <c r="AF275" s="44" t="str">
        <f aca="false">IF(OR($H275="—",$H275=""),"—",MATCH($H275,IDX_SrcID,0))</f>
        <v>—</v>
      </c>
      <c r="AG275" s="32" t="n">
        <f aca="false">IF(AND($P275="高",OR($AD275=1,$X275=1)),1,0)</f>
        <v>0</v>
      </c>
      <c r="AH275" s="32" t="n">
        <f aca="false">IF(AND($P275="高",$AG275=0,OR($F275&lt;&gt;"原始數據",$T275&lt;&gt;1)),1,0)</f>
        <v>0</v>
      </c>
      <c r="AI275" s="44" t="str">
        <f aca="false">IF(AND($P275="高",ISNUMBER($AF275)),INDEX(IDX_SrcDate,$AF275),"—")</f>
        <v>—</v>
      </c>
      <c r="AJ275" s="32" t="n">
        <f aca="false">IF(AND(ISTEXT($AI275),LEN($AI275)=10),IF(ISNUMBER(VALUE(SUBSTITUTE($AI275,"-",""))),VALUE(SUBSTITUTE($AI275,"-","")),0),0)</f>
        <v>0</v>
      </c>
    </row>
    <row r="276" customFormat="false" ht="29.25" hidden="false" customHeight="true" outlineLevel="0" collapsed="false">
      <c r="A276" s="30" t="s">
        <v>5227</v>
      </c>
      <c r="B276" s="239" t="s">
        <v>4525</v>
      </c>
      <c r="C276" s="30" t="s">
        <v>5191</v>
      </c>
      <c r="D276" s="30" t="s">
        <v>4540</v>
      </c>
      <c r="E276" s="20" t="s">
        <v>5226</v>
      </c>
      <c r="F276" s="30" t="s">
        <v>114</v>
      </c>
      <c r="G276" s="239" t="s">
        <v>4527</v>
      </c>
      <c r="H276" s="30" t="s">
        <v>751</v>
      </c>
      <c r="I276" s="6" t="s">
        <v>751</v>
      </c>
      <c r="J276" s="30" t="s">
        <v>751</v>
      </c>
      <c r="K276" s="184" t="n">
        <f aca="false">Workload!D9*0.5</f>
        <v>350</v>
      </c>
      <c r="L276" s="184" t="n">
        <f aca="false">Workload!D9*2</f>
        <v>1400</v>
      </c>
      <c r="M276" s="30" t="s">
        <v>5174</v>
      </c>
      <c r="N276" s="20" t="s">
        <v>5206</v>
      </c>
      <c r="O276" s="6" t="s">
        <v>751</v>
      </c>
      <c r="P276" s="239" t="s">
        <v>4586</v>
      </c>
      <c r="Q276" s="49" t="n">
        <f aca="false">Workload!D9</f>
        <v>700</v>
      </c>
      <c r="R276" s="30" t="s">
        <v>751</v>
      </c>
      <c r="S276" s="44" t="str">
        <f aca="false">IF(ISNUMBER($AF276),INDEX(IDX_SrcStat,$AF276),"—")</f>
        <v>—</v>
      </c>
      <c r="T276" s="44" t="str">
        <f aca="false">IF(ISNUMBER($AF276),INDEX(IDX_SrcGrade,$AF276),"—")</f>
        <v>—</v>
      </c>
      <c r="U276" s="44" t="s">
        <v>4531</v>
      </c>
      <c r="V276" s="32" t="n">
        <f aca="false">IF(AND($F276="原始數據",$U276&lt;&gt;"連結 SRC"),1,0)</f>
        <v>0</v>
      </c>
      <c r="W276" s="32" t="n">
        <f aca="false">IF(AND($F276="Analogy",OR($H276="—",$H276="")),1,0)</f>
        <v>0</v>
      </c>
      <c r="X276" s="32" t="n">
        <f aca="false">IF(AND(OR($F276="Analogy",$F276="Assumed"),$G276&lt;&gt;"低",$G276&lt;&gt;"高",NOT(ISNUMBER($K276)),NOT(ISNUMBER($L276)),OR($M276="—",$M276="")),1,0)</f>
        <v>0</v>
      </c>
      <c r="Y276" s="32" t="n">
        <f aca="false">IF(AND(OR($F276="Analogy",$F276="Assumed",$F276="Derived（待改公式）",$F276="Derived（公式）"),OR($N276="—",$N276="",$N276=0)),1,0)</f>
        <v>0</v>
      </c>
      <c r="Z276" s="32" t="n">
        <f aca="false">IF(AND($F276="Decision",OR($J276="—",$J276="")),1,0)</f>
        <v>0</v>
      </c>
      <c r="AA276" s="33" t="n">
        <f aca="false">IF(OR($J276="—",$J276=""),0,IF(COUNTIF(Decisions!$A$5:$A$300,$J276)=0,1,0))</f>
        <v>0</v>
      </c>
      <c r="AB276" s="32" t="n">
        <f aca="false">IF(AND($F276="原始數據",$S276&lt;&gt;"Active"),1,0)</f>
        <v>0</v>
      </c>
      <c r="AC276" s="32" t="n">
        <f aca="false">IF(AND(ISNUMBER($K276),ISNUMBER($L276),ISNUMBER($Q276)),IF(OR($Q276&lt;MIN($K276,$L276),$Q276&gt;MAX($K276,$L276)),1,0),0)</f>
        <v>0</v>
      </c>
      <c r="AD276" s="32" t="n">
        <f aca="false">IF(AND(ISNUMBER($T276),$P276="高"),IF($T276=3,1,0),0)</f>
        <v>0</v>
      </c>
      <c r="AE276" s="32" t="n">
        <f aca="false">IF($S276="不存在",1,0)</f>
        <v>0</v>
      </c>
      <c r="AF276" s="44" t="str">
        <f aca="false">IF(OR($H276="—",$H276=""),"—",MATCH($H276,IDX_SrcID,0))</f>
        <v>—</v>
      </c>
      <c r="AG276" s="32" t="n">
        <f aca="false">IF(AND($P276="高",OR($AD276=1,$X276=1)),1,0)</f>
        <v>0</v>
      </c>
      <c r="AH276" s="32" t="n">
        <f aca="false">IF(AND($P276="高",$AG276=0,OR($F276&lt;&gt;"原始數據",$T276&lt;&gt;1)),1,0)</f>
        <v>0</v>
      </c>
      <c r="AI276" s="44" t="str">
        <f aca="false">IF(AND($P276="高",ISNUMBER($AF276)),INDEX(IDX_SrcDate,$AF276),"—")</f>
        <v>—</v>
      </c>
      <c r="AJ276" s="32" t="n">
        <f aca="false">IF(AND(ISTEXT($AI276),LEN($AI276)=10),IF(ISNUMBER(VALUE(SUBSTITUTE($AI276,"-",""))),VALUE(SUBSTITUTE($AI276,"-","")),0),0)</f>
        <v>0</v>
      </c>
    </row>
    <row r="277" customFormat="false" ht="29.25" hidden="false" customHeight="true" outlineLevel="0" collapsed="false">
      <c r="A277" s="30" t="s">
        <v>5228</v>
      </c>
      <c r="B277" s="239" t="s">
        <v>4525</v>
      </c>
      <c r="C277" s="30" t="s">
        <v>5191</v>
      </c>
      <c r="D277" s="30" t="s">
        <v>4316</v>
      </c>
      <c r="E277" s="20" t="s">
        <v>5226</v>
      </c>
      <c r="F277" s="30" t="s">
        <v>114</v>
      </c>
      <c r="G277" s="239" t="s">
        <v>4527</v>
      </c>
      <c r="H277" s="30" t="s">
        <v>751</v>
      </c>
      <c r="I277" s="6" t="s">
        <v>751</v>
      </c>
      <c r="J277" s="30" t="s">
        <v>751</v>
      </c>
      <c r="K277" s="184" t="n">
        <f aca="false">Workload!E9*0.5</f>
        <v>100</v>
      </c>
      <c r="L277" s="184" t="n">
        <f aca="false">Workload!E9*2</f>
        <v>400</v>
      </c>
      <c r="M277" s="30" t="s">
        <v>5174</v>
      </c>
      <c r="N277" s="20" t="s">
        <v>5206</v>
      </c>
      <c r="O277" s="6" t="s">
        <v>751</v>
      </c>
      <c r="P277" s="239" t="s">
        <v>4586</v>
      </c>
      <c r="Q277" s="49" t="n">
        <f aca="false">Workload!E9</f>
        <v>200</v>
      </c>
      <c r="R277" s="30" t="s">
        <v>751</v>
      </c>
      <c r="S277" s="44" t="str">
        <f aca="false">IF(ISNUMBER($AF277),INDEX(IDX_SrcStat,$AF277),"—")</f>
        <v>—</v>
      </c>
      <c r="T277" s="44" t="str">
        <f aca="false">IF(ISNUMBER($AF277),INDEX(IDX_SrcGrade,$AF277),"—")</f>
        <v>—</v>
      </c>
      <c r="U277" s="44" t="s">
        <v>4531</v>
      </c>
      <c r="V277" s="32" t="n">
        <f aca="false">IF(AND($F277="原始數據",$U277&lt;&gt;"連結 SRC"),1,0)</f>
        <v>0</v>
      </c>
      <c r="W277" s="32" t="n">
        <f aca="false">IF(AND($F277="Analogy",OR($H277="—",$H277="")),1,0)</f>
        <v>0</v>
      </c>
      <c r="X277" s="32" t="n">
        <f aca="false">IF(AND(OR($F277="Analogy",$F277="Assumed"),$G277&lt;&gt;"低",$G277&lt;&gt;"高",NOT(ISNUMBER($K277)),NOT(ISNUMBER($L277)),OR($M277="—",$M277="")),1,0)</f>
        <v>0</v>
      </c>
      <c r="Y277" s="32" t="n">
        <f aca="false">IF(AND(OR($F277="Analogy",$F277="Assumed",$F277="Derived（待改公式）",$F277="Derived（公式）"),OR($N277="—",$N277="",$N277=0)),1,0)</f>
        <v>0</v>
      </c>
      <c r="Z277" s="32" t="n">
        <f aca="false">IF(AND($F277="Decision",OR($J277="—",$J277="")),1,0)</f>
        <v>0</v>
      </c>
      <c r="AA277" s="33" t="n">
        <f aca="false">IF(OR($J277="—",$J277=""),0,IF(COUNTIF(Decisions!$A$5:$A$300,$J277)=0,1,0))</f>
        <v>0</v>
      </c>
      <c r="AB277" s="32" t="n">
        <f aca="false">IF(AND($F277="原始數據",$S277&lt;&gt;"Active"),1,0)</f>
        <v>0</v>
      </c>
      <c r="AC277" s="32" t="n">
        <f aca="false">IF(AND(ISNUMBER($K277),ISNUMBER($L277),ISNUMBER($Q277)),IF(OR($Q277&lt;MIN($K277,$L277),$Q277&gt;MAX($K277,$L277)),1,0),0)</f>
        <v>0</v>
      </c>
      <c r="AD277" s="32" t="n">
        <f aca="false">IF(AND(ISNUMBER($T277),$P277="高"),IF($T277=3,1,0),0)</f>
        <v>0</v>
      </c>
      <c r="AE277" s="32" t="n">
        <f aca="false">IF($S277="不存在",1,0)</f>
        <v>0</v>
      </c>
      <c r="AF277" s="44" t="str">
        <f aca="false">IF(OR($H277="—",$H277=""),"—",MATCH($H277,IDX_SrcID,0))</f>
        <v>—</v>
      </c>
      <c r="AG277" s="32" t="n">
        <f aca="false">IF(AND($P277="高",OR($AD277=1,$X277=1)),1,0)</f>
        <v>0</v>
      </c>
      <c r="AH277" s="32" t="n">
        <f aca="false">IF(AND($P277="高",$AG277=0,OR($F277&lt;&gt;"原始數據",$T277&lt;&gt;1)),1,0)</f>
        <v>0</v>
      </c>
      <c r="AI277" s="44" t="str">
        <f aca="false">IF(AND($P277="高",ISNUMBER($AF277)),INDEX(IDX_SrcDate,$AF277),"—")</f>
        <v>—</v>
      </c>
      <c r="AJ277" s="32" t="n">
        <f aca="false">IF(AND(ISTEXT($AI277),LEN($AI277)=10),IF(ISNUMBER(VALUE(SUBSTITUTE($AI277,"-",""))),VALUE(SUBSTITUTE($AI277,"-","")),0),0)</f>
        <v>0</v>
      </c>
    </row>
    <row r="278" customFormat="false" ht="29.25" hidden="false" customHeight="true" outlineLevel="0" collapsed="false">
      <c r="A278" s="30" t="s">
        <v>5229</v>
      </c>
      <c r="B278" s="239" t="s">
        <v>4525</v>
      </c>
      <c r="C278" s="30" t="s">
        <v>5191</v>
      </c>
      <c r="D278" s="30" t="s">
        <v>4542</v>
      </c>
      <c r="E278" s="20" t="s">
        <v>5226</v>
      </c>
      <c r="F278" s="30" t="s">
        <v>114</v>
      </c>
      <c r="G278" s="239" t="s">
        <v>4527</v>
      </c>
      <c r="H278" s="30" t="s">
        <v>751</v>
      </c>
      <c r="I278" s="6" t="s">
        <v>751</v>
      </c>
      <c r="J278" s="30" t="s">
        <v>751</v>
      </c>
      <c r="K278" s="184" t="n">
        <f aca="false">Workload!F9*0.5</f>
        <v>100</v>
      </c>
      <c r="L278" s="184" t="n">
        <f aca="false">Workload!F9*2</f>
        <v>400</v>
      </c>
      <c r="M278" s="30" t="s">
        <v>5174</v>
      </c>
      <c r="N278" s="20" t="s">
        <v>5206</v>
      </c>
      <c r="O278" s="6" t="s">
        <v>751</v>
      </c>
      <c r="P278" s="239" t="s">
        <v>4586</v>
      </c>
      <c r="Q278" s="49" t="n">
        <f aca="false">Workload!F9</f>
        <v>200</v>
      </c>
      <c r="R278" s="30" t="s">
        <v>751</v>
      </c>
      <c r="S278" s="44" t="str">
        <f aca="false">IF(ISNUMBER($AF278),INDEX(IDX_SrcStat,$AF278),"—")</f>
        <v>—</v>
      </c>
      <c r="T278" s="44" t="str">
        <f aca="false">IF(ISNUMBER($AF278),INDEX(IDX_SrcGrade,$AF278),"—")</f>
        <v>—</v>
      </c>
      <c r="U278" s="44" t="s">
        <v>4531</v>
      </c>
      <c r="V278" s="32" t="n">
        <f aca="false">IF(AND($F278="原始數據",$U278&lt;&gt;"連結 SRC"),1,0)</f>
        <v>0</v>
      </c>
      <c r="W278" s="32" t="n">
        <f aca="false">IF(AND($F278="Analogy",OR($H278="—",$H278="")),1,0)</f>
        <v>0</v>
      </c>
      <c r="X278" s="32" t="n">
        <f aca="false">IF(AND(OR($F278="Analogy",$F278="Assumed"),$G278&lt;&gt;"低",$G278&lt;&gt;"高",NOT(ISNUMBER($K278)),NOT(ISNUMBER($L278)),OR($M278="—",$M278="")),1,0)</f>
        <v>0</v>
      </c>
      <c r="Y278" s="32" t="n">
        <f aca="false">IF(AND(OR($F278="Analogy",$F278="Assumed",$F278="Derived（待改公式）",$F278="Derived（公式）"),OR($N278="—",$N278="",$N278=0)),1,0)</f>
        <v>0</v>
      </c>
      <c r="Z278" s="32" t="n">
        <f aca="false">IF(AND($F278="Decision",OR($J278="—",$J278="")),1,0)</f>
        <v>0</v>
      </c>
      <c r="AA278" s="33" t="n">
        <f aca="false">IF(OR($J278="—",$J278=""),0,IF(COUNTIF(Decisions!$A$5:$A$300,$J278)=0,1,0))</f>
        <v>0</v>
      </c>
      <c r="AB278" s="32" t="n">
        <f aca="false">IF(AND($F278="原始數據",$S278&lt;&gt;"Active"),1,0)</f>
        <v>0</v>
      </c>
      <c r="AC278" s="32" t="n">
        <f aca="false">IF(AND(ISNUMBER($K278),ISNUMBER($L278),ISNUMBER($Q278)),IF(OR($Q278&lt;MIN($K278,$L278),$Q278&gt;MAX($K278,$L278)),1,0),0)</f>
        <v>0</v>
      </c>
      <c r="AD278" s="32" t="n">
        <f aca="false">IF(AND(ISNUMBER($T278),$P278="高"),IF($T278=3,1,0),0)</f>
        <v>0</v>
      </c>
      <c r="AE278" s="32" t="n">
        <f aca="false">IF($S278="不存在",1,0)</f>
        <v>0</v>
      </c>
      <c r="AF278" s="44" t="str">
        <f aca="false">IF(OR($H278="—",$H278=""),"—",MATCH($H278,IDX_SrcID,0))</f>
        <v>—</v>
      </c>
      <c r="AG278" s="32" t="n">
        <f aca="false">IF(AND($P278="高",OR($AD278=1,$X278=1)),1,0)</f>
        <v>0</v>
      </c>
      <c r="AH278" s="32" t="n">
        <f aca="false">IF(AND($P278="高",$AG278=0,OR($F278&lt;&gt;"原始數據",$T278&lt;&gt;1)),1,0)</f>
        <v>0</v>
      </c>
      <c r="AI278" s="44" t="str">
        <f aca="false">IF(AND($P278="高",ISNUMBER($AF278)),INDEX(IDX_SrcDate,$AF278),"—")</f>
        <v>—</v>
      </c>
      <c r="AJ278" s="32" t="n">
        <f aca="false">IF(AND(ISTEXT($AI278),LEN($AI278)=10),IF(ISNUMBER(VALUE(SUBSTITUTE($AI278,"-",""))),VALUE(SUBSTITUTE($AI278,"-","")),0),0)</f>
        <v>0</v>
      </c>
    </row>
    <row r="279" customFormat="false" ht="29.25" hidden="false" customHeight="true" outlineLevel="0" collapsed="false">
      <c r="A279" s="30" t="s">
        <v>5230</v>
      </c>
      <c r="B279" s="239" t="s">
        <v>4525</v>
      </c>
      <c r="C279" s="30" t="s">
        <v>5191</v>
      </c>
      <c r="D279" s="30" t="s">
        <v>4732</v>
      </c>
      <c r="E279" s="20" t="s">
        <v>5226</v>
      </c>
      <c r="F279" s="30" t="s">
        <v>114</v>
      </c>
      <c r="G279" s="239" t="s">
        <v>4527</v>
      </c>
      <c r="H279" s="30" t="s">
        <v>751</v>
      </c>
      <c r="I279" s="6" t="s">
        <v>751</v>
      </c>
      <c r="J279" s="30" t="s">
        <v>751</v>
      </c>
      <c r="K279" s="184" t="n">
        <f aca="false">Workload!G9*0.5</f>
        <v>200</v>
      </c>
      <c r="L279" s="184" t="n">
        <f aca="false">Workload!G9*2</f>
        <v>800</v>
      </c>
      <c r="M279" s="30" t="s">
        <v>5174</v>
      </c>
      <c r="N279" s="20" t="s">
        <v>5231</v>
      </c>
      <c r="O279" s="6" t="s">
        <v>751</v>
      </c>
      <c r="P279" s="239" t="s">
        <v>1309</v>
      </c>
      <c r="Q279" s="49" t="n">
        <f aca="false">Workload!G9</f>
        <v>400</v>
      </c>
      <c r="R279" s="30" t="s">
        <v>751</v>
      </c>
      <c r="S279" s="44" t="str">
        <f aca="false">IF(ISNUMBER($AF279),INDEX(IDX_SrcStat,$AF279),"—")</f>
        <v>—</v>
      </c>
      <c r="T279" s="44" t="str">
        <f aca="false">IF(ISNUMBER($AF279),INDEX(IDX_SrcGrade,$AF279),"—")</f>
        <v>—</v>
      </c>
      <c r="U279" s="44" t="s">
        <v>4531</v>
      </c>
      <c r="V279" s="32" t="n">
        <f aca="false">IF(AND($F279="原始數據",$U279&lt;&gt;"連結 SRC"),1,0)</f>
        <v>0</v>
      </c>
      <c r="W279" s="32" t="n">
        <f aca="false">IF(AND($F279="Analogy",OR($H279="—",$H279="")),1,0)</f>
        <v>0</v>
      </c>
      <c r="X279" s="32" t="n">
        <f aca="false">IF(AND(OR($F279="Analogy",$F279="Assumed"),$G279&lt;&gt;"低",$G279&lt;&gt;"高",NOT(ISNUMBER($K279)),NOT(ISNUMBER($L279)),OR($M279="—",$M279="")),1,0)</f>
        <v>0</v>
      </c>
      <c r="Y279" s="32" t="n">
        <f aca="false">IF(AND(OR($F279="Analogy",$F279="Assumed",$F279="Derived（待改公式）",$F279="Derived（公式）"),OR($N279="—",$N279="",$N279=0)),1,0)</f>
        <v>0</v>
      </c>
      <c r="Z279" s="32" t="n">
        <f aca="false">IF(AND($F279="Decision",OR($J279="—",$J279="")),1,0)</f>
        <v>0</v>
      </c>
      <c r="AA279" s="33" t="n">
        <f aca="false">IF(OR($J279="—",$J279=""),0,IF(COUNTIF(Decisions!$A$5:$A$300,$J279)=0,1,0))</f>
        <v>0</v>
      </c>
      <c r="AB279" s="32" t="n">
        <f aca="false">IF(AND($F279="原始數據",$S279&lt;&gt;"Active"),1,0)</f>
        <v>0</v>
      </c>
      <c r="AC279" s="32" t="n">
        <f aca="false">IF(AND(ISNUMBER($K279),ISNUMBER($L279),ISNUMBER($Q279)),IF(OR($Q279&lt;MIN($K279,$L279),$Q279&gt;MAX($K279,$L279)),1,0),0)</f>
        <v>0</v>
      </c>
      <c r="AD279" s="32" t="n">
        <f aca="false">IF(AND(ISNUMBER($T279),$P279="高"),IF($T279=3,1,0),0)</f>
        <v>0</v>
      </c>
      <c r="AE279" s="32" t="n">
        <f aca="false">IF($S279="不存在",1,0)</f>
        <v>0</v>
      </c>
      <c r="AF279" s="44" t="str">
        <f aca="false">IF(OR($H279="—",$H279=""),"—",MATCH($H279,IDX_SrcID,0))</f>
        <v>—</v>
      </c>
      <c r="AG279" s="32" t="n">
        <f aca="false">IF(AND($P279="高",OR($AD279=1,$X279=1)),1,0)</f>
        <v>0</v>
      </c>
      <c r="AH279" s="32" t="n">
        <f aca="false">IF(AND($P279="高",$AG279=0,OR($F279&lt;&gt;"原始數據",$T279&lt;&gt;1)),1,0)</f>
        <v>1</v>
      </c>
      <c r="AI279" s="44" t="str">
        <f aca="false">IF(AND($P279="高",ISNUMBER($AF279)),INDEX(IDX_SrcDate,$AF279),"—")</f>
        <v>—</v>
      </c>
      <c r="AJ279" s="32" t="n">
        <f aca="false">IF(AND(ISTEXT($AI279),LEN($AI279)=10),IF(ISNUMBER(VALUE(SUBSTITUTE($AI279,"-",""))),VALUE(SUBSTITUTE($AI279,"-","")),0),0)</f>
        <v>0</v>
      </c>
    </row>
    <row r="280" customFormat="false" ht="29.25" hidden="false" customHeight="true" outlineLevel="0" collapsed="false">
      <c r="A280" s="30" t="s">
        <v>5232</v>
      </c>
      <c r="B280" s="239" t="s">
        <v>4525</v>
      </c>
      <c r="C280" s="30" t="s">
        <v>5191</v>
      </c>
      <c r="D280" s="30" t="s">
        <v>4737</v>
      </c>
      <c r="E280" s="20" t="s">
        <v>5233</v>
      </c>
      <c r="F280" s="30" t="s">
        <v>114</v>
      </c>
      <c r="G280" s="239" t="s">
        <v>4527</v>
      </c>
      <c r="H280" s="30" t="s">
        <v>751</v>
      </c>
      <c r="I280" s="6" t="s">
        <v>751</v>
      </c>
      <c r="J280" s="30" t="s">
        <v>751</v>
      </c>
      <c r="K280" s="241" t="n">
        <v>0</v>
      </c>
      <c r="L280" s="241" t="n">
        <v>1</v>
      </c>
      <c r="M280" s="30" t="s">
        <v>5234</v>
      </c>
      <c r="N280" s="240" t="str">
        <f aca="false">Workload!$H$10</f>
        <v>Assumed：多數 API 不保留前輪思考（標準 harness）</v>
      </c>
      <c r="O280" s="6" t="s">
        <v>751</v>
      </c>
      <c r="P280" s="239" t="s">
        <v>4530</v>
      </c>
      <c r="Q280" s="194" t="n">
        <f aca="false">Workload!C10</f>
        <v>0</v>
      </c>
      <c r="R280" s="30" t="s">
        <v>751</v>
      </c>
      <c r="S280" s="44" t="str">
        <f aca="false">IF(ISNUMBER($AF280),INDEX(IDX_SrcStat,$AF280),"—")</f>
        <v>—</v>
      </c>
      <c r="T280" s="44" t="str">
        <f aca="false">IF(ISNUMBER($AF280),INDEX(IDX_SrcGrade,$AF280),"—")</f>
        <v>—</v>
      </c>
      <c r="U280" s="44" t="s">
        <v>4531</v>
      </c>
      <c r="V280" s="32" t="n">
        <f aca="false">IF(AND($F280="原始數據",$U280&lt;&gt;"連結 SRC"),1,0)</f>
        <v>0</v>
      </c>
      <c r="W280" s="32" t="n">
        <f aca="false">IF(AND($F280="Analogy",OR($H280="—",$H280="")),1,0)</f>
        <v>0</v>
      </c>
      <c r="X280" s="32" t="n">
        <f aca="false">IF(AND(OR($F280="Analogy",$F280="Assumed"),$G280&lt;&gt;"低",$G280&lt;&gt;"高",NOT(ISNUMBER($K280)),NOT(ISNUMBER($L280)),OR($M280="—",$M280="")),1,0)</f>
        <v>0</v>
      </c>
      <c r="Y280" s="32" t="n">
        <f aca="false">IF(AND(OR($F280="Analogy",$F280="Assumed",$F280="Derived（待改公式）",$F280="Derived（公式）"),OR($N280="—",$N280="",$N280=0)),1,0)</f>
        <v>0</v>
      </c>
      <c r="Z280" s="32" t="n">
        <f aca="false">IF(AND($F280="Decision",OR($J280="—",$J280="")),1,0)</f>
        <v>0</v>
      </c>
      <c r="AA280" s="33" t="n">
        <f aca="false">IF(OR($J280="—",$J280=""),0,IF(COUNTIF(Decisions!$A$5:$A$300,$J280)=0,1,0))</f>
        <v>0</v>
      </c>
      <c r="AB280" s="32" t="n">
        <f aca="false">IF(AND($F280="原始數據",$S280&lt;&gt;"Active"),1,0)</f>
        <v>0</v>
      </c>
      <c r="AC280" s="32" t="n">
        <f aca="false">IF(AND(ISNUMBER($K280),ISNUMBER($L280),ISNUMBER($Q280)),IF(OR($Q280&lt;MIN($K280,$L280),$Q280&gt;MAX($K280,$L280)),1,0),0)</f>
        <v>0</v>
      </c>
      <c r="AD280" s="32" t="n">
        <f aca="false">IF(AND(ISNUMBER($T280),$P280="高"),IF($T280=3,1,0),0)</f>
        <v>0</v>
      </c>
      <c r="AE280" s="32" t="n">
        <f aca="false">IF($S280="不存在",1,0)</f>
        <v>0</v>
      </c>
      <c r="AF280" s="44" t="str">
        <f aca="false">IF(OR($H280="—",$H280=""),"—",MATCH($H280,IDX_SrcID,0))</f>
        <v>—</v>
      </c>
      <c r="AG280" s="32" t="n">
        <f aca="false">IF(AND($P280="高",OR($AD280=1,$X280=1)),1,0)</f>
        <v>0</v>
      </c>
      <c r="AH280" s="32" t="n">
        <f aca="false">IF(AND($P280="高",$AG280=0,OR($F280&lt;&gt;"原始數據",$T280&lt;&gt;1)),1,0)</f>
        <v>0</v>
      </c>
      <c r="AI280" s="44" t="str">
        <f aca="false">IF(AND($P280="高",ISNUMBER($AF280)),INDEX(IDX_SrcDate,$AF280),"—")</f>
        <v>—</v>
      </c>
      <c r="AJ280" s="32" t="n">
        <f aca="false">IF(AND(ISTEXT($AI280),LEN($AI280)=10),IF(ISNUMBER(VALUE(SUBSTITUTE($AI280,"-",""))),VALUE(SUBSTITUTE($AI280,"-","")),0),0)</f>
        <v>0</v>
      </c>
    </row>
    <row r="281" customFormat="false" ht="29.25" hidden="false" customHeight="true" outlineLevel="0" collapsed="false">
      <c r="A281" s="30" t="s">
        <v>5235</v>
      </c>
      <c r="B281" s="239" t="s">
        <v>4525</v>
      </c>
      <c r="C281" s="30" t="s">
        <v>5191</v>
      </c>
      <c r="D281" s="30" t="s">
        <v>4545</v>
      </c>
      <c r="E281" s="20" t="s">
        <v>5233</v>
      </c>
      <c r="F281" s="30" t="s">
        <v>114</v>
      </c>
      <c r="G281" s="239" t="s">
        <v>4527</v>
      </c>
      <c r="H281" s="30" t="s">
        <v>751</v>
      </c>
      <c r="I281" s="6" t="s">
        <v>751</v>
      </c>
      <c r="J281" s="30" t="s">
        <v>751</v>
      </c>
      <c r="K281" s="241" t="n">
        <v>0</v>
      </c>
      <c r="L281" s="241" t="n">
        <v>1</v>
      </c>
      <c r="M281" s="30" t="s">
        <v>5234</v>
      </c>
      <c r="N281" s="240" t="str">
        <f aca="false">Workload!$H$10</f>
        <v>Assumed：多數 API 不保留前輪思考（標準 harness）</v>
      </c>
      <c r="O281" s="6" t="s">
        <v>751</v>
      </c>
      <c r="P281" s="239" t="s">
        <v>4530</v>
      </c>
      <c r="Q281" s="194" t="n">
        <f aca="false">Workload!D10</f>
        <v>0</v>
      </c>
      <c r="R281" s="30" t="s">
        <v>751</v>
      </c>
      <c r="S281" s="44" t="str">
        <f aca="false">IF(ISNUMBER($AF281),INDEX(IDX_SrcStat,$AF281),"—")</f>
        <v>—</v>
      </c>
      <c r="T281" s="44" t="str">
        <f aca="false">IF(ISNUMBER($AF281),INDEX(IDX_SrcGrade,$AF281),"—")</f>
        <v>—</v>
      </c>
      <c r="U281" s="44" t="s">
        <v>4531</v>
      </c>
      <c r="V281" s="32" t="n">
        <f aca="false">IF(AND($F281="原始數據",$U281&lt;&gt;"連結 SRC"),1,0)</f>
        <v>0</v>
      </c>
      <c r="W281" s="32" t="n">
        <f aca="false">IF(AND($F281="Analogy",OR($H281="—",$H281="")),1,0)</f>
        <v>0</v>
      </c>
      <c r="X281" s="32" t="n">
        <f aca="false">IF(AND(OR($F281="Analogy",$F281="Assumed"),$G281&lt;&gt;"低",$G281&lt;&gt;"高",NOT(ISNUMBER($K281)),NOT(ISNUMBER($L281)),OR($M281="—",$M281="")),1,0)</f>
        <v>0</v>
      </c>
      <c r="Y281" s="32" t="n">
        <f aca="false">IF(AND(OR($F281="Analogy",$F281="Assumed",$F281="Derived（待改公式）",$F281="Derived（公式）"),OR($N281="—",$N281="",$N281=0)),1,0)</f>
        <v>0</v>
      </c>
      <c r="Z281" s="32" t="n">
        <f aca="false">IF(AND($F281="Decision",OR($J281="—",$J281="")),1,0)</f>
        <v>0</v>
      </c>
      <c r="AA281" s="33" t="n">
        <f aca="false">IF(OR($J281="—",$J281=""),0,IF(COUNTIF(Decisions!$A$5:$A$300,$J281)=0,1,0))</f>
        <v>0</v>
      </c>
      <c r="AB281" s="32" t="n">
        <f aca="false">IF(AND($F281="原始數據",$S281&lt;&gt;"Active"),1,0)</f>
        <v>0</v>
      </c>
      <c r="AC281" s="32" t="n">
        <f aca="false">IF(AND(ISNUMBER($K281),ISNUMBER($L281),ISNUMBER($Q281)),IF(OR($Q281&lt;MIN($K281,$L281),$Q281&gt;MAX($K281,$L281)),1,0),0)</f>
        <v>0</v>
      </c>
      <c r="AD281" s="32" t="n">
        <f aca="false">IF(AND(ISNUMBER($T281),$P281="高"),IF($T281=3,1,0),0)</f>
        <v>0</v>
      </c>
      <c r="AE281" s="32" t="n">
        <f aca="false">IF($S281="不存在",1,0)</f>
        <v>0</v>
      </c>
      <c r="AF281" s="44" t="str">
        <f aca="false">IF(OR($H281="—",$H281=""),"—",MATCH($H281,IDX_SrcID,0))</f>
        <v>—</v>
      </c>
      <c r="AG281" s="32" t="n">
        <f aca="false">IF(AND($P281="高",OR($AD281=1,$X281=1)),1,0)</f>
        <v>0</v>
      </c>
      <c r="AH281" s="32" t="n">
        <f aca="false">IF(AND($P281="高",$AG281=0,OR($F281&lt;&gt;"原始數據",$T281&lt;&gt;1)),1,0)</f>
        <v>0</v>
      </c>
      <c r="AI281" s="44" t="str">
        <f aca="false">IF(AND($P281="高",ISNUMBER($AF281)),INDEX(IDX_SrcDate,$AF281),"—")</f>
        <v>—</v>
      </c>
      <c r="AJ281" s="32" t="n">
        <f aca="false">IF(AND(ISTEXT($AI281),LEN($AI281)=10),IF(ISNUMBER(VALUE(SUBSTITUTE($AI281,"-",""))),VALUE(SUBSTITUTE($AI281,"-","")),0),0)</f>
        <v>0</v>
      </c>
    </row>
    <row r="282" customFormat="false" ht="29.25" hidden="false" customHeight="true" outlineLevel="0" collapsed="false">
      <c r="A282" s="30" t="s">
        <v>5236</v>
      </c>
      <c r="B282" s="239" t="s">
        <v>4525</v>
      </c>
      <c r="C282" s="30" t="s">
        <v>5191</v>
      </c>
      <c r="D282" s="30" t="s">
        <v>4319</v>
      </c>
      <c r="E282" s="20" t="s">
        <v>5233</v>
      </c>
      <c r="F282" s="30" t="s">
        <v>114</v>
      </c>
      <c r="G282" s="239" t="s">
        <v>4527</v>
      </c>
      <c r="H282" s="30" t="s">
        <v>751</v>
      </c>
      <c r="I282" s="6" t="s">
        <v>751</v>
      </c>
      <c r="J282" s="30" t="s">
        <v>751</v>
      </c>
      <c r="K282" s="241" t="n">
        <v>0</v>
      </c>
      <c r="L282" s="241" t="n">
        <v>1</v>
      </c>
      <c r="M282" s="30" t="s">
        <v>5234</v>
      </c>
      <c r="N282" s="240" t="str">
        <f aca="false">Workload!$H$10</f>
        <v>Assumed：多數 API 不保留前輪思考（標準 harness）</v>
      </c>
      <c r="O282" s="6" t="s">
        <v>751</v>
      </c>
      <c r="P282" s="239" t="s">
        <v>4530</v>
      </c>
      <c r="Q282" s="194" t="n">
        <f aca="false">Workload!E10</f>
        <v>0</v>
      </c>
      <c r="R282" s="30" t="s">
        <v>751</v>
      </c>
      <c r="S282" s="44" t="str">
        <f aca="false">IF(ISNUMBER($AF282),INDEX(IDX_SrcStat,$AF282),"—")</f>
        <v>—</v>
      </c>
      <c r="T282" s="44" t="str">
        <f aca="false">IF(ISNUMBER($AF282),INDEX(IDX_SrcGrade,$AF282),"—")</f>
        <v>—</v>
      </c>
      <c r="U282" s="44" t="s">
        <v>4531</v>
      </c>
      <c r="V282" s="32" t="n">
        <f aca="false">IF(AND($F282="原始數據",$U282&lt;&gt;"連結 SRC"),1,0)</f>
        <v>0</v>
      </c>
      <c r="W282" s="32" t="n">
        <f aca="false">IF(AND($F282="Analogy",OR($H282="—",$H282="")),1,0)</f>
        <v>0</v>
      </c>
      <c r="X282" s="32" t="n">
        <f aca="false">IF(AND(OR($F282="Analogy",$F282="Assumed"),$G282&lt;&gt;"低",$G282&lt;&gt;"高",NOT(ISNUMBER($K282)),NOT(ISNUMBER($L282)),OR($M282="—",$M282="")),1,0)</f>
        <v>0</v>
      </c>
      <c r="Y282" s="32" t="n">
        <f aca="false">IF(AND(OR($F282="Analogy",$F282="Assumed",$F282="Derived（待改公式）",$F282="Derived（公式）"),OR($N282="—",$N282="",$N282=0)),1,0)</f>
        <v>0</v>
      </c>
      <c r="Z282" s="32" t="n">
        <f aca="false">IF(AND($F282="Decision",OR($J282="—",$J282="")),1,0)</f>
        <v>0</v>
      </c>
      <c r="AA282" s="33" t="n">
        <f aca="false">IF(OR($J282="—",$J282=""),0,IF(COUNTIF(Decisions!$A$5:$A$300,$J282)=0,1,0))</f>
        <v>0</v>
      </c>
      <c r="AB282" s="32" t="n">
        <f aca="false">IF(AND($F282="原始數據",$S282&lt;&gt;"Active"),1,0)</f>
        <v>0</v>
      </c>
      <c r="AC282" s="32" t="n">
        <f aca="false">IF(AND(ISNUMBER($K282),ISNUMBER($L282),ISNUMBER($Q282)),IF(OR($Q282&lt;MIN($K282,$L282),$Q282&gt;MAX($K282,$L282)),1,0),0)</f>
        <v>0</v>
      </c>
      <c r="AD282" s="32" t="n">
        <f aca="false">IF(AND(ISNUMBER($T282),$P282="高"),IF($T282=3,1,0),0)</f>
        <v>0</v>
      </c>
      <c r="AE282" s="32" t="n">
        <f aca="false">IF($S282="不存在",1,0)</f>
        <v>0</v>
      </c>
      <c r="AF282" s="44" t="str">
        <f aca="false">IF(OR($H282="—",$H282=""),"—",MATCH($H282,IDX_SrcID,0))</f>
        <v>—</v>
      </c>
      <c r="AG282" s="32" t="n">
        <f aca="false">IF(AND($P282="高",OR($AD282=1,$X282=1)),1,0)</f>
        <v>0</v>
      </c>
      <c r="AH282" s="32" t="n">
        <f aca="false">IF(AND($P282="高",$AG282=0,OR($F282&lt;&gt;"原始數據",$T282&lt;&gt;1)),1,0)</f>
        <v>0</v>
      </c>
      <c r="AI282" s="44" t="str">
        <f aca="false">IF(AND($P282="高",ISNUMBER($AF282)),INDEX(IDX_SrcDate,$AF282),"—")</f>
        <v>—</v>
      </c>
      <c r="AJ282" s="32" t="n">
        <f aca="false">IF(AND(ISTEXT($AI282),LEN($AI282)=10),IF(ISNUMBER(VALUE(SUBSTITUTE($AI282,"-",""))),VALUE(SUBSTITUTE($AI282,"-","")),0),0)</f>
        <v>0</v>
      </c>
    </row>
    <row r="283" customFormat="false" ht="29.25" hidden="false" customHeight="true" outlineLevel="0" collapsed="false">
      <c r="A283" s="30" t="s">
        <v>5237</v>
      </c>
      <c r="B283" s="239" t="s">
        <v>4525</v>
      </c>
      <c r="C283" s="30" t="s">
        <v>5191</v>
      </c>
      <c r="D283" s="30" t="s">
        <v>4547</v>
      </c>
      <c r="E283" s="20" t="s">
        <v>5233</v>
      </c>
      <c r="F283" s="30" t="s">
        <v>114</v>
      </c>
      <c r="G283" s="239" t="s">
        <v>4527</v>
      </c>
      <c r="H283" s="30" t="s">
        <v>751</v>
      </c>
      <c r="I283" s="6" t="s">
        <v>751</v>
      </c>
      <c r="J283" s="30" t="s">
        <v>751</v>
      </c>
      <c r="K283" s="241" t="n">
        <v>0</v>
      </c>
      <c r="L283" s="241" t="n">
        <v>1</v>
      </c>
      <c r="M283" s="30" t="s">
        <v>5234</v>
      </c>
      <c r="N283" s="240" t="str">
        <f aca="false">Workload!$H$10</f>
        <v>Assumed：多數 API 不保留前輪思考（標準 harness）</v>
      </c>
      <c r="O283" s="6" t="s">
        <v>751</v>
      </c>
      <c r="P283" s="239" t="s">
        <v>4530</v>
      </c>
      <c r="Q283" s="194" t="n">
        <f aca="false">Workload!F10</f>
        <v>0</v>
      </c>
      <c r="R283" s="30" t="s">
        <v>751</v>
      </c>
      <c r="S283" s="44" t="str">
        <f aca="false">IF(ISNUMBER($AF283),INDEX(IDX_SrcStat,$AF283),"—")</f>
        <v>—</v>
      </c>
      <c r="T283" s="44" t="str">
        <f aca="false">IF(ISNUMBER($AF283),INDEX(IDX_SrcGrade,$AF283),"—")</f>
        <v>—</v>
      </c>
      <c r="U283" s="44" t="s">
        <v>4531</v>
      </c>
      <c r="V283" s="32" t="n">
        <f aca="false">IF(AND($F283="原始數據",$U283&lt;&gt;"連結 SRC"),1,0)</f>
        <v>0</v>
      </c>
      <c r="W283" s="32" t="n">
        <f aca="false">IF(AND($F283="Analogy",OR($H283="—",$H283="")),1,0)</f>
        <v>0</v>
      </c>
      <c r="X283" s="32" t="n">
        <f aca="false">IF(AND(OR($F283="Analogy",$F283="Assumed"),$G283&lt;&gt;"低",$G283&lt;&gt;"高",NOT(ISNUMBER($K283)),NOT(ISNUMBER($L283)),OR($M283="—",$M283="")),1,0)</f>
        <v>0</v>
      </c>
      <c r="Y283" s="32" t="n">
        <f aca="false">IF(AND(OR($F283="Analogy",$F283="Assumed",$F283="Derived（待改公式）",$F283="Derived（公式）"),OR($N283="—",$N283="",$N283=0)),1,0)</f>
        <v>0</v>
      </c>
      <c r="Z283" s="32" t="n">
        <f aca="false">IF(AND($F283="Decision",OR($J283="—",$J283="")),1,0)</f>
        <v>0</v>
      </c>
      <c r="AA283" s="33" t="n">
        <f aca="false">IF(OR($J283="—",$J283=""),0,IF(COUNTIF(Decisions!$A$5:$A$300,$J283)=0,1,0))</f>
        <v>0</v>
      </c>
      <c r="AB283" s="32" t="n">
        <f aca="false">IF(AND($F283="原始數據",$S283&lt;&gt;"Active"),1,0)</f>
        <v>0</v>
      </c>
      <c r="AC283" s="32" t="n">
        <f aca="false">IF(AND(ISNUMBER($K283),ISNUMBER($L283),ISNUMBER($Q283)),IF(OR($Q283&lt;MIN($K283,$L283),$Q283&gt;MAX($K283,$L283)),1,0),0)</f>
        <v>0</v>
      </c>
      <c r="AD283" s="32" t="n">
        <f aca="false">IF(AND(ISNUMBER($T283),$P283="高"),IF($T283=3,1,0),0)</f>
        <v>0</v>
      </c>
      <c r="AE283" s="32" t="n">
        <f aca="false">IF($S283="不存在",1,0)</f>
        <v>0</v>
      </c>
      <c r="AF283" s="44" t="str">
        <f aca="false">IF(OR($H283="—",$H283=""),"—",MATCH($H283,IDX_SrcID,0))</f>
        <v>—</v>
      </c>
      <c r="AG283" s="32" t="n">
        <f aca="false">IF(AND($P283="高",OR($AD283=1,$X283=1)),1,0)</f>
        <v>0</v>
      </c>
      <c r="AH283" s="32" t="n">
        <f aca="false">IF(AND($P283="高",$AG283=0,OR($F283&lt;&gt;"原始數據",$T283&lt;&gt;1)),1,0)</f>
        <v>0</v>
      </c>
      <c r="AI283" s="44" t="str">
        <f aca="false">IF(AND($P283="高",ISNUMBER($AF283)),INDEX(IDX_SrcDate,$AF283),"—")</f>
        <v>—</v>
      </c>
      <c r="AJ283" s="32" t="n">
        <f aca="false">IF(AND(ISTEXT($AI283),LEN($AI283)=10),IF(ISNUMBER(VALUE(SUBSTITUTE($AI283,"-",""))),VALUE(SUBSTITUTE($AI283,"-","")),0),0)</f>
        <v>0</v>
      </c>
    </row>
    <row r="284" customFormat="false" ht="29.25" hidden="false" customHeight="true" outlineLevel="0" collapsed="false">
      <c r="A284" s="30" t="s">
        <v>5238</v>
      </c>
      <c r="B284" s="239" t="s">
        <v>4525</v>
      </c>
      <c r="C284" s="30" t="s">
        <v>5191</v>
      </c>
      <c r="D284" s="30" t="s">
        <v>4745</v>
      </c>
      <c r="E284" s="20" t="s">
        <v>5233</v>
      </c>
      <c r="F284" s="30" t="s">
        <v>114</v>
      </c>
      <c r="G284" s="239" t="s">
        <v>4527</v>
      </c>
      <c r="H284" s="30" t="s">
        <v>751</v>
      </c>
      <c r="I284" s="6" t="s">
        <v>751</v>
      </c>
      <c r="J284" s="30" t="s">
        <v>751</v>
      </c>
      <c r="K284" s="241" t="n">
        <v>0</v>
      </c>
      <c r="L284" s="241" t="n">
        <v>1</v>
      </c>
      <c r="M284" s="30" t="s">
        <v>5234</v>
      </c>
      <c r="N284" s="240" t="str">
        <f aca="false">Workload!$H$10</f>
        <v>Assumed：多數 API 不保留前輪思考（標準 harness）</v>
      </c>
      <c r="O284" s="6" t="s">
        <v>751</v>
      </c>
      <c r="P284" s="239" t="s">
        <v>4530</v>
      </c>
      <c r="Q284" s="194" t="n">
        <f aca="false">Workload!G10</f>
        <v>0</v>
      </c>
      <c r="R284" s="30" t="s">
        <v>751</v>
      </c>
      <c r="S284" s="44" t="str">
        <f aca="false">IF(ISNUMBER($AF284),INDEX(IDX_SrcStat,$AF284),"—")</f>
        <v>—</v>
      </c>
      <c r="T284" s="44" t="str">
        <f aca="false">IF(ISNUMBER($AF284),INDEX(IDX_SrcGrade,$AF284),"—")</f>
        <v>—</v>
      </c>
      <c r="U284" s="44" t="s">
        <v>4531</v>
      </c>
      <c r="V284" s="32" t="n">
        <f aca="false">IF(AND($F284="原始數據",$U284&lt;&gt;"連結 SRC"),1,0)</f>
        <v>0</v>
      </c>
      <c r="W284" s="32" t="n">
        <f aca="false">IF(AND($F284="Analogy",OR($H284="—",$H284="")),1,0)</f>
        <v>0</v>
      </c>
      <c r="X284" s="32" t="n">
        <f aca="false">IF(AND(OR($F284="Analogy",$F284="Assumed"),$G284&lt;&gt;"低",$G284&lt;&gt;"高",NOT(ISNUMBER($K284)),NOT(ISNUMBER($L284)),OR($M284="—",$M284="")),1,0)</f>
        <v>0</v>
      </c>
      <c r="Y284" s="32" t="n">
        <f aca="false">IF(AND(OR($F284="Analogy",$F284="Assumed",$F284="Derived（待改公式）",$F284="Derived（公式）"),OR($N284="—",$N284="",$N284=0)),1,0)</f>
        <v>0</v>
      </c>
      <c r="Z284" s="32" t="n">
        <f aca="false">IF(AND($F284="Decision",OR($J284="—",$J284="")),1,0)</f>
        <v>0</v>
      </c>
      <c r="AA284" s="33" t="n">
        <f aca="false">IF(OR($J284="—",$J284=""),0,IF(COUNTIF(Decisions!$A$5:$A$300,$J284)=0,1,0))</f>
        <v>0</v>
      </c>
      <c r="AB284" s="32" t="n">
        <f aca="false">IF(AND($F284="原始數據",$S284&lt;&gt;"Active"),1,0)</f>
        <v>0</v>
      </c>
      <c r="AC284" s="32" t="n">
        <f aca="false">IF(AND(ISNUMBER($K284),ISNUMBER($L284),ISNUMBER($Q284)),IF(OR($Q284&lt;MIN($K284,$L284),$Q284&gt;MAX($K284,$L284)),1,0),0)</f>
        <v>0</v>
      </c>
      <c r="AD284" s="32" t="n">
        <f aca="false">IF(AND(ISNUMBER($T284),$P284="高"),IF($T284=3,1,0),0)</f>
        <v>0</v>
      </c>
      <c r="AE284" s="32" t="n">
        <f aca="false">IF($S284="不存在",1,0)</f>
        <v>0</v>
      </c>
      <c r="AF284" s="44" t="str">
        <f aca="false">IF(OR($H284="—",$H284=""),"—",MATCH($H284,IDX_SrcID,0))</f>
        <v>—</v>
      </c>
      <c r="AG284" s="32" t="n">
        <f aca="false">IF(AND($P284="高",OR($AD284=1,$X284=1)),1,0)</f>
        <v>0</v>
      </c>
      <c r="AH284" s="32" t="n">
        <f aca="false">IF(AND($P284="高",$AG284=0,OR($F284&lt;&gt;"原始數據",$T284&lt;&gt;1)),1,0)</f>
        <v>0</v>
      </c>
      <c r="AI284" s="44" t="str">
        <f aca="false">IF(AND($P284="高",ISNUMBER($AF284)),INDEX(IDX_SrcDate,$AF284),"—")</f>
        <v>—</v>
      </c>
      <c r="AJ284" s="32" t="n">
        <f aca="false">IF(AND(ISTEXT($AI284),LEN($AI284)=10),IF(ISNUMBER(VALUE(SUBSTITUTE($AI284,"-",""))),VALUE(SUBSTITUTE($AI284,"-","")),0),0)</f>
        <v>0</v>
      </c>
    </row>
    <row r="285" customFormat="false" ht="15" hidden="false" customHeight="true" outlineLevel="0" collapsed="false">
      <c r="A285" s="30" t="s">
        <v>5239</v>
      </c>
      <c r="B285" s="239" t="s">
        <v>4525</v>
      </c>
      <c r="C285" s="30" t="s">
        <v>5191</v>
      </c>
      <c r="D285" s="30" t="s">
        <v>4748</v>
      </c>
      <c r="E285" s="20" t="s">
        <v>5240</v>
      </c>
      <c r="F285" s="30" t="s">
        <v>114</v>
      </c>
      <c r="G285" s="239" t="s">
        <v>4527</v>
      </c>
      <c r="H285" s="30" t="s">
        <v>751</v>
      </c>
      <c r="I285" s="6" t="s">
        <v>751</v>
      </c>
      <c r="J285" s="30" t="s">
        <v>751</v>
      </c>
      <c r="K285" s="241" t="n">
        <v>0.3</v>
      </c>
      <c r="L285" s="241" t="n">
        <v>0.7</v>
      </c>
      <c r="M285" s="30" t="s">
        <v>5241</v>
      </c>
      <c r="N285" s="240" t="str">
        <f aca="false">Workload!$H$11</f>
        <v>Assumed；代理迴圈前綴重用高</v>
      </c>
      <c r="O285" s="6" t="s">
        <v>751</v>
      </c>
      <c r="P285" s="239" t="s">
        <v>1309</v>
      </c>
      <c r="Q285" s="194" t="n">
        <f aca="false">Workload!C11</f>
        <v>0.5</v>
      </c>
      <c r="R285" s="30" t="s">
        <v>751</v>
      </c>
      <c r="S285" s="44" t="str">
        <f aca="false">IF(ISNUMBER($AF285),INDEX(IDX_SrcStat,$AF285),"—")</f>
        <v>—</v>
      </c>
      <c r="T285" s="44" t="str">
        <f aca="false">IF(ISNUMBER($AF285),INDEX(IDX_SrcGrade,$AF285),"—")</f>
        <v>—</v>
      </c>
      <c r="U285" s="44" t="s">
        <v>4531</v>
      </c>
      <c r="V285" s="32" t="n">
        <f aca="false">IF(AND($F285="原始數據",$U285&lt;&gt;"連結 SRC"),1,0)</f>
        <v>0</v>
      </c>
      <c r="W285" s="32" t="n">
        <f aca="false">IF(AND($F285="Analogy",OR($H285="—",$H285="")),1,0)</f>
        <v>0</v>
      </c>
      <c r="X285" s="32" t="n">
        <f aca="false">IF(AND(OR($F285="Analogy",$F285="Assumed"),$G285&lt;&gt;"低",$G285&lt;&gt;"高",NOT(ISNUMBER($K285)),NOT(ISNUMBER($L285)),OR($M285="—",$M285="")),1,0)</f>
        <v>0</v>
      </c>
      <c r="Y285" s="32" t="n">
        <f aca="false">IF(AND(OR($F285="Analogy",$F285="Assumed",$F285="Derived（待改公式）",$F285="Derived（公式）"),OR($N285="—",$N285="",$N285=0)),1,0)</f>
        <v>0</v>
      </c>
      <c r="Z285" s="32" t="n">
        <f aca="false">IF(AND($F285="Decision",OR($J285="—",$J285="")),1,0)</f>
        <v>0</v>
      </c>
      <c r="AA285" s="33" t="n">
        <f aca="false">IF(OR($J285="—",$J285=""),0,IF(COUNTIF(Decisions!$A$5:$A$300,$J285)=0,1,0))</f>
        <v>0</v>
      </c>
      <c r="AB285" s="32" t="n">
        <f aca="false">IF(AND($F285="原始數據",$S285&lt;&gt;"Active"),1,0)</f>
        <v>0</v>
      </c>
      <c r="AC285" s="32" t="n">
        <f aca="false">IF(AND(ISNUMBER($K285),ISNUMBER($L285),ISNUMBER($Q285)),IF(OR($Q285&lt;MIN($K285,$L285),$Q285&gt;MAX($K285,$L285)),1,0),0)</f>
        <v>0</v>
      </c>
      <c r="AD285" s="32" t="n">
        <f aca="false">IF(AND(ISNUMBER($T285),$P285="高"),IF($T285=3,1,0),0)</f>
        <v>0</v>
      </c>
      <c r="AE285" s="32" t="n">
        <f aca="false">IF($S285="不存在",1,0)</f>
        <v>0</v>
      </c>
      <c r="AF285" s="44" t="str">
        <f aca="false">IF(OR($H285="—",$H285=""),"—",MATCH($H285,IDX_SrcID,0))</f>
        <v>—</v>
      </c>
      <c r="AG285" s="32" t="n">
        <f aca="false">IF(AND($P285="高",OR($AD285=1,$X285=1)),1,0)</f>
        <v>0</v>
      </c>
      <c r="AH285" s="32" t="n">
        <f aca="false">IF(AND($P285="高",$AG285=0,OR($F285&lt;&gt;"原始數據",$T285&lt;&gt;1)),1,0)</f>
        <v>1</v>
      </c>
      <c r="AI285" s="44" t="str">
        <f aca="false">IF(AND($P285="高",ISNUMBER($AF285)),INDEX(IDX_SrcDate,$AF285),"—")</f>
        <v>—</v>
      </c>
      <c r="AJ285" s="32" t="n">
        <f aca="false">IF(AND(ISTEXT($AI285),LEN($AI285)=10),IF(ISNUMBER(VALUE(SUBSTITUTE($AI285,"-",""))),VALUE(SUBSTITUTE($AI285,"-","")),0),0)</f>
        <v>0</v>
      </c>
    </row>
    <row r="286" customFormat="false" ht="15" hidden="false" customHeight="true" outlineLevel="0" collapsed="false">
      <c r="A286" s="30" t="s">
        <v>5242</v>
      </c>
      <c r="B286" s="239" t="s">
        <v>4525</v>
      </c>
      <c r="C286" s="30" t="s">
        <v>5191</v>
      </c>
      <c r="D286" s="30" t="s">
        <v>4552</v>
      </c>
      <c r="E286" s="20" t="s">
        <v>5240</v>
      </c>
      <c r="F286" s="30" t="s">
        <v>114</v>
      </c>
      <c r="G286" s="239" t="s">
        <v>4527</v>
      </c>
      <c r="H286" s="30" t="s">
        <v>751</v>
      </c>
      <c r="I286" s="6" t="s">
        <v>751</v>
      </c>
      <c r="J286" s="30" t="s">
        <v>751</v>
      </c>
      <c r="K286" s="241" t="n">
        <v>0.3</v>
      </c>
      <c r="L286" s="241" t="n">
        <v>0.7</v>
      </c>
      <c r="M286" s="30" t="s">
        <v>5241</v>
      </c>
      <c r="N286" s="240" t="str">
        <f aca="false">Workload!$H$11</f>
        <v>Assumed；代理迴圈前綴重用高</v>
      </c>
      <c r="O286" s="6" t="s">
        <v>751</v>
      </c>
      <c r="P286" s="239" t="s">
        <v>1309</v>
      </c>
      <c r="Q286" s="194" t="n">
        <f aca="false">Workload!D11</f>
        <v>0.5</v>
      </c>
      <c r="R286" s="30" t="s">
        <v>751</v>
      </c>
      <c r="S286" s="44" t="str">
        <f aca="false">IF(ISNUMBER($AF286),INDEX(IDX_SrcStat,$AF286),"—")</f>
        <v>—</v>
      </c>
      <c r="T286" s="44" t="str">
        <f aca="false">IF(ISNUMBER($AF286),INDEX(IDX_SrcGrade,$AF286),"—")</f>
        <v>—</v>
      </c>
      <c r="U286" s="44" t="s">
        <v>4531</v>
      </c>
      <c r="V286" s="32" t="n">
        <f aca="false">IF(AND($F286="原始數據",$U286&lt;&gt;"連結 SRC"),1,0)</f>
        <v>0</v>
      </c>
      <c r="W286" s="32" t="n">
        <f aca="false">IF(AND($F286="Analogy",OR($H286="—",$H286="")),1,0)</f>
        <v>0</v>
      </c>
      <c r="X286" s="32" t="n">
        <f aca="false">IF(AND(OR($F286="Analogy",$F286="Assumed"),$G286&lt;&gt;"低",$G286&lt;&gt;"高",NOT(ISNUMBER($K286)),NOT(ISNUMBER($L286)),OR($M286="—",$M286="")),1,0)</f>
        <v>0</v>
      </c>
      <c r="Y286" s="32" t="n">
        <f aca="false">IF(AND(OR($F286="Analogy",$F286="Assumed",$F286="Derived（待改公式）",$F286="Derived（公式）"),OR($N286="—",$N286="",$N286=0)),1,0)</f>
        <v>0</v>
      </c>
      <c r="Z286" s="32" t="n">
        <f aca="false">IF(AND($F286="Decision",OR($J286="—",$J286="")),1,0)</f>
        <v>0</v>
      </c>
      <c r="AA286" s="33" t="n">
        <f aca="false">IF(OR($J286="—",$J286=""),0,IF(COUNTIF(Decisions!$A$5:$A$300,$J286)=0,1,0))</f>
        <v>0</v>
      </c>
      <c r="AB286" s="32" t="n">
        <f aca="false">IF(AND($F286="原始數據",$S286&lt;&gt;"Active"),1,0)</f>
        <v>0</v>
      </c>
      <c r="AC286" s="32" t="n">
        <f aca="false">IF(AND(ISNUMBER($K286),ISNUMBER($L286),ISNUMBER($Q286)),IF(OR($Q286&lt;MIN($K286,$L286),$Q286&gt;MAX($K286,$L286)),1,0),0)</f>
        <v>0</v>
      </c>
      <c r="AD286" s="32" t="n">
        <f aca="false">IF(AND(ISNUMBER($T286),$P286="高"),IF($T286=3,1,0),0)</f>
        <v>0</v>
      </c>
      <c r="AE286" s="32" t="n">
        <f aca="false">IF($S286="不存在",1,0)</f>
        <v>0</v>
      </c>
      <c r="AF286" s="44" t="str">
        <f aca="false">IF(OR($H286="—",$H286=""),"—",MATCH($H286,IDX_SrcID,0))</f>
        <v>—</v>
      </c>
      <c r="AG286" s="32" t="n">
        <f aca="false">IF(AND($P286="高",OR($AD286=1,$X286=1)),1,0)</f>
        <v>0</v>
      </c>
      <c r="AH286" s="32" t="n">
        <f aca="false">IF(AND($P286="高",$AG286=0,OR($F286&lt;&gt;"原始數據",$T286&lt;&gt;1)),1,0)</f>
        <v>1</v>
      </c>
      <c r="AI286" s="44" t="str">
        <f aca="false">IF(AND($P286="高",ISNUMBER($AF286)),INDEX(IDX_SrcDate,$AF286),"—")</f>
        <v>—</v>
      </c>
      <c r="AJ286" s="32" t="n">
        <f aca="false">IF(AND(ISTEXT($AI286),LEN($AI286)=10),IF(ISNUMBER(VALUE(SUBSTITUTE($AI286,"-",""))),VALUE(SUBSTITUTE($AI286,"-","")),0),0)</f>
        <v>0</v>
      </c>
    </row>
    <row r="287" customFormat="false" ht="15" hidden="false" customHeight="true" outlineLevel="0" collapsed="false">
      <c r="A287" s="30" t="s">
        <v>5243</v>
      </c>
      <c r="B287" s="239" t="s">
        <v>4525</v>
      </c>
      <c r="C287" s="30" t="s">
        <v>5191</v>
      </c>
      <c r="D287" s="30" t="s">
        <v>4322</v>
      </c>
      <c r="E287" s="20" t="s">
        <v>5240</v>
      </c>
      <c r="F287" s="30" t="s">
        <v>114</v>
      </c>
      <c r="G287" s="239" t="s">
        <v>4527</v>
      </c>
      <c r="H287" s="30" t="s">
        <v>751</v>
      </c>
      <c r="I287" s="6" t="s">
        <v>751</v>
      </c>
      <c r="J287" s="30" t="s">
        <v>751</v>
      </c>
      <c r="K287" s="241" t="n">
        <v>0.7</v>
      </c>
      <c r="L287" s="241" t="n">
        <v>0.95</v>
      </c>
      <c r="M287" s="30" t="s">
        <v>5244</v>
      </c>
      <c r="N287" s="240" t="str">
        <f aca="false">Workload!$H$11&amp;" ｜v5.18 r3 I1：區間不改，已涵蓋 Copilot 加權命中約 0.90（E209）；E:G 與 DeepSeek 56.3%（E210，C:D）"</f>
        <v>Assumed；代理迴圈前綴重用高 ｜v5.18 r3 I1：區間不改，已涵蓋 Copilot 加權命中約 0.90（E209）；E:G 與 DeepSeek 56.3%（E210，C:D）</v>
      </c>
      <c r="O287" s="6" t="s">
        <v>751</v>
      </c>
      <c r="P287" s="239" t="s">
        <v>1309</v>
      </c>
      <c r="Q287" s="194" t="n">
        <f aca="false">Workload!E11</f>
        <v>0.9</v>
      </c>
      <c r="R287" s="30" t="s">
        <v>751</v>
      </c>
      <c r="S287" s="44" t="str">
        <f aca="false">IF(ISNUMBER($AF287),INDEX(IDX_SrcStat,$AF287),"—")</f>
        <v>—</v>
      </c>
      <c r="T287" s="44" t="str">
        <f aca="false">IF(ISNUMBER($AF287),INDEX(IDX_SrcGrade,$AF287),"—")</f>
        <v>—</v>
      </c>
      <c r="U287" s="44" t="s">
        <v>4531</v>
      </c>
      <c r="V287" s="32" t="n">
        <f aca="false">IF(AND($F287="原始數據",$U287&lt;&gt;"連結 SRC"),1,0)</f>
        <v>0</v>
      </c>
      <c r="W287" s="32" t="n">
        <f aca="false">IF(AND($F287="Analogy",OR($H287="—",$H287="")),1,0)</f>
        <v>0</v>
      </c>
      <c r="X287" s="32" t="n">
        <f aca="false">IF(AND(OR($F287="Analogy",$F287="Assumed"),$G287&lt;&gt;"低",$G287&lt;&gt;"高",NOT(ISNUMBER($K287)),NOT(ISNUMBER($L287)),OR($M287="—",$M287="")),1,0)</f>
        <v>0</v>
      </c>
      <c r="Y287" s="32" t="n">
        <f aca="false">IF(AND(OR($F287="Analogy",$F287="Assumed",$F287="Derived（待改公式）",$F287="Derived（公式）"),OR($N287="—",$N287="",$N287=0)),1,0)</f>
        <v>0</v>
      </c>
      <c r="Z287" s="32" t="n">
        <f aca="false">IF(AND($F287="Decision",OR($J287="—",$J287="")),1,0)</f>
        <v>0</v>
      </c>
      <c r="AA287" s="33" t="n">
        <f aca="false">IF(OR($J287="—",$J287=""),0,IF(COUNTIF(Decisions!$A$5:$A$300,$J287)=0,1,0))</f>
        <v>0</v>
      </c>
      <c r="AB287" s="32" t="n">
        <f aca="false">IF(AND($F287="原始數據",$S287&lt;&gt;"Active"),1,0)</f>
        <v>0</v>
      </c>
      <c r="AC287" s="32" t="n">
        <f aca="false">IF(AND(ISNUMBER($K287),ISNUMBER($L287),ISNUMBER($Q287)),IF(OR($Q287&lt;MIN($K287,$L287),$Q287&gt;MAX($K287,$L287)),1,0),0)</f>
        <v>0</v>
      </c>
      <c r="AD287" s="32" t="n">
        <f aca="false">IF(AND(ISNUMBER($T287),$P287="高"),IF($T287=3,1,0),0)</f>
        <v>0</v>
      </c>
      <c r="AE287" s="32" t="n">
        <f aca="false">IF($S287="不存在",1,0)</f>
        <v>0</v>
      </c>
      <c r="AF287" s="44" t="str">
        <f aca="false">IF(OR($H287="—",$H287=""),"—",MATCH($H287,IDX_SrcID,0))</f>
        <v>—</v>
      </c>
      <c r="AG287" s="32" t="n">
        <f aca="false">IF(AND($P287="高",OR($AD287=1,$X287=1)),1,0)</f>
        <v>0</v>
      </c>
      <c r="AH287" s="32" t="n">
        <f aca="false">IF(AND($P287="高",$AG287=0,OR($F287&lt;&gt;"原始數據",$T287&lt;&gt;1)),1,0)</f>
        <v>1</v>
      </c>
      <c r="AI287" s="44" t="str">
        <f aca="false">IF(AND($P287="高",ISNUMBER($AF287)),INDEX(IDX_SrcDate,$AF287),"—")</f>
        <v>—</v>
      </c>
      <c r="AJ287" s="32" t="n">
        <f aca="false">IF(AND(ISTEXT($AI287),LEN($AI287)=10),IF(ISNUMBER(VALUE(SUBSTITUTE($AI287,"-",""))),VALUE(SUBSTITUTE($AI287,"-","")),0),0)</f>
        <v>0</v>
      </c>
    </row>
    <row r="288" customFormat="false" ht="15" hidden="false" customHeight="true" outlineLevel="0" collapsed="false">
      <c r="A288" s="30" t="s">
        <v>5245</v>
      </c>
      <c r="B288" s="239" t="s">
        <v>4525</v>
      </c>
      <c r="C288" s="30" t="s">
        <v>5191</v>
      </c>
      <c r="D288" s="30" t="s">
        <v>4554</v>
      </c>
      <c r="E288" s="20" t="s">
        <v>5240</v>
      </c>
      <c r="F288" s="30" t="s">
        <v>114</v>
      </c>
      <c r="G288" s="239" t="s">
        <v>4527</v>
      </c>
      <c r="H288" s="30" t="s">
        <v>751</v>
      </c>
      <c r="I288" s="6" t="s">
        <v>751</v>
      </c>
      <c r="J288" s="30" t="s">
        <v>751</v>
      </c>
      <c r="K288" s="241" t="n">
        <v>0.7</v>
      </c>
      <c r="L288" s="241" t="n">
        <v>0.95</v>
      </c>
      <c r="M288" s="30" t="s">
        <v>5244</v>
      </c>
      <c r="N288" s="240" t="str">
        <f aca="false">Workload!$H$11</f>
        <v>Assumed；代理迴圈前綴重用高</v>
      </c>
      <c r="O288" s="6" t="s">
        <v>751</v>
      </c>
      <c r="P288" s="239" t="s">
        <v>1309</v>
      </c>
      <c r="Q288" s="194" t="n">
        <f aca="false">Workload!F11</f>
        <v>0.9</v>
      </c>
      <c r="R288" s="30" t="s">
        <v>751</v>
      </c>
      <c r="S288" s="44" t="str">
        <f aca="false">IF(ISNUMBER($AF288),INDEX(IDX_SrcStat,$AF288),"—")</f>
        <v>—</v>
      </c>
      <c r="T288" s="44" t="str">
        <f aca="false">IF(ISNUMBER($AF288),INDEX(IDX_SrcGrade,$AF288),"—")</f>
        <v>—</v>
      </c>
      <c r="U288" s="44" t="s">
        <v>4531</v>
      </c>
      <c r="V288" s="32" t="n">
        <f aca="false">IF(AND($F288="原始數據",$U288&lt;&gt;"連結 SRC"),1,0)</f>
        <v>0</v>
      </c>
      <c r="W288" s="32" t="n">
        <f aca="false">IF(AND($F288="Analogy",OR($H288="—",$H288="")),1,0)</f>
        <v>0</v>
      </c>
      <c r="X288" s="32" t="n">
        <f aca="false">IF(AND(OR($F288="Analogy",$F288="Assumed"),$G288&lt;&gt;"低",$G288&lt;&gt;"高",NOT(ISNUMBER($K288)),NOT(ISNUMBER($L288)),OR($M288="—",$M288="")),1,0)</f>
        <v>0</v>
      </c>
      <c r="Y288" s="32" t="n">
        <f aca="false">IF(AND(OR($F288="Analogy",$F288="Assumed",$F288="Derived（待改公式）",$F288="Derived（公式）"),OR($N288="—",$N288="",$N288=0)),1,0)</f>
        <v>0</v>
      </c>
      <c r="Z288" s="32" t="n">
        <f aca="false">IF(AND($F288="Decision",OR($J288="—",$J288="")),1,0)</f>
        <v>0</v>
      </c>
      <c r="AA288" s="33" t="n">
        <f aca="false">IF(OR($J288="—",$J288=""),0,IF(COUNTIF(Decisions!$A$5:$A$300,$J288)=0,1,0))</f>
        <v>0</v>
      </c>
      <c r="AB288" s="32" t="n">
        <f aca="false">IF(AND($F288="原始數據",$S288&lt;&gt;"Active"),1,0)</f>
        <v>0</v>
      </c>
      <c r="AC288" s="32" t="n">
        <f aca="false">IF(AND(ISNUMBER($K288),ISNUMBER($L288),ISNUMBER($Q288)),IF(OR($Q288&lt;MIN($K288,$L288),$Q288&gt;MAX($K288,$L288)),1,0),0)</f>
        <v>0</v>
      </c>
      <c r="AD288" s="32" t="n">
        <f aca="false">IF(AND(ISNUMBER($T288),$P288="高"),IF($T288=3,1,0),0)</f>
        <v>0</v>
      </c>
      <c r="AE288" s="32" t="n">
        <f aca="false">IF($S288="不存在",1,0)</f>
        <v>0</v>
      </c>
      <c r="AF288" s="44" t="str">
        <f aca="false">IF(OR($H288="—",$H288=""),"—",MATCH($H288,IDX_SrcID,0))</f>
        <v>—</v>
      </c>
      <c r="AG288" s="32" t="n">
        <f aca="false">IF(AND($P288="高",OR($AD288=1,$X288=1)),1,0)</f>
        <v>0</v>
      </c>
      <c r="AH288" s="32" t="n">
        <f aca="false">IF(AND($P288="高",$AG288=0,OR($F288&lt;&gt;"原始數據",$T288&lt;&gt;1)),1,0)</f>
        <v>1</v>
      </c>
      <c r="AI288" s="44" t="str">
        <f aca="false">IF(AND($P288="高",ISNUMBER($AF288)),INDEX(IDX_SrcDate,$AF288),"—")</f>
        <v>—</v>
      </c>
      <c r="AJ288" s="32" t="n">
        <f aca="false">IF(AND(ISTEXT($AI288),LEN($AI288)=10),IF(ISNUMBER(VALUE(SUBSTITUTE($AI288,"-",""))),VALUE(SUBSTITUTE($AI288,"-","")),0),0)</f>
        <v>0</v>
      </c>
    </row>
    <row r="289" customFormat="false" ht="15" hidden="false" customHeight="true" outlineLevel="0" collapsed="false">
      <c r="A289" s="30" t="s">
        <v>5246</v>
      </c>
      <c r="B289" s="239" t="s">
        <v>4525</v>
      </c>
      <c r="C289" s="30" t="s">
        <v>5191</v>
      </c>
      <c r="D289" s="30" t="s">
        <v>4765</v>
      </c>
      <c r="E289" s="20" t="s">
        <v>5240</v>
      </c>
      <c r="F289" s="30" t="s">
        <v>114</v>
      </c>
      <c r="G289" s="239" t="s">
        <v>4527</v>
      </c>
      <c r="H289" s="30" t="s">
        <v>751</v>
      </c>
      <c r="I289" s="6" t="s">
        <v>751</v>
      </c>
      <c r="J289" s="30" t="s">
        <v>751</v>
      </c>
      <c r="K289" s="241" t="n">
        <v>0.7</v>
      </c>
      <c r="L289" s="241" t="n">
        <v>0.95</v>
      </c>
      <c r="M289" s="30" t="s">
        <v>5244</v>
      </c>
      <c r="N289" s="240" t="str">
        <f aca="false">Workload!$H$11</f>
        <v>Assumed；代理迴圈前綴重用高</v>
      </c>
      <c r="O289" s="6" t="s">
        <v>751</v>
      </c>
      <c r="P289" s="239" t="s">
        <v>1309</v>
      </c>
      <c r="Q289" s="194" t="n">
        <f aca="false">Workload!G11</f>
        <v>0.9</v>
      </c>
      <c r="R289" s="30" t="s">
        <v>751</v>
      </c>
      <c r="S289" s="44" t="str">
        <f aca="false">IF(ISNUMBER($AF289),INDEX(IDX_SrcStat,$AF289),"—")</f>
        <v>—</v>
      </c>
      <c r="T289" s="44" t="str">
        <f aca="false">IF(ISNUMBER($AF289),INDEX(IDX_SrcGrade,$AF289),"—")</f>
        <v>—</v>
      </c>
      <c r="U289" s="44" t="s">
        <v>4531</v>
      </c>
      <c r="V289" s="32" t="n">
        <f aca="false">IF(AND($F289="原始數據",$U289&lt;&gt;"連結 SRC"),1,0)</f>
        <v>0</v>
      </c>
      <c r="W289" s="32" t="n">
        <f aca="false">IF(AND($F289="Analogy",OR($H289="—",$H289="")),1,0)</f>
        <v>0</v>
      </c>
      <c r="X289" s="32" t="n">
        <f aca="false">IF(AND(OR($F289="Analogy",$F289="Assumed"),$G289&lt;&gt;"低",$G289&lt;&gt;"高",NOT(ISNUMBER($K289)),NOT(ISNUMBER($L289)),OR($M289="—",$M289="")),1,0)</f>
        <v>0</v>
      </c>
      <c r="Y289" s="32" t="n">
        <f aca="false">IF(AND(OR($F289="Analogy",$F289="Assumed",$F289="Derived（待改公式）",$F289="Derived（公式）"),OR($N289="—",$N289="",$N289=0)),1,0)</f>
        <v>0</v>
      </c>
      <c r="Z289" s="32" t="n">
        <f aca="false">IF(AND($F289="Decision",OR($J289="—",$J289="")),1,0)</f>
        <v>0</v>
      </c>
      <c r="AA289" s="33" t="n">
        <f aca="false">IF(OR($J289="—",$J289=""),0,IF(COUNTIF(Decisions!$A$5:$A$300,$J289)=0,1,0))</f>
        <v>0</v>
      </c>
      <c r="AB289" s="32" t="n">
        <f aca="false">IF(AND($F289="原始數據",$S289&lt;&gt;"Active"),1,0)</f>
        <v>0</v>
      </c>
      <c r="AC289" s="32" t="n">
        <f aca="false">IF(AND(ISNUMBER($K289),ISNUMBER($L289),ISNUMBER($Q289)),IF(OR($Q289&lt;MIN($K289,$L289),$Q289&gt;MAX($K289,$L289)),1,0),0)</f>
        <v>0</v>
      </c>
      <c r="AD289" s="32" t="n">
        <f aca="false">IF(AND(ISNUMBER($T289),$P289="高"),IF($T289=3,1,0),0)</f>
        <v>0</v>
      </c>
      <c r="AE289" s="32" t="n">
        <f aca="false">IF($S289="不存在",1,0)</f>
        <v>0</v>
      </c>
      <c r="AF289" s="44" t="str">
        <f aca="false">IF(OR($H289="—",$H289=""),"—",MATCH($H289,IDX_SrcID,0))</f>
        <v>—</v>
      </c>
      <c r="AG289" s="32" t="n">
        <f aca="false">IF(AND($P289="高",OR($AD289=1,$X289=1)),1,0)</f>
        <v>0</v>
      </c>
      <c r="AH289" s="32" t="n">
        <f aca="false">IF(AND($P289="高",$AG289=0,OR($F289&lt;&gt;"原始數據",$T289&lt;&gt;1)),1,0)</f>
        <v>1</v>
      </c>
      <c r="AI289" s="44" t="str">
        <f aca="false">IF(AND($P289="高",ISNUMBER($AF289)),INDEX(IDX_SrcDate,$AF289),"—")</f>
        <v>—</v>
      </c>
      <c r="AJ289" s="32" t="n">
        <f aca="false">IF(AND(ISTEXT($AI289),LEN($AI289)=10),IF(ISNUMBER(VALUE(SUBSTITUTE($AI289,"-",""))),VALUE(SUBSTITUTE($AI289,"-","")),0),0)</f>
        <v>0</v>
      </c>
    </row>
    <row r="290" customFormat="false" ht="15" hidden="false" customHeight="true" outlineLevel="0" collapsed="false">
      <c r="A290" s="30" t="s">
        <v>5247</v>
      </c>
      <c r="B290" s="239" t="s">
        <v>4525</v>
      </c>
      <c r="C290" s="30" t="s">
        <v>5191</v>
      </c>
      <c r="D290" s="30" t="s">
        <v>4769</v>
      </c>
      <c r="E290" s="20" t="s">
        <v>5248</v>
      </c>
      <c r="F290" s="30" t="s">
        <v>114</v>
      </c>
      <c r="G290" s="239" t="s">
        <v>4527</v>
      </c>
      <c r="H290" s="30" t="s">
        <v>751</v>
      </c>
      <c r="I290" s="6" t="s">
        <v>751</v>
      </c>
      <c r="J290" s="30" t="s">
        <v>751</v>
      </c>
      <c r="K290" s="241" t="n">
        <v>0</v>
      </c>
      <c r="L290" s="184" t="n">
        <f aca="false">MAX(1,Workload!C12*2)</f>
        <v>1</v>
      </c>
      <c r="M290" s="30" t="s">
        <v>5249</v>
      </c>
      <c r="N290" s="240" t="str">
        <f aca="false">Workload!$H$12&amp;" ｜補充旗標（IF 全欄分段，非分段依據）：高"</f>
        <v>Assumed：子代理沿用單代理參數 ｜補充旗標（IF 全欄分段，非分段依據）：高</v>
      </c>
      <c r="O290" s="6" t="s">
        <v>751</v>
      </c>
      <c r="P290" s="239" t="s">
        <v>4530</v>
      </c>
      <c r="Q290" s="33" t="n">
        <f aca="false">Workload!C12</f>
        <v>0</v>
      </c>
      <c r="R290" s="30" t="s">
        <v>751</v>
      </c>
      <c r="S290" s="44" t="str">
        <f aca="false">IF(ISNUMBER($AF290),INDEX(IDX_SrcStat,$AF290),"—")</f>
        <v>—</v>
      </c>
      <c r="T290" s="44" t="str">
        <f aca="false">IF(ISNUMBER($AF290),INDEX(IDX_SrcGrade,$AF290),"—")</f>
        <v>—</v>
      </c>
      <c r="U290" s="44" t="s">
        <v>4531</v>
      </c>
      <c r="V290" s="32" t="n">
        <f aca="false">IF(AND($F290="原始數據",$U290&lt;&gt;"連結 SRC"),1,0)</f>
        <v>0</v>
      </c>
      <c r="W290" s="32" t="n">
        <f aca="false">IF(AND($F290="Analogy",OR($H290="—",$H290="")),1,0)</f>
        <v>0</v>
      </c>
      <c r="X290" s="32" t="n">
        <f aca="false">IF(AND(OR($F290="Analogy",$F290="Assumed"),$G290&lt;&gt;"低",$G290&lt;&gt;"高",NOT(ISNUMBER($K290)),NOT(ISNUMBER($L290)),OR($M290="—",$M290="")),1,0)</f>
        <v>0</v>
      </c>
      <c r="Y290" s="32" t="n">
        <f aca="false">IF(AND(OR($F290="Analogy",$F290="Assumed",$F290="Derived（待改公式）",$F290="Derived（公式）"),OR($N290="—",$N290="",$N290=0)),1,0)</f>
        <v>0</v>
      </c>
      <c r="Z290" s="32" t="n">
        <f aca="false">IF(AND($F290="Decision",OR($J290="—",$J290="")),1,0)</f>
        <v>0</v>
      </c>
      <c r="AA290" s="33" t="n">
        <f aca="false">IF(OR($J290="—",$J290=""),0,IF(COUNTIF(Decisions!$A$5:$A$300,$J290)=0,1,0))</f>
        <v>0</v>
      </c>
      <c r="AB290" s="32" t="n">
        <f aca="false">IF(AND($F290="原始數據",$S290&lt;&gt;"Active"),1,0)</f>
        <v>0</v>
      </c>
      <c r="AC290" s="32" t="n">
        <f aca="false">IF(AND(ISNUMBER($K290),ISNUMBER($L290),ISNUMBER($Q290)),IF(OR($Q290&lt;MIN($K290,$L290),$Q290&gt;MAX($K290,$L290)),1,0),0)</f>
        <v>0</v>
      </c>
      <c r="AD290" s="32" t="n">
        <f aca="false">IF(AND(ISNUMBER($T290),$P290="高"),IF($T290=3,1,0),0)</f>
        <v>0</v>
      </c>
      <c r="AE290" s="32" t="n">
        <f aca="false">IF($S290="不存在",1,0)</f>
        <v>0</v>
      </c>
      <c r="AF290" s="44" t="str">
        <f aca="false">IF(OR($H290="—",$H290=""),"—",MATCH($H290,IDX_SrcID,0))</f>
        <v>—</v>
      </c>
      <c r="AG290" s="32" t="n">
        <f aca="false">IF(AND($P290="高",OR($AD290=1,$X290=1)),1,0)</f>
        <v>0</v>
      </c>
      <c r="AH290" s="32" t="n">
        <f aca="false">IF(AND($P290="高",$AG290=0,OR($F290&lt;&gt;"原始數據",$T290&lt;&gt;1)),1,0)</f>
        <v>0</v>
      </c>
      <c r="AI290" s="44" t="str">
        <f aca="false">IF(AND($P290="高",ISNUMBER($AF290)),INDEX(IDX_SrcDate,$AF290),"—")</f>
        <v>—</v>
      </c>
      <c r="AJ290" s="32" t="n">
        <f aca="false">IF(AND(ISTEXT($AI290),LEN($AI290)=10),IF(ISNUMBER(VALUE(SUBSTITUTE($AI290,"-",""))),VALUE(SUBSTITUTE($AI290,"-","")),0),0)</f>
        <v>0</v>
      </c>
    </row>
    <row r="291" customFormat="false" ht="15" hidden="false" customHeight="true" outlineLevel="0" collapsed="false">
      <c r="A291" s="30" t="s">
        <v>5250</v>
      </c>
      <c r="B291" s="239" t="s">
        <v>4525</v>
      </c>
      <c r="C291" s="30" t="s">
        <v>5191</v>
      </c>
      <c r="D291" s="30" t="s">
        <v>4773</v>
      </c>
      <c r="E291" s="20" t="s">
        <v>5248</v>
      </c>
      <c r="F291" s="30" t="s">
        <v>114</v>
      </c>
      <c r="G291" s="239" t="s">
        <v>4527</v>
      </c>
      <c r="H291" s="30" t="s">
        <v>751</v>
      </c>
      <c r="I291" s="6" t="s">
        <v>751</v>
      </c>
      <c r="J291" s="30" t="s">
        <v>751</v>
      </c>
      <c r="K291" s="241" t="n">
        <v>0</v>
      </c>
      <c r="L291" s="184" t="n">
        <f aca="false">MAX(1,Workload!D12*2)</f>
        <v>1</v>
      </c>
      <c r="M291" s="30" t="s">
        <v>5249</v>
      </c>
      <c r="N291" s="240" t="str">
        <f aca="false">Workload!$H$12&amp;" ｜補充旗標（IF 全欄分段，非分段依據）：高"</f>
        <v>Assumed：子代理沿用單代理參數 ｜補充旗標（IF 全欄分段，非分段依據）：高</v>
      </c>
      <c r="O291" s="6" t="s">
        <v>751</v>
      </c>
      <c r="P291" s="239" t="s">
        <v>4530</v>
      </c>
      <c r="Q291" s="33" t="n">
        <f aca="false">Workload!D12</f>
        <v>0</v>
      </c>
      <c r="R291" s="30" t="s">
        <v>751</v>
      </c>
      <c r="S291" s="44" t="str">
        <f aca="false">IF(ISNUMBER($AF291),INDEX(IDX_SrcStat,$AF291),"—")</f>
        <v>—</v>
      </c>
      <c r="T291" s="44" t="str">
        <f aca="false">IF(ISNUMBER($AF291),INDEX(IDX_SrcGrade,$AF291),"—")</f>
        <v>—</v>
      </c>
      <c r="U291" s="44" t="s">
        <v>4531</v>
      </c>
      <c r="V291" s="32" t="n">
        <f aca="false">IF(AND($F291="原始數據",$U291&lt;&gt;"連結 SRC"),1,0)</f>
        <v>0</v>
      </c>
      <c r="W291" s="32" t="n">
        <f aca="false">IF(AND($F291="Analogy",OR($H291="—",$H291="")),1,0)</f>
        <v>0</v>
      </c>
      <c r="X291" s="32" t="n">
        <f aca="false">IF(AND(OR($F291="Analogy",$F291="Assumed"),$G291&lt;&gt;"低",$G291&lt;&gt;"高",NOT(ISNUMBER($K291)),NOT(ISNUMBER($L291)),OR($M291="—",$M291="")),1,0)</f>
        <v>0</v>
      </c>
      <c r="Y291" s="32" t="n">
        <f aca="false">IF(AND(OR($F291="Analogy",$F291="Assumed",$F291="Derived（待改公式）",$F291="Derived（公式）"),OR($N291="—",$N291="",$N291=0)),1,0)</f>
        <v>0</v>
      </c>
      <c r="Z291" s="32" t="n">
        <f aca="false">IF(AND($F291="Decision",OR($J291="—",$J291="")),1,0)</f>
        <v>0</v>
      </c>
      <c r="AA291" s="33" t="n">
        <f aca="false">IF(OR($J291="—",$J291=""),0,IF(COUNTIF(Decisions!$A$5:$A$300,$J291)=0,1,0))</f>
        <v>0</v>
      </c>
      <c r="AB291" s="32" t="n">
        <f aca="false">IF(AND($F291="原始數據",$S291&lt;&gt;"Active"),1,0)</f>
        <v>0</v>
      </c>
      <c r="AC291" s="32" t="n">
        <f aca="false">IF(AND(ISNUMBER($K291),ISNUMBER($L291),ISNUMBER($Q291)),IF(OR($Q291&lt;MIN($K291,$L291),$Q291&gt;MAX($K291,$L291)),1,0),0)</f>
        <v>0</v>
      </c>
      <c r="AD291" s="32" t="n">
        <f aca="false">IF(AND(ISNUMBER($T291),$P291="高"),IF($T291=3,1,0),0)</f>
        <v>0</v>
      </c>
      <c r="AE291" s="32" t="n">
        <f aca="false">IF($S291="不存在",1,0)</f>
        <v>0</v>
      </c>
      <c r="AF291" s="44" t="str">
        <f aca="false">IF(OR($H291="—",$H291=""),"—",MATCH($H291,IDX_SrcID,0))</f>
        <v>—</v>
      </c>
      <c r="AG291" s="32" t="n">
        <f aca="false">IF(AND($P291="高",OR($AD291=1,$X291=1)),1,0)</f>
        <v>0</v>
      </c>
      <c r="AH291" s="32" t="n">
        <f aca="false">IF(AND($P291="高",$AG291=0,OR($F291&lt;&gt;"原始數據",$T291&lt;&gt;1)),1,0)</f>
        <v>0</v>
      </c>
      <c r="AI291" s="44" t="str">
        <f aca="false">IF(AND($P291="高",ISNUMBER($AF291)),INDEX(IDX_SrcDate,$AF291),"—")</f>
        <v>—</v>
      </c>
      <c r="AJ291" s="32" t="n">
        <f aca="false">IF(AND(ISTEXT($AI291),LEN($AI291)=10),IF(ISNUMBER(VALUE(SUBSTITUTE($AI291,"-",""))),VALUE(SUBSTITUTE($AI291,"-","")),0),0)</f>
        <v>0</v>
      </c>
    </row>
    <row r="292" customFormat="false" ht="15" hidden="false" customHeight="true" outlineLevel="0" collapsed="false">
      <c r="A292" s="30" t="s">
        <v>5251</v>
      </c>
      <c r="B292" s="239" t="s">
        <v>4525</v>
      </c>
      <c r="C292" s="30" t="s">
        <v>5191</v>
      </c>
      <c r="D292" s="30" t="s">
        <v>4325</v>
      </c>
      <c r="E292" s="20" t="s">
        <v>5248</v>
      </c>
      <c r="F292" s="30" t="s">
        <v>114</v>
      </c>
      <c r="G292" s="239" t="s">
        <v>4527</v>
      </c>
      <c r="H292" s="30" t="s">
        <v>751</v>
      </c>
      <c r="I292" s="6" t="s">
        <v>751</v>
      </c>
      <c r="J292" s="30" t="s">
        <v>751</v>
      </c>
      <c r="K292" s="241" t="n">
        <v>0</v>
      </c>
      <c r="L292" s="184" t="n">
        <f aca="false">MAX(1,Workload!E12*2)</f>
        <v>1</v>
      </c>
      <c r="M292" s="30" t="s">
        <v>5249</v>
      </c>
      <c r="N292" s="240" t="str">
        <f aca="false">Workload!$H$12&amp;" ｜補充旗標（IF 全欄分段，非分段依據）：高"</f>
        <v>Assumed：子代理沿用單代理參數 ｜補充旗標（IF 全欄分段，非分段依據）：高</v>
      </c>
      <c r="O292" s="6" t="s">
        <v>751</v>
      </c>
      <c r="P292" s="239" t="s">
        <v>4530</v>
      </c>
      <c r="Q292" s="33" t="n">
        <f aca="false">Workload!E12</f>
        <v>0</v>
      </c>
      <c r="R292" s="30" t="s">
        <v>751</v>
      </c>
      <c r="S292" s="44" t="str">
        <f aca="false">IF(ISNUMBER($AF292),INDEX(IDX_SrcStat,$AF292),"—")</f>
        <v>—</v>
      </c>
      <c r="T292" s="44" t="str">
        <f aca="false">IF(ISNUMBER($AF292),INDEX(IDX_SrcGrade,$AF292),"—")</f>
        <v>—</v>
      </c>
      <c r="U292" s="44" t="s">
        <v>4531</v>
      </c>
      <c r="V292" s="32" t="n">
        <f aca="false">IF(AND($F292="原始數據",$U292&lt;&gt;"連結 SRC"),1,0)</f>
        <v>0</v>
      </c>
      <c r="W292" s="32" t="n">
        <f aca="false">IF(AND($F292="Analogy",OR($H292="—",$H292="")),1,0)</f>
        <v>0</v>
      </c>
      <c r="X292" s="32" t="n">
        <f aca="false">IF(AND(OR($F292="Analogy",$F292="Assumed"),$G292&lt;&gt;"低",$G292&lt;&gt;"高",NOT(ISNUMBER($K292)),NOT(ISNUMBER($L292)),OR($M292="—",$M292="")),1,0)</f>
        <v>0</v>
      </c>
      <c r="Y292" s="32" t="n">
        <f aca="false">IF(AND(OR($F292="Analogy",$F292="Assumed",$F292="Derived（待改公式）",$F292="Derived（公式）"),OR($N292="—",$N292="",$N292=0)),1,0)</f>
        <v>0</v>
      </c>
      <c r="Z292" s="32" t="n">
        <f aca="false">IF(AND($F292="Decision",OR($J292="—",$J292="")),1,0)</f>
        <v>0</v>
      </c>
      <c r="AA292" s="33" t="n">
        <f aca="false">IF(OR($J292="—",$J292=""),0,IF(COUNTIF(Decisions!$A$5:$A$300,$J292)=0,1,0))</f>
        <v>0</v>
      </c>
      <c r="AB292" s="32" t="n">
        <f aca="false">IF(AND($F292="原始數據",$S292&lt;&gt;"Active"),1,0)</f>
        <v>0</v>
      </c>
      <c r="AC292" s="32" t="n">
        <f aca="false">IF(AND(ISNUMBER($K292),ISNUMBER($L292),ISNUMBER($Q292)),IF(OR($Q292&lt;MIN($K292,$L292),$Q292&gt;MAX($K292,$L292)),1,0),0)</f>
        <v>0</v>
      </c>
      <c r="AD292" s="32" t="n">
        <f aca="false">IF(AND(ISNUMBER($T292),$P292="高"),IF($T292=3,1,0),0)</f>
        <v>0</v>
      </c>
      <c r="AE292" s="32" t="n">
        <f aca="false">IF($S292="不存在",1,0)</f>
        <v>0</v>
      </c>
      <c r="AF292" s="44" t="str">
        <f aca="false">IF(OR($H292="—",$H292=""),"—",MATCH($H292,IDX_SrcID,0))</f>
        <v>—</v>
      </c>
      <c r="AG292" s="32" t="n">
        <f aca="false">IF(AND($P292="高",OR($AD292=1,$X292=1)),1,0)</f>
        <v>0</v>
      </c>
      <c r="AH292" s="32" t="n">
        <f aca="false">IF(AND($P292="高",$AG292=0,OR($F292&lt;&gt;"原始數據",$T292&lt;&gt;1)),1,0)</f>
        <v>0</v>
      </c>
      <c r="AI292" s="44" t="str">
        <f aca="false">IF(AND($P292="高",ISNUMBER($AF292)),INDEX(IDX_SrcDate,$AF292),"—")</f>
        <v>—</v>
      </c>
      <c r="AJ292" s="32" t="n">
        <f aca="false">IF(AND(ISTEXT($AI292),LEN($AI292)=10),IF(ISNUMBER(VALUE(SUBSTITUTE($AI292,"-",""))),VALUE(SUBSTITUTE($AI292,"-","")),0),0)</f>
        <v>0</v>
      </c>
    </row>
    <row r="293" customFormat="false" ht="15" hidden="false" customHeight="true" outlineLevel="0" collapsed="false">
      <c r="A293" s="30" t="s">
        <v>5252</v>
      </c>
      <c r="B293" s="239" t="s">
        <v>4525</v>
      </c>
      <c r="C293" s="30" t="s">
        <v>5191</v>
      </c>
      <c r="D293" s="30" t="s">
        <v>4781</v>
      </c>
      <c r="E293" s="20" t="s">
        <v>5248</v>
      </c>
      <c r="F293" s="30" t="s">
        <v>114</v>
      </c>
      <c r="G293" s="239" t="s">
        <v>4527</v>
      </c>
      <c r="H293" s="30" t="s">
        <v>751</v>
      </c>
      <c r="I293" s="6" t="s">
        <v>751</v>
      </c>
      <c r="J293" s="30" t="s">
        <v>751</v>
      </c>
      <c r="K293" s="241" t="n">
        <v>0</v>
      </c>
      <c r="L293" s="184" t="n">
        <f aca="false">MAX(1,Workload!F12*2)</f>
        <v>6</v>
      </c>
      <c r="M293" s="30" t="s">
        <v>5249</v>
      </c>
      <c r="N293" s="240" t="str">
        <f aca="false">Workload!$H$12&amp;" ｜補充旗標（IF 全欄分段，非分段依據）：高"</f>
        <v>Assumed：子代理沿用單代理參數 ｜補充旗標（IF 全欄分段，非分段依據）：高</v>
      </c>
      <c r="O293" s="6" t="s">
        <v>751</v>
      </c>
      <c r="P293" s="239" t="s">
        <v>4530</v>
      </c>
      <c r="Q293" s="33" t="n">
        <f aca="false">Workload!F12</f>
        <v>3</v>
      </c>
      <c r="R293" s="30" t="s">
        <v>751</v>
      </c>
      <c r="S293" s="44" t="str">
        <f aca="false">IF(ISNUMBER($AF293),INDEX(IDX_SrcStat,$AF293),"—")</f>
        <v>—</v>
      </c>
      <c r="T293" s="44" t="str">
        <f aca="false">IF(ISNUMBER($AF293),INDEX(IDX_SrcGrade,$AF293),"—")</f>
        <v>—</v>
      </c>
      <c r="U293" s="44" t="s">
        <v>4531</v>
      </c>
      <c r="V293" s="32" t="n">
        <f aca="false">IF(AND($F293="原始數據",$U293&lt;&gt;"連結 SRC"),1,0)</f>
        <v>0</v>
      </c>
      <c r="W293" s="32" t="n">
        <f aca="false">IF(AND($F293="Analogy",OR($H293="—",$H293="")),1,0)</f>
        <v>0</v>
      </c>
      <c r="X293" s="32" t="n">
        <f aca="false">IF(AND(OR($F293="Analogy",$F293="Assumed"),$G293&lt;&gt;"低",$G293&lt;&gt;"高",NOT(ISNUMBER($K293)),NOT(ISNUMBER($L293)),OR($M293="—",$M293="")),1,0)</f>
        <v>0</v>
      </c>
      <c r="Y293" s="32" t="n">
        <f aca="false">IF(AND(OR($F293="Analogy",$F293="Assumed",$F293="Derived（待改公式）",$F293="Derived（公式）"),OR($N293="—",$N293="",$N293=0)),1,0)</f>
        <v>0</v>
      </c>
      <c r="Z293" s="32" t="n">
        <f aca="false">IF(AND($F293="Decision",OR($J293="—",$J293="")),1,0)</f>
        <v>0</v>
      </c>
      <c r="AA293" s="33" t="n">
        <f aca="false">IF(OR($J293="—",$J293=""),0,IF(COUNTIF(Decisions!$A$5:$A$300,$J293)=0,1,0))</f>
        <v>0</v>
      </c>
      <c r="AB293" s="32" t="n">
        <f aca="false">IF(AND($F293="原始數據",$S293&lt;&gt;"Active"),1,0)</f>
        <v>0</v>
      </c>
      <c r="AC293" s="32" t="n">
        <f aca="false">IF(AND(ISNUMBER($K293),ISNUMBER($L293),ISNUMBER($Q293)),IF(OR($Q293&lt;MIN($K293,$L293),$Q293&gt;MAX($K293,$L293)),1,0),0)</f>
        <v>0</v>
      </c>
      <c r="AD293" s="32" t="n">
        <f aca="false">IF(AND(ISNUMBER($T293),$P293="高"),IF($T293=3,1,0),0)</f>
        <v>0</v>
      </c>
      <c r="AE293" s="32" t="n">
        <f aca="false">IF($S293="不存在",1,0)</f>
        <v>0</v>
      </c>
      <c r="AF293" s="44" t="str">
        <f aca="false">IF(OR($H293="—",$H293=""),"—",MATCH($H293,IDX_SrcID,0))</f>
        <v>—</v>
      </c>
      <c r="AG293" s="32" t="n">
        <f aca="false">IF(AND($P293="高",OR($AD293=1,$X293=1)),1,0)</f>
        <v>0</v>
      </c>
      <c r="AH293" s="32" t="n">
        <f aca="false">IF(AND($P293="高",$AG293=0,OR($F293&lt;&gt;"原始數據",$T293&lt;&gt;1)),1,0)</f>
        <v>0</v>
      </c>
      <c r="AI293" s="44" t="str">
        <f aca="false">IF(AND($P293="高",ISNUMBER($AF293)),INDEX(IDX_SrcDate,$AF293),"—")</f>
        <v>—</v>
      </c>
      <c r="AJ293" s="32" t="n">
        <f aca="false">IF(AND(ISTEXT($AI293),LEN($AI293)=10),IF(ISNUMBER(VALUE(SUBSTITUTE($AI293,"-",""))),VALUE(SUBSTITUTE($AI293,"-","")),0),0)</f>
        <v>0</v>
      </c>
    </row>
    <row r="294" customFormat="false" ht="15" hidden="false" customHeight="true" outlineLevel="0" collapsed="false">
      <c r="A294" s="30" t="s">
        <v>5253</v>
      </c>
      <c r="B294" s="239" t="s">
        <v>4525</v>
      </c>
      <c r="C294" s="30" t="s">
        <v>5191</v>
      </c>
      <c r="D294" s="30" t="s">
        <v>4786</v>
      </c>
      <c r="E294" s="20" t="s">
        <v>5248</v>
      </c>
      <c r="F294" s="30" t="s">
        <v>114</v>
      </c>
      <c r="G294" s="239" t="s">
        <v>4527</v>
      </c>
      <c r="H294" s="30" t="s">
        <v>751</v>
      </c>
      <c r="I294" s="6" t="s">
        <v>751</v>
      </c>
      <c r="J294" s="30" t="s">
        <v>751</v>
      </c>
      <c r="K294" s="241" t="n">
        <v>0</v>
      </c>
      <c r="L294" s="184" t="n">
        <f aca="false">MAX(1,Workload!G12*2)</f>
        <v>1</v>
      </c>
      <c r="M294" s="30" t="s">
        <v>5249</v>
      </c>
      <c r="N294" s="240" t="str">
        <f aca="false">Workload!$H$12&amp;" ｜補充旗標（IF 全欄分段，非分段依據）：高"&amp;" ｜v5.19 X2 升段：單變數擺動 +0.0%／+100.0%（低／高端；L1_Ans9）；chat 端掃描 2026-10-06"&amp;" ｜v5.20 X3：6.2 齊備（DB_Evidence E240；摘要級）；基準 0＝標準 harness 為單代理，屬定義"</f>
        <v>Assumed：子代理沿用單代理參數 ｜補充旗標（IF 全欄分段，非分段依據）：高 ｜v5.19 X2 升段：單變數擺動 +0.0%／+100.0%（低／高端；L1_Ans9）；chat 端掃描 2026-10-06 ｜v5.20 X3：6.2 齊備（DB_Evidence E240；摘要級）；基準 0＝標準 harness 為單代理，屬定義</v>
      </c>
      <c r="O294" s="6" t="s">
        <v>751</v>
      </c>
      <c r="P294" s="239" t="s">
        <v>1309</v>
      </c>
      <c r="Q294" s="33" t="n">
        <f aca="false">Workload!G12</f>
        <v>0</v>
      </c>
      <c r="R294" s="30" t="s">
        <v>751</v>
      </c>
      <c r="S294" s="44" t="str">
        <f aca="false">IF(ISNUMBER($AF294),INDEX(IDX_SrcStat,$AF294),"—")</f>
        <v>—</v>
      </c>
      <c r="T294" s="44" t="str">
        <f aca="false">IF(ISNUMBER($AF294),INDEX(IDX_SrcGrade,$AF294),"—")</f>
        <v>—</v>
      </c>
      <c r="U294" s="44" t="s">
        <v>4531</v>
      </c>
      <c r="V294" s="32" t="n">
        <f aca="false">IF(AND($F294="原始數據",$U294&lt;&gt;"連結 SRC"),1,0)</f>
        <v>0</v>
      </c>
      <c r="W294" s="32" t="n">
        <f aca="false">IF(AND($F294="Analogy",OR($H294="—",$H294="")),1,0)</f>
        <v>0</v>
      </c>
      <c r="X294" s="32" t="n">
        <f aca="false">IF(AND(OR($F294="Analogy",$F294="Assumed"),$G294&lt;&gt;"低",$G294&lt;&gt;"高",NOT(ISNUMBER($K294)),NOT(ISNUMBER($L294)),OR($M294="—",$M294="")),1,0)</f>
        <v>0</v>
      </c>
      <c r="Y294" s="32" t="n">
        <f aca="false">IF(AND(OR($F294="Analogy",$F294="Assumed",$F294="Derived（待改公式）",$F294="Derived（公式）"),OR($N294="—",$N294="",$N294=0)),1,0)</f>
        <v>0</v>
      </c>
      <c r="Z294" s="32" t="n">
        <f aca="false">IF(AND($F294="Decision",OR($J294="—",$J294="")),1,0)</f>
        <v>0</v>
      </c>
      <c r="AA294" s="33" t="n">
        <f aca="false">IF(OR($J294="—",$J294=""),0,IF(COUNTIF(Decisions!$A$5:$A$300,$J294)=0,1,0))</f>
        <v>0</v>
      </c>
      <c r="AB294" s="32" t="n">
        <f aca="false">IF(AND($F294="原始數據",$S294&lt;&gt;"Active"),1,0)</f>
        <v>0</v>
      </c>
      <c r="AC294" s="32" t="n">
        <f aca="false">IF(AND(ISNUMBER($K294),ISNUMBER($L294),ISNUMBER($Q294)),IF(OR($Q294&lt;MIN($K294,$L294),$Q294&gt;MAX($K294,$L294)),1,0),0)</f>
        <v>0</v>
      </c>
      <c r="AD294" s="32" t="n">
        <f aca="false">IF(AND(ISNUMBER($T294),$P294="高"),IF($T294=3,1,0),0)</f>
        <v>0</v>
      </c>
      <c r="AE294" s="32" t="n">
        <f aca="false">IF($S294="不存在",1,0)</f>
        <v>0</v>
      </c>
      <c r="AF294" s="44" t="str">
        <f aca="false">IF(OR($H294="—",$H294=""),"—",MATCH($H294,IDX_SrcID,0))</f>
        <v>—</v>
      </c>
      <c r="AG294" s="32" t="n">
        <f aca="false">IF(AND($P294="高",OR($AD294=1,$X294=1)),1,0)</f>
        <v>0</v>
      </c>
      <c r="AH294" s="32" t="n">
        <f aca="false">IF(AND($P294="高",$AG294=0,OR($F294&lt;&gt;"原始數據",$T294&lt;&gt;1)),1,0)</f>
        <v>1</v>
      </c>
      <c r="AI294" s="44" t="str">
        <f aca="false">IF(AND($P294="高",ISNUMBER($AF294)),INDEX(IDX_SrcDate,$AF294),"—")</f>
        <v>—</v>
      </c>
      <c r="AJ294" s="32" t="n">
        <f aca="false">IF(AND(ISTEXT($AI294),LEN($AI294)=10),IF(ISNUMBER(VALUE(SUBSTITUTE($AI294,"-",""))),VALUE(SUBSTITUTE($AI294,"-","")),0),0)</f>
        <v>0</v>
      </c>
    </row>
    <row r="295" customFormat="false" ht="15" hidden="false" customHeight="true" outlineLevel="0" collapsed="false">
      <c r="A295" s="30" t="s">
        <v>5254</v>
      </c>
      <c r="B295" s="239" t="s">
        <v>4525</v>
      </c>
      <c r="C295" s="30" t="s">
        <v>5191</v>
      </c>
      <c r="D295" s="30" t="s">
        <v>4789</v>
      </c>
      <c r="E295" s="6" t="s">
        <v>421</v>
      </c>
      <c r="F295" s="30" t="s">
        <v>104</v>
      </c>
      <c r="G295" s="239" t="s">
        <v>4527</v>
      </c>
      <c r="H295" s="30" t="s">
        <v>751</v>
      </c>
      <c r="I295" s="6" t="s">
        <v>751</v>
      </c>
      <c r="J295" s="30" t="s">
        <v>5255</v>
      </c>
      <c r="K295" s="239"/>
      <c r="L295" s="239"/>
      <c r="M295" s="30" t="s">
        <v>751</v>
      </c>
      <c r="N295" s="6" t="s">
        <v>5256</v>
      </c>
      <c r="O295" s="6" t="s">
        <v>751</v>
      </c>
      <c r="P295" s="239" t="s">
        <v>1309</v>
      </c>
      <c r="Q295" s="192" t="n">
        <f aca="false">Workload!C13</f>
        <v>1</v>
      </c>
      <c r="R295" s="30" t="s">
        <v>751</v>
      </c>
      <c r="S295" s="44" t="str">
        <f aca="false">IF(ISNUMBER($AF295),INDEX(IDX_SrcStat,$AF295),"—")</f>
        <v>—</v>
      </c>
      <c r="T295" s="44" t="str">
        <f aca="false">IF(ISNUMBER($AF295),INDEX(IDX_SrcGrade,$AF295),"—")</f>
        <v>—</v>
      </c>
      <c r="U295" s="44" t="s">
        <v>4531</v>
      </c>
      <c r="V295" s="32" t="n">
        <f aca="false">IF(AND($F295="原始數據",$U295&lt;&gt;"連結 SRC"),1,0)</f>
        <v>0</v>
      </c>
      <c r="W295" s="32" t="n">
        <f aca="false">IF(AND($F295="Analogy",OR($H295="—",$H295="")),1,0)</f>
        <v>0</v>
      </c>
      <c r="X295" s="32" t="n">
        <f aca="false">IF(AND(OR($F295="Analogy",$F295="Assumed"),$G295&lt;&gt;"低",$G295&lt;&gt;"高",NOT(ISNUMBER($K295)),NOT(ISNUMBER($L295)),OR($M295="—",$M295="")),1,0)</f>
        <v>0</v>
      </c>
      <c r="Y295" s="32" t="n">
        <f aca="false">IF(AND(OR($F295="Analogy",$F295="Assumed",$F295="Derived（待改公式）",$F295="Derived（公式）"),OR($N295="—",$N295="",$N295=0)),1,0)</f>
        <v>0</v>
      </c>
      <c r="Z295" s="32" t="n">
        <f aca="false">IF(AND($F295="Decision",OR($J295="—",$J295="")),1,0)</f>
        <v>0</v>
      </c>
      <c r="AA295" s="33" t="n">
        <f aca="false">IF(OR($J295="—",$J295=""),0,IF(COUNTIF(Decisions!$A$5:$A$300,$J295)=0,1,0))</f>
        <v>0</v>
      </c>
      <c r="AB295" s="32" t="n">
        <f aca="false">IF(AND($F295="原始數據",$S295&lt;&gt;"Active"),1,0)</f>
        <v>0</v>
      </c>
      <c r="AC295" s="32" t="n">
        <f aca="false">IF(AND(ISNUMBER($K295),ISNUMBER($L295),ISNUMBER($Q295)),IF(OR($Q295&lt;MIN($K295,$L295),$Q295&gt;MAX($K295,$L295)),1,0),0)</f>
        <v>0</v>
      </c>
      <c r="AD295" s="32" t="n">
        <f aca="false">IF(AND(ISNUMBER($T295),$P295="高"),IF($T295=3,1,0),0)</f>
        <v>0</v>
      </c>
      <c r="AE295" s="32" t="n">
        <f aca="false">IF($S295="不存在",1,0)</f>
        <v>0</v>
      </c>
      <c r="AF295" s="44" t="str">
        <f aca="false">IF(OR($H295="—",$H295=""),"—",MATCH($H295,IDX_SrcID,0))</f>
        <v>—</v>
      </c>
      <c r="AG295" s="32" t="n">
        <f aca="false">IF(AND($P295="高",OR($AD295=1,$X295=1)),1,0)</f>
        <v>0</v>
      </c>
      <c r="AH295" s="32" t="n">
        <f aca="false">IF(AND($P295="高",$AG295=0,OR($F295&lt;&gt;"原始數據",$T295&lt;&gt;1)),1,0)</f>
        <v>1</v>
      </c>
      <c r="AI295" s="44" t="str">
        <f aca="false">IF(AND($P295="高",ISNUMBER($AF295)),INDEX(IDX_SrcDate,$AF295),"—")</f>
        <v>—</v>
      </c>
      <c r="AJ295" s="32" t="n">
        <f aca="false">IF(AND(ISTEXT($AI295),LEN($AI295)=10),IF(ISNUMBER(VALUE(SUBSTITUTE($AI295,"-",""))),VALUE(SUBSTITUTE($AI295,"-","")),0),0)</f>
        <v>0</v>
      </c>
    </row>
    <row r="296" customFormat="false" ht="29.25" hidden="false" customHeight="true" outlineLevel="0" collapsed="false">
      <c r="A296" s="30" t="s">
        <v>5257</v>
      </c>
      <c r="B296" s="239" t="s">
        <v>4525</v>
      </c>
      <c r="C296" s="30" t="s">
        <v>5191</v>
      </c>
      <c r="D296" s="30" t="s">
        <v>5038</v>
      </c>
      <c r="E296" s="20" t="s">
        <v>5258</v>
      </c>
      <c r="F296" s="30" t="s">
        <v>104</v>
      </c>
      <c r="G296" s="239" t="s">
        <v>4527</v>
      </c>
      <c r="H296" s="30" t="s">
        <v>751</v>
      </c>
      <c r="I296" s="6" t="s">
        <v>751</v>
      </c>
      <c r="J296" s="30" t="s">
        <v>5259</v>
      </c>
      <c r="K296" s="239"/>
      <c r="L296" s="239"/>
      <c r="M296" s="30" t="s">
        <v>751</v>
      </c>
      <c r="N296" s="20" t="s">
        <v>5260</v>
      </c>
      <c r="O296" s="6" t="s">
        <v>751</v>
      </c>
      <c r="P296" s="239" t="s">
        <v>4586</v>
      </c>
      <c r="Q296" s="192" t="n">
        <f aca="false">Workload!C14</f>
        <v>1</v>
      </c>
      <c r="R296" s="30" t="s">
        <v>751</v>
      </c>
      <c r="S296" s="44" t="str">
        <f aca="false">IF(ISNUMBER($AF296),INDEX(IDX_SrcStat,$AF296),"—")</f>
        <v>—</v>
      </c>
      <c r="T296" s="44" t="str">
        <f aca="false">IF(ISNUMBER($AF296),INDEX(IDX_SrcGrade,$AF296),"—")</f>
        <v>—</v>
      </c>
      <c r="U296" s="44" t="s">
        <v>4531</v>
      </c>
      <c r="V296" s="32" t="n">
        <f aca="false">IF(AND($F296="原始數據",$U296&lt;&gt;"連結 SRC"),1,0)</f>
        <v>0</v>
      </c>
      <c r="W296" s="32" t="n">
        <f aca="false">IF(AND($F296="Analogy",OR($H296="—",$H296="")),1,0)</f>
        <v>0</v>
      </c>
      <c r="X296" s="32" t="n">
        <f aca="false">IF(AND(OR($F296="Analogy",$F296="Assumed"),$G296&lt;&gt;"低",$G296&lt;&gt;"高",NOT(ISNUMBER($K296)),NOT(ISNUMBER($L296)),OR($M296="—",$M296="")),1,0)</f>
        <v>0</v>
      </c>
      <c r="Y296" s="32" t="n">
        <f aca="false">IF(AND(OR($F296="Analogy",$F296="Assumed",$F296="Derived（待改公式）",$F296="Derived（公式）"),OR($N296="—",$N296="",$N296=0)),1,0)</f>
        <v>0</v>
      </c>
      <c r="Z296" s="32" t="n">
        <f aca="false">IF(AND($F296="Decision",OR($J296="—",$J296="")),1,0)</f>
        <v>0</v>
      </c>
      <c r="AA296" s="33" t="n">
        <f aca="false">IF(OR($J296="—",$J296=""),0,IF(COUNTIF(Decisions!$A$5:$A$300,$J296)=0,1,0))</f>
        <v>0</v>
      </c>
      <c r="AB296" s="32" t="n">
        <f aca="false">IF(AND($F296="原始數據",$S296&lt;&gt;"Active"),1,0)</f>
        <v>0</v>
      </c>
      <c r="AC296" s="32" t="n">
        <f aca="false">IF(AND(ISNUMBER($K296),ISNUMBER($L296),ISNUMBER($Q296)),IF(OR($Q296&lt;MIN($K296,$L296),$Q296&gt;MAX($K296,$L296)),1,0),0)</f>
        <v>0</v>
      </c>
      <c r="AD296" s="32" t="n">
        <f aca="false">IF(AND(ISNUMBER($T296),$P296="高"),IF($T296=3,1,0),0)</f>
        <v>0</v>
      </c>
      <c r="AE296" s="32" t="n">
        <f aca="false">IF($S296="不存在",1,0)</f>
        <v>0</v>
      </c>
      <c r="AF296" s="44" t="str">
        <f aca="false">IF(OR($H296="—",$H296=""),"—",MATCH($H296,IDX_SrcID,0))</f>
        <v>—</v>
      </c>
      <c r="AG296" s="32" t="n">
        <f aca="false">IF(AND($P296="高",OR($AD296=1,$X296=1)),1,0)</f>
        <v>0</v>
      </c>
      <c r="AH296" s="32" t="n">
        <f aca="false">IF(AND($P296="高",$AG296=0,OR($F296&lt;&gt;"原始數據",$T296&lt;&gt;1)),1,0)</f>
        <v>0</v>
      </c>
      <c r="AI296" s="44" t="str">
        <f aca="false">IF(AND($P296="高",ISNUMBER($AF296)),INDEX(IDX_SrcDate,$AF296),"—")</f>
        <v>—</v>
      </c>
      <c r="AJ296" s="32" t="n">
        <f aca="false">IF(AND(ISTEXT($AI296),LEN($AI296)=10),IF(ISNUMBER(VALUE(SUBSTITUTE($AI296,"-",""))),VALUE(SUBSTITUTE($AI296,"-","")),0),0)</f>
        <v>0</v>
      </c>
    </row>
    <row r="297" customFormat="false" ht="15" hidden="false" customHeight="true" outlineLevel="0" collapsed="false">
      <c r="A297" s="30" t="s">
        <v>5261</v>
      </c>
      <c r="B297" s="239" t="s">
        <v>4525</v>
      </c>
      <c r="C297" s="30" t="s">
        <v>5191</v>
      </c>
      <c r="D297" s="30" t="s">
        <v>4558</v>
      </c>
      <c r="E297" s="6" t="s">
        <v>421</v>
      </c>
      <c r="F297" s="30" t="s">
        <v>104</v>
      </c>
      <c r="G297" s="239" t="s">
        <v>4527</v>
      </c>
      <c r="H297" s="30" t="s">
        <v>751</v>
      </c>
      <c r="I297" s="6" t="s">
        <v>751</v>
      </c>
      <c r="J297" s="30" t="s">
        <v>5255</v>
      </c>
      <c r="K297" s="239"/>
      <c r="L297" s="239"/>
      <c r="M297" s="30" t="s">
        <v>751</v>
      </c>
      <c r="N297" s="6" t="s">
        <v>5256</v>
      </c>
      <c r="O297" s="6" t="s">
        <v>751</v>
      </c>
      <c r="P297" s="239" t="s">
        <v>1309</v>
      </c>
      <c r="Q297" s="192" t="n">
        <f aca="false">Workload!D13</f>
        <v>1</v>
      </c>
      <c r="R297" s="30" t="s">
        <v>751</v>
      </c>
      <c r="S297" s="44" t="str">
        <f aca="false">IF(ISNUMBER($AF297),INDEX(IDX_SrcStat,$AF297),"—")</f>
        <v>—</v>
      </c>
      <c r="T297" s="44" t="str">
        <f aca="false">IF(ISNUMBER($AF297),INDEX(IDX_SrcGrade,$AF297),"—")</f>
        <v>—</v>
      </c>
      <c r="U297" s="44" t="s">
        <v>4531</v>
      </c>
      <c r="V297" s="32" t="n">
        <f aca="false">IF(AND($F297="原始數據",$U297&lt;&gt;"連結 SRC"),1,0)</f>
        <v>0</v>
      </c>
      <c r="W297" s="32" t="n">
        <f aca="false">IF(AND($F297="Analogy",OR($H297="—",$H297="")),1,0)</f>
        <v>0</v>
      </c>
      <c r="X297" s="32" t="n">
        <f aca="false">IF(AND(OR($F297="Analogy",$F297="Assumed"),$G297&lt;&gt;"低",$G297&lt;&gt;"高",NOT(ISNUMBER($K297)),NOT(ISNUMBER($L297)),OR($M297="—",$M297="")),1,0)</f>
        <v>0</v>
      </c>
      <c r="Y297" s="32" t="n">
        <f aca="false">IF(AND(OR($F297="Analogy",$F297="Assumed",$F297="Derived（待改公式）",$F297="Derived（公式）"),OR($N297="—",$N297="",$N297=0)),1,0)</f>
        <v>0</v>
      </c>
      <c r="Z297" s="32" t="n">
        <f aca="false">IF(AND($F297="Decision",OR($J297="—",$J297="")),1,0)</f>
        <v>0</v>
      </c>
      <c r="AA297" s="33" t="n">
        <f aca="false">IF(OR($J297="—",$J297=""),0,IF(COUNTIF(Decisions!$A$5:$A$300,$J297)=0,1,0))</f>
        <v>0</v>
      </c>
      <c r="AB297" s="32" t="n">
        <f aca="false">IF(AND($F297="原始數據",$S297&lt;&gt;"Active"),1,0)</f>
        <v>0</v>
      </c>
      <c r="AC297" s="32" t="n">
        <f aca="false">IF(AND(ISNUMBER($K297),ISNUMBER($L297),ISNUMBER($Q297)),IF(OR($Q297&lt;MIN($K297,$L297),$Q297&gt;MAX($K297,$L297)),1,0),0)</f>
        <v>0</v>
      </c>
      <c r="AD297" s="32" t="n">
        <f aca="false">IF(AND(ISNUMBER($T297),$P297="高"),IF($T297=3,1,0),0)</f>
        <v>0</v>
      </c>
      <c r="AE297" s="32" t="n">
        <f aca="false">IF($S297="不存在",1,0)</f>
        <v>0</v>
      </c>
      <c r="AF297" s="44" t="str">
        <f aca="false">IF(OR($H297="—",$H297=""),"—",MATCH($H297,IDX_SrcID,0))</f>
        <v>—</v>
      </c>
      <c r="AG297" s="32" t="n">
        <f aca="false">IF(AND($P297="高",OR($AD297=1,$X297=1)),1,0)</f>
        <v>0</v>
      </c>
      <c r="AH297" s="32" t="n">
        <f aca="false">IF(AND($P297="高",$AG297=0,OR($F297&lt;&gt;"原始數據",$T297&lt;&gt;1)),1,0)</f>
        <v>1</v>
      </c>
      <c r="AI297" s="44" t="str">
        <f aca="false">IF(AND($P297="高",ISNUMBER($AF297)),INDEX(IDX_SrcDate,$AF297),"—")</f>
        <v>—</v>
      </c>
      <c r="AJ297" s="32" t="n">
        <f aca="false">IF(AND(ISTEXT($AI297),LEN($AI297)=10),IF(ISNUMBER(VALUE(SUBSTITUTE($AI297,"-",""))),VALUE(SUBSTITUTE($AI297,"-","")),0),0)</f>
        <v>0</v>
      </c>
    </row>
    <row r="298" customFormat="false" ht="29.25" hidden="false" customHeight="true" outlineLevel="0" collapsed="false">
      <c r="A298" s="30" t="s">
        <v>5262</v>
      </c>
      <c r="B298" s="239" t="s">
        <v>4525</v>
      </c>
      <c r="C298" s="30" t="s">
        <v>5191</v>
      </c>
      <c r="D298" s="30" t="s">
        <v>4568</v>
      </c>
      <c r="E298" s="20" t="s">
        <v>5258</v>
      </c>
      <c r="F298" s="30" t="s">
        <v>104</v>
      </c>
      <c r="G298" s="239" t="s">
        <v>4527</v>
      </c>
      <c r="H298" s="30" t="s">
        <v>751</v>
      </c>
      <c r="I298" s="6" t="s">
        <v>751</v>
      </c>
      <c r="J298" s="30" t="s">
        <v>5259</v>
      </c>
      <c r="K298" s="239"/>
      <c r="L298" s="239"/>
      <c r="M298" s="30" t="s">
        <v>751</v>
      </c>
      <c r="N298" s="20" t="s">
        <v>5260</v>
      </c>
      <c r="O298" s="6" t="s">
        <v>751</v>
      </c>
      <c r="P298" s="239" t="s">
        <v>4586</v>
      </c>
      <c r="Q298" s="192" t="n">
        <f aca="false">Workload!D14</f>
        <v>1</v>
      </c>
      <c r="R298" s="30" t="s">
        <v>751</v>
      </c>
      <c r="S298" s="44" t="str">
        <f aca="false">IF(ISNUMBER($AF298),INDEX(IDX_SrcStat,$AF298),"—")</f>
        <v>—</v>
      </c>
      <c r="T298" s="44" t="str">
        <f aca="false">IF(ISNUMBER($AF298),INDEX(IDX_SrcGrade,$AF298),"—")</f>
        <v>—</v>
      </c>
      <c r="U298" s="44" t="s">
        <v>4531</v>
      </c>
      <c r="V298" s="32" t="n">
        <f aca="false">IF(AND($F298="原始數據",$U298&lt;&gt;"連結 SRC"),1,0)</f>
        <v>0</v>
      </c>
      <c r="W298" s="32" t="n">
        <f aca="false">IF(AND($F298="Analogy",OR($H298="—",$H298="")),1,0)</f>
        <v>0</v>
      </c>
      <c r="X298" s="32" t="n">
        <f aca="false">IF(AND(OR($F298="Analogy",$F298="Assumed"),$G298&lt;&gt;"低",$G298&lt;&gt;"高",NOT(ISNUMBER($K298)),NOT(ISNUMBER($L298)),OR($M298="—",$M298="")),1,0)</f>
        <v>0</v>
      </c>
      <c r="Y298" s="32" t="n">
        <f aca="false">IF(AND(OR($F298="Analogy",$F298="Assumed",$F298="Derived（待改公式）",$F298="Derived（公式）"),OR($N298="—",$N298="",$N298=0)),1,0)</f>
        <v>0</v>
      </c>
      <c r="Z298" s="32" t="n">
        <f aca="false">IF(AND($F298="Decision",OR($J298="—",$J298="")),1,0)</f>
        <v>0</v>
      </c>
      <c r="AA298" s="33" t="n">
        <f aca="false">IF(OR($J298="—",$J298=""),0,IF(COUNTIF(Decisions!$A$5:$A$300,$J298)=0,1,0))</f>
        <v>0</v>
      </c>
      <c r="AB298" s="32" t="n">
        <f aca="false">IF(AND($F298="原始數據",$S298&lt;&gt;"Active"),1,0)</f>
        <v>0</v>
      </c>
      <c r="AC298" s="32" t="n">
        <f aca="false">IF(AND(ISNUMBER($K298),ISNUMBER($L298),ISNUMBER($Q298)),IF(OR($Q298&lt;MIN($K298,$L298),$Q298&gt;MAX($K298,$L298)),1,0),0)</f>
        <v>0</v>
      </c>
      <c r="AD298" s="32" t="n">
        <f aca="false">IF(AND(ISNUMBER($T298),$P298="高"),IF($T298=3,1,0),0)</f>
        <v>0</v>
      </c>
      <c r="AE298" s="32" t="n">
        <f aca="false">IF($S298="不存在",1,0)</f>
        <v>0</v>
      </c>
      <c r="AF298" s="44" t="str">
        <f aca="false">IF(OR($H298="—",$H298=""),"—",MATCH($H298,IDX_SrcID,0))</f>
        <v>—</v>
      </c>
      <c r="AG298" s="32" t="n">
        <f aca="false">IF(AND($P298="高",OR($AD298=1,$X298=1)),1,0)</f>
        <v>0</v>
      </c>
      <c r="AH298" s="32" t="n">
        <f aca="false">IF(AND($P298="高",$AG298=0,OR($F298&lt;&gt;"原始數據",$T298&lt;&gt;1)),1,0)</f>
        <v>0</v>
      </c>
      <c r="AI298" s="44" t="str">
        <f aca="false">IF(AND($P298="高",ISNUMBER($AF298)),INDEX(IDX_SrcDate,$AF298),"—")</f>
        <v>—</v>
      </c>
      <c r="AJ298" s="32" t="n">
        <f aca="false">IF(AND(ISTEXT($AI298),LEN($AI298)=10),IF(ISNUMBER(VALUE(SUBSTITUTE($AI298,"-",""))),VALUE(SUBSTITUTE($AI298,"-","")),0),0)</f>
        <v>0</v>
      </c>
    </row>
    <row r="299" customFormat="false" ht="15" hidden="false" customHeight="true" outlineLevel="0" collapsed="false">
      <c r="A299" s="30" t="s">
        <v>5263</v>
      </c>
      <c r="B299" s="239" t="s">
        <v>4525</v>
      </c>
      <c r="C299" s="30" t="s">
        <v>5191</v>
      </c>
      <c r="D299" s="30" t="s">
        <v>4327</v>
      </c>
      <c r="E299" s="6" t="s">
        <v>421</v>
      </c>
      <c r="F299" s="30" t="s">
        <v>104</v>
      </c>
      <c r="G299" s="239" t="s">
        <v>4527</v>
      </c>
      <c r="H299" s="30" t="s">
        <v>751</v>
      </c>
      <c r="I299" s="6" t="s">
        <v>751</v>
      </c>
      <c r="J299" s="30" t="s">
        <v>5255</v>
      </c>
      <c r="K299" s="239"/>
      <c r="L299" s="239"/>
      <c r="M299" s="30" t="s">
        <v>751</v>
      </c>
      <c r="N299" s="6" t="s">
        <v>5256</v>
      </c>
      <c r="O299" s="6" t="s">
        <v>751</v>
      </c>
      <c r="P299" s="239" t="s">
        <v>1309</v>
      </c>
      <c r="Q299" s="192" t="n">
        <f aca="false">Workload!E13</f>
        <v>1</v>
      </c>
      <c r="R299" s="30" t="s">
        <v>751</v>
      </c>
      <c r="S299" s="44" t="str">
        <f aca="false">IF(ISNUMBER($AF299),INDEX(IDX_SrcStat,$AF299),"—")</f>
        <v>—</v>
      </c>
      <c r="T299" s="44" t="str">
        <f aca="false">IF(ISNUMBER($AF299),INDEX(IDX_SrcGrade,$AF299),"—")</f>
        <v>—</v>
      </c>
      <c r="U299" s="44" t="s">
        <v>4531</v>
      </c>
      <c r="V299" s="32" t="n">
        <f aca="false">IF(AND($F299="原始數據",$U299&lt;&gt;"連結 SRC"),1,0)</f>
        <v>0</v>
      </c>
      <c r="W299" s="32" t="n">
        <f aca="false">IF(AND($F299="Analogy",OR($H299="—",$H299="")),1,0)</f>
        <v>0</v>
      </c>
      <c r="X299" s="32" t="n">
        <f aca="false">IF(AND(OR($F299="Analogy",$F299="Assumed"),$G299&lt;&gt;"低",$G299&lt;&gt;"高",NOT(ISNUMBER($K299)),NOT(ISNUMBER($L299)),OR($M299="—",$M299="")),1,0)</f>
        <v>0</v>
      </c>
      <c r="Y299" s="32" t="n">
        <f aca="false">IF(AND(OR($F299="Analogy",$F299="Assumed",$F299="Derived（待改公式）",$F299="Derived（公式）"),OR($N299="—",$N299="",$N299=0)),1,0)</f>
        <v>0</v>
      </c>
      <c r="Z299" s="32" t="n">
        <f aca="false">IF(AND($F299="Decision",OR($J299="—",$J299="")),1,0)</f>
        <v>0</v>
      </c>
      <c r="AA299" s="33" t="n">
        <f aca="false">IF(OR($J299="—",$J299=""),0,IF(COUNTIF(Decisions!$A$5:$A$300,$J299)=0,1,0))</f>
        <v>0</v>
      </c>
      <c r="AB299" s="32" t="n">
        <f aca="false">IF(AND($F299="原始數據",$S299&lt;&gt;"Active"),1,0)</f>
        <v>0</v>
      </c>
      <c r="AC299" s="32" t="n">
        <f aca="false">IF(AND(ISNUMBER($K299),ISNUMBER($L299),ISNUMBER($Q299)),IF(OR($Q299&lt;MIN($K299,$L299),$Q299&gt;MAX($K299,$L299)),1,0),0)</f>
        <v>0</v>
      </c>
      <c r="AD299" s="32" t="n">
        <f aca="false">IF(AND(ISNUMBER($T299),$P299="高"),IF($T299=3,1,0),0)</f>
        <v>0</v>
      </c>
      <c r="AE299" s="32" t="n">
        <f aca="false">IF($S299="不存在",1,0)</f>
        <v>0</v>
      </c>
      <c r="AF299" s="44" t="str">
        <f aca="false">IF(OR($H299="—",$H299=""),"—",MATCH($H299,IDX_SrcID,0))</f>
        <v>—</v>
      </c>
      <c r="AG299" s="32" t="n">
        <f aca="false">IF(AND($P299="高",OR($AD299=1,$X299=1)),1,0)</f>
        <v>0</v>
      </c>
      <c r="AH299" s="32" t="n">
        <f aca="false">IF(AND($P299="高",$AG299=0,OR($F299&lt;&gt;"原始數據",$T299&lt;&gt;1)),1,0)</f>
        <v>1</v>
      </c>
      <c r="AI299" s="44" t="str">
        <f aca="false">IF(AND($P299="高",ISNUMBER($AF299)),INDEX(IDX_SrcDate,$AF299),"—")</f>
        <v>—</v>
      </c>
      <c r="AJ299" s="32" t="n">
        <f aca="false">IF(AND(ISTEXT($AI299),LEN($AI299)=10),IF(ISNUMBER(VALUE(SUBSTITUTE($AI299,"-",""))),VALUE(SUBSTITUTE($AI299,"-","")),0),0)</f>
        <v>0</v>
      </c>
    </row>
    <row r="300" customFormat="false" ht="29.25" hidden="false" customHeight="true" outlineLevel="0" collapsed="false">
      <c r="A300" s="30" t="s">
        <v>5264</v>
      </c>
      <c r="B300" s="239" t="s">
        <v>4525</v>
      </c>
      <c r="C300" s="30" t="s">
        <v>5191</v>
      </c>
      <c r="D300" s="30" t="s">
        <v>4566</v>
      </c>
      <c r="E300" s="20" t="s">
        <v>5258</v>
      </c>
      <c r="F300" s="30" t="s">
        <v>104</v>
      </c>
      <c r="G300" s="239" t="s">
        <v>4527</v>
      </c>
      <c r="H300" s="30" t="s">
        <v>751</v>
      </c>
      <c r="I300" s="6" t="s">
        <v>751</v>
      </c>
      <c r="J300" s="30" t="s">
        <v>5259</v>
      </c>
      <c r="K300" s="239"/>
      <c r="L300" s="239"/>
      <c r="M300" s="30" t="s">
        <v>751</v>
      </c>
      <c r="N300" s="20" t="s">
        <v>5260</v>
      </c>
      <c r="O300" s="6" t="s">
        <v>751</v>
      </c>
      <c r="P300" s="239" t="s">
        <v>4586</v>
      </c>
      <c r="Q300" s="192" t="n">
        <f aca="false">Workload!E14</f>
        <v>1</v>
      </c>
      <c r="R300" s="30" t="s">
        <v>751</v>
      </c>
      <c r="S300" s="44" t="str">
        <f aca="false">IF(ISNUMBER($AF300),INDEX(IDX_SrcStat,$AF300),"—")</f>
        <v>—</v>
      </c>
      <c r="T300" s="44" t="str">
        <f aca="false">IF(ISNUMBER($AF300),INDEX(IDX_SrcGrade,$AF300),"—")</f>
        <v>—</v>
      </c>
      <c r="U300" s="44" t="s">
        <v>4531</v>
      </c>
      <c r="V300" s="32" t="n">
        <f aca="false">IF(AND($F300="原始數據",$U300&lt;&gt;"連結 SRC"),1,0)</f>
        <v>0</v>
      </c>
      <c r="W300" s="32" t="n">
        <f aca="false">IF(AND($F300="Analogy",OR($H300="—",$H300="")),1,0)</f>
        <v>0</v>
      </c>
      <c r="X300" s="32" t="n">
        <f aca="false">IF(AND(OR($F300="Analogy",$F300="Assumed"),$G300&lt;&gt;"低",$G300&lt;&gt;"高",NOT(ISNUMBER($K300)),NOT(ISNUMBER($L300)),OR($M300="—",$M300="")),1,0)</f>
        <v>0</v>
      </c>
      <c r="Y300" s="32" t="n">
        <f aca="false">IF(AND(OR($F300="Analogy",$F300="Assumed",$F300="Derived（待改公式）",$F300="Derived（公式）"),OR($N300="—",$N300="",$N300=0)),1,0)</f>
        <v>0</v>
      </c>
      <c r="Z300" s="32" t="n">
        <f aca="false">IF(AND($F300="Decision",OR($J300="—",$J300="")),1,0)</f>
        <v>0</v>
      </c>
      <c r="AA300" s="33" t="n">
        <f aca="false">IF(OR($J300="—",$J300=""),0,IF(COUNTIF(Decisions!$A$5:$A$300,$J300)=0,1,0))</f>
        <v>0</v>
      </c>
      <c r="AB300" s="32" t="n">
        <f aca="false">IF(AND($F300="原始數據",$S300&lt;&gt;"Active"),1,0)</f>
        <v>0</v>
      </c>
      <c r="AC300" s="32" t="n">
        <f aca="false">IF(AND(ISNUMBER($K300),ISNUMBER($L300),ISNUMBER($Q300)),IF(OR($Q300&lt;MIN($K300,$L300),$Q300&gt;MAX($K300,$L300)),1,0),0)</f>
        <v>0</v>
      </c>
      <c r="AD300" s="32" t="n">
        <f aca="false">IF(AND(ISNUMBER($T300),$P300="高"),IF($T300=3,1,0),0)</f>
        <v>0</v>
      </c>
      <c r="AE300" s="32" t="n">
        <f aca="false">IF($S300="不存在",1,0)</f>
        <v>0</v>
      </c>
      <c r="AF300" s="44" t="str">
        <f aca="false">IF(OR($H300="—",$H300=""),"—",MATCH($H300,IDX_SrcID,0))</f>
        <v>—</v>
      </c>
      <c r="AG300" s="32" t="n">
        <f aca="false">IF(AND($P300="高",OR($AD300=1,$X300=1)),1,0)</f>
        <v>0</v>
      </c>
      <c r="AH300" s="32" t="n">
        <f aca="false">IF(AND($P300="高",$AG300=0,OR($F300&lt;&gt;"原始數據",$T300&lt;&gt;1)),1,0)</f>
        <v>0</v>
      </c>
      <c r="AI300" s="44" t="str">
        <f aca="false">IF(AND($P300="高",ISNUMBER($AF300)),INDEX(IDX_SrcDate,$AF300),"—")</f>
        <v>—</v>
      </c>
      <c r="AJ300" s="32" t="n">
        <f aca="false">IF(AND(ISTEXT($AI300),LEN($AI300)=10),IF(ISNUMBER(VALUE(SUBSTITUTE($AI300,"-",""))),VALUE(SUBSTITUTE($AI300,"-","")),0),0)</f>
        <v>0</v>
      </c>
    </row>
    <row r="301" customFormat="false" ht="15" hidden="false" customHeight="true" outlineLevel="0" collapsed="false">
      <c r="A301" s="30" t="s">
        <v>5265</v>
      </c>
      <c r="B301" s="239" t="s">
        <v>4525</v>
      </c>
      <c r="C301" s="30" t="s">
        <v>5191</v>
      </c>
      <c r="D301" s="30" t="s">
        <v>4560</v>
      </c>
      <c r="E301" s="6" t="s">
        <v>421</v>
      </c>
      <c r="F301" s="30" t="s">
        <v>104</v>
      </c>
      <c r="G301" s="239" t="s">
        <v>4527</v>
      </c>
      <c r="H301" s="30" t="s">
        <v>751</v>
      </c>
      <c r="I301" s="6" t="s">
        <v>751</v>
      </c>
      <c r="J301" s="30" t="s">
        <v>5255</v>
      </c>
      <c r="K301" s="239"/>
      <c r="L301" s="239"/>
      <c r="M301" s="30" t="s">
        <v>751</v>
      </c>
      <c r="N301" s="6" t="s">
        <v>5256</v>
      </c>
      <c r="O301" s="6" t="s">
        <v>751</v>
      </c>
      <c r="P301" s="239" t="s">
        <v>1309</v>
      </c>
      <c r="Q301" s="192" t="n">
        <f aca="false">Workload!F13</f>
        <v>1</v>
      </c>
      <c r="R301" s="30" t="s">
        <v>751</v>
      </c>
      <c r="S301" s="44" t="str">
        <f aca="false">IF(ISNUMBER($AF301),INDEX(IDX_SrcStat,$AF301),"—")</f>
        <v>—</v>
      </c>
      <c r="T301" s="44" t="str">
        <f aca="false">IF(ISNUMBER($AF301),INDEX(IDX_SrcGrade,$AF301),"—")</f>
        <v>—</v>
      </c>
      <c r="U301" s="44" t="s">
        <v>4531</v>
      </c>
      <c r="V301" s="32" t="n">
        <f aca="false">IF(AND($F301="原始數據",$U301&lt;&gt;"連結 SRC"),1,0)</f>
        <v>0</v>
      </c>
      <c r="W301" s="32" t="n">
        <f aca="false">IF(AND($F301="Analogy",OR($H301="—",$H301="")),1,0)</f>
        <v>0</v>
      </c>
      <c r="X301" s="32" t="n">
        <f aca="false">IF(AND(OR($F301="Analogy",$F301="Assumed"),$G301&lt;&gt;"低",$G301&lt;&gt;"高",NOT(ISNUMBER($K301)),NOT(ISNUMBER($L301)),OR($M301="—",$M301="")),1,0)</f>
        <v>0</v>
      </c>
      <c r="Y301" s="32" t="n">
        <f aca="false">IF(AND(OR($F301="Analogy",$F301="Assumed",$F301="Derived（待改公式）",$F301="Derived（公式）"),OR($N301="—",$N301="",$N301=0)),1,0)</f>
        <v>0</v>
      </c>
      <c r="Z301" s="32" t="n">
        <f aca="false">IF(AND($F301="Decision",OR($J301="—",$J301="")),1,0)</f>
        <v>0</v>
      </c>
      <c r="AA301" s="33" t="n">
        <f aca="false">IF(OR($J301="—",$J301=""),0,IF(COUNTIF(Decisions!$A$5:$A$300,$J301)=0,1,0))</f>
        <v>0</v>
      </c>
      <c r="AB301" s="32" t="n">
        <f aca="false">IF(AND($F301="原始數據",$S301&lt;&gt;"Active"),1,0)</f>
        <v>0</v>
      </c>
      <c r="AC301" s="32" t="n">
        <f aca="false">IF(AND(ISNUMBER($K301),ISNUMBER($L301),ISNUMBER($Q301)),IF(OR($Q301&lt;MIN($K301,$L301),$Q301&gt;MAX($K301,$L301)),1,0),0)</f>
        <v>0</v>
      </c>
      <c r="AD301" s="32" t="n">
        <f aca="false">IF(AND(ISNUMBER($T301),$P301="高"),IF($T301=3,1,0),0)</f>
        <v>0</v>
      </c>
      <c r="AE301" s="32" t="n">
        <f aca="false">IF($S301="不存在",1,0)</f>
        <v>0</v>
      </c>
      <c r="AF301" s="44" t="str">
        <f aca="false">IF(OR($H301="—",$H301=""),"—",MATCH($H301,IDX_SrcID,0))</f>
        <v>—</v>
      </c>
      <c r="AG301" s="32" t="n">
        <f aca="false">IF(AND($P301="高",OR($AD301=1,$X301=1)),1,0)</f>
        <v>0</v>
      </c>
      <c r="AH301" s="32" t="n">
        <f aca="false">IF(AND($P301="高",$AG301=0,OR($F301&lt;&gt;"原始數據",$T301&lt;&gt;1)),1,0)</f>
        <v>1</v>
      </c>
      <c r="AI301" s="44" t="str">
        <f aca="false">IF(AND($P301="高",ISNUMBER($AF301)),INDEX(IDX_SrcDate,$AF301),"—")</f>
        <v>—</v>
      </c>
      <c r="AJ301" s="32" t="n">
        <f aca="false">IF(AND(ISTEXT($AI301),LEN($AI301)=10),IF(ISNUMBER(VALUE(SUBSTITUTE($AI301,"-",""))),VALUE(SUBSTITUTE($AI301,"-","")),0),0)</f>
        <v>0</v>
      </c>
    </row>
    <row r="302" customFormat="false" ht="29.25" hidden="false" customHeight="true" outlineLevel="0" collapsed="false">
      <c r="A302" s="30" t="s">
        <v>5266</v>
      </c>
      <c r="B302" s="239" t="s">
        <v>4525</v>
      </c>
      <c r="C302" s="30" t="s">
        <v>5191</v>
      </c>
      <c r="D302" s="30" t="s">
        <v>4570</v>
      </c>
      <c r="E302" s="20" t="s">
        <v>5258</v>
      </c>
      <c r="F302" s="30" t="s">
        <v>104</v>
      </c>
      <c r="G302" s="239" t="s">
        <v>4527</v>
      </c>
      <c r="H302" s="30" t="s">
        <v>751</v>
      </c>
      <c r="I302" s="6" t="s">
        <v>751</v>
      </c>
      <c r="J302" s="30" t="s">
        <v>5259</v>
      </c>
      <c r="K302" s="239"/>
      <c r="L302" s="239"/>
      <c r="M302" s="30" t="s">
        <v>751</v>
      </c>
      <c r="N302" s="20" t="s">
        <v>5260</v>
      </c>
      <c r="O302" s="6" t="s">
        <v>751</v>
      </c>
      <c r="P302" s="239" t="s">
        <v>4586</v>
      </c>
      <c r="Q302" s="192" t="n">
        <f aca="false">Workload!F14</f>
        <v>1</v>
      </c>
      <c r="R302" s="30" t="s">
        <v>751</v>
      </c>
      <c r="S302" s="44" t="str">
        <f aca="false">IF(ISNUMBER($AF302),INDEX(IDX_SrcStat,$AF302),"—")</f>
        <v>—</v>
      </c>
      <c r="T302" s="44" t="str">
        <f aca="false">IF(ISNUMBER($AF302),INDEX(IDX_SrcGrade,$AF302),"—")</f>
        <v>—</v>
      </c>
      <c r="U302" s="44" t="s">
        <v>4531</v>
      </c>
      <c r="V302" s="32" t="n">
        <f aca="false">IF(AND($F302="原始數據",$U302&lt;&gt;"連結 SRC"),1,0)</f>
        <v>0</v>
      </c>
      <c r="W302" s="32" t="n">
        <f aca="false">IF(AND($F302="Analogy",OR($H302="—",$H302="")),1,0)</f>
        <v>0</v>
      </c>
      <c r="X302" s="32" t="n">
        <f aca="false">IF(AND(OR($F302="Analogy",$F302="Assumed"),$G302&lt;&gt;"低",$G302&lt;&gt;"高",NOT(ISNUMBER($K302)),NOT(ISNUMBER($L302)),OR($M302="—",$M302="")),1,0)</f>
        <v>0</v>
      </c>
      <c r="Y302" s="32" t="n">
        <f aca="false">IF(AND(OR($F302="Analogy",$F302="Assumed",$F302="Derived（待改公式）",$F302="Derived（公式）"),OR($N302="—",$N302="",$N302=0)),1,0)</f>
        <v>0</v>
      </c>
      <c r="Z302" s="32" t="n">
        <f aca="false">IF(AND($F302="Decision",OR($J302="—",$J302="")),1,0)</f>
        <v>0</v>
      </c>
      <c r="AA302" s="33" t="n">
        <f aca="false">IF(OR($J302="—",$J302=""),0,IF(COUNTIF(Decisions!$A$5:$A$300,$J302)=0,1,0))</f>
        <v>0</v>
      </c>
      <c r="AB302" s="32" t="n">
        <f aca="false">IF(AND($F302="原始數據",$S302&lt;&gt;"Active"),1,0)</f>
        <v>0</v>
      </c>
      <c r="AC302" s="32" t="n">
        <f aca="false">IF(AND(ISNUMBER($K302),ISNUMBER($L302),ISNUMBER($Q302)),IF(OR($Q302&lt;MIN($K302,$L302),$Q302&gt;MAX($K302,$L302)),1,0),0)</f>
        <v>0</v>
      </c>
      <c r="AD302" s="32" t="n">
        <f aca="false">IF(AND(ISNUMBER($T302),$P302="高"),IF($T302=3,1,0),0)</f>
        <v>0</v>
      </c>
      <c r="AE302" s="32" t="n">
        <f aca="false">IF($S302="不存在",1,0)</f>
        <v>0</v>
      </c>
      <c r="AF302" s="44" t="str">
        <f aca="false">IF(OR($H302="—",$H302=""),"—",MATCH($H302,IDX_SrcID,0))</f>
        <v>—</v>
      </c>
      <c r="AG302" s="32" t="n">
        <f aca="false">IF(AND($P302="高",OR($AD302=1,$X302=1)),1,0)</f>
        <v>0</v>
      </c>
      <c r="AH302" s="32" t="n">
        <f aca="false">IF(AND($P302="高",$AG302=0,OR($F302&lt;&gt;"原始數據",$T302&lt;&gt;1)),1,0)</f>
        <v>0</v>
      </c>
      <c r="AI302" s="44" t="str">
        <f aca="false">IF(AND($P302="高",ISNUMBER($AF302)),INDEX(IDX_SrcDate,$AF302),"—")</f>
        <v>—</v>
      </c>
      <c r="AJ302" s="32" t="n">
        <f aca="false">IF(AND(ISTEXT($AI302),LEN($AI302)=10),IF(ISNUMBER(VALUE(SUBSTITUTE($AI302,"-",""))),VALUE(SUBSTITUTE($AI302,"-","")),0),0)</f>
        <v>0</v>
      </c>
    </row>
    <row r="303" customFormat="false" ht="15" hidden="false" customHeight="true" outlineLevel="0" collapsed="false">
      <c r="A303" s="30" t="s">
        <v>5267</v>
      </c>
      <c r="B303" s="239" t="s">
        <v>4525</v>
      </c>
      <c r="C303" s="30" t="s">
        <v>5191</v>
      </c>
      <c r="D303" s="30" t="s">
        <v>4801</v>
      </c>
      <c r="E303" s="6" t="s">
        <v>421</v>
      </c>
      <c r="F303" s="30" t="s">
        <v>104</v>
      </c>
      <c r="G303" s="239" t="s">
        <v>4527</v>
      </c>
      <c r="H303" s="30" t="s">
        <v>751</v>
      </c>
      <c r="I303" s="6" t="s">
        <v>751</v>
      </c>
      <c r="J303" s="30" t="s">
        <v>5255</v>
      </c>
      <c r="K303" s="239"/>
      <c r="L303" s="239"/>
      <c r="M303" s="30" t="s">
        <v>751</v>
      </c>
      <c r="N303" s="6" t="s">
        <v>5256</v>
      </c>
      <c r="O303" s="6" t="s">
        <v>751</v>
      </c>
      <c r="P303" s="239" t="s">
        <v>1309</v>
      </c>
      <c r="Q303" s="192" t="n">
        <f aca="false">Workload!G13</f>
        <v>1</v>
      </c>
      <c r="R303" s="30" t="s">
        <v>751</v>
      </c>
      <c r="S303" s="44" t="str">
        <f aca="false">IF(ISNUMBER($AF303),INDEX(IDX_SrcStat,$AF303),"—")</f>
        <v>—</v>
      </c>
      <c r="T303" s="44" t="str">
        <f aca="false">IF(ISNUMBER($AF303),INDEX(IDX_SrcGrade,$AF303),"—")</f>
        <v>—</v>
      </c>
      <c r="U303" s="44" t="s">
        <v>4531</v>
      </c>
      <c r="V303" s="32" t="n">
        <f aca="false">IF(AND($F303="原始數據",$U303&lt;&gt;"連結 SRC"),1,0)</f>
        <v>0</v>
      </c>
      <c r="W303" s="32" t="n">
        <f aca="false">IF(AND($F303="Analogy",OR($H303="—",$H303="")),1,0)</f>
        <v>0</v>
      </c>
      <c r="X303" s="32" t="n">
        <f aca="false">IF(AND(OR($F303="Analogy",$F303="Assumed"),$G303&lt;&gt;"低",$G303&lt;&gt;"高",NOT(ISNUMBER($K303)),NOT(ISNUMBER($L303)),OR($M303="—",$M303="")),1,0)</f>
        <v>0</v>
      </c>
      <c r="Y303" s="32" t="n">
        <f aca="false">IF(AND(OR($F303="Analogy",$F303="Assumed",$F303="Derived（待改公式）",$F303="Derived（公式）"),OR($N303="—",$N303="",$N303=0)),1,0)</f>
        <v>0</v>
      </c>
      <c r="Z303" s="32" t="n">
        <f aca="false">IF(AND($F303="Decision",OR($J303="—",$J303="")),1,0)</f>
        <v>0</v>
      </c>
      <c r="AA303" s="33" t="n">
        <f aca="false">IF(OR($J303="—",$J303=""),0,IF(COUNTIF(Decisions!$A$5:$A$300,$J303)=0,1,0))</f>
        <v>0</v>
      </c>
      <c r="AB303" s="32" t="n">
        <f aca="false">IF(AND($F303="原始數據",$S303&lt;&gt;"Active"),1,0)</f>
        <v>0</v>
      </c>
      <c r="AC303" s="32" t="n">
        <f aca="false">IF(AND(ISNUMBER($K303),ISNUMBER($L303),ISNUMBER($Q303)),IF(OR($Q303&lt;MIN($K303,$L303),$Q303&gt;MAX($K303,$L303)),1,0),0)</f>
        <v>0</v>
      </c>
      <c r="AD303" s="32" t="n">
        <f aca="false">IF(AND(ISNUMBER($T303),$P303="高"),IF($T303=3,1,0),0)</f>
        <v>0</v>
      </c>
      <c r="AE303" s="32" t="n">
        <f aca="false">IF($S303="不存在",1,0)</f>
        <v>0</v>
      </c>
      <c r="AF303" s="44" t="str">
        <f aca="false">IF(OR($H303="—",$H303=""),"—",MATCH($H303,IDX_SrcID,0))</f>
        <v>—</v>
      </c>
      <c r="AG303" s="32" t="n">
        <f aca="false">IF(AND($P303="高",OR($AD303=1,$X303=1)),1,0)</f>
        <v>0</v>
      </c>
      <c r="AH303" s="32" t="n">
        <f aca="false">IF(AND($P303="高",$AG303=0,OR($F303&lt;&gt;"原始數據",$T303&lt;&gt;1)),1,0)</f>
        <v>1</v>
      </c>
      <c r="AI303" s="44" t="str">
        <f aca="false">IF(AND($P303="高",ISNUMBER($AF303)),INDEX(IDX_SrcDate,$AF303),"—")</f>
        <v>—</v>
      </c>
      <c r="AJ303" s="32" t="n">
        <f aca="false">IF(AND(ISTEXT($AI303),LEN($AI303)=10),IF(ISNUMBER(VALUE(SUBSTITUTE($AI303,"-",""))),VALUE(SUBSTITUTE($AI303,"-","")),0),0)</f>
        <v>0</v>
      </c>
    </row>
    <row r="304" customFormat="false" ht="29.25" hidden="false" customHeight="true" outlineLevel="0" collapsed="false">
      <c r="A304" s="30" t="s">
        <v>5268</v>
      </c>
      <c r="B304" s="239" t="s">
        <v>4525</v>
      </c>
      <c r="C304" s="30" t="s">
        <v>5191</v>
      </c>
      <c r="D304" s="30" t="s">
        <v>5269</v>
      </c>
      <c r="E304" s="20" t="s">
        <v>5258</v>
      </c>
      <c r="F304" s="30" t="s">
        <v>104</v>
      </c>
      <c r="G304" s="239" t="s">
        <v>4527</v>
      </c>
      <c r="H304" s="30" t="s">
        <v>751</v>
      </c>
      <c r="I304" s="6" t="s">
        <v>751</v>
      </c>
      <c r="J304" s="30" t="s">
        <v>5259</v>
      </c>
      <c r="K304" s="239"/>
      <c r="L304" s="239"/>
      <c r="M304" s="30" t="s">
        <v>751</v>
      </c>
      <c r="N304" s="20" t="s">
        <v>5260</v>
      </c>
      <c r="O304" s="6" t="s">
        <v>751</v>
      </c>
      <c r="P304" s="239" t="s">
        <v>4586</v>
      </c>
      <c r="Q304" s="192" t="n">
        <f aca="false">Workload!G14</f>
        <v>1</v>
      </c>
      <c r="R304" s="30" t="s">
        <v>751</v>
      </c>
      <c r="S304" s="44" t="str">
        <f aca="false">IF(ISNUMBER($AF304),INDEX(IDX_SrcStat,$AF304),"—")</f>
        <v>—</v>
      </c>
      <c r="T304" s="44" t="str">
        <f aca="false">IF(ISNUMBER($AF304),INDEX(IDX_SrcGrade,$AF304),"—")</f>
        <v>—</v>
      </c>
      <c r="U304" s="44" t="s">
        <v>4531</v>
      </c>
      <c r="V304" s="32" t="n">
        <f aca="false">IF(AND($F304="原始數據",$U304&lt;&gt;"連結 SRC"),1,0)</f>
        <v>0</v>
      </c>
      <c r="W304" s="32" t="n">
        <f aca="false">IF(AND($F304="Analogy",OR($H304="—",$H304="")),1,0)</f>
        <v>0</v>
      </c>
      <c r="X304" s="32" t="n">
        <f aca="false">IF(AND(OR($F304="Analogy",$F304="Assumed"),$G304&lt;&gt;"低",$G304&lt;&gt;"高",NOT(ISNUMBER($K304)),NOT(ISNUMBER($L304)),OR($M304="—",$M304="")),1,0)</f>
        <v>0</v>
      </c>
      <c r="Y304" s="32" t="n">
        <f aca="false">IF(AND(OR($F304="Analogy",$F304="Assumed",$F304="Derived（待改公式）",$F304="Derived（公式）"),OR($N304="—",$N304="",$N304=0)),1,0)</f>
        <v>0</v>
      </c>
      <c r="Z304" s="32" t="n">
        <f aca="false">IF(AND($F304="Decision",OR($J304="—",$J304="")),1,0)</f>
        <v>0</v>
      </c>
      <c r="AA304" s="33" t="n">
        <f aca="false">IF(OR($J304="—",$J304=""),0,IF(COUNTIF(Decisions!$A$5:$A$300,$J304)=0,1,0))</f>
        <v>0</v>
      </c>
      <c r="AB304" s="32" t="n">
        <f aca="false">IF(AND($F304="原始數據",$S304&lt;&gt;"Active"),1,0)</f>
        <v>0</v>
      </c>
      <c r="AC304" s="32" t="n">
        <f aca="false">IF(AND(ISNUMBER($K304),ISNUMBER($L304),ISNUMBER($Q304)),IF(OR($Q304&lt;MIN($K304,$L304),$Q304&gt;MAX($K304,$L304)),1,0),0)</f>
        <v>0</v>
      </c>
      <c r="AD304" s="32" t="n">
        <f aca="false">IF(AND(ISNUMBER($T304),$P304="高"),IF($T304=3,1,0),0)</f>
        <v>0</v>
      </c>
      <c r="AE304" s="32" t="n">
        <f aca="false">IF($S304="不存在",1,0)</f>
        <v>0</v>
      </c>
      <c r="AF304" s="44" t="str">
        <f aca="false">IF(OR($H304="—",$H304=""),"—",MATCH($H304,IDX_SrcID,0))</f>
        <v>—</v>
      </c>
      <c r="AG304" s="32" t="n">
        <f aca="false">IF(AND($P304="高",OR($AD304=1,$X304=1)),1,0)</f>
        <v>0</v>
      </c>
      <c r="AH304" s="32" t="n">
        <f aca="false">IF(AND($P304="高",$AG304=0,OR($F304&lt;&gt;"原始數據",$T304&lt;&gt;1)),1,0)</f>
        <v>0</v>
      </c>
      <c r="AI304" s="44" t="str">
        <f aca="false">IF(AND($P304="高",ISNUMBER($AF304)),INDEX(IDX_SrcDate,$AF304),"—")</f>
        <v>—</v>
      </c>
      <c r="AJ304" s="32" t="n">
        <f aca="false">IF(AND(ISTEXT($AI304),LEN($AI304)=10),IF(ISNUMBER(VALUE(SUBSTITUTE($AI304,"-",""))),VALUE(SUBSTITUTE($AI304,"-","")),0),0)</f>
        <v>0</v>
      </c>
    </row>
    <row r="305" customFormat="false" ht="29.25" hidden="false" customHeight="true" outlineLevel="0" collapsed="false">
      <c r="A305" s="30" t="s">
        <v>5270</v>
      </c>
      <c r="B305" s="239" t="s">
        <v>5271</v>
      </c>
      <c r="C305" s="30" t="s">
        <v>5191</v>
      </c>
      <c r="D305" s="30" t="s">
        <v>4983</v>
      </c>
      <c r="E305" s="20" t="s">
        <v>5272</v>
      </c>
      <c r="F305" s="205" t="s">
        <v>114</v>
      </c>
      <c r="G305" s="239" t="s">
        <v>4527</v>
      </c>
      <c r="H305" s="30" t="s">
        <v>751</v>
      </c>
      <c r="I305" s="243" t="s">
        <v>751</v>
      </c>
      <c r="J305" s="30" t="s">
        <v>751</v>
      </c>
      <c r="K305" s="239"/>
      <c r="L305" s="239"/>
      <c r="M305" s="239" t="s">
        <v>4352</v>
      </c>
      <c r="N305" s="20" t="s">
        <v>5273</v>
      </c>
      <c r="O305" s="6" t="s">
        <v>751</v>
      </c>
      <c r="P305" s="239" t="s">
        <v>4530</v>
      </c>
      <c r="Q305" s="33" t="n">
        <f aca="false">Workload!C40</f>
        <v>1</v>
      </c>
      <c r="R305" s="30" t="s">
        <v>751</v>
      </c>
      <c r="S305" s="44" t="str">
        <f aca="false">IF(ISNUMBER($AF305),INDEX(IDX_SrcStat,$AF305),"—")</f>
        <v>—</v>
      </c>
      <c r="T305" s="44" t="str">
        <f aca="false">IF(ISNUMBER($AF305),INDEX(IDX_SrcGrade,$AF305),"—")</f>
        <v>—</v>
      </c>
      <c r="U305" s="44" t="s">
        <v>4531</v>
      </c>
      <c r="V305" s="32" t="n">
        <f aca="false">IF(AND($F305="原始數據",$U305&lt;&gt;"連結 SRC"),1,0)</f>
        <v>0</v>
      </c>
      <c r="W305" s="32" t="n">
        <f aca="false">IF(AND($F305="Analogy",OR($H305="—",$H305="")),1,0)</f>
        <v>0</v>
      </c>
      <c r="X305" s="32" t="n">
        <f aca="false">IF(AND(OR($F305="Analogy",$F305="Assumed"),$G305&lt;&gt;"低",$G305&lt;&gt;"高",NOT(ISNUMBER($K305)),NOT(ISNUMBER($L305)),OR($M305="—",$M305="")),1,0)</f>
        <v>0</v>
      </c>
      <c r="Y305" s="32" t="n">
        <f aca="false">IF(AND(OR($F305="Analogy",$F305="Assumed",$F305="Derived（待改公式）",$F305="Derived（公式）"),OR($N305="—",$N305="",$N305=0)),1,0)</f>
        <v>0</v>
      </c>
      <c r="Z305" s="32" t="n">
        <f aca="false">IF(AND($F305="Decision",OR($J305="—",$J305="")),1,0)</f>
        <v>0</v>
      </c>
      <c r="AA305" s="33" t="n">
        <f aca="false">IF(OR($J305="—",$J305=""),0,IF(COUNTIF(Decisions!$A$5:$A$300,$J305)=0,1,0))</f>
        <v>0</v>
      </c>
      <c r="AB305" s="32" t="n">
        <f aca="false">IF(AND($F305="原始數據",$S305&lt;&gt;"Active"),1,0)</f>
        <v>0</v>
      </c>
      <c r="AC305" s="32" t="n">
        <f aca="false">IF(AND(ISNUMBER($K305),ISNUMBER($L305),ISNUMBER($Q305)),IF(OR($Q305&lt;MIN($K305,$L305),$Q305&gt;MAX($K305,$L305)),1,0),0)</f>
        <v>0</v>
      </c>
      <c r="AD305" s="32" t="n">
        <f aca="false">IF(AND(ISNUMBER($T305),$P305="高"),IF($T305=3,1,0),0)</f>
        <v>0</v>
      </c>
      <c r="AE305" s="32" t="n">
        <f aca="false">IF($S305="不存在",1,0)</f>
        <v>0</v>
      </c>
      <c r="AF305" s="44" t="str">
        <f aca="false">IF(OR($H305="—",$H305=""),"—",MATCH($H305,IDX_SrcID,0))</f>
        <v>—</v>
      </c>
      <c r="AG305" s="32" t="n">
        <f aca="false">IF(AND($P305="高",OR($AD305=1,$X305=1)),1,0)</f>
        <v>0</v>
      </c>
      <c r="AH305" s="32" t="n">
        <f aca="false">IF(AND($P305="高",$AG305=0,OR($F305&lt;&gt;"原始數據",$T305&lt;&gt;1)),1,0)</f>
        <v>0</v>
      </c>
      <c r="AI305" s="44" t="str">
        <f aca="false">IF(AND($P305="高",ISNUMBER($AF305)),INDEX(IDX_SrcDate,$AF305),"—")</f>
        <v>—</v>
      </c>
      <c r="AJ305" s="32" t="n">
        <f aca="false">IF(AND(ISTEXT($AI305),LEN($AI305)=10),IF(ISNUMBER(VALUE(SUBSTITUTE($AI305,"-",""))),VALUE(SUBSTITUTE($AI305,"-","")),0),0)</f>
        <v>0</v>
      </c>
    </row>
    <row r="306" customFormat="false" ht="29.25" hidden="false" customHeight="true" outlineLevel="0" collapsed="false">
      <c r="A306" s="30" t="s">
        <v>5274</v>
      </c>
      <c r="B306" s="239" t="s">
        <v>5271</v>
      </c>
      <c r="C306" s="30" t="s">
        <v>5191</v>
      </c>
      <c r="D306" s="30" t="s">
        <v>4988</v>
      </c>
      <c r="E306" s="20" t="s">
        <v>5272</v>
      </c>
      <c r="F306" s="239" t="s">
        <v>348</v>
      </c>
      <c r="G306" s="239" t="s">
        <v>4527</v>
      </c>
      <c r="H306" s="30" t="s">
        <v>5275</v>
      </c>
      <c r="I306" s="20" t="s">
        <v>4562</v>
      </c>
      <c r="J306" s="30" t="s">
        <v>751</v>
      </c>
      <c r="K306" s="239"/>
      <c r="L306" s="239"/>
      <c r="M306" s="30" t="s">
        <v>751</v>
      </c>
      <c r="N306" s="20" t="s">
        <v>5276</v>
      </c>
      <c r="O306" s="6" t="s">
        <v>751</v>
      </c>
      <c r="P306" s="239" t="s">
        <v>4530</v>
      </c>
      <c r="Q306" s="33" t="n">
        <f aca="false">Workload!E40</f>
        <v>4</v>
      </c>
      <c r="R306" s="184" t="n">
        <f aca="false">SRC_HAR_001</f>
        <v>4</v>
      </c>
      <c r="S306" s="44" t="str">
        <f aca="false">IF(ISNUMBER($AF306),INDEX(IDX_SrcStat,$AF306),"—")</f>
        <v>Active</v>
      </c>
      <c r="T306" s="44" t="n">
        <f aca="false">IF(ISNUMBER($AF306),INDEX(IDX_SrcGrade,$AF306),"—")</f>
        <v>2</v>
      </c>
      <c r="U306" s="44" t="s">
        <v>4564</v>
      </c>
      <c r="V306" s="32" t="n">
        <f aca="false">IF(AND($F306="原始數據",$U306&lt;&gt;"連結 SRC"),1,0)</f>
        <v>0</v>
      </c>
      <c r="W306" s="32" t="n">
        <f aca="false">IF(AND($F306="Analogy",OR($H306="—",$H306="")),1,0)</f>
        <v>0</v>
      </c>
      <c r="X306" s="32" t="n">
        <f aca="false">IF(AND(OR($F306="Analogy",$F306="Assumed"),$G306&lt;&gt;"低",$G306&lt;&gt;"高",NOT(ISNUMBER($K306)),NOT(ISNUMBER($L306)),OR($M306="—",$M306="")),1,0)</f>
        <v>0</v>
      </c>
      <c r="Y306" s="32" t="n">
        <f aca="false">IF(AND(OR($F306="Analogy",$F306="Assumed",$F306="Derived（待改公式）",$F306="Derived（公式）"),OR($N306="—",$N306="",$N306=0)),1,0)</f>
        <v>0</v>
      </c>
      <c r="Z306" s="32" t="n">
        <f aca="false">IF(AND($F306="Decision",OR($J306="—",$J306="")),1,0)</f>
        <v>0</v>
      </c>
      <c r="AA306" s="33" t="n">
        <f aca="false">IF(OR($J306="—",$J306=""),0,IF(COUNTIF(Decisions!$A$5:$A$300,$J306)=0,1,0))</f>
        <v>0</v>
      </c>
      <c r="AB306" s="32" t="n">
        <f aca="false">IF(AND($F306="原始數據",$S306&lt;&gt;"Active"),1,0)</f>
        <v>0</v>
      </c>
      <c r="AC306" s="32" t="n">
        <f aca="false">IF(AND(ISNUMBER($K306),ISNUMBER($L306),ISNUMBER($Q306)),IF(OR($Q306&lt;MIN($K306,$L306),$Q306&gt;MAX($K306,$L306)),1,0),0)</f>
        <v>0</v>
      </c>
      <c r="AD306" s="32" t="n">
        <f aca="false">IF(AND(ISNUMBER($T306),$P306="高"),IF($T306=3,1,0),0)</f>
        <v>0</v>
      </c>
      <c r="AE306" s="32" t="n">
        <f aca="false">IF($S306="不存在",1,0)</f>
        <v>0</v>
      </c>
      <c r="AF306" s="44" t="n">
        <f aca="false">IF(OR($H306="—",$H306=""),"—",MATCH($H306,IDX_SrcID,0))</f>
        <v>588</v>
      </c>
      <c r="AG306" s="32" t="n">
        <f aca="false">IF(AND($P306="高",OR($AD306=1,$X306=1)),1,0)</f>
        <v>0</v>
      </c>
      <c r="AH306" s="32" t="n">
        <f aca="false">IF(AND($P306="高",$AG306=0,OR($F306&lt;&gt;"原始數據",$T306&lt;&gt;1)),1,0)</f>
        <v>0</v>
      </c>
      <c r="AI306" s="44" t="str">
        <f aca="false">IF(AND($P306="高",ISNUMBER($AF306)),INDEX(IDX_SrcDate,$AF306),"—")</f>
        <v>—</v>
      </c>
      <c r="AJ306" s="32" t="n">
        <f aca="false">IF(AND(ISTEXT($AI306),LEN($AI306)=10),IF(ISNUMBER(VALUE(SUBSTITUTE($AI306,"-",""))),VALUE(SUBSTITUTE($AI306,"-","")),0),0)</f>
        <v>0</v>
      </c>
    </row>
    <row r="307" customFormat="false" ht="29.25" hidden="false" customHeight="true" outlineLevel="0" collapsed="false">
      <c r="A307" s="30" t="s">
        <v>5277</v>
      </c>
      <c r="B307" s="239" t="s">
        <v>5271</v>
      </c>
      <c r="C307" s="30" t="s">
        <v>5191</v>
      </c>
      <c r="D307" s="30" t="s">
        <v>4990</v>
      </c>
      <c r="E307" s="20" t="s">
        <v>5272</v>
      </c>
      <c r="F307" s="239" t="s">
        <v>348</v>
      </c>
      <c r="G307" s="239" t="s">
        <v>4527</v>
      </c>
      <c r="H307" s="30" t="s">
        <v>5278</v>
      </c>
      <c r="I307" s="20" t="s">
        <v>4562</v>
      </c>
      <c r="J307" s="30" t="s">
        <v>751</v>
      </c>
      <c r="K307" s="239"/>
      <c r="L307" s="239"/>
      <c r="M307" s="30" t="s">
        <v>751</v>
      </c>
      <c r="N307" s="20" t="s">
        <v>5276</v>
      </c>
      <c r="O307" s="6" t="s">
        <v>751</v>
      </c>
      <c r="P307" s="239" t="s">
        <v>4530</v>
      </c>
      <c r="Q307" s="33" t="n">
        <f aca="false">Workload!F40</f>
        <v>15</v>
      </c>
      <c r="R307" s="184" t="n">
        <f aca="false">SRC_HAR_002</f>
        <v>15</v>
      </c>
      <c r="S307" s="44" t="str">
        <f aca="false">IF(ISNUMBER($AF307),INDEX(IDX_SrcStat,$AF307),"—")</f>
        <v>Active</v>
      </c>
      <c r="T307" s="44" t="n">
        <f aca="false">IF(ISNUMBER($AF307),INDEX(IDX_SrcGrade,$AF307),"—")</f>
        <v>2</v>
      </c>
      <c r="U307" s="44" t="s">
        <v>4564</v>
      </c>
      <c r="V307" s="32" t="n">
        <f aca="false">IF(AND($F307="原始數據",$U307&lt;&gt;"連結 SRC"),1,0)</f>
        <v>0</v>
      </c>
      <c r="W307" s="32" t="n">
        <f aca="false">IF(AND($F307="Analogy",OR($H307="—",$H307="")),1,0)</f>
        <v>0</v>
      </c>
      <c r="X307" s="32" t="n">
        <f aca="false">IF(AND(OR($F307="Analogy",$F307="Assumed"),$G307&lt;&gt;"低",$G307&lt;&gt;"高",NOT(ISNUMBER($K307)),NOT(ISNUMBER($L307)),OR($M307="—",$M307="")),1,0)</f>
        <v>0</v>
      </c>
      <c r="Y307" s="32" t="n">
        <f aca="false">IF(AND(OR($F307="Analogy",$F307="Assumed",$F307="Derived（待改公式）",$F307="Derived（公式）"),OR($N307="—",$N307="",$N307=0)),1,0)</f>
        <v>0</v>
      </c>
      <c r="Z307" s="32" t="n">
        <f aca="false">IF(AND($F307="Decision",OR($J307="—",$J307="")),1,0)</f>
        <v>0</v>
      </c>
      <c r="AA307" s="33" t="n">
        <f aca="false">IF(OR($J307="—",$J307=""),0,IF(COUNTIF(Decisions!$A$5:$A$300,$J307)=0,1,0))</f>
        <v>0</v>
      </c>
      <c r="AB307" s="32" t="n">
        <f aca="false">IF(AND($F307="原始數據",$S307&lt;&gt;"Active"),1,0)</f>
        <v>0</v>
      </c>
      <c r="AC307" s="32" t="n">
        <f aca="false">IF(AND(ISNUMBER($K307),ISNUMBER($L307),ISNUMBER($Q307)),IF(OR($Q307&lt;MIN($K307,$L307),$Q307&gt;MAX($K307,$L307)),1,0),0)</f>
        <v>0</v>
      </c>
      <c r="AD307" s="32" t="n">
        <f aca="false">IF(AND(ISNUMBER($T307),$P307="高"),IF($T307=3,1,0),0)</f>
        <v>0</v>
      </c>
      <c r="AE307" s="32" t="n">
        <f aca="false">IF($S307="不存在",1,0)</f>
        <v>0</v>
      </c>
      <c r="AF307" s="44" t="n">
        <f aca="false">IF(OR($H307="—",$H307=""),"—",MATCH($H307,IDX_SrcID,0))</f>
        <v>589</v>
      </c>
      <c r="AG307" s="32" t="n">
        <f aca="false">IF(AND($P307="高",OR($AD307=1,$X307=1)),1,0)</f>
        <v>0</v>
      </c>
      <c r="AH307" s="32" t="n">
        <f aca="false">IF(AND($P307="高",$AG307=0,OR($F307&lt;&gt;"原始數據",$T307&lt;&gt;1)),1,0)</f>
        <v>0</v>
      </c>
      <c r="AI307" s="44" t="str">
        <f aca="false">IF(AND($P307="高",ISNUMBER($AF307)),INDEX(IDX_SrcDate,$AF307),"—")</f>
        <v>—</v>
      </c>
      <c r="AJ307" s="32" t="n">
        <f aca="false">IF(AND(ISTEXT($AI307),LEN($AI307)=10),IF(ISNUMBER(VALUE(SUBSTITUTE($AI307,"-",""))),VALUE(SUBSTITUTE($AI307,"-","")),0),0)</f>
        <v>0</v>
      </c>
    </row>
    <row r="308" customFormat="false" ht="43.5" hidden="false" customHeight="true" outlineLevel="0" collapsed="false">
      <c r="A308" s="30" t="s">
        <v>5279</v>
      </c>
      <c r="B308" s="239" t="s">
        <v>4525</v>
      </c>
      <c r="C308" s="30" t="s">
        <v>5280</v>
      </c>
      <c r="D308" s="30" t="s">
        <v>5192</v>
      </c>
      <c r="E308" s="6" t="s">
        <v>461</v>
      </c>
      <c r="F308" s="30" t="s">
        <v>119</v>
      </c>
      <c r="G308" s="239" t="s">
        <v>4527</v>
      </c>
      <c r="H308" s="30" t="s">
        <v>5281</v>
      </c>
      <c r="I308" s="20" t="s">
        <v>5282</v>
      </c>
      <c r="J308" s="30" t="s">
        <v>751</v>
      </c>
      <c r="K308" s="241" t="n">
        <v>0.15</v>
      </c>
      <c r="L308" s="241" t="n">
        <v>0.45</v>
      </c>
      <c r="M308" s="30" t="s">
        <v>5283</v>
      </c>
      <c r="N308" s="240" t="str">
        <f aca="false">Calib!$J$5&amp;" ｜補充旗標（IF 全欄分段，非分段依據）：高"&amp;" ｜v5.19 X2 升段：單變數擺動 −33.0%／+11.1%（低／高端；L1_Ans4）；chat 端掃描 2026-10-06"</f>
        <v>Analogy：DeepSeek H800 線上 prefill 約 0.37（S30，待查）；區間 0.15–0.45。擬合結果對此不敏感（見 G 節） ｜補充旗標（IF 全欄分段，非分段依據）：高 ｜v5.19 X2 升段：單變數擺動 −33.0%／+11.1%（低／高端；L1_Ans4）；chat 端掃描 2026-10-06</v>
      </c>
      <c r="O308" s="6" t="s">
        <v>751</v>
      </c>
      <c r="P308" s="239" t="s">
        <v>1309</v>
      </c>
      <c r="Q308" s="194" t="n">
        <f aca="false">Calib!C5</f>
        <v>0.3</v>
      </c>
      <c r="R308" s="184" t="n">
        <f aca="false">SRC_PERF_041</f>
        <v>73700</v>
      </c>
      <c r="S308" s="44" t="str">
        <f aca="false">IF(ISNUMBER($AF308),INDEX(IDX_SrcStat,$AF308),"—")</f>
        <v>Active</v>
      </c>
      <c r="T308" s="44" t="n">
        <f aca="false">IF(ISNUMBER($AF308),INDEX(IDX_SrcGrade,$AF308),"—")</f>
        <v>1</v>
      </c>
      <c r="U308" s="44" t="s">
        <v>4531</v>
      </c>
      <c r="V308" s="32" t="n">
        <f aca="false">IF(AND($F308="原始數據",$U308&lt;&gt;"連結 SRC"),1,0)</f>
        <v>0</v>
      </c>
      <c r="W308" s="32" t="n">
        <f aca="false">IF(AND($F308="Analogy",OR($H308="—",$H308="")),1,0)</f>
        <v>0</v>
      </c>
      <c r="X308" s="32" t="n">
        <f aca="false">IF(AND(OR($F308="Analogy",$F308="Assumed"),$G308&lt;&gt;"低",$G308&lt;&gt;"高",NOT(ISNUMBER($K308)),NOT(ISNUMBER($L308)),OR($M308="—",$M308="")),1,0)</f>
        <v>0</v>
      </c>
      <c r="Y308" s="32" t="n">
        <f aca="false">IF(AND(OR($F308="Analogy",$F308="Assumed",$F308="Derived（待改公式）",$F308="Derived（公式）"),OR($N308="—",$N308="",$N308=0)),1,0)</f>
        <v>0</v>
      </c>
      <c r="Z308" s="32" t="n">
        <f aca="false">IF(AND($F308="Decision",OR($J308="—",$J308="")),1,0)</f>
        <v>0</v>
      </c>
      <c r="AA308" s="33" t="n">
        <f aca="false">IF(OR($J308="—",$J308=""),0,IF(COUNTIF(Decisions!$A$5:$A$300,$J308)=0,1,0))</f>
        <v>0</v>
      </c>
      <c r="AB308" s="32" t="n">
        <f aca="false">IF(AND($F308="原始數據",$S308&lt;&gt;"Active"),1,0)</f>
        <v>0</v>
      </c>
      <c r="AC308" s="32" t="n">
        <f aca="false">IF(AND(ISNUMBER($K308),ISNUMBER($L308),ISNUMBER($Q308)),IF(OR($Q308&lt;MIN($K308,$L308),$Q308&gt;MAX($K308,$L308)),1,0),0)</f>
        <v>0</v>
      </c>
      <c r="AD308" s="32" t="n">
        <f aca="false">IF(AND(ISNUMBER($T308),$P308="高"),IF($T308=3,1,0),0)</f>
        <v>0</v>
      </c>
      <c r="AE308" s="32" t="n">
        <f aca="false">IF($S308="不存在",1,0)</f>
        <v>0</v>
      </c>
      <c r="AF308" s="44" t="n">
        <f aca="false">IF(OR($H308="—",$H308=""),"—",MATCH($H308,IDX_SrcID,0))</f>
        <v>335</v>
      </c>
      <c r="AG308" s="32" t="n">
        <f aca="false">IF(AND($P308="高",OR($AD308=1,$X308=1)),1,0)</f>
        <v>0</v>
      </c>
      <c r="AH308" s="32" t="n">
        <f aca="false">IF(AND($P308="高",$AG308=0,OR($F308&lt;&gt;"原始數據",$T308&lt;&gt;1)),1,0)</f>
        <v>1</v>
      </c>
      <c r="AI308" s="44" t="str">
        <f aca="false">IF(AND($P308="高",ISNUMBER($AF308)),INDEX(IDX_SrcDate,$AF308),"—")</f>
        <v>—</v>
      </c>
      <c r="AJ308" s="32" t="n">
        <f aca="false">IF(AND(ISTEXT($AI308),LEN($AI308)=10),IF(ISNUMBER(VALUE(SUBSTITUTE($AI308,"-",""))),VALUE(SUBSTITUTE($AI308,"-","")),0),0)</f>
        <v>0</v>
      </c>
    </row>
    <row r="309" customFormat="false" ht="15" hidden="false" customHeight="true" outlineLevel="0" collapsed="false">
      <c r="A309" s="30" t="s">
        <v>5284</v>
      </c>
      <c r="B309" s="239" t="s">
        <v>4525</v>
      </c>
      <c r="C309" s="30" t="s">
        <v>5280</v>
      </c>
      <c r="D309" s="30" t="s">
        <v>5285</v>
      </c>
      <c r="E309" s="20" t="s">
        <v>469</v>
      </c>
      <c r="F309" s="239" t="s">
        <v>5286</v>
      </c>
      <c r="G309" s="239" t="s">
        <v>5287</v>
      </c>
      <c r="H309" s="30" t="s">
        <v>751</v>
      </c>
      <c r="I309" s="6" t="s">
        <v>751</v>
      </c>
      <c r="J309" s="30" t="s">
        <v>751</v>
      </c>
      <c r="K309" s="239"/>
      <c r="L309" s="239"/>
      <c r="M309" s="30" t="s">
        <v>751</v>
      </c>
      <c r="N309" s="20" t="s">
        <v>5288</v>
      </c>
      <c r="O309" s="6" t="s">
        <v>751</v>
      </c>
      <c r="P309" s="30" t="s">
        <v>751</v>
      </c>
      <c r="Q309" s="184" t="s">
        <v>751</v>
      </c>
      <c r="R309" s="30" t="s">
        <v>751</v>
      </c>
      <c r="S309" s="44" t="str">
        <f aca="false">IF(ISNUMBER($AF309),INDEX(IDX_SrcStat,$AF309),"—")</f>
        <v>—</v>
      </c>
      <c r="T309" s="44" t="str">
        <f aca="false">IF(ISNUMBER($AF309),INDEX(IDX_SrcGrade,$AF309),"—")</f>
        <v>—</v>
      </c>
      <c r="U309" s="30" t="s">
        <v>751</v>
      </c>
      <c r="V309" s="32" t="n">
        <f aca="false">IF(AND($F309="原始數據",$U309&lt;&gt;"連結 SRC"),1,0)</f>
        <v>0</v>
      </c>
      <c r="W309" s="32" t="n">
        <f aca="false">IF(AND($F309="Analogy",OR($H309="—",$H309="")),1,0)</f>
        <v>0</v>
      </c>
      <c r="X309" s="32" t="n">
        <f aca="false">IF(AND(OR($F309="Analogy",$F309="Assumed"),$G309&lt;&gt;"低",$G309&lt;&gt;"高",NOT(ISNUMBER($K309)),NOT(ISNUMBER($L309)),OR($M309="—",$M309="")),1,0)</f>
        <v>0</v>
      </c>
      <c r="Y309" s="32" t="n">
        <f aca="false">IF(AND(OR($F309="Analogy",$F309="Assumed",$F309="Derived（待改公式）",$F309="Derived（公式）"),OR($N309="—",$N309="",$N309=0)),1,0)</f>
        <v>0</v>
      </c>
      <c r="Z309" s="32" t="n">
        <f aca="false">IF(AND($F309="Decision",OR($J309="—",$J309="")),1,0)</f>
        <v>0</v>
      </c>
      <c r="AA309" s="33" t="n">
        <f aca="false">IF(OR($J309="—",$J309=""),0,IF(COUNTIF(Decisions!$A$5:$A$300,$J309)=0,1,0))</f>
        <v>0</v>
      </c>
      <c r="AB309" s="32" t="n">
        <f aca="false">IF(AND($F309="原始數據",$S309&lt;&gt;"Active"),1,0)</f>
        <v>0</v>
      </c>
      <c r="AC309" s="32" t="n">
        <f aca="false">IF(AND(ISNUMBER($K309),ISNUMBER($L309),ISNUMBER($Q309)),IF(OR($Q309&lt;MIN($K309,$L309),$Q309&gt;MAX($K309,$L309)),1,0),0)</f>
        <v>0</v>
      </c>
      <c r="AD309" s="32" t="n">
        <f aca="false">IF(AND(ISNUMBER($T309),$P309="高"),IF($T309=3,1,0),0)</f>
        <v>0</v>
      </c>
      <c r="AE309" s="32" t="n">
        <f aca="false">IF($S309="不存在",1,0)</f>
        <v>0</v>
      </c>
      <c r="AF309" s="44" t="str">
        <f aca="false">IF(OR($H309="—",$H309=""),"—",MATCH($H309,IDX_SrcID,0))</f>
        <v>—</v>
      </c>
      <c r="AG309" s="32" t="n">
        <f aca="false">IF(AND($P309="高",OR($AD309=1,$X309=1)),1,0)</f>
        <v>0</v>
      </c>
      <c r="AH309" s="32" t="n">
        <f aca="false">IF(AND($P309="高",$AG309=0,OR($F309&lt;&gt;"原始數據",$T309&lt;&gt;1)),1,0)</f>
        <v>0</v>
      </c>
      <c r="AI309" s="44" t="str">
        <f aca="false">IF(AND($P309="高",ISNUMBER($AF309)),INDEX(IDX_SrcDate,$AF309),"—")</f>
        <v>—</v>
      </c>
      <c r="AJ309" s="32" t="n">
        <f aca="false">IF(AND(ISTEXT($AI309),LEN($AI309)=10),IF(ISNUMBER(VALUE(SUBSTITUTE($AI309,"-",""))),VALUE(SUBSTITUTE($AI309,"-","")),0),0)</f>
        <v>0</v>
      </c>
    </row>
    <row r="310" customFormat="false" ht="15" hidden="false" customHeight="true" outlineLevel="0" collapsed="false">
      <c r="A310" s="30" t="s">
        <v>5289</v>
      </c>
      <c r="B310" s="239" t="s">
        <v>4525</v>
      </c>
      <c r="C310" s="30" t="s">
        <v>5280</v>
      </c>
      <c r="D310" s="30" t="s">
        <v>4789</v>
      </c>
      <c r="E310" s="6" t="s">
        <v>477</v>
      </c>
      <c r="F310" s="239" t="s">
        <v>348</v>
      </c>
      <c r="G310" s="239" t="s">
        <v>4527</v>
      </c>
      <c r="H310" s="30" t="s">
        <v>5290</v>
      </c>
      <c r="I310" s="20" t="s">
        <v>4562</v>
      </c>
      <c r="J310" s="30" t="s">
        <v>751</v>
      </c>
      <c r="K310" s="239"/>
      <c r="L310" s="239"/>
      <c r="M310" s="30" t="s">
        <v>751</v>
      </c>
      <c r="N310" s="20" t="s">
        <v>4665</v>
      </c>
      <c r="O310" s="6" t="s">
        <v>751</v>
      </c>
      <c r="P310" s="239" t="s">
        <v>4530</v>
      </c>
      <c r="Q310" s="33" t="n">
        <f aca="false">Calib!C13</f>
        <v>1</v>
      </c>
      <c r="R310" s="184" t="n">
        <f aca="false">SRC_PERF_009_MTP</f>
        <v>1</v>
      </c>
      <c r="S310" s="44" t="str">
        <f aca="false">IF(ISNUMBER($AF310),INDEX(IDX_SrcStat,$AF310),"—")</f>
        <v>Active</v>
      </c>
      <c r="T310" s="44" t="n">
        <f aca="false">IF(ISNUMBER($AF310),INDEX(IDX_SrcGrade,$AF310),"—")</f>
        <v>2</v>
      </c>
      <c r="U310" s="44" t="s">
        <v>4564</v>
      </c>
      <c r="V310" s="32" t="n">
        <f aca="false">IF(AND($F310="原始數據",$U310&lt;&gt;"連結 SRC"),1,0)</f>
        <v>0</v>
      </c>
      <c r="W310" s="32" t="n">
        <f aca="false">IF(AND($F310="Analogy",OR($H310="—",$H310="")),1,0)</f>
        <v>0</v>
      </c>
      <c r="X310" s="32" t="n">
        <f aca="false">IF(AND(OR($F310="Analogy",$F310="Assumed"),$G310&lt;&gt;"低",$G310&lt;&gt;"高",NOT(ISNUMBER($K310)),NOT(ISNUMBER($L310)),OR($M310="—",$M310="")),1,0)</f>
        <v>0</v>
      </c>
      <c r="Y310" s="32" t="n">
        <f aca="false">IF(AND(OR($F310="Analogy",$F310="Assumed",$F310="Derived（待改公式）",$F310="Derived（公式）"),OR($N310="—",$N310="",$N310=0)),1,0)</f>
        <v>0</v>
      </c>
      <c r="Z310" s="32" t="n">
        <f aca="false">IF(AND($F310="Decision",OR($J310="—",$J310="")),1,0)</f>
        <v>0</v>
      </c>
      <c r="AA310" s="33" t="n">
        <f aca="false">IF(OR($J310="—",$J310=""),0,IF(COUNTIF(Decisions!$A$5:$A$300,$J310)=0,1,0))</f>
        <v>0</v>
      </c>
      <c r="AB310" s="32" t="n">
        <f aca="false">IF(AND($F310="原始數據",$S310&lt;&gt;"Active"),1,0)</f>
        <v>0</v>
      </c>
      <c r="AC310" s="32" t="n">
        <f aca="false">IF(AND(ISNUMBER($K310),ISNUMBER($L310),ISNUMBER($Q310)),IF(OR($Q310&lt;MIN($K310,$L310),$Q310&gt;MAX($K310,$L310)),1,0),0)</f>
        <v>0</v>
      </c>
      <c r="AD310" s="32" t="n">
        <f aca="false">IF(AND(ISNUMBER($T310),$P310="高"),IF($T310=3,1,0),0)</f>
        <v>0</v>
      </c>
      <c r="AE310" s="32" t="n">
        <f aca="false">IF($S310="不存在",1,0)</f>
        <v>0</v>
      </c>
      <c r="AF310" s="44" t="n">
        <f aca="false">IF(OR($H310="—",$H310=""),"—",MATCH($H310,IDX_SrcID,0))</f>
        <v>303</v>
      </c>
      <c r="AG310" s="32" t="n">
        <f aca="false">IF(AND($P310="高",OR($AD310=1,$X310=1)),1,0)</f>
        <v>0</v>
      </c>
      <c r="AH310" s="32" t="n">
        <f aca="false">IF(AND($P310="高",$AG310=0,OR($F310&lt;&gt;"原始數據",$T310&lt;&gt;1)),1,0)</f>
        <v>0</v>
      </c>
      <c r="AI310" s="44" t="str">
        <f aca="false">IF(AND($P310="高",ISNUMBER($AF310)),INDEX(IDX_SrcDate,$AF310),"—")</f>
        <v>—</v>
      </c>
      <c r="AJ310" s="32" t="n">
        <f aca="false">IF(AND(ISTEXT($AI310),LEN($AI310)=10),IF(ISNUMBER(VALUE(SUBSTITUTE($AI310,"-",""))),VALUE(SUBSTITUTE($AI310,"-","")),0),0)</f>
        <v>0</v>
      </c>
    </row>
    <row r="311" customFormat="false" ht="15" hidden="false" customHeight="true" outlineLevel="0" collapsed="false">
      <c r="A311" s="30" t="s">
        <v>5291</v>
      </c>
      <c r="B311" s="239" t="s">
        <v>4525</v>
      </c>
      <c r="C311" s="30" t="s">
        <v>5280</v>
      </c>
      <c r="D311" s="30" t="s">
        <v>5038</v>
      </c>
      <c r="E311" s="20" t="s">
        <v>479</v>
      </c>
      <c r="F311" s="239" t="s">
        <v>348</v>
      </c>
      <c r="G311" s="239" t="s">
        <v>4527</v>
      </c>
      <c r="H311" s="30" t="s">
        <v>5290</v>
      </c>
      <c r="I311" s="20" t="s">
        <v>4562</v>
      </c>
      <c r="J311" s="30" t="s">
        <v>751</v>
      </c>
      <c r="K311" s="239"/>
      <c r="L311" s="239"/>
      <c r="M311" s="30" t="s">
        <v>751</v>
      </c>
      <c r="N311" s="20" t="s">
        <v>4665</v>
      </c>
      <c r="O311" s="6" t="s">
        <v>751</v>
      </c>
      <c r="P311" s="239" t="s">
        <v>1309</v>
      </c>
      <c r="Q311" s="49" t="n">
        <f aca="false">Calib!C14</f>
        <v>72</v>
      </c>
      <c r="R311" s="184" t="n">
        <f aca="false">SRC_PERF_009_Spd</f>
        <v>72</v>
      </c>
      <c r="S311" s="44" t="str">
        <f aca="false">IF(ISNUMBER($AF311),INDEX(IDX_SrcStat,$AF311),"—")</f>
        <v>Active</v>
      </c>
      <c r="T311" s="44" t="n">
        <f aca="false">IF(ISNUMBER($AF311),INDEX(IDX_SrcGrade,$AF311),"—")</f>
        <v>2</v>
      </c>
      <c r="U311" s="44" t="s">
        <v>4564</v>
      </c>
      <c r="V311" s="32" t="n">
        <f aca="false">IF(AND($F311="原始數據",$U311&lt;&gt;"連結 SRC"),1,0)</f>
        <v>0</v>
      </c>
      <c r="W311" s="32" t="n">
        <f aca="false">IF(AND($F311="Analogy",OR($H311="—",$H311="")),1,0)</f>
        <v>0</v>
      </c>
      <c r="X311" s="32" t="n">
        <f aca="false">IF(AND(OR($F311="Analogy",$F311="Assumed"),$G311&lt;&gt;"低",$G311&lt;&gt;"高",NOT(ISNUMBER($K311)),NOT(ISNUMBER($L311)),OR($M311="—",$M311="")),1,0)</f>
        <v>0</v>
      </c>
      <c r="Y311" s="32" t="n">
        <f aca="false">IF(AND(OR($F311="Analogy",$F311="Assumed",$F311="Derived（待改公式）",$F311="Derived（公式）"),OR($N311="—",$N311="",$N311=0)),1,0)</f>
        <v>0</v>
      </c>
      <c r="Z311" s="32" t="n">
        <f aca="false">IF(AND($F311="Decision",OR($J311="—",$J311="")),1,0)</f>
        <v>0</v>
      </c>
      <c r="AA311" s="33" t="n">
        <f aca="false">IF(OR($J311="—",$J311=""),0,IF(COUNTIF(Decisions!$A$5:$A$300,$J311)=0,1,0))</f>
        <v>0</v>
      </c>
      <c r="AB311" s="32" t="n">
        <f aca="false">IF(AND($F311="原始數據",$S311&lt;&gt;"Active"),1,0)</f>
        <v>0</v>
      </c>
      <c r="AC311" s="32" t="n">
        <f aca="false">IF(AND(ISNUMBER($K311),ISNUMBER($L311),ISNUMBER($Q311)),IF(OR($Q311&lt;MIN($K311,$L311),$Q311&gt;MAX($K311,$L311)),1,0),0)</f>
        <v>0</v>
      </c>
      <c r="AD311" s="32" t="n">
        <f aca="false">IF(AND(ISNUMBER($T311),$P311="高"),IF($T311=3,1,0),0)</f>
        <v>0</v>
      </c>
      <c r="AE311" s="32" t="n">
        <f aca="false">IF($S311="不存在",1,0)</f>
        <v>0</v>
      </c>
      <c r="AF311" s="44" t="n">
        <f aca="false">IF(OR($H311="—",$H311=""),"—",MATCH($H311,IDX_SrcID,0))</f>
        <v>303</v>
      </c>
      <c r="AG311" s="32" t="n">
        <f aca="false">IF(AND($P311="高",OR($AD311=1,$X311=1)),1,0)</f>
        <v>0</v>
      </c>
      <c r="AH311" s="32" t="n">
        <f aca="false">IF(AND($P311="高",$AG311=0,OR($F311&lt;&gt;"原始數據",$T311&lt;&gt;1)),1,0)</f>
        <v>1</v>
      </c>
      <c r="AI311" s="44" t="str">
        <f aca="false">IF(AND($P311="高",ISNUMBER($AF311)),INDEX(IDX_SrcDate,$AF311),"—")</f>
        <v>2026-10-05</v>
      </c>
      <c r="AJ311" s="32" t="n">
        <f aca="false">IF(AND(ISTEXT($AI311),LEN($AI311)=10),IF(ISNUMBER(VALUE(SUBSTITUTE($AI311,"-",""))),VALUE(SUBSTITUTE($AI311,"-","")),0),0)</f>
        <v>20261005</v>
      </c>
    </row>
    <row r="312" customFormat="false" ht="15" hidden="false" customHeight="true" outlineLevel="0" collapsed="false">
      <c r="A312" s="30" t="s">
        <v>5292</v>
      </c>
      <c r="B312" s="239" t="s">
        <v>4525</v>
      </c>
      <c r="C312" s="30" t="s">
        <v>5280</v>
      </c>
      <c r="D312" s="30" t="s">
        <v>5042</v>
      </c>
      <c r="E312" s="6" t="s">
        <v>481</v>
      </c>
      <c r="F312" s="239" t="s">
        <v>348</v>
      </c>
      <c r="G312" s="239" t="s">
        <v>4527</v>
      </c>
      <c r="H312" s="30" t="s">
        <v>5290</v>
      </c>
      <c r="I312" s="20" t="s">
        <v>4562</v>
      </c>
      <c r="J312" s="30" t="s">
        <v>751</v>
      </c>
      <c r="K312" s="239"/>
      <c r="L312" s="239"/>
      <c r="M312" s="30" t="s">
        <v>751</v>
      </c>
      <c r="N312" s="20" t="s">
        <v>4665</v>
      </c>
      <c r="O312" s="6" t="s">
        <v>751</v>
      </c>
      <c r="P312" s="239" t="s">
        <v>1309</v>
      </c>
      <c r="Q312" s="49" t="n">
        <f aca="false">Calib!C15</f>
        <v>8192</v>
      </c>
      <c r="R312" s="184" t="n">
        <f aca="false">SRC_PERF_009_ISL</f>
        <v>8192</v>
      </c>
      <c r="S312" s="44" t="str">
        <f aca="false">IF(ISNUMBER($AF312),INDEX(IDX_SrcStat,$AF312),"—")</f>
        <v>Active</v>
      </c>
      <c r="T312" s="44" t="n">
        <f aca="false">IF(ISNUMBER($AF312),INDEX(IDX_SrcGrade,$AF312),"—")</f>
        <v>2</v>
      </c>
      <c r="U312" s="44" t="s">
        <v>4564</v>
      </c>
      <c r="V312" s="32" t="n">
        <f aca="false">IF(AND($F312="原始數據",$U312&lt;&gt;"連結 SRC"),1,0)</f>
        <v>0</v>
      </c>
      <c r="W312" s="32" t="n">
        <f aca="false">IF(AND($F312="Analogy",OR($H312="—",$H312="")),1,0)</f>
        <v>0</v>
      </c>
      <c r="X312" s="32" t="n">
        <f aca="false">IF(AND(OR($F312="Analogy",$F312="Assumed"),$G312&lt;&gt;"低",$G312&lt;&gt;"高",NOT(ISNUMBER($K312)),NOT(ISNUMBER($L312)),OR($M312="—",$M312="")),1,0)</f>
        <v>0</v>
      </c>
      <c r="Y312" s="32" t="n">
        <f aca="false">IF(AND(OR($F312="Analogy",$F312="Assumed",$F312="Derived（待改公式）",$F312="Derived（公式）"),OR($N312="—",$N312="",$N312=0)),1,0)</f>
        <v>0</v>
      </c>
      <c r="Z312" s="32" t="n">
        <f aca="false">IF(AND($F312="Decision",OR($J312="—",$J312="")),1,0)</f>
        <v>0</v>
      </c>
      <c r="AA312" s="33" t="n">
        <f aca="false">IF(OR($J312="—",$J312=""),0,IF(COUNTIF(Decisions!$A$5:$A$300,$J312)=0,1,0))</f>
        <v>0</v>
      </c>
      <c r="AB312" s="32" t="n">
        <f aca="false">IF(AND($F312="原始數據",$S312&lt;&gt;"Active"),1,0)</f>
        <v>0</v>
      </c>
      <c r="AC312" s="32" t="n">
        <f aca="false">IF(AND(ISNUMBER($K312),ISNUMBER($L312),ISNUMBER($Q312)),IF(OR($Q312&lt;MIN($K312,$L312),$Q312&gt;MAX($K312,$L312)),1,0),0)</f>
        <v>0</v>
      </c>
      <c r="AD312" s="32" t="n">
        <f aca="false">IF(AND(ISNUMBER($T312),$P312="高"),IF($T312=3,1,0),0)</f>
        <v>0</v>
      </c>
      <c r="AE312" s="32" t="n">
        <f aca="false">IF($S312="不存在",1,0)</f>
        <v>0</v>
      </c>
      <c r="AF312" s="44" t="n">
        <f aca="false">IF(OR($H312="—",$H312=""),"—",MATCH($H312,IDX_SrcID,0))</f>
        <v>303</v>
      </c>
      <c r="AG312" s="32" t="n">
        <f aca="false">IF(AND($P312="高",OR($AD312=1,$X312=1)),1,0)</f>
        <v>0</v>
      </c>
      <c r="AH312" s="32" t="n">
        <f aca="false">IF(AND($P312="高",$AG312=0,OR($F312&lt;&gt;"原始數據",$T312&lt;&gt;1)),1,0)</f>
        <v>1</v>
      </c>
      <c r="AI312" s="44" t="str">
        <f aca="false">IF(AND($P312="高",ISNUMBER($AF312)),INDEX(IDX_SrcDate,$AF312),"—")</f>
        <v>2026-10-05</v>
      </c>
      <c r="AJ312" s="32" t="n">
        <f aca="false">IF(AND(ISTEXT($AI312),LEN($AI312)=10),IF(ISNUMBER(VALUE(SUBSTITUTE($AI312,"-",""))),VALUE(SUBSTITUTE($AI312,"-","")),0),0)</f>
        <v>20261005</v>
      </c>
    </row>
    <row r="313" customFormat="false" ht="15" hidden="false" customHeight="true" outlineLevel="0" collapsed="false">
      <c r="A313" s="30" t="s">
        <v>5293</v>
      </c>
      <c r="B313" s="239" t="s">
        <v>4525</v>
      </c>
      <c r="C313" s="30" t="s">
        <v>5280</v>
      </c>
      <c r="D313" s="30" t="s">
        <v>5047</v>
      </c>
      <c r="E313" s="6" t="s">
        <v>483</v>
      </c>
      <c r="F313" s="239" t="s">
        <v>348</v>
      </c>
      <c r="G313" s="239" t="s">
        <v>4527</v>
      </c>
      <c r="H313" s="30" t="s">
        <v>5290</v>
      </c>
      <c r="I313" s="20" t="s">
        <v>4562</v>
      </c>
      <c r="J313" s="30" t="s">
        <v>751</v>
      </c>
      <c r="K313" s="239"/>
      <c r="L313" s="239"/>
      <c r="M313" s="30" t="s">
        <v>751</v>
      </c>
      <c r="N313" s="20" t="s">
        <v>4665</v>
      </c>
      <c r="O313" s="6" t="s">
        <v>751</v>
      </c>
      <c r="P313" s="239" t="s">
        <v>1309</v>
      </c>
      <c r="Q313" s="49" t="n">
        <f aca="false">Calib!C16</f>
        <v>1024</v>
      </c>
      <c r="R313" s="184" t="n">
        <f aca="false">SRC_PERF_009_OSL</f>
        <v>1024</v>
      </c>
      <c r="S313" s="44" t="str">
        <f aca="false">IF(ISNUMBER($AF313),INDEX(IDX_SrcStat,$AF313),"—")</f>
        <v>Active</v>
      </c>
      <c r="T313" s="44" t="n">
        <f aca="false">IF(ISNUMBER($AF313),INDEX(IDX_SrcGrade,$AF313),"—")</f>
        <v>2</v>
      </c>
      <c r="U313" s="44" t="s">
        <v>4564</v>
      </c>
      <c r="V313" s="32" t="n">
        <f aca="false">IF(AND($F313="原始數據",$U313&lt;&gt;"連結 SRC"),1,0)</f>
        <v>0</v>
      </c>
      <c r="W313" s="32" t="n">
        <f aca="false">IF(AND($F313="Analogy",OR($H313="—",$H313="")),1,0)</f>
        <v>0</v>
      </c>
      <c r="X313" s="32" t="n">
        <f aca="false">IF(AND(OR($F313="Analogy",$F313="Assumed"),$G313&lt;&gt;"低",$G313&lt;&gt;"高",NOT(ISNUMBER($K313)),NOT(ISNUMBER($L313)),OR($M313="—",$M313="")),1,0)</f>
        <v>0</v>
      </c>
      <c r="Y313" s="32" t="n">
        <f aca="false">IF(AND(OR($F313="Analogy",$F313="Assumed",$F313="Derived（待改公式）",$F313="Derived（公式）"),OR($N313="—",$N313="",$N313=0)),1,0)</f>
        <v>0</v>
      </c>
      <c r="Z313" s="32" t="n">
        <f aca="false">IF(AND($F313="Decision",OR($J313="—",$J313="")),1,0)</f>
        <v>0</v>
      </c>
      <c r="AA313" s="33" t="n">
        <f aca="false">IF(OR($J313="—",$J313=""),0,IF(COUNTIF(Decisions!$A$5:$A$300,$J313)=0,1,0))</f>
        <v>0</v>
      </c>
      <c r="AB313" s="32" t="n">
        <f aca="false">IF(AND($F313="原始數據",$S313&lt;&gt;"Active"),1,0)</f>
        <v>0</v>
      </c>
      <c r="AC313" s="32" t="n">
        <f aca="false">IF(AND(ISNUMBER($K313),ISNUMBER($L313),ISNUMBER($Q313)),IF(OR($Q313&lt;MIN($K313,$L313),$Q313&gt;MAX($K313,$L313)),1,0),0)</f>
        <v>0</v>
      </c>
      <c r="AD313" s="32" t="n">
        <f aca="false">IF(AND(ISNUMBER($T313),$P313="高"),IF($T313=3,1,0),0)</f>
        <v>0</v>
      </c>
      <c r="AE313" s="32" t="n">
        <f aca="false">IF($S313="不存在",1,0)</f>
        <v>0</v>
      </c>
      <c r="AF313" s="44" t="n">
        <f aca="false">IF(OR($H313="—",$H313=""),"—",MATCH($H313,IDX_SrcID,0))</f>
        <v>303</v>
      </c>
      <c r="AG313" s="32" t="n">
        <f aca="false">IF(AND($P313="高",OR($AD313=1,$X313=1)),1,0)</f>
        <v>0</v>
      </c>
      <c r="AH313" s="32" t="n">
        <f aca="false">IF(AND($P313="高",$AG313=0,OR($F313&lt;&gt;"原始數據",$T313&lt;&gt;1)),1,0)</f>
        <v>1</v>
      </c>
      <c r="AI313" s="44" t="str">
        <f aca="false">IF(AND($P313="高",ISNUMBER($AF313)),INDEX(IDX_SrcDate,$AF313),"—")</f>
        <v>2026-10-05</v>
      </c>
      <c r="AJ313" s="32" t="n">
        <f aca="false">IF(AND(ISTEXT($AI313),LEN($AI313)=10),IF(ISNUMBER(VALUE(SUBSTITUTE($AI313,"-",""))),VALUE(SUBSTITUTE($AI313,"-","")),0),0)</f>
        <v>20261005</v>
      </c>
    </row>
    <row r="314" customFormat="false" ht="15" hidden="false" customHeight="true" outlineLevel="0" collapsed="false">
      <c r="A314" s="30" t="s">
        <v>5294</v>
      </c>
      <c r="B314" s="239" t="s">
        <v>4525</v>
      </c>
      <c r="C314" s="30" t="s">
        <v>5280</v>
      </c>
      <c r="D314" s="30" t="s">
        <v>5069</v>
      </c>
      <c r="E314" s="20" t="s">
        <v>5295</v>
      </c>
      <c r="F314" s="239" t="s">
        <v>348</v>
      </c>
      <c r="G314" s="239" t="s">
        <v>4527</v>
      </c>
      <c r="H314" s="30" t="s">
        <v>5290</v>
      </c>
      <c r="I314" s="20" t="s">
        <v>5296</v>
      </c>
      <c r="J314" s="30" t="s">
        <v>751</v>
      </c>
      <c r="K314" s="239"/>
      <c r="L314" s="239"/>
      <c r="M314" s="30" t="s">
        <v>751</v>
      </c>
      <c r="N314" s="20" t="s">
        <v>4665</v>
      </c>
      <c r="O314" s="6" t="s">
        <v>5297</v>
      </c>
      <c r="P314" s="239" t="s">
        <v>1309</v>
      </c>
      <c r="Q314" s="49" t="n">
        <f aca="false">Calib!C17</f>
        <v>9342.1</v>
      </c>
      <c r="R314" s="184" t="n">
        <f aca="false">SRC_PERF_009</f>
        <v>9342.1</v>
      </c>
      <c r="S314" s="44" t="str">
        <f aca="false">IF(ISNUMBER($AF314),INDEX(IDX_SrcStat,$AF314),"—")</f>
        <v>Active</v>
      </c>
      <c r="T314" s="44" t="n">
        <f aca="false">IF(ISNUMBER($AF314),INDEX(IDX_SrcGrade,$AF314),"—")</f>
        <v>2</v>
      </c>
      <c r="U314" s="44" t="s">
        <v>4564</v>
      </c>
      <c r="V314" s="32" t="n">
        <f aca="false">IF(AND($F314="原始數據",$U314&lt;&gt;"連結 SRC"),1,0)</f>
        <v>0</v>
      </c>
      <c r="W314" s="32" t="n">
        <f aca="false">IF(AND($F314="Analogy",OR($H314="—",$H314="")),1,0)</f>
        <v>0</v>
      </c>
      <c r="X314" s="32" t="n">
        <f aca="false">IF(AND(OR($F314="Analogy",$F314="Assumed"),$G314&lt;&gt;"低",$G314&lt;&gt;"高",NOT(ISNUMBER($K314)),NOT(ISNUMBER($L314)),OR($M314="—",$M314="")),1,0)</f>
        <v>0</v>
      </c>
      <c r="Y314" s="32" t="n">
        <f aca="false">IF(AND(OR($F314="Analogy",$F314="Assumed",$F314="Derived（待改公式）",$F314="Derived（公式）"),OR($N314="—",$N314="",$N314=0)),1,0)</f>
        <v>0</v>
      </c>
      <c r="Z314" s="32" t="n">
        <f aca="false">IF(AND($F314="Decision",OR($J314="—",$J314="")),1,0)</f>
        <v>0</v>
      </c>
      <c r="AA314" s="33" t="n">
        <f aca="false">IF(OR($J314="—",$J314=""),0,IF(COUNTIF(Decisions!$A$5:$A$300,$J314)=0,1,0))</f>
        <v>0</v>
      </c>
      <c r="AB314" s="32" t="n">
        <f aca="false">IF(AND($F314="原始數據",$S314&lt;&gt;"Active"),1,0)</f>
        <v>0</v>
      </c>
      <c r="AC314" s="32" t="n">
        <f aca="false">IF(AND(ISNUMBER($K314),ISNUMBER($L314),ISNUMBER($Q314)),IF(OR($Q314&lt;MIN($K314,$L314),$Q314&gt;MAX($K314,$L314)),1,0),0)</f>
        <v>0</v>
      </c>
      <c r="AD314" s="32" t="n">
        <f aca="false">IF(AND(ISNUMBER($T314),$P314="高"),IF($T314=3,1,0),0)</f>
        <v>0</v>
      </c>
      <c r="AE314" s="32" t="n">
        <f aca="false">IF($S314="不存在",1,0)</f>
        <v>0</v>
      </c>
      <c r="AF314" s="44" t="n">
        <f aca="false">IF(OR($H314="—",$H314=""),"—",MATCH($H314,IDX_SrcID,0))</f>
        <v>303</v>
      </c>
      <c r="AG314" s="32" t="n">
        <f aca="false">IF(AND($P314="高",OR($AD314=1,$X314=1)),1,0)</f>
        <v>0</v>
      </c>
      <c r="AH314" s="32" t="n">
        <f aca="false">IF(AND($P314="高",$AG314=0,OR($F314&lt;&gt;"原始數據",$T314&lt;&gt;1)),1,0)</f>
        <v>1</v>
      </c>
      <c r="AI314" s="44" t="str">
        <f aca="false">IF(AND($P314="高",ISNUMBER($AF314)),INDEX(IDX_SrcDate,$AF314),"—")</f>
        <v>2026-10-05</v>
      </c>
      <c r="AJ314" s="32" t="n">
        <f aca="false">IF(AND(ISTEXT($AI314),LEN($AI314)=10),IF(ISNUMBER(VALUE(SUBSTITUTE($AI314,"-",""))),VALUE(SUBSTITUTE($AI314,"-","")),0),0)</f>
        <v>20261005</v>
      </c>
    </row>
    <row r="315" customFormat="false" ht="15" hidden="false" customHeight="true" outlineLevel="0" collapsed="false">
      <c r="A315" s="30" t="s">
        <v>5298</v>
      </c>
      <c r="B315" s="239" t="s">
        <v>4525</v>
      </c>
      <c r="C315" s="30" t="s">
        <v>5280</v>
      </c>
      <c r="D315" s="30" t="s">
        <v>4558</v>
      </c>
      <c r="E315" s="6" t="s">
        <v>477</v>
      </c>
      <c r="F315" s="239" t="s">
        <v>348</v>
      </c>
      <c r="G315" s="239" t="s">
        <v>4527</v>
      </c>
      <c r="H315" s="30" t="s">
        <v>5299</v>
      </c>
      <c r="I315" s="20" t="s">
        <v>4562</v>
      </c>
      <c r="J315" s="30" t="s">
        <v>751</v>
      </c>
      <c r="K315" s="239"/>
      <c r="L315" s="239"/>
      <c r="M315" s="30" t="s">
        <v>751</v>
      </c>
      <c r="N315" s="20" t="s">
        <v>4665</v>
      </c>
      <c r="O315" s="6" t="s">
        <v>751</v>
      </c>
      <c r="P315" s="239" t="s">
        <v>4530</v>
      </c>
      <c r="Q315" s="33" t="n">
        <f aca="false">Calib!D13</f>
        <v>1</v>
      </c>
      <c r="R315" s="184" t="n">
        <f aca="false">SRC_PERF_010_MTP</f>
        <v>1</v>
      </c>
      <c r="S315" s="44" t="str">
        <f aca="false">IF(ISNUMBER($AF315),INDEX(IDX_SrcStat,$AF315),"—")</f>
        <v>Active</v>
      </c>
      <c r="T315" s="44" t="n">
        <f aca="false">IF(ISNUMBER($AF315),INDEX(IDX_SrcGrade,$AF315),"—")</f>
        <v>2</v>
      </c>
      <c r="U315" s="44" t="s">
        <v>4564</v>
      </c>
      <c r="V315" s="32" t="n">
        <f aca="false">IF(AND($F315="原始數據",$U315&lt;&gt;"連結 SRC"),1,0)</f>
        <v>0</v>
      </c>
      <c r="W315" s="32" t="n">
        <f aca="false">IF(AND($F315="Analogy",OR($H315="—",$H315="")),1,0)</f>
        <v>0</v>
      </c>
      <c r="X315" s="32" t="n">
        <f aca="false">IF(AND(OR($F315="Analogy",$F315="Assumed"),$G315&lt;&gt;"低",$G315&lt;&gt;"高",NOT(ISNUMBER($K315)),NOT(ISNUMBER($L315)),OR($M315="—",$M315="")),1,0)</f>
        <v>0</v>
      </c>
      <c r="Y315" s="32" t="n">
        <f aca="false">IF(AND(OR($F315="Analogy",$F315="Assumed",$F315="Derived（待改公式）",$F315="Derived（公式）"),OR($N315="—",$N315="",$N315=0)),1,0)</f>
        <v>0</v>
      </c>
      <c r="Z315" s="32" t="n">
        <f aca="false">IF(AND($F315="Decision",OR($J315="—",$J315="")),1,0)</f>
        <v>0</v>
      </c>
      <c r="AA315" s="33" t="n">
        <f aca="false">IF(OR($J315="—",$J315=""),0,IF(COUNTIF(Decisions!$A$5:$A$300,$J315)=0,1,0))</f>
        <v>0</v>
      </c>
      <c r="AB315" s="32" t="n">
        <f aca="false">IF(AND($F315="原始數據",$S315&lt;&gt;"Active"),1,0)</f>
        <v>0</v>
      </c>
      <c r="AC315" s="32" t="n">
        <f aca="false">IF(AND(ISNUMBER($K315),ISNUMBER($L315),ISNUMBER($Q315)),IF(OR($Q315&lt;MIN($K315,$L315),$Q315&gt;MAX($K315,$L315)),1,0),0)</f>
        <v>0</v>
      </c>
      <c r="AD315" s="32" t="n">
        <f aca="false">IF(AND(ISNUMBER($T315),$P315="高"),IF($T315=3,1,0),0)</f>
        <v>0</v>
      </c>
      <c r="AE315" s="32" t="n">
        <f aca="false">IF($S315="不存在",1,0)</f>
        <v>0</v>
      </c>
      <c r="AF315" s="44" t="n">
        <f aca="false">IF(OR($H315="—",$H315=""),"—",MATCH($H315,IDX_SrcID,0))</f>
        <v>304</v>
      </c>
      <c r="AG315" s="32" t="n">
        <f aca="false">IF(AND($P315="高",OR($AD315=1,$X315=1)),1,0)</f>
        <v>0</v>
      </c>
      <c r="AH315" s="32" t="n">
        <f aca="false">IF(AND($P315="高",$AG315=0,OR($F315&lt;&gt;"原始數據",$T315&lt;&gt;1)),1,0)</f>
        <v>0</v>
      </c>
      <c r="AI315" s="44" t="str">
        <f aca="false">IF(AND($P315="高",ISNUMBER($AF315)),INDEX(IDX_SrcDate,$AF315),"—")</f>
        <v>—</v>
      </c>
      <c r="AJ315" s="32" t="n">
        <f aca="false">IF(AND(ISTEXT($AI315),LEN($AI315)=10),IF(ISNUMBER(VALUE(SUBSTITUTE($AI315,"-",""))),VALUE(SUBSTITUTE($AI315,"-","")),0),0)</f>
        <v>0</v>
      </c>
    </row>
    <row r="316" customFormat="false" ht="15" hidden="false" customHeight="true" outlineLevel="0" collapsed="false">
      <c r="A316" s="30" t="s">
        <v>5300</v>
      </c>
      <c r="B316" s="239" t="s">
        <v>4525</v>
      </c>
      <c r="C316" s="30" t="s">
        <v>5280</v>
      </c>
      <c r="D316" s="30" t="s">
        <v>4568</v>
      </c>
      <c r="E316" s="20" t="s">
        <v>479</v>
      </c>
      <c r="F316" s="239" t="s">
        <v>348</v>
      </c>
      <c r="G316" s="239" t="s">
        <v>4527</v>
      </c>
      <c r="H316" s="30" t="s">
        <v>5299</v>
      </c>
      <c r="I316" s="20" t="s">
        <v>4562</v>
      </c>
      <c r="J316" s="30" t="s">
        <v>751</v>
      </c>
      <c r="K316" s="239"/>
      <c r="L316" s="239"/>
      <c r="M316" s="30" t="s">
        <v>751</v>
      </c>
      <c r="N316" s="20" t="s">
        <v>4665</v>
      </c>
      <c r="O316" s="6" t="s">
        <v>751</v>
      </c>
      <c r="P316" s="239" t="s">
        <v>1309</v>
      </c>
      <c r="Q316" s="49" t="n">
        <f aca="false">Calib!D14</f>
        <v>130</v>
      </c>
      <c r="R316" s="184" t="n">
        <f aca="false">SRC_PERF_010_Spd</f>
        <v>130</v>
      </c>
      <c r="S316" s="44" t="str">
        <f aca="false">IF(ISNUMBER($AF316),INDEX(IDX_SrcStat,$AF316),"—")</f>
        <v>Active</v>
      </c>
      <c r="T316" s="44" t="n">
        <f aca="false">IF(ISNUMBER($AF316),INDEX(IDX_SrcGrade,$AF316),"—")</f>
        <v>2</v>
      </c>
      <c r="U316" s="44" t="s">
        <v>4564</v>
      </c>
      <c r="V316" s="32" t="n">
        <f aca="false">IF(AND($F316="原始數據",$U316&lt;&gt;"連結 SRC"),1,0)</f>
        <v>0</v>
      </c>
      <c r="W316" s="32" t="n">
        <f aca="false">IF(AND($F316="Analogy",OR($H316="—",$H316="")),1,0)</f>
        <v>0</v>
      </c>
      <c r="X316" s="32" t="n">
        <f aca="false">IF(AND(OR($F316="Analogy",$F316="Assumed"),$G316&lt;&gt;"低",$G316&lt;&gt;"高",NOT(ISNUMBER($K316)),NOT(ISNUMBER($L316)),OR($M316="—",$M316="")),1,0)</f>
        <v>0</v>
      </c>
      <c r="Y316" s="32" t="n">
        <f aca="false">IF(AND(OR($F316="Analogy",$F316="Assumed",$F316="Derived（待改公式）",$F316="Derived（公式）"),OR($N316="—",$N316="",$N316=0)),1,0)</f>
        <v>0</v>
      </c>
      <c r="Z316" s="32" t="n">
        <f aca="false">IF(AND($F316="Decision",OR($J316="—",$J316="")),1,0)</f>
        <v>0</v>
      </c>
      <c r="AA316" s="33" t="n">
        <f aca="false">IF(OR($J316="—",$J316=""),0,IF(COUNTIF(Decisions!$A$5:$A$300,$J316)=0,1,0))</f>
        <v>0</v>
      </c>
      <c r="AB316" s="32" t="n">
        <f aca="false">IF(AND($F316="原始數據",$S316&lt;&gt;"Active"),1,0)</f>
        <v>0</v>
      </c>
      <c r="AC316" s="32" t="n">
        <f aca="false">IF(AND(ISNUMBER($K316),ISNUMBER($L316),ISNUMBER($Q316)),IF(OR($Q316&lt;MIN($K316,$L316),$Q316&gt;MAX($K316,$L316)),1,0),0)</f>
        <v>0</v>
      </c>
      <c r="AD316" s="32" t="n">
        <f aca="false">IF(AND(ISNUMBER($T316),$P316="高"),IF($T316=3,1,0),0)</f>
        <v>0</v>
      </c>
      <c r="AE316" s="32" t="n">
        <f aca="false">IF($S316="不存在",1,0)</f>
        <v>0</v>
      </c>
      <c r="AF316" s="44" t="n">
        <f aca="false">IF(OR($H316="—",$H316=""),"—",MATCH($H316,IDX_SrcID,0))</f>
        <v>304</v>
      </c>
      <c r="AG316" s="32" t="n">
        <f aca="false">IF(AND($P316="高",OR($AD316=1,$X316=1)),1,0)</f>
        <v>0</v>
      </c>
      <c r="AH316" s="32" t="n">
        <f aca="false">IF(AND($P316="高",$AG316=0,OR($F316&lt;&gt;"原始數據",$T316&lt;&gt;1)),1,0)</f>
        <v>1</v>
      </c>
      <c r="AI316" s="44" t="str">
        <f aca="false">IF(AND($P316="高",ISNUMBER($AF316)),INDEX(IDX_SrcDate,$AF316),"—")</f>
        <v>2026-10-05</v>
      </c>
      <c r="AJ316" s="32" t="n">
        <f aca="false">IF(AND(ISTEXT($AI316),LEN($AI316)=10),IF(ISNUMBER(VALUE(SUBSTITUTE($AI316,"-",""))),VALUE(SUBSTITUTE($AI316,"-","")),0),0)</f>
        <v>20261005</v>
      </c>
    </row>
    <row r="317" customFormat="false" ht="15" hidden="false" customHeight="true" outlineLevel="0" collapsed="false">
      <c r="A317" s="30" t="s">
        <v>5301</v>
      </c>
      <c r="B317" s="239" t="s">
        <v>4525</v>
      </c>
      <c r="C317" s="30" t="s">
        <v>5280</v>
      </c>
      <c r="D317" s="30" t="s">
        <v>5045</v>
      </c>
      <c r="E317" s="6" t="s">
        <v>481</v>
      </c>
      <c r="F317" s="239" t="s">
        <v>348</v>
      </c>
      <c r="G317" s="239" t="s">
        <v>4527</v>
      </c>
      <c r="H317" s="30" t="s">
        <v>5299</v>
      </c>
      <c r="I317" s="20" t="s">
        <v>4562</v>
      </c>
      <c r="J317" s="30" t="s">
        <v>751</v>
      </c>
      <c r="K317" s="239"/>
      <c r="L317" s="239"/>
      <c r="M317" s="30" t="s">
        <v>751</v>
      </c>
      <c r="N317" s="20" t="s">
        <v>4665</v>
      </c>
      <c r="O317" s="6" t="s">
        <v>751</v>
      </c>
      <c r="P317" s="239" t="s">
        <v>1309</v>
      </c>
      <c r="Q317" s="49" t="n">
        <f aca="false">Calib!D15</f>
        <v>8192</v>
      </c>
      <c r="R317" s="184" t="n">
        <f aca="false">SRC_PERF_010_ISL</f>
        <v>8192</v>
      </c>
      <c r="S317" s="44" t="str">
        <f aca="false">IF(ISNUMBER($AF317),INDEX(IDX_SrcStat,$AF317),"—")</f>
        <v>Active</v>
      </c>
      <c r="T317" s="44" t="n">
        <f aca="false">IF(ISNUMBER($AF317),INDEX(IDX_SrcGrade,$AF317),"—")</f>
        <v>2</v>
      </c>
      <c r="U317" s="44" t="s">
        <v>4564</v>
      </c>
      <c r="V317" s="32" t="n">
        <f aca="false">IF(AND($F317="原始數據",$U317&lt;&gt;"連結 SRC"),1,0)</f>
        <v>0</v>
      </c>
      <c r="W317" s="32" t="n">
        <f aca="false">IF(AND($F317="Analogy",OR($H317="—",$H317="")),1,0)</f>
        <v>0</v>
      </c>
      <c r="X317" s="32" t="n">
        <f aca="false">IF(AND(OR($F317="Analogy",$F317="Assumed"),$G317&lt;&gt;"低",$G317&lt;&gt;"高",NOT(ISNUMBER($K317)),NOT(ISNUMBER($L317)),OR($M317="—",$M317="")),1,0)</f>
        <v>0</v>
      </c>
      <c r="Y317" s="32" t="n">
        <f aca="false">IF(AND(OR($F317="Analogy",$F317="Assumed",$F317="Derived（待改公式）",$F317="Derived（公式）"),OR($N317="—",$N317="",$N317=0)),1,0)</f>
        <v>0</v>
      </c>
      <c r="Z317" s="32" t="n">
        <f aca="false">IF(AND($F317="Decision",OR($J317="—",$J317="")),1,0)</f>
        <v>0</v>
      </c>
      <c r="AA317" s="33" t="n">
        <f aca="false">IF(OR($J317="—",$J317=""),0,IF(COUNTIF(Decisions!$A$5:$A$300,$J317)=0,1,0))</f>
        <v>0</v>
      </c>
      <c r="AB317" s="32" t="n">
        <f aca="false">IF(AND($F317="原始數據",$S317&lt;&gt;"Active"),1,0)</f>
        <v>0</v>
      </c>
      <c r="AC317" s="32" t="n">
        <f aca="false">IF(AND(ISNUMBER($K317),ISNUMBER($L317),ISNUMBER($Q317)),IF(OR($Q317&lt;MIN($K317,$L317),$Q317&gt;MAX($K317,$L317)),1,0),0)</f>
        <v>0</v>
      </c>
      <c r="AD317" s="32" t="n">
        <f aca="false">IF(AND(ISNUMBER($T317),$P317="高"),IF($T317=3,1,0),0)</f>
        <v>0</v>
      </c>
      <c r="AE317" s="32" t="n">
        <f aca="false">IF($S317="不存在",1,0)</f>
        <v>0</v>
      </c>
      <c r="AF317" s="44" t="n">
        <f aca="false">IF(OR($H317="—",$H317=""),"—",MATCH($H317,IDX_SrcID,0))</f>
        <v>304</v>
      </c>
      <c r="AG317" s="32" t="n">
        <f aca="false">IF(AND($P317="高",OR($AD317=1,$X317=1)),1,0)</f>
        <v>0</v>
      </c>
      <c r="AH317" s="32" t="n">
        <f aca="false">IF(AND($P317="高",$AG317=0,OR($F317&lt;&gt;"原始數據",$T317&lt;&gt;1)),1,0)</f>
        <v>1</v>
      </c>
      <c r="AI317" s="44" t="str">
        <f aca="false">IF(AND($P317="高",ISNUMBER($AF317)),INDEX(IDX_SrcDate,$AF317),"—")</f>
        <v>2026-10-05</v>
      </c>
      <c r="AJ317" s="32" t="n">
        <f aca="false">IF(AND(ISTEXT($AI317),LEN($AI317)=10),IF(ISNUMBER(VALUE(SUBSTITUTE($AI317,"-",""))),VALUE(SUBSTITUTE($AI317,"-","")),0),0)</f>
        <v>20261005</v>
      </c>
    </row>
    <row r="318" customFormat="false" ht="15" hidden="false" customHeight="true" outlineLevel="0" collapsed="false">
      <c r="A318" s="30" t="s">
        <v>5302</v>
      </c>
      <c r="B318" s="239" t="s">
        <v>4525</v>
      </c>
      <c r="C318" s="30" t="s">
        <v>5280</v>
      </c>
      <c r="D318" s="30" t="s">
        <v>4574</v>
      </c>
      <c r="E318" s="6" t="s">
        <v>483</v>
      </c>
      <c r="F318" s="239" t="s">
        <v>348</v>
      </c>
      <c r="G318" s="239" t="s">
        <v>4527</v>
      </c>
      <c r="H318" s="30" t="s">
        <v>5299</v>
      </c>
      <c r="I318" s="20" t="s">
        <v>4562</v>
      </c>
      <c r="J318" s="30" t="s">
        <v>751</v>
      </c>
      <c r="K318" s="239"/>
      <c r="L318" s="239"/>
      <c r="M318" s="30" t="s">
        <v>751</v>
      </c>
      <c r="N318" s="20" t="s">
        <v>4665</v>
      </c>
      <c r="O318" s="6" t="s">
        <v>751</v>
      </c>
      <c r="P318" s="239" t="s">
        <v>1309</v>
      </c>
      <c r="Q318" s="49" t="n">
        <f aca="false">Calib!D16</f>
        <v>1024</v>
      </c>
      <c r="R318" s="184" t="n">
        <f aca="false">SRC_PERF_010_OSL</f>
        <v>1024</v>
      </c>
      <c r="S318" s="44" t="str">
        <f aca="false">IF(ISNUMBER($AF318),INDEX(IDX_SrcStat,$AF318),"—")</f>
        <v>Active</v>
      </c>
      <c r="T318" s="44" t="n">
        <f aca="false">IF(ISNUMBER($AF318),INDEX(IDX_SrcGrade,$AF318),"—")</f>
        <v>2</v>
      </c>
      <c r="U318" s="44" t="s">
        <v>4564</v>
      </c>
      <c r="V318" s="32" t="n">
        <f aca="false">IF(AND($F318="原始數據",$U318&lt;&gt;"連結 SRC"),1,0)</f>
        <v>0</v>
      </c>
      <c r="W318" s="32" t="n">
        <f aca="false">IF(AND($F318="Analogy",OR($H318="—",$H318="")),1,0)</f>
        <v>0</v>
      </c>
      <c r="X318" s="32" t="n">
        <f aca="false">IF(AND(OR($F318="Analogy",$F318="Assumed"),$G318&lt;&gt;"低",$G318&lt;&gt;"高",NOT(ISNUMBER($K318)),NOT(ISNUMBER($L318)),OR($M318="—",$M318="")),1,0)</f>
        <v>0</v>
      </c>
      <c r="Y318" s="32" t="n">
        <f aca="false">IF(AND(OR($F318="Analogy",$F318="Assumed",$F318="Derived（待改公式）",$F318="Derived（公式）"),OR($N318="—",$N318="",$N318=0)),1,0)</f>
        <v>0</v>
      </c>
      <c r="Z318" s="32" t="n">
        <f aca="false">IF(AND($F318="Decision",OR($J318="—",$J318="")),1,0)</f>
        <v>0</v>
      </c>
      <c r="AA318" s="33" t="n">
        <f aca="false">IF(OR($J318="—",$J318=""),0,IF(COUNTIF(Decisions!$A$5:$A$300,$J318)=0,1,0))</f>
        <v>0</v>
      </c>
      <c r="AB318" s="32" t="n">
        <f aca="false">IF(AND($F318="原始數據",$S318&lt;&gt;"Active"),1,0)</f>
        <v>0</v>
      </c>
      <c r="AC318" s="32" t="n">
        <f aca="false">IF(AND(ISNUMBER($K318),ISNUMBER($L318),ISNUMBER($Q318)),IF(OR($Q318&lt;MIN($K318,$L318),$Q318&gt;MAX($K318,$L318)),1,0),0)</f>
        <v>0</v>
      </c>
      <c r="AD318" s="32" t="n">
        <f aca="false">IF(AND(ISNUMBER($T318),$P318="高"),IF($T318=3,1,0),0)</f>
        <v>0</v>
      </c>
      <c r="AE318" s="32" t="n">
        <f aca="false">IF($S318="不存在",1,0)</f>
        <v>0</v>
      </c>
      <c r="AF318" s="44" t="n">
        <f aca="false">IF(OR($H318="—",$H318=""),"—",MATCH($H318,IDX_SrcID,0))</f>
        <v>304</v>
      </c>
      <c r="AG318" s="32" t="n">
        <f aca="false">IF(AND($P318="高",OR($AD318=1,$X318=1)),1,0)</f>
        <v>0</v>
      </c>
      <c r="AH318" s="32" t="n">
        <f aca="false">IF(AND($P318="高",$AG318=0,OR($F318&lt;&gt;"原始數據",$T318&lt;&gt;1)),1,0)</f>
        <v>1</v>
      </c>
      <c r="AI318" s="44" t="str">
        <f aca="false">IF(AND($P318="高",ISNUMBER($AF318)),INDEX(IDX_SrcDate,$AF318),"—")</f>
        <v>2026-10-05</v>
      </c>
      <c r="AJ318" s="32" t="n">
        <f aca="false">IF(AND(ISTEXT($AI318),LEN($AI318)=10),IF(ISNUMBER(VALUE(SUBSTITUTE($AI318,"-",""))),VALUE(SUBSTITUTE($AI318,"-","")),0),0)</f>
        <v>20261005</v>
      </c>
    </row>
    <row r="319" customFormat="false" ht="15" hidden="false" customHeight="true" outlineLevel="0" collapsed="false">
      <c r="A319" s="30" t="s">
        <v>5303</v>
      </c>
      <c r="B319" s="239" t="s">
        <v>4525</v>
      </c>
      <c r="C319" s="30" t="s">
        <v>5280</v>
      </c>
      <c r="D319" s="30" t="s">
        <v>4580</v>
      </c>
      <c r="E319" s="20" t="s">
        <v>5295</v>
      </c>
      <c r="F319" s="239" t="s">
        <v>348</v>
      </c>
      <c r="G319" s="239" t="s">
        <v>4527</v>
      </c>
      <c r="H319" s="30" t="s">
        <v>5299</v>
      </c>
      <c r="I319" s="20" t="s">
        <v>5304</v>
      </c>
      <c r="J319" s="30" t="s">
        <v>751</v>
      </c>
      <c r="K319" s="239"/>
      <c r="L319" s="239"/>
      <c r="M319" s="30" t="s">
        <v>751</v>
      </c>
      <c r="N319" s="20" t="s">
        <v>4665</v>
      </c>
      <c r="O319" s="6" t="s">
        <v>5305</v>
      </c>
      <c r="P319" s="239" t="s">
        <v>1309</v>
      </c>
      <c r="Q319" s="49" t="n">
        <f aca="false">Calib!D17</f>
        <v>3405.2</v>
      </c>
      <c r="R319" s="184" t="n">
        <f aca="false">SRC_PERF_010</f>
        <v>3405.2</v>
      </c>
      <c r="S319" s="44" t="str">
        <f aca="false">IF(ISNUMBER($AF319),INDEX(IDX_SrcStat,$AF319),"—")</f>
        <v>Active</v>
      </c>
      <c r="T319" s="44" t="n">
        <f aca="false">IF(ISNUMBER($AF319),INDEX(IDX_SrcGrade,$AF319),"—")</f>
        <v>2</v>
      </c>
      <c r="U319" s="44" t="s">
        <v>4564</v>
      </c>
      <c r="V319" s="32" t="n">
        <f aca="false">IF(AND($F319="原始數據",$U319&lt;&gt;"連結 SRC"),1,0)</f>
        <v>0</v>
      </c>
      <c r="W319" s="32" t="n">
        <f aca="false">IF(AND($F319="Analogy",OR($H319="—",$H319="")),1,0)</f>
        <v>0</v>
      </c>
      <c r="X319" s="32" t="n">
        <f aca="false">IF(AND(OR($F319="Analogy",$F319="Assumed"),$G319&lt;&gt;"低",$G319&lt;&gt;"高",NOT(ISNUMBER($K319)),NOT(ISNUMBER($L319)),OR($M319="—",$M319="")),1,0)</f>
        <v>0</v>
      </c>
      <c r="Y319" s="32" t="n">
        <f aca="false">IF(AND(OR($F319="Analogy",$F319="Assumed",$F319="Derived（待改公式）",$F319="Derived（公式）"),OR($N319="—",$N319="",$N319=0)),1,0)</f>
        <v>0</v>
      </c>
      <c r="Z319" s="32" t="n">
        <f aca="false">IF(AND($F319="Decision",OR($J319="—",$J319="")),1,0)</f>
        <v>0</v>
      </c>
      <c r="AA319" s="33" t="n">
        <f aca="false">IF(OR($J319="—",$J319=""),0,IF(COUNTIF(Decisions!$A$5:$A$300,$J319)=0,1,0))</f>
        <v>0</v>
      </c>
      <c r="AB319" s="32" t="n">
        <f aca="false">IF(AND($F319="原始數據",$S319&lt;&gt;"Active"),1,0)</f>
        <v>0</v>
      </c>
      <c r="AC319" s="32" t="n">
        <f aca="false">IF(AND(ISNUMBER($K319),ISNUMBER($L319),ISNUMBER($Q319)),IF(OR($Q319&lt;MIN($K319,$L319),$Q319&gt;MAX($K319,$L319)),1,0),0)</f>
        <v>0</v>
      </c>
      <c r="AD319" s="32" t="n">
        <f aca="false">IF(AND(ISNUMBER($T319),$P319="高"),IF($T319=3,1,0),0)</f>
        <v>0</v>
      </c>
      <c r="AE319" s="32" t="n">
        <f aca="false">IF($S319="不存在",1,0)</f>
        <v>0</v>
      </c>
      <c r="AF319" s="44" t="n">
        <f aca="false">IF(OR($H319="—",$H319=""),"—",MATCH($H319,IDX_SrcID,0))</f>
        <v>304</v>
      </c>
      <c r="AG319" s="32" t="n">
        <f aca="false">IF(AND($P319="高",OR($AD319=1,$X319=1)),1,0)</f>
        <v>0</v>
      </c>
      <c r="AH319" s="32" t="n">
        <f aca="false">IF(AND($P319="高",$AG319=0,OR($F319&lt;&gt;"原始數據",$T319&lt;&gt;1)),1,0)</f>
        <v>1</v>
      </c>
      <c r="AI319" s="44" t="str">
        <f aca="false">IF(AND($P319="高",ISNUMBER($AF319)),INDEX(IDX_SrcDate,$AF319),"—")</f>
        <v>2026-10-05</v>
      </c>
      <c r="AJ319" s="32" t="n">
        <f aca="false">IF(AND(ISTEXT($AI319),LEN($AI319)=10),IF(ISNUMBER(VALUE(SUBSTITUTE($AI319,"-",""))),VALUE(SUBSTITUTE($AI319,"-","")),0),0)</f>
        <v>20261005</v>
      </c>
    </row>
    <row r="320" customFormat="false" ht="15" hidden="false" customHeight="true" outlineLevel="0" collapsed="false">
      <c r="A320" s="30" t="s">
        <v>5306</v>
      </c>
      <c r="B320" s="239" t="s">
        <v>4525</v>
      </c>
      <c r="C320" s="30" t="s">
        <v>5280</v>
      </c>
      <c r="D320" s="30" t="s">
        <v>4327</v>
      </c>
      <c r="E320" s="6" t="s">
        <v>477</v>
      </c>
      <c r="F320" s="239" t="s">
        <v>348</v>
      </c>
      <c r="G320" s="239" t="s">
        <v>4527</v>
      </c>
      <c r="H320" s="30" t="s">
        <v>5307</v>
      </c>
      <c r="I320" s="20" t="s">
        <v>4562</v>
      </c>
      <c r="J320" s="30" t="s">
        <v>751</v>
      </c>
      <c r="K320" s="239"/>
      <c r="L320" s="239"/>
      <c r="M320" s="30" t="s">
        <v>751</v>
      </c>
      <c r="N320" s="20" t="s">
        <v>4665</v>
      </c>
      <c r="O320" s="6" t="s">
        <v>751</v>
      </c>
      <c r="P320" s="239" t="s">
        <v>4530</v>
      </c>
      <c r="Q320" s="33" t="n">
        <f aca="false">Calib!E13</f>
        <v>1</v>
      </c>
      <c r="R320" s="184" t="n">
        <f aca="false">SRC_PERF_004_MTP</f>
        <v>1</v>
      </c>
      <c r="S320" s="44" t="str">
        <f aca="false">IF(ISNUMBER($AF320),INDEX(IDX_SrcStat,$AF320),"—")</f>
        <v>Active</v>
      </c>
      <c r="T320" s="44" t="n">
        <f aca="false">IF(ISNUMBER($AF320),INDEX(IDX_SrcGrade,$AF320),"—")</f>
        <v>1</v>
      </c>
      <c r="U320" s="44" t="s">
        <v>4564</v>
      </c>
      <c r="V320" s="32" t="n">
        <f aca="false">IF(AND($F320="原始數據",$U320&lt;&gt;"連結 SRC"),1,0)</f>
        <v>0</v>
      </c>
      <c r="W320" s="32" t="n">
        <f aca="false">IF(AND($F320="Analogy",OR($H320="—",$H320="")),1,0)</f>
        <v>0</v>
      </c>
      <c r="X320" s="32" t="n">
        <f aca="false">IF(AND(OR($F320="Analogy",$F320="Assumed"),$G320&lt;&gt;"低",$G320&lt;&gt;"高",NOT(ISNUMBER($K320)),NOT(ISNUMBER($L320)),OR($M320="—",$M320="")),1,0)</f>
        <v>0</v>
      </c>
      <c r="Y320" s="32" t="n">
        <f aca="false">IF(AND(OR($F320="Analogy",$F320="Assumed",$F320="Derived（待改公式）",$F320="Derived（公式）"),OR($N320="—",$N320="",$N320=0)),1,0)</f>
        <v>0</v>
      </c>
      <c r="Z320" s="32" t="n">
        <f aca="false">IF(AND($F320="Decision",OR($J320="—",$J320="")),1,0)</f>
        <v>0</v>
      </c>
      <c r="AA320" s="33" t="n">
        <f aca="false">IF(OR($J320="—",$J320=""),0,IF(COUNTIF(Decisions!$A$5:$A$300,$J320)=0,1,0))</f>
        <v>0</v>
      </c>
      <c r="AB320" s="32" t="n">
        <f aca="false">IF(AND($F320="原始數據",$S320&lt;&gt;"Active"),1,0)</f>
        <v>0</v>
      </c>
      <c r="AC320" s="32" t="n">
        <f aca="false">IF(AND(ISNUMBER($K320),ISNUMBER($L320),ISNUMBER($Q320)),IF(OR($Q320&lt;MIN($K320,$L320),$Q320&gt;MAX($K320,$L320)),1,0),0)</f>
        <v>0</v>
      </c>
      <c r="AD320" s="32" t="n">
        <f aca="false">IF(AND(ISNUMBER($T320),$P320="高"),IF($T320=3,1,0),0)</f>
        <v>0</v>
      </c>
      <c r="AE320" s="32" t="n">
        <f aca="false">IF($S320="不存在",1,0)</f>
        <v>0</v>
      </c>
      <c r="AF320" s="44" t="n">
        <f aca="false">IF(OR($H320="—",$H320=""),"—",MATCH($H320,IDX_SrcID,0))</f>
        <v>298</v>
      </c>
      <c r="AG320" s="32" t="n">
        <f aca="false">IF(AND($P320="高",OR($AD320=1,$X320=1)),1,0)</f>
        <v>0</v>
      </c>
      <c r="AH320" s="32" t="n">
        <f aca="false">IF(AND($P320="高",$AG320=0,OR($F320&lt;&gt;"原始數據",$T320&lt;&gt;1)),1,0)</f>
        <v>0</v>
      </c>
      <c r="AI320" s="44" t="str">
        <f aca="false">IF(AND($P320="高",ISNUMBER($AF320)),INDEX(IDX_SrcDate,$AF320),"—")</f>
        <v>—</v>
      </c>
      <c r="AJ320" s="32" t="n">
        <f aca="false">IF(AND(ISTEXT($AI320),LEN($AI320)=10),IF(ISNUMBER(VALUE(SUBSTITUTE($AI320,"-",""))),VALUE(SUBSTITUTE($AI320,"-","")),0),0)</f>
        <v>0</v>
      </c>
    </row>
    <row r="321" customFormat="false" ht="15" hidden="false" customHeight="true" outlineLevel="0" collapsed="false">
      <c r="A321" s="30" t="s">
        <v>5308</v>
      </c>
      <c r="B321" s="239" t="s">
        <v>4525</v>
      </c>
      <c r="C321" s="30" t="s">
        <v>5280</v>
      </c>
      <c r="D321" s="30" t="s">
        <v>4566</v>
      </c>
      <c r="E321" s="20" t="s">
        <v>479</v>
      </c>
      <c r="F321" s="239" t="s">
        <v>348</v>
      </c>
      <c r="G321" s="239" t="s">
        <v>4527</v>
      </c>
      <c r="H321" s="30" t="s">
        <v>5307</v>
      </c>
      <c r="I321" s="20" t="s">
        <v>4562</v>
      </c>
      <c r="J321" s="30" t="s">
        <v>751</v>
      </c>
      <c r="K321" s="239"/>
      <c r="L321" s="239"/>
      <c r="M321" s="30" t="s">
        <v>751</v>
      </c>
      <c r="N321" s="20" t="s">
        <v>4665</v>
      </c>
      <c r="O321" s="6" t="s">
        <v>751</v>
      </c>
      <c r="P321" s="239" t="s">
        <v>1309</v>
      </c>
      <c r="Q321" s="49" t="n">
        <f aca="false">Calib!E14</f>
        <v>50</v>
      </c>
      <c r="R321" s="184" t="n">
        <f aca="false">SRC_PERF_004_Spd</f>
        <v>50</v>
      </c>
      <c r="S321" s="44" t="str">
        <f aca="false">IF(ISNUMBER($AF321),INDEX(IDX_SrcStat,$AF321),"—")</f>
        <v>Active</v>
      </c>
      <c r="T321" s="44" t="n">
        <f aca="false">IF(ISNUMBER($AF321),INDEX(IDX_SrcGrade,$AF321),"—")</f>
        <v>1</v>
      </c>
      <c r="U321" s="44" t="s">
        <v>4564</v>
      </c>
      <c r="V321" s="32" t="n">
        <f aca="false">IF(AND($F321="原始數據",$U321&lt;&gt;"連結 SRC"),1,0)</f>
        <v>0</v>
      </c>
      <c r="W321" s="32" t="n">
        <f aca="false">IF(AND($F321="Analogy",OR($H321="—",$H321="")),1,0)</f>
        <v>0</v>
      </c>
      <c r="X321" s="32" t="n">
        <f aca="false">IF(AND(OR($F321="Analogy",$F321="Assumed"),$G321&lt;&gt;"低",$G321&lt;&gt;"高",NOT(ISNUMBER($K321)),NOT(ISNUMBER($L321)),OR($M321="—",$M321="")),1,0)</f>
        <v>0</v>
      </c>
      <c r="Y321" s="32" t="n">
        <f aca="false">IF(AND(OR($F321="Analogy",$F321="Assumed",$F321="Derived（待改公式）",$F321="Derived（公式）"),OR($N321="—",$N321="",$N321=0)),1,0)</f>
        <v>0</v>
      </c>
      <c r="Z321" s="32" t="n">
        <f aca="false">IF(AND($F321="Decision",OR($J321="—",$J321="")),1,0)</f>
        <v>0</v>
      </c>
      <c r="AA321" s="33" t="n">
        <f aca="false">IF(OR($J321="—",$J321=""),0,IF(COUNTIF(Decisions!$A$5:$A$300,$J321)=0,1,0))</f>
        <v>0</v>
      </c>
      <c r="AB321" s="32" t="n">
        <f aca="false">IF(AND($F321="原始數據",$S321&lt;&gt;"Active"),1,0)</f>
        <v>0</v>
      </c>
      <c r="AC321" s="32" t="n">
        <f aca="false">IF(AND(ISNUMBER($K321),ISNUMBER($L321),ISNUMBER($Q321)),IF(OR($Q321&lt;MIN($K321,$L321),$Q321&gt;MAX($K321,$L321)),1,0),0)</f>
        <v>0</v>
      </c>
      <c r="AD321" s="32" t="n">
        <f aca="false">IF(AND(ISNUMBER($T321),$P321="高"),IF($T321=3,1,0),0)</f>
        <v>0</v>
      </c>
      <c r="AE321" s="32" t="n">
        <f aca="false">IF($S321="不存在",1,0)</f>
        <v>0</v>
      </c>
      <c r="AF321" s="44" t="n">
        <f aca="false">IF(OR($H321="—",$H321=""),"—",MATCH($H321,IDX_SrcID,0))</f>
        <v>298</v>
      </c>
      <c r="AG321" s="32" t="n">
        <f aca="false">IF(AND($P321="高",OR($AD321=1,$X321=1)),1,0)</f>
        <v>0</v>
      </c>
      <c r="AH321" s="32" t="n">
        <f aca="false">IF(AND($P321="高",$AG321=0,OR($F321&lt;&gt;"原始數據",$T321&lt;&gt;1)),1,0)</f>
        <v>0</v>
      </c>
      <c r="AI321" s="44" t="str">
        <f aca="false">IF(AND($P321="高",ISNUMBER($AF321)),INDEX(IDX_SrcDate,$AF321),"—")</f>
        <v>—</v>
      </c>
      <c r="AJ321" s="32" t="n">
        <f aca="false">IF(AND(ISTEXT($AI321),LEN($AI321)=10),IF(ISNUMBER(VALUE(SUBSTITUTE($AI321,"-",""))),VALUE(SUBSTITUTE($AI321,"-","")),0),0)</f>
        <v>0</v>
      </c>
    </row>
    <row r="322" customFormat="false" ht="15" hidden="false" customHeight="true" outlineLevel="0" collapsed="false">
      <c r="A322" s="30" t="s">
        <v>5309</v>
      </c>
      <c r="B322" s="239" t="s">
        <v>4525</v>
      </c>
      <c r="C322" s="30" t="s">
        <v>5280</v>
      </c>
      <c r="D322" s="30" t="s">
        <v>5093</v>
      </c>
      <c r="E322" s="6" t="s">
        <v>481</v>
      </c>
      <c r="F322" s="239" t="s">
        <v>348</v>
      </c>
      <c r="G322" s="239" t="s">
        <v>4527</v>
      </c>
      <c r="H322" s="30" t="s">
        <v>5307</v>
      </c>
      <c r="I322" s="20" t="s">
        <v>4562</v>
      </c>
      <c r="J322" s="30" t="s">
        <v>751</v>
      </c>
      <c r="K322" s="239"/>
      <c r="L322" s="239"/>
      <c r="M322" s="30" t="s">
        <v>751</v>
      </c>
      <c r="N322" s="20" t="s">
        <v>4665</v>
      </c>
      <c r="O322" s="6" t="s">
        <v>751</v>
      </c>
      <c r="P322" s="239" t="s">
        <v>1309</v>
      </c>
      <c r="Q322" s="49" t="n">
        <f aca="false">Calib!E15</f>
        <v>8192</v>
      </c>
      <c r="R322" s="184" t="n">
        <f aca="false">SRC_PERF_004_ISL</f>
        <v>8192</v>
      </c>
      <c r="S322" s="44" t="str">
        <f aca="false">IF(ISNUMBER($AF322),INDEX(IDX_SrcStat,$AF322),"—")</f>
        <v>Active</v>
      </c>
      <c r="T322" s="44" t="n">
        <f aca="false">IF(ISNUMBER($AF322),INDEX(IDX_SrcGrade,$AF322),"—")</f>
        <v>1</v>
      </c>
      <c r="U322" s="44" t="s">
        <v>4564</v>
      </c>
      <c r="V322" s="32" t="n">
        <f aca="false">IF(AND($F322="原始數據",$U322&lt;&gt;"連結 SRC"),1,0)</f>
        <v>0</v>
      </c>
      <c r="W322" s="32" t="n">
        <f aca="false">IF(AND($F322="Analogy",OR($H322="—",$H322="")),1,0)</f>
        <v>0</v>
      </c>
      <c r="X322" s="32" t="n">
        <f aca="false">IF(AND(OR($F322="Analogy",$F322="Assumed"),$G322&lt;&gt;"低",$G322&lt;&gt;"高",NOT(ISNUMBER($K322)),NOT(ISNUMBER($L322)),OR($M322="—",$M322="")),1,0)</f>
        <v>0</v>
      </c>
      <c r="Y322" s="32" t="n">
        <f aca="false">IF(AND(OR($F322="Analogy",$F322="Assumed",$F322="Derived（待改公式）",$F322="Derived（公式）"),OR($N322="—",$N322="",$N322=0)),1,0)</f>
        <v>0</v>
      </c>
      <c r="Z322" s="32" t="n">
        <f aca="false">IF(AND($F322="Decision",OR($J322="—",$J322="")),1,0)</f>
        <v>0</v>
      </c>
      <c r="AA322" s="33" t="n">
        <f aca="false">IF(OR($J322="—",$J322=""),0,IF(COUNTIF(Decisions!$A$5:$A$300,$J322)=0,1,0))</f>
        <v>0</v>
      </c>
      <c r="AB322" s="32" t="n">
        <f aca="false">IF(AND($F322="原始數據",$S322&lt;&gt;"Active"),1,0)</f>
        <v>0</v>
      </c>
      <c r="AC322" s="32" t="n">
        <f aca="false">IF(AND(ISNUMBER($K322),ISNUMBER($L322),ISNUMBER($Q322)),IF(OR($Q322&lt;MIN($K322,$L322),$Q322&gt;MAX($K322,$L322)),1,0),0)</f>
        <v>0</v>
      </c>
      <c r="AD322" s="32" t="n">
        <f aca="false">IF(AND(ISNUMBER($T322),$P322="高"),IF($T322=3,1,0),0)</f>
        <v>0</v>
      </c>
      <c r="AE322" s="32" t="n">
        <f aca="false">IF($S322="不存在",1,0)</f>
        <v>0</v>
      </c>
      <c r="AF322" s="44" t="n">
        <f aca="false">IF(OR($H322="—",$H322=""),"—",MATCH($H322,IDX_SrcID,0))</f>
        <v>298</v>
      </c>
      <c r="AG322" s="32" t="n">
        <f aca="false">IF(AND($P322="高",OR($AD322=1,$X322=1)),1,0)</f>
        <v>0</v>
      </c>
      <c r="AH322" s="32" t="n">
        <f aca="false">IF(AND($P322="高",$AG322=0,OR($F322&lt;&gt;"原始數據",$T322&lt;&gt;1)),1,0)</f>
        <v>0</v>
      </c>
      <c r="AI322" s="44" t="str">
        <f aca="false">IF(AND($P322="高",ISNUMBER($AF322)),INDEX(IDX_SrcDate,$AF322),"—")</f>
        <v>—</v>
      </c>
      <c r="AJ322" s="32" t="n">
        <f aca="false">IF(AND(ISTEXT($AI322),LEN($AI322)=10),IF(ISNUMBER(VALUE(SUBSTITUTE($AI322,"-",""))),VALUE(SUBSTITUTE($AI322,"-","")),0),0)</f>
        <v>0</v>
      </c>
    </row>
    <row r="323" customFormat="false" ht="15" hidden="false" customHeight="true" outlineLevel="0" collapsed="false">
      <c r="A323" s="30" t="s">
        <v>5310</v>
      </c>
      <c r="B323" s="239" t="s">
        <v>4525</v>
      </c>
      <c r="C323" s="30" t="s">
        <v>5280</v>
      </c>
      <c r="D323" s="30" t="s">
        <v>4572</v>
      </c>
      <c r="E323" s="6" t="s">
        <v>483</v>
      </c>
      <c r="F323" s="239" t="s">
        <v>348</v>
      </c>
      <c r="G323" s="239" t="s">
        <v>4527</v>
      </c>
      <c r="H323" s="30" t="s">
        <v>5307</v>
      </c>
      <c r="I323" s="20" t="s">
        <v>4562</v>
      </c>
      <c r="J323" s="30" t="s">
        <v>751</v>
      </c>
      <c r="K323" s="239"/>
      <c r="L323" s="239"/>
      <c r="M323" s="30" t="s">
        <v>751</v>
      </c>
      <c r="N323" s="20" t="s">
        <v>4665</v>
      </c>
      <c r="O323" s="6" t="s">
        <v>751</v>
      </c>
      <c r="P323" s="239" t="s">
        <v>1309</v>
      </c>
      <c r="Q323" s="49" t="n">
        <f aca="false">Calib!E16</f>
        <v>1024</v>
      </c>
      <c r="R323" s="184" t="n">
        <f aca="false">SRC_PERF_004_OSL</f>
        <v>1024</v>
      </c>
      <c r="S323" s="44" t="str">
        <f aca="false">IF(ISNUMBER($AF323),INDEX(IDX_SrcStat,$AF323),"—")</f>
        <v>Active</v>
      </c>
      <c r="T323" s="44" t="n">
        <f aca="false">IF(ISNUMBER($AF323),INDEX(IDX_SrcGrade,$AF323),"—")</f>
        <v>1</v>
      </c>
      <c r="U323" s="44" t="s">
        <v>4564</v>
      </c>
      <c r="V323" s="32" t="n">
        <f aca="false">IF(AND($F323="原始數據",$U323&lt;&gt;"連結 SRC"),1,0)</f>
        <v>0</v>
      </c>
      <c r="W323" s="32" t="n">
        <f aca="false">IF(AND($F323="Analogy",OR($H323="—",$H323="")),1,0)</f>
        <v>0</v>
      </c>
      <c r="X323" s="32" t="n">
        <f aca="false">IF(AND(OR($F323="Analogy",$F323="Assumed"),$G323&lt;&gt;"低",$G323&lt;&gt;"高",NOT(ISNUMBER($K323)),NOT(ISNUMBER($L323)),OR($M323="—",$M323="")),1,0)</f>
        <v>0</v>
      </c>
      <c r="Y323" s="32" t="n">
        <f aca="false">IF(AND(OR($F323="Analogy",$F323="Assumed",$F323="Derived（待改公式）",$F323="Derived（公式）"),OR($N323="—",$N323="",$N323=0)),1,0)</f>
        <v>0</v>
      </c>
      <c r="Z323" s="32" t="n">
        <f aca="false">IF(AND($F323="Decision",OR($J323="—",$J323="")),1,0)</f>
        <v>0</v>
      </c>
      <c r="AA323" s="33" t="n">
        <f aca="false">IF(OR($J323="—",$J323=""),0,IF(COUNTIF(Decisions!$A$5:$A$300,$J323)=0,1,0))</f>
        <v>0</v>
      </c>
      <c r="AB323" s="32" t="n">
        <f aca="false">IF(AND($F323="原始數據",$S323&lt;&gt;"Active"),1,0)</f>
        <v>0</v>
      </c>
      <c r="AC323" s="32" t="n">
        <f aca="false">IF(AND(ISNUMBER($K323),ISNUMBER($L323),ISNUMBER($Q323)),IF(OR($Q323&lt;MIN($K323,$L323),$Q323&gt;MAX($K323,$L323)),1,0),0)</f>
        <v>0</v>
      </c>
      <c r="AD323" s="32" t="n">
        <f aca="false">IF(AND(ISNUMBER($T323),$P323="高"),IF($T323=3,1,0),0)</f>
        <v>0</v>
      </c>
      <c r="AE323" s="32" t="n">
        <f aca="false">IF($S323="不存在",1,0)</f>
        <v>0</v>
      </c>
      <c r="AF323" s="44" t="n">
        <f aca="false">IF(OR($H323="—",$H323=""),"—",MATCH($H323,IDX_SrcID,0))</f>
        <v>298</v>
      </c>
      <c r="AG323" s="32" t="n">
        <f aca="false">IF(AND($P323="高",OR($AD323=1,$X323=1)),1,0)</f>
        <v>0</v>
      </c>
      <c r="AH323" s="32" t="n">
        <f aca="false">IF(AND($P323="高",$AG323=0,OR($F323&lt;&gt;"原始數據",$T323&lt;&gt;1)),1,0)</f>
        <v>0</v>
      </c>
      <c r="AI323" s="44" t="str">
        <f aca="false">IF(AND($P323="高",ISNUMBER($AF323)),INDEX(IDX_SrcDate,$AF323),"—")</f>
        <v>—</v>
      </c>
      <c r="AJ323" s="32" t="n">
        <f aca="false">IF(AND(ISTEXT($AI323),LEN($AI323)=10),IF(ISNUMBER(VALUE(SUBSTITUTE($AI323,"-",""))),VALUE(SUBSTITUTE($AI323,"-","")),0),0)</f>
        <v>0</v>
      </c>
    </row>
    <row r="324" customFormat="false" ht="15" hidden="false" customHeight="true" outlineLevel="0" collapsed="false">
      <c r="A324" s="30" t="s">
        <v>5311</v>
      </c>
      <c r="B324" s="239" t="s">
        <v>4525</v>
      </c>
      <c r="C324" s="30" t="s">
        <v>5280</v>
      </c>
      <c r="D324" s="30" t="s">
        <v>4578</v>
      </c>
      <c r="E324" s="20" t="s">
        <v>5295</v>
      </c>
      <c r="F324" s="239" t="s">
        <v>348</v>
      </c>
      <c r="G324" s="239" t="s">
        <v>4527</v>
      </c>
      <c r="H324" s="30" t="s">
        <v>5307</v>
      </c>
      <c r="I324" s="20" t="s">
        <v>4562</v>
      </c>
      <c r="J324" s="30" t="s">
        <v>751</v>
      </c>
      <c r="K324" s="239"/>
      <c r="L324" s="239"/>
      <c r="M324" s="30" t="s">
        <v>751</v>
      </c>
      <c r="N324" s="20" t="s">
        <v>4665</v>
      </c>
      <c r="O324" s="6" t="s">
        <v>751</v>
      </c>
      <c r="P324" s="239" t="s">
        <v>1309</v>
      </c>
      <c r="Q324" s="49" t="n">
        <f aca="false">Calib!E17</f>
        <v>11200</v>
      </c>
      <c r="R324" s="184" t="n">
        <f aca="false">SRC_PERF_004</f>
        <v>11200</v>
      </c>
      <c r="S324" s="44" t="str">
        <f aca="false">IF(ISNUMBER($AF324),INDEX(IDX_SrcStat,$AF324),"—")</f>
        <v>Active</v>
      </c>
      <c r="T324" s="44" t="n">
        <f aca="false">IF(ISNUMBER($AF324),INDEX(IDX_SrcGrade,$AF324),"—")</f>
        <v>1</v>
      </c>
      <c r="U324" s="44" t="s">
        <v>4564</v>
      </c>
      <c r="V324" s="32" t="n">
        <f aca="false">IF(AND($F324="原始數據",$U324&lt;&gt;"連結 SRC"),1,0)</f>
        <v>0</v>
      </c>
      <c r="W324" s="32" t="n">
        <f aca="false">IF(AND($F324="Analogy",OR($H324="—",$H324="")),1,0)</f>
        <v>0</v>
      </c>
      <c r="X324" s="32" t="n">
        <f aca="false">IF(AND(OR($F324="Analogy",$F324="Assumed"),$G324&lt;&gt;"低",$G324&lt;&gt;"高",NOT(ISNUMBER($K324)),NOT(ISNUMBER($L324)),OR($M324="—",$M324="")),1,0)</f>
        <v>0</v>
      </c>
      <c r="Y324" s="32" t="n">
        <f aca="false">IF(AND(OR($F324="Analogy",$F324="Assumed",$F324="Derived（待改公式）",$F324="Derived（公式）"),OR($N324="—",$N324="",$N324=0)),1,0)</f>
        <v>0</v>
      </c>
      <c r="Z324" s="32" t="n">
        <f aca="false">IF(AND($F324="Decision",OR($J324="—",$J324="")),1,0)</f>
        <v>0</v>
      </c>
      <c r="AA324" s="33" t="n">
        <f aca="false">IF(OR($J324="—",$J324=""),0,IF(COUNTIF(Decisions!$A$5:$A$300,$J324)=0,1,0))</f>
        <v>0</v>
      </c>
      <c r="AB324" s="32" t="n">
        <f aca="false">IF(AND($F324="原始數據",$S324&lt;&gt;"Active"),1,0)</f>
        <v>0</v>
      </c>
      <c r="AC324" s="32" t="n">
        <f aca="false">IF(AND(ISNUMBER($K324),ISNUMBER($L324),ISNUMBER($Q324)),IF(OR($Q324&lt;MIN($K324,$L324),$Q324&gt;MAX($K324,$L324)),1,0),0)</f>
        <v>0</v>
      </c>
      <c r="AD324" s="32" t="n">
        <f aca="false">IF(AND(ISNUMBER($T324),$P324="高"),IF($T324=3,1,0),0)</f>
        <v>0</v>
      </c>
      <c r="AE324" s="32" t="n">
        <f aca="false">IF($S324="不存在",1,0)</f>
        <v>0</v>
      </c>
      <c r="AF324" s="44" t="n">
        <f aca="false">IF(OR($H324="—",$H324=""),"—",MATCH($H324,IDX_SrcID,0))</f>
        <v>298</v>
      </c>
      <c r="AG324" s="32" t="n">
        <f aca="false">IF(AND($P324="高",OR($AD324=1,$X324=1)),1,0)</f>
        <v>0</v>
      </c>
      <c r="AH324" s="32" t="n">
        <f aca="false">IF(AND($P324="高",$AG324=0,OR($F324&lt;&gt;"原始數據",$T324&lt;&gt;1)),1,0)</f>
        <v>0</v>
      </c>
      <c r="AI324" s="44" t="str">
        <f aca="false">IF(AND($P324="高",ISNUMBER($AF324)),INDEX(IDX_SrcDate,$AF324),"—")</f>
        <v>—</v>
      </c>
      <c r="AJ324" s="32" t="n">
        <f aca="false">IF(AND(ISTEXT($AI324),LEN($AI324)=10),IF(ISNUMBER(VALUE(SUBSTITUTE($AI324,"-",""))),VALUE(SUBSTITUTE($AI324,"-","")),0),0)</f>
        <v>0</v>
      </c>
    </row>
    <row r="325" customFormat="false" ht="15" hidden="false" customHeight="true" outlineLevel="0" collapsed="false">
      <c r="A325" s="30" t="s">
        <v>5312</v>
      </c>
      <c r="B325" s="239" t="s">
        <v>4525</v>
      </c>
      <c r="C325" s="30" t="s">
        <v>5280</v>
      </c>
      <c r="D325" s="30" t="s">
        <v>4560</v>
      </c>
      <c r="E325" s="6" t="s">
        <v>477</v>
      </c>
      <c r="F325" s="239" t="s">
        <v>348</v>
      </c>
      <c r="G325" s="239" t="s">
        <v>4527</v>
      </c>
      <c r="H325" s="30" t="s">
        <v>5313</v>
      </c>
      <c r="I325" s="20" t="s">
        <v>4562</v>
      </c>
      <c r="J325" s="30" t="s">
        <v>751</v>
      </c>
      <c r="K325" s="239"/>
      <c r="L325" s="239"/>
      <c r="M325" s="30" t="s">
        <v>751</v>
      </c>
      <c r="N325" s="20" t="s">
        <v>4665</v>
      </c>
      <c r="O325" s="6" t="s">
        <v>751</v>
      </c>
      <c r="P325" s="239" t="s">
        <v>4530</v>
      </c>
      <c r="Q325" s="33" t="n">
        <f aca="false">Calib!F13</f>
        <v>0</v>
      </c>
      <c r="R325" s="184" t="n">
        <f aca="false">SRC_PERF_001_MTP</f>
        <v>0</v>
      </c>
      <c r="S325" s="44" t="str">
        <f aca="false">IF(ISNUMBER($AF325),INDEX(IDX_SrcStat,$AF325),"—")</f>
        <v>Active</v>
      </c>
      <c r="T325" s="44" t="n">
        <f aca="false">IF(ISNUMBER($AF325),INDEX(IDX_SrcGrade,$AF325),"—")</f>
        <v>1</v>
      </c>
      <c r="U325" s="44" t="s">
        <v>4564</v>
      </c>
      <c r="V325" s="32" t="n">
        <f aca="false">IF(AND($F325="原始數據",$U325&lt;&gt;"連結 SRC"),1,0)</f>
        <v>0</v>
      </c>
      <c r="W325" s="32" t="n">
        <f aca="false">IF(AND($F325="Analogy",OR($H325="—",$H325="")),1,0)</f>
        <v>0</v>
      </c>
      <c r="X325" s="32" t="n">
        <f aca="false">IF(AND(OR($F325="Analogy",$F325="Assumed"),$G325&lt;&gt;"低",$G325&lt;&gt;"高",NOT(ISNUMBER($K325)),NOT(ISNUMBER($L325)),OR($M325="—",$M325="")),1,0)</f>
        <v>0</v>
      </c>
      <c r="Y325" s="32" t="n">
        <f aca="false">IF(AND(OR($F325="Analogy",$F325="Assumed",$F325="Derived（待改公式）",$F325="Derived（公式）"),OR($N325="—",$N325="",$N325=0)),1,0)</f>
        <v>0</v>
      </c>
      <c r="Z325" s="32" t="n">
        <f aca="false">IF(AND($F325="Decision",OR($J325="—",$J325="")),1,0)</f>
        <v>0</v>
      </c>
      <c r="AA325" s="33" t="n">
        <f aca="false">IF(OR($J325="—",$J325=""),0,IF(COUNTIF(Decisions!$A$5:$A$300,$J325)=0,1,0))</f>
        <v>0</v>
      </c>
      <c r="AB325" s="32" t="n">
        <f aca="false">IF(AND($F325="原始數據",$S325&lt;&gt;"Active"),1,0)</f>
        <v>0</v>
      </c>
      <c r="AC325" s="32" t="n">
        <f aca="false">IF(AND(ISNUMBER($K325),ISNUMBER($L325),ISNUMBER($Q325)),IF(OR($Q325&lt;MIN($K325,$L325),$Q325&gt;MAX($K325,$L325)),1,0),0)</f>
        <v>0</v>
      </c>
      <c r="AD325" s="32" t="n">
        <f aca="false">IF(AND(ISNUMBER($T325),$P325="高"),IF($T325=3,1,0),0)</f>
        <v>0</v>
      </c>
      <c r="AE325" s="32" t="n">
        <f aca="false">IF($S325="不存在",1,0)</f>
        <v>0</v>
      </c>
      <c r="AF325" s="44" t="n">
        <f aca="false">IF(OR($H325="—",$H325=""),"—",MATCH($H325,IDX_SrcID,0))</f>
        <v>295</v>
      </c>
      <c r="AG325" s="32" t="n">
        <f aca="false">IF(AND($P325="高",OR($AD325=1,$X325=1)),1,0)</f>
        <v>0</v>
      </c>
      <c r="AH325" s="32" t="n">
        <f aca="false">IF(AND($P325="高",$AG325=0,OR($F325&lt;&gt;"原始數據",$T325&lt;&gt;1)),1,0)</f>
        <v>0</v>
      </c>
      <c r="AI325" s="44" t="str">
        <f aca="false">IF(AND($P325="高",ISNUMBER($AF325)),INDEX(IDX_SrcDate,$AF325),"—")</f>
        <v>—</v>
      </c>
      <c r="AJ325" s="32" t="n">
        <f aca="false">IF(AND(ISTEXT($AI325),LEN($AI325)=10),IF(ISNUMBER(VALUE(SUBSTITUTE($AI325,"-",""))),VALUE(SUBSTITUTE($AI325,"-","")),0),0)</f>
        <v>0</v>
      </c>
    </row>
    <row r="326" customFormat="false" ht="15" hidden="false" customHeight="true" outlineLevel="0" collapsed="false">
      <c r="A326" s="30" t="s">
        <v>5314</v>
      </c>
      <c r="B326" s="239" t="s">
        <v>4525</v>
      </c>
      <c r="C326" s="30" t="s">
        <v>5280</v>
      </c>
      <c r="D326" s="30" t="s">
        <v>4570</v>
      </c>
      <c r="E326" s="20" t="s">
        <v>479</v>
      </c>
      <c r="F326" s="239" t="s">
        <v>348</v>
      </c>
      <c r="G326" s="239" t="s">
        <v>4527</v>
      </c>
      <c r="H326" s="30" t="s">
        <v>5313</v>
      </c>
      <c r="I326" s="20" t="s">
        <v>4562</v>
      </c>
      <c r="J326" s="30" t="s">
        <v>751</v>
      </c>
      <c r="K326" s="239"/>
      <c r="L326" s="239"/>
      <c r="M326" s="30" t="s">
        <v>751</v>
      </c>
      <c r="N326" s="20" t="s">
        <v>4665</v>
      </c>
      <c r="O326" s="6" t="s">
        <v>751</v>
      </c>
      <c r="P326" s="239" t="s">
        <v>1309</v>
      </c>
      <c r="Q326" s="49" t="n">
        <f aca="false">Calib!F14</f>
        <v>27</v>
      </c>
      <c r="R326" s="184" t="n">
        <f aca="false">SRC_PERF_001_Spd</f>
        <v>27</v>
      </c>
      <c r="S326" s="44" t="str">
        <f aca="false">IF(ISNUMBER($AF326),INDEX(IDX_SrcStat,$AF326),"—")</f>
        <v>Active</v>
      </c>
      <c r="T326" s="44" t="n">
        <f aca="false">IF(ISNUMBER($AF326),INDEX(IDX_SrcGrade,$AF326),"—")</f>
        <v>1</v>
      </c>
      <c r="U326" s="44" t="s">
        <v>4564</v>
      </c>
      <c r="V326" s="32" t="n">
        <f aca="false">IF(AND($F326="原始數據",$U326&lt;&gt;"連結 SRC"),1,0)</f>
        <v>0</v>
      </c>
      <c r="W326" s="32" t="n">
        <f aca="false">IF(AND($F326="Analogy",OR($H326="—",$H326="")),1,0)</f>
        <v>0</v>
      </c>
      <c r="X326" s="32" t="n">
        <f aca="false">IF(AND(OR($F326="Analogy",$F326="Assumed"),$G326&lt;&gt;"低",$G326&lt;&gt;"高",NOT(ISNUMBER($K326)),NOT(ISNUMBER($L326)),OR($M326="—",$M326="")),1,0)</f>
        <v>0</v>
      </c>
      <c r="Y326" s="32" t="n">
        <f aca="false">IF(AND(OR($F326="Analogy",$F326="Assumed",$F326="Derived（待改公式）",$F326="Derived（公式）"),OR($N326="—",$N326="",$N326=0)),1,0)</f>
        <v>0</v>
      </c>
      <c r="Z326" s="32" t="n">
        <f aca="false">IF(AND($F326="Decision",OR($J326="—",$J326="")),1,0)</f>
        <v>0</v>
      </c>
      <c r="AA326" s="33" t="n">
        <f aca="false">IF(OR($J326="—",$J326=""),0,IF(COUNTIF(Decisions!$A$5:$A$300,$J326)=0,1,0))</f>
        <v>0</v>
      </c>
      <c r="AB326" s="32" t="n">
        <f aca="false">IF(AND($F326="原始數據",$S326&lt;&gt;"Active"),1,0)</f>
        <v>0</v>
      </c>
      <c r="AC326" s="32" t="n">
        <f aca="false">IF(AND(ISNUMBER($K326),ISNUMBER($L326),ISNUMBER($Q326)),IF(OR($Q326&lt;MIN($K326,$L326),$Q326&gt;MAX($K326,$L326)),1,0),0)</f>
        <v>0</v>
      </c>
      <c r="AD326" s="32" t="n">
        <f aca="false">IF(AND(ISNUMBER($T326),$P326="高"),IF($T326=3,1,0),0)</f>
        <v>0</v>
      </c>
      <c r="AE326" s="32" t="n">
        <f aca="false">IF($S326="不存在",1,0)</f>
        <v>0</v>
      </c>
      <c r="AF326" s="44" t="n">
        <f aca="false">IF(OR($H326="—",$H326=""),"—",MATCH($H326,IDX_SrcID,0))</f>
        <v>295</v>
      </c>
      <c r="AG326" s="32" t="n">
        <f aca="false">IF(AND($P326="高",OR($AD326=1,$X326=1)),1,0)</f>
        <v>0</v>
      </c>
      <c r="AH326" s="32" t="n">
        <f aca="false">IF(AND($P326="高",$AG326=0,OR($F326&lt;&gt;"原始數據",$T326&lt;&gt;1)),1,0)</f>
        <v>0</v>
      </c>
      <c r="AI326" s="44" t="str">
        <f aca="false">IF(AND($P326="高",ISNUMBER($AF326)),INDEX(IDX_SrcDate,$AF326),"—")</f>
        <v>—</v>
      </c>
      <c r="AJ326" s="32" t="n">
        <f aca="false">IF(AND(ISTEXT($AI326),LEN($AI326)=10),IF(ISNUMBER(VALUE(SUBSTITUTE($AI326,"-",""))),VALUE(SUBSTITUTE($AI326,"-","")),0),0)</f>
        <v>0</v>
      </c>
    </row>
    <row r="327" customFormat="false" ht="15" hidden="false" customHeight="true" outlineLevel="0" collapsed="false">
      <c r="A327" s="30" t="s">
        <v>5315</v>
      </c>
      <c r="B327" s="239" t="s">
        <v>4525</v>
      </c>
      <c r="C327" s="30" t="s">
        <v>5280</v>
      </c>
      <c r="D327" s="30" t="s">
        <v>5316</v>
      </c>
      <c r="E327" s="6" t="s">
        <v>481</v>
      </c>
      <c r="F327" s="239" t="s">
        <v>348</v>
      </c>
      <c r="G327" s="239" t="s">
        <v>4527</v>
      </c>
      <c r="H327" s="30" t="s">
        <v>5313</v>
      </c>
      <c r="I327" s="20" t="s">
        <v>4562</v>
      </c>
      <c r="J327" s="30" t="s">
        <v>751</v>
      </c>
      <c r="K327" s="239"/>
      <c r="L327" s="239"/>
      <c r="M327" s="30" t="s">
        <v>751</v>
      </c>
      <c r="N327" s="20" t="s">
        <v>4665</v>
      </c>
      <c r="O327" s="6" t="s">
        <v>751</v>
      </c>
      <c r="P327" s="239" t="s">
        <v>1309</v>
      </c>
      <c r="Q327" s="49" t="n">
        <f aca="false">Calib!F15</f>
        <v>8192</v>
      </c>
      <c r="R327" s="184" t="n">
        <f aca="false">SRC_PERF_001_ISL</f>
        <v>8192</v>
      </c>
      <c r="S327" s="44" t="str">
        <f aca="false">IF(ISNUMBER($AF327),INDEX(IDX_SrcStat,$AF327),"—")</f>
        <v>Active</v>
      </c>
      <c r="T327" s="44" t="n">
        <f aca="false">IF(ISNUMBER($AF327),INDEX(IDX_SrcGrade,$AF327),"—")</f>
        <v>1</v>
      </c>
      <c r="U327" s="44" t="s">
        <v>4564</v>
      </c>
      <c r="V327" s="32" t="n">
        <f aca="false">IF(AND($F327="原始數據",$U327&lt;&gt;"連結 SRC"),1,0)</f>
        <v>0</v>
      </c>
      <c r="W327" s="32" t="n">
        <f aca="false">IF(AND($F327="Analogy",OR($H327="—",$H327="")),1,0)</f>
        <v>0</v>
      </c>
      <c r="X327" s="32" t="n">
        <f aca="false">IF(AND(OR($F327="Analogy",$F327="Assumed"),$G327&lt;&gt;"低",$G327&lt;&gt;"高",NOT(ISNUMBER($K327)),NOT(ISNUMBER($L327)),OR($M327="—",$M327="")),1,0)</f>
        <v>0</v>
      </c>
      <c r="Y327" s="32" t="n">
        <f aca="false">IF(AND(OR($F327="Analogy",$F327="Assumed",$F327="Derived（待改公式）",$F327="Derived（公式）"),OR($N327="—",$N327="",$N327=0)),1,0)</f>
        <v>0</v>
      </c>
      <c r="Z327" s="32" t="n">
        <f aca="false">IF(AND($F327="Decision",OR($J327="—",$J327="")),1,0)</f>
        <v>0</v>
      </c>
      <c r="AA327" s="33" t="n">
        <f aca="false">IF(OR($J327="—",$J327=""),0,IF(COUNTIF(Decisions!$A$5:$A$300,$J327)=0,1,0))</f>
        <v>0</v>
      </c>
      <c r="AB327" s="32" t="n">
        <f aca="false">IF(AND($F327="原始數據",$S327&lt;&gt;"Active"),1,0)</f>
        <v>0</v>
      </c>
      <c r="AC327" s="32" t="n">
        <f aca="false">IF(AND(ISNUMBER($K327),ISNUMBER($L327),ISNUMBER($Q327)),IF(OR($Q327&lt;MIN($K327,$L327),$Q327&gt;MAX($K327,$L327)),1,0),0)</f>
        <v>0</v>
      </c>
      <c r="AD327" s="32" t="n">
        <f aca="false">IF(AND(ISNUMBER($T327),$P327="高"),IF($T327=3,1,0),0)</f>
        <v>0</v>
      </c>
      <c r="AE327" s="32" t="n">
        <f aca="false">IF($S327="不存在",1,0)</f>
        <v>0</v>
      </c>
      <c r="AF327" s="44" t="n">
        <f aca="false">IF(OR($H327="—",$H327=""),"—",MATCH($H327,IDX_SrcID,0))</f>
        <v>295</v>
      </c>
      <c r="AG327" s="32" t="n">
        <f aca="false">IF(AND($P327="高",OR($AD327=1,$X327=1)),1,0)</f>
        <v>0</v>
      </c>
      <c r="AH327" s="32" t="n">
        <f aca="false">IF(AND($P327="高",$AG327=0,OR($F327&lt;&gt;"原始數據",$T327&lt;&gt;1)),1,0)</f>
        <v>0</v>
      </c>
      <c r="AI327" s="44" t="str">
        <f aca="false">IF(AND($P327="高",ISNUMBER($AF327)),INDEX(IDX_SrcDate,$AF327),"—")</f>
        <v>—</v>
      </c>
      <c r="AJ327" s="32" t="n">
        <f aca="false">IF(AND(ISTEXT($AI327),LEN($AI327)=10),IF(ISNUMBER(VALUE(SUBSTITUTE($AI327,"-",""))),VALUE(SUBSTITUTE($AI327,"-","")),0),0)</f>
        <v>0</v>
      </c>
    </row>
    <row r="328" customFormat="false" ht="15" hidden="false" customHeight="true" outlineLevel="0" collapsed="false">
      <c r="A328" s="30" t="s">
        <v>5317</v>
      </c>
      <c r="B328" s="239" t="s">
        <v>4525</v>
      </c>
      <c r="C328" s="30" t="s">
        <v>5280</v>
      </c>
      <c r="D328" s="30" t="s">
        <v>4576</v>
      </c>
      <c r="E328" s="6" t="s">
        <v>483</v>
      </c>
      <c r="F328" s="239" t="s">
        <v>348</v>
      </c>
      <c r="G328" s="239" t="s">
        <v>4527</v>
      </c>
      <c r="H328" s="30" t="s">
        <v>5313</v>
      </c>
      <c r="I328" s="20" t="s">
        <v>4562</v>
      </c>
      <c r="J328" s="30" t="s">
        <v>751</v>
      </c>
      <c r="K328" s="239"/>
      <c r="L328" s="239"/>
      <c r="M328" s="30" t="s">
        <v>751</v>
      </c>
      <c r="N328" s="20" t="s">
        <v>4665</v>
      </c>
      <c r="O328" s="6" t="s">
        <v>751</v>
      </c>
      <c r="P328" s="239" t="s">
        <v>1309</v>
      </c>
      <c r="Q328" s="49" t="n">
        <f aca="false">Calib!F16</f>
        <v>1024</v>
      </c>
      <c r="R328" s="184" t="n">
        <f aca="false">SRC_PERF_001_OSL</f>
        <v>1024</v>
      </c>
      <c r="S328" s="44" t="str">
        <f aca="false">IF(ISNUMBER($AF328),INDEX(IDX_SrcStat,$AF328),"—")</f>
        <v>Active</v>
      </c>
      <c r="T328" s="44" t="n">
        <f aca="false">IF(ISNUMBER($AF328),INDEX(IDX_SrcGrade,$AF328),"—")</f>
        <v>1</v>
      </c>
      <c r="U328" s="44" t="s">
        <v>4564</v>
      </c>
      <c r="V328" s="32" t="n">
        <f aca="false">IF(AND($F328="原始數據",$U328&lt;&gt;"連結 SRC"),1,0)</f>
        <v>0</v>
      </c>
      <c r="W328" s="32" t="n">
        <f aca="false">IF(AND($F328="Analogy",OR($H328="—",$H328="")),1,0)</f>
        <v>0</v>
      </c>
      <c r="X328" s="32" t="n">
        <f aca="false">IF(AND(OR($F328="Analogy",$F328="Assumed"),$G328&lt;&gt;"低",$G328&lt;&gt;"高",NOT(ISNUMBER($K328)),NOT(ISNUMBER($L328)),OR($M328="—",$M328="")),1,0)</f>
        <v>0</v>
      </c>
      <c r="Y328" s="32" t="n">
        <f aca="false">IF(AND(OR($F328="Analogy",$F328="Assumed",$F328="Derived（待改公式）",$F328="Derived（公式）"),OR($N328="—",$N328="",$N328=0)),1,0)</f>
        <v>0</v>
      </c>
      <c r="Z328" s="32" t="n">
        <f aca="false">IF(AND($F328="Decision",OR($J328="—",$J328="")),1,0)</f>
        <v>0</v>
      </c>
      <c r="AA328" s="33" t="n">
        <f aca="false">IF(OR($J328="—",$J328=""),0,IF(COUNTIF(Decisions!$A$5:$A$300,$J328)=0,1,0))</f>
        <v>0</v>
      </c>
      <c r="AB328" s="32" t="n">
        <f aca="false">IF(AND($F328="原始數據",$S328&lt;&gt;"Active"),1,0)</f>
        <v>0</v>
      </c>
      <c r="AC328" s="32" t="n">
        <f aca="false">IF(AND(ISNUMBER($K328),ISNUMBER($L328),ISNUMBER($Q328)),IF(OR($Q328&lt;MIN($K328,$L328),$Q328&gt;MAX($K328,$L328)),1,0),0)</f>
        <v>0</v>
      </c>
      <c r="AD328" s="32" t="n">
        <f aca="false">IF(AND(ISNUMBER($T328),$P328="高"),IF($T328=3,1,0),0)</f>
        <v>0</v>
      </c>
      <c r="AE328" s="32" t="n">
        <f aca="false">IF($S328="不存在",1,0)</f>
        <v>0</v>
      </c>
      <c r="AF328" s="44" t="n">
        <f aca="false">IF(OR($H328="—",$H328=""),"—",MATCH($H328,IDX_SrcID,0))</f>
        <v>295</v>
      </c>
      <c r="AG328" s="32" t="n">
        <f aca="false">IF(AND($P328="高",OR($AD328=1,$X328=1)),1,0)</f>
        <v>0</v>
      </c>
      <c r="AH328" s="32" t="n">
        <f aca="false">IF(AND($P328="高",$AG328=0,OR($F328&lt;&gt;"原始數據",$T328&lt;&gt;1)),1,0)</f>
        <v>0</v>
      </c>
      <c r="AI328" s="44" t="str">
        <f aca="false">IF(AND($P328="高",ISNUMBER($AF328)),INDEX(IDX_SrcDate,$AF328),"—")</f>
        <v>—</v>
      </c>
      <c r="AJ328" s="32" t="n">
        <f aca="false">IF(AND(ISTEXT($AI328),LEN($AI328)=10),IF(ISNUMBER(VALUE(SUBSTITUTE($AI328,"-",""))),VALUE(SUBSTITUTE($AI328,"-","")),0),0)</f>
        <v>0</v>
      </c>
    </row>
    <row r="329" customFormat="false" ht="15" hidden="false" customHeight="true" outlineLevel="0" collapsed="false">
      <c r="A329" s="30" t="s">
        <v>5318</v>
      </c>
      <c r="B329" s="239" t="s">
        <v>4525</v>
      </c>
      <c r="C329" s="30" t="s">
        <v>5280</v>
      </c>
      <c r="D329" s="30" t="s">
        <v>4582</v>
      </c>
      <c r="E329" s="20" t="s">
        <v>5295</v>
      </c>
      <c r="F329" s="239" t="s">
        <v>348</v>
      </c>
      <c r="G329" s="239" t="s">
        <v>4527</v>
      </c>
      <c r="H329" s="30" t="s">
        <v>5313</v>
      </c>
      <c r="I329" s="20" t="s">
        <v>4562</v>
      </c>
      <c r="J329" s="30" t="s">
        <v>751</v>
      </c>
      <c r="K329" s="239"/>
      <c r="L329" s="239"/>
      <c r="M329" s="30" t="s">
        <v>751</v>
      </c>
      <c r="N329" s="20" t="s">
        <v>4665</v>
      </c>
      <c r="O329" s="6" t="s">
        <v>751</v>
      </c>
      <c r="P329" s="239" t="s">
        <v>1309</v>
      </c>
      <c r="Q329" s="49" t="n">
        <f aca="false">Calib!F17</f>
        <v>6182</v>
      </c>
      <c r="R329" s="184" t="n">
        <f aca="false">SRC_PERF_001</f>
        <v>6182</v>
      </c>
      <c r="S329" s="44" t="str">
        <f aca="false">IF(ISNUMBER($AF329),INDEX(IDX_SrcStat,$AF329),"—")</f>
        <v>Active</v>
      </c>
      <c r="T329" s="44" t="n">
        <f aca="false">IF(ISNUMBER($AF329),INDEX(IDX_SrcGrade,$AF329),"—")</f>
        <v>1</v>
      </c>
      <c r="U329" s="44" t="s">
        <v>4564</v>
      </c>
      <c r="V329" s="32" t="n">
        <f aca="false">IF(AND($F329="原始數據",$U329&lt;&gt;"連結 SRC"),1,0)</f>
        <v>0</v>
      </c>
      <c r="W329" s="32" t="n">
        <f aca="false">IF(AND($F329="Analogy",OR($H329="—",$H329="")),1,0)</f>
        <v>0</v>
      </c>
      <c r="X329" s="32" t="n">
        <f aca="false">IF(AND(OR($F329="Analogy",$F329="Assumed"),$G329&lt;&gt;"低",$G329&lt;&gt;"高",NOT(ISNUMBER($K329)),NOT(ISNUMBER($L329)),OR($M329="—",$M329="")),1,0)</f>
        <v>0</v>
      </c>
      <c r="Y329" s="32" t="n">
        <f aca="false">IF(AND(OR($F329="Analogy",$F329="Assumed",$F329="Derived（待改公式）",$F329="Derived（公式）"),OR($N329="—",$N329="",$N329=0)),1,0)</f>
        <v>0</v>
      </c>
      <c r="Z329" s="32" t="n">
        <f aca="false">IF(AND($F329="Decision",OR($J329="—",$J329="")),1,0)</f>
        <v>0</v>
      </c>
      <c r="AA329" s="33" t="n">
        <f aca="false">IF(OR($J329="—",$J329=""),0,IF(COUNTIF(Decisions!$A$5:$A$300,$J329)=0,1,0))</f>
        <v>0</v>
      </c>
      <c r="AB329" s="32" t="n">
        <f aca="false">IF(AND($F329="原始數據",$S329&lt;&gt;"Active"),1,0)</f>
        <v>0</v>
      </c>
      <c r="AC329" s="32" t="n">
        <f aca="false">IF(AND(ISNUMBER($K329),ISNUMBER($L329),ISNUMBER($Q329)),IF(OR($Q329&lt;MIN($K329,$L329),$Q329&gt;MAX($K329,$L329)),1,0),0)</f>
        <v>0</v>
      </c>
      <c r="AD329" s="32" t="n">
        <f aca="false">IF(AND(ISNUMBER($T329),$P329="高"),IF($T329=3,1,0),0)</f>
        <v>0</v>
      </c>
      <c r="AE329" s="32" t="n">
        <f aca="false">IF($S329="不存在",1,0)</f>
        <v>0</v>
      </c>
      <c r="AF329" s="44" t="n">
        <f aca="false">IF(OR($H329="—",$H329=""),"—",MATCH($H329,IDX_SrcID,0))</f>
        <v>295</v>
      </c>
      <c r="AG329" s="32" t="n">
        <f aca="false">IF(AND($P329="高",OR($AD329=1,$X329=1)),1,0)</f>
        <v>0</v>
      </c>
      <c r="AH329" s="32" t="n">
        <f aca="false">IF(AND($P329="高",$AG329=0,OR($F329&lt;&gt;"原始數據",$T329&lt;&gt;1)),1,0)</f>
        <v>0</v>
      </c>
      <c r="AI329" s="44" t="str">
        <f aca="false">IF(AND($P329="高",ISNUMBER($AF329)),INDEX(IDX_SrcDate,$AF329),"—")</f>
        <v>—</v>
      </c>
      <c r="AJ329" s="32" t="n">
        <f aca="false">IF(AND(ISTEXT($AI329),LEN($AI329)=10),IF(ISNUMBER(VALUE(SUBSTITUTE($AI329,"-",""))),VALUE(SUBSTITUTE($AI329,"-","")),0),0)</f>
        <v>0</v>
      </c>
    </row>
    <row r="330" customFormat="false" ht="15" hidden="false" customHeight="true" outlineLevel="0" collapsed="false">
      <c r="A330" s="30" t="s">
        <v>5319</v>
      </c>
      <c r="B330" s="239" t="s">
        <v>4525</v>
      </c>
      <c r="C330" s="30" t="s">
        <v>5280</v>
      </c>
      <c r="D330" s="30" t="s">
        <v>4801</v>
      </c>
      <c r="E330" s="6" t="s">
        <v>477</v>
      </c>
      <c r="F330" s="239" t="s">
        <v>348</v>
      </c>
      <c r="G330" s="239" t="s">
        <v>4527</v>
      </c>
      <c r="H330" s="30" t="s">
        <v>5320</v>
      </c>
      <c r="I330" s="20" t="s">
        <v>4562</v>
      </c>
      <c r="J330" s="30" t="s">
        <v>751</v>
      </c>
      <c r="K330" s="239"/>
      <c r="L330" s="239"/>
      <c r="M330" s="30" t="s">
        <v>751</v>
      </c>
      <c r="N330" s="20" t="s">
        <v>4665</v>
      </c>
      <c r="O330" s="6" t="s">
        <v>751</v>
      </c>
      <c r="P330" s="239" t="s">
        <v>4530</v>
      </c>
      <c r="Q330" s="33" t="n">
        <f aca="false">Calib!G13</f>
        <v>0</v>
      </c>
      <c r="R330" s="184" t="n">
        <f aca="false">SRC_PERF_002_MTP</f>
        <v>0</v>
      </c>
      <c r="S330" s="44" t="str">
        <f aca="false">IF(ISNUMBER($AF330),INDEX(IDX_SrcStat,$AF330),"—")</f>
        <v>Active</v>
      </c>
      <c r="T330" s="44" t="n">
        <f aca="false">IF(ISNUMBER($AF330),INDEX(IDX_SrcGrade,$AF330),"—")</f>
        <v>1</v>
      </c>
      <c r="U330" s="44" t="s">
        <v>4564</v>
      </c>
      <c r="V330" s="32" t="n">
        <f aca="false">IF(AND($F330="原始數據",$U330&lt;&gt;"連結 SRC"),1,0)</f>
        <v>0</v>
      </c>
      <c r="W330" s="32" t="n">
        <f aca="false">IF(AND($F330="Analogy",OR($H330="—",$H330="")),1,0)</f>
        <v>0</v>
      </c>
      <c r="X330" s="32" t="n">
        <f aca="false">IF(AND(OR($F330="Analogy",$F330="Assumed"),$G330&lt;&gt;"低",$G330&lt;&gt;"高",NOT(ISNUMBER($K330)),NOT(ISNUMBER($L330)),OR($M330="—",$M330="")),1,0)</f>
        <v>0</v>
      </c>
      <c r="Y330" s="32" t="n">
        <f aca="false">IF(AND(OR($F330="Analogy",$F330="Assumed",$F330="Derived（待改公式）",$F330="Derived（公式）"),OR($N330="—",$N330="",$N330=0)),1,0)</f>
        <v>0</v>
      </c>
      <c r="Z330" s="32" t="n">
        <f aca="false">IF(AND($F330="Decision",OR($J330="—",$J330="")),1,0)</f>
        <v>0</v>
      </c>
      <c r="AA330" s="33" t="n">
        <f aca="false">IF(OR($J330="—",$J330=""),0,IF(COUNTIF(Decisions!$A$5:$A$300,$J330)=0,1,0))</f>
        <v>0</v>
      </c>
      <c r="AB330" s="32" t="n">
        <f aca="false">IF(AND($F330="原始數據",$S330&lt;&gt;"Active"),1,0)</f>
        <v>0</v>
      </c>
      <c r="AC330" s="32" t="n">
        <f aca="false">IF(AND(ISNUMBER($K330),ISNUMBER($L330),ISNUMBER($Q330)),IF(OR($Q330&lt;MIN($K330,$L330),$Q330&gt;MAX($K330,$L330)),1,0),0)</f>
        <v>0</v>
      </c>
      <c r="AD330" s="32" t="n">
        <f aca="false">IF(AND(ISNUMBER($T330),$P330="高"),IF($T330=3,1,0),0)</f>
        <v>0</v>
      </c>
      <c r="AE330" s="32" t="n">
        <f aca="false">IF($S330="不存在",1,0)</f>
        <v>0</v>
      </c>
      <c r="AF330" s="44" t="n">
        <f aca="false">IF(OR($H330="—",$H330=""),"—",MATCH($H330,IDX_SrcID,0))</f>
        <v>296</v>
      </c>
      <c r="AG330" s="32" t="n">
        <f aca="false">IF(AND($P330="高",OR($AD330=1,$X330=1)),1,0)</f>
        <v>0</v>
      </c>
      <c r="AH330" s="32" t="n">
        <f aca="false">IF(AND($P330="高",$AG330=0,OR($F330&lt;&gt;"原始數據",$T330&lt;&gt;1)),1,0)</f>
        <v>0</v>
      </c>
      <c r="AI330" s="44" t="str">
        <f aca="false">IF(AND($P330="高",ISNUMBER($AF330)),INDEX(IDX_SrcDate,$AF330),"—")</f>
        <v>—</v>
      </c>
      <c r="AJ330" s="32" t="n">
        <f aca="false">IF(AND(ISTEXT($AI330),LEN($AI330)=10),IF(ISNUMBER(VALUE(SUBSTITUTE($AI330,"-",""))),VALUE(SUBSTITUTE($AI330,"-","")),0),0)</f>
        <v>0</v>
      </c>
    </row>
    <row r="331" customFormat="false" ht="15" hidden="false" customHeight="true" outlineLevel="0" collapsed="false">
      <c r="A331" s="30" t="s">
        <v>5321</v>
      </c>
      <c r="B331" s="239" t="s">
        <v>4525</v>
      </c>
      <c r="C331" s="30" t="s">
        <v>5280</v>
      </c>
      <c r="D331" s="30" t="s">
        <v>5269</v>
      </c>
      <c r="E331" s="20" t="s">
        <v>479</v>
      </c>
      <c r="F331" s="239" t="s">
        <v>348</v>
      </c>
      <c r="G331" s="239" t="s">
        <v>4527</v>
      </c>
      <c r="H331" s="30" t="s">
        <v>5320</v>
      </c>
      <c r="I331" s="20" t="s">
        <v>4562</v>
      </c>
      <c r="J331" s="30" t="s">
        <v>751</v>
      </c>
      <c r="K331" s="239"/>
      <c r="L331" s="239"/>
      <c r="M331" s="30" t="s">
        <v>751</v>
      </c>
      <c r="N331" s="20" t="s">
        <v>4665</v>
      </c>
      <c r="O331" s="6" t="s">
        <v>751</v>
      </c>
      <c r="P331" s="239" t="s">
        <v>1309</v>
      </c>
      <c r="Q331" s="49" t="n">
        <f aca="false">Calib!G14</f>
        <v>27</v>
      </c>
      <c r="R331" s="184" t="n">
        <f aca="false">SRC_PERF_002_Spd</f>
        <v>27</v>
      </c>
      <c r="S331" s="44" t="str">
        <f aca="false">IF(ISNUMBER($AF331),INDEX(IDX_SrcStat,$AF331),"—")</f>
        <v>Active</v>
      </c>
      <c r="T331" s="44" t="n">
        <f aca="false">IF(ISNUMBER($AF331),INDEX(IDX_SrcGrade,$AF331),"—")</f>
        <v>1</v>
      </c>
      <c r="U331" s="44" t="s">
        <v>4564</v>
      </c>
      <c r="V331" s="32" t="n">
        <f aca="false">IF(AND($F331="原始數據",$U331&lt;&gt;"連結 SRC"),1,0)</f>
        <v>0</v>
      </c>
      <c r="W331" s="32" t="n">
        <f aca="false">IF(AND($F331="Analogy",OR($H331="—",$H331="")),1,0)</f>
        <v>0</v>
      </c>
      <c r="X331" s="32" t="n">
        <f aca="false">IF(AND(OR($F331="Analogy",$F331="Assumed"),$G331&lt;&gt;"低",$G331&lt;&gt;"高",NOT(ISNUMBER($K331)),NOT(ISNUMBER($L331)),OR($M331="—",$M331="")),1,0)</f>
        <v>0</v>
      </c>
      <c r="Y331" s="32" t="n">
        <f aca="false">IF(AND(OR($F331="Analogy",$F331="Assumed",$F331="Derived（待改公式）",$F331="Derived（公式）"),OR($N331="—",$N331="",$N331=0)),1,0)</f>
        <v>0</v>
      </c>
      <c r="Z331" s="32" t="n">
        <f aca="false">IF(AND($F331="Decision",OR($J331="—",$J331="")),1,0)</f>
        <v>0</v>
      </c>
      <c r="AA331" s="33" t="n">
        <f aca="false">IF(OR($J331="—",$J331=""),0,IF(COUNTIF(Decisions!$A$5:$A$300,$J331)=0,1,0))</f>
        <v>0</v>
      </c>
      <c r="AB331" s="32" t="n">
        <f aca="false">IF(AND($F331="原始數據",$S331&lt;&gt;"Active"),1,0)</f>
        <v>0</v>
      </c>
      <c r="AC331" s="32" t="n">
        <f aca="false">IF(AND(ISNUMBER($K331),ISNUMBER($L331),ISNUMBER($Q331)),IF(OR($Q331&lt;MIN($K331,$L331),$Q331&gt;MAX($K331,$L331)),1,0),0)</f>
        <v>0</v>
      </c>
      <c r="AD331" s="32" t="n">
        <f aca="false">IF(AND(ISNUMBER($T331),$P331="高"),IF($T331=3,1,0),0)</f>
        <v>0</v>
      </c>
      <c r="AE331" s="32" t="n">
        <f aca="false">IF($S331="不存在",1,0)</f>
        <v>0</v>
      </c>
      <c r="AF331" s="44" t="n">
        <f aca="false">IF(OR($H331="—",$H331=""),"—",MATCH($H331,IDX_SrcID,0))</f>
        <v>296</v>
      </c>
      <c r="AG331" s="32" t="n">
        <f aca="false">IF(AND($P331="高",OR($AD331=1,$X331=1)),1,0)</f>
        <v>0</v>
      </c>
      <c r="AH331" s="32" t="n">
        <f aca="false">IF(AND($P331="高",$AG331=0,OR($F331&lt;&gt;"原始數據",$T331&lt;&gt;1)),1,0)</f>
        <v>0</v>
      </c>
      <c r="AI331" s="44" t="str">
        <f aca="false">IF(AND($P331="高",ISNUMBER($AF331)),INDEX(IDX_SrcDate,$AF331),"—")</f>
        <v>—</v>
      </c>
      <c r="AJ331" s="32" t="n">
        <f aca="false">IF(AND(ISTEXT($AI331),LEN($AI331)=10),IF(ISNUMBER(VALUE(SUBSTITUTE($AI331,"-",""))),VALUE(SUBSTITUTE($AI331,"-","")),0),0)</f>
        <v>0</v>
      </c>
    </row>
    <row r="332" customFormat="false" ht="15" hidden="false" customHeight="true" outlineLevel="0" collapsed="false">
      <c r="A332" s="30" t="s">
        <v>5322</v>
      </c>
      <c r="B332" s="239" t="s">
        <v>4525</v>
      </c>
      <c r="C332" s="30" t="s">
        <v>5280</v>
      </c>
      <c r="D332" s="30" t="s">
        <v>5323</v>
      </c>
      <c r="E332" s="6" t="s">
        <v>481</v>
      </c>
      <c r="F332" s="239" t="s">
        <v>348</v>
      </c>
      <c r="G332" s="239" t="s">
        <v>4527</v>
      </c>
      <c r="H332" s="30" t="s">
        <v>5320</v>
      </c>
      <c r="I332" s="20" t="s">
        <v>4562</v>
      </c>
      <c r="J332" s="30" t="s">
        <v>751</v>
      </c>
      <c r="K332" s="239"/>
      <c r="L332" s="239"/>
      <c r="M332" s="30" t="s">
        <v>751</v>
      </c>
      <c r="N332" s="20" t="s">
        <v>4665</v>
      </c>
      <c r="O332" s="6" t="s">
        <v>751</v>
      </c>
      <c r="P332" s="239" t="s">
        <v>1309</v>
      </c>
      <c r="Q332" s="49" t="n">
        <f aca="false">Calib!G15</f>
        <v>8192</v>
      </c>
      <c r="R332" s="184" t="n">
        <f aca="false">SRC_PERF_002_ISL</f>
        <v>8192</v>
      </c>
      <c r="S332" s="44" t="str">
        <f aca="false">IF(ISNUMBER($AF332),INDEX(IDX_SrcStat,$AF332),"—")</f>
        <v>Active</v>
      </c>
      <c r="T332" s="44" t="n">
        <f aca="false">IF(ISNUMBER($AF332),INDEX(IDX_SrcGrade,$AF332),"—")</f>
        <v>1</v>
      </c>
      <c r="U332" s="44" t="s">
        <v>4564</v>
      </c>
      <c r="V332" s="32" t="n">
        <f aca="false">IF(AND($F332="原始數據",$U332&lt;&gt;"連結 SRC"),1,0)</f>
        <v>0</v>
      </c>
      <c r="W332" s="32" t="n">
        <f aca="false">IF(AND($F332="Analogy",OR($H332="—",$H332="")),1,0)</f>
        <v>0</v>
      </c>
      <c r="X332" s="32" t="n">
        <f aca="false">IF(AND(OR($F332="Analogy",$F332="Assumed"),$G332&lt;&gt;"低",$G332&lt;&gt;"高",NOT(ISNUMBER($K332)),NOT(ISNUMBER($L332)),OR($M332="—",$M332="")),1,0)</f>
        <v>0</v>
      </c>
      <c r="Y332" s="32" t="n">
        <f aca="false">IF(AND(OR($F332="Analogy",$F332="Assumed",$F332="Derived（待改公式）",$F332="Derived（公式）"),OR($N332="—",$N332="",$N332=0)),1,0)</f>
        <v>0</v>
      </c>
      <c r="Z332" s="32" t="n">
        <f aca="false">IF(AND($F332="Decision",OR($J332="—",$J332="")),1,0)</f>
        <v>0</v>
      </c>
      <c r="AA332" s="33" t="n">
        <f aca="false">IF(OR($J332="—",$J332=""),0,IF(COUNTIF(Decisions!$A$5:$A$300,$J332)=0,1,0))</f>
        <v>0</v>
      </c>
      <c r="AB332" s="32" t="n">
        <f aca="false">IF(AND($F332="原始數據",$S332&lt;&gt;"Active"),1,0)</f>
        <v>0</v>
      </c>
      <c r="AC332" s="32" t="n">
        <f aca="false">IF(AND(ISNUMBER($K332),ISNUMBER($L332),ISNUMBER($Q332)),IF(OR($Q332&lt;MIN($K332,$L332),$Q332&gt;MAX($K332,$L332)),1,0),0)</f>
        <v>0</v>
      </c>
      <c r="AD332" s="32" t="n">
        <f aca="false">IF(AND(ISNUMBER($T332),$P332="高"),IF($T332=3,1,0),0)</f>
        <v>0</v>
      </c>
      <c r="AE332" s="32" t="n">
        <f aca="false">IF($S332="不存在",1,0)</f>
        <v>0</v>
      </c>
      <c r="AF332" s="44" t="n">
        <f aca="false">IF(OR($H332="—",$H332=""),"—",MATCH($H332,IDX_SrcID,0))</f>
        <v>296</v>
      </c>
      <c r="AG332" s="32" t="n">
        <f aca="false">IF(AND($P332="高",OR($AD332=1,$X332=1)),1,0)</f>
        <v>0</v>
      </c>
      <c r="AH332" s="32" t="n">
        <f aca="false">IF(AND($P332="高",$AG332=0,OR($F332&lt;&gt;"原始數據",$T332&lt;&gt;1)),1,0)</f>
        <v>0</v>
      </c>
      <c r="AI332" s="44" t="str">
        <f aca="false">IF(AND($P332="高",ISNUMBER($AF332)),INDEX(IDX_SrcDate,$AF332),"—")</f>
        <v>—</v>
      </c>
      <c r="AJ332" s="32" t="n">
        <f aca="false">IF(AND(ISTEXT($AI332),LEN($AI332)=10),IF(ISNUMBER(VALUE(SUBSTITUTE($AI332,"-",""))),VALUE(SUBSTITUTE($AI332,"-","")),0),0)</f>
        <v>0</v>
      </c>
    </row>
    <row r="333" customFormat="false" ht="15" hidden="false" customHeight="true" outlineLevel="0" collapsed="false">
      <c r="A333" s="30" t="s">
        <v>5324</v>
      </c>
      <c r="B333" s="239" t="s">
        <v>4525</v>
      </c>
      <c r="C333" s="30" t="s">
        <v>5280</v>
      </c>
      <c r="D333" s="30" t="s">
        <v>5325</v>
      </c>
      <c r="E333" s="6" t="s">
        <v>483</v>
      </c>
      <c r="F333" s="239" t="s">
        <v>348</v>
      </c>
      <c r="G333" s="239" t="s">
        <v>4527</v>
      </c>
      <c r="H333" s="30" t="s">
        <v>5320</v>
      </c>
      <c r="I333" s="20" t="s">
        <v>4562</v>
      </c>
      <c r="J333" s="30" t="s">
        <v>751</v>
      </c>
      <c r="K333" s="239"/>
      <c r="L333" s="239"/>
      <c r="M333" s="30" t="s">
        <v>751</v>
      </c>
      <c r="N333" s="20" t="s">
        <v>4665</v>
      </c>
      <c r="O333" s="6" t="s">
        <v>751</v>
      </c>
      <c r="P333" s="239" t="s">
        <v>1309</v>
      </c>
      <c r="Q333" s="49" t="n">
        <f aca="false">Calib!G16</f>
        <v>1024</v>
      </c>
      <c r="R333" s="184" t="n">
        <f aca="false">SRC_PERF_002_OSL</f>
        <v>1024</v>
      </c>
      <c r="S333" s="44" t="str">
        <f aca="false">IF(ISNUMBER($AF333),INDEX(IDX_SrcStat,$AF333),"—")</f>
        <v>Active</v>
      </c>
      <c r="T333" s="44" t="n">
        <f aca="false">IF(ISNUMBER($AF333),INDEX(IDX_SrcGrade,$AF333),"—")</f>
        <v>1</v>
      </c>
      <c r="U333" s="44" t="s">
        <v>4564</v>
      </c>
      <c r="V333" s="32" t="n">
        <f aca="false">IF(AND($F333="原始數據",$U333&lt;&gt;"連結 SRC"),1,0)</f>
        <v>0</v>
      </c>
      <c r="W333" s="32" t="n">
        <f aca="false">IF(AND($F333="Analogy",OR($H333="—",$H333="")),1,0)</f>
        <v>0</v>
      </c>
      <c r="X333" s="32" t="n">
        <f aca="false">IF(AND(OR($F333="Analogy",$F333="Assumed"),$G333&lt;&gt;"低",$G333&lt;&gt;"高",NOT(ISNUMBER($K333)),NOT(ISNUMBER($L333)),OR($M333="—",$M333="")),1,0)</f>
        <v>0</v>
      </c>
      <c r="Y333" s="32" t="n">
        <f aca="false">IF(AND(OR($F333="Analogy",$F333="Assumed",$F333="Derived（待改公式）",$F333="Derived（公式）"),OR($N333="—",$N333="",$N333=0)),1,0)</f>
        <v>0</v>
      </c>
      <c r="Z333" s="32" t="n">
        <f aca="false">IF(AND($F333="Decision",OR($J333="—",$J333="")),1,0)</f>
        <v>0</v>
      </c>
      <c r="AA333" s="33" t="n">
        <f aca="false">IF(OR($J333="—",$J333=""),0,IF(COUNTIF(Decisions!$A$5:$A$300,$J333)=0,1,0))</f>
        <v>0</v>
      </c>
      <c r="AB333" s="32" t="n">
        <f aca="false">IF(AND($F333="原始數據",$S333&lt;&gt;"Active"),1,0)</f>
        <v>0</v>
      </c>
      <c r="AC333" s="32" t="n">
        <f aca="false">IF(AND(ISNUMBER($K333),ISNUMBER($L333),ISNUMBER($Q333)),IF(OR($Q333&lt;MIN($K333,$L333),$Q333&gt;MAX($K333,$L333)),1,0),0)</f>
        <v>0</v>
      </c>
      <c r="AD333" s="32" t="n">
        <f aca="false">IF(AND(ISNUMBER($T333),$P333="高"),IF($T333=3,1,0),0)</f>
        <v>0</v>
      </c>
      <c r="AE333" s="32" t="n">
        <f aca="false">IF($S333="不存在",1,0)</f>
        <v>0</v>
      </c>
      <c r="AF333" s="44" t="n">
        <f aca="false">IF(OR($H333="—",$H333=""),"—",MATCH($H333,IDX_SrcID,0))</f>
        <v>296</v>
      </c>
      <c r="AG333" s="32" t="n">
        <f aca="false">IF(AND($P333="高",OR($AD333=1,$X333=1)),1,0)</f>
        <v>0</v>
      </c>
      <c r="AH333" s="32" t="n">
        <f aca="false">IF(AND($P333="高",$AG333=0,OR($F333&lt;&gt;"原始數據",$T333&lt;&gt;1)),1,0)</f>
        <v>0</v>
      </c>
      <c r="AI333" s="44" t="str">
        <f aca="false">IF(AND($P333="高",ISNUMBER($AF333)),INDEX(IDX_SrcDate,$AF333),"—")</f>
        <v>—</v>
      </c>
      <c r="AJ333" s="32" t="n">
        <f aca="false">IF(AND(ISTEXT($AI333),LEN($AI333)=10),IF(ISNUMBER(VALUE(SUBSTITUTE($AI333,"-",""))),VALUE(SUBSTITUTE($AI333,"-","")),0),0)</f>
        <v>0</v>
      </c>
    </row>
    <row r="334" customFormat="false" ht="15" hidden="false" customHeight="true" outlineLevel="0" collapsed="false">
      <c r="A334" s="30" t="s">
        <v>5326</v>
      </c>
      <c r="B334" s="239" t="s">
        <v>4525</v>
      </c>
      <c r="C334" s="30" t="s">
        <v>5280</v>
      </c>
      <c r="D334" s="30" t="s">
        <v>5327</v>
      </c>
      <c r="E334" s="20" t="s">
        <v>5295</v>
      </c>
      <c r="F334" s="239" t="s">
        <v>348</v>
      </c>
      <c r="G334" s="239" t="s">
        <v>4527</v>
      </c>
      <c r="H334" s="30" t="s">
        <v>5320</v>
      </c>
      <c r="I334" s="20" t="s">
        <v>4562</v>
      </c>
      <c r="J334" s="30" t="s">
        <v>751</v>
      </c>
      <c r="K334" s="239"/>
      <c r="L334" s="239"/>
      <c r="M334" s="30" t="s">
        <v>751</v>
      </c>
      <c r="N334" s="20" t="s">
        <v>4665</v>
      </c>
      <c r="O334" s="6" t="s">
        <v>751</v>
      </c>
      <c r="P334" s="239" t="s">
        <v>1309</v>
      </c>
      <c r="Q334" s="49" t="n">
        <f aca="false">Calib!G17</f>
        <v>2189</v>
      </c>
      <c r="R334" s="184" t="n">
        <f aca="false">SRC_PERF_002</f>
        <v>2189</v>
      </c>
      <c r="S334" s="44" t="str">
        <f aca="false">IF(ISNUMBER($AF334),INDEX(IDX_SrcStat,$AF334),"—")</f>
        <v>Active</v>
      </c>
      <c r="T334" s="44" t="n">
        <f aca="false">IF(ISNUMBER($AF334),INDEX(IDX_SrcGrade,$AF334),"—")</f>
        <v>1</v>
      </c>
      <c r="U334" s="44" t="s">
        <v>4564</v>
      </c>
      <c r="V334" s="32" t="n">
        <f aca="false">IF(AND($F334="原始數據",$U334&lt;&gt;"連結 SRC"),1,0)</f>
        <v>0</v>
      </c>
      <c r="W334" s="32" t="n">
        <f aca="false">IF(AND($F334="Analogy",OR($H334="—",$H334="")),1,0)</f>
        <v>0</v>
      </c>
      <c r="X334" s="32" t="n">
        <f aca="false">IF(AND(OR($F334="Analogy",$F334="Assumed"),$G334&lt;&gt;"低",$G334&lt;&gt;"高",NOT(ISNUMBER($K334)),NOT(ISNUMBER($L334)),OR($M334="—",$M334="")),1,0)</f>
        <v>0</v>
      </c>
      <c r="Y334" s="32" t="n">
        <f aca="false">IF(AND(OR($F334="Analogy",$F334="Assumed",$F334="Derived（待改公式）",$F334="Derived（公式）"),OR($N334="—",$N334="",$N334=0)),1,0)</f>
        <v>0</v>
      </c>
      <c r="Z334" s="32" t="n">
        <f aca="false">IF(AND($F334="Decision",OR($J334="—",$J334="")),1,0)</f>
        <v>0</v>
      </c>
      <c r="AA334" s="33" t="n">
        <f aca="false">IF(OR($J334="—",$J334=""),0,IF(COUNTIF(Decisions!$A$5:$A$300,$J334)=0,1,0))</f>
        <v>0</v>
      </c>
      <c r="AB334" s="32" t="n">
        <f aca="false">IF(AND($F334="原始數據",$S334&lt;&gt;"Active"),1,0)</f>
        <v>0</v>
      </c>
      <c r="AC334" s="32" t="n">
        <f aca="false">IF(AND(ISNUMBER($K334),ISNUMBER($L334),ISNUMBER($Q334)),IF(OR($Q334&lt;MIN($K334,$L334),$Q334&gt;MAX($K334,$L334)),1,0),0)</f>
        <v>0</v>
      </c>
      <c r="AD334" s="32" t="n">
        <f aca="false">IF(AND(ISNUMBER($T334),$P334="高"),IF($T334=3,1,0),0)</f>
        <v>0</v>
      </c>
      <c r="AE334" s="32" t="n">
        <f aca="false">IF($S334="不存在",1,0)</f>
        <v>0</v>
      </c>
      <c r="AF334" s="44" t="n">
        <f aca="false">IF(OR($H334="—",$H334=""),"—",MATCH($H334,IDX_SrcID,0))</f>
        <v>296</v>
      </c>
      <c r="AG334" s="32" t="n">
        <f aca="false">IF(AND($P334="高",OR($AD334=1,$X334=1)),1,0)</f>
        <v>0</v>
      </c>
      <c r="AH334" s="32" t="n">
        <f aca="false">IF(AND($P334="高",$AG334=0,OR($F334&lt;&gt;"原始數據",$T334&lt;&gt;1)),1,0)</f>
        <v>0</v>
      </c>
      <c r="AI334" s="44" t="str">
        <f aca="false">IF(AND($P334="高",ISNUMBER($AF334)),INDEX(IDX_SrcDate,$AF334),"—")</f>
        <v>—</v>
      </c>
      <c r="AJ334" s="32" t="n">
        <f aca="false">IF(AND(ISTEXT($AI334),LEN($AI334)=10),IF(ISNUMBER(VALUE(SUBSTITUTE($AI334,"-",""))),VALUE(SUBSTITUTE($AI334,"-","")),0),0)</f>
        <v>0</v>
      </c>
    </row>
    <row r="335" customFormat="false" ht="15" hidden="false" customHeight="true" outlineLevel="0" collapsed="false">
      <c r="A335" s="30" t="s">
        <v>5328</v>
      </c>
      <c r="B335" s="239" t="s">
        <v>4525</v>
      </c>
      <c r="C335" s="30" t="s">
        <v>5280</v>
      </c>
      <c r="D335" s="30" t="s">
        <v>5329</v>
      </c>
      <c r="E335" s="6" t="s">
        <v>477</v>
      </c>
      <c r="F335" s="239" t="s">
        <v>348</v>
      </c>
      <c r="G335" s="239" t="s">
        <v>4527</v>
      </c>
      <c r="H335" s="30" t="s">
        <v>5330</v>
      </c>
      <c r="I335" s="20" t="s">
        <v>4562</v>
      </c>
      <c r="J335" s="30" t="s">
        <v>751</v>
      </c>
      <c r="K335" s="239"/>
      <c r="L335" s="239"/>
      <c r="M335" s="30" t="s">
        <v>751</v>
      </c>
      <c r="N335" s="20" t="s">
        <v>4665</v>
      </c>
      <c r="O335" s="6" t="s">
        <v>751</v>
      </c>
      <c r="P335" s="239" t="s">
        <v>4530</v>
      </c>
      <c r="Q335" s="33" t="n">
        <f aca="false">Calib!H13</f>
        <v>1</v>
      </c>
      <c r="R335" s="184" t="n">
        <f aca="false">SRC_PERF_014_MTP</f>
        <v>1</v>
      </c>
      <c r="S335" s="44" t="str">
        <f aca="false">IF(ISNUMBER($AF335),INDEX(IDX_SrcStat,$AF335),"—")</f>
        <v>Active</v>
      </c>
      <c r="T335" s="44" t="n">
        <f aca="false">IF(ISNUMBER($AF335),INDEX(IDX_SrcGrade,$AF335),"—")</f>
        <v>1</v>
      </c>
      <c r="U335" s="44" t="s">
        <v>4564</v>
      </c>
      <c r="V335" s="32" t="n">
        <f aca="false">IF(AND($F335="原始數據",$U335&lt;&gt;"連結 SRC"),1,0)</f>
        <v>0</v>
      </c>
      <c r="W335" s="32" t="n">
        <f aca="false">IF(AND($F335="Analogy",OR($H335="—",$H335="")),1,0)</f>
        <v>0</v>
      </c>
      <c r="X335" s="32" t="n">
        <f aca="false">IF(AND(OR($F335="Analogy",$F335="Assumed"),$G335&lt;&gt;"低",$G335&lt;&gt;"高",NOT(ISNUMBER($K335)),NOT(ISNUMBER($L335)),OR($M335="—",$M335="")),1,0)</f>
        <v>0</v>
      </c>
      <c r="Y335" s="32" t="n">
        <f aca="false">IF(AND(OR($F335="Analogy",$F335="Assumed",$F335="Derived（待改公式）",$F335="Derived（公式）"),OR($N335="—",$N335="",$N335=0)),1,0)</f>
        <v>0</v>
      </c>
      <c r="Z335" s="32" t="n">
        <f aca="false">IF(AND($F335="Decision",OR($J335="—",$J335="")),1,0)</f>
        <v>0</v>
      </c>
      <c r="AA335" s="33" t="n">
        <f aca="false">IF(OR($J335="—",$J335=""),0,IF(COUNTIF(Decisions!$A$5:$A$300,$J335)=0,1,0))</f>
        <v>0</v>
      </c>
      <c r="AB335" s="32" t="n">
        <f aca="false">IF(AND($F335="原始數據",$S335&lt;&gt;"Active"),1,0)</f>
        <v>0</v>
      </c>
      <c r="AC335" s="32" t="n">
        <f aca="false">IF(AND(ISNUMBER($K335),ISNUMBER($L335),ISNUMBER($Q335)),IF(OR($Q335&lt;MIN($K335,$L335),$Q335&gt;MAX($K335,$L335)),1,0),0)</f>
        <v>0</v>
      </c>
      <c r="AD335" s="32" t="n">
        <f aca="false">IF(AND(ISNUMBER($T335),$P335="高"),IF($T335=3,1,0),0)</f>
        <v>0</v>
      </c>
      <c r="AE335" s="32" t="n">
        <f aca="false">IF($S335="不存在",1,0)</f>
        <v>0</v>
      </c>
      <c r="AF335" s="44" t="n">
        <f aca="false">IF(OR($H335="—",$H335=""),"—",MATCH($H335,IDX_SrcID,0))</f>
        <v>308</v>
      </c>
      <c r="AG335" s="32" t="n">
        <f aca="false">IF(AND($P335="高",OR($AD335=1,$X335=1)),1,0)</f>
        <v>0</v>
      </c>
      <c r="AH335" s="32" t="n">
        <f aca="false">IF(AND($P335="高",$AG335=0,OR($F335&lt;&gt;"原始數據",$T335&lt;&gt;1)),1,0)</f>
        <v>0</v>
      </c>
      <c r="AI335" s="44" t="str">
        <f aca="false">IF(AND($P335="高",ISNUMBER($AF335)),INDEX(IDX_SrcDate,$AF335),"—")</f>
        <v>—</v>
      </c>
      <c r="AJ335" s="32" t="n">
        <f aca="false">IF(AND(ISTEXT($AI335),LEN($AI335)=10),IF(ISNUMBER(VALUE(SUBSTITUTE($AI335,"-",""))),VALUE(SUBSTITUTE($AI335,"-","")),0),0)</f>
        <v>0</v>
      </c>
    </row>
    <row r="336" customFormat="false" ht="15" hidden="false" customHeight="true" outlineLevel="0" collapsed="false">
      <c r="A336" s="30" t="s">
        <v>5331</v>
      </c>
      <c r="B336" s="239" t="s">
        <v>4525</v>
      </c>
      <c r="C336" s="30" t="s">
        <v>5280</v>
      </c>
      <c r="D336" s="30" t="s">
        <v>5332</v>
      </c>
      <c r="E336" s="20" t="s">
        <v>479</v>
      </c>
      <c r="F336" s="239" t="s">
        <v>348</v>
      </c>
      <c r="G336" s="239" t="s">
        <v>4527</v>
      </c>
      <c r="H336" s="30" t="s">
        <v>5330</v>
      </c>
      <c r="I336" s="20" t="s">
        <v>4562</v>
      </c>
      <c r="J336" s="30" t="s">
        <v>751</v>
      </c>
      <c r="K336" s="239"/>
      <c r="L336" s="239"/>
      <c r="M336" s="30" t="s">
        <v>751</v>
      </c>
      <c r="N336" s="20" t="s">
        <v>4665</v>
      </c>
      <c r="O336" s="6" t="s">
        <v>751</v>
      </c>
      <c r="P336" s="239" t="s">
        <v>1309</v>
      </c>
      <c r="Q336" s="49" t="n">
        <f aca="false">Calib!H14</f>
        <v>110</v>
      </c>
      <c r="R336" s="184" t="n">
        <f aca="false">SRC_PERF_014_Spd</f>
        <v>110</v>
      </c>
      <c r="S336" s="44" t="str">
        <f aca="false">IF(ISNUMBER($AF336),INDEX(IDX_SrcStat,$AF336),"—")</f>
        <v>Active</v>
      </c>
      <c r="T336" s="44" t="n">
        <f aca="false">IF(ISNUMBER($AF336),INDEX(IDX_SrcGrade,$AF336),"—")</f>
        <v>1</v>
      </c>
      <c r="U336" s="44" t="s">
        <v>4564</v>
      </c>
      <c r="V336" s="32" t="n">
        <f aca="false">IF(AND($F336="原始數據",$U336&lt;&gt;"連結 SRC"),1,0)</f>
        <v>0</v>
      </c>
      <c r="W336" s="32" t="n">
        <f aca="false">IF(AND($F336="Analogy",OR($H336="—",$H336="")),1,0)</f>
        <v>0</v>
      </c>
      <c r="X336" s="32" t="n">
        <f aca="false">IF(AND(OR($F336="Analogy",$F336="Assumed"),$G336&lt;&gt;"低",$G336&lt;&gt;"高",NOT(ISNUMBER($K336)),NOT(ISNUMBER($L336)),OR($M336="—",$M336="")),1,0)</f>
        <v>0</v>
      </c>
      <c r="Y336" s="32" t="n">
        <f aca="false">IF(AND(OR($F336="Analogy",$F336="Assumed",$F336="Derived（待改公式）",$F336="Derived（公式）"),OR($N336="—",$N336="",$N336=0)),1,0)</f>
        <v>0</v>
      </c>
      <c r="Z336" s="32" t="n">
        <f aca="false">IF(AND($F336="Decision",OR($J336="—",$J336="")),1,0)</f>
        <v>0</v>
      </c>
      <c r="AA336" s="33" t="n">
        <f aca="false">IF(OR($J336="—",$J336=""),0,IF(COUNTIF(Decisions!$A$5:$A$300,$J336)=0,1,0))</f>
        <v>0</v>
      </c>
      <c r="AB336" s="32" t="n">
        <f aca="false">IF(AND($F336="原始數據",$S336&lt;&gt;"Active"),1,0)</f>
        <v>0</v>
      </c>
      <c r="AC336" s="32" t="n">
        <f aca="false">IF(AND(ISNUMBER($K336),ISNUMBER($L336),ISNUMBER($Q336)),IF(OR($Q336&lt;MIN($K336,$L336),$Q336&gt;MAX($K336,$L336)),1,0),0)</f>
        <v>0</v>
      </c>
      <c r="AD336" s="32" t="n">
        <f aca="false">IF(AND(ISNUMBER($T336),$P336="高"),IF($T336=3,1,0),0)</f>
        <v>0</v>
      </c>
      <c r="AE336" s="32" t="n">
        <f aca="false">IF($S336="不存在",1,0)</f>
        <v>0</v>
      </c>
      <c r="AF336" s="44" t="n">
        <f aca="false">IF(OR($H336="—",$H336=""),"—",MATCH($H336,IDX_SrcID,0))</f>
        <v>308</v>
      </c>
      <c r="AG336" s="32" t="n">
        <f aca="false">IF(AND($P336="高",OR($AD336=1,$X336=1)),1,0)</f>
        <v>0</v>
      </c>
      <c r="AH336" s="32" t="n">
        <f aca="false">IF(AND($P336="高",$AG336=0,OR($F336&lt;&gt;"原始數據",$T336&lt;&gt;1)),1,0)</f>
        <v>0</v>
      </c>
      <c r="AI336" s="44" t="str">
        <f aca="false">IF(AND($P336="高",ISNUMBER($AF336)),INDEX(IDX_SrcDate,$AF336),"—")</f>
        <v>—</v>
      </c>
      <c r="AJ336" s="32" t="n">
        <f aca="false">IF(AND(ISTEXT($AI336),LEN($AI336)=10),IF(ISNUMBER(VALUE(SUBSTITUTE($AI336,"-",""))),VALUE(SUBSTITUTE($AI336,"-","")),0),0)</f>
        <v>0</v>
      </c>
    </row>
    <row r="337" customFormat="false" ht="15" hidden="false" customHeight="true" outlineLevel="0" collapsed="false">
      <c r="A337" s="30" t="s">
        <v>5333</v>
      </c>
      <c r="B337" s="239" t="s">
        <v>4525</v>
      </c>
      <c r="C337" s="30" t="s">
        <v>5280</v>
      </c>
      <c r="D337" s="30" t="s">
        <v>5334</v>
      </c>
      <c r="E337" s="6" t="s">
        <v>481</v>
      </c>
      <c r="F337" s="239" t="s">
        <v>348</v>
      </c>
      <c r="G337" s="239" t="s">
        <v>4527</v>
      </c>
      <c r="H337" s="30" t="s">
        <v>5330</v>
      </c>
      <c r="I337" s="20" t="s">
        <v>4562</v>
      </c>
      <c r="J337" s="30" t="s">
        <v>751</v>
      </c>
      <c r="K337" s="239"/>
      <c r="L337" s="239"/>
      <c r="M337" s="30" t="s">
        <v>751</v>
      </c>
      <c r="N337" s="20" t="s">
        <v>4665</v>
      </c>
      <c r="O337" s="6" t="s">
        <v>751</v>
      </c>
      <c r="P337" s="239" t="s">
        <v>1309</v>
      </c>
      <c r="Q337" s="49" t="n">
        <f aca="false">Calib!H15</f>
        <v>8192</v>
      </c>
      <c r="R337" s="184" t="n">
        <f aca="false">SRC_PERF_014_ISL</f>
        <v>8192</v>
      </c>
      <c r="S337" s="44" t="str">
        <f aca="false">IF(ISNUMBER($AF337),INDEX(IDX_SrcStat,$AF337),"—")</f>
        <v>Active</v>
      </c>
      <c r="T337" s="44" t="n">
        <f aca="false">IF(ISNUMBER($AF337),INDEX(IDX_SrcGrade,$AF337),"—")</f>
        <v>1</v>
      </c>
      <c r="U337" s="44" t="s">
        <v>4564</v>
      </c>
      <c r="V337" s="32" t="n">
        <f aca="false">IF(AND($F337="原始數據",$U337&lt;&gt;"連結 SRC"),1,0)</f>
        <v>0</v>
      </c>
      <c r="W337" s="32" t="n">
        <f aca="false">IF(AND($F337="Analogy",OR($H337="—",$H337="")),1,0)</f>
        <v>0</v>
      </c>
      <c r="X337" s="32" t="n">
        <f aca="false">IF(AND(OR($F337="Analogy",$F337="Assumed"),$G337&lt;&gt;"低",$G337&lt;&gt;"高",NOT(ISNUMBER($K337)),NOT(ISNUMBER($L337)),OR($M337="—",$M337="")),1,0)</f>
        <v>0</v>
      </c>
      <c r="Y337" s="32" t="n">
        <f aca="false">IF(AND(OR($F337="Analogy",$F337="Assumed",$F337="Derived（待改公式）",$F337="Derived（公式）"),OR($N337="—",$N337="",$N337=0)),1,0)</f>
        <v>0</v>
      </c>
      <c r="Z337" s="32" t="n">
        <f aca="false">IF(AND($F337="Decision",OR($J337="—",$J337="")),1,0)</f>
        <v>0</v>
      </c>
      <c r="AA337" s="33" t="n">
        <f aca="false">IF(OR($J337="—",$J337=""),0,IF(COUNTIF(Decisions!$A$5:$A$300,$J337)=0,1,0))</f>
        <v>0</v>
      </c>
      <c r="AB337" s="32" t="n">
        <f aca="false">IF(AND($F337="原始數據",$S337&lt;&gt;"Active"),1,0)</f>
        <v>0</v>
      </c>
      <c r="AC337" s="32" t="n">
        <f aca="false">IF(AND(ISNUMBER($K337),ISNUMBER($L337),ISNUMBER($Q337)),IF(OR($Q337&lt;MIN($K337,$L337),$Q337&gt;MAX($K337,$L337)),1,0),0)</f>
        <v>0</v>
      </c>
      <c r="AD337" s="32" t="n">
        <f aca="false">IF(AND(ISNUMBER($T337),$P337="高"),IF($T337=3,1,0),0)</f>
        <v>0</v>
      </c>
      <c r="AE337" s="32" t="n">
        <f aca="false">IF($S337="不存在",1,0)</f>
        <v>0</v>
      </c>
      <c r="AF337" s="44" t="n">
        <f aca="false">IF(OR($H337="—",$H337=""),"—",MATCH($H337,IDX_SrcID,0))</f>
        <v>308</v>
      </c>
      <c r="AG337" s="32" t="n">
        <f aca="false">IF(AND($P337="高",OR($AD337=1,$X337=1)),1,0)</f>
        <v>0</v>
      </c>
      <c r="AH337" s="32" t="n">
        <f aca="false">IF(AND($P337="高",$AG337=0,OR($F337&lt;&gt;"原始數據",$T337&lt;&gt;1)),1,0)</f>
        <v>0</v>
      </c>
      <c r="AI337" s="44" t="str">
        <f aca="false">IF(AND($P337="高",ISNUMBER($AF337)),INDEX(IDX_SrcDate,$AF337),"—")</f>
        <v>—</v>
      </c>
      <c r="AJ337" s="32" t="n">
        <f aca="false">IF(AND(ISTEXT($AI337),LEN($AI337)=10),IF(ISNUMBER(VALUE(SUBSTITUTE($AI337,"-",""))),VALUE(SUBSTITUTE($AI337,"-","")),0),0)</f>
        <v>0</v>
      </c>
    </row>
    <row r="338" customFormat="false" ht="15" hidden="false" customHeight="true" outlineLevel="0" collapsed="false">
      <c r="A338" s="30" t="s">
        <v>5335</v>
      </c>
      <c r="B338" s="239" t="s">
        <v>4525</v>
      </c>
      <c r="C338" s="30" t="s">
        <v>5280</v>
      </c>
      <c r="D338" s="30" t="s">
        <v>5336</v>
      </c>
      <c r="E338" s="6" t="s">
        <v>483</v>
      </c>
      <c r="F338" s="239" t="s">
        <v>348</v>
      </c>
      <c r="G338" s="239" t="s">
        <v>4527</v>
      </c>
      <c r="H338" s="30" t="s">
        <v>5330</v>
      </c>
      <c r="I338" s="20" t="s">
        <v>4562</v>
      </c>
      <c r="J338" s="30" t="s">
        <v>751</v>
      </c>
      <c r="K338" s="239"/>
      <c r="L338" s="239"/>
      <c r="M338" s="30" t="s">
        <v>751</v>
      </c>
      <c r="N338" s="20" t="s">
        <v>4665</v>
      </c>
      <c r="O338" s="6" t="s">
        <v>751</v>
      </c>
      <c r="P338" s="239" t="s">
        <v>1309</v>
      </c>
      <c r="Q338" s="49" t="n">
        <f aca="false">Calib!H16</f>
        <v>1024</v>
      </c>
      <c r="R338" s="184" t="n">
        <f aca="false">SRC_PERF_014_OSL</f>
        <v>1024</v>
      </c>
      <c r="S338" s="44" t="str">
        <f aca="false">IF(ISNUMBER($AF338),INDEX(IDX_SrcStat,$AF338),"—")</f>
        <v>Active</v>
      </c>
      <c r="T338" s="44" t="n">
        <f aca="false">IF(ISNUMBER($AF338),INDEX(IDX_SrcGrade,$AF338),"—")</f>
        <v>1</v>
      </c>
      <c r="U338" s="44" t="s">
        <v>4564</v>
      </c>
      <c r="V338" s="32" t="n">
        <f aca="false">IF(AND($F338="原始數據",$U338&lt;&gt;"連結 SRC"),1,0)</f>
        <v>0</v>
      </c>
      <c r="W338" s="32" t="n">
        <f aca="false">IF(AND($F338="Analogy",OR($H338="—",$H338="")),1,0)</f>
        <v>0</v>
      </c>
      <c r="X338" s="32" t="n">
        <f aca="false">IF(AND(OR($F338="Analogy",$F338="Assumed"),$G338&lt;&gt;"低",$G338&lt;&gt;"高",NOT(ISNUMBER($K338)),NOT(ISNUMBER($L338)),OR($M338="—",$M338="")),1,0)</f>
        <v>0</v>
      </c>
      <c r="Y338" s="32" t="n">
        <f aca="false">IF(AND(OR($F338="Analogy",$F338="Assumed",$F338="Derived（待改公式）",$F338="Derived（公式）"),OR($N338="—",$N338="",$N338=0)),1,0)</f>
        <v>0</v>
      </c>
      <c r="Z338" s="32" t="n">
        <f aca="false">IF(AND($F338="Decision",OR($J338="—",$J338="")),1,0)</f>
        <v>0</v>
      </c>
      <c r="AA338" s="33" t="n">
        <f aca="false">IF(OR($J338="—",$J338=""),0,IF(COUNTIF(Decisions!$A$5:$A$300,$J338)=0,1,0))</f>
        <v>0</v>
      </c>
      <c r="AB338" s="32" t="n">
        <f aca="false">IF(AND($F338="原始數據",$S338&lt;&gt;"Active"),1,0)</f>
        <v>0</v>
      </c>
      <c r="AC338" s="32" t="n">
        <f aca="false">IF(AND(ISNUMBER($K338),ISNUMBER($L338),ISNUMBER($Q338)),IF(OR($Q338&lt;MIN($K338,$L338),$Q338&gt;MAX($K338,$L338)),1,0),0)</f>
        <v>0</v>
      </c>
      <c r="AD338" s="32" t="n">
        <f aca="false">IF(AND(ISNUMBER($T338),$P338="高"),IF($T338=3,1,0),0)</f>
        <v>0</v>
      </c>
      <c r="AE338" s="32" t="n">
        <f aca="false">IF($S338="不存在",1,0)</f>
        <v>0</v>
      </c>
      <c r="AF338" s="44" t="n">
        <f aca="false">IF(OR($H338="—",$H338=""),"—",MATCH($H338,IDX_SrcID,0))</f>
        <v>308</v>
      </c>
      <c r="AG338" s="32" t="n">
        <f aca="false">IF(AND($P338="高",OR($AD338=1,$X338=1)),1,0)</f>
        <v>0</v>
      </c>
      <c r="AH338" s="32" t="n">
        <f aca="false">IF(AND($P338="高",$AG338=0,OR($F338&lt;&gt;"原始數據",$T338&lt;&gt;1)),1,0)</f>
        <v>0</v>
      </c>
      <c r="AI338" s="44" t="str">
        <f aca="false">IF(AND($P338="高",ISNUMBER($AF338)),INDEX(IDX_SrcDate,$AF338),"—")</f>
        <v>—</v>
      </c>
      <c r="AJ338" s="32" t="n">
        <f aca="false">IF(AND(ISTEXT($AI338),LEN($AI338)=10),IF(ISNUMBER(VALUE(SUBSTITUTE($AI338,"-",""))),VALUE(SUBSTITUTE($AI338,"-","")),0),0)</f>
        <v>0</v>
      </c>
    </row>
    <row r="339" customFormat="false" ht="15" hidden="false" customHeight="true" outlineLevel="0" collapsed="false">
      <c r="A339" s="30" t="s">
        <v>5337</v>
      </c>
      <c r="B339" s="239" t="s">
        <v>4525</v>
      </c>
      <c r="C339" s="30" t="s">
        <v>5280</v>
      </c>
      <c r="D339" s="30" t="s">
        <v>5338</v>
      </c>
      <c r="E339" s="20" t="s">
        <v>5295</v>
      </c>
      <c r="F339" s="239" t="s">
        <v>348</v>
      </c>
      <c r="G339" s="239" t="s">
        <v>4527</v>
      </c>
      <c r="H339" s="30" t="s">
        <v>5330</v>
      </c>
      <c r="I339" s="20" t="s">
        <v>4562</v>
      </c>
      <c r="J339" s="30" t="s">
        <v>751</v>
      </c>
      <c r="K339" s="239"/>
      <c r="L339" s="239"/>
      <c r="M339" s="30" t="s">
        <v>751</v>
      </c>
      <c r="N339" s="20" t="s">
        <v>4665</v>
      </c>
      <c r="O339" s="6" t="s">
        <v>751</v>
      </c>
      <c r="P339" s="239" t="s">
        <v>1309</v>
      </c>
      <c r="Q339" s="49" t="n">
        <f aca="false">Calib!H17</f>
        <v>3795.5</v>
      </c>
      <c r="R339" s="184" t="n">
        <f aca="false">SRC_PERF_014</f>
        <v>3795.5</v>
      </c>
      <c r="S339" s="44" t="str">
        <f aca="false">IF(ISNUMBER($AF339),INDEX(IDX_SrcStat,$AF339),"—")</f>
        <v>Active</v>
      </c>
      <c r="T339" s="44" t="n">
        <f aca="false">IF(ISNUMBER($AF339),INDEX(IDX_SrcGrade,$AF339),"—")</f>
        <v>1</v>
      </c>
      <c r="U339" s="44" t="s">
        <v>4564</v>
      </c>
      <c r="V339" s="32" t="n">
        <f aca="false">IF(AND($F339="原始數據",$U339&lt;&gt;"連結 SRC"),1,0)</f>
        <v>0</v>
      </c>
      <c r="W339" s="32" t="n">
        <f aca="false">IF(AND($F339="Analogy",OR($H339="—",$H339="")),1,0)</f>
        <v>0</v>
      </c>
      <c r="X339" s="32" t="n">
        <f aca="false">IF(AND(OR($F339="Analogy",$F339="Assumed"),$G339&lt;&gt;"低",$G339&lt;&gt;"高",NOT(ISNUMBER($K339)),NOT(ISNUMBER($L339)),OR($M339="—",$M339="")),1,0)</f>
        <v>0</v>
      </c>
      <c r="Y339" s="32" t="n">
        <f aca="false">IF(AND(OR($F339="Analogy",$F339="Assumed",$F339="Derived（待改公式）",$F339="Derived（公式）"),OR($N339="—",$N339="",$N339=0)),1,0)</f>
        <v>0</v>
      </c>
      <c r="Z339" s="32" t="n">
        <f aca="false">IF(AND($F339="Decision",OR($J339="—",$J339="")),1,0)</f>
        <v>0</v>
      </c>
      <c r="AA339" s="33" t="n">
        <f aca="false">IF(OR($J339="—",$J339=""),0,IF(COUNTIF(Decisions!$A$5:$A$300,$J339)=0,1,0))</f>
        <v>0</v>
      </c>
      <c r="AB339" s="32" t="n">
        <f aca="false">IF(AND($F339="原始數據",$S339&lt;&gt;"Active"),1,0)</f>
        <v>0</v>
      </c>
      <c r="AC339" s="32" t="n">
        <f aca="false">IF(AND(ISNUMBER($K339),ISNUMBER($L339),ISNUMBER($Q339)),IF(OR($Q339&lt;MIN($K339,$L339),$Q339&gt;MAX($K339,$L339)),1,0),0)</f>
        <v>0</v>
      </c>
      <c r="AD339" s="32" t="n">
        <f aca="false">IF(AND(ISNUMBER($T339),$P339="高"),IF($T339=3,1,0),0)</f>
        <v>0</v>
      </c>
      <c r="AE339" s="32" t="n">
        <f aca="false">IF($S339="不存在",1,0)</f>
        <v>0</v>
      </c>
      <c r="AF339" s="44" t="n">
        <f aca="false">IF(OR($H339="—",$H339=""),"—",MATCH($H339,IDX_SrcID,0))</f>
        <v>308</v>
      </c>
      <c r="AG339" s="32" t="n">
        <f aca="false">IF(AND($P339="高",OR($AD339=1,$X339=1)),1,0)</f>
        <v>0</v>
      </c>
      <c r="AH339" s="32" t="n">
        <f aca="false">IF(AND($P339="高",$AG339=0,OR($F339&lt;&gt;"原始數據",$T339&lt;&gt;1)),1,0)</f>
        <v>0</v>
      </c>
      <c r="AI339" s="44" t="str">
        <f aca="false">IF(AND($P339="高",ISNUMBER($AF339)),INDEX(IDX_SrcDate,$AF339),"—")</f>
        <v>—</v>
      </c>
      <c r="AJ339" s="32" t="n">
        <f aca="false">IF(AND(ISTEXT($AI339),LEN($AI339)=10),IF(ISNUMBER(VALUE(SUBSTITUTE($AI339,"-",""))),VALUE(SUBSTITUTE($AI339,"-","")),0),0)</f>
        <v>0</v>
      </c>
    </row>
    <row r="340" customFormat="false" ht="15" hidden="false" customHeight="true" outlineLevel="0" collapsed="false">
      <c r="A340" s="30" t="s">
        <v>5339</v>
      </c>
      <c r="B340" s="239" t="s">
        <v>4525</v>
      </c>
      <c r="C340" s="30" t="s">
        <v>5280</v>
      </c>
      <c r="D340" s="30" t="s">
        <v>5340</v>
      </c>
      <c r="E340" s="6" t="s">
        <v>477</v>
      </c>
      <c r="F340" s="239" t="s">
        <v>348</v>
      </c>
      <c r="G340" s="239" t="s">
        <v>4527</v>
      </c>
      <c r="H340" s="30" t="s">
        <v>5341</v>
      </c>
      <c r="I340" s="20" t="s">
        <v>4562</v>
      </c>
      <c r="J340" s="30" t="s">
        <v>751</v>
      </c>
      <c r="K340" s="239"/>
      <c r="L340" s="239"/>
      <c r="M340" s="30" t="s">
        <v>751</v>
      </c>
      <c r="N340" s="20" t="s">
        <v>4665</v>
      </c>
      <c r="O340" s="6" t="s">
        <v>751</v>
      </c>
      <c r="P340" s="239" t="s">
        <v>4530</v>
      </c>
      <c r="Q340" s="33" t="n">
        <f aca="false">Calib!I13</f>
        <v>1</v>
      </c>
      <c r="R340" s="184" t="n">
        <f aca="false">SRC_PERF_015_MTP</f>
        <v>1</v>
      </c>
      <c r="S340" s="44" t="str">
        <f aca="false">IF(ISNUMBER($AF340),INDEX(IDX_SrcStat,$AF340),"—")</f>
        <v>Active</v>
      </c>
      <c r="T340" s="44" t="n">
        <f aca="false">IF(ISNUMBER($AF340),INDEX(IDX_SrcGrade,$AF340),"—")</f>
        <v>1</v>
      </c>
      <c r="U340" s="44" t="s">
        <v>4564</v>
      </c>
      <c r="V340" s="32" t="n">
        <f aca="false">IF(AND($F340="原始數據",$U340&lt;&gt;"連結 SRC"),1,0)</f>
        <v>0</v>
      </c>
      <c r="W340" s="32" t="n">
        <f aca="false">IF(AND($F340="Analogy",OR($H340="—",$H340="")),1,0)</f>
        <v>0</v>
      </c>
      <c r="X340" s="32" t="n">
        <f aca="false">IF(AND(OR($F340="Analogy",$F340="Assumed"),$G340&lt;&gt;"低",$G340&lt;&gt;"高",NOT(ISNUMBER($K340)),NOT(ISNUMBER($L340)),OR($M340="—",$M340="")),1,0)</f>
        <v>0</v>
      </c>
      <c r="Y340" s="32" t="n">
        <f aca="false">IF(AND(OR($F340="Analogy",$F340="Assumed",$F340="Derived（待改公式）",$F340="Derived（公式）"),OR($N340="—",$N340="",$N340=0)),1,0)</f>
        <v>0</v>
      </c>
      <c r="Z340" s="32" t="n">
        <f aca="false">IF(AND($F340="Decision",OR($J340="—",$J340="")),1,0)</f>
        <v>0</v>
      </c>
      <c r="AA340" s="33" t="n">
        <f aca="false">IF(OR($J340="—",$J340=""),0,IF(COUNTIF(Decisions!$A$5:$A$300,$J340)=0,1,0))</f>
        <v>0</v>
      </c>
      <c r="AB340" s="32" t="n">
        <f aca="false">IF(AND($F340="原始數據",$S340&lt;&gt;"Active"),1,0)</f>
        <v>0</v>
      </c>
      <c r="AC340" s="32" t="n">
        <f aca="false">IF(AND(ISNUMBER($K340),ISNUMBER($L340),ISNUMBER($Q340)),IF(OR($Q340&lt;MIN($K340,$L340),$Q340&gt;MAX($K340,$L340)),1,0),0)</f>
        <v>0</v>
      </c>
      <c r="AD340" s="32" t="n">
        <f aca="false">IF(AND(ISNUMBER($T340),$P340="高"),IF($T340=3,1,0),0)</f>
        <v>0</v>
      </c>
      <c r="AE340" s="32" t="n">
        <f aca="false">IF($S340="不存在",1,0)</f>
        <v>0</v>
      </c>
      <c r="AF340" s="44" t="n">
        <f aca="false">IF(OR($H340="—",$H340=""),"—",MATCH($H340,IDX_SrcID,0))</f>
        <v>309</v>
      </c>
      <c r="AG340" s="32" t="n">
        <f aca="false">IF(AND($P340="高",OR($AD340=1,$X340=1)),1,0)</f>
        <v>0</v>
      </c>
      <c r="AH340" s="32" t="n">
        <f aca="false">IF(AND($P340="高",$AG340=0,OR($F340&lt;&gt;"原始數據",$T340&lt;&gt;1)),1,0)</f>
        <v>0</v>
      </c>
      <c r="AI340" s="44" t="str">
        <f aca="false">IF(AND($P340="高",ISNUMBER($AF340)),INDEX(IDX_SrcDate,$AF340),"—")</f>
        <v>—</v>
      </c>
      <c r="AJ340" s="32" t="n">
        <f aca="false">IF(AND(ISTEXT($AI340),LEN($AI340)=10),IF(ISNUMBER(VALUE(SUBSTITUTE($AI340,"-",""))),VALUE(SUBSTITUTE($AI340,"-","")),0),0)</f>
        <v>0</v>
      </c>
    </row>
    <row r="341" customFormat="false" ht="15" hidden="false" customHeight="true" outlineLevel="0" collapsed="false">
      <c r="A341" s="30" t="s">
        <v>5342</v>
      </c>
      <c r="B341" s="239" t="s">
        <v>4525</v>
      </c>
      <c r="C341" s="30" t="s">
        <v>5280</v>
      </c>
      <c r="D341" s="30" t="s">
        <v>5343</v>
      </c>
      <c r="E341" s="20" t="s">
        <v>479</v>
      </c>
      <c r="F341" s="239" t="s">
        <v>348</v>
      </c>
      <c r="G341" s="239" t="s">
        <v>4527</v>
      </c>
      <c r="H341" s="30" t="s">
        <v>5341</v>
      </c>
      <c r="I341" s="20" t="s">
        <v>4562</v>
      </c>
      <c r="J341" s="30" t="s">
        <v>751</v>
      </c>
      <c r="K341" s="239"/>
      <c r="L341" s="239"/>
      <c r="M341" s="30" t="s">
        <v>751</v>
      </c>
      <c r="N341" s="20" t="s">
        <v>4665</v>
      </c>
      <c r="O341" s="6" t="s">
        <v>751</v>
      </c>
      <c r="P341" s="239" t="s">
        <v>1309</v>
      </c>
      <c r="Q341" s="49" t="n">
        <f aca="false">Calib!I14</f>
        <v>110</v>
      </c>
      <c r="R341" s="184" t="n">
        <f aca="false">SRC_PERF_015_Spd</f>
        <v>110</v>
      </c>
      <c r="S341" s="44" t="str">
        <f aca="false">IF(ISNUMBER($AF341),INDEX(IDX_SrcStat,$AF341),"—")</f>
        <v>Active</v>
      </c>
      <c r="T341" s="44" t="n">
        <f aca="false">IF(ISNUMBER($AF341),INDEX(IDX_SrcGrade,$AF341),"—")</f>
        <v>1</v>
      </c>
      <c r="U341" s="44" t="s">
        <v>4564</v>
      </c>
      <c r="V341" s="32" t="n">
        <f aca="false">IF(AND($F341="原始數據",$U341&lt;&gt;"連結 SRC"),1,0)</f>
        <v>0</v>
      </c>
      <c r="W341" s="32" t="n">
        <f aca="false">IF(AND($F341="Analogy",OR($H341="—",$H341="")),1,0)</f>
        <v>0</v>
      </c>
      <c r="X341" s="32" t="n">
        <f aca="false">IF(AND(OR($F341="Analogy",$F341="Assumed"),$G341&lt;&gt;"低",$G341&lt;&gt;"高",NOT(ISNUMBER($K341)),NOT(ISNUMBER($L341)),OR($M341="—",$M341="")),1,0)</f>
        <v>0</v>
      </c>
      <c r="Y341" s="32" t="n">
        <f aca="false">IF(AND(OR($F341="Analogy",$F341="Assumed",$F341="Derived（待改公式）",$F341="Derived（公式）"),OR($N341="—",$N341="",$N341=0)),1,0)</f>
        <v>0</v>
      </c>
      <c r="Z341" s="32" t="n">
        <f aca="false">IF(AND($F341="Decision",OR($J341="—",$J341="")),1,0)</f>
        <v>0</v>
      </c>
      <c r="AA341" s="33" t="n">
        <f aca="false">IF(OR($J341="—",$J341=""),0,IF(COUNTIF(Decisions!$A$5:$A$300,$J341)=0,1,0))</f>
        <v>0</v>
      </c>
      <c r="AB341" s="32" t="n">
        <f aca="false">IF(AND($F341="原始數據",$S341&lt;&gt;"Active"),1,0)</f>
        <v>0</v>
      </c>
      <c r="AC341" s="32" t="n">
        <f aca="false">IF(AND(ISNUMBER($K341),ISNUMBER($L341),ISNUMBER($Q341)),IF(OR($Q341&lt;MIN($K341,$L341),$Q341&gt;MAX($K341,$L341)),1,0),0)</f>
        <v>0</v>
      </c>
      <c r="AD341" s="32" t="n">
        <f aca="false">IF(AND(ISNUMBER($T341),$P341="高"),IF($T341=3,1,0),0)</f>
        <v>0</v>
      </c>
      <c r="AE341" s="32" t="n">
        <f aca="false">IF($S341="不存在",1,0)</f>
        <v>0</v>
      </c>
      <c r="AF341" s="44" t="n">
        <f aca="false">IF(OR($H341="—",$H341=""),"—",MATCH($H341,IDX_SrcID,0))</f>
        <v>309</v>
      </c>
      <c r="AG341" s="32" t="n">
        <f aca="false">IF(AND($P341="高",OR($AD341=1,$X341=1)),1,0)</f>
        <v>0</v>
      </c>
      <c r="AH341" s="32" t="n">
        <f aca="false">IF(AND($P341="高",$AG341=0,OR($F341&lt;&gt;"原始數據",$T341&lt;&gt;1)),1,0)</f>
        <v>0</v>
      </c>
      <c r="AI341" s="44" t="str">
        <f aca="false">IF(AND($P341="高",ISNUMBER($AF341)),INDEX(IDX_SrcDate,$AF341),"—")</f>
        <v>—</v>
      </c>
      <c r="AJ341" s="32" t="n">
        <f aca="false">IF(AND(ISTEXT($AI341),LEN($AI341)=10),IF(ISNUMBER(VALUE(SUBSTITUTE($AI341,"-",""))),VALUE(SUBSTITUTE($AI341,"-","")),0),0)</f>
        <v>0</v>
      </c>
    </row>
    <row r="342" customFormat="false" ht="15" hidden="false" customHeight="true" outlineLevel="0" collapsed="false">
      <c r="A342" s="30" t="s">
        <v>5344</v>
      </c>
      <c r="B342" s="239" t="s">
        <v>4525</v>
      </c>
      <c r="C342" s="30" t="s">
        <v>5280</v>
      </c>
      <c r="D342" s="30" t="s">
        <v>5345</v>
      </c>
      <c r="E342" s="6" t="s">
        <v>481</v>
      </c>
      <c r="F342" s="239" t="s">
        <v>348</v>
      </c>
      <c r="G342" s="239" t="s">
        <v>4527</v>
      </c>
      <c r="H342" s="30" t="s">
        <v>5341</v>
      </c>
      <c r="I342" s="20" t="s">
        <v>4562</v>
      </c>
      <c r="J342" s="30" t="s">
        <v>751</v>
      </c>
      <c r="K342" s="239"/>
      <c r="L342" s="239"/>
      <c r="M342" s="30" t="s">
        <v>751</v>
      </c>
      <c r="N342" s="20" t="s">
        <v>4665</v>
      </c>
      <c r="O342" s="6" t="s">
        <v>751</v>
      </c>
      <c r="P342" s="239" t="s">
        <v>1309</v>
      </c>
      <c r="Q342" s="49" t="n">
        <f aca="false">Calib!I15</f>
        <v>8192</v>
      </c>
      <c r="R342" s="184" t="n">
        <f aca="false">SRC_PERF_015_ISL</f>
        <v>8192</v>
      </c>
      <c r="S342" s="44" t="str">
        <f aca="false">IF(ISNUMBER($AF342),INDEX(IDX_SrcStat,$AF342),"—")</f>
        <v>Active</v>
      </c>
      <c r="T342" s="44" t="n">
        <f aca="false">IF(ISNUMBER($AF342),INDEX(IDX_SrcGrade,$AF342),"—")</f>
        <v>1</v>
      </c>
      <c r="U342" s="44" t="s">
        <v>4564</v>
      </c>
      <c r="V342" s="32" t="n">
        <f aca="false">IF(AND($F342="原始數據",$U342&lt;&gt;"連結 SRC"),1,0)</f>
        <v>0</v>
      </c>
      <c r="W342" s="32" t="n">
        <f aca="false">IF(AND($F342="Analogy",OR($H342="—",$H342="")),1,0)</f>
        <v>0</v>
      </c>
      <c r="X342" s="32" t="n">
        <f aca="false">IF(AND(OR($F342="Analogy",$F342="Assumed"),$G342&lt;&gt;"低",$G342&lt;&gt;"高",NOT(ISNUMBER($K342)),NOT(ISNUMBER($L342)),OR($M342="—",$M342="")),1,0)</f>
        <v>0</v>
      </c>
      <c r="Y342" s="32" t="n">
        <f aca="false">IF(AND(OR($F342="Analogy",$F342="Assumed",$F342="Derived（待改公式）",$F342="Derived（公式）"),OR($N342="—",$N342="",$N342=0)),1,0)</f>
        <v>0</v>
      </c>
      <c r="Z342" s="32" t="n">
        <f aca="false">IF(AND($F342="Decision",OR($J342="—",$J342="")),1,0)</f>
        <v>0</v>
      </c>
      <c r="AA342" s="33" t="n">
        <f aca="false">IF(OR($J342="—",$J342=""),0,IF(COUNTIF(Decisions!$A$5:$A$300,$J342)=0,1,0))</f>
        <v>0</v>
      </c>
      <c r="AB342" s="32" t="n">
        <f aca="false">IF(AND($F342="原始數據",$S342&lt;&gt;"Active"),1,0)</f>
        <v>0</v>
      </c>
      <c r="AC342" s="32" t="n">
        <f aca="false">IF(AND(ISNUMBER($K342),ISNUMBER($L342),ISNUMBER($Q342)),IF(OR($Q342&lt;MIN($K342,$L342),$Q342&gt;MAX($K342,$L342)),1,0),0)</f>
        <v>0</v>
      </c>
      <c r="AD342" s="32" t="n">
        <f aca="false">IF(AND(ISNUMBER($T342),$P342="高"),IF($T342=3,1,0),0)</f>
        <v>0</v>
      </c>
      <c r="AE342" s="32" t="n">
        <f aca="false">IF($S342="不存在",1,0)</f>
        <v>0</v>
      </c>
      <c r="AF342" s="44" t="n">
        <f aca="false">IF(OR($H342="—",$H342=""),"—",MATCH($H342,IDX_SrcID,0))</f>
        <v>309</v>
      </c>
      <c r="AG342" s="32" t="n">
        <f aca="false">IF(AND($P342="高",OR($AD342=1,$X342=1)),1,0)</f>
        <v>0</v>
      </c>
      <c r="AH342" s="32" t="n">
        <f aca="false">IF(AND($P342="高",$AG342=0,OR($F342&lt;&gt;"原始數據",$T342&lt;&gt;1)),1,0)</f>
        <v>0</v>
      </c>
      <c r="AI342" s="44" t="str">
        <f aca="false">IF(AND($P342="高",ISNUMBER($AF342)),INDEX(IDX_SrcDate,$AF342),"—")</f>
        <v>—</v>
      </c>
      <c r="AJ342" s="32" t="n">
        <f aca="false">IF(AND(ISTEXT($AI342),LEN($AI342)=10),IF(ISNUMBER(VALUE(SUBSTITUTE($AI342,"-",""))),VALUE(SUBSTITUTE($AI342,"-","")),0),0)</f>
        <v>0</v>
      </c>
    </row>
    <row r="343" customFormat="false" ht="15" hidden="false" customHeight="true" outlineLevel="0" collapsed="false">
      <c r="A343" s="30" t="s">
        <v>5346</v>
      </c>
      <c r="B343" s="239" t="s">
        <v>4525</v>
      </c>
      <c r="C343" s="30" t="s">
        <v>5280</v>
      </c>
      <c r="D343" s="30" t="s">
        <v>5347</v>
      </c>
      <c r="E343" s="6" t="s">
        <v>483</v>
      </c>
      <c r="F343" s="239" t="s">
        <v>348</v>
      </c>
      <c r="G343" s="239" t="s">
        <v>4527</v>
      </c>
      <c r="H343" s="30" t="s">
        <v>5341</v>
      </c>
      <c r="I343" s="20" t="s">
        <v>4562</v>
      </c>
      <c r="J343" s="30" t="s">
        <v>751</v>
      </c>
      <c r="K343" s="239"/>
      <c r="L343" s="239"/>
      <c r="M343" s="30" t="s">
        <v>751</v>
      </c>
      <c r="N343" s="20" t="s">
        <v>4665</v>
      </c>
      <c r="O343" s="6" t="s">
        <v>751</v>
      </c>
      <c r="P343" s="239" t="s">
        <v>1309</v>
      </c>
      <c r="Q343" s="49" t="n">
        <f aca="false">Calib!I16</f>
        <v>1024</v>
      </c>
      <c r="R343" s="184" t="n">
        <f aca="false">SRC_PERF_015_OSL</f>
        <v>1024</v>
      </c>
      <c r="S343" s="44" t="str">
        <f aca="false">IF(ISNUMBER($AF343),INDEX(IDX_SrcStat,$AF343),"—")</f>
        <v>Active</v>
      </c>
      <c r="T343" s="44" t="n">
        <f aca="false">IF(ISNUMBER($AF343),INDEX(IDX_SrcGrade,$AF343),"—")</f>
        <v>1</v>
      </c>
      <c r="U343" s="44" t="s">
        <v>4564</v>
      </c>
      <c r="V343" s="32" t="n">
        <f aca="false">IF(AND($F343="原始數據",$U343&lt;&gt;"連結 SRC"),1,0)</f>
        <v>0</v>
      </c>
      <c r="W343" s="32" t="n">
        <f aca="false">IF(AND($F343="Analogy",OR($H343="—",$H343="")),1,0)</f>
        <v>0</v>
      </c>
      <c r="X343" s="32" t="n">
        <f aca="false">IF(AND(OR($F343="Analogy",$F343="Assumed"),$G343&lt;&gt;"低",$G343&lt;&gt;"高",NOT(ISNUMBER($K343)),NOT(ISNUMBER($L343)),OR($M343="—",$M343="")),1,0)</f>
        <v>0</v>
      </c>
      <c r="Y343" s="32" t="n">
        <f aca="false">IF(AND(OR($F343="Analogy",$F343="Assumed",$F343="Derived（待改公式）",$F343="Derived（公式）"),OR($N343="—",$N343="",$N343=0)),1,0)</f>
        <v>0</v>
      </c>
      <c r="Z343" s="32" t="n">
        <f aca="false">IF(AND($F343="Decision",OR($J343="—",$J343="")),1,0)</f>
        <v>0</v>
      </c>
      <c r="AA343" s="33" t="n">
        <f aca="false">IF(OR($J343="—",$J343=""),0,IF(COUNTIF(Decisions!$A$5:$A$300,$J343)=0,1,0))</f>
        <v>0</v>
      </c>
      <c r="AB343" s="32" t="n">
        <f aca="false">IF(AND($F343="原始數據",$S343&lt;&gt;"Active"),1,0)</f>
        <v>0</v>
      </c>
      <c r="AC343" s="32" t="n">
        <f aca="false">IF(AND(ISNUMBER($K343),ISNUMBER($L343),ISNUMBER($Q343)),IF(OR($Q343&lt;MIN($K343,$L343),$Q343&gt;MAX($K343,$L343)),1,0),0)</f>
        <v>0</v>
      </c>
      <c r="AD343" s="32" t="n">
        <f aca="false">IF(AND(ISNUMBER($T343),$P343="高"),IF($T343=3,1,0),0)</f>
        <v>0</v>
      </c>
      <c r="AE343" s="32" t="n">
        <f aca="false">IF($S343="不存在",1,0)</f>
        <v>0</v>
      </c>
      <c r="AF343" s="44" t="n">
        <f aca="false">IF(OR($H343="—",$H343=""),"—",MATCH($H343,IDX_SrcID,0))</f>
        <v>309</v>
      </c>
      <c r="AG343" s="32" t="n">
        <f aca="false">IF(AND($P343="高",OR($AD343=1,$X343=1)),1,0)</f>
        <v>0</v>
      </c>
      <c r="AH343" s="32" t="n">
        <f aca="false">IF(AND($P343="高",$AG343=0,OR($F343&lt;&gt;"原始數據",$T343&lt;&gt;1)),1,0)</f>
        <v>0</v>
      </c>
      <c r="AI343" s="44" t="str">
        <f aca="false">IF(AND($P343="高",ISNUMBER($AF343)),INDEX(IDX_SrcDate,$AF343),"—")</f>
        <v>—</v>
      </c>
      <c r="AJ343" s="32" t="n">
        <f aca="false">IF(AND(ISTEXT($AI343),LEN($AI343)=10),IF(ISNUMBER(VALUE(SUBSTITUTE($AI343,"-",""))),VALUE(SUBSTITUTE($AI343,"-","")),0),0)</f>
        <v>0</v>
      </c>
    </row>
    <row r="344" customFormat="false" ht="15" hidden="false" customHeight="true" outlineLevel="0" collapsed="false">
      <c r="A344" s="30" t="s">
        <v>5348</v>
      </c>
      <c r="B344" s="239" t="s">
        <v>4525</v>
      </c>
      <c r="C344" s="30" t="s">
        <v>5280</v>
      </c>
      <c r="D344" s="30" t="s">
        <v>5349</v>
      </c>
      <c r="E344" s="20" t="s">
        <v>5295</v>
      </c>
      <c r="F344" s="239" t="s">
        <v>348</v>
      </c>
      <c r="G344" s="239" t="s">
        <v>4527</v>
      </c>
      <c r="H344" s="30" t="s">
        <v>5341</v>
      </c>
      <c r="I344" s="20" t="s">
        <v>4562</v>
      </c>
      <c r="J344" s="30" t="s">
        <v>751</v>
      </c>
      <c r="K344" s="239"/>
      <c r="L344" s="239"/>
      <c r="M344" s="30" t="s">
        <v>751</v>
      </c>
      <c r="N344" s="20" t="s">
        <v>4665</v>
      </c>
      <c r="O344" s="6" t="s">
        <v>751</v>
      </c>
      <c r="P344" s="239" t="s">
        <v>1309</v>
      </c>
      <c r="Q344" s="49" t="n">
        <f aca="false">Calib!I17</f>
        <v>6522.4</v>
      </c>
      <c r="R344" s="184" t="n">
        <f aca="false">SRC_PERF_015</f>
        <v>6522.4</v>
      </c>
      <c r="S344" s="44" t="str">
        <f aca="false">IF(ISNUMBER($AF344),INDEX(IDX_SrcStat,$AF344),"—")</f>
        <v>Active</v>
      </c>
      <c r="T344" s="44" t="n">
        <f aca="false">IF(ISNUMBER($AF344),INDEX(IDX_SrcGrade,$AF344),"—")</f>
        <v>1</v>
      </c>
      <c r="U344" s="44" t="s">
        <v>4564</v>
      </c>
      <c r="V344" s="32" t="n">
        <f aca="false">IF(AND($F344="原始數據",$U344&lt;&gt;"連結 SRC"),1,0)</f>
        <v>0</v>
      </c>
      <c r="W344" s="32" t="n">
        <f aca="false">IF(AND($F344="Analogy",OR($H344="—",$H344="")),1,0)</f>
        <v>0</v>
      </c>
      <c r="X344" s="32" t="n">
        <f aca="false">IF(AND(OR($F344="Analogy",$F344="Assumed"),$G344&lt;&gt;"低",$G344&lt;&gt;"高",NOT(ISNUMBER($K344)),NOT(ISNUMBER($L344)),OR($M344="—",$M344="")),1,0)</f>
        <v>0</v>
      </c>
      <c r="Y344" s="32" t="n">
        <f aca="false">IF(AND(OR($F344="Analogy",$F344="Assumed",$F344="Derived（待改公式）",$F344="Derived（公式）"),OR($N344="—",$N344="",$N344=0)),1,0)</f>
        <v>0</v>
      </c>
      <c r="Z344" s="32" t="n">
        <f aca="false">IF(AND($F344="Decision",OR($J344="—",$J344="")),1,0)</f>
        <v>0</v>
      </c>
      <c r="AA344" s="33" t="n">
        <f aca="false">IF(OR($J344="—",$J344=""),0,IF(COUNTIF(Decisions!$A$5:$A$300,$J344)=0,1,0))</f>
        <v>0</v>
      </c>
      <c r="AB344" s="32" t="n">
        <f aca="false">IF(AND($F344="原始數據",$S344&lt;&gt;"Active"),1,0)</f>
        <v>0</v>
      </c>
      <c r="AC344" s="32" t="n">
        <f aca="false">IF(AND(ISNUMBER($K344),ISNUMBER($L344),ISNUMBER($Q344)),IF(OR($Q344&lt;MIN($K344,$L344),$Q344&gt;MAX($K344,$L344)),1,0),0)</f>
        <v>0</v>
      </c>
      <c r="AD344" s="32" t="n">
        <f aca="false">IF(AND(ISNUMBER($T344),$P344="高"),IF($T344=3,1,0),0)</f>
        <v>0</v>
      </c>
      <c r="AE344" s="32" t="n">
        <f aca="false">IF($S344="不存在",1,0)</f>
        <v>0</v>
      </c>
      <c r="AF344" s="44" t="n">
        <f aca="false">IF(OR($H344="—",$H344=""),"—",MATCH($H344,IDX_SrcID,0))</f>
        <v>309</v>
      </c>
      <c r="AG344" s="32" t="n">
        <f aca="false">IF(AND($P344="高",OR($AD344=1,$X344=1)),1,0)</f>
        <v>0</v>
      </c>
      <c r="AH344" s="32" t="n">
        <f aca="false">IF(AND($P344="高",$AG344=0,OR($F344&lt;&gt;"原始數據",$T344&lt;&gt;1)),1,0)</f>
        <v>0</v>
      </c>
      <c r="AI344" s="44" t="str">
        <f aca="false">IF(AND($P344="高",ISNUMBER($AF344)),INDEX(IDX_SrcDate,$AF344),"—")</f>
        <v>—</v>
      </c>
      <c r="AJ344" s="32" t="n">
        <f aca="false">IF(AND(ISTEXT($AI344),LEN($AI344)=10),IF(ISNUMBER(VALUE(SUBSTITUTE($AI344,"-",""))),VALUE(SUBSTITUTE($AI344,"-","")),0),0)</f>
        <v>0</v>
      </c>
    </row>
    <row r="345" customFormat="false" ht="100.5" hidden="false" customHeight="true" outlineLevel="0" collapsed="false">
      <c r="A345" s="30" t="s">
        <v>5350</v>
      </c>
      <c r="B345" s="239" t="s">
        <v>4525</v>
      </c>
      <c r="C345" s="30" t="s">
        <v>5280</v>
      </c>
      <c r="D345" s="30" t="s">
        <v>5351</v>
      </c>
      <c r="E345" s="6" t="s">
        <v>580</v>
      </c>
      <c r="F345" s="30" t="s">
        <v>162</v>
      </c>
      <c r="G345" s="239" t="s">
        <v>4527</v>
      </c>
      <c r="H345" s="30" t="s">
        <v>5352</v>
      </c>
      <c r="I345" s="20" t="s">
        <v>5353</v>
      </c>
      <c r="J345" s="30" t="s">
        <v>751</v>
      </c>
      <c r="K345" s="241" t="n">
        <v>0.8</v>
      </c>
      <c r="L345" s="241" t="n">
        <v>1.6</v>
      </c>
      <c r="M345" s="30" t="s">
        <v>5354</v>
      </c>
      <c r="N345" s="240" t="str">
        <f aca="false">Calib!$J$67</f>
        <v>Derived（粗略）：k ≈ 峰值比 7.58 ÷ 實測比；MLPerf v5.1 推得 1.45–1.63，LMSYS／NVIDIA 推得約 1.1–1.3，InferenceX 約 0.8–1.0；區間 0.8–1.6（3A 查證 Q4）。原 1.5 為 v5.5 為使 Hopper 產出不變而倒推。GB200、VR200 沿用 GB300 [Analogy]；RU [Assumed]</v>
      </c>
      <c r="O345" s="6" t="s">
        <v>751</v>
      </c>
      <c r="P345" s="239" t="s">
        <v>1309</v>
      </c>
      <c r="Q345" s="192" t="n">
        <f aca="false">Calib!C67</f>
        <v>1.2</v>
      </c>
      <c r="R345" s="184" t="n">
        <f aca="false">SRC_PERF_042</f>
        <v>14800</v>
      </c>
      <c r="S345" s="44" t="str">
        <f aca="false">IF(ISNUMBER($AF345),INDEX(IDX_SrcStat,$AF345),"—")</f>
        <v>Active</v>
      </c>
      <c r="T345" s="44" t="n">
        <f aca="false">IF(ISNUMBER($AF345),INDEX(IDX_SrcGrade,$AF345),"—")</f>
        <v>1</v>
      </c>
      <c r="U345" s="44" t="s">
        <v>4531</v>
      </c>
      <c r="V345" s="32" t="n">
        <f aca="false">IF(AND($F345="原始數據",$U345&lt;&gt;"連結 SRC"),1,0)</f>
        <v>0</v>
      </c>
      <c r="W345" s="32" t="n">
        <f aca="false">IF(AND($F345="Analogy",OR($H345="—",$H345="")),1,0)</f>
        <v>0</v>
      </c>
      <c r="X345" s="32" t="n">
        <f aca="false">IF(AND(OR($F345="Analogy",$F345="Assumed"),$G345&lt;&gt;"低",$G345&lt;&gt;"高",NOT(ISNUMBER($K345)),NOT(ISNUMBER($L345)),OR($M345="—",$M345="")),1,0)</f>
        <v>0</v>
      </c>
      <c r="Y345" s="32" t="n">
        <f aca="false">IF(AND(OR($F345="Analogy",$F345="Assumed",$F345="Derived（待改公式）",$F345="Derived（公式）"),OR($N345="—",$N345="",$N345=0)),1,0)</f>
        <v>0</v>
      </c>
      <c r="Z345" s="32" t="n">
        <f aca="false">IF(AND($F345="Decision",OR($J345="—",$J345="")),1,0)</f>
        <v>0</v>
      </c>
      <c r="AA345" s="33" t="n">
        <f aca="false">IF(OR($J345="—",$J345=""),0,IF(COUNTIF(Decisions!$A$5:$A$300,$J345)=0,1,0))</f>
        <v>0</v>
      </c>
      <c r="AB345" s="32" t="n">
        <f aca="false">IF(AND($F345="原始數據",$S345&lt;&gt;"Active"),1,0)</f>
        <v>0</v>
      </c>
      <c r="AC345" s="32" t="n">
        <f aca="false">IF(AND(ISNUMBER($K345),ISNUMBER($L345),ISNUMBER($Q345)),IF(OR($Q345&lt;MIN($K345,$L345),$Q345&gt;MAX($K345,$L345)),1,0),0)</f>
        <v>0</v>
      </c>
      <c r="AD345" s="32" t="n">
        <f aca="false">IF(AND(ISNUMBER($T345),$P345="高"),IF($T345=3,1,0),0)</f>
        <v>0</v>
      </c>
      <c r="AE345" s="32" t="n">
        <f aca="false">IF($S345="不存在",1,0)</f>
        <v>0</v>
      </c>
      <c r="AF345" s="44" t="n">
        <f aca="false">IF(OR($H345="—",$H345=""),"—",MATCH($H345,IDX_SrcID,0))</f>
        <v>336</v>
      </c>
      <c r="AG345" s="32" t="n">
        <f aca="false">IF(AND($P345="高",OR($AD345=1,$X345=1)),1,0)</f>
        <v>0</v>
      </c>
      <c r="AH345" s="32" t="n">
        <f aca="false">IF(AND($P345="高",$AG345=0,OR($F345&lt;&gt;"原始數據",$T345&lt;&gt;1)),1,0)</f>
        <v>1</v>
      </c>
      <c r="AI345" s="44" t="str">
        <f aca="false">IF(AND($P345="高",ISNUMBER($AF345)),INDEX(IDX_SrcDate,$AF345),"—")</f>
        <v>—</v>
      </c>
      <c r="AJ345" s="32" t="n">
        <f aca="false">IF(AND(ISTEXT($AI345),LEN($AI345)=10),IF(ISNUMBER(VALUE(SUBSTITUTE($AI345,"-",""))),VALUE(SUBSTITUTE($AI345,"-","")),0),0)</f>
        <v>0</v>
      </c>
    </row>
    <row r="346" customFormat="false" ht="29.25" hidden="false" customHeight="true" outlineLevel="0" collapsed="false">
      <c r="A346" s="30" t="s">
        <v>5355</v>
      </c>
      <c r="B346" s="239" t="s">
        <v>4525</v>
      </c>
      <c r="C346" s="30" t="s">
        <v>5280</v>
      </c>
      <c r="D346" s="30" t="s">
        <v>5356</v>
      </c>
      <c r="E346" s="6" t="s">
        <v>580</v>
      </c>
      <c r="F346" s="30" t="s">
        <v>119</v>
      </c>
      <c r="G346" s="239" t="s">
        <v>4527</v>
      </c>
      <c r="H346" s="30" t="s">
        <v>5290</v>
      </c>
      <c r="I346" s="20" t="s">
        <v>5357</v>
      </c>
      <c r="J346" s="30" t="s">
        <v>751</v>
      </c>
      <c r="K346" s="241" t="n">
        <v>0.5</v>
      </c>
      <c r="L346" s="241" t="n">
        <v>1.5</v>
      </c>
      <c r="M346" s="30" t="s">
        <v>5358</v>
      </c>
      <c r="N346" s="20" t="s">
        <v>5359</v>
      </c>
      <c r="O346" s="6" t="s">
        <v>751</v>
      </c>
      <c r="P346" s="239" t="s">
        <v>1309</v>
      </c>
      <c r="Q346" s="192" t="n">
        <f aca="false">Calib!D67</f>
        <v>1</v>
      </c>
      <c r="R346" s="184" t="n">
        <f aca="false">SRC_PERF_009</f>
        <v>9342.1</v>
      </c>
      <c r="S346" s="44" t="str">
        <f aca="false">IF(ISNUMBER($AF346),INDEX(IDX_SrcStat,$AF346),"—")</f>
        <v>Active</v>
      </c>
      <c r="T346" s="44" t="n">
        <f aca="false">IF(ISNUMBER($AF346),INDEX(IDX_SrcGrade,$AF346),"—")</f>
        <v>2</v>
      </c>
      <c r="U346" s="44" t="s">
        <v>4531</v>
      </c>
      <c r="V346" s="32" t="n">
        <f aca="false">IF(AND($F346="原始數據",$U346&lt;&gt;"連結 SRC"),1,0)</f>
        <v>0</v>
      </c>
      <c r="W346" s="32" t="n">
        <f aca="false">IF(AND($F346="Analogy",OR($H346="—",$H346="")),1,0)</f>
        <v>0</v>
      </c>
      <c r="X346" s="32" t="n">
        <f aca="false">IF(AND(OR($F346="Analogy",$F346="Assumed"),$G346&lt;&gt;"低",$G346&lt;&gt;"高",NOT(ISNUMBER($K346)),NOT(ISNUMBER($L346)),OR($M346="—",$M346="")),1,0)</f>
        <v>0</v>
      </c>
      <c r="Y346" s="32" t="n">
        <f aca="false">IF(AND(OR($F346="Analogy",$F346="Assumed",$F346="Derived（待改公式）",$F346="Derived（公式）"),OR($N346="—",$N346="",$N346=0)),1,0)</f>
        <v>0</v>
      </c>
      <c r="Z346" s="32" t="n">
        <f aca="false">IF(AND($F346="Decision",OR($J346="—",$J346="")),1,0)</f>
        <v>0</v>
      </c>
      <c r="AA346" s="33" t="n">
        <f aca="false">IF(OR($J346="—",$J346=""),0,IF(COUNTIF(Decisions!$A$5:$A$300,$J346)=0,1,0))</f>
        <v>0</v>
      </c>
      <c r="AB346" s="32" t="n">
        <f aca="false">IF(AND($F346="原始數據",$S346&lt;&gt;"Active"),1,0)</f>
        <v>0</v>
      </c>
      <c r="AC346" s="32" t="n">
        <f aca="false">IF(AND(ISNUMBER($K346),ISNUMBER($L346),ISNUMBER($Q346)),IF(OR($Q346&lt;MIN($K346,$L346),$Q346&gt;MAX($K346,$L346)),1,0),0)</f>
        <v>0</v>
      </c>
      <c r="AD346" s="32" t="n">
        <f aca="false">IF(AND(ISNUMBER($T346),$P346="高"),IF($T346=3,1,0),0)</f>
        <v>0</v>
      </c>
      <c r="AE346" s="32" t="n">
        <f aca="false">IF($S346="不存在",1,0)</f>
        <v>0</v>
      </c>
      <c r="AF346" s="44" t="n">
        <f aca="false">IF(OR($H346="—",$H346=""),"—",MATCH($H346,IDX_SrcID,0))</f>
        <v>303</v>
      </c>
      <c r="AG346" s="32" t="n">
        <f aca="false">IF(AND($P346="高",OR($AD346=1,$X346=1)),1,0)</f>
        <v>0</v>
      </c>
      <c r="AH346" s="32" t="n">
        <f aca="false">IF(AND($P346="高",$AG346=0,OR($F346&lt;&gt;"原始數據",$T346&lt;&gt;1)),1,0)</f>
        <v>1</v>
      </c>
      <c r="AI346" s="44" t="str">
        <f aca="false">IF(AND($P346="高",ISNUMBER($AF346)),INDEX(IDX_SrcDate,$AF346),"—")</f>
        <v>2026-10-05</v>
      </c>
      <c r="AJ346" s="32" t="n">
        <f aca="false">IF(AND(ISTEXT($AI346),LEN($AI346)=10),IF(ISNUMBER(VALUE(SUBSTITUTE($AI346,"-",""))),VALUE(SUBSTITUTE($AI346,"-","")),0),0)</f>
        <v>20261005</v>
      </c>
    </row>
    <row r="347" customFormat="false" ht="29.25" hidden="false" customHeight="true" outlineLevel="0" collapsed="false">
      <c r="A347" s="30" t="s">
        <v>5360</v>
      </c>
      <c r="B347" s="239" t="s">
        <v>4525</v>
      </c>
      <c r="C347" s="30" t="s">
        <v>5280</v>
      </c>
      <c r="D347" s="30" t="s">
        <v>5361</v>
      </c>
      <c r="E347" s="6" t="s">
        <v>580</v>
      </c>
      <c r="F347" s="30" t="s">
        <v>119</v>
      </c>
      <c r="G347" s="239" t="s">
        <v>4527</v>
      </c>
      <c r="H347" s="30" t="s">
        <v>5290</v>
      </c>
      <c r="I347" s="20" t="s">
        <v>5357</v>
      </c>
      <c r="J347" s="30" t="s">
        <v>751</v>
      </c>
      <c r="K347" s="241" t="n">
        <v>0.5</v>
      </c>
      <c r="L347" s="241" t="n">
        <v>1.5</v>
      </c>
      <c r="M347" s="30" t="s">
        <v>5358</v>
      </c>
      <c r="N347" s="20" t="s">
        <v>5359</v>
      </c>
      <c r="O347" s="6" t="s">
        <v>751</v>
      </c>
      <c r="P347" s="239" t="s">
        <v>1309</v>
      </c>
      <c r="Q347" s="192" t="n">
        <f aca="false">Calib!E67</f>
        <v>1</v>
      </c>
      <c r="R347" s="184" t="n">
        <f aca="false">SRC_PERF_009</f>
        <v>9342.1</v>
      </c>
      <c r="S347" s="44" t="str">
        <f aca="false">IF(ISNUMBER($AF347),INDEX(IDX_SrcStat,$AF347),"—")</f>
        <v>Active</v>
      </c>
      <c r="T347" s="44" t="n">
        <f aca="false">IF(ISNUMBER($AF347),INDEX(IDX_SrcGrade,$AF347),"—")</f>
        <v>2</v>
      </c>
      <c r="U347" s="44" t="s">
        <v>4531</v>
      </c>
      <c r="V347" s="32" t="n">
        <f aca="false">IF(AND($F347="原始數據",$U347&lt;&gt;"連結 SRC"),1,0)</f>
        <v>0</v>
      </c>
      <c r="W347" s="32" t="n">
        <f aca="false">IF(AND($F347="Analogy",OR($H347="—",$H347="")),1,0)</f>
        <v>0</v>
      </c>
      <c r="X347" s="32" t="n">
        <f aca="false">IF(AND(OR($F347="Analogy",$F347="Assumed"),$G347&lt;&gt;"低",$G347&lt;&gt;"高",NOT(ISNUMBER($K347)),NOT(ISNUMBER($L347)),OR($M347="—",$M347="")),1,0)</f>
        <v>0</v>
      </c>
      <c r="Y347" s="32" t="n">
        <f aca="false">IF(AND(OR($F347="Analogy",$F347="Assumed",$F347="Derived（待改公式）",$F347="Derived（公式）"),OR($N347="—",$N347="",$N347=0)),1,0)</f>
        <v>0</v>
      </c>
      <c r="Z347" s="32" t="n">
        <f aca="false">IF(AND($F347="Decision",OR($J347="—",$J347="")),1,0)</f>
        <v>0</v>
      </c>
      <c r="AA347" s="33" t="n">
        <f aca="false">IF(OR($J347="—",$J347=""),0,IF(COUNTIF(Decisions!$A$5:$A$300,$J347)=0,1,0))</f>
        <v>0</v>
      </c>
      <c r="AB347" s="32" t="n">
        <f aca="false">IF(AND($F347="原始數據",$S347&lt;&gt;"Active"),1,0)</f>
        <v>0</v>
      </c>
      <c r="AC347" s="32" t="n">
        <f aca="false">IF(AND(ISNUMBER($K347),ISNUMBER($L347),ISNUMBER($Q347)),IF(OR($Q347&lt;MIN($K347,$L347),$Q347&gt;MAX($K347,$L347)),1,0),0)</f>
        <v>0</v>
      </c>
      <c r="AD347" s="32" t="n">
        <f aca="false">IF(AND(ISNUMBER($T347),$P347="高"),IF($T347=3,1,0),0)</f>
        <v>0</v>
      </c>
      <c r="AE347" s="32" t="n">
        <f aca="false">IF($S347="不存在",1,0)</f>
        <v>0</v>
      </c>
      <c r="AF347" s="44" t="n">
        <f aca="false">IF(OR($H347="—",$H347=""),"—",MATCH($H347,IDX_SrcID,0))</f>
        <v>303</v>
      </c>
      <c r="AG347" s="32" t="n">
        <f aca="false">IF(AND($P347="高",OR($AD347=1,$X347=1)),1,0)</f>
        <v>0</v>
      </c>
      <c r="AH347" s="32" t="n">
        <f aca="false">IF(AND($P347="高",$AG347=0,OR($F347&lt;&gt;"原始數據",$T347&lt;&gt;1)),1,0)</f>
        <v>1</v>
      </c>
      <c r="AI347" s="44" t="str">
        <f aca="false">IF(AND($P347="高",ISNUMBER($AF347)),INDEX(IDX_SrcDate,$AF347),"—")</f>
        <v>2026-10-05</v>
      </c>
      <c r="AJ347" s="32" t="n">
        <f aca="false">IF(AND(ISTEXT($AI347),LEN($AI347)=10),IF(ISNUMBER(VALUE(SUBSTITUTE($AI347,"-",""))),VALUE(SUBSTITUTE($AI347,"-","")),0),0)</f>
        <v>20261005</v>
      </c>
    </row>
    <row r="348" customFormat="false" ht="29.25" hidden="false" customHeight="true" outlineLevel="0" collapsed="false">
      <c r="A348" s="30" t="s">
        <v>5362</v>
      </c>
      <c r="B348" s="239" t="s">
        <v>4525</v>
      </c>
      <c r="C348" s="30" t="s">
        <v>5280</v>
      </c>
      <c r="D348" s="30" t="s">
        <v>5363</v>
      </c>
      <c r="E348" s="6" t="s">
        <v>580</v>
      </c>
      <c r="F348" s="30" t="s">
        <v>119</v>
      </c>
      <c r="G348" s="239" t="s">
        <v>4527</v>
      </c>
      <c r="H348" s="30" t="s">
        <v>5290</v>
      </c>
      <c r="I348" s="20" t="s">
        <v>5357</v>
      </c>
      <c r="J348" s="30" t="s">
        <v>751</v>
      </c>
      <c r="K348" s="241" t="n">
        <v>0.5</v>
      </c>
      <c r="L348" s="241" t="n">
        <v>1.5</v>
      </c>
      <c r="M348" s="30" t="s">
        <v>5358</v>
      </c>
      <c r="N348" s="20" t="s">
        <v>5364</v>
      </c>
      <c r="O348" s="6" t="s">
        <v>751</v>
      </c>
      <c r="P348" s="239" t="s">
        <v>1309</v>
      </c>
      <c r="Q348" s="192" t="n">
        <f aca="false">Calib!F67</f>
        <v>1</v>
      </c>
      <c r="R348" s="184" t="n">
        <f aca="false">SRC_PERF_009</f>
        <v>9342.1</v>
      </c>
      <c r="S348" s="44" t="str">
        <f aca="false">IF(ISNUMBER($AF348),INDEX(IDX_SrcStat,$AF348),"—")</f>
        <v>Active</v>
      </c>
      <c r="T348" s="44" t="n">
        <f aca="false">IF(ISNUMBER($AF348),INDEX(IDX_SrcGrade,$AF348),"—")</f>
        <v>2</v>
      </c>
      <c r="U348" s="44" t="s">
        <v>4531</v>
      </c>
      <c r="V348" s="32" t="n">
        <f aca="false">IF(AND($F348="原始數據",$U348&lt;&gt;"連結 SRC"),1,0)</f>
        <v>0</v>
      </c>
      <c r="W348" s="32" t="n">
        <f aca="false">IF(AND($F348="Analogy",OR($H348="—",$H348="")),1,0)</f>
        <v>0</v>
      </c>
      <c r="X348" s="32" t="n">
        <f aca="false">IF(AND(OR($F348="Analogy",$F348="Assumed"),$G348&lt;&gt;"低",$G348&lt;&gt;"高",NOT(ISNUMBER($K348)),NOT(ISNUMBER($L348)),OR($M348="—",$M348="")),1,0)</f>
        <v>0</v>
      </c>
      <c r="Y348" s="32" t="n">
        <f aca="false">IF(AND(OR($F348="Analogy",$F348="Assumed",$F348="Derived（待改公式）",$F348="Derived（公式）"),OR($N348="—",$N348="",$N348=0)),1,0)</f>
        <v>0</v>
      </c>
      <c r="Z348" s="32" t="n">
        <f aca="false">IF(AND($F348="Decision",OR($J348="—",$J348="")),1,0)</f>
        <v>0</v>
      </c>
      <c r="AA348" s="33" t="n">
        <f aca="false">IF(OR($J348="—",$J348=""),0,IF(COUNTIF(Decisions!$A$5:$A$300,$J348)=0,1,0))</f>
        <v>0</v>
      </c>
      <c r="AB348" s="32" t="n">
        <f aca="false">IF(AND($F348="原始數據",$S348&lt;&gt;"Active"),1,0)</f>
        <v>0</v>
      </c>
      <c r="AC348" s="32" t="n">
        <f aca="false">IF(AND(ISNUMBER($K348),ISNUMBER($L348),ISNUMBER($Q348)),IF(OR($Q348&lt;MIN($K348,$L348),$Q348&gt;MAX($K348,$L348)),1,0),0)</f>
        <v>0</v>
      </c>
      <c r="AD348" s="32" t="n">
        <f aca="false">IF(AND(ISNUMBER($T348),$P348="高"),IF($T348=3,1,0),0)</f>
        <v>0</v>
      </c>
      <c r="AE348" s="32" t="n">
        <f aca="false">IF($S348="不存在",1,0)</f>
        <v>0</v>
      </c>
      <c r="AF348" s="44" t="n">
        <f aca="false">IF(OR($H348="—",$H348=""),"—",MATCH($H348,IDX_SrcID,0))</f>
        <v>303</v>
      </c>
      <c r="AG348" s="32" t="n">
        <f aca="false">IF(AND($P348="高",OR($AD348=1,$X348=1)),1,0)</f>
        <v>0</v>
      </c>
      <c r="AH348" s="32" t="n">
        <f aca="false">IF(AND($P348="高",$AG348=0,OR($F348&lt;&gt;"原始數據",$T348&lt;&gt;1)),1,0)</f>
        <v>1</v>
      </c>
      <c r="AI348" s="44" t="str">
        <f aca="false">IF(AND($P348="高",ISNUMBER($AF348)),INDEX(IDX_SrcDate,$AF348),"—")</f>
        <v>2026-10-05</v>
      </c>
      <c r="AJ348" s="32" t="n">
        <f aca="false">IF(AND(ISTEXT($AI348),LEN($AI348)=10),IF(ISNUMBER(VALUE(SUBSTITUTE($AI348,"-",""))),VALUE(SUBSTITUTE($AI348,"-","")),0),0)</f>
        <v>20261005</v>
      </c>
    </row>
    <row r="349" customFormat="false" ht="29.25" hidden="false" customHeight="true" outlineLevel="0" collapsed="false">
      <c r="A349" s="30" t="s">
        <v>5365</v>
      </c>
      <c r="B349" s="239" t="s">
        <v>4525</v>
      </c>
      <c r="C349" s="30" t="s">
        <v>5280</v>
      </c>
      <c r="D349" s="30" t="s">
        <v>5366</v>
      </c>
      <c r="E349" s="6" t="s">
        <v>580</v>
      </c>
      <c r="F349" s="30" t="s">
        <v>119</v>
      </c>
      <c r="G349" s="239" t="s">
        <v>4527</v>
      </c>
      <c r="H349" s="30" t="s">
        <v>5290</v>
      </c>
      <c r="I349" s="20" t="s">
        <v>5357</v>
      </c>
      <c r="J349" s="30" t="s">
        <v>751</v>
      </c>
      <c r="K349" s="241" t="n">
        <v>0.5</v>
      </c>
      <c r="L349" s="241" t="n">
        <v>1.5</v>
      </c>
      <c r="M349" s="30" t="s">
        <v>5358</v>
      </c>
      <c r="N349" s="20" t="s">
        <v>5359</v>
      </c>
      <c r="O349" s="6" t="s">
        <v>751</v>
      </c>
      <c r="P349" s="239" t="s">
        <v>1309</v>
      </c>
      <c r="Q349" s="192" t="n">
        <f aca="false">Calib!G67</f>
        <v>1</v>
      </c>
      <c r="R349" s="184" t="n">
        <f aca="false">SRC_PERF_009</f>
        <v>9342.1</v>
      </c>
      <c r="S349" s="44" t="str">
        <f aca="false">IF(ISNUMBER($AF349),INDEX(IDX_SrcStat,$AF349),"—")</f>
        <v>Active</v>
      </c>
      <c r="T349" s="44" t="n">
        <f aca="false">IF(ISNUMBER($AF349),INDEX(IDX_SrcGrade,$AF349),"—")</f>
        <v>2</v>
      </c>
      <c r="U349" s="44" t="s">
        <v>4531</v>
      </c>
      <c r="V349" s="32" t="n">
        <f aca="false">IF(AND($F349="原始數據",$U349&lt;&gt;"連結 SRC"),1,0)</f>
        <v>0</v>
      </c>
      <c r="W349" s="32" t="n">
        <f aca="false">IF(AND($F349="Analogy",OR($H349="—",$H349="")),1,0)</f>
        <v>0</v>
      </c>
      <c r="X349" s="32" t="n">
        <f aca="false">IF(AND(OR($F349="Analogy",$F349="Assumed"),$G349&lt;&gt;"低",$G349&lt;&gt;"高",NOT(ISNUMBER($K349)),NOT(ISNUMBER($L349)),OR($M349="—",$M349="")),1,0)</f>
        <v>0</v>
      </c>
      <c r="Y349" s="32" t="n">
        <f aca="false">IF(AND(OR($F349="Analogy",$F349="Assumed",$F349="Derived（待改公式）",$F349="Derived（公式）"),OR($N349="—",$N349="",$N349=0)),1,0)</f>
        <v>0</v>
      </c>
      <c r="Z349" s="32" t="n">
        <f aca="false">IF(AND($F349="Decision",OR($J349="—",$J349="")),1,0)</f>
        <v>0</v>
      </c>
      <c r="AA349" s="33" t="n">
        <f aca="false">IF(OR($J349="—",$J349=""),0,IF(COUNTIF(Decisions!$A$5:$A$300,$J349)=0,1,0))</f>
        <v>0</v>
      </c>
      <c r="AB349" s="32" t="n">
        <f aca="false">IF(AND($F349="原始數據",$S349&lt;&gt;"Active"),1,0)</f>
        <v>0</v>
      </c>
      <c r="AC349" s="32" t="n">
        <f aca="false">IF(AND(ISNUMBER($K349),ISNUMBER($L349),ISNUMBER($Q349)),IF(OR($Q349&lt;MIN($K349,$L349),$Q349&gt;MAX($K349,$L349)),1,0),0)</f>
        <v>0</v>
      </c>
      <c r="AD349" s="32" t="n">
        <f aca="false">IF(AND(ISNUMBER($T349),$P349="高"),IF($T349=3,1,0),0)</f>
        <v>0</v>
      </c>
      <c r="AE349" s="32" t="n">
        <f aca="false">IF($S349="不存在",1,0)</f>
        <v>0</v>
      </c>
      <c r="AF349" s="44" t="n">
        <f aca="false">IF(OR($H349="—",$H349=""),"—",MATCH($H349,IDX_SrcID,0))</f>
        <v>303</v>
      </c>
      <c r="AG349" s="32" t="n">
        <f aca="false">IF(AND($P349="高",OR($AD349=1,$X349=1)),1,0)</f>
        <v>0</v>
      </c>
      <c r="AH349" s="32" t="n">
        <f aca="false">IF(AND($P349="高",$AG349=0,OR($F349&lt;&gt;"原始數據",$T349&lt;&gt;1)),1,0)</f>
        <v>1</v>
      </c>
      <c r="AI349" s="44" t="str">
        <f aca="false">IF(AND($P349="高",ISNUMBER($AF349)),INDEX(IDX_SrcDate,$AF349),"—")</f>
        <v>2026-10-05</v>
      </c>
      <c r="AJ349" s="32" t="n">
        <f aca="false">IF(AND(ISTEXT($AI349),LEN($AI349)=10),IF(ISNUMBER(VALUE(SUBSTITUTE($AI349,"-",""))),VALUE(SUBSTITUTE($AI349,"-","")),0),0)</f>
        <v>20261005</v>
      </c>
    </row>
    <row r="350" customFormat="false" ht="29.25" hidden="false" customHeight="true" outlineLevel="0" collapsed="false">
      <c r="A350" s="30" t="s">
        <v>5367</v>
      </c>
      <c r="B350" s="239" t="s">
        <v>4525</v>
      </c>
      <c r="C350" s="30" t="s">
        <v>5280</v>
      </c>
      <c r="D350" s="30" t="s">
        <v>5368</v>
      </c>
      <c r="E350" s="20" t="s">
        <v>582</v>
      </c>
      <c r="F350" s="205" t="s">
        <v>3302</v>
      </c>
      <c r="G350" s="239" t="s">
        <v>4527</v>
      </c>
      <c r="H350" s="30" t="s">
        <v>751</v>
      </c>
      <c r="I350" s="6" t="s">
        <v>751</v>
      </c>
      <c r="J350" s="30" t="s">
        <v>751</v>
      </c>
      <c r="K350" s="241" t="n">
        <v>1</v>
      </c>
      <c r="L350" s="241" t="n">
        <v>3</v>
      </c>
      <c r="M350" s="30" t="s">
        <v>5369</v>
      </c>
      <c r="N350" s="240" t="str">
        <f aca="false">Calib!$J$68</f>
        <v>Hopper EP 跨節點走 IB [倒推（v5.5 建檔時與 C67 手算配對；Excel 內無公式關聯）1.5，區間 1–3]；J4（第 2 批 2-2 段，chat 端預設，可撤回）：不重新反解——反解需要一個實測目標，用 MLPerf 或 LMSYS 反解會把 D5 的驗證點變成校準點；等第 2-5 段有獨立驗證點後，若模型 ÷ 實測偏離過大再提出</v>
      </c>
      <c r="O350" s="6" t="s">
        <v>751</v>
      </c>
      <c r="P350" s="239" t="s">
        <v>1309</v>
      </c>
      <c r="Q350" s="192" t="n">
        <f aca="false">Calib!C68</f>
        <v>1.5</v>
      </c>
      <c r="R350" s="30" t="s">
        <v>751</v>
      </c>
      <c r="S350" s="44" t="str">
        <f aca="false">IF(ISNUMBER($AF350),INDEX(IDX_SrcStat,$AF350),"—")</f>
        <v>—</v>
      </c>
      <c r="T350" s="44" t="str">
        <f aca="false">IF(ISNUMBER($AF350),INDEX(IDX_SrcGrade,$AF350),"—")</f>
        <v>—</v>
      </c>
      <c r="U350" s="44" t="s">
        <v>4531</v>
      </c>
      <c r="V350" s="32" t="n">
        <f aca="false">IF(AND($F350="原始數據",$U350&lt;&gt;"連結 SRC"),1,0)</f>
        <v>0</v>
      </c>
      <c r="W350" s="32" t="n">
        <f aca="false">IF(AND($F350="Analogy",OR($H350="—",$H350="")),1,0)</f>
        <v>0</v>
      </c>
      <c r="X350" s="32" t="n">
        <f aca="false">IF(AND(OR($F350="Analogy",$F350="Assumed"),$G350&lt;&gt;"低",$G350&lt;&gt;"高",NOT(ISNUMBER($K350)),NOT(ISNUMBER($L350)),OR($M350="—",$M350="")),1,0)</f>
        <v>0</v>
      </c>
      <c r="Y350" s="32" t="n">
        <f aca="false">IF(AND(OR($F350="Analogy",$F350="Assumed",$F350="Derived（待改公式）",$F350="Derived（公式）"),OR($N350="—",$N350="",$N350=0)),1,0)</f>
        <v>0</v>
      </c>
      <c r="Z350" s="32" t="n">
        <f aca="false">IF(AND($F350="Decision",OR($J350="—",$J350="")),1,0)</f>
        <v>0</v>
      </c>
      <c r="AA350" s="33" t="n">
        <f aca="false">IF(OR($J350="—",$J350=""),0,IF(COUNTIF(Decisions!$A$5:$A$300,$J350)=0,1,0))</f>
        <v>0</v>
      </c>
      <c r="AB350" s="32" t="n">
        <f aca="false">IF(AND($F350="原始數據",$S350&lt;&gt;"Active"),1,0)</f>
        <v>0</v>
      </c>
      <c r="AC350" s="32" t="n">
        <f aca="false">IF(AND(ISNUMBER($K350),ISNUMBER($L350),ISNUMBER($Q350)),IF(OR($Q350&lt;MIN($K350,$L350),$Q350&gt;MAX($K350,$L350)),1,0),0)</f>
        <v>0</v>
      </c>
      <c r="AD350" s="32" t="n">
        <f aca="false">IF(AND(ISNUMBER($T350),$P350="高"),IF($T350=3,1,0),0)</f>
        <v>0</v>
      </c>
      <c r="AE350" s="32" t="n">
        <f aca="false">IF($S350="不存在",1,0)</f>
        <v>0</v>
      </c>
      <c r="AF350" s="44" t="str">
        <f aca="false">IF(OR($H350="—",$H350=""),"—",MATCH($H350,IDX_SrcID,0))</f>
        <v>—</v>
      </c>
      <c r="AG350" s="32" t="n">
        <f aca="false">IF(AND($P350="高",OR($AD350=1,$X350=1)),1,0)</f>
        <v>0</v>
      </c>
      <c r="AH350" s="32" t="n">
        <f aca="false">IF(AND($P350="高",$AG350=0,OR($F350&lt;&gt;"原始數據",$T350&lt;&gt;1)),1,0)</f>
        <v>1</v>
      </c>
      <c r="AI350" s="44" t="str">
        <f aca="false">IF(AND($P350="高",ISNUMBER($AF350)),INDEX(IDX_SrcDate,$AF350),"—")</f>
        <v>—</v>
      </c>
      <c r="AJ350" s="32" t="n">
        <f aca="false">IF(AND(ISTEXT($AI350),LEN($AI350)=10),IF(ISNUMBER(VALUE(SUBSTITUTE($AI350,"-",""))),VALUE(SUBSTITUTE($AI350,"-","")),0),0)</f>
        <v>0</v>
      </c>
    </row>
    <row r="351" customFormat="false" ht="15" hidden="false" customHeight="true" outlineLevel="0" collapsed="false">
      <c r="A351" s="30" t="s">
        <v>5370</v>
      </c>
      <c r="B351" s="239" t="s">
        <v>4525</v>
      </c>
      <c r="C351" s="30" t="s">
        <v>5280</v>
      </c>
      <c r="D351" s="30" t="s">
        <v>5371</v>
      </c>
      <c r="E351" s="20" t="s">
        <v>582</v>
      </c>
      <c r="F351" s="30" t="s">
        <v>114</v>
      </c>
      <c r="G351" s="239" t="s">
        <v>4527</v>
      </c>
      <c r="H351" s="30" t="s">
        <v>751</v>
      </c>
      <c r="I351" s="6" t="s">
        <v>751</v>
      </c>
      <c r="J351" s="30" t="s">
        <v>751</v>
      </c>
      <c r="K351" s="241" t="n">
        <v>1</v>
      </c>
      <c r="L351" s="241" t="n">
        <v>1.5</v>
      </c>
      <c r="M351" s="30" t="s">
        <v>5372</v>
      </c>
      <c r="N351" s="20" t="s">
        <v>5373</v>
      </c>
      <c r="O351" s="6" t="s">
        <v>751</v>
      </c>
      <c r="P351" s="239" t="s">
        <v>1309</v>
      </c>
      <c r="Q351" s="192" t="n">
        <f aca="false">Calib!D68</f>
        <v>1</v>
      </c>
      <c r="R351" s="30" t="s">
        <v>751</v>
      </c>
      <c r="S351" s="44" t="str">
        <f aca="false">IF(ISNUMBER($AF351),INDEX(IDX_SrcStat,$AF351),"—")</f>
        <v>—</v>
      </c>
      <c r="T351" s="44" t="str">
        <f aca="false">IF(ISNUMBER($AF351),INDEX(IDX_SrcGrade,$AF351),"—")</f>
        <v>—</v>
      </c>
      <c r="U351" s="44" t="s">
        <v>4531</v>
      </c>
      <c r="V351" s="32" t="n">
        <f aca="false">IF(AND($F351="原始數據",$U351&lt;&gt;"連結 SRC"),1,0)</f>
        <v>0</v>
      </c>
      <c r="W351" s="32" t="n">
        <f aca="false">IF(AND($F351="Analogy",OR($H351="—",$H351="")),1,0)</f>
        <v>0</v>
      </c>
      <c r="X351" s="32" t="n">
        <f aca="false">IF(AND(OR($F351="Analogy",$F351="Assumed"),$G351&lt;&gt;"低",$G351&lt;&gt;"高",NOT(ISNUMBER($K351)),NOT(ISNUMBER($L351)),OR($M351="—",$M351="")),1,0)</f>
        <v>0</v>
      </c>
      <c r="Y351" s="32" t="n">
        <f aca="false">IF(AND(OR($F351="Analogy",$F351="Assumed",$F351="Derived（待改公式）",$F351="Derived（公式）"),OR($N351="—",$N351="",$N351=0)),1,0)</f>
        <v>0</v>
      </c>
      <c r="Z351" s="32" t="n">
        <f aca="false">IF(AND($F351="Decision",OR($J351="—",$J351="")),1,0)</f>
        <v>0</v>
      </c>
      <c r="AA351" s="33" t="n">
        <f aca="false">IF(OR($J351="—",$J351=""),0,IF(COUNTIF(Decisions!$A$5:$A$300,$J351)=0,1,0))</f>
        <v>0</v>
      </c>
      <c r="AB351" s="32" t="n">
        <f aca="false">IF(AND($F351="原始數據",$S351&lt;&gt;"Active"),1,0)</f>
        <v>0</v>
      </c>
      <c r="AC351" s="32" t="n">
        <f aca="false">IF(AND(ISNUMBER($K351),ISNUMBER($L351),ISNUMBER($Q351)),IF(OR($Q351&lt;MIN($K351,$L351),$Q351&gt;MAX($K351,$L351)),1,0),0)</f>
        <v>0</v>
      </c>
      <c r="AD351" s="32" t="n">
        <f aca="false">IF(AND(ISNUMBER($T351),$P351="高"),IF($T351=3,1,0),0)</f>
        <v>0</v>
      </c>
      <c r="AE351" s="32" t="n">
        <f aca="false">IF($S351="不存在",1,0)</f>
        <v>0</v>
      </c>
      <c r="AF351" s="44" t="str">
        <f aca="false">IF(OR($H351="—",$H351=""),"—",MATCH($H351,IDX_SrcID,0))</f>
        <v>—</v>
      </c>
      <c r="AG351" s="32" t="n">
        <f aca="false">IF(AND($P351="高",OR($AD351=1,$X351=1)),1,0)</f>
        <v>0</v>
      </c>
      <c r="AH351" s="32" t="n">
        <f aca="false">IF(AND($P351="高",$AG351=0,OR($F351&lt;&gt;"原始數據",$T351&lt;&gt;1)),1,0)</f>
        <v>1</v>
      </c>
      <c r="AI351" s="44" t="str">
        <f aca="false">IF(AND($P351="高",ISNUMBER($AF351)),INDEX(IDX_SrcDate,$AF351),"—")</f>
        <v>—</v>
      </c>
      <c r="AJ351" s="32" t="n">
        <f aca="false">IF(AND(ISTEXT($AI351),LEN($AI351)=10),IF(ISNUMBER(VALUE(SUBSTITUTE($AI351,"-",""))),VALUE(SUBSTITUTE($AI351,"-","")),0),0)</f>
        <v>0</v>
      </c>
    </row>
    <row r="352" customFormat="false" ht="15" hidden="false" customHeight="true" outlineLevel="0" collapsed="false">
      <c r="A352" s="30" t="s">
        <v>5374</v>
      </c>
      <c r="B352" s="239" t="s">
        <v>4525</v>
      </c>
      <c r="C352" s="30" t="s">
        <v>5280</v>
      </c>
      <c r="D352" s="30" t="s">
        <v>5375</v>
      </c>
      <c r="E352" s="20" t="s">
        <v>582</v>
      </c>
      <c r="F352" s="30" t="s">
        <v>114</v>
      </c>
      <c r="G352" s="239" t="s">
        <v>4527</v>
      </c>
      <c r="H352" s="30" t="s">
        <v>751</v>
      </c>
      <c r="I352" s="6" t="s">
        <v>751</v>
      </c>
      <c r="J352" s="30" t="s">
        <v>751</v>
      </c>
      <c r="K352" s="241" t="n">
        <v>1</v>
      </c>
      <c r="L352" s="241" t="n">
        <v>1.5</v>
      </c>
      <c r="M352" s="30" t="s">
        <v>5372</v>
      </c>
      <c r="N352" s="20" t="s">
        <v>5373</v>
      </c>
      <c r="O352" s="6" t="s">
        <v>751</v>
      </c>
      <c r="P352" s="239" t="s">
        <v>1309</v>
      </c>
      <c r="Q352" s="192" t="n">
        <f aca="false">Calib!E68</f>
        <v>1</v>
      </c>
      <c r="R352" s="30" t="s">
        <v>751</v>
      </c>
      <c r="S352" s="44" t="str">
        <f aca="false">IF(ISNUMBER($AF352),INDEX(IDX_SrcStat,$AF352),"—")</f>
        <v>—</v>
      </c>
      <c r="T352" s="44" t="str">
        <f aca="false">IF(ISNUMBER($AF352),INDEX(IDX_SrcGrade,$AF352),"—")</f>
        <v>—</v>
      </c>
      <c r="U352" s="44" t="s">
        <v>4531</v>
      </c>
      <c r="V352" s="32" t="n">
        <f aca="false">IF(AND($F352="原始數據",$U352&lt;&gt;"連結 SRC"),1,0)</f>
        <v>0</v>
      </c>
      <c r="W352" s="32" t="n">
        <f aca="false">IF(AND($F352="Analogy",OR($H352="—",$H352="")),1,0)</f>
        <v>0</v>
      </c>
      <c r="X352" s="32" t="n">
        <f aca="false">IF(AND(OR($F352="Analogy",$F352="Assumed"),$G352&lt;&gt;"低",$G352&lt;&gt;"高",NOT(ISNUMBER($K352)),NOT(ISNUMBER($L352)),OR($M352="—",$M352="")),1,0)</f>
        <v>0</v>
      </c>
      <c r="Y352" s="32" t="n">
        <f aca="false">IF(AND(OR($F352="Analogy",$F352="Assumed",$F352="Derived（待改公式）",$F352="Derived（公式）"),OR($N352="—",$N352="",$N352=0)),1,0)</f>
        <v>0</v>
      </c>
      <c r="Z352" s="32" t="n">
        <f aca="false">IF(AND($F352="Decision",OR($J352="—",$J352="")),1,0)</f>
        <v>0</v>
      </c>
      <c r="AA352" s="33" t="n">
        <f aca="false">IF(OR($J352="—",$J352=""),0,IF(COUNTIF(Decisions!$A$5:$A$300,$J352)=0,1,0))</f>
        <v>0</v>
      </c>
      <c r="AB352" s="32" t="n">
        <f aca="false">IF(AND($F352="原始數據",$S352&lt;&gt;"Active"),1,0)</f>
        <v>0</v>
      </c>
      <c r="AC352" s="32" t="n">
        <f aca="false">IF(AND(ISNUMBER($K352),ISNUMBER($L352),ISNUMBER($Q352)),IF(OR($Q352&lt;MIN($K352,$L352),$Q352&gt;MAX($K352,$L352)),1,0),0)</f>
        <v>0</v>
      </c>
      <c r="AD352" s="32" t="n">
        <f aca="false">IF(AND(ISNUMBER($T352),$P352="高"),IF($T352=3,1,0),0)</f>
        <v>0</v>
      </c>
      <c r="AE352" s="32" t="n">
        <f aca="false">IF($S352="不存在",1,0)</f>
        <v>0</v>
      </c>
      <c r="AF352" s="44" t="str">
        <f aca="false">IF(OR($H352="—",$H352=""),"—",MATCH($H352,IDX_SrcID,0))</f>
        <v>—</v>
      </c>
      <c r="AG352" s="32" t="n">
        <f aca="false">IF(AND($P352="高",OR($AD352=1,$X352=1)),1,0)</f>
        <v>0</v>
      </c>
      <c r="AH352" s="32" t="n">
        <f aca="false">IF(AND($P352="高",$AG352=0,OR($F352&lt;&gt;"原始數據",$T352&lt;&gt;1)),1,0)</f>
        <v>1</v>
      </c>
      <c r="AI352" s="44" t="str">
        <f aca="false">IF(AND($P352="高",ISNUMBER($AF352)),INDEX(IDX_SrcDate,$AF352),"—")</f>
        <v>—</v>
      </c>
      <c r="AJ352" s="32" t="n">
        <f aca="false">IF(AND(ISTEXT($AI352),LEN($AI352)=10),IF(ISNUMBER(VALUE(SUBSTITUTE($AI352,"-",""))),VALUE(SUBSTITUTE($AI352,"-","")),0),0)</f>
        <v>0</v>
      </c>
    </row>
    <row r="353" customFormat="false" ht="15" hidden="false" customHeight="true" outlineLevel="0" collapsed="false">
      <c r="A353" s="30" t="s">
        <v>5376</v>
      </c>
      <c r="B353" s="239" t="s">
        <v>4525</v>
      </c>
      <c r="C353" s="30" t="s">
        <v>5280</v>
      </c>
      <c r="D353" s="30" t="s">
        <v>5377</v>
      </c>
      <c r="E353" s="20" t="s">
        <v>582</v>
      </c>
      <c r="F353" s="30" t="s">
        <v>114</v>
      </c>
      <c r="G353" s="239" t="s">
        <v>4527</v>
      </c>
      <c r="H353" s="30" t="s">
        <v>751</v>
      </c>
      <c r="I353" s="6" t="s">
        <v>751</v>
      </c>
      <c r="J353" s="30" t="s">
        <v>751</v>
      </c>
      <c r="K353" s="241" t="n">
        <v>1</v>
      </c>
      <c r="L353" s="241" t="n">
        <v>1.5</v>
      </c>
      <c r="M353" s="30" t="s">
        <v>5372</v>
      </c>
      <c r="N353" s="20" t="s">
        <v>5373</v>
      </c>
      <c r="O353" s="6" t="s">
        <v>751</v>
      </c>
      <c r="P353" s="239" t="s">
        <v>1309</v>
      </c>
      <c r="Q353" s="192" t="n">
        <f aca="false">Calib!F68</f>
        <v>1</v>
      </c>
      <c r="R353" s="30" t="s">
        <v>751</v>
      </c>
      <c r="S353" s="44" t="str">
        <f aca="false">IF(ISNUMBER($AF353),INDEX(IDX_SrcStat,$AF353),"—")</f>
        <v>—</v>
      </c>
      <c r="T353" s="44" t="str">
        <f aca="false">IF(ISNUMBER($AF353),INDEX(IDX_SrcGrade,$AF353),"—")</f>
        <v>—</v>
      </c>
      <c r="U353" s="44" t="s">
        <v>4531</v>
      </c>
      <c r="V353" s="32" t="n">
        <f aca="false">IF(AND($F353="原始數據",$U353&lt;&gt;"連結 SRC"),1,0)</f>
        <v>0</v>
      </c>
      <c r="W353" s="32" t="n">
        <f aca="false">IF(AND($F353="Analogy",OR($H353="—",$H353="")),1,0)</f>
        <v>0</v>
      </c>
      <c r="X353" s="32" t="n">
        <f aca="false">IF(AND(OR($F353="Analogy",$F353="Assumed"),$G353&lt;&gt;"低",$G353&lt;&gt;"高",NOT(ISNUMBER($K353)),NOT(ISNUMBER($L353)),OR($M353="—",$M353="")),1,0)</f>
        <v>0</v>
      </c>
      <c r="Y353" s="32" t="n">
        <f aca="false">IF(AND(OR($F353="Analogy",$F353="Assumed",$F353="Derived（待改公式）",$F353="Derived（公式）"),OR($N353="—",$N353="",$N353=0)),1,0)</f>
        <v>0</v>
      </c>
      <c r="Z353" s="32" t="n">
        <f aca="false">IF(AND($F353="Decision",OR($J353="—",$J353="")),1,0)</f>
        <v>0</v>
      </c>
      <c r="AA353" s="33" t="n">
        <f aca="false">IF(OR($J353="—",$J353=""),0,IF(COUNTIF(Decisions!$A$5:$A$300,$J353)=0,1,0))</f>
        <v>0</v>
      </c>
      <c r="AB353" s="32" t="n">
        <f aca="false">IF(AND($F353="原始數據",$S353&lt;&gt;"Active"),1,0)</f>
        <v>0</v>
      </c>
      <c r="AC353" s="32" t="n">
        <f aca="false">IF(AND(ISNUMBER($K353),ISNUMBER($L353),ISNUMBER($Q353)),IF(OR($Q353&lt;MIN($K353,$L353),$Q353&gt;MAX($K353,$L353)),1,0),0)</f>
        <v>0</v>
      </c>
      <c r="AD353" s="32" t="n">
        <f aca="false">IF(AND(ISNUMBER($T353),$P353="高"),IF($T353=3,1,0),0)</f>
        <v>0</v>
      </c>
      <c r="AE353" s="32" t="n">
        <f aca="false">IF($S353="不存在",1,0)</f>
        <v>0</v>
      </c>
      <c r="AF353" s="44" t="str">
        <f aca="false">IF(OR($H353="—",$H353=""),"—",MATCH($H353,IDX_SrcID,0))</f>
        <v>—</v>
      </c>
      <c r="AG353" s="32" t="n">
        <f aca="false">IF(AND($P353="高",OR($AD353=1,$X353=1)),1,0)</f>
        <v>0</v>
      </c>
      <c r="AH353" s="32" t="n">
        <f aca="false">IF(AND($P353="高",$AG353=0,OR($F353&lt;&gt;"原始數據",$T353&lt;&gt;1)),1,0)</f>
        <v>1</v>
      </c>
      <c r="AI353" s="44" t="str">
        <f aca="false">IF(AND($P353="高",ISNUMBER($AF353)),INDEX(IDX_SrcDate,$AF353),"—")</f>
        <v>—</v>
      </c>
      <c r="AJ353" s="32" t="n">
        <f aca="false">IF(AND(ISTEXT($AI353),LEN($AI353)=10),IF(ISNUMBER(VALUE(SUBSTITUTE($AI353,"-",""))),VALUE(SUBSTITUTE($AI353,"-","")),0),0)</f>
        <v>0</v>
      </c>
    </row>
    <row r="354" customFormat="false" ht="15" hidden="false" customHeight="true" outlineLevel="0" collapsed="false">
      <c r="A354" s="30" t="s">
        <v>5378</v>
      </c>
      <c r="B354" s="239" t="s">
        <v>4525</v>
      </c>
      <c r="C354" s="30" t="s">
        <v>5280</v>
      </c>
      <c r="D354" s="30" t="s">
        <v>5379</v>
      </c>
      <c r="E354" s="20" t="s">
        <v>582</v>
      </c>
      <c r="F354" s="30" t="s">
        <v>114</v>
      </c>
      <c r="G354" s="239" t="s">
        <v>4527</v>
      </c>
      <c r="H354" s="30" t="s">
        <v>751</v>
      </c>
      <c r="I354" s="6" t="s">
        <v>751</v>
      </c>
      <c r="J354" s="30" t="s">
        <v>751</v>
      </c>
      <c r="K354" s="241" t="n">
        <v>1</v>
      </c>
      <c r="L354" s="241" t="n">
        <v>1.5</v>
      </c>
      <c r="M354" s="30" t="s">
        <v>5372</v>
      </c>
      <c r="N354" s="20" t="s">
        <v>5373</v>
      </c>
      <c r="O354" s="6" t="s">
        <v>751</v>
      </c>
      <c r="P354" s="239" t="s">
        <v>1309</v>
      </c>
      <c r="Q354" s="192" t="n">
        <f aca="false">Calib!G68</f>
        <v>1</v>
      </c>
      <c r="R354" s="30" t="s">
        <v>751</v>
      </c>
      <c r="S354" s="44" t="str">
        <f aca="false">IF(ISNUMBER($AF354),INDEX(IDX_SrcStat,$AF354),"—")</f>
        <v>—</v>
      </c>
      <c r="T354" s="44" t="str">
        <f aca="false">IF(ISNUMBER($AF354),INDEX(IDX_SrcGrade,$AF354),"—")</f>
        <v>—</v>
      </c>
      <c r="U354" s="44" t="s">
        <v>4531</v>
      </c>
      <c r="V354" s="32" t="n">
        <f aca="false">IF(AND($F354="原始數據",$U354&lt;&gt;"連結 SRC"),1,0)</f>
        <v>0</v>
      </c>
      <c r="W354" s="32" t="n">
        <f aca="false">IF(AND($F354="Analogy",OR($H354="—",$H354="")),1,0)</f>
        <v>0</v>
      </c>
      <c r="X354" s="32" t="n">
        <f aca="false">IF(AND(OR($F354="Analogy",$F354="Assumed"),$G354&lt;&gt;"低",$G354&lt;&gt;"高",NOT(ISNUMBER($K354)),NOT(ISNUMBER($L354)),OR($M354="—",$M354="")),1,0)</f>
        <v>0</v>
      </c>
      <c r="Y354" s="32" t="n">
        <f aca="false">IF(AND(OR($F354="Analogy",$F354="Assumed",$F354="Derived（待改公式）",$F354="Derived（公式）"),OR($N354="—",$N354="",$N354=0)),1,0)</f>
        <v>0</v>
      </c>
      <c r="Z354" s="32" t="n">
        <f aca="false">IF(AND($F354="Decision",OR($J354="—",$J354="")),1,0)</f>
        <v>0</v>
      </c>
      <c r="AA354" s="33" t="n">
        <f aca="false">IF(OR($J354="—",$J354=""),0,IF(COUNTIF(Decisions!$A$5:$A$300,$J354)=0,1,0))</f>
        <v>0</v>
      </c>
      <c r="AB354" s="32" t="n">
        <f aca="false">IF(AND($F354="原始數據",$S354&lt;&gt;"Active"),1,0)</f>
        <v>0</v>
      </c>
      <c r="AC354" s="32" t="n">
        <f aca="false">IF(AND(ISNUMBER($K354),ISNUMBER($L354),ISNUMBER($Q354)),IF(OR($Q354&lt;MIN($K354,$L354),$Q354&gt;MAX($K354,$L354)),1,0),0)</f>
        <v>0</v>
      </c>
      <c r="AD354" s="32" t="n">
        <f aca="false">IF(AND(ISNUMBER($T354),$P354="高"),IF($T354=3,1,0),0)</f>
        <v>0</v>
      </c>
      <c r="AE354" s="32" t="n">
        <f aca="false">IF($S354="不存在",1,0)</f>
        <v>0</v>
      </c>
      <c r="AF354" s="44" t="str">
        <f aca="false">IF(OR($H354="—",$H354=""),"—",MATCH($H354,IDX_SrcID,0))</f>
        <v>—</v>
      </c>
      <c r="AG354" s="32" t="n">
        <f aca="false">IF(AND($P354="高",OR($AD354=1,$X354=1)),1,0)</f>
        <v>0</v>
      </c>
      <c r="AH354" s="32" t="n">
        <f aca="false">IF(AND($P354="高",$AG354=0,OR($F354&lt;&gt;"原始數據",$T354&lt;&gt;1)),1,0)</f>
        <v>1</v>
      </c>
      <c r="AI354" s="44" t="str">
        <f aca="false">IF(AND($P354="高",ISNUMBER($AF354)),INDEX(IDX_SrcDate,$AF354),"—")</f>
        <v>—</v>
      </c>
      <c r="AJ354" s="32" t="n">
        <f aca="false">IF(AND(ISTEXT($AI354),LEN($AI354)=10),IF(ISNUMBER(VALUE(SUBSTITUTE($AI354,"-",""))),VALUE(SUBSTITUTE($AI354,"-","")),0),0)</f>
        <v>0</v>
      </c>
    </row>
    <row r="355" customFormat="false" ht="43.5" hidden="false" customHeight="true" outlineLevel="0" collapsed="false">
      <c r="A355" s="30" t="s">
        <v>5380</v>
      </c>
      <c r="B355" s="239" t="s">
        <v>4525</v>
      </c>
      <c r="C355" s="30" t="s">
        <v>5280</v>
      </c>
      <c r="D355" s="30" t="s">
        <v>5381</v>
      </c>
      <c r="E355" s="6" t="s">
        <v>584</v>
      </c>
      <c r="F355" s="30" t="s">
        <v>4619</v>
      </c>
      <c r="G355" s="239" t="s">
        <v>4527</v>
      </c>
      <c r="H355" s="30" t="s">
        <v>751</v>
      </c>
      <c r="I355" s="20" t="s">
        <v>5382</v>
      </c>
      <c r="J355" s="30" t="s">
        <v>751</v>
      </c>
      <c r="K355" s="241"/>
      <c r="L355" s="241"/>
      <c r="M355" s="30" t="s">
        <v>751</v>
      </c>
      <c r="N355" s="245" t="s">
        <v>5383</v>
      </c>
      <c r="O355" s="6" t="s">
        <v>5384</v>
      </c>
      <c r="P355" s="239" t="s">
        <v>4586</v>
      </c>
      <c r="Q355" s="192" t="n">
        <f aca="false">Calib!C69</f>
        <v>0.499747347145023</v>
      </c>
      <c r="R355" s="30" t="s">
        <v>751</v>
      </c>
      <c r="S355" s="44" t="str">
        <f aca="false">IF(ISNUMBER($AF355),INDEX(IDX_SrcStat,$AF355),"—")</f>
        <v>—</v>
      </c>
      <c r="T355" s="44" t="str">
        <f aca="false">IF(ISNUMBER($AF355),INDEX(IDX_SrcGrade,$AF355),"—")</f>
        <v>—</v>
      </c>
      <c r="U355" s="44" t="s">
        <v>4564</v>
      </c>
      <c r="V355" s="32" t="n">
        <f aca="false">IF(AND($F355="原始數據",$U355&lt;&gt;"連結 SRC"),1,0)</f>
        <v>0</v>
      </c>
      <c r="W355" s="32" t="n">
        <f aca="false">IF(AND($F355="Analogy",OR($H355="—",$H355="")),1,0)</f>
        <v>0</v>
      </c>
      <c r="X355" s="32" t="n">
        <f aca="false">IF(AND(OR($F355="Analogy",$F355="Assumed"),$G355&lt;&gt;"低",$G355&lt;&gt;"高",NOT(ISNUMBER($K355)),NOT(ISNUMBER($L355)),OR($M355="—",$M355="")),1,0)</f>
        <v>0</v>
      </c>
      <c r="Y355" s="32" t="n">
        <f aca="false">IF(AND(OR($F355="Analogy",$F355="Assumed",$F355="Derived（待改公式）",$F355="Derived（公式）"),OR($N355="—",$N355="",$N355=0)),1,0)</f>
        <v>0</v>
      </c>
      <c r="Z355" s="32" t="n">
        <f aca="false">IF(AND($F355="Decision",OR($J355="—",$J355="")),1,0)</f>
        <v>0</v>
      </c>
      <c r="AA355" s="33" t="n">
        <f aca="false">IF(OR($J355="—",$J355=""),0,IF(COUNTIF(Decisions!$A$5:$A$300,$J355)=0,1,0))</f>
        <v>0</v>
      </c>
      <c r="AB355" s="32" t="n">
        <f aca="false">IF(AND($F355="原始數據",$S355&lt;&gt;"Active"),1,0)</f>
        <v>0</v>
      </c>
      <c r="AC355" s="32" t="n">
        <f aca="false">IF(AND(ISNUMBER($K355),ISNUMBER($L355),ISNUMBER($Q355)),IF(OR($Q355&lt;MIN($K355,$L355),$Q355&gt;MAX($K355,$L355)),1,0),0)</f>
        <v>0</v>
      </c>
      <c r="AD355" s="32" t="n">
        <f aca="false">IF(AND(ISNUMBER($T355),$P355="高"),IF($T355=3,1,0),0)</f>
        <v>0</v>
      </c>
      <c r="AE355" s="32" t="n">
        <f aca="false">IF($S355="不存在",1,0)</f>
        <v>0</v>
      </c>
      <c r="AF355" s="44" t="str">
        <f aca="false">IF(OR($H355="—",$H355=""),"—",MATCH($H355,IDX_SrcID,0))</f>
        <v>—</v>
      </c>
      <c r="AG355" s="32" t="n">
        <f aca="false">IF(AND($P355="高",OR($AD355=1,$X355=1)),1,0)</f>
        <v>0</v>
      </c>
      <c r="AH355" s="32" t="n">
        <f aca="false">IF(AND($P355="高",$AG355=0,OR($F355&lt;&gt;"原始數據",$T355&lt;&gt;1)),1,0)</f>
        <v>0</v>
      </c>
      <c r="AI355" s="44" t="str">
        <f aca="false">IF(AND($P355="高",ISNUMBER($AF355)),INDEX(IDX_SrcDate,$AF355),"—")</f>
        <v>—</v>
      </c>
      <c r="AJ355" s="32" t="n">
        <f aca="false">IF(AND(ISTEXT($AI355),LEN($AI355)=10),IF(ISNUMBER(VALUE(SUBSTITUTE($AI355,"-",""))),VALUE(SUBSTITUTE($AI355,"-","")),0),0)</f>
        <v>0</v>
      </c>
    </row>
    <row r="356" customFormat="false" ht="15" hidden="false" customHeight="true" outlineLevel="0" collapsed="false">
      <c r="A356" s="30" t="s">
        <v>5385</v>
      </c>
      <c r="B356" s="239" t="s">
        <v>4525</v>
      </c>
      <c r="C356" s="30" t="s">
        <v>5280</v>
      </c>
      <c r="D356" s="30" t="s">
        <v>5386</v>
      </c>
      <c r="E356" s="6" t="s">
        <v>584</v>
      </c>
      <c r="F356" s="30" t="s">
        <v>114</v>
      </c>
      <c r="G356" s="239" t="s">
        <v>4527</v>
      </c>
      <c r="H356" s="30" t="s">
        <v>751</v>
      </c>
      <c r="I356" s="6" t="s">
        <v>751</v>
      </c>
      <c r="J356" s="30" t="s">
        <v>751</v>
      </c>
      <c r="K356" s="241" t="n">
        <v>0.5</v>
      </c>
      <c r="L356" s="241" t="n">
        <v>1.5</v>
      </c>
      <c r="M356" s="30" t="s">
        <v>5387</v>
      </c>
      <c r="N356" s="6" t="s">
        <v>5388</v>
      </c>
      <c r="O356" s="6" t="s">
        <v>751</v>
      </c>
      <c r="P356" s="239" t="s">
        <v>4586</v>
      </c>
      <c r="Q356" s="192" t="n">
        <f aca="false">Calib!D69</f>
        <v>1</v>
      </c>
      <c r="R356" s="30" t="s">
        <v>751</v>
      </c>
      <c r="S356" s="44" t="str">
        <f aca="false">IF(ISNUMBER($AF356),INDEX(IDX_SrcStat,$AF356),"—")</f>
        <v>—</v>
      </c>
      <c r="T356" s="44" t="str">
        <f aca="false">IF(ISNUMBER($AF356),INDEX(IDX_SrcGrade,$AF356),"—")</f>
        <v>—</v>
      </c>
      <c r="U356" s="44" t="s">
        <v>4531</v>
      </c>
      <c r="V356" s="32" t="n">
        <f aca="false">IF(AND($F356="原始數據",$U356&lt;&gt;"連結 SRC"),1,0)</f>
        <v>0</v>
      </c>
      <c r="W356" s="32" t="n">
        <f aca="false">IF(AND($F356="Analogy",OR($H356="—",$H356="")),1,0)</f>
        <v>0</v>
      </c>
      <c r="X356" s="32" t="n">
        <f aca="false">IF(AND(OR($F356="Analogy",$F356="Assumed"),$G356&lt;&gt;"低",$G356&lt;&gt;"高",NOT(ISNUMBER($K356)),NOT(ISNUMBER($L356)),OR($M356="—",$M356="")),1,0)</f>
        <v>0</v>
      </c>
      <c r="Y356" s="32" t="n">
        <f aca="false">IF(AND(OR($F356="Analogy",$F356="Assumed",$F356="Derived（待改公式）",$F356="Derived（公式）"),OR($N356="—",$N356="",$N356=0)),1,0)</f>
        <v>0</v>
      </c>
      <c r="Z356" s="32" t="n">
        <f aca="false">IF(AND($F356="Decision",OR($J356="—",$J356="")),1,0)</f>
        <v>0</v>
      </c>
      <c r="AA356" s="33" t="n">
        <f aca="false">IF(OR($J356="—",$J356=""),0,IF(COUNTIF(Decisions!$A$5:$A$300,$J356)=0,1,0))</f>
        <v>0</v>
      </c>
      <c r="AB356" s="32" t="n">
        <f aca="false">IF(AND($F356="原始數據",$S356&lt;&gt;"Active"),1,0)</f>
        <v>0</v>
      </c>
      <c r="AC356" s="32" t="n">
        <f aca="false">IF(AND(ISNUMBER($K356),ISNUMBER($L356),ISNUMBER($Q356)),IF(OR($Q356&lt;MIN($K356,$L356),$Q356&gt;MAX($K356,$L356)),1,0),0)</f>
        <v>0</v>
      </c>
      <c r="AD356" s="32" t="n">
        <f aca="false">IF(AND(ISNUMBER($T356),$P356="高"),IF($T356=3,1,0),0)</f>
        <v>0</v>
      </c>
      <c r="AE356" s="32" t="n">
        <f aca="false">IF($S356="不存在",1,0)</f>
        <v>0</v>
      </c>
      <c r="AF356" s="44" t="str">
        <f aca="false">IF(OR($H356="—",$H356=""),"—",MATCH($H356,IDX_SrcID,0))</f>
        <v>—</v>
      </c>
      <c r="AG356" s="32" t="n">
        <f aca="false">IF(AND($P356="高",OR($AD356=1,$X356=1)),1,0)</f>
        <v>0</v>
      </c>
      <c r="AH356" s="32" t="n">
        <f aca="false">IF(AND($P356="高",$AG356=0,OR($F356&lt;&gt;"原始數據",$T356&lt;&gt;1)),1,0)</f>
        <v>0</v>
      </c>
      <c r="AI356" s="44" t="str">
        <f aca="false">IF(AND($P356="高",ISNUMBER($AF356)),INDEX(IDX_SrcDate,$AF356),"—")</f>
        <v>—</v>
      </c>
      <c r="AJ356" s="32" t="n">
        <f aca="false">IF(AND(ISTEXT($AI356),LEN($AI356)=10),IF(ISNUMBER(VALUE(SUBSTITUTE($AI356,"-",""))),VALUE(SUBSTITUTE($AI356,"-","")),0),0)</f>
        <v>0</v>
      </c>
    </row>
    <row r="357" customFormat="false" ht="15" hidden="false" customHeight="true" outlineLevel="0" collapsed="false">
      <c r="A357" s="30" t="s">
        <v>5389</v>
      </c>
      <c r="B357" s="239" t="s">
        <v>4525</v>
      </c>
      <c r="C357" s="30" t="s">
        <v>5280</v>
      </c>
      <c r="D357" s="30" t="s">
        <v>5390</v>
      </c>
      <c r="E357" s="6" t="s">
        <v>584</v>
      </c>
      <c r="F357" s="30" t="s">
        <v>114</v>
      </c>
      <c r="G357" s="239" t="s">
        <v>4527</v>
      </c>
      <c r="H357" s="30" t="s">
        <v>751</v>
      </c>
      <c r="I357" s="6" t="s">
        <v>751</v>
      </c>
      <c r="J357" s="30" t="s">
        <v>751</v>
      </c>
      <c r="K357" s="241" t="n">
        <v>0.5</v>
      </c>
      <c r="L357" s="241" t="n">
        <v>1.5</v>
      </c>
      <c r="M357" s="30" t="s">
        <v>5387</v>
      </c>
      <c r="N357" s="6" t="s">
        <v>5388</v>
      </c>
      <c r="O357" s="6" t="s">
        <v>751</v>
      </c>
      <c r="P357" s="239" t="s">
        <v>4586</v>
      </c>
      <c r="Q357" s="192" t="n">
        <f aca="false">Calib!E69</f>
        <v>1</v>
      </c>
      <c r="R357" s="30" t="s">
        <v>751</v>
      </c>
      <c r="S357" s="44" t="str">
        <f aca="false">IF(ISNUMBER($AF357),INDEX(IDX_SrcStat,$AF357),"—")</f>
        <v>—</v>
      </c>
      <c r="T357" s="44" t="str">
        <f aca="false">IF(ISNUMBER($AF357),INDEX(IDX_SrcGrade,$AF357),"—")</f>
        <v>—</v>
      </c>
      <c r="U357" s="44" t="s">
        <v>4531</v>
      </c>
      <c r="V357" s="32" t="n">
        <f aca="false">IF(AND($F357="原始數據",$U357&lt;&gt;"連結 SRC"),1,0)</f>
        <v>0</v>
      </c>
      <c r="W357" s="32" t="n">
        <f aca="false">IF(AND($F357="Analogy",OR($H357="—",$H357="")),1,0)</f>
        <v>0</v>
      </c>
      <c r="X357" s="32" t="n">
        <f aca="false">IF(AND(OR($F357="Analogy",$F357="Assumed"),$G357&lt;&gt;"低",$G357&lt;&gt;"高",NOT(ISNUMBER($K357)),NOT(ISNUMBER($L357)),OR($M357="—",$M357="")),1,0)</f>
        <v>0</v>
      </c>
      <c r="Y357" s="32" t="n">
        <f aca="false">IF(AND(OR($F357="Analogy",$F357="Assumed",$F357="Derived（待改公式）",$F357="Derived（公式）"),OR($N357="—",$N357="",$N357=0)),1,0)</f>
        <v>0</v>
      </c>
      <c r="Z357" s="32" t="n">
        <f aca="false">IF(AND($F357="Decision",OR($J357="—",$J357="")),1,0)</f>
        <v>0</v>
      </c>
      <c r="AA357" s="33" t="n">
        <f aca="false">IF(OR($J357="—",$J357=""),0,IF(COUNTIF(Decisions!$A$5:$A$300,$J357)=0,1,0))</f>
        <v>0</v>
      </c>
      <c r="AB357" s="32" t="n">
        <f aca="false">IF(AND($F357="原始數據",$S357&lt;&gt;"Active"),1,0)</f>
        <v>0</v>
      </c>
      <c r="AC357" s="32" t="n">
        <f aca="false">IF(AND(ISNUMBER($K357),ISNUMBER($L357),ISNUMBER($Q357)),IF(OR($Q357&lt;MIN($K357,$L357),$Q357&gt;MAX($K357,$L357)),1,0),0)</f>
        <v>0</v>
      </c>
      <c r="AD357" s="32" t="n">
        <f aca="false">IF(AND(ISNUMBER($T357),$P357="高"),IF($T357=3,1,0),0)</f>
        <v>0</v>
      </c>
      <c r="AE357" s="32" t="n">
        <f aca="false">IF($S357="不存在",1,0)</f>
        <v>0</v>
      </c>
      <c r="AF357" s="44" t="str">
        <f aca="false">IF(OR($H357="—",$H357=""),"—",MATCH($H357,IDX_SrcID,0))</f>
        <v>—</v>
      </c>
      <c r="AG357" s="32" t="n">
        <f aca="false">IF(AND($P357="高",OR($AD357=1,$X357=1)),1,0)</f>
        <v>0</v>
      </c>
      <c r="AH357" s="32" t="n">
        <f aca="false">IF(AND($P357="高",$AG357=0,OR($F357&lt;&gt;"原始數據",$T357&lt;&gt;1)),1,0)</f>
        <v>0</v>
      </c>
      <c r="AI357" s="44" t="str">
        <f aca="false">IF(AND($P357="高",ISNUMBER($AF357)),INDEX(IDX_SrcDate,$AF357),"—")</f>
        <v>—</v>
      </c>
      <c r="AJ357" s="32" t="n">
        <f aca="false">IF(AND(ISTEXT($AI357),LEN($AI357)=10),IF(ISNUMBER(VALUE(SUBSTITUTE($AI357,"-",""))),VALUE(SUBSTITUTE($AI357,"-","")),0),0)</f>
        <v>0</v>
      </c>
    </row>
    <row r="358" customFormat="false" ht="15" hidden="false" customHeight="true" outlineLevel="0" collapsed="false">
      <c r="A358" s="30" t="s">
        <v>5391</v>
      </c>
      <c r="B358" s="239" t="s">
        <v>4525</v>
      </c>
      <c r="C358" s="30" t="s">
        <v>5280</v>
      </c>
      <c r="D358" s="30" t="s">
        <v>5392</v>
      </c>
      <c r="E358" s="6" t="s">
        <v>584</v>
      </c>
      <c r="F358" s="30" t="s">
        <v>114</v>
      </c>
      <c r="G358" s="239" t="s">
        <v>4527</v>
      </c>
      <c r="H358" s="30" t="s">
        <v>751</v>
      </c>
      <c r="I358" s="6" t="s">
        <v>751</v>
      </c>
      <c r="J358" s="30" t="s">
        <v>751</v>
      </c>
      <c r="K358" s="241" t="n">
        <v>0.5</v>
      </c>
      <c r="L358" s="241" t="n">
        <v>1.5</v>
      </c>
      <c r="M358" s="30" t="s">
        <v>5387</v>
      </c>
      <c r="N358" s="6" t="s">
        <v>5393</v>
      </c>
      <c r="O358" s="6" t="s">
        <v>751</v>
      </c>
      <c r="P358" s="239" t="s">
        <v>1309</v>
      </c>
      <c r="Q358" s="192" t="n">
        <f aca="false">Calib!F69</f>
        <v>1</v>
      </c>
      <c r="R358" s="30" t="s">
        <v>751</v>
      </c>
      <c r="S358" s="44" t="str">
        <f aca="false">IF(ISNUMBER($AF358),INDEX(IDX_SrcStat,$AF358),"—")</f>
        <v>—</v>
      </c>
      <c r="T358" s="44" t="str">
        <f aca="false">IF(ISNUMBER($AF358),INDEX(IDX_SrcGrade,$AF358),"—")</f>
        <v>—</v>
      </c>
      <c r="U358" s="44" t="s">
        <v>4531</v>
      </c>
      <c r="V358" s="32" t="n">
        <f aca="false">IF(AND($F358="原始數據",$U358&lt;&gt;"連結 SRC"),1,0)</f>
        <v>0</v>
      </c>
      <c r="W358" s="32" t="n">
        <f aca="false">IF(AND($F358="Analogy",OR($H358="—",$H358="")),1,0)</f>
        <v>0</v>
      </c>
      <c r="X358" s="32" t="n">
        <f aca="false">IF(AND(OR($F358="Analogy",$F358="Assumed"),$G358&lt;&gt;"低",$G358&lt;&gt;"高",NOT(ISNUMBER($K358)),NOT(ISNUMBER($L358)),OR($M358="—",$M358="")),1,0)</f>
        <v>0</v>
      </c>
      <c r="Y358" s="32" t="n">
        <f aca="false">IF(AND(OR($F358="Analogy",$F358="Assumed",$F358="Derived（待改公式）",$F358="Derived（公式）"),OR($N358="—",$N358="",$N358=0)),1,0)</f>
        <v>0</v>
      </c>
      <c r="Z358" s="32" t="n">
        <f aca="false">IF(AND($F358="Decision",OR($J358="—",$J358="")),1,0)</f>
        <v>0</v>
      </c>
      <c r="AA358" s="33" t="n">
        <f aca="false">IF(OR($J358="—",$J358=""),0,IF(COUNTIF(Decisions!$A$5:$A$300,$J358)=0,1,0))</f>
        <v>0</v>
      </c>
      <c r="AB358" s="32" t="n">
        <f aca="false">IF(AND($F358="原始數據",$S358&lt;&gt;"Active"),1,0)</f>
        <v>0</v>
      </c>
      <c r="AC358" s="32" t="n">
        <f aca="false">IF(AND(ISNUMBER($K358),ISNUMBER($L358),ISNUMBER($Q358)),IF(OR($Q358&lt;MIN($K358,$L358),$Q358&gt;MAX($K358,$L358)),1,0),0)</f>
        <v>0</v>
      </c>
      <c r="AD358" s="32" t="n">
        <f aca="false">IF(AND(ISNUMBER($T358),$P358="高"),IF($T358=3,1,0),0)</f>
        <v>0</v>
      </c>
      <c r="AE358" s="32" t="n">
        <f aca="false">IF($S358="不存在",1,0)</f>
        <v>0</v>
      </c>
      <c r="AF358" s="44" t="str">
        <f aca="false">IF(OR($H358="—",$H358=""),"—",MATCH($H358,IDX_SrcID,0))</f>
        <v>—</v>
      </c>
      <c r="AG358" s="32" t="n">
        <f aca="false">IF(AND($P358="高",OR($AD358=1,$X358=1)),1,0)</f>
        <v>0</v>
      </c>
      <c r="AH358" s="32" t="n">
        <f aca="false">IF(AND($P358="高",$AG358=0,OR($F358&lt;&gt;"原始數據",$T358&lt;&gt;1)),1,0)</f>
        <v>1</v>
      </c>
      <c r="AI358" s="44" t="str">
        <f aca="false">IF(AND($P358="高",ISNUMBER($AF358)),INDEX(IDX_SrcDate,$AF358),"—")</f>
        <v>—</v>
      </c>
      <c r="AJ358" s="32" t="n">
        <f aca="false">IF(AND(ISTEXT($AI358),LEN($AI358)=10),IF(ISNUMBER(VALUE(SUBSTITUTE($AI358,"-",""))),VALUE(SUBSTITUTE($AI358,"-","")),0),0)</f>
        <v>0</v>
      </c>
    </row>
    <row r="359" customFormat="false" ht="15" hidden="false" customHeight="true" outlineLevel="0" collapsed="false">
      <c r="A359" s="30" t="s">
        <v>5394</v>
      </c>
      <c r="B359" s="239" t="s">
        <v>4525</v>
      </c>
      <c r="C359" s="30" t="s">
        <v>5280</v>
      </c>
      <c r="D359" s="30" t="s">
        <v>5395</v>
      </c>
      <c r="E359" s="6" t="s">
        <v>584</v>
      </c>
      <c r="F359" s="30" t="s">
        <v>114</v>
      </c>
      <c r="G359" s="239" t="s">
        <v>4527</v>
      </c>
      <c r="H359" s="30" t="s">
        <v>751</v>
      </c>
      <c r="I359" s="6" t="s">
        <v>751</v>
      </c>
      <c r="J359" s="30" t="s">
        <v>751</v>
      </c>
      <c r="K359" s="241" t="n">
        <v>0.5</v>
      </c>
      <c r="L359" s="241" t="n">
        <v>1.5</v>
      </c>
      <c r="M359" s="30" t="s">
        <v>5387</v>
      </c>
      <c r="N359" s="6" t="s">
        <v>5388</v>
      </c>
      <c r="O359" s="6" t="s">
        <v>751</v>
      </c>
      <c r="P359" s="239" t="s">
        <v>4586</v>
      </c>
      <c r="Q359" s="192" t="n">
        <f aca="false">Calib!G69</f>
        <v>1</v>
      </c>
      <c r="R359" s="30" t="s">
        <v>751</v>
      </c>
      <c r="S359" s="44" t="str">
        <f aca="false">IF(ISNUMBER($AF359),INDEX(IDX_SrcStat,$AF359),"—")</f>
        <v>—</v>
      </c>
      <c r="T359" s="44" t="str">
        <f aca="false">IF(ISNUMBER($AF359),INDEX(IDX_SrcGrade,$AF359),"—")</f>
        <v>—</v>
      </c>
      <c r="U359" s="44" t="s">
        <v>4531</v>
      </c>
      <c r="V359" s="32" t="n">
        <f aca="false">IF(AND($F359="原始數據",$U359&lt;&gt;"連結 SRC"),1,0)</f>
        <v>0</v>
      </c>
      <c r="W359" s="32" t="n">
        <f aca="false">IF(AND($F359="Analogy",OR($H359="—",$H359="")),1,0)</f>
        <v>0</v>
      </c>
      <c r="X359" s="32" t="n">
        <f aca="false">IF(AND(OR($F359="Analogy",$F359="Assumed"),$G359&lt;&gt;"低",$G359&lt;&gt;"高",NOT(ISNUMBER($K359)),NOT(ISNUMBER($L359)),OR($M359="—",$M359="")),1,0)</f>
        <v>0</v>
      </c>
      <c r="Y359" s="32" t="n">
        <f aca="false">IF(AND(OR($F359="Analogy",$F359="Assumed",$F359="Derived（待改公式）",$F359="Derived（公式）"),OR($N359="—",$N359="",$N359=0)),1,0)</f>
        <v>0</v>
      </c>
      <c r="Z359" s="32" t="n">
        <f aca="false">IF(AND($F359="Decision",OR($J359="—",$J359="")),1,0)</f>
        <v>0</v>
      </c>
      <c r="AA359" s="33" t="n">
        <f aca="false">IF(OR($J359="—",$J359=""),0,IF(COUNTIF(Decisions!$A$5:$A$300,$J359)=0,1,0))</f>
        <v>0</v>
      </c>
      <c r="AB359" s="32" t="n">
        <f aca="false">IF(AND($F359="原始數據",$S359&lt;&gt;"Active"),1,0)</f>
        <v>0</v>
      </c>
      <c r="AC359" s="32" t="n">
        <f aca="false">IF(AND(ISNUMBER($K359),ISNUMBER($L359),ISNUMBER($Q359)),IF(OR($Q359&lt;MIN($K359,$L359),$Q359&gt;MAX($K359,$L359)),1,0),0)</f>
        <v>0</v>
      </c>
      <c r="AD359" s="32" t="n">
        <f aca="false">IF(AND(ISNUMBER($T359),$P359="高"),IF($T359=3,1,0),0)</f>
        <v>0</v>
      </c>
      <c r="AE359" s="32" t="n">
        <f aca="false">IF($S359="不存在",1,0)</f>
        <v>0</v>
      </c>
      <c r="AF359" s="44" t="str">
        <f aca="false">IF(OR($H359="—",$H359=""),"—",MATCH($H359,IDX_SrcID,0))</f>
        <v>—</v>
      </c>
      <c r="AG359" s="32" t="n">
        <f aca="false">IF(AND($P359="高",OR($AD359=1,$X359=1)),1,0)</f>
        <v>0</v>
      </c>
      <c r="AH359" s="32" t="n">
        <f aca="false">IF(AND($P359="高",$AG359=0,OR($F359&lt;&gt;"原始數據",$T359&lt;&gt;1)),1,0)</f>
        <v>0</v>
      </c>
      <c r="AI359" s="44" t="str">
        <f aca="false">IF(AND($P359="高",ISNUMBER($AF359)),INDEX(IDX_SrcDate,$AF359),"—")</f>
        <v>—</v>
      </c>
      <c r="AJ359" s="32" t="n">
        <f aca="false">IF(AND(ISTEXT($AI359),LEN($AI359)=10),IF(ISNUMBER(VALUE(SUBSTITUTE($AI359,"-",""))),VALUE(SUBSTITUTE($AI359,"-","")),0),0)</f>
        <v>0</v>
      </c>
    </row>
    <row r="360" customFormat="false" ht="15" hidden="false" customHeight="true" outlineLevel="0" collapsed="false">
      <c r="A360" s="30" t="s">
        <v>5396</v>
      </c>
      <c r="B360" s="239" t="s">
        <v>4525</v>
      </c>
      <c r="C360" s="30" t="s">
        <v>5280</v>
      </c>
      <c r="D360" s="30" t="s">
        <v>5397</v>
      </c>
      <c r="E360" s="6" t="s">
        <v>622</v>
      </c>
      <c r="F360" s="239" t="s">
        <v>5398</v>
      </c>
      <c r="G360" s="239" t="s">
        <v>5287</v>
      </c>
      <c r="H360" s="30" t="s">
        <v>751</v>
      </c>
      <c r="I360" s="6" t="s">
        <v>751</v>
      </c>
      <c r="J360" s="30" t="s">
        <v>751</v>
      </c>
      <c r="K360" s="239"/>
      <c r="L360" s="239"/>
      <c r="M360" s="30" t="s">
        <v>751</v>
      </c>
      <c r="N360" s="6" t="s">
        <v>5399</v>
      </c>
      <c r="O360" s="6" t="s">
        <v>751</v>
      </c>
      <c r="P360" s="30" t="s">
        <v>751</v>
      </c>
      <c r="Q360" s="184" t="s">
        <v>751</v>
      </c>
      <c r="R360" s="30" t="s">
        <v>751</v>
      </c>
      <c r="S360" s="44" t="str">
        <f aca="false">IF(ISNUMBER($AF360),INDEX(IDX_SrcStat,$AF360),"—")</f>
        <v>—</v>
      </c>
      <c r="T360" s="44" t="str">
        <f aca="false">IF(ISNUMBER($AF360),INDEX(IDX_SrcGrade,$AF360),"—")</f>
        <v>—</v>
      </c>
      <c r="U360" s="30" t="s">
        <v>751</v>
      </c>
      <c r="V360" s="32" t="n">
        <f aca="false">IF(AND($F360="原始數據",$U360&lt;&gt;"連結 SRC"),1,0)</f>
        <v>0</v>
      </c>
      <c r="W360" s="32" t="n">
        <f aca="false">IF(AND($F360="Analogy",OR($H360="—",$H360="")),1,0)</f>
        <v>0</v>
      </c>
      <c r="X360" s="32" t="n">
        <f aca="false">IF(AND(OR($F360="Analogy",$F360="Assumed"),$G360&lt;&gt;"低",$G360&lt;&gt;"高",NOT(ISNUMBER($K360)),NOT(ISNUMBER($L360)),OR($M360="—",$M360="")),1,0)</f>
        <v>0</v>
      </c>
      <c r="Y360" s="32" t="n">
        <f aca="false">IF(AND(OR($F360="Analogy",$F360="Assumed",$F360="Derived（待改公式）",$F360="Derived（公式）"),OR($N360="—",$N360="",$N360=0)),1,0)</f>
        <v>0</v>
      </c>
      <c r="Z360" s="32" t="n">
        <f aca="false">IF(AND($F360="Decision",OR($J360="—",$J360="")),1,0)</f>
        <v>0</v>
      </c>
      <c r="AA360" s="33" t="n">
        <f aca="false">IF(OR($J360="—",$J360=""),0,IF(COUNTIF(Decisions!$A$5:$A$300,$J360)=0,1,0))</f>
        <v>0</v>
      </c>
      <c r="AB360" s="32" t="n">
        <f aca="false">IF(AND($F360="原始數據",$S360&lt;&gt;"Active"),1,0)</f>
        <v>0</v>
      </c>
      <c r="AC360" s="32" t="n">
        <f aca="false">IF(AND(ISNUMBER($K360),ISNUMBER($L360),ISNUMBER($Q360)),IF(OR($Q360&lt;MIN($K360,$L360),$Q360&gt;MAX($K360,$L360)),1,0),0)</f>
        <v>0</v>
      </c>
      <c r="AD360" s="32" t="n">
        <f aca="false">IF(AND(ISNUMBER($T360),$P360="高"),IF($T360=3,1,0),0)</f>
        <v>0</v>
      </c>
      <c r="AE360" s="32" t="n">
        <f aca="false">IF($S360="不存在",1,0)</f>
        <v>0</v>
      </c>
      <c r="AF360" s="44" t="str">
        <f aca="false">IF(OR($H360="—",$H360=""),"—",MATCH($H360,IDX_SrcID,0))</f>
        <v>—</v>
      </c>
      <c r="AG360" s="32" t="n">
        <f aca="false">IF(AND($P360="高",OR($AD360=1,$X360=1)),1,0)</f>
        <v>0</v>
      </c>
      <c r="AH360" s="32" t="n">
        <f aca="false">IF(AND($P360="高",$AG360=0,OR($F360&lt;&gt;"原始數據",$T360&lt;&gt;1)),1,0)</f>
        <v>0</v>
      </c>
      <c r="AI360" s="44" t="str">
        <f aca="false">IF(AND($P360="高",ISNUMBER($AF360)),INDEX(IDX_SrcDate,$AF360),"—")</f>
        <v>—</v>
      </c>
      <c r="AJ360" s="32" t="n">
        <f aca="false">IF(AND(ISTEXT($AI360),LEN($AI360)=10),IF(ISNUMBER(VALUE(SUBSTITUTE($AI360,"-",""))),VALUE(SUBSTITUTE($AI360,"-","")),0),0)</f>
        <v>0</v>
      </c>
    </row>
    <row r="361" customFormat="false" ht="15" hidden="false" customHeight="true" outlineLevel="0" collapsed="false">
      <c r="A361" s="30" t="s">
        <v>5400</v>
      </c>
      <c r="B361" s="239" t="s">
        <v>4525</v>
      </c>
      <c r="C361" s="30" t="s">
        <v>5280</v>
      </c>
      <c r="D361" s="30" t="s">
        <v>5401</v>
      </c>
      <c r="E361" s="20" t="s">
        <v>286</v>
      </c>
      <c r="F361" s="239" t="s">
        <v>348</v>
      </c>
      <c r="G361" s="239" t="s">
        <v>4527</v>
      </c>
      <c r="H361" s="30" t="s">
        <v>5402</v>
      </c>
      <c r="I361" s="20" t="s">
        <v>4562</v>
      </c>
      <c r="J361" s="30" t="s">
        <v>751</v>
      </c>
      <c r="K361" s="239"/>
      <c r="L361" s="239"/>
      <c r="M361" s="30" t="s">
        <v>751</v>
      </c>
      <c r="N361" s="20" t="s">
        <v>4665</v>
      </c>
      <c r="O361" s="6" t="s">
        <v>751</v>
      </c>
      <c r="P361" s="239" t="s">
        <v>4530</v>
      </c>
      <c r="Q361" s="49" t="n">
        <f aca="false">Calib!C100</f>
        <v>671</v>
      </c>
      <c r="R361" s="184" t="n">
        <f aca="false">SRC_MOD_020</f>
        <v>671</v>
      </c>
      <c r="S361" s="44" t="str">
        <f aca="false">IF(ISNUMBER($AF361),INDEX(IDX_SrcStat,$AF361),"—")</f>
        <v>Active</v>
      </c>
      <c r="T361" s="44" t="n">
        <f aca="false">IF(ISNUMBER($AF361),INDEX(IDX_SrcGrade,$AF361),"—")</f>
        <v>3</v>
      </c>
      <c r="U361" s="44" t="s">
        <v>4564</v>
      </c>
      <c r="V361" s="32" t="n">
        <f aca="false">IF(AND($F361="原始數據",$U361&lt;&gt;"連結 SRC"),1,0)</f>
        <v>0</v>
      </c>
      <c r="W361" s="32" t="n">
        <f aca="false">IF(AND($F361="Analogy",OR($H361="—",$H361="")),1,0)</f>
        <v>0</v>
      </c>
      <c r="X361" s="32" t="n">
        <f aca="false">IF(AND(OR($F361="Analogy",$F361="Assumed"),$G361&lt;&gt;"低",$G361&lt;&gt;"高",NOT(ISNUMBER($K361)),NOT(ISNUMBER($L361)),OR($M361="—",$M361="")),1,0)</f>
        <v>0</v>
      </c>
      <c r="Y361" s="32" t="n">
        <f aca="false">IF(AND(OR($F361="Analogy",$F361="Assumed",$F361="Derived（待改公式）",$F361="Derived（公式）"),OR($N361="—",$N361="",$N361=0)),1,0)</f>
        <v>0</v>
      </c>
      <c r="Z361" s="32" t="n">
        <f aca="false">IF(AND($F361="Decision",OR($J361="—",$J361="")),1,0)</f>
        <v>0</v>
      </c>
      <c r="AA361" s="33" t="n">
        <f aca="false">IF(OR($J361="—",$J361=""),0,IF(COUNTIF(Decisions!$A$5:$A$300,$J361)=0,1,0))</f>
        <v>0</v>
      </c>
      <c r="AB361" s="32" t="n">
        <f aca="false">IF(AND($F361="原始數據",$S361&lt;&gt;"Active"),1,0)</f>
        <v>0</v>
      </c>
      <c r="AC361" s="32" t="n">
        <f aca="false">IF(AND(ISNUMBER($K361),ISNUMBER($L361),ISNUMBER($Q361)),IF(OR($Q361&lt;MIN($K361,$L361),$Q361&gt;MAX($K361,$L361)),1,0),0)</f>
        <v>0</v>
      </c>
      <c r="AD361" s="32" t="n">
        <f aca="false">IF(AND(ISNUMBER($T361),$P361="高"),IF($T361=3,1,0),0)</f>
        <v>0</v>
      </c>
      <c r="AE361" s="32" t="n">
        <f aca="false">IF($S361="不存在",1,0)</f>
        <v>0</v>
      </c>
      <c r="AF361" s="44" t="n">
        <f aca="false">IF(OR($H361="—",$H361=""),"—",MATCH($H361,IDX_SrcID,0))</f>
        <v>203</v>
      </c>
      <c r="AG361" s="32" t="n">
        <f aca="false">IF(AND($P361="高",OR($AD361=1,$X361=1)),1,0)</f>
        <v>0</v>
      </c>
      <c r="AH361" s="32" t="n">
        <f aca="false">IF(AND($P361="高",$AG361=0,OR($F361&lt;&gt;"原始數據",$T361&lt;&gt;1)),1,0)</f>
        <v>0</v>
      </c>
      <c r="AI361" s="44" t="str">
        <f aca="false">IF(AND($P361="高",ISNUMBER($AF361)),INDEX(IDX_SrcDate,$AF361),"—")</f>
        <v>—</v>
      </c>
      <c r="AJ361" s="32" t="n">
        <f aca="false">IF(AND(ISTEXT($AI361),LEN($AI361)=10),IF(ISNUMBER(VALUE(SUBSTITUTE($AI361,"-",""))),VALUE(SUBSTITUTE($AI361,"-","")),0),0)</f>
        <v>0</v>
      </c>
    </row>
    <row r="362" customFormat="false" ht="15" hidden="false" customHeight="true" outlineLevel="0" collapsed="false">
      <c r="A362" s="30" t="s">
        <v>5403</v>
      </c>
      <c r="B362" s="239" t="s">
        <v>4525</v>
      </c>
      <c r="C362" s="30" t="s">
        <v>5280</v>
      </c>
      <c r="D362" s="30" t="s">
        <v>5404</v>
      </c>
      <c r="E362" s="20" t="s">
        <v>290</v>
      </c>
      <c r="F362" s="239" t="s">
        <v>348</v>
      </c>
      <c r="G362" s="239" t="s">
        <v>4527</v>
      </c>
      <c r="H362" s="30" t="s">
        <v>5405</v>
      </c>
      <c r="I362" s="20" t="s">
        <v>4562</v>
      </c>
      <c r="J362" s="30" t="s">
        <v>751</v>
      </c>
      <c r="K362" s="239"/>
      <c r="L362" s="239"/>
      <c r="M362" s="30" t="s">
        <v>751</v>
      </c>
      <c r="N362" s="20" t="s">
        <v>4665</v>
      </c>
      <c r="O362" s="6" t="s">
        <v>751</v>
      </c>
      <c r="P362" s="239" t="s">
        <v>4530</v>
      </c>
      <c r="Q362" s="49" t="n">
        <f aca="false">Calib!C101</f>
        <v>37</v>
      </c>
      <c r="R362" s="184" t="n">
        <f aca="false">SRC_MOD_021</f>
        <v>37</v>
      </c>
      <c r="S362" s="44" t="str">
        <f aca="false">IF(ISNUMBER($AF362),INDEX(IDX_SrcStat,$AF362),"—")</f>
        <v>Active</v>
      </c>
      <c r="T362" s="44" t="n">
        <f aca="false">IF(ISNUMBER($AF362),INDEX(IDX_SrcGrade,$AF362),"—")</f>
        <v>3</v>
      </c>
      <c r="U362" s="44" t="s">
        <v>4564</v>
      </c>
      <c r="V362" s="32" t="n">
        <f aca="false">IF(AND($F362="原始數據",$U362&lt;&gt;"連結 SRC"),1,0)</f>
        <v>0</v>
      </c>
      <c r="W362" s="32" t="n">
        <f aca="false">IF(AND($F362="Analogy",OR($H362="—",$H362="")),1,0)</f>
        <v>0</v>
      </c>
      <c r="X362" s="32" t="n">
        <f aca="false">IF(AND(OR($F362="Analogy",$F362="Assumed"),$G362&lt;&gt;"低",$G362&lt;&gt;"高",NOT(ISNUMBER($K362)),NOT(ISNUMBER($L362)),OR($M362="—",$M362="")),1,0)</f>
        <v>0</v>
      </c>
      <c r="Y362" s="32" t="n">
        <f aca="false">IF(AND(OR($F362="Analogy",$F362="Assumed",$F362="Derived（待改公式）",$F362="Derived（公式）"),OR($N362="—",$N362="",$N362=0)),1,0)</f>
        <v>0</v>
      </c>
      <c r="Z362" s="32" t="n">
        <f aca="false">IF(AND($F362="Decision",OR($J362="—",$J362="")),1,0)</f>
        <v>0</v>
      </c>
      <c r="AA362" s="33" t="n">
        <f aca="false">IF(OR($J362="—",$J362=""),0,IF(COUNTIF(Decisions!$A$5:$A$300,$J362)=0,1,0))</f>
        <v>0</v>
      </c>
      <c r="AB362" s="32" t="n">
        <f aca="false">IF(AND($F362="原始數據",$S362&lt;&gt;"Active"),1,0)</f>
        <v>0</v>
      </c>
      <c r="AC362" s="32" t="n">
        <f aca="false">IF(AND(ISNUMBER($K362),ISNUMBER($L362),ISNUMBER($Q362)),IF(OR($Q362&lt;MIN($K362,$L362),$Q362&gt;MAX($K362,$L362)),1,0),0)</f>
        <v>0</v>
      </c>
      <c r="AD362" s="32" t="n">
        <f aca="false">IF(AND(ISNUMBER($T362),$P362="高"),IF($T362=3,1,0),0)</f>
        <v>0</v>
      </c>
      <c r="AE362" s="32" t="n">
        <f aca="false">IF($S362="不存在",1,0)</f>
        <v>0</v>
      </c>
      <c r="AF362" s="44" t="n">
        <f aca="false">IF(OR($H362="—",$H362=""),"—",MATCH($H362,IDX_SrcID,0))</f>
        <v>204</v>
      </c>
      <c r="AG362" s="32" t="n">
        <f aca="false">IF(AND($P362="高",OR($AD362=1,$X362=1)),1,0)</f>
        <v>0</v>
      </c>
      <c r="AH362" s="32" t="n">
        <f aca="false">IF(AND($P362="高",$AG362=0,OR($F362&lt;&gt;"原始數據",$T362&lt;&gt;1)),1,0)</f>
        <v>0</v>
      </c>
      <c r="AI362" s="44" t="str">
        <f aca="false">IF(AND($P362="高",ISNUMBER($AF362)),INDEX(IDX_SrcDate,$AF362),"—")</f>
        <v>—</v>
      </c>
      <c r="AJ362" s="32" t="n">
        <f aca="false">IF(AND(ISTEXT($AI362),LEN($AI362)=10),IF(ISNUMBER(VALUE(SUBSTITUTE($AI362,"-",""))),VALUE(SUBSTITUTE($AI362,"-","")),0),0)</f>
        <v>0</v>
      </c>
    </row>
    <row r="363" customFormat="false" ht="15" hidden="false" customHeight="true" outlineLevel="0" collapsed="false">
      <c r="A363" s="30" t="s">
        <v>5406</v>
      </c>
      <c r="B363" s="239" t="s">
        <v>4525</v>
      </c>
      <c r="C363" s="30" t="s">
        <v>5280</v>
      </c>
      <c r="D363" s="30" t="s">
        <v>5407</v>
      </c>
      <c r="E363" s="20" t="s">
        <v>292</v>
      </c>
      <c r="F363" s="239" t="s">
        <v>348</v>
      </c>
      <c r="G363" s="239" t="s">
        <v>4527</v>
      </c>
      <c r="H363" s="30" t="s">
        <v>5408</v>
      </c>
      <c r="I363" s="20" t="s">
        <v>4562</v>
      </c>
      <c r="J363" s="30" t="s">
        <v>751</v>
      </c>
      <c r="K363" s="239"/>
      <c r="L363" s="239"/>
      <c r="M363" s="30" t="s">
        <v>751</v>
      </c>
      <c r="N363" s="20" t="s">
        <v>4665</v>
      </c>
      <c r="O363" s="6" t="s">
        <v>751</v>
      </c>
      <c r="P363" s="239" t="s">
        <v>4530</v>
      </c>
      <c r="Q363" s="49" t="n">
        <f aca="false">Calib!C102</f>
        <v>61</v>
      </c>
      <c r="R363" s="184" t="n">
        <f aca="false">SRC_MOD_022</f>
        <v>61</v>
      </c>
      <c r="S363" s="44" t="str">
        <f aca="false">IF(ISNUMBER($AF363),INDEX(IDX_SrcStat,$AF363),"—")</f>
        <v>Active</v>
      </c>
      <c r="T363" s="44" t="n">
        <f aca="false">IF(ISNUMBER($AF363),INDEX(IDX_SrcGrade,$AF363),"—")</f>
        <v>3</v>
      </c>
      <c r="U363" s="44" t="s">
        <v>4564</v>
      </c>
      <c r="V363" s="32" t="n">
        <f aca="false">IF(AND($F363="原始數據",$U363&lt;&gt;"連結 SRC"),1,0)</f>
        <v>0</v>
      </c>
      <c r="W363" s="32" t="n">
        <f aca="false">IF(AND($F363="Analogy",OR($H363="—",$H363="")),1,0)</f>
        <v>0</v>
      </c>
      <c r="X363" s="32" t="n">
        <f aca="false">IF(AND(OR($F363="Analogy",$F363="Assumed"),$G363&lt;&gt;"低",$G363&lt;&gt;"高",NOT(ISNUMBER($K363)),NOT(ISNUMBER($L363)),OR($M363="—",$M363="")),1,0)</f>
        <v>0</v>
      </c>
      <c r="Y363" s="32" t="n">
        <f aca="false">IF(AND(OR($F363="Analogy",$F363="Assumed",$F363="Derived（待改公式）",$F363="Derived（公式）"),OR($N363="—",$N363="",$N363=0)),1,0)</f>
        <v>0</v>
      </c>
      <c r="Z363" s="32" t="n">
        <f aca="false">IF(AND($F363="Decision",OR($J363="—",$J363="")),1,0)</f>
        <v>0</v>
      </c>
      <c r="AA363" s="33" t="n">
        <f aca="false">IF(OR($J363="—",$J363=""),0,IF(COUNTIF(Decisions!$A$5:$A$300,$J363)=0,1,0))</f>
        <v>0</v>
      </c>
      <c r="AB363" s="32" t="n">
        <f aca="false">IF(AND($F363="原始數據",$S363&lt;&gt;"Active"),1,0)</f>
        <v>0</v>
      </c>
      <c r="AC363" s="32" t="n">
        <f aca="false">IF(AND(ISNUMBER($K363),ISNUMBER($L363),ISNUMBER($Q363)),IF(OR($Q363&lt;MIN($K363,$L363),$Q363&gt;MAX($K363,$L363)),1,0),0)</f>
        <v>0</v>
      </c>
      <c r="AD363" s="32" t="n">
        <f aca="false">IF(AND(ISNUMBER($T363),$P363="高"),IF($T363=3,1,0),0)</f>
        <v>0</v>
      </c>
      <c r="AE363" s="32" t="n">
        <f aca="false">IF($S363="不存在",1,0)</f>
        <v>0</v>
      </c>
      <c r="AF363" s="44" t="n">
        <f aca="false">IF(OR($H363="—",$H363=""),"—",MATCH($H363,IDX_SrcID,0))</f>
        <v>205</v>
      </c>
      <c r="AG363" s="32" t="n">
        <f aca="false">IF(AND($P363="高",OR($AD363=1,$X363=1)),1,0)</f>
        <v>0</v>
      </c>
      <c r="AH363" s="32" t="n">
        <f aca="false">IF(AND($P363="高",$AG363=0,OR($F363&lt;&gt;"原始數據",$T363&lt;&gt;1)),1,0)</f>
        <v>0</v>
      </c>
      <c r="AI363" s="44" t="str">
        <f aca="false">IF(AND($P363="高",ISNUMBER($AF363)),INDEX(IDX_SrcDate,$AF363),"—")</f>
        <v>—</v>
      </c>
      <c r="AJ363" s="32" t="n">
        <f aca="false">IF(AND(ISTEXT($AI363),LEN($AI363)=10),IF(ISNUMBER(VALUE(SUBSTITUTE($AI363,"-",""))),VALUE(SUBSTITUTE($AI363,"-","")),0),0)</f>
        <v>0</v>
      </c>
    </row>
    <row r="364" customFormat="false" ht="15" hidden="false" customHeight="true" outlineLevel="0" collapsed="false">
      <c r="A364" s="30" t="s">
        <v>5409</v>
      </c>
      <c r="B364" s="239" t="s">
        <v>4525</v>
      </c>
      <c r="C364" s="30" t="s">
        <v>5280</v>
      </c>
      <c r="D364" s="30" t="s">
        <v>5410</v>
      </c>
      <c r="E364" s="6" t="s">
        <v>295</v>
      </c>
      <c r="F364" s="239" t="s">
        <v>348</v>
      </c>
      <c r="G364" s="239" t="s">
        <v>4527</v>
      </c>
      <c r="H364" s="30" t="s">
        <v>5411</v>
      </c>
      <c r="I364" s="20" t="s">
        <v>4562</v>
      </c>
      <c r="J364" s="30" t="s">
        <v>751</v>
      </c>
      <c r="K364" s="239"/>
      <c r="L364" s="239"/>
      <c r="M364" s="30" t="s">
        <v>751</v>
      </c>
      <c r="N364" s="20" t="s">
        <v>4665</v>
      </c>
      <c r="O364" s="6" t="s">
        <v>751</v>
      </c>
      <c r="P364" s="239" t="s">
        <v>4530</v>
      </c>
      <c r="Q364" s="49" t="n">
        <f aca="false">Calib!C103</f>
        <v>7168</v>
      </c>
      <c r="R364" s="184" t="n">
        <f aca="false">SRC_MOD_023</f>
        <v>7168</v>
      </c>
      <c r="S364" s="44" t="str">
        <f aca="false">IF(ISNUMBER($AF364),INDEX(IDX_SrcStat,$AF364),"—")</f>
        <v>Active</v>
      </c>
      <c r="T364" s="44" t="n">
        <f aca="false">IF(ISNUMBER($AF364),INDEX(IDX_SrcGrade,$AF364),"—")</f>
        <v>3</v>
      </c>
      <c r="U364" s="44" t="s">
        <v>4564</v>
      </c>
      <c r="V364" s="32" t="n">
        <f aca="false">IF(AND($F364="原始數據",$U364&lt;&gt;"連結 SRC"),1,0)</f>
        <v>0</v>
      </c>
      <c r="W364" s="32" t="n">
        <f aca="false">IF(AND($F364="Analogy",OR($H364="—",$H364="")),1,0)</f>
        <v>0</v>
      </c>
      <c r="X364" s="32" t="n">
        <f aca="false">IF(AND(OR($F364="Analogy",$F364="Assumed"),$G364&lt;&gt;"低",$G364&lt;&gt;"高",NOT(ISNUMBER($K364)),NOT(ISNUMBER($L364)),OR($M364="—",$M364="")),1,0)</f>
        <v>0</v>
      </c>
      <c r="Y364" s="32" t="n">
        <f aca="false">IF(AND(OR($F364="Analogy",$F364="Assumed",$F364="Derived（待改公式）",$F364="Derived（公式）"),OR($N364="—",$N364="",$N364=0)),1,0)</f>
        <v>0</v>
      </c>
      <c r="Z364" s="32" t="n">
        <f aca="false">IF(AND($F364="Decision",OR($J364="—",$J364="")),1,0)</f>
        <v>0</v>
      </c>
      <c r="AA364" s="33" t="n">
        <f aca="false">IF(OR($J364="—",$J364=""),0,IF(COUNTIF(Decisions!$A$5:$A$300,$J364)=0,1,0))</f>
        <v>0</v>
      </c>
      <c r="AB364" s="32" t="n">
        <f aca="false">IF(AND($F364="原始數據",$S364&lt;&gt;"Active"),1,0)</f>
        <v>0</v>
      </c>
      <c r="AC364" s="32" t="n">
        <f aca="false">IF(AND(ISNUMBER($K364),ISNUMBER($L364),ISNUMBER($Q364)),IF(OR($Q364&lt;MIN($K364,$L364),$Q364&gt;MAX($K364,$L364)),1,0),0)</f>
        <v>0</v>
      </c>
      <c r="AD364" s="32" t="n">
        <f aca="false">IF(AND(ISNUMBER($T364),$P364="高"),IF($T364=3,1,0),0)</f>
        <v>0</v>
      </c>
      <c r="AE364" s="32" t="n">
        <f aca="false">IF($S364="不存在",1,0)</f>
        <v>0</v>
      </c>
      <c r="AF364" s="44" t="n">
        <f aca="false">IF(OR($H364="—",$H364=""),"—",MATCH($H364,IDX_SrcID,0))</f>
        <v>206</v>
      </c>
      <c r="AG364" s="32" t="n">
        <f aca="false">IF(AND($P364="高",OR($AD364=1,$X364=1)),1,0)</f>
        <v>0</v>
      </c>
      <c r="AH364" s="32" t="n">
        <f aca="false">IF(AND($P364="高",$AG364=0,OR($F364&lt;&gt;"原始數據",$T364&lt;&gt;1)),1,0)</f>
        <v>0</v>
      </c>
      <c r="AI364" s="44" t="str">
        <f aca="false">IF(AND($P364="高",ISNUMBER($AF364)),INDEX(IDX_SrcDate,$AF364),"—")</f>
        <v>—</v>
      </c>
      <c r="AJ364" s="32" t="n">
        <f aca="false">IF(AND(ISTEXT($AI364),LEN($AI364)=10),IF(ISNUMBER(VALUE(SUBSTITUTE($AI364,"-",""))),VALUE(SUBSTITUTE($AI364,"-","")),0),0)</f>
        <v>0</v>
      </c>
    </row>
    <row r="365" customFormat="false" ht="15" hidden="false" customHeight="true" outlineLevel="0" collapsed="false">
      <c r="A365" s="30" t="s">
        <v>5412</v>
      </c>
      <c r="B365" s="239" t="s">
        <v>4525</v>
      </c>
      <c r="C365" s="30" t="s">
        <v>5280</v>
      </c>
      <c r="D365" s="30" t="s">
        <v>5413</v>
      </c>
      <c r="E365" s="6" t="s">
        <v>301</v>
      </c>
      <c r="F365" s="239" t="s">
        <v>348</v>
      </c>
      <c r="G365" s="239" t="s">
        <v>4527</v>
      </c>
      <c r="H365" s="30" t="s">
        <v>5414</v>
      </c>
      <c r="I365" s="20" t="s">
        <v>4562</v>
      </c>
      <c r="J365" s="30" t="s">
        <v>751</v>
      </c>
      <c r="K365" s="239"/>
      <c r="L365" s="239"/>
      <c r="M365" s="30" t="s">
        <v>751</v>
      </c>
      <c r="N365" s="20" t="s">
        <v>4665</v>
      </c>
      <c r="O365" s="6" t="s">
        <v>751</v>
      </c>
      <c r="P365" s="239" t="s">
        <v>4530</v>
      </c>
      <c r="Q365" s="49" t="n">
        <f aca="false">Calib!C104</f>
        <v>256</v>
      </c>
      <c r="R365" s="184" t="n">
        <f aca="false">SRC_MOD_024</f>
        <v>256</v>
      </c>
      <c r="S365" s="44" t="str">
        <f aca="false">IF(ISNUMBER($AF365),INDEX(IDX_SrcStat,$AF365),"—")</f>
        <v>Active</v>
      </c>
      <c r="T365" s="44" t="n">
        <f aca="false">IF(ISNUMBER($AF365),INDEX(IDX_SrcGrade,$AF365),"—")</f>
        <v>3</v>
      </c>
      <c r="U365" s="44" t="s">
        <v>4564</v>
      </c>
      <c r="V365" s="32" t="n">
        <f aca="false">IF(AND($F365="原始數據",$U365&lt;&gt;"連結 SRC"),1,0)</f>
        <v>0</v>
      </c>
      <c r="W365" s="32" t="n">
        <f aca="false">IF(AND($F365="Analogy",OR($H365="—",$H365="")),1,0)</f>
        <v>0</v>
      </c>
      <c r="X365" s="32" t="n">
        <f aca="false">IF(AND(OR($F365="Analogy",$F365="Assumed"),$G365&lt;&gt;"低",$G365&lt;&gt;"高",NOT(ISNUMBER($K365)),NOT(ISNUMBER($L365)),OR($M365="—",$M365="")),1,0)</f>
        <v>0</v>
      </c>
      <c r="Y365" s="32" t="n">
        <f aca="false">IF(AND(OR($F365="Analogy",$F365="Assumed",$F365="Derived（待改公式）",$F365="Derived（公式）"),OR($N365="—",$N365="",$N365=0)),1,0)</f>
        <v>0</v>
      </c>
      <c r="Z365" s="32" t="n">
        <f aca="false">IF(AND($F365="Decision",OR($J365="—",$J365="")),1,0)</f>
        <v>0</v>
      </c>
      <c r="AA365" s="33" t="n">
        <f aca="false">IF(OR($J365="—",$J365=""),0,IF(COUNTIF(Decisions!$A$5:$A$300,$J365)=0,1,0))</f>
        <v>0</v>
      </c>
      <c r="AB365" s="32" t="n">
        <f aca="false">IF(AND($F365="原始數據",$S365&lt;&gt;"Active"),1,0)</f>
        <v>0</v>
      </c>
      <c r="AC365" s="32" t="n">
        <f aca="false">IF(AND(ISNUMBER($K365),ISNUMBER($L365),ISNUMBER($Q365)),IF(OR($Q365&lt;MIN($K365,$L365),$Q365&gt;MAX($K365,$L365)),1,0),0)</f>
        <v>0</v>
      </c>
      <c r="AD365" s="32" t="n">
        <f aca="false">IF(AND(ISNUMBER($T365),$P365="高"),IF($T365=3,1,0),0)</f>
        <v>0</v>
      </c>
      <c r="AE365" s="32" t="n">
        <f aca="false">IF($S365="不存在",1,0)</f>
        <v>0</v>
      </c>
      <c r="AF365" s="44" t="n">
        <f aca="false">IF(OR($H365="—",$H365=""),"—",MATCH($H365,IDX_SrcID,0))</f>
        <v>207</v>
      </c>
      <c r="AG365" s="32" t="n">
        <f aca="false">IF(AND($P365="高",OR($AD365=1,$X365=1)),1,0)</f>
        <v>0</v>
      </c>
      <c r="AH365" s="32" t="n">
        <f aca="false">IF(AND($P365="高",$AG365=0,OR($F365&lt;&gt;"原始數據",$T365&lt;&gt;1)),1,0)</f>
        <v>0</v>
      </c>
      <c r="AI365" s="44" t="str">
        <f aca="false">IF(AND($P365="高",ISNUMBER($AF365)),INDEX(IDX_SrcDate,$AF365),"—")</f>
        <v>—</v>
      </c>
      <c r="AJ365" s="32" t="n">
        <f aca="false">IF(AND(ISTEXT($AI365),LEN($AI365)=10),IF(ISNUMBER(VALUE(SUBSTITUTE($AI365,"-",""))),VALUE(SUBSTITUTE($AI365,"-","")),0),0)</f>
        <v>0</v>
      </c>
    </row>
    <row r="366" customFormat="false" ht="15" hidden="false" customHeight="true" outlineLevel="0" collapsed="false">
      <c r="A366" s="30" t="s">
        <v>5415</v>
      </c>
      <c r="B366" s="239" t="s">
        <v>4525</v>
      </c>
      <c r="C366" s="30" t="s">
        <v>5280</v>
      </c>
      <c r="D366" s="30" t="s">
        <v>5416</v>
      </c>
      <c r="E366" s="20" t="s">
        <v>5417</v>
      </c>
      <c r="F366" s="239" t="s">
        <v>348</v>
      </c>
      <c r="G366" s="239" t="s">
        <v>4527</v>
      </c>
      <c r="H366" s="30" t="s">
        <v>5418</v>
      </c>
      <c r="I366" s="20" t="s">
        <v>4562</v>
      </c>
      <c r="J366" s="30" t="s">
        <v>751</v>
      </c>
      <c r="K366" s="239"/>
      <c r="L366" s="239"/>
      <c r="M366" s="30" t="s">
        <v>751</v>
      </c>
      <c r="N366" s="20" t="s">
        <v>4665</v>
      </c>
      <c r="O366" s="6" t="s">
        <v>751</v>
      </c>
      <c r="P366" s="239" t="s">
        <v>4530</v>
      </c>
      <c r="Q366" s="49" t="n">
        <f aca="false">Calib!C105</f>
        <v>8</v>
      </c>
      <c r="R366" s="184" t="n">
        <f aca="false">SRC_MOD_025</f>
        <v>8</v>
      </c>
      <c r="S366" s="44" t="str">
        <f aca="false">IF(ISNUMBER($AF366),INDEX(IDX_SrcStat,$AF366),"—")</f>
        <v>Active</v>
      </c>
      <c r="T366" s="44" t="n">
        <f aca="false">IF(ISNUMBER($AF366),INDEX(IDX_SrcGrade,$AF366),"—")</f>
        <v>3</v>
      </c>
      <c r="U366" s="44" t="s">
        <v>4564</v>
      </c>
      <c r="V366" s="32" t="n">
        <f aca="false">IF(AND($F366="原始數據",$U366&lt;&gt;"連結 SRC"),1,0)</f>
        <v>0</v>
      </c>
      <c r="W366" s="32" t="n">
        <f aca="false">IF(AND($F366="Analogy",OR($H366="—",$H366="")),1,0)</f>
        <v>0</v>
      </c>
      <c r="X366" s="32" t="n">
        <f aca="false">IF(AND(OR($F366="Analogy",$F366="Assumed"),$G366&lt;&gt;"低",$G366&lt;&gt;"高",NOT(ISNUMBER($K366)),NOT(ISNUMBER($L366)),OR($M366="—",$M366="")),1,0)</f>
        <v>0</v>
      </c>
      <c r="Y366" s="32" t="n">
        <f aca="false">IF(AND(OR($F366="Analogy",$F366="Assumed",$F366="Derived（待改公式）",$F366="Derived（公式）"),OR($N366="—",$N366="",$N366=0)),1,0)</f>
        <v>0</v>
      </c>
      <c r="Z366" s="32" t="n">
        <f aca="false">IF(AND($F366="Decision",OR($J366="—",$J366="")),1,0)</f>
        <v>0</v>
      </c>
      <c r="AA366" s="33" t="n">
        <f aca="false">IF(OR($J366="—",$J366=""),0,IF(COUNTIF(Decisions!$A$5:$A$300,$J366)=0,1,0))</f>
        <v>0</v>
      </c>
      <c r="AB366" s="32" t="n">
        <f aca="false">IF(AND($F366="原始數據",$S366&lt;&gt;"Active"),1,0)</f>
        <v>0</v>
      </c>
      <c r="AC366" s="32" t="n">
        <f aca="false">IF(AND(ISNUMBER($K366),ISNUMBER($L366),ISNUMBER($Q366)),IF(OR($Q366&lt;MIN($K366,$L366),$Q366&gt;MAX($K366,$L366)),1,0),0)</f>
        <v>0</v>
      </c>
      <c r="AD366" s="32" t="n">
        <f aca="false">IF(AND(ISNUMBER($T366),$P366="高"),IF($T366=3,1,0),0)</f>
        <v>0</v>
      </c>
      <c r="AE366" s="32" t="n">
        <f aca="false">IF($S366="不存在",1,0)</f>
        <v>0</v>
      </c>
      <c r="AF366" s="44" t="n">
        <f aca="false">IF(OR($H366="—",$H366=""),"—",MATCH($H366,IDX_SrcID,0))</f>
        <v>208</v>
      </c>
      <c r="AG366" s="32" t="n">
        <f aca="false">IF(AND($P366="高",OR($AD366=1,$X366=1)),1,0)</f>
        <v>0</v>
      </c>
      <c r="AH366" s="32" t="n">
        <f aca="false">IF(AND($P366="高",$AG366=0,OR($F366&lt;&gt;"原始數據",$T366&lt;&gt;1)),1,0)</f>
        <v>0</v>
      </c>
      <c r="AI366" s="44" t="str">
        <f aca="false">IF(AND($P366="高",ISNUMBER($AF366)),INDEX(IDX_SrcDate,$AF366),"—")</f>
        <v>—</v>
      </c>
      <c r="AJ366" s="32" t="n">
        <f aca="false">IF(AND(ISTEXT($AI366),LEN($AI366)=10),IF(ISNUMBER(VALUE(SUBSTITUTE($AI366,"-",""))),VALUE(SUBSTITUTE($AI366,"-","")),0),0)</f>
        <v>0</v>
      </c>
    </row>
    <row r="367" customFormat="false" ht="15" hidden="false" customHeight="true" outlineLevel="0" collapsed="false">
      <c r="A367" s="30" t="s">
        <v>5419</v>
      </c>
      <c r="B367" s="239" t="s">
        <v>4525</v>
      </c>
      <c r="C367" s="30" t="s">
        <v>5280</v>
      </c>
      <c r="D367" s="30" t="s">
        <v>5420</v>
      </c>
      <c r="E367" s="6" t="s">
        <v>303</v>
      </c>
      <c r="F367" s="239" t="s">
        <v>348</v>
      </c>
      <c r="G367" s="239" t="s">
        <v>4527</v>
      </c>
      <c r="H367" s="30" t="s">
        <v>5421</v>
      </c>
      <c r="I367" s="20" t="s">
        <v>4562</v>
      </c>
      <c r="J367" s="30" t="s">
        <v>751</v>
      </c>
      <c r="K367" s="239"/>
      <c r="L367" s="239"/>
      <c r="M367" s="30" t="s">
        <v>751</v>
      </c>
      <c r="N367" s="20" t="s">
        <v>4665</v>
      </c>
      <c r="O367" s="6" t="s">
        <v>751</v>
      </c>
      <c r="P367" s="239" t="s">
        <v>4530</v>
      </c>
      <c r="Q367" s="49" t="n">
        <f aca="false">Calib!C106</f>
        <v>1</v>
      </c>
      <c r="R367" s="184" t="n">
        <f aca="false">SRC_MOD_026</f>
        <v>1</v>
      </c>
      <c r="S367" s="44" t="str">
        <f aca="false">IF(ISNUMBER($AF367),INDEX(IDX_SrcStat,$AF367),"—")</f>
        <v>Active</v>
      </c>
      <c r="T367" s="44" t="n">
        <f aca="false">IF(ISNUMBER($AF367),INDEX(IDX_SrcGrade,$AF367),"—")</f>
        <v>3</v>
      </c>
      <c r="U367" s="44" t="s">
        <v>4564</v>
      </c>
      <c r="V367" s="32" t="n">
        <f aca="false">IF(AND($F367="原始數據",$U367&lt;&gt;"連結 SRC"),1,0)</f>
        <v>0</v>
      </c>
      <c r="W367" s="32" t="n">
        <f aca="false">IF(AND($F367="Analogy",OR($H367="—",$H367="")),1,0)</f>
        <v>0</v>
      </c>
      <c r="X367" s="32" t="n">
        <f aca="false">IF(AND(OR($F367="Analogy",$F367="Assumed"),$G367&lt;&gt;"低",$G367&lt;&gt;"高",NOT(ISNUMBER($K367)),NOT(ISNUMBER($L367)),OR($M367="—",$M367="")),1,0)</f>
        <v>0</v>
      </c>
      <c r="Y367" s="32" t="n">
        <f aca="false">IF(AND(OR($F367="Analogy",$F367="Assumed",$F367="Derived（待改公式）",$F367="Derived（公式）"),OR($N367="—",$N367="",$N367=0)),1,0)</f>
        <v>0</v>
      </c>
      <c r="Z367" s="32" t="n">
        <f aca="false">IF(AND($F367="Decision",OR($J367="—",$J367="")),1,0)</f>
        <v>0</v>
      </c>
      <c r="AA367" s="33" t="n">
        <f aca="false">IF(OR($J367="—",$J367=""),0,IF(COUNTIF(Decisions!$A$5:$A$300,$J367)=0,1,0))</f>
        <v>0</v>
      </c>
      <c r="AB367" s="32" t="n">
        <f aca="false">IF(AND($F367="原始數據",$S367&lt;&gt;"Active"),1,0)</f>
        <v>0</v>
      </c>
      <c r="AC367" s="32" t="n">
        <f aca="false">IF(AND(ISNUMBER($K367),ISNUMBER($L367),ISNUMBER($Q367)),IF(OR($Q367&lt;MIN($K367,$L367),$Q367&gt;MAX($K367,$L367)),1,0),0)</f>
        <v>0</v>
      </c>
      <c r="AD367" s="32" t="n">
        <f aca="false">IF(AND(ISNUMBER($T367),$P367="高"),IF($T367=3,1,0),0)</f>
        <v>0</v>
      </c>
      <c r="AE367" s="32" t="n">
        <f aca="false">IF($S367="不存在",1,0)</f>
        <v>0</v>
      </c>
      <c r="AF367" s="44" t="n">
        <f aca="false">IF(OR($H367="—",$H367=""),"—",MATCH($H367,IDX_SrcID,0))</f>
        <v>209</v>
      </c>
      <c r="AG367" s="32" t="n">
        <f aca="false">IF(AND($P367="高",OR($AD367=1,$X367=1)),1,0)</f>
        <v>0</v>
      </c>
      <c r="AH367" s="32" t="n">
        <f aca="false">IF(AND($P367="高",$AG367=0,OR($F367&lt;&gt;"原始數據",$T367&lt;&gt;1)),1,0)</f>
        <v>0</v>
      </c>
      <c r="AI367" s="44" t="str">
        <f aca="false">IF(AND($P367="高",ISNUMBER($AF367)),INDEX(IDX_SrcDate,$AF367),"—")</f>
        <v>—</v>
      </c>
      <c r="AJ367" s="32" t="n">
        <f aca="false">IF(AND(ISTEXT($AI367),LEN($AI367)=10),IF(ISNUMBER(VALUE(SUBSTITUTE($AI367,"-",""))),VALUE(SUBSTITUTE($AI367,"-","")),0),0)</f>
        <v>0</v>
      </c>
    </row>
    <row r="368" customFormat="false" ht="15" hidden="false" customHeight="true" outlineLevel="0" collapsed="false">
      <c r="A368" s="30" t="s">
        <v>5422</v>
      </c>
      <c r="B368" s="239" t="s">
        <v>4525</v>
      </c>
      <c r="C368" s="30" t="s">
        <v>5280</v>
      </c>
      <c r="D368" s="30" t="s">
        <v>5423</v>
      </c>
      <c r="E368" s="6" t="s">
        <v>304</v>
      </c>
      <c r="F368" s="239" t="s">
        <v>348</v>
      </c>
      <c r="G368" s="239" t="s">
        <v>4527</v>
      </c>
      <c r="H368" s="30" t="s">
        <v>5424</v>
      </c>
      <c r="I368" s="20" t="s">
        <v>4562</v>
      </c>
      <c r="J368" s="30" t="s">
        <v>751</v>
      </c>
      <c r="K368" s="239"/>
      <c r="L368" s="239"/>
      <c r="M368" s="30" t="s">
        <v>751</v>
      </c>
      <c r="N368" s="20" t="s">
        <v>4665</v>
      </c>
      <c r="O368" s="6" t="s">
        <v>751</v>
      </c>
      <c r="P368" s="239" t="s">
        <v>4530</v>
      </c>
      <c r="Q368" s="49" t="n">
        <f aca="false">Calib!C107</f>
        <v>129280</v>
      </c>
      <c r="R368" s="184" t="n">
        <f aca="false">SRC_MOD_027</f>
        <v>129280</v>
      </c>
      <c r="S368" s="44" t="str">
        <f aca="false">IF(ISNUMBER($AF368),INDEX(IDX_SrcStat,$AF368),"—")</f>
        <v>Active</v>
      </c>
      <c r="T368" s="44" t="n">
        <f aca="false">IF(ISNUMBER($AF368),INDEX(IDX_SrcGrade,$AF368),"—")</f>
        <v>3</v>
      </c>
      <c r="U368" s="44" t="s">
        <v>4564</v>
      </c>
      <c r="V368" s="32" t="n">
        <f aca="false">IF(AND($F368="原始數據",$U368&lt;&gt;"連結 SRC"),1,0)</f>
        <v>0</v>
      </c>
      <c r="W368" s="32" t="n">
        <f aca="false">IF(AND($F368="Analogy",OR($H368="—",$H368="")),1,0)</f>
        <v>0</v>
      </c>
      <c r="X368" s="32" t="n">
        <f aca="false">IF(AND(OR($F368="Analogy",$F368="Assumed"),$G368&lt;&gt;"低",$G368&lt;&gt;"高",NOT(ISNUMBER($K368)),NOT(ISNUMBER($L368)),OR($M368="—",$M368="")),1,0)</f>
        <v>0</v>
      </c>
      <c r="Y368" s="32" t="n">
        <f aca="false">IF(AND(OR($F368="Analogy",$F368="Assumed",$F368="Derived（待改公式）",$F368="Derived（公式）"),OR($N368="—",$N368="",$N368=0)),1,0)</f>
        <v>0</v>
      </c>
      <c r="Z368" s="32" t="n">
        <f aca="false">IF(AND($F368="Decision",OR($J368="—",$J368="")),1,0)</f>
        <v>0</v>
      </c>
      <c r="AA368" s="33" t="n">
        <f aca="false">IF(OR($J368="—",$J368=""),0,IF(COUNTIF(Decisions!$A$5:$A$300,$J368)=0,1,0))</f>
        <v>0</v>
      </c>
      <c r="AB368" s="32" t="n">
        <f aca="false">IF(AND($F368="原始數據",$S368&lt;&gt;"Active"),1,0)</f>
        <v>0</v>
      </c>
      <c r="AC368" s="32" t="n">
        <f aca="false">IF(AND(ISNUMBER($K368),ISNUMBER($L368),ISNUMBER($Q368)),IF(OR($Q368&lt;MIN($K368,$L368),$Q368&gt;MAX($K368,$L368)),1,0),0)</f>
        <v>0</v>
      </c>
      <c r="AD368" s="32" t="n">
        <f aca="false">IF(AND(ISNUMBER($T368),$P368="高"),IF($T368=3,1,0),0)</f>
        <v>0</v>
      </c>
      <c r="AE368" s="32" t="n">
        <f aca="false">IF($S368="不存在",1,0)</f>
        <v>0</v>
      </c>
      <c r="AF368" s="44" t="n">
        <f aca="false">IF(OR($H368="—",$H368=""),"—",MATCH($H368,IDX_SrcID,0))</f>
        <v>210</v>
      </c>
      <c r="AG368" s="32" t="n">
        <f aca="false">IF(AND($P368="高",OR($AD368=1,$X368=1)),1,0)</f>
        <v>0</v>
      </c>
      <c r="AH368" s="32" t="n">
        <f aca="false">IF(AND($P368="高",$AG368=0,OR($F368&lt;&gt;"原始數據",$T368&lt;&gt;1)),1,0)</f>
        <v>0</v>
      </c>
      <c r="AI368" s="44" t="str">
        <f aca="false">IF(AND($P368="高",ISNUMBER($AF368)),INDEX(IDX_SrcDate,$AF368),"—")</f>
        <v>—</v>
      </c>
      <c r="AJ368" s="32" t="n">
        <f aca="false">IF(AND(ISTEXT($AI368),LEN($AI368)=10),IF(ISNUMBER(VALUE(SUBSTITUTE($AI368,"-",""))),VALUE(SUBSTITUTE($AI368,"-","")),0),0)</f>
        <v>0</v>
      </c>
    </row>
    <row r="369" customFormat="false" ht="29.25" hidden="false" customHeight="true" outlineLevel="0" collapsed="false">
      <c r="A369" s="30" t="s">
        <v>5425</v>
      </c>
      <c r="B369" s="239" t="s">
        <v>4525</v>
      </c>
      <c r="C369" s="30" t="s">
        <v>5280</v>
      </c>
      <c r="D369" s="30" t="s">
        <v>5426</v>
      </c>
      <c r="E369" s="6" t="s">
        <v>640</v>
      </c>
      <c r="F369" s="239" t="s">
        <v>348</v>
      </c>
      <c r="G369" s="239" t="s">
        <v>4527</v>
      </c>
      <c r="H369" s="30" t="s">
        <v>5427</v>
      </c>
      <c r="I369" s="20" t="s">
        <v>4870</v>
      </c>
      <c r="J369" s="30" t="s">
        <v>751</v>
      </c>
      <c r="K369" s="239"/>
      <c r="L369" s="239"/>
      <c r="M369" s="30" t="s">
        <v>751</v>
      </c>
      <c r="N369" s="20" t="s">
        <v>4665</v>
      </c>
      <c r="O369" s="6" t="s">
        <v>751</v>
      </c>
      <c r="P369" s="239" t="s">
        <v>4530</v>
      </c>
      <c r="Q369" s="49" t="n">
        <f aca="false">Calib!C108</f>
        <v>35136</v>
      </c>
      <c r="R369" s="184" t="n">
        <f aca="false">SRC_MOD_028</f>
        <v>576</v>
      </c>
      <c r="S369" s="44" t="str">
        <f aca="false">IF(ISNUMBER($AF369),INDEX(IDX_SrcStat,$AF369),"—")</f>
        <v>Active</v>
      </c>
      <c r="T369" s="44" t="n">
        <f aca="false">IF(ISNUMBER($AF369),INDEX(IDX_SrcGrade,$AF369),"—")</f>
        <v>3</v>
      </c>
      <c r="U369" s="44" t="s">
        <v>4564</v>
      </c>
      <c r="V369" s="32" t="n">
        <f aca="false">IF(AND($F369="原始數據",$U369&lt;&gt;"連結 SRC"),1,0)</f>
        <v>0</v>
      </c>
      <c r="W369" s="32" t="n">
        <f aca="false">IF(AND($F369="Analogy",OR($H369="—",$H369="")),1,0)</f>
        <v>0</v>
      </c>
      <c r="X369" s="32" t="n">
        <f aca="false">IF(AND(OR($F369="Analogy",$F369="Assumed"),$G369&lt;&gt;"低",$G369&lt;&gt;"高",NOT(ISNUMBER($K369)),NOT(ISNUMBER($L369)),OR($M369="—",$M369="")),1,0)</f>
        <v>0</v>
      </c>
      <c r="Y369" s="32" t="n">
        <f aca="false">IF(AND(OR($F369="Analogy",$F369="Assumed",$F369="Derived（待改公式）",$F369="Derived（公式）"),OR($N369="—",$N369="",$N369=0)),1,0)</f>
        <v>0</v>
      </c>
      <c r="Z369" s="32" t="n">
        <f aca="false">IF(AND($F369="Decision",OR($J369="—",$J369="")),1,0)</f>
        <v>0</v>
      </c>
      <c r="AA369" s="33" t="n">
        <f aca="false">IF(OR($J369="—",$J369=""),0,IF(COUNTIF(Decisions!$A$5:$A$300,$J369)=0,1,0))</f>
        <v>0</v>
      </c>
      <c r="AB369" s="32" t="n">
        <f aca="false">IF(AND($F369="原始數據",$S369&lt;&gt;"Active"),1,0)</f>
        <v>0</v>
      </c>
      <c r="AC369" s="32" t="n">
        <f aca="false">IF(AND(ISNUMBER($K369),ISNUMBER($L369),ISNUMBER($Q369)),IF(OR($Q369&lt;MIN($K369,$L369),$Q369&gt;MAX($K369,$L369)),1,0),0)</f>
        <v>0</v>
      </c>
      <c r="AD369" s="32" t="n">
        <f aca="false">IF(AND(ISNUMBER($T369),$P369="高"),IF($T369=3,1,0),0)</f>
        <v>0</v>
      </c>
      <c r="AE369" s="32" t="n">
        <f aca="false">IF($S369="不存在",1,0)</f>
        <v>0</v>
      </c>
      <c r="AF369" s="44" t="n">
        <f aca="false">IF(OR($H369="—",$H369=""),"—",MATCH($H369,IDX_SrcID,0))</f>
        <v>211</v>
      </c>
      <c r="AG369" s="32" t="n">
        <f aca="false">IF(AND($P369="高",OR($AD369=1,$X369=1)),1,0)</f>
        <v>0</v>
      </c>
      <c r="AH369" s="32" t="n">
        <f aca="false">IF(AND($P369="高",$AG369=0,OR($F369&lt;&gt;"原始數據",$T369&lt;&gt;1)),1,0)</f>
        <v>0</v>
      </c>
      <c r="AI369" s="44" t="str">
        <f aca="false">IF(AND($P369="高",ISNUMBER($AF369)),INDEX(IDX_SrcDate,$AF369),"—")</f>
        <v>—</v>
      </c>
      <c r="AJ369" s="32" t="n">
        <f aca="false">IF(AND(ISTEXT($AI369),LEN($AI369)=10),IF(ISNUMBER(VALUE(SUBSTITUTE($AI369,"-",""))),VALUE(SUBSTITUTE($AI369,"-","")),0),0)</f>
        <v>0</v>
      </c>
    </row>
    <row r="370" customFormat="false" ht="43.5" hidden="false" customHeight="true" outlineLevel="0" collapsed="false">
      <c r="A370" s="30" t="s">
        <v>5428</v>
      </c>
      <c r="B370" s="239" t="s">
        <v>4525</v>
      </c>
      <c r="C370" s="30" t="s">
        <v>5280</v>
      </c>
      <c r="D370" s="30" t="s">
        <v>5429</v>
      </c>
      <c r="E370" s="20" t="s">
        <v>5430</v>
      </c>
      <c r="F370" s="239" t="s">
        <v>348</v>
      </c>
      <c r="G370" s="239" t="s">
        <v>4527</v>
      </c>
      <c r="H370" s="30" t="s">
        <v>5431</v>
      </c>
      <c r="I370" s="20" t="s">
        <v>4870</v>
      </c>
      <c r="J370" s="30" t="s">
        <v>751</v>
      </c>
      <c r="K370" s="239"/>
      <c r="L370" s="239"/>
      <c r="M370" s="30" t="s">
        <v>751</v>
      </c>
      <c r="N370" s="20" t="s">
        <v>4665</v>
      </c>
      <c r="O370" s="6" t="s">
        <v>751</v>
      </c>
      <c r="P370" s="239" t="s">
        <v>4530</v>
      </c>
      <c r="Q370" s="49" t="n">
        <f aca="false">Calib!C109</f>
        <v>4997120</v>
      </c>
      <c r="R370" s="184" t="n">
        <f aca="false">SRC_MOD_049</f>
        <v>128</v>
      </c>
      <c r="S370" s="44" t="str">
        <f aca="false">IF(ISNUMBER($AF370),INDEX(IDX_SrcStat,$AF370),"—")</f>
        <v>Active</v>
      </c>
      <c r="T370" s="44" t="n">
        <f aca="false">IF(ISNUMBER($AF370),INDEX(IDX_SrcGrade,$AF370),"—")</f>
        <v>3</v>
      </c>
      <c r="U370" s="44" t="s">
        <v>4564</v>
      </c>
      <c r="V370" s="32" t="n">
        <f aca="false">IF(AND($F370="原始數據",$U370&lt;&gt;"連結 SRC"),1,0)</f>
        <v>0</v>
      </c>
      <c r="W370" s="32" t="n">
        <f aca="false">IF(AND($F370="Analogy",OR($H370="—",$H370="")),1,0)</f>
        <v>0</v>
      </c>
      <c r="X370" s="32" t="n">
        <f aca="false">IF(AND(OR($F370="Analogy",$F370="Assumed"),$G370&lt;&gt;"低",$G370&lt;&gt;"高",NOT(ISNUMBER($K370)),NOT(ISNUMBER($L370)),OR($M370="—",$M370="")),1,0)</f>
        <v>0</v>
      </c>
      <c r="Y370" s="32" t="n">
        <f aca="false">IF(AND(OR($F370="Analogy",$F370="Assumed",$F370="Derived（待改公式）",$F370="Derived（公式）"),OR($N370="—",$N370="",$N370=0)),1,0)</f>
        <v>0</v>
      </c>
      <c r="Z370" s="32" t="n">
        <f aca="false">IF(AND($F370="Decision",OR($J370="—",$J370="")),1,0)</f>
        <v>0</v>
      </c>
      <c r="AA370" s="33" t="n">
        <f aca="false">IF(OR($J370="—",$J370=""),0,IF(COUNTIF(Decisions!$A$5:$A$300,$J370)=0,1,0))</f>
        <v>0</v>
      </c>
      <c r="AB370" s="32" t="n">
        <f aca="false">IF(AND($F370="原始數據",$S370&lt;&gt;"Active"),1,0)</f>
        <v>0</v>
      </c>
      <c r="AC370" s="32" t="n">
        <f aca="false">IF(AND(ISNUMBER($K370),ISNUMBER($L370),ISNUMBER($Q370)),IF(OR($Q370&lt;MIN($K370,$L370),$Q370&gt;MAX($K370,$L370)),1,0),0)</f>
        <v>0</v>
      </c>
      <c r="AD370" s="32" t="n">
        <f aca="false">IF(AND(ISNUMBER($T370),$P370="高"),IF($T370=3,1,0),0)</f>
        <v>0</v>
      </c>
      <c r="AE370" s="32" t="n">
        <f aca="false">IF($S370="不存在",1,0)</f>
        <v>0</v>
      </c>
      <c r="AF370" s="44" t="n">
        <f aca="false">IF(OR($H370="—",$H370=""),"—",MATCH($H370,IDX_SrcID,0))</f>
        <v>232</v>
      </c>
      <c r="AG370" s="32" t="n">
        <f aca="false">IF(AND($P370="高",OR($AD370=1,$X370=1)),1,0)</f>
        <v>0</v>
      </c>
      <c r="AH370" s="32" t="n">
        <f aca="false">IF(AND($P370="高",$AG370=0,OR($F370&lt;&gt;"原始數據",$T370&lt;&gt;1)),1,0)</f>
        <v>0</v>
      </c>
      <c r="AI370" s="44" t="str">
        <f aca="false">IF(AND($P370="高",ISNUMBER($AF370)),INDEX(IDX_SrcDate,$AF370),"—")</f>
        <v>—</v>
      </c>
      <c r="AJ370" s="32" t="n">
        <f aca="false">IF(AND(ISTEXT($AI370),LEN($AI370)=10),IF(ISNUMBER(VALUE(SUBSTITUTE($AI370,"-",""))),VALUE(SUBSTITUTE($AI370,"-","")),0),0)</f>
        <v>0</v>
      </c>
    </row>
    <row r="371" customFormat="false" ht="29.25" hidden="false" customHeight="true" outlineLevel="0" collapsed="false">
      <c r="A371" s="30" t="s">
        <v>5432</v>
      </c>
      <c r="B371" s="239" t="s">
        <v>4525</v>
      </c>
      <c r="C371" s="30" t="s">
        <v>5280</v>
      </c>
      <c r="D371" s="30" t="s">
        <v>5433</v>
      </c>
      <c r="E371" s="20" t="s">
        <v>5434</v>
      </c>
      <c r="F371" s="239" t="s">
        <v>348</v>
      </c>
      <c r="G371" s="239" t="s">
        <v>4527</v>
      </c>
      <c r="H371" s="30" t="s">
        <v>5435</v>
      </c>
      <c r="I371" s="20" t="s">
        <v>4562</v>
      </c>
      <c r="J371" s="30" t="s">
        <v>751</v>
      </c>
      <c r="K371" s="239"/>
      <c r="L371" s="239"/>
      <c r="M371" s="30" t="s">
        <v>751</v>
      </c>
      <c r="N371" s="20" t="s">
        <v>4665</v>
      </c>
      <c r="O371" s="6" t="s">
        <v>751</v>
      </c>
      <c r="P371" s="239" t="s">
        <v>4530</v>
      </c>
      <c r="Q371" s="49" t="n">
        <f aca="false">Calib!C110</f>
        <v>800</v>
      </c>
      <c r="R371" s="184" t="n">
        <f aca="false">SRC_PERF_029</f>
        <v>800</v>
      </c>
      <c r="S371" s="44" t="str">
        <f aca="false">IF(ISNUMBER($AF371),INDEX(IDX_SrcStat,$AF371),"—")</f>
        <v>Active</v>
      </c>
      <c r="T371" s="44" t="n">
        <f aca="false">IF(ISNUMBER($AF371),INDEX(IDX_SrcGrade,$AF371),"—")</f>
        <v>1</v>
      </c>
      <c r="U371" s="44" t="s">
        <v>4564</v>
      </c>
      <c r="V371" s="32" t="n">
        <f aca="false">IF(AND($F371="原始數據",$U371&lt;&gt;"連結 SRC"),1,0)</f>
        <v>0</v>
      </c>
      <c r="W371" s="32" t="n">
        <f aca="false">IF(AND($F371="Analogy",OR($H371="—",$H371="")),1,0)</f>
        <v>0</v>
      </c>
      <c r="X371" s="32" t="n">
        <f aca="false">IF(AND(OR($F371="Analogy",$F371="Assumed"),$G371&lt;&gt;"低",$G371&lt;&gt;"高",NOT(ISNUMBER($K371)),NOT(ISNUMBER($L371)),OR($M371="—",$M371="")),1,0)</f>
        <v>0</v>
      </c>
      <c r="Y371" s="32" t="n">
        <f aca="false">IF(AND(OR($F371="Analogy",$F371="Assumed",$F371="Derived（待改公式）",$F371="Derived（公式）"),OR($N371="—",$N371="",$N371=0)),1,0)</f>
        <v>0</v>
      </c>
      <c r="Z371" s="32" t="n">
        <f aca="false">IF(AND($F371="Decision",OR($J371="—",$J371="")),1,0)</f>
        <v>0</v>
      </c>
      <c r="AA371" s="33" t="n">
        <f aca="false">IF(OR($J371="—",$J371=""),0,IF(COUNTIF(Decisions!$A$5:$A$300,$J371)=0,1,0))</f>
        <v>0</v>
      </c>
      <c r="AB371" s="32" t="n">
        <f aca="false">IF(AND($F371="原始數據",$S371&lt;&gt;"Active"),1,0)</f>
        <v>0</v>
      </c>
      <c r="AC371" s="32" t="n">
        <f aca="false">IF(AND(ISNUMBER($K371),ISNUMBER($L371),ISNUMBER($Q371)),IF(OR($Q371&lt;MIN($K371,$L371),$Q371&gt;MAX($K371,$L371)),1,0),0)</f>
        <v>0</v>
      </c>
      <c r="AD371" s="32" t="n">
        <f aca="false">IF(AND(ISNUMBER($T371),$P371="高"),IF($T371=3,1,0),0)</f>
        <v>0</v>
      </c>
      <c r="AE371" s="32" t="n">
        <f aca="false">IF($S371="不存在",1,0)</f>
        <v>0</v>
      </c>
      <c r="AF371" s="44" t="n">
        <f aca="false">IF(OR($H371="—",$H371=""),"—",MATCH($H371,IDX_SrcID,0))</f>
        <v>323</v>
      </c>
      <c r="AG371" s="32" t="n">
        <f aca="false">IF(AND($P371="高",OR($AD371=1,$X371=1)),1,0)</f>
        <v>0</v>
      </c>
      <c r="AH371" s="32" t="n">
        <f aca="false">IF(AND($P371="高",$AG371=0,OR($F371&lt;&gt;"原始數據",$T371&lt;&gt;1)),1,0)</f>
        <v>0</v>
      </c>
      <c r="AI371" s="44" t="str">
        <f aca="false">IF(AND($P371="高",ISNUMBER($AF371)),INDEX(IDX_SrcDate,$AF371),"—")</f>
        <v>—</v>
      </c>
      <c r="AJ371" s="32" t="n">
        <f aca="false">IF(AND(ISTEXT($AI371),LEN($AI371)=10),IF(ISNUMBER(VALUE(SUBSTITUTE($AI371,"-",""))),VALUE(SUBSTITUTE($AI371,"-","")),0),0)</f>
        <v>0</v>
      </c>
    </row>
    <row r="372" customFormat="false" ht="15" hidden="false" customHeight="true" outlineLevel="0" collapsed="false">
      <c r="A372" s="30" t="s">
        <v>5436</v>
      </c>
      <c r="B372" s="239" t="s">
        <v>4525</v>
      </c>
      <c r="C372" s="30" t="s">
        <v>5280</v>
      </c>
      <c r="D372" s="30" t="s">
        <v>5437</v>
      </c>
      <c r="E372" s="20" t="s">
        <v>5438</v>
      </c>
      <c r="F372" s="239" t="s">
        <v>348</v>
      </c>
      <c r="G372" s="239" t="s">
        <v>4527</v>
      </c>
      <c r="H372" s="30" t="s">
        <v>5439</v>
      </c>
      <c r="I372" s="20" t="s">
        <v>4562</v>
      </c>
      <c r="J372" s="30" t="s">
        <v>751</v>
      </c>
      <c r="K372" s="239"/>
      <c r="L372" s="239"/>
      <c r="M372" s="30" t="s">
        <v>751</v>
      </c>
      <c r="N372" s="20" t="s">
        <v>4665</v>
      </c>
      <c r="O372" s="6" t="s">
        <v>751</v>
      </c>
      <c r="P372" s="239" t="s">
        <v>4530</v>
      </c>
      <c r="Q372" s="49" t="n">
        <f aca="false">Calib!C111</f>
        <v>3880</v>
      </c>
      <c r="R372" s="184" t="n">
        <f aca="false">SRC_PERF_030</f>
        <v>3880</v>
      </c>
      <c r="S372" s="44" t="str">
        <f aca="false">IF(ISNUMBER($AF372),INDEX(IDX_SrcStat,$AF372),"—")</f>
        <v>Active</v>
      </c>
      <c r="T372" s="44" t="n">
        <f aca="false">IF(ISNUMBER($AF372),INDEX(IDX_SrcGrade,$AF372),"—")</f>
        <v>1</v>
      </c>
      <c r="U372" s="44" t="s">
        <v>4564</v>
      </c>
      <c r="V372" s="32" t="n">
        <f aca="false">IF(AND($F372="原始數據",$U372&lt;&gt;"連結 SRC"),1,0)</f>
        <v>0</v>
      </c>
      <c r="W372" s="32" t="n">
        <f aca="false">IF(AND($F372="Analogy",OR($H372="—",$H372="")),1,0)</f>
        <v>0</v>
      </c>
      <c r="X372" s="32" t="n">
        <f aca="false">IF(AND(OR($F372="Analogy",$F372="Assumed"),$G372&lt;&gt;"低",$G372&lt;&gt;"高",NOT(ISNUMBER($K372)),NOT(ISNUMBER($L372)),OR($M372="—",$M372="")),1,0)</f>
        <v>0</v>
      </c>
      <c r="Y372" s="32" t="n">
        <f aca="false">IF(AND(OR($F372="Analogy",$F372="Assumed",$F372="Derived（待改公式）",$F372="Derived（公式）"),OR($N372="—",$N372="",$N372=0)),1,0)</f>
        <v>0</v>
      </c>
      <c r="Z372" s="32" t="n">
        <f aca="false">IF(AND($F372="Decision",OR($J372="—",$J372="")),1,0)</f>
        <v>0</v>
      </c>
      <c r="AA372" s="33" t="n">
        <f aca="false">IF(OR($J372="—",$J372=""),0,IF(COUNTIF(Decisions!$A$5:$A$300,$J372)=0,1,0))</f>
        <v>0</v>
      </c>
      <c r="AB372" s="32" t="n">
        <f aca="false">IF(AND($F372="原始數據",$S372&lt;&gt;"Active"),1,0)</f>
        <v>0</v>
      </c>
      <c r="AC372" s="32" t="n">
        <f aca="false">IF(AND(ISNUMBER($K372),ISNUMBER($L372),ISNUMBER($Q372)),IF(OR($Q372&lt;MIN($K372,$L372),$Q372&gt;MAX($K372,$L372)),1,0),0)</f>
        <v>0</v>
      </c>
      <c r="AD372" s="32" t="n">
        <f aca="false">IF(AND(ISNUMBER($T372),$P372="高"),IF($T372=3,1,0),0)</f>
        <v>0</v>
      </c>
      <c r="AE372" s="32" t="n">
        <f aca="false">IF($S372="不存在",1,0)</f>
        <v>0</v>
      </c>
      <c r="AF372" s="44" t="n">
        <f aca="false">IF(OR($H372="—",$H372=""),"—",MATCH($H372,IDX_SrcID,0))</f>
        <v>324</v>
      </c>
      <c r="AG372" s="32" t="n">
        <f aca="false">IF(AND($P372="高",OR($AD372=1,$X372=1)),1,0)</f>
        <v>0</v>
      </c>
      <c r="AH372" s="32" t="n">
        <f aca="false">IF(AND($P372="高",$AG372=0,OR($F372&lt;&gt;"原始數據",$T372&lt;&gt;1)),1,0)</f>
        <v>0</v>
      </c>
      <c r="AI372" s="44" t="str">
        <f aca="false">IF(AND($P372="高",ISNUMBER($AF372)),INDEX(IDX_SrcDate,$AF372),"—")</f>
        <v>—</v>
      </c>
      <c r="AJ372" s="32" t="n">
        <f aca="false">IF(AND(ISTEXT($AI372),LEN($AI372)=10),IF(ISNUMBER(VALUE(SUBSTITUTE($AI372,"-",""))),VALUE(SUBSTITUTE($AI372,"-","")),0),0)</f>
        <v>0</v>
      </c>
    </row>
    <row r="373" customFormat="false" ht="15" hidden="false" customHeight="true" outlineLevel="0" collapsed="false">
      <c r="A373" s="30" t="s">
        <v>5440</v>
      </c>
      <c r="B373" s="239" t="s">
        <v>4525</v>
      </c>
      <c r="C373" s="30" t="s">
        <v>5280</v>
      </c>
      <c r="D373" s="30" t="s">
        <v>5441</v>
      </c>
      <c r="E373" s="20" t="s">
        <v>469</v>
      </c>
      <c r="F373" s="239" t="s">
        <v>5286</v>
      </c>
      <c r="G373" s="239" t="s">
        <v>5287</v>
      </c>
      <c r="H373" s="30" t="s">
        <v>751</v>
      </c>
      <c r="I373" s="6" t="s">
        <v>751</v>
      </c>
      <c r="J373" s="30" t="s">
        <v>751</v>
      </c>
      <c r="K373" s="239"/>
      <c r="L373" s="239"/>
      <c r="M373" s="30" t="s">
        <v>751</v>
      </c>
      <c r="N373" s="6" t="s">
        <v>5442</v>
      </c>
      <c r="O373" s="6" t="s">
        <v>751</v>
      </c>
      <c r="P373" s="30" t="s">
        <v>751</v>
      </c>
      <c r="Q373" s="184" t="s">
        <v>751</v>
      </c>
      <c r="R373" s="30" t="s">
        <v>751</v>
      </c>
      <c r="S373" s="44" t="str">
        <f aca="false">IF(ISNUMBER($AF373),INDEX(IDX_SrcStat,$AF373),"—")</f>
        <v>—</v>
      </c>
      <c r="T373" s="44" t="str">
        <f aca="false">IF(ISNUMBER($AF373),INDEX(IDX_SrcGrade,$AF373),"—")</f>
        <v>—</v>
      </c>
      <c r="U373" s="30" t="s">
        <v>751</v>
      </c>
      <c r="V373" s="32" t="n">
        <f aca="false">IF(AND($F373="原始數據",$U373&lt;&gt;"連結 SRC"),1,0)</f>
        <v>0</v>
      </c>
      <c r="W373" s="32" t="n">
        <f aca="false">IF(AND($F373="Analogy",OR($H373="—",$H373="")),1,0)</f>
        <v>0</v>
      </c>
      <c r="X373" s="32" t="n">
        <f aca="false">IF(AND(OR($F373="Analogy",$F373="Assumed"),$G373&lt;&gt;"低",$G373&lt;&gt;"高",NOT(ISNUMBER($K373)),NOT(ISNUMBER($L373)),OR($M373="—",$M373="")),1,0)</f>
        <v>0</v>
      </c>
      <c r="Y373" s="32" t="n">
        <f aca="false">IF(AND(OR($F373="Analogy",$F373="Assumed",$F373="Derived（待改公式）",$F373="Derived（公式）"),OR($N373="—",$N373="",$N373=0)),1,0)</f>
        <v>0</v>
      </c>
      <c r="Z373" s="32" t="n">
        <f aca="false">IF(AND($F373="Decision",OR($J373="—",$J373="")),1,0)</f>
        <v>0</v>
      </c>
      <c r="AA373" s="33" t="n">
        <f aca="false">IF(OR($J373="—",$J373=""),0,IF(COUNTIF(Decisions!$A$5:$A$300,$J373)=0,1,0))</f>
        <v>0</v>
      </c>
      <c r="AB373" s="32" t="n">
        <f aca="false">IF(AND($F373="原始數據",$S373&lt;&gt;"Active"),1,0)</f>
        <v>0</v>
      </c>
      <c r="AC373" s="32" t="n">
        <f aca="false">IF(AND(ISNUMBER($K373),ISNUMBER($L373),ISNUMBER($Q373)),IF(OR($Q373&lt;MIN($K373,$L373),$Q373&gt;MAX($K373,$L373)),1,0),0)</f>
        <v>0</v>
      </c>
      <c r="AD373" s="32" t="n">
        <f aca="false">IF(AND(ISNUMBER($T373),$P373="高"),IF($T373=3,1,0),0)</f>
        <v>0</v>
      </c>
      <c r="AE373" s="32" t="n">
        <f aca="false">IF($S373="不存在",1,0)</f>
        <v>0</v>
      </c>
      <c r="AF373" s="44" t="str">
        <f aca="false">IF(OR($H373="—",$H373=""),"—",MATCH($H373,IDX_SrcID,0))</f>
        <v>—</v>
      </c>
      <c r="AG373" s="32" t="n">
        <f aca="false">IF(AND($P373="高",OR($AD373=1,$X373=1)),1,0)</f>
        <v>0</v>
      </c>
      <c r="AH373" s="32" t="n">
        <f aca="false">IF(AND($P373="高",$AG373=0,OR($F373&lt;&gt;"原始數據",$T373&lt;&gt;1)),1,0)</f>
        <v>0</v>
      </c>
      <c r="AI373" s="44" t="str">
        <f aca="false">IF(AND($P373="高",ISNUMBER($AF373)),INDEX(IDX_SrcDate,$AF373),"—")</f>
        <v>—</v>
      </c>
      <c r="AJ373" s="32" t="n">
        <f aca="false">IF(AND(ISTEXT($AI373),LEN($AI373)=10),IF(ISNUMBER(VALUE(SUBSTITUTE($AI373,"-",""))),VALUE(SUBSTITUTE($AI373,"-","")),0),0)</f>
        <v>0</v>
      </c>
    </row>
    <row r="374" customFormat="false" ht="29.25" hidden="false" customHeight="true" outlineLevel="0" collapsed="false">
      <c r="A374" s="30" t="s">
        <v>5443</v>
      </c>
      <c r="B374" s="239" t="s">
        <v>4525</v>
      </c>
      <c r="C374" s="30" t="s">
        <v>5280</v>
      </c>
      <c r="D374" s="30" t="s">
        <v>5444</v>
      </c>
      <c r="E374" s="20" t="s">
        <v>5445</v>
      </c>
      <c r="F374" s="239" t="s">
        <v>348</v>
      </c>
      <c r="G374" s="239" t="s">
        <v>4527</v>
      </c>
      <c r="H374" s="30" t="s">
        <v>5446</v>
      </c>
      <c r="I374" s="20" t="s">
        <v>4870</v>
      </c>
      <c r="J374" s="30" t="s">
        <v>751</v>
      </c>
      <c r="K374" s="239"/>
      <c r="L374" s="239"/>
      <c r="M374" s="30" t="s">
        <v>751</v>
      </c>
      <c r="N374" s="20" t="s">
        <v>4665</v>
      </c>
      <c r="O374" s="6" t="s">
        <v>751</v>
      </c>
      <c r="P374" s="239" t="s">
        <v>4530</v>
      </c>
      <c r="Q374" s="195" t="n">
        <f aca="false">Calib!C118</f>
        <v>66.6666666666667</v>
      </c>
      <c r="R374" s="184" t="n">
        <f aca="false">SRC_PERF_031</f>
        <v>15</v>
      </c>
      <c r="S374" s="44" t="str">
        <f aca="false">IF(ISNUMBER($AF374),INDEX(IDX_SrcStat,$AF374),"—")</f>
        <v>Active</v>
      </c>
      <c r="T374" s="44" t="n">
        <f aca="false">IF(ISNUMBER($AF374),INDEX(IDX_SrcGrade,$AF374),"—")</f>
        <v>1</v>
      </c>
      <c r="U374" s="44" t="s">
        <v>4564</v>
      </c>
      <c r="V374" s="32" t="n">
        <f aca="false">IF(AND($F374="原始數據",$U374&lt;&gt;"連結 SRC"),1,0)</f>
        <v>0</v>
      </c>
      <c r="W374" s="32" t="n">
        <f aca="false">IF(AND($F374="Analogy",OR($H374="—",$H374="")),1,0)</f>
        <v>0</v>
      </c>
      <c r="X374" s="32" t="n">
        <f aca="false">IF(AND(OR($F374="Analogy",$F374="Assumed"),$G374&lt;&gt;"低",$G374&lt;&gt;"高",NOT(ISNUMBER($K374)),NOT(ISNUMBER($L374)),OR($M374="—",$M374="")),1,0)</f>
        <v>0</v>
      </c>
      <c r="Y374" s="32" t="n">
        <f aca="false">IF(AND(OR($F374="Analogy",$F374="Assumed",$F374="Derived（待改公式）",$F374="Derived（公式）"),OR($N374="—",$N374="",$N374=0)),1,0)</f>
        <v>0</v>
      </c>
      <c r="Z374" s="32" t="n">
        <f aca="false">IF(AND($F374="Decision",OR($J374="—",$J374="")),1,0)</f>
        <v>0</v>
      </c>
      <c r="AA374" s="33" t="n">
        <f aca="false">IF(OR($J374="—",$J374=""),0,IF(COUNTIF(Decisions!$A$5:$A$300,$J374)=0,1,0))</f>
        <v>0</v>
      </c>
      <c r="AB374" s="32" t="n">
        <f aca="false">IF(AND($F374="原始數據",$S374&lt;&gt;"Active"),1,0)</f>
        <v>0</v>
      </c>
      <c r="AC374" s="32" t="n">
        <f aca="false">IF(AND(ISNUMBER($K374),ISNUMBER($L374),ISNUMBER($Q374)),IF(OR($Q374&lt;MIN($K374,$L374),$Q374&gt;MAX($K374,$L374)),1,0),0)</f>
        <v>0</v>
      </c>
      <c r="AD374" s="32" t="n">
        <f aca="false">IF(AND(ISNUMBER($T374),$P374="高"),IF($T374=3,1,0),0)</f>
        <v>0</v>
      </c>
      <c r="AE374" s="32" t="n">
        <f aca="false">IF($S374="不存在",1,0)</f>
        <v>0</v>
      </c>
      <c r="AF374" s="44" t="n">
        <f aca="false">IF(OR($H374="—",$H374=""),"—",MATCH($H374,IDX_SrcID,0))</f>
        <v>325</v>
      </c>
      <c r="AG374" s="32" t="n">
        <f aca="false">IF(AND($P374="高",OR($AD374=1,$X374=1)),1,0)</f>
        <v>0</v>
      </c>
      <c r="AH374" s="32" t="n">
        <f aca="false">IF(AND($P374="高",$AG374=0,OR($F374&lt;&gt;"原始數據",$T374&lt;&gt;1)),1,0)</f>
        <v>0</v>
      </c>
      <c r="AI374" s="44" t="str">
        <f aca="false">IF(AND($P374="高",ISNUMBER($AF374)),INDEX(IDX_SrcDate,$AF374),"—")</f>
        <v>—</v>
      </c>
      <c r="AJ374" s="32" t="n">
        <f aca="false">IF(AND(ISTEXT($AI374),LEN($AI374)=10),IF(ISNUMBER(VALUE(SUBSTITUTE($AI374,"-",""))),VALUE(SUBSTITUTE($AI374,"-","")),0),0)</f>
        <v>0</v>
      </c>
    </row>
    <row r="375" customFormat="false" ht="29.25" hidden="false" customHeight="true" outlineLevel="0" collapsed="false">
      <c r="A375" s="30" t="s">
        <v>5447</v>
      </c>
      <c r="B375" s="239" t="s">
        <v>4525</v>
      </c>
      <c r="C375" s="30" t="s">
        <v>5280</v>
      </c>
      <c r="D375" s="30" t="s">
        <v>5448</v>
      </c>
      <c r="E375" s="20" t="s">
        <v>5445</v>
      </c>
      <c r="F375" s="239" t="s">
        <v>348</v>
      </c>
      <c r="G375" s="239" t="s">
        <v>4527</v>
      </c>
      <c r="H375" s="30" t="s">
        <v>5446</v>
      </c>
      <c r="I375" s="20" t="s">
        <v>4870</v>
      </c>
      <c r="J375" s="30" t="s">
        <v>751</v>
      </c>
      <c r="K375" s="239"/>
      <c r="L375" s="239"/>
      <c r="M375" s="30" t="s">
        <v>751</v>
      </c>
      <c r="N375" s="20" t="s">
        <v>4665</v>
      </c>
      <c r="O375" s="6" t="s">
        <v>751</v>
      </c>
      <c r="P375" s="239" t="s">
        <v>4530</v>
      </c>
      <c r="Q375" s="195" t="n">
        <f aca="false">Calib!D118</f>
        <v>66.6666666666667</v>
      </c>
      <c r="R375" s="184" t="n">
        <f aca="false">SRC_PERF_031</f>
        <v>15</v>
      </c>
      <c r="S375" s="44" t="str">
        <f aca="false">IF(ISNUMBER($AF375),INDEX(IDX_SrcStat,$AF375),"—")</f>
        <v>Active</v>
      </c>
      <c r="T375" s="44" t="n">
        <f aca="false">IF(ISNUMBER($AF375),INDEX(IDX_SrcGrade,$AF375),"—")</f>
        <v>1</v>
      </c>
      <c r="U375" s="44" t="s">
        <v>4564</v>
      </c>
      <c r="V375" s="32" t="n">
        <f aca="false">IF(AND($F375="原始數據",$U375&lt;&gt;"連結 SRC"),1,0)</f>
        <v>0</v>
      </c>
      <c r="W375" s="32" t="n">
        <f aca="false">IF(AND($F375="Analogy",OR($H375="—",$H375="")),1,0)</f>
        <v>0</v>
      </c>
      <c r="X375" s="32" t="n">
        <f aca="false">IF(AND(OR($F375="Analogy",$F375="Assumed"),$G375&lt;&gt;"低",$G375&lt;&gt;"高",NOT(ISNUMBER($K375)),NOT(ISNUMBER($L375)),OR($M375="—",$M375="")),1,0)</f>
        <v>0</v>
      </c>
      <c r="Y375" s="32" t="n">
        <f aca="false">IF(AND(OR($F375="Analogy",$F375="Assumed",$F375="Derived（待改公式）",$F375="Derived（公式）"),OR($N375="—",$N375="",$N375=0)),1,0)</f>
        <v>0</v>
      </c>
      <c r="Z375" s="32" t="n">
        <f aca="false">IF(AND($F375="Decision",OR($J375="—",$J375="")),1,0)</f>
        <v>0</v>
      </c>
      <c r="AA375" s="33" t="n">
        <f aca="false">IF(OR($J375="—",$J375=""),0,IF(COUNTIF(Decisions!$A$5:$A$300,$J375)=0,1,0))</f>
        <v>0</v>
      </c>
      <c r="AB375" s="32" t="n">
        <f aca="false">IF(AND($F375="原始數據",$S375&lt;&gt;"Active"),1,0)</f>
        <v>0</v>
      </c>
      <c r="AC375" s="32" t="n">
        <f aca="false">IF(AND(ISNUMBER($K375),ISNUMBER($L375),ISNUMBER($Q375)),IF(OR($Q375&lt;MIN($K375,$L375),$Q375&gt;MAX($K375,$L375)),1,0),0)</f>
        <v>0</v>
      </c>
      <c r="AD375" s="32" t="n">
        <f aca="false">IF(AND(ISNUMBER($T375),$P375="高"),IF($T375=3,1,0),0)</f>
        <v>0</v>
      </c>
      <c r="AE375" s="32" t="n">
        <f aca="false">IF($S375="不存在",1,0)</f>
        <v>0</v>
      </c>
      <c r="AF375" s="44" t="n">
        <f aca="false">IF(OR($H375="—",$H375=""),"—",MATCH($H375,IDX_SrcID,0))</f>
        <v>325</v>
      </c>
      <c r="AG375" s="32" t="n">
        <f aca="false">IF(AND($P375="高",OR($AD375=1,$X375=1)),1,0)</f>
        <v>0</v>
      </c>
      <c r="AH375" s="32" t="n">
        <f aca="false">IF(AND($P375="高",$AG375=0,OR($F375&lt;&gt;"原始數據",$T375&lt;&gt;1)),1,0)</f>
        <v>0</v>
      </c>
      <c r="AI375" s="44" t="str">
        <f aca="false">IF(AND($P375="高",ISNUMBER($AF375)),INDEX(IDX_SrcDate,$AF375),"—")</f>
        <v>—</v>
      </c>
      <c r="AJ375" s="32" t="n">
        <f aca="false">IF(AND(ISTEXT($AI375),LEN($AI375)=10),IF(ISNUMBER(VALUE(SUBSTITUTE($AI375,"-",""))),VALUE(SUBSTITUTE($AI375,"-","")),0),0)</f>
        <v>0</v>
      </c>
    </row>
    <row r="376" customFormat="false" ht="29.25" hidden="false" customHeight="true" outlineLevel="0" collapsed="false">
      <c r="A376" s="30" t="s">
        <v>5449</v>
      </c>
      <c r="B376" s="239" t="s">
        <v>4525</v>
      </c>
      <c r="C376" s="30" t="s">
        <v>5280</v>
      </c>
      <c r="D376" s="30" t="s">
        <v>5450</v>
      </c>
      <c r="E376" s="20" t="s">
        <v>5445</v>
      </c>
      <c r="F376" s="239" t="s">
        <v>348</v>
      </c>
      <c r="G376" s="239" t="s">
        <v>4527</v>
      </c>
      <c r="H376" s="30" t="s">
        <v>5446</v>
      </c>
      <c r="I376" s="20" t="s">
        <v>4870</v>
      </c>
      <c r="J376" s="30" t="s">
        <v>751</v>
      </c>
      <c r="K376" s="239"/>
      <c r="L376" s="239"/>
      <c r="M376" s="30" t="s">
        <v>751</v>
      </c>
      <c r="N376" s="20" t="s">
        <v>4665</v>
      </c>
      <c r="O376" s="6" t="s">
        <v>751</v>
      </c>
      <c r="P376" s="239" t="s">
        <v>4530</v>
      </c>
      <c r="Q376" s="195" t="n">
        <f aca="false">Calib!E118</f>
        <v>66.6666666666667</v>
      </c>
      <c r="R376" s="184" t="n">
        <f aca="false">SRC_PERF_031</f>
        <v>15</v>
      </c>
      <c r="S376" s="44" t="str">
        <f aca="false">IF(ISNUMBER($AF376),INDEX(IDX_SrcStat,$AF376),"—")</f>
        <v>Active</v>
      </c>
      <c r="T376" s="44" t="n">
        <f aca="false">IF(ISNUMBER($AF376),INDEX(IDX_SrcGrade,$AF376),"—")</f>
        <v>1</v>
      </c>
      <c r="U376" s="44" t="s">
        <v>4564</v>
      </c>
      <c r="V376" s="32" t="n">
        <f aca="false">IF(AND($F376="原始數據",$U376&lt;&gt;"連結 SRC"),1,0)</f>
        <v>0</v>
      </c>
      <c r="W376" s="32" t="n">
        <f aca="false">IF(AND($F376="Analogy",OR($H376="—",$H376="")),1,0)</f>
        <v>0</v>
      </c>
      <c r="X376" s="32" t="n">
        <f aca="false">IF(AND(OR($F376="Analogy",$F376="Assumed"),$G376&lt;&gt;"低",$G376&lt;&gt;"高",NOT(ISNUMBER($K376)),NOT(ISNUMBER($L376)),OR($M376="—",$M376="")),1,0)</f>
        <v>0</v>
      </c>
      <c r="Y376" s="32" t="n">
        <f aca="false">IF(AND(OR($F376="Analogy",$F376="Assumed",$F376="Derived（待改公式）",$F376="Derived（公式）"),OR($N376="—",$N376="",$N376=0)),1,0)</f>
        <v>0</v>
      </c>
      <c r="Z376" s="32" t="n">
        <f aca="false">IF(AND($F376="Decision",OR($J376="—",$J376="")),1,0)</f>
        <v>0</v>
      </c>
      <c r="AA376" s="33" t="n">
        <f aca="false">IF(OR($J376="—",$J376=""),0,IF(COUNTIF(Decisions!$A$5:$A$300,$J376)=0,1,0))</f>
        <v>0</v>
      </c>
      <c r="AB376" s="32" t="n">
        <f aca="false">IF(AND($F376="原始數據",$S376&lt;&gt;"Active"),1,0)</f>
        <v>0</v>
      </c>
      <c r="AC376" s="32" t="n">
        <f aca="false">IF(AND(ISNUMBER($K376),ISNUMBER($L376),ISNUMBER($Q376)),IF(OR($Q376&lt;MIN($K376,$L376),$Q376&gt;MAX($K376,$L376)),1,0),0)</f>
        <v>0</v>
      </c>
      <c r="AD376" s="32" t="n">
        <f aca="false">IF(AND(ISNUMBER($T376),$P376="高"),IF($T376=3,1,0),0)</f>
        <v>0</v>
      </c>
      <c r="AE376" s="32" t="n">
        <f aca="false">IF($S376="不存在",1,0)</f>
        <v>0</v>
      </c>
      <c r="AF376" s="44" t="n">
        <f aca="false">IF(OR($H376="—",$H376=""),"—",MATCH($H376,IDX_SrcID,0))</f>
        <v>325</v>
      </c>
      <c r="AG376" s="32" t="n">
        <f aca="false">IF(AND($P376="高",OR($AD376=1,$X376=1)),1,0)</f>
        <v>0</v>
      </c>
      <c r="AH376" s="32" t="n">
        <f aca="false">IF(AND($P376="高",$AG376=0,OR($F376&lt;&gt;"原始數據",$T376&lt;&gt;1)),1,0)</f>
        <v>0</v>
      </c>
      <c r="AI376" s="44" t="str">
        <f aca="false">IF(AND($P376="高",ISNUMBER($AF376)),INDEX(IDX_SrcDate,$AF376),"—")</f>
        <v>—</v>
      </c>
      <c r="AJ376" s="32" t="n">
        <f aca="false">IF(AND(ISTEXT($AI376),LEN($AI376)=10),IF(ISNUMBER(VALUE(SUBSTITUTE($AI376,"-",""))),VALUE(SUBSTITUTE($AI376,"-","")),0),0)</f>
        <v>0</v>
      </c>
    </row>
    <row r="377" customFormat="false" ht="29.25" hidden="false" customHeight="true" outlineLevel="0" collapsed="false">
      <c r="A377" s="30" t="s">
        <v>5451</v>
      </c>
      <c r="B377" s="239" t="s">
        <v>4525</v>
      </c>
      <c r="C377" s="30" t="s">
        <v>5280</v>
      </c>
      <c r="D377" s="30" t="s">
        <v>5452</v>
      </c>
      <c r="E377" s="20" t="s">
        <v>5445</v>
      </c>
      <c r="F377" s="239" t="s">
        <v>348</v>
      </c>
      <c r="G377" s="239" t="s">
        <v>4527</v>
      </c>
      <c r="H377" s="30" t="s">
        <v>5453</v>
      </c>
      <c r="I377" s="20" t="s">
        <v>4870</v>
      </c>
      <c r="J377" s="30" t="s">
        <v>751</v>
      </c>
      <c r="K377" s="239"/>
      <c r="L377" s="239"/>
      <c r="M377" s="30" t="s">
        <v>751</v>
      </c>
      <c r="N377" s="20" t="s">
        <v>4665</v>
      </c>
      <c r="O377" s="6" t="s">
        <v>751</v>
      </c>
      <c r="P377" s="239" t="s">
        <v>4530</v>
      </c>
      <c r="Q377" s="195" t="n">
        <f aca="false">Calib!F118</f>
        <v>12.5</v>
      </c>
      <c r="R377" s="184" t="n">
        <f aca="false">SRC_PERF_032</f>
        <v>80</v>
      </c>
      <c r="S377" s="44" t="str">
        <f aca="false">IF(ISNUMBER($AF377),INDEX(IDX_SrcStat,$AF377),"—")</f>
        <v>Active</v>
      </c>
      <c r="T377" s="44" t="n">
        <f aca="false">IF(ISNUMBER($AF377),INDEX(IDX_SrcGrade,$AF377),"—")</f>
        <v>1</v>
      </c>
      <c r="U377" s="44" t="s">
        <v>4564</v>
      </c>
      <c r="V377" s="32" t="n">
        <f aca="false">IF(AND($F377="原始數據",$U377&lt;&gt;"連結 SRC"),1,0)</f>
        <v>0</v>
      </c>
      <c r="W377" s="32" t="n">
        <f aca="false">IF(AND($F377="Analogy",OR($H377="—",$H377="")),1,0)</f>
        <v>0</v>
      </c>
      <c r="X377" s="32" t="n">
        <f aca="false">IF(AND(OR($F377="Analogy",$F377="Assumed"),$G377&lt;&gt;"低",$G377&lt;&gt;"高",NOT(ISNUMBER($K377)),NOT(ISNUMBER($L377)),OR($M377="—",$M377="")),1,0)</f>
        <v>0</v>
      </c>
      <c r="Y377" s="32" t="n">
        <f aca="false">IF(AND(OR($F377="Analogy",$F377="Assumed",$F377="Derived（待改公式）",$F377="Derived（公式）"),OR($N377="—",$N377="",$N377=0)),1,0)</f>
        <v>0</v>
      </c>
      <c r="Z377" s="32" t="n">
        <f aca="false">IF(AND($F377="Decision",OR($J377="—",$J377="")),1,0)</f>
        <v>0</v>
      </c>
      <c r="AA377" s="33" t="n">
        <f aca="false">IF(OR($J377="—",$J377=""),0,IF(COUNTIF(Decisions!$A$5:$A$300,$J377)=0,1,0))</f>
        <v>0</v>
      </c>
      <c r="AB377" s="32" t="n">
        <f aca="false">IF(AND($F377="原始數據",$S377&lt;&gt;"Active"),1,0)</f>
        <v>0</v>
      </c>
      <c r="AC377" s="32" t="n">
        <f aca="false">IF(AND(ISNUMBER($K377),ISNUMBER($L377),ISNUMBER($Q377)),IF(OR($Q377&lt;MIN($K377,$L377),$Q377&gt;MAX($K377,$L377)),1,0),0)</f>
        <v>0</v>
      </c>
      <c r="AD377" s="32" t="n">
        <f aca="false">IF(AND(ISNUMBER($T377),$P377="高"),IF($T377=3,1,0),0)</f>
        <v>0</v>
      </c>
      <c r="AE377" s="32" t="n">
        <f aca="false">IF($S377="不存在",1,0)</f>
        <v>0</v>
      </c>
      <c r="AF377" s="44" t="n">
        <f aca="false">IF(OR($H377="—",$H377=""),"—",MATCH($H377,IDX_SrcID,0))</f>
        <v>326</v>
      </c>
      <c r="AG377" s="32" t="n">
        <f aca="false">IF(AND($P377="高",OR($AD377=1,$X377=1)),1,0)</f>
        <v>0</v>
      </c>
      <c r="AH377" s="32" t="n">
        <f aca="false">IF(AND($P377="高",$AG377=0,OR($F377&lt;&gt;"原始數據",$T377&lt;&gt;1)),1,0)</f>
        <v>0</v>
      </c>
      <c r="AI377" s="44" t="str">
        <f aca="false">IF(AND($P377="高",ISNUMBER($AF377)),INDEX(IDX_SrcDate,$AF377),"—")</f>
        <v>—</v>
      </c>
      <c r="AJ377" s="32" t="n">
        <f aca="false">IF(AND(ISTEXT($AI377),LEN($AI377)=10),IF(ISNUMBER(VALUE(SUBSTITUTE($AI377,"-",""))),VALUE(SUBSTITUTE($AI377,"-","")),0),0)</f>
        <v>0</v>
      </c>
    </row>
    <row r="378" customFormat="false" ht="43.5" hidden="false" customHeight="true" outlineLevel="0" collapsed="false">
      <c r="A378" s="30" t="s">
        <v>5454</v>
      </c>
      <c r="B378" s="239" t="s">
        <v>4525</v>
      </c>
      <c r="C378" s="30" t="s">
        <v>5280</v>
      </c>
      <c r="D378" s="30" t="s">
        <v>5455</v>
      </c>
      <c r="E378" s="20" t="s">
        <v>5456</v>
      </c>
      <c r="F378" s="239" t="s">
        <v>4718</v>
      </c>
      <c r="G378" s="239" t="s">
        <v>4527</v>
      </c>
      <c r="H378" s="30" t="s">
        <v>5124</v>
      </c>
      <c r="I378" s="20" t="s">
        <v>5457</v>
      </c>
      <c r="J378" s="30" t="s">
        <v>751</v>
      </c>
      <c r="K378" s="239"/>
      <c r="L378" s="239"/>
      <c r="M378" s="30" t="s">
        <v>751</v>
      </c>
      <c r="N378" s="20" t="s">
        <v>5458</v>
      </c>
      <c r="O378" s="6" t="s">
        <v>751</v>
      </c>
      <c r="P378" s="239" t="s">
        <v>4530</v>
      </c>
      <c r="Q378" s="33" t="n">
        <f aca="false">Calib!C119</f>
        <v>1</v>
      </c>
      <c r="R378" s="184" t="n">
        <f aca="false">SRC_PERF_035</f>
        <v>3</v>
      </c>
      <c r="S378" s="44" t="str">
        <f aca="false">IF(ISNUMBER($AF378),INDEX(IDX_SrcStat,$AF378),"—")</f>
        <v>Active</v>
      </c>
      <c r="T378" s="44" t="n">
        <f aca="false">IF(ISNUMBER($AF378),INDEX(IDX_SrcGrade,$AF378),"—")</f>
        <v>1</v>
      </c>
      <c r="U378" s="44" t="s">
        <v>4531</v>
      </c>
      <c r="V378" s="32" t="n">
        <f aca="false">IF(AND($F378="原始數據",$U378&lt;&gt;"連結 SRC"),1,0)</f>
        <v>0</v>
      </c>
      <c r="W378" s="32" t="n">
        <f aca="false">IF(AND($F378="Analogy",OR($H378="—",$H378="")),1,0)</f>
        <v>0</v>
      </c>
      <c r="X378" s="32" t="n">
        <f aca="false">IF(AND(OR($F378="Analogy",$F378="Assumed"),$G378&lt;&gt;"低",$G378&lt;&gt;"高",NOT(ISNUMBER($K378)),NOT(ISNUMBER($L378)),OR($M378="—",$M378="")),1,0)</f>
        <v>0</v>
      </c>
      <c r="Y378" s="32" t="n">
        <f aca="false">IF(AND(OR($F378="Analogy",$F378="Assumed",$F378="Derived（待改公式）",$F378="Derived（公式）"),OR($N378="—",$N378="",$N378=0)),1,0)</f>
        <v>0</v>
      </c>
      <c r="Z378" s="32" t="n">
        <f aca="false">IF(AND($F378="Decision",OR($J378="—",$J378="")),1,0)</f>
        <v>0</v>
      </c>
      <c r="AA378" s="33" t="n">
        <f aca="false">IF(OR($J378="—",$J378=""),0,IF(COUNTIF(Decisions!$A$5:$A$300,$J378)=0,1,0))</f>
        <v>0</v>
      </c>
      <c r="AB378" s="32" t="n">
        <f aca="false">IF(AND($F378="原始數據",$S378&lt;&gt;"Active"),1,0)</f>
        <v>0</v>
      </c>
      <c r="AC378" s="32" t="n">
        <f aca="false">IF(AND(ISNUMBER($K378),ISNUMBER($L378),ISNUMBER($Q378)),IF(OR($Q378&lt;MIN($K378,$L378),$Q378&gt;MAX($K378,$L378)),1,0),0)</f>
        <v>0</v>
      </c>
      <c r="AD378" s="32" t="n">
        <f aca="false">IF(AND(ISNUMBER($T378),$P378="高"),IF($T378=3,1,0),0)</f>
        <v>0</v>
      </c>
      <c r="AE378" s="32" t="n">
        <f aca="false">IF($S378="不存在",1,0)</f>
        <v>0</v>
      </c>
      <c r="AF378" s="44" t="n">
        <f aca="false">IF(OR($H378="—",$H378=""),"—",MATCH($H378,IDX_SrcID,0))</f>
        <v>329</v>
      </c>
      <c r="AG378" s="32" t="n">
        <f aca="false">IF(AND($P378="高",OR($AD378=1,$X378=1)),1,0)</f>
        <v>0</v>
      </c>
      <c r="AH378" s="32" t="n">
        <f aca="false">IF(AND($P378="高",$AG378=0,OR($F378&lt;&gt;"原始數據",$T378&lt;&gt;1)),1,0)</f>
        <v>0</v>
      </c>
      <c r="AI378" s="44" t="str">
        <f aca="false">IF(AND($P378="高",ISNUMBER($AF378)),INDEX(IDX_SrcDate,$AF378),"—")</f>
        <v>—</v>
      </c>
      <c r="AJ378" s="32" t="n">
        <f aca="false">IF(AND(ISTEXT($AI378),LEN($AI378)=10),IF(ISNUMBER(VALUE(SUBSTITUTE($AI378,"-",""))),VALUE(SUBSTITUTE($AI378,"-","")),0),0)</f>
        <v>0</v>
      </c>
    </row>
    <row r="379" customFormat="false" ht="43.5" hidden="false" customHeight="true" outlineLevel="0" collapsed="false">
      <c r="A379" s="30" t="s">
        <v>5459</v>
      </c>
      <c r="B379" s="239" t="s">
        <v>4525</v>
      </c>
      <c r="C379" s="30" t="s">
        <v>5280</v>
      </c>
      <c r="D379" s="30" t="s">
        <v>5460</v>
      </c>
      <c r="E379" s="20" t="s">
        <v>5456</v>
      </c>
      <c r="F379" s="239" t="s">
        <v>4718</v>
      </c>
      <c r="G379" s="239" t="s">
        <v>4527</v>
      </c>
      <c r="H379" s="30" t="s">
        <v>5124</v>
      </c>
      <c r="I379" s="20" t="s">
        <v>5457</v>
      </c>
      <c r="J379" s="30" t="s">
        <v>751</v>
      </c>
      <c r="K379" s="239"/>
      <c r="L379" s="239"/>
      <c r="M379" s="30" t="s">
        <v>751</v>
      </c>
      <c r="N379" s="20" t="s">
        <v>5458</v>
      </c>
      <c r="O379" s="6" t="s">
        <v>751</v>
      </c>
      <c r="P379" s="239" t="s">
        <v>4530</v>
      </c>
      <c r="Q379" s="33" t="n">
        <f aca="false">Calib!D119</f>
        <v>1</v>
      </c>
      <c r="R379" s="184" t="n">
        <f aca="false">SRC_PERF_035</f>
        <v>3</v>
      </c>
      <c r="S379" s="44" t="str">
        <f aca="false">IF(ISNUMBER($AF379),INDEX(IDX_SrcStat,$AF379),"—")</f>
        <v>Active</v>
      </c>
      <c r="T379" s="44" t="n">
        <f aca="false">IF(ISNUMBER($AF379),INDEX(IDX_SrcGrade,$AF379),"—")</f>
        <v>1</v>
      </c>
      <c r="U379" s="44" t="s">
        <v>4531</v>
      </c>
      <c r="V379" s="32" t="n">
        <f aca="false">IF(AND($F379="原始數據",$U379&lt;&gt;"連結 SRC"),1,0)</f>
        <v>0</v>
      </c>
      <c r="W379" s="32" t="n">
        <f aca="false">IF(AND($F379="Analogy",OR($H379="—",$H379="")),1,0)</f>
        <v>0</v>
      </c>
      <c r="X379" s="32" t="n">
        <f aca="false">IF(AND(OR($F379="Analogy",$F379="Assumed"),$G379&lt;&gt;"低",$G379&lt;&gt;"高",NOT(ISNUMBER($K379)),NOT(ISNUMBER($L379)),OR($M379="—",$M379="")),1,0)</f>
        <v>0</v>
      </c>
      <c r="Y379" s="32" t="n">
        <f aca="false">IF(AND(OR($F379="Analogy",$F379="Assumed",$F379="Derived（待改公式）",$F379="Derived（公式）"),OR($N379="—",$N379="",$N379=0)),1,0)</f>
        <v>0</v>
      </c>
      <c r="Z379" s="32" t="n">
        <f aca="false">IF(AND($F379="Decision",OR($J379="—",$J379="")),1,0)</f>
        <v>0</v>
      </c>
      <c r="AA379" s="33" t="n">
        <f aca="false">IF(OR($J379="—",$J379=""),0,IF(COUNTIF(Decisions!$A$5:$A$300,$J379)=0,1,0))</f>
        <v>0</v>
      </c>
      <c r="AB379" s="32" t="n">
        <f aca="false">IF(AND($F379="原始數據",$S379&lt;&gt;"Active"),1,0)</f>
        <v>0</v>
      </c>
      <c r="AC379" s="32" t="n">
        <f aca="false">IF(AND(ISNUMBER($K379),ISNUMBER($L379),ISNUMBER($Q379)),IF(OR($Q379&lt;MIN($K379,$L379),$Q379&gt;MAX($K379,$L379)),1,0),0)</f>
        <v>0</v>
      </c>
      <c r="AD379" s="32" t="n">
        <f aca="false">IF(AND(ISNUMBER($T379),$P379="高"),IF($T379=3,1,0),0)</f>
        <v>0</v>
      </c>
      <c r="AE379" s="32" t="n">
        <f aca="false">IF($S379="不存在",1,0)</f>
        <v>0</v>
      </c>
      <c r="AF379" s="44" t="n">
        <f aca="false">IF(OR($H379="—",$H379=""),"—",MATCH($H379,IDX_SrcID,0))</f>
        <v>329</v>
      </c>
      <c r="AG379" s="32" t="n">
        <f aca="false">IF(AND($P379="高",OR($AD379=1,$X379=1)),1,0)</f>
        <v>0</v>
      </c>
      <c r="AH379" s="32" t="n">
        <f aca="false">IF(AND($P379="高",$AG379=0,OR($F379&lt;&gt;"原始數據",$T379&lt;&gt;1)),1,0)</f>
        <v>0</v>
      </c>
      <c r="AI379" s="44" t="str">
        <f aca="false">IF(AND($P379="高",ISNUMBER($AF379)),INDEX(IDX_SrcDate,$AF379),"—")</f>
        <v>—</v>
      </c>
      <c r="AJ379" s="32" t="n">
        <f aca="false">IF(AND(ISTEXT($AI379),LEN($AI379)=10),IF(ISNUMBER(VALUE(SUBSTITUTE($AI379,"-",""))),VALUE(SUBSTITUTE($AI379,"-","")),0),0)</f>
        <v>0</v>
      </c>
    </row>
    <row r="380" customFormat="false" ht="43.5" hidden="false" customHeight="true" outlineLevel="0" collapsed="false">
      <c r="A380" s="30" t="s">
        <v>5461</v>
      </c>
      <c r="B380" s="239" t="s">
        <v>4525</v>
      </c>
      <c r="C380" s="30" t="s">
        <v>5280</v>
      </c>
      <c r="D380" s="30" t="s">
        <v>5462</v>
      </c>
      <c r="E380" s="20" t="s">
        <v>5456</v>
      </c>
      <c r="F380" s="239" t="s">
        <v>4718</v>
      </c>
      <c r="G380" s="239" t="s">
        <v>4527</v>
      </c>
      <c r="H380" s="30" t="s">
        <v>5124</v>
      </c>
      <c r="I380" s="20" t="s">
        <v>5457</v>
      </c>
      <c r="J380" s="30" t="s">
        <v>751</v>
      </c>
      <c r="K380" s="239"/>
      <c r="L380" s="239"/>
      <c r="M380" s="30" t="s">
        <v>751</v>
      </c>
      <c r="N380" s="20" t="s">
        <v>5458</v>
      </c>
      <c r="O380" s="6" t="s">
        <v>751</v>
      </c>
      <c r="P380" s="239" t="s">
        <v>4530</v>
      </c>
      <c r="Q380" s="33" t="n">
        <f aca="false">Calib!E119</f>
        <v>1</v>
      </c>
      <c r="R380" s="184" t="n">
        <f aca="false">SRC_PERF_035</f>
        <v>3</v>
      </c>
      <c r="S380" s="44" t="str">
        <f aca="false">IF(ISNUMBER($AF380),INDEX(IDX_SrcStat,$AF380),"—")</f>
        <v>Active</v>
      </c>
      <c r="T380" s="44" t="n">
        <f aca="false">IF(ISNUMBER($AF380),INDEX(IDX_SrcGrade,$AF380),"—")</f>
        <v>1</v>
      </c>
      <c r="U380" s="44" t="s">
        <v>4531</v>
      </c>
      <c r="V380" s="32" t="n">
        <f aca="false">IF(AND($F380="原始數據",$U380&lt;&gt;"連結 SRC"),1,0)</f>
        <v>0</v>
      </c>
      <c r="W380" s="32" t="n">
        <f aca="false">IF(AND($F380="Analogy",OR($H380="—",$H380="")),1,0)</f>
        <v>0</v>
      </c>
      <c r="X380" s="32" t="n">
        <f aca="false">IF(AND(OR($F380="Analogy",$F380="Assumed"),$G380&lt;&gt;"低",$G380&lt;&gt;"高",NOT(ISNUMBER($K380)),NOT(ISNUMBER($L380)),OR($M380="—",$M380="")),1,0)</f>
        <v>0</v>
      </c>
      <c r="Y380" s="32" t="n">
        <f aca="false">IF(AND(OR($F380="Analogy",$F380="Assumed",$F380="Derived（待改公式）",$F380="Derived（公式）"),OR($N380="—",$N380="",$N380=0)),1,0)</f>
        <v>0</v>
      </c>
      <c r="Z380" s="32" t="n">
        <f aca="false">IF(AND($F380="Decision",OR($J380="—",$J380="")),1,0)</f>
        <v>0</v>
      </c>
      <c r="AA380" s="33" t="n">
        <f aca="false">IF(OR($J380="—",$J380=""),0,IF(COUNTIF(Decisions!$A$5:$A$300,$J380)=0,1,0))</f>
        <v>0</v>
      </c>
      <c r="AB380" s="32" t="n">
        <f aca="false">IF(AND($F380="原始數據",$S380&lt;&gt;"Active"),1,0)</f>
        <v>0</v>
      </c>
      <c r="AC380" s="32" t="n">
        <f aca="false">IF(AND(ISNUMBER($K380),ISNUMBER($L380),ISNUMBER($Q380)),IF(OR($Q380&lt;MIN($K380,$L380),$Q380&gt;MAX($K380,$L380)),1,0),0)</f>
        <v>0</v>
      </c>
      <c r="AD380" s="32" t="n">
        <f aca="false">IF(AND(ISNUMBER($T380),$P380="高"),IF($T380=3,1,0),0)</f>
        <v>0</v>
      </c>
      <c r="AE380" s="32" t="n">
        <f aca="false">IF($S380="不存在",1,0)</f>
        <v>0</v>
      </c>
      <c r="AF380" s="44" t="n">
        <f aca="false">IF(OR($H380="—",$H380=""),"—",MATCH($H380,IDX_SrcID,0))</f>
        <v>329</v>
      </c>
      <c r="AG380" s="32" t="n">
        <f aca="false">IF(AND($P380="高",OR($AD380=1,$X380=1)),1,0)</f>
        <v>0</v>
      </c>
      <c r="AH380" s="32" t="n">
        <f aca="false">IF(AND($P380="高",$AG380=0,OR($F380&lt;&gt;"原始數據",$T380&lt;&gt;1)),1,0)</f>
        <v>0</v>
      </c>
      <c r="AI380" s="44" t="str">
        <f aca="false">IF(AND($P380="高",ISNUMBER($AF380)),INDEX(IDX_SrcDate,$AF380),"—")</f>
        <v>—</v>
      </c>
      <c r="AJ380" s="32" t="n">
        <f aca="false">IF(AND(ISTEXT($AI380),LEN($AI380)=10),IF(ISNUMBER(VALUE(SUBSTITUTE($AI380,"-",""))),VALUE(SUBSTITUTE($AI380,"-","")),0),0)</f>
        <v>0</v>
      </c>
    </row>
    <row r="381" customFormat="false" ht="43.5" hidden="false" customHeight="true" outlineLevel="0" collapsed="false">
      <c r="A381" s="30" t="s">
        <v>5463</v>
      </c>
      <c r="B381" s="239" t="s">
        <v>4525</v>
      </c>
      <c r="C381" s="30" t="s">
        <v>5280</v>
      </c>
      <c r="D381" s="30" t="s">
        <v>5464</v>
      </c>
      <c r="E381" s="20" t="s">
        <v>5456</v>
      </c>
      <c r="F381" s="239" t="s">
        <v>4718</v>
      </c>
      <c r="G381" s="239" t="s">
        <v>4527</v>
      </c>
      <c r="H381" s="30" t="s">
        <v>5124</v>
      </c>
      <c r="I381" s="20" t="s">
        <v>5465</v>
      </c>
      <c r="J381" s="30" t="s">
        <v>751</v>
      </c>
      <c r="K381" s="239"/>
      <c r="L381" s="239"/>
      <c r="M381" s="30" t="s">
        <v>751</v>
      </c>
      <c r="N381" s="20" t="s">
        <v>5466</v>
      </c>
      <c r="O381" s="6" t="s">
        <v>751</v>
      </c>
      <c r="P381" s="239" t="s">
        <v>4530</v>
      </c>
      <c r="Q381" s="33" t="n">
        <f aca="false">Calib!F119</f>
        <v>0</v>
      </c>
      <c r="R381" s="184" t="n">
        <f aca="false">SRC_PERF_035</f>
        <v>3</v>
      </c>
      <c r="S381" s="44" t="str">
        <f aca="false">IF(ISNUMBER($AF381),INDEX(IDX_SrcStat,$AF381),"—")</f>
        <v>Active</v>
      </c>
      <c r="T381" s="44" t="n">
        <f aca="false">IF(ISNUMBER($AF381),INDEX(IDX_SrcGrade,$AF381),"—")</f>
        <v>1</v>
      </c>
      <c r="U381" s="44" t="s">
        <v>4531</v>
      </c>
      <c r="V381" s="32" t="n">
        <f aca="false">IF(AND($F381="原始數據",$U381&lt;&gt;"連結 SRC"),1,0)</f>
        <v>0</v>
      </c>
      <c r="W381" s="32" t="n">
        <f aca="false">IF(AND($F381="Analogy",OR($H381="—",$H381="")),1,0)</f>
        <v>0</v>
      </c>
      <c r="X381" s="32" t="n">
        <f aca="false">IF(AND(OR($F381="Analogy",$F381="Assumed"),$G381&lt;&gt;"低",$G381&lt;&gt;"高",NOT(ISNUMBER($K381)),NOT(ISNUMBER($L381)),OR($M381="—",$M381="")),1,0)</f>
        <v>0</v>
      </c>
      <c r="Y381" s="32" t="n">
        <f aca="false">IF(AND(OR($F381="Analogy",$F381="Assumed",$F381="Derived（待改公式）",$F381="Derived（公式）"),OR($N381="—",$N381="",$N381=0)),1,0)</f>
        <v>0</v>
      </c>
      <c r="Z381" s="32" t="n">
        <f aca="false">IF(AND($F381="Decision",OR($J381="—",$J381="")),1,0)</f>
        <v>0</v>
      </c>
      <c r="AA381" s="33" t="n">
        <f aca="false">IF(OR($J381="—",$J381=""),0,IF(COUNTIF(Decisions!$A$5:$A$300,$J381)=0,1,0))</f>
        <v>0</v>
      </c>
      <c r="AB381" s="32" t="n">
        <f aca="false">IF(AND($F381="原始數據",$S381&lt;&gt;"Active"),1,0)</f>
        <v>0</v>
      </c>
      <c r="AC381" s="32" t="n">
        <f aca="false">IF(AND(ISNUMBER($K381),ISNUMBER($L381),ISNUMBER($Q381)),IF(OR($Q381&lt;MIN($K381,$L381),$Q381&gt;MAX($K381,$L381)),1,0),0)</f>
        <v>0</v>
      </c>
      <c r="AD381" s="32" t="n">
        <f aca="false">IF(AND(ISNUMBER($T381),$P381="高"),IF($T381=3,1,0),0)</f>
        <v>0</v>
      </c>
      <c r="AE381" s="32" t="n">
        <f aca="false">IF($S381="不存在",1,0)</f>
        <v>0</v>
      </c>
      <c r="AF381" s="44" t="n">
        <f aca="false">IF(OR($H381="—",$H381=""),"—",MATCH($H381,IDX_SrcID,0))</f>
        <v>329</v>
      </c>
      <c r="AG381" s="32" t="n">
        <f aca="false">IF(AND($P381="高",OR($AD381=1,$X381=1)),1,0)</f>
        <v>0</v>
      </c>
      <c r="AH381" s="32" t="n">
        <f aca="false">IF(AND($P381="高",$AG381=0,OR($F381&lt;&gt;"原始數據",$T381&lt;&gt;1)),1,0)</f>
        <v>0</v>
      </c>
      <c r="AI381" s="44" t="str">
        <f aca="false">IF(AND($P381="高",ISNUMBER($AF381)),INDEX(IDX_SrcDate,$AF381),"—")</f>
        <v>—</v>
      </c>
      <c r="AJ381" s="32" t="n">
        <f aca="false">IF(AND(ISTEXT($AI381),LEN($AI381)=10),IF(ISNUMBER(VALUE(SUBSTITUTE($AI381,"-",""))),VALUE(SUBSTITUTE($AI381,"-","")),0),0)</f>
        <v>0</v>
      </c>
    </row>
    <row r="382" customFormat="false" ht="29.25" hidden="false" customHeight="true" outlineLevel="0" collapsed="false">
      <c r="A382" s="30" t="s">
        <v>5467</v>
      </c>
      <c r="B382" s="239" t="s">
        <v>4525</v>
      </c>
      <c r="C382" s="30" t="s">
        <v>5280</v>
      </c>
      <c r="D382" s="30" t="s">
        <v>5468</v>
      </c>
      <c r="E382" s="6" t="s">
        <v>654</v>
      </c>
      <c r="F382" s="239" t="s">
        <v>348</v>
      </c>
      <c r="G382" s="239" t="s">
        <v>4527</v>
      </c>
      <c r="H382" s="30" t="s">
        <v>5469</v>
      </c>
      <c r="I382" s="20" t="s">
        <v>4870</v>
      </c>
      <c r="J382" s="30" t="s">
        <v>751</v>
      </c>
      <c r="K382" s="239"/>
      <c r="L382" s="239"/>
      <c r="M382" s="30" t="s">
        <v>751</v>
      </c>
      <c r="N382" s="20" t="s">
        <v>4665</v>
      </c>
      <c r="O382" s="6" t="s">
        <v>751</v>
      </c>
      <c r="P382" s="239" t="s">
        <v>4530</v>
      </c>
      <c r="Q382" s="49" t="n">
        <f aca="false">Calib!C120</f>
        <v>3520.91666666667</v>
      </c>
      <c r="R382" s="184" t="n">
        <f aca="false">SRC_PERF_028</f>
        <v>253506</v>
      </c>
      <c r="S382" s="44" t="str">
        <f aca="false">IF(ISNUMBER($AF382),INDEX(IDX_SrcStat,$AF382),"—")</f>
        <v>Active</v>
      </c>
      <c r="T382" s="44" t="n">
        <f aca="false">IF(ISNUMBER($AF382),INDEX(IDX_SrcGrade,$AF382),"—")</f>
        <v>1</v>
      </c>
      <c r="U382" s="44" t="s">
        <v>4564</v>
      </c>
      <c r="V382" s="32" t="n">
        <f aca="false">IF(AND($F382="原始數據",$U382&lt;&gt;"連結 SRC"),1,0)</f>
        <v>0</v>
      </c>
      <c r="W382" s="32" t="n">
        <f aca="false">IF(AND($F382="Analogy",OR($H382="—",$H382="")),1,0)</f>
        <v>0</v>
      </c>
      <c r="X382" s="32" t="n">
        <f aca="false">IF(AND(OR($F382="Analogy",$F382="Assumed"),$G382&lt;&gt;"低",$G382&lt;&gt;"高",NOT(ISNUMBER($K382)),NOT(ISNUMBER($L382)),OR($M382="—",$M382="")),1,0)</f>
        <v>0</v>
      </c>
      <c r="Y382" s="32" t="n">
        <f aca="false">IF(AND(OR($F382="Analogy",$F382="Assumed",$F382="Derived（待改公式）",$F382="Derived（公式）"),OR($N382="—",$N382="",$N382=0)),1,0)</f>
        <v>0</v>
      </c>
      <c r="Z382" s="32" t="n">
        <f aca="false">IF(AND($F382="Decision",OR($J382="—",$J382="")),1,0)</f>
        <v>0</v>
      </c>
      <c r="AA382" s="33" t="n">
        <f aca="false">IF(OR($J382="—",$J382=""),0,IF(COUNTIF(Decisions!$A$5:$A$300,$J382)=0,1,0))</f>
        <v>0</v>
      </c>
      <c r="AB382" s="32" t="n">
        <f aca="false">IF(AND($F382="原始數據",$S382&lt;&gt;"Active"),1,0)</f>
        <v>0</v>
      </c>
      <c r="AC382" s="32" t="n">
        <f aca="false">IF(AND(ISNUMBER($K382),ISNUMBER($L382),ISNUMBER($Q382)),IF(OR($Q382&lt;MIN($K382,$L382),$Q382&gt;MAX($K382,$L382)),1,0),0)</f>
        <v>0</v>
      </c>
      <c r="AD382" s="32" t="n">
        <f aca="false">IF(AND(ISNUMBER($T382),$P382="高"),IF($T382=3,1,0),0)</f>
        <v>0</v>
      </c>
      <c r="AE382" s="32" t="n">
        <f aca="false">IF($S382="不存在",1,0)</f>
        <v>0</v>
      </c>
      <c r="AF382" s="44" t="n">
        <f aca="false">IF(OR($H382="—",$H382=""),"—",MATCH($H382,IDX_SrcID,0))</f>
        <v>322</v>
      </c>
      <c r="AG382" s="32" t="n">
        <f aca="false">IF(AND($P382="高",OR($AD382=1,$X382=1)),1,0)</f>
        <v>0</v>
      </c>
      <c r="AH382" s="32" t="n">
        <f aca="false">IF(AND($P382="高",$AG382=0,OR($F382&lt;&gt;"原始數據",$T382&lt;&gt;1)),1,0)</f>
        <v>0</v>
      </c>
      <c r="AI382" s="44" t="str">
        <f aca="false">IF(AND($P382="高",ISNUMBER($AF382)),INDEX(IDX_SrcDate,$AF382),"—")</f>
        <v>—</v>
      </c>
      <c r="AJ382" s="32" t="n">
        <f aca="false">IF(AND(ISTEXT($AI382),LEN($AI382)=10),IF(ISNUMBER(VALUE(SUBSTITUTE($AI382,"-",""))),VALUE(SUBSTITUTE($AI382,"-","")),0),0)</f>
        <v>0</v>
      </c>
    </row>
    <row r="383" customFormat="false" ht="29.25" hidden="false" customHeight="true" outlineLevel="0" collapsed="false">
      <c r="A383" s="30" t="s">
        <v>5470</v>
      </c>
      <c r="B383" s="239" t="s">
        <v>4525</v>
      </c>
      <c r="C383" s="30" t="s">
        <v>5280</v>
      </c>
      <c r="D383" s="30" t="s">
        <v>5471</v>
      </c>
      <c r="E383" s="6" t="s">
        <v>654</v>
      </c>
      <c r="F383" s="239" t="s">
        <v>348</v>
      </c>
      <c r="G383" s="239" t="s">
        <v>4527</v>
      </c>
      <c r="H383" s="30" t="s">
        <v>5472</v>
      </c>
      <c r="I383" s="20" t="s">
        <v>4870</v>
      </c>
      <c r="J383" s="30" t="s">
        <v>751</v>
      </c>
      <c r="K383" s="239"/>
      <c r="L383" s="239"/>
      <c r="M383" s="30" t="s">
        <v>751</v>
      </c>
      <c r="N383" s="20" t="s">
        <v>4665</v>
      </c>
      <c r="O383" s="6" t="s">
        <v>751</v>
      </c>
      <c r="P383" s="239" t="s">
        <v>4530</v>
      </c>
      <c r="Q383" s="49" t="n">
        <f aca="false">Calib!D120</f>
        <v>3337.75</v>
      </c>
      <c r="R383" s="184" t="n">
        <f aca="false">SRC_PERF_025</f>
        <v>240318</v>
      </c>
      <c r="S383" s="44" t="str">
        <f aca="false">IF(ISNUMBER($AF383),INDEX(IDX_SrcStat,$AF383),"—")</f>
        <v>Active</v>
      </c>
      <c r="T383" s="44" t="n">
        <f aca="false">IF(ISNUMBER($AF383),INDEX(IDX_SrcGrade,$AF383),"—")</f>
        <v>2</v>
      </c>
      <c r="U383" s="44" t="s">
        <v>4564</v>
      </c>
      <c r="V383" s="32" t="n">
        <f aca="false">IF(AND($F383="原始數據",$U383&lt;&gt;"連結 SRC"),1,0)</f>
        <v>0</v>
      </c>
      <c r="W383" s="32" t="n">
        <f aca="false">IF(AND($F383="Analogy",OR($H383="—",$H383="")),1,0)</f>
        <v>0</v>
      </c>
      <c r="X383" s="32" t="n">
        <f aca="false">IF(AND(OR($F383="Analogy",$F383="Assumed"),$G383&lt;&gt;"低",$G383&lt;&gt;"高",NOT(ISNUMBER($K383)),NOT(ISNUMBER($L383)),OR($M383="—",$M383="")),1,0)</f>
        <v>0</v>
      </c>
      <c r="Y383" s="32" t="n">
        <f aca="false">IF(AND(OR($F383="Analogy",$F383="Assumed",$F383="Derived（待改公式）",$F383="Derived（公式）"),OR($N383="—",$N383="",$N383=0)),1,0)</f>
        <v>0</v>
      </c>
      <c r="Z383" s="32" t="n">
        <f aca="false">IF(AND($F383="Decision",OR($J383="—",$J383="")),1,0)</f>
        <v>0</v>
      </c>
      <c r="AA383" s="33" t="n">
        <f aca="false">IF(OR($J383="—",$J383=""),0,IF(COUNTIF(Decisions!$A$5:$A$300,$J383)=0,1,0))</f>
        <v>0</v>
      </c>
      <c r="AB383" s="32" t="n">
        <f aca="false">IF(AND($F383="原始數據",$S383&lt;&gt;"Active"),1,0)</f>
        <v>0</v>
      </c>
      <c r="AC383" s="32" t="n">
        <f aca="false">IF(AND(ISNUMBER($K383),ISNUMBER($L383),ISNUMBER($Q383)),IF(OR($Q383&lt;MIN($K383,$L383),$Q383&gt;MAX($K383,$L383)),1,0),0)</f>
        <v>0</v>
      </c>
      <c r="AD383" s="32" t="n">
        <f aca="false">IF(AND(ISNUMBER($T383),$P383="高"),IF($T383=3,1,0),0)</f>
        <v>0</v>
      </c>
      <c r="AE383" s="32" t="n">
        <f aca="false">IF($S383="不存在",1,0)</f>
        <v>0</v>
      </c>
      <c r="AF383" s="44" t="n">
        <f aca="false">IF(OR($H383="—",$H383=""),"—",MATCH($H383,IDX_SrcID,0))</f>
        <v>319</v>
      </c>
      <c r="AG383" s="32" t="n">
        <f aca="false">IF(AND($P383="高",OR($AD383=1,$X383=1)),1,0)</f>
        <v>0</v>
      </c>
      <c r="AH383" s="32" t="n">
        <f aca="false">IF(AND($P383="高",$AG383=0,OR($F383&lt;&gt;"原始數據",$T383&lt;&gt;1)),1,0)</f>
        <v>0</v>
      </c>
      <c r="AI383" s="44" t="str">
        <f aca="false">IF(AND($P383="高",ISNUMBER($AF383)),INDEX(IDX_SrcDate,$AF383),"—")</f>
        <v>—</v>
      </c>
      <c r="AJ383" s="32" t="n">
        <f aca="false">IF(AND(ISTEXT($AI383),LEN($AI383)=10),IF(ISNUMBER(VALUE(SUBSTITUTE($AI383,"-",""))),VALUE(SUBSTITUTE($AI383,"-","")),0),0)</f>
        <v>0</v>
      </c>
    </row>
    <row r="384" customFormat="false" ht="29.25" hidden="false" customHeight="true" outlineLevel="0" collapsed="false">
      <c r="A384" s="30" t="s">
        <v>5473</v>
      </c>
      <c r="B384" s="239" t="s">
        <v>4525</v>
      </c>
      <c r="C384" s="30" t="s">
        <v>5280</v>
      </c>
      <c r="D384" s="30" t="s">
        <v>5474</v>
      </c>
      <c r="E384" s="6" t="s">
        <v>654</v>
      </c>
      <c r="F384" s="239" t="s">
        <v>348</v>
      </c>
      <c r="G384" s="239" t="s">
        <v>4527</v>
      </c>
      <c r="H384" s="30" t="s">
        <v>5475</v>
      </c>
      <c r="I384" s="20" t="s">
        <v>4870</v>
      </c>
      <c r="J384" s="30" t="s">
        <v>751</v>
      </c>
      <c r="K384" s="239"/>
      <c r="L384" s="239"/>
      <c r="M384" s="30" t="s">
        <v>751</v>
      </c>
      <c r="N384" s="20" t="s">
        <v>4665</v>
      </c>
      <c r="O384" s="6" t="s">
        <v>751</v>
      </c>
      <c r="P384" s="239" t="s">
        <v>4530</v>
      </c>
      <c r="Q384" s="49" t="n">
        <f aca="false">Calib!E120</f>
        <v>9065.97222222222</v>
      </c>
      <c r="R384" s="184" t="n">
        <f aca="false">SRC_PERF_027</f>
        <v>652750</v>
      </c>
      <c r="S384" s="44" t="str">
        <f aca="false">IF(ISNUMBER($AF384),INDEX(IDX_SrcStat,$AF384),"—")</f>
        <v>Active</v>
      </c>
      <c r="T384" s="44" t="n">
        <f aca="false">IF(ISNUMBER($AF384),INDEX(IDX_SrcGrade,$AF384),"—")</f>
        <v>1</v>
      </c>
      <c r="U384" s="44" t="s">
        <v>4564</v>
      </c>
      <c r="V384" s="32" t="n">
        <f aca="false">IF(AND($F384="原始數據",$U384&lt;&gt;"連結 SRC"),1,0)</f>
        <v>0</v>
      </c>
      <c r="W384" s="32" t="n">
        <f aca="false">IF(AND($F384="Analogy",OR($H384="—",$H384="")),1,0)</f>
        <v>0</v>
      </c>
      <c r="X384" s="32" t="n">
        <f aca="false">IF(AND(OR($F384="Analogy",$F384="Assumed"),$G384&lt;&gt;"低",$G384&lt;&gt;"高",NOT(ISNUMBER($K384)),NOT(ISNUMBER($L384)),OR($M384="—",$M384="")),1,0)</f>
        <v>0</v>
      </c>
      <c r="Y384" s="32" t="n">
        <f aca="false">IF(AND(OR($F384="Analogy",$F384="Assumed",$F384="Derived（待改公式）",$F384="Derived（公式）"),OR($N384="—",$N384="",$N384=0)),1,0)</f>
        <v>0</v>
      </c>
      <c r="Z384" s="32" t="n">
        <f aca="false">IF(AND($F384="Decision",OR($J384="—",$J384="")),1,0)</f>
        <v>0</v>
      </c>
      <c r="AA384" s="33" t="n">
        <f aca="false">IF(OR($J384="—",$J384=""),0,IF(COUNTIF(Decisions!$A$5:$A$300,$J384)=0,1,0))</f>
        <v>0</v>
      </c>
      <c r="AB384" s="32" t="n">
        <f aca="false">IF(AND($F384="原始數據",$S384&lt;&gt;"Active"),1,0)</f>
        <v>0</v>
      </c>
      <c r="AC384" s="32" t="n">
        <f aca="false">IF(AND(ISNUMBER($K384),ISNUMBER($L384),ISNUMBER($Q384)),IF(OR($Q384&lt;MIN($K384,$L384),$Q384&gt;MAX($K384,$L384)),1,0),0)</f>
        <v>0</v>
      </c>
      <c r="AD384" s="32" t="n">
        <f aca="false">IF(AND(ISNUMBER($T384),$P384="高"),IF($T384=3,1,0),0)</f>
        <v>0</v>
      </c>
      <c r="AE384" s="32" t="n">
        <f aca="false">IF($S384="不存在",1,0)</f>
        <v>0</v>
      </c>
      <c r="AF384" s="44" t="n">
        <f aca="false">IF(OR($H384="—",$H384=""),"—",MATCH($H384,IDX_SrcID,0))</f>
        <v>321</v>
      </c>
      <c r="AG384" s="32" t="n">
        <f aca="false">IF(AND($P384="高",OR($AD384=1,$X384=1)),1,0)</f>
        <v>0</v>
      </c>
      <c r="AH384" s="32" t="n">
        <f aca="false">IF(AND($P384="高",$AG384=0,OR($F384&lt;&gt;"原始數據",$T384&lt;&gt;1)),1,0)</f>
        <v>0</v>
      </c>
      <c r="AI384" s="44" t="str">
        <f aca="false">IF(AND($P384="高",ISNUMBER($AF384)),INDEX(IDX_SrcDate,$AF384),"—")</f>
        <v>—</v>
      </c>
      <c r="AJ384" s="32" t="n">
        <f aca="false">IF(AND(ISTEXT($AI384),LEN($AI384)=10),IF(ISNUMBER(VALUE(SUBSTITUTE($AI384,"-",""))),VALUE(SUBSTITUTE($AI384,"-","")),0),0)</f>
        <v>0</v>
      </c>
    </row>
    <row r="385" customFormat="false" ht="29.25" hidden="false" customHeight="true" outlineLevel="0" collapsed="false">
      <c r="A385" s="30" t="s">
        <v>5476</v>
      </c>
      <c r="B385" s="239" t="s">
        <v>4525</v>
      </c>
      <c r="C385" s="30" t="s">
        <v>5280</v>
      </c>
      <c r="D385" s="30" t="s">
        <v>5477</v>
      </c>
      <c r="E385" s="6" t="s">
        <v>5478</v>
      </c>
      <c r="F385" s="239" t="s">
        <v>348</v>
      </c>
      <c r="G385" s="239" t="s">
        <v>4527</v>
      </c>
      <c r="H385" s="30" t="s">
        <v>5479</v>
      </c>
      <c r="I385" s="20" t="s">
        <v>4562</v>
      </c>
      <c r="J385" s="30" t="s">
        <v>751</v>
      </c>
      <c r="K385" s="239"/>
      <c r="L385" s="239"/>
      <c r="M385" s="30" t="s">
        <v>751</v>
      </c>
      <c r="N385" s="20" t="s">
        <v>5480</v>
      </c>
      <c r="O385" s="6" t="s">
        <v>751</v>
      </c>
      <c r="P385" s="239" t="s">
        <v>4530</v>
      </c>
      <c r="Q385" s="49" t="n">
        <f aca="false">Calib!F120</f>
        <v>5561.6</v>
      </c>
      <c r="R385" s="184" t="n">
        <f aca="false">SRC_PERF_076</f>
        <v>5561.6</v>
      </c>
      <c r="S385" s="44" t="str">
        <f aca="false">IF(ISNUMBER($AF385),INDEX(IDX_SrcStat,$AF385),"—")</f>
        <v>Active</v>
      </c>
      <c r="T385" s="44" t="n">
        <f aca="false">IF(ISNUMBER($AF385),INDEX(IDX_SrcGrade,$AF385),"—")</f>
        <v>1</v>
      </c>
      <c r="U385" s="44" t="s">
        <v>4564</v>
      </c>
      <c r="V385" s="32" t="n">
        <f aca="false">IF(AND($F385="原始數據",$U385&lt;&gt;"連結 SRC"),1,0)</f>
        <v>0</v>
      </c>
      <c r="W385" s="32" t="n">
        <f aca="false">IF(AND($F385="Analogy",OR($H385="—",$H385="")),1,0)</f>
        <v>0</v>
      </c>
      <c r="X385" s="32" t="n">
        <f aca="false">IF(AND(OR($F385="Analogy",$F385="Assumed"),$G385&lt;&gt;"低",$G385&lt;&gt;"高",NOT(ISNUMBER($K385)),NOT(ISNUMBER($L385)),OR($M385="—",$M385="")),1,0)</f>
        <v>0</v>
      </c>
      <c r="Y385" s="32" t="n">
        <f aca="false">IF(AND(OR($F385="Analogy",$F385="Assumed",$F385="Derived（待改公式）",$F385="Derived（公式）"),OR($N385="—",$N385="",$N385=0)),1,0)</f>
        <v>0</v>
      </c>
      <c r="Z385" s="32" t="n">
        <f aca="false">IF(AND($F385="Decision",OR($J385="—",$J385="")),1,0)</f>
        <v>0</v>
      </c>
      <c r="AA385" s="33" t="n">
        <f aca="false">IF(OR($J385="—",$J385=""),0,IF(COUNTIF(Decisions!$A$5:$A$300,$J385)=0,1,0))</f>
        <v>0</v>
      </c>
      <c r="AB385" s="32" t="n">
        <f aca="false">IF(AND($F385="原始數據",$S385&lt;&gt;"Active"),1,0)</f>
        <v>0</v>
      </c>
      <c r="AC385" s="32" t="n">
        <f aca="false">IF(AND(ISNUMBER($K385),ISNUMBER($L385),ISNUMBER($Q385)),IF(OR($Q385&lt;MIN($K385,$L385),$Q385&gt;MAX($K385,$L385)),1,0),0)</f>
        <v>0</v>
      </c>
      <c r="AD385" s="32" t="n">
        <f aca="false">IF(AND(ISNUMBER($T385),$P385="高"),IF($T385=3,1,0),0)</f>
        <v>0</v>
      </c>
      <c r="AE385" s="32" t="n">
        <f aca="false">IF($S385="不存在",1,0)</f>
        <v>0</v>
      </c>
      <c r="AF385" s="44" t="n">
        <f aca="false">IF(OR($H385="—",$H385=""),"—",MATCH($H385,IDX_SrcID,0))</f>
        <v>370</v>
      </c>
      <c r="AG385" s="32" t="n">
        <f aca="false">IF(AND($P385="高",OR($AD385=1,$X385=1)),1,0)</f>
        <v>0</v>
      </c>
      <c r="AH385" s="32" t="n">
        <f aca="false">IF(AND($P385="高",$AG385=0,OR($F385&lt;&gt;"原始數據",$T385&lt;&gt;1)),1,0)</f>
        <v>0</v>
      </c>
      <c r="AI385" s="44" t="str">
        <f aca="false">IF(AND($P385="高",ISNUMBER($AF385)),INDEX(IDX_SrcDate,$AF385),"—")</f>
        <v>—</v>
      </c>
      <c r="AJ385" s="32" t="n">
        <f aca="false">IF(AND(ISTEXT($AI385),LEN($AI385)=10),IF(ISNUMBER(VALUE(SUBSTITUTE($AI385,"-",""))),VALUE(SUBSTITUTE($AI385,"-","")),0),0)</f>
        <v>0</v>
      </c>
    </row>
    <row r="386" customFormat="false" ht="29.25" hidden="false" customHeight="true" outlineLevel="0" collapsed="false">
      <c r="A386" s="30" t="s">
        <v>5481</v>
      </c>
      <c r="B386" s="239" t="s">
        <v>4525</v>
      </c>
      <c r="C386" s="30" t="s">
        <v>5482</v>
      </c>
      <c r="D386" s="30" t="s">
        <v>5192</v>
      </c>
      <c r="E386" s="6" t="s">
        <v>4030</v>
      </c>
      <c r="F386" s="30" t="s">
        <v>114</v>
      </c>
      <c r="G386" s="239" t="s">
        <v>4527</v>
      </c>
      <c r="H386" s="30" t="s">
        <v>751</v>
      </c>
      <c r="I386" s="6" t="s">
        <v>751</v>
      </c>
      <c r="J386" s="30" t="s">
        <v>751</v>
      </c>
      <c r="K386" s="241" t="n">
        <v>0.4</v>
      </c>
      <c r="L386" s="241" t="n">
        <v>0.8</v>
      </c>
      <c r="M386" s="30" t="s">
        <v>5483</v>
      </c>
      <c r="N386" s="240" t="str">
        <f aca="false">Energy!$F$5</f>
        <v>Assumed：pJ/FLOP＝GPU 功率 × 此比例 ÷ 峰值（滿載上限口徑），區間 0.4–0.8</v>
      </c>
      <c r="O386" s="6" t="s">
        <v>751</v>
      </c>
      <c r="P386" s="239" t="s">
        <v>4530</v>
      </c>
      <c r="Q386" s="194" t="n">
        <f aca="false">Energy!C5</f>
        <v>0.6</v>
      </c>
      <c r="R386" s="30" t="s">
        <v>751</v>
      </c>
      <c r="S386" s="44" t="str">
        <f aca="false">IF(ISNUMBER($AF386),INDEX(IDX_SrcStat,$AF386),"—")</f>
        <v>—</v>
      </c>
      <c r="T386" s="44" t="str">
        <f aca="false">IF(ISNUMBER($AF386),INDEX(IDX_SrcGrade,$AF386),"—")</f>
        <v>—</v>
      </c>
      <c r="U386" s="44" t="s">
        <v>4531</v>
      </c>
      <c r="V386" s="32" t="n">
        <f aca="false">IF(AND($F386="原始數據",$U386&lt;&gt;"連結 SRC"),1,0)</f>
        <v>0</v>
      </c>
      <c r="W386" s="32" t="n">
        <f aca="false">IF(AND($F386="Analogy",OR($H386="—",$H386="")),1,0)</f>
        <v>0</v>
      </c>
      <c r="X386" s="32" t="n">
        <f aca="false">IF(AND(OR($F386="Analogy",$F386="Assumed"),$G386&lt;&gt;"低",$G386&lt;&gt;"高",NOT(ISNUMBER($K386)),NOT(ISNUMBER($L386)),OR($M386="—",$M386="")),1,0)</f>
        <v>0</v>
      </c>
      <c r="Y386" s="32" t="n">
        <f aca="false">IF(AND(OR($F386="Analogy",$F386="Assumed",$F386="Derived（待改公式）",$F386="Derived（公式）"),OR($N386="—",$N386="",$N386=0)),1,0)</f>
        <v>0</v>
      </c>
      <c r="Z386" s="32" t="n">
        <f aca="false">IF(AND($F386="Decision",OR($J386="—",$J386="")),1,0)</f>
        <v>0</v>
      </c>
      <c r="AA386" s="33" t="n">
        <f aca="false">IF(OR($J386="—",$J386=""),0,IF(COUNTIF(Decisions!$A$5:$A$300,$J386)=0,1,0))</f>
        <v>0</v>
      </c>
      <c r="AB386" s="32" t="n">
        <f aca="false">IF(AND($F386="原始數據",$S386&lt;&gt;"Active"),1,0)</f>
        <v>0</v>
      </c>
      <c r="AC386" s="32" t="n">
        <f aca="false">IF(AND(ISNUMBER($K386),ISNUMBER($L386),ISNUMBER($Q386)),IF(OR($Q386&lt;MIN($K386,$L386),$Q386&gt;MAX($K386,$L386)),1,0),0)</f>
        <v>0</v>
      </c>
      <c r="AD386" s="32" t="n">
        <f aca="false">IF(AND(ISNUMBER($T386),$P386="高"),IF($T386=3,1,0),0)</f>
        <v>0</v>
      </c>
      <c r="AE386" s="32" t="n">
        <f aca="false">IF($S386="不存在",1,0)</f>
        <v>0</v>
      </c>
      <c r="AF386" s="44" t="str">
        <f aca="false">IF(OR($H386="—",$H386=""),"—",MATCH($H386,IDX_SrcID,0))</f>
        <v>—</v>
      </c>
      <c r="AG386" s="32" t="n">
        <f aca="false">IF(AND($P386="高",OR($AD386=1,$X386=1)),1,0)</f>
        <v>0</v>
      </c>
      <c r="AH386" s="32" t="n">
        <f aca="false">IF(AND($P386="高",$AG386=0,OR($F386&lt;&gt;"原始數據",$T386&lt;&gt;1)),1,0)</f>
        <v>0</v>
      </c>
      <c r="AI386" s="44" t="str">
        <f aca="false">IF(AND($P386="高",ISNUMBER($AF386)),INDEX(IDX_SrcDate,$AF386),"—")</f>
        <v>—</v>
      </c>
      <c r="AJ386" s="32" t="n">
        <f aca="false">IF(AND(ISTEXT($AI386),LEN($AI386)=10),IF(ISNUMBER(VALUE(SUBSTITUTE($AI386,"-",""))),VALUE(SUBSTITUTE($AI386,"-","")),0),0)</f>
        <v>0</v>
      </c>
    </row>
    <row r="387" customFormat="false" ht="29.25" hidden="false" customHeight="true" outlineLevel="0" collapsed="false">
      <c r="A387" s="30" t="s">
        <v>5484</v>
      </c>
      <c r="B387" s="239" t="s">
        <v>4525</v>
      </c>
      <c r="C387" s="30" t="s">
        <v>5482</v>
      </c>
      <c r="D387" s="30" t="s">
        <v>4690</v>
      </c>
      <c r="E387" s="6" t="s">
        <v>4032</v>
      </c>
      <c r="F387" s="30" t="s">
        <v>119</v>
      </c>
      <c r="G387" s="239" t="s">
        <v>4527</v>
      </c>
      <c r="H387" s="30" t="s">
        <v>5485</v>
      </c>
      <c r="I387" s="20" t="s">
        <v>5486</v>
      </c>
      <c r="J387" s="30" t="s">
        <v>751</v>
      </c>
      <c r="K387" s="241" t="n">
        <v>5</v>
      </c>
      <c r="L387" s="241" t="n">
        <v>20</v>
      </c>
      <c r="M387" s="30" t="s">
        <v>5487</v>
      </c>
      <c r="N387" s="240" t="str">
        <f aca="false">Energy!$F$6</f>
        <v>Analogy：SerDes＋交換約 1–2 pJ/bit；區間 5–20</v>
      </c>
      <c r="O387" s="6" t="s">
        <v>751</v>
      </c>
      <c r="P387" s="239" t="s">
        <v>4530</v>
      </c>
      <c r="Q387" s="33" t="n">
        <f aca="false">Energy!C6</f>
        <v>10</v>
      </c>
      <c r="R387" s="184" t="n">
        <f aca="false">SRC_HW_035_Lo</f>
        <v>1</v>
      </c>
      <c r="S387" s="44" t="str">
        <f aca="false">IF(ISNUMBER($AF387),INDEX(IDX_SrcStat,$AF387),"—")</f>
        <v>Active</v>
      </c>
      <c r="T387" s="44" t="n">
        <f aca="false">IF(ISNUMBER($AF387),INDEX(IDX_SrcGrade,$AF387),"—")</f>
        <v>3</v>
      </c>
      <c r="U387" s="44" t="s">
        <v>4531</v>
      </c>
      <c r="V387" s="32" t="n">
        <f aca="false">IF(AND($F387="原始數據",$U387&lt;&gt;"連結 SRC"),1,0)</f>
        <v>0</v>
      </c>
      <c r="W387" s="32" t="n">
        <f aca="false">IF(AND($F387="Analogy",OR($H387="—",$H387="")),1,0)</f>
        <v>0</v>
      </c>
      <c r="X387" s="32" t="n">
        <f aca="false">IF(AND(OR($F387="Analogy",$F387="Assumed"),$G387&lt;&gt;"低",$G387&lt;&gt;"高",NOT(ISNUMBER($K387)),NOT(ISNUMBER($L387)),OR($M387="—",$M387="")),1,0)</f>
        <v>0</v>
      </c>
      <c r="Y387" s="32" t="n">
        <f aca="false">IF(AND(OR($F387="Analogy",$F387="Assumed",$F387="Derived（待改公式）",$F387="Derived（公式）"),OR($N387="—",$N387="",$N387=0)),1,0)</f>
        <v>0</v>
      </c>
      <c r="Z387" s="32" t="n">
        <f aca="false">IF(AND($F387="Decision",OR($J387="—",$J387="")),1,0)</f>
        <v>0</v>
      </c>
      <c r="AA387" s="33" t="n">
        <f aca="false">IF(OR($J387="—",$J387=""),0,IF(COUNTIF(Decisions!$A$5:$A$300,$J387)=0,1,0))</f>
        <v>0</v>
      </c>
      <c r="AB387" s="32" t="n">
        <f aca="false">IF(AND($F387="原始數據",$S387&lt;&gt;"Active"),1,0)</f>
        <v>0</v>
      </c>
      <c r="AC387" s="32" t="n">
        <f aca="false">IF(AND(ISNUMBER($K387),ISNUMBER($L387),ISNUMBER($Q387)),IF(OR($Q387&lt;MIN($K387,$L387),$Q387&gt;MAX($K387,$L387)),1,0),0)</f>
        <v>0</v>
      </c>
      <c r="AD387" s="32" t="n">
        <f aca="false">IF(AND(ISNUMBER($T387),$P387="高"),IF($T387=3,1,0),0)</f>
        <v>0</v>
      </c>
      <c r="AE387" s="32" t="n">
        <f aca="false">IF($S387="不存在",1,0)</f>
        <v>0</v>
      </c>
      <c r="AF387" s="44" t="n">
        <f aca="false">IF(OR($H387="—",$H387=""),"—",MATCH($H387,IDX_SrcID,0))</f>
        <v>35</v>
      </c>
      <c r="AG387" s="32" t="n">
        <f aca="false">IF(AND($P387="高",OR($AD387=1,$X387=1)),1,0)</f>
        <v>0</v>
      </c>
      <c r="AH387" s="32" t="n">
        <f aca="false">IF(AND($P387="高",$AG387=0,OR($F387&lt;&gt;"原始數據",$T387&lt;&gt;1)),1,0)</f>
        <v>0</v>
      </c>
      <c r="AI387" s="44" t="str">
        <f aca="false">IF(AND($P387="高",ISNUMBER($AF387)),INDEX(IDX_SrcDate,$AF387),"—")</f>
        <v>—</v>
      </c>
      <c r="AJ387" s="32" t="n">
        <f aca="false">IF(AND(ISTEXT($AI387),LEN($AI387)=10),IF(ISNUMBER(VALUE(SUBSTITUTE($AI387,"-",""))),VALUE(SUBSTITUTE($AI387,"-","")),0),0)</f>
        <v>0</v>
      </c>
    </row>
    <row r="388" customFormat="false" ht="29.25" hidden="false" customHeight="true" outlineLevel="0" collapsed="false">
      <c r="A388" s="30" t="s">
        <v>5488</v>
      </c>
      <c r="B388" s="239" t="s">
        <v>4525</v>
      </c>
      <c r="C388" s="30" t="s">
        <v>5482</v>
      </c>
      <c r="D388" s="30" t="s">
        <v>5017</v>
      </c>
      <c r="E388" s="6" t="s">
        <v>4035</v>
      </c>
      <c r="F388" s="30" t="s">
        <v>114</v>
      </c>
      <c r="G388" s="239" t="s">
        <v>4527</v>
      </c>
      <c r="H388" s="30" t="s">
        <v>751</v>
      </c>
      <c r="I388" s="6" t="s">
        <v>751</v>
      </c>
      <c r="J388" s="30" t="s">
        <v>751</v>
      </c>
      <c r="K388" s="241" t="n">
        <v>20</v>
      </c>
      <c r="L388" s="241" t="n">
        <v>80</v>
      </c>
      <c r="M388" s="30" t="s">
        <v>5489</v>
      </c>
      <c r="N388" s="240" t="str">
        <f aca="false">Energy!$F$7</f>
        <v>Analogy：含光模組與網卡；區間 20–80</v>
      </c>
      <c r="O388" s="6" t="s">
        <v>4925</v>
      </c>
      <c r="P388" s="239" t="s">
        <v>4530</v>
      </c>
      <c r="Q388" s="33" t="n">
        <f aca="false">Energy!C7</f>
        <v>40</v>
      </c>
      <c r="R388" s="30" t="s">
        <v>751</v>
      </c>
      <c r="S388" s="44" t="str">
        <f aca="false">IF(ISNUMBER($AF388),INDEX(IDX_SrcStat,$AF388),"—")</f>
        <v>—</v>
      </c>
      <c r="T388" s="44" t="str">
        <f aca="false">IF(ISNUMBER($AF388),INDEX(IDX_SrcGrade,$AF388),"—")</f>
        <v>—</v>
      </c>
      <c r="U388" s="44" t="s">
        <v>4531</v>
      </c>
      <c r="V388" s="32" t="n">
        <f aca="false">IF(AND($F388="原始數據",$U388&lt;&gt;"連結 SRC"),1,0)</f>
        <v>0</v>
      </c>
      <c r="W388" s="32" t="n">
        <f aca="false">IF(AND($F388="Analogy",OR($H388="—",$H388="")),1,0)</f>
        <v>0</v>
      </c>
      <c r="X388" s="32" t="n">
        <f aca="false">IF(AND(OR($F388="Analogy",$F388="Assumed"),$G388&lt;&gt;"低",$G388&lt;&gt;"高",NOT(ISNUMBER($K388)),NOT(ISNUMBER($L388)),OR($M388="—",$M388="")),1,0)</f>
        <v>0</v>
      </c>
      <c r="Y388" s="32" t="n">
        <f aca="false">IF(AND(OR($F388="Analogy",$F388="Assumed",$F388="Derived（待改公式）",$F388="Derived（公式）"),OR($N388="—",$N388="",$N388=0)),1,0)</f>
        <v>0</v>
      </c>
      <c r="Z388" s="32" t="n">
        <f aca="false">IF(AND($F388="Decision",OR($J388="—",$J388="")),1,0)</f>
        <v>0</v>
      </c>
      <c r="AA388" s="33" t="n">
        <f aca="false">IF(OR($J388="—",$J388=""),0,IF(COUNTIF(Decisions!$A$5:$A$300,$J388)=0,1,0))</f>
        <v>0</v>
      </c>
      <c r="AB388" s="32" t="n">
        <f aca="false">IF(AND($F388="原始數據",$S388&lt;&gt;"Active"),1,0)</f>
        <v>0</v>
      </c>
      <c r="AC388" s="32" t="n">
        <f aca="false">IF(AND(ISNUMBER($K388),ISNUMBER($L388),ISNUMBER($Q388)),IF(OR($Q388&lt;MIN($K388,$L388),$Q388&gt;MAX($K388,$L388)),1,0),0)</f>
        <v>0</v>
      </c>
      <c r="AD388" s="32" t="n">
        <f aca="false">IF(AND(ISNUMBER($T388),$P388="高"),IF($T388=3,1,0),0)</f>
        <v>0</v>
      </c>
      <c r="AE388" s="32" t="n">
        <f aca="false">IF($S388="不存在",1,0)</f>
        <v>0</v>
      </c>
      <c r="AF388" s="44" t="str">
        <f aca="false">IF(OR($H388="—",$H388=""),"—",MATCH($H388,IDX_SrcID,0))</f>
        <v>—</v>
      </c>
      <c r="AG388" s="32" t="n">
        <f aca="false">IF(AND($P388="高",OR($AD388=1,$X388=1)),1,0)</f>
        <v>0</v>
      </c>
      <c r="AH388" s="32" t="n">
        <f aca="false">IF(AND($P388="高",$AG388=0,OR($F388&lt;&gt;"原始數據",$T388&lt;&gt;1)),1,0)</f>
        <v>0</v>
      </c>
      <c r="AI388" s="44" t="str">
        <f aca="false">IF(AND($P388="高",ISNUMBER($AF388)),INDEX(IDX_SrcDate,$AF388),"—")</f>
        <v>—</v>
      </c>
      <c r="AJ388" s="32" t="n">
        <f aca="false">IF(AND(ISTEXT($AI388),LEN($AI388)=10),IF(ISNUMBER(VALUE(SUBSTITUTE($AI388,"-",""))),VALUE(SUBSTITUTE($AI388,"-","")),0),0)</f>
        <v>0</v>
      </c>
    </row>
    <row r="389" customFormat="false" ht="43.5" hidden="false" customHeight="true" outlineLevel="0" collapsed="false">
      <c r="A389" s="30" t="s">
        <v>5490</v>
      </c>
      <c r="B389" s="239" t="s">
        <v>4525</v>
      </c>
      <c r="C389" s="30" t="s">
        <v>5491</v>
      </c>
      <c r="D389" s="30" t="s">
        <v>5192</v>
      </c>
      <c r="E389" s="6" t="s">
        <v>4049</v>
      </c>
      <c r="F389" s="30" t="s">
        <v>114</v>
      </c>
      <c r="G389" s="239" t="s">
        <v>97</v>
      </c>
      <c r="H389" s="30" t="s">
        <v>751</v>
      </c>
      <c r="I389" s="6" t="s">
        <v>751</v>
      </c>
      <c r="J389" s="30" t="s">
        <v>751</v>
      </c>
      <c r="K389" s="192" t="n">
        <f aca="false">NonNV!B5</f>
        <v>0.5</v>
      </c>
      <c r="L389" s="192" t="n">
        <f aca="false">NonNV!D5</f>
        <v>1</v>
      </c>
      <c r="M389" s="30" t="s">
        <v>751</v>
      </c>
      <c r="N389" s="240" t="str">
        <f aca="false">NonNV!$L$5</f>
        <v>MI355X 在 V4-Pro 上 26 天內吞吐提升 110 倍（S20 所屬部落格），軟體成熟度為主要不確定</v>
      </c>
      <c r="O389" s="6" t="s">
        <v>751</v>
      </c>
      <c r="P389" s="239" t="s">
        <v>4530</v>
      </c>
      <c r="Q389" s="192" t="n">
        <f aca="false">NonNV!C5</f>
        <v>0.7</v>
      </c>
      <c r="R389" s="30" t="s">
        <v>751</v>
      </c>
      <c r="S389" s="44" t="str">
        <f aca="false">IF(ISNUMBER($AF389),INDEX(IDX_SrcStat,$AF389),"—")</f>
        <v>—</v>
      </c>
      <c r="T389" s="44" t="str">
        <f aca="false">IF(ISNUMBER($AF389),INDEX(IDX_SrcGrade,$AF389),"—")</f>
        <v>—</v>
      </c>
      <c r="U389" s="44" t="s">
        <v>4531</v>
      </c>
      <c r="V389" s="32" t="n">
        <f aca="false">IF(AND($F389="原始數據",$U389&lt;&gt;"連結 SRC"),1,0)</f>
        <v>0</v>
      </c>
      <c r="W389" s="32" t="n">
        <f aca="false">IF(AND($F389="Analogy",OR($H389="—",$H389="")),1,0)</f>
        <v>0</v>
      </c>
      <c r="X389" s="32" t="n">
        <f aca="false">IF(AND(OR($F389="Analogy",$F389="Assumed"),$G389&lt;&gt;"低",$G389&lt;&gt;"高",NOT(ISNUMBER($K389)),NOT(ISNUMBER($L389)),OR($M389="—",$M389="")),1,0)</f>
        <v>0</v>
      </c>
      <c r="Y389" s="32" t="n">
        <f aca="false">IF(AND(OR($F389="Analogy",$F389="Assumed",$F389="Derived（待改公式）",$F389="Derived（公式）"),OR($N389="—",$N389="",$N389=0)),1,0)</f>
        <v>0</v>
      </c>
      <c r="Z389" s="32" t="n">
        <f aca="false">IF(AND($F389="Decision",OR($J389="—",$J389="")),1,0)</f>
        <v>0</v>
      </c>
      <c r="AA389" s="33" t="n">
        <f aca="false">IF(OR($J389="—",$J389=""),0,IF(COUNTIF(Decisions!$A$5:$A$300,$J389)=0,1,0))</f>
        <v>0</v>
      </c>
      <c r="AB389" s="32" t="n">
        <f aca="false">IF(AND($F389="原始數據",$S389&lt;&gt;"Active"),1,0)</f>
        <v>0</v>
      </c>
      <c r="AC389" s="32" t="n">
        <f aca="false">IF(AND(ISNUMBER($K389),ISNUMBER($L389),ISNUMBER($Q389)),IF(OR($Q389&lt;MIN($K389,$L389),$Q389&gt;MAX($K389,$L389)),1,0),0)</f>
        <v>0</v>
      </c>
      <c r="AD389" s="32" t="n">
        <f aca="false">IF(AND(ISNUMBER($T389),$P389="高"),IF($T389=3,1,0),0)</f>
        <v>0</v>
      </c>
      <c r="AE389" s="32" t="n">
        <f aca="false">IF($S389="不存在",1,0)</f>
        <v>0</v>
      </c>
      <c r="AF389" s="44" t="str">
        <f aca="false">IF(OR($H389="—",$H389=""),"—",MATCH($H389,IDX_SrcID,0))</f>
        <v>—</v>
      </c>
      <c r="AG389" s="32" t="n">
        <f aca="false">IF(AND($P389="高",OR($AD389=1,$X389=1)),1,0)</f>
        <v>0</v>
      </c>
      <c r="AH389" s="32" t="n">
        <f aca="false">IF(AND($P389="高",$AG389=0,OR($F389&lt;&gt;"原始數據",$T389&lt;&gt;1)),1,0)</f>
        <v>0</v>
      </c>
      <c r="AI389" s="44" t="str">
        <f aca="false">IF(AND($P389="高",ISNUMBER($AF389)),INDEX(IDX_SrcDate,$AF389),"—")</f>
        <v>—</v>
      </c>
      <c r="AJ389" s="32" t="n">
        <f aca="false">IF(AND(ISTEXT($AI389),LEN($AI389)=10),IF(ISNUMBER(VALUE(SUBSTITUTE($AI389,"-",""))),VALUE(SUBSTITUTE($AI389,"-","")),0),0)</f>
        <v>0</v>
      </c>
    </row>
    <row r="390" customFormat="false" ht="43.5" hidden="false" customHeight="true" outlineLevel="0" collapsed="false">
      <c r="A390" s="30" t="s">
        <v>5492</v>
      </c>
      <c r="B390" s="239" t="s">
        <v>4525</v>
      </c>
      <c r="C390" s="30" t="s">
        <v>5491</v>
      </c>
      <c r="D390" s="30" t="s">
        <v>5200</v>
      </c>
      <c r="E390" s="6" t="s">
        <v>4049</v>
      </c>
      <c r="F390" s="30" t="s">
        <v>114</v>
      </c>
      <c r="G390" s="239" t="s">
        <v>97</v>
      </c>
      <c r="H390" s="30" t="s">
        <v>751</v>
      </c>
      <c r="I390" s="6" t="s">
        <v>751</v>
      </c>
      <c r="J390" s="30" t="s">
        <v>751</v>
      </c>
      <c r="K390" s="192" t="n">
        <f aca="false">NonNV!E5</f>
        <v>0.8</v>
      </c>
      <c r="L390" s="192" t="n">
        <f aca="false">NonNV!G5</f>
        <v>1</v>
      </c>
      <c r="M390" s="30" t="s">
        <v>751</v>
      </c>
      <c r="N390" s="240" t="str">
        <f aca="false">NonNV!$L$5</f>
        <v>MI355X 在 V4-Pro 上 26 天內吞吐提升 110 倍（S20 所屬部落格），軟體成熟度為主要不確定</v>
      </c>
      <c r="O390" s="6" t="s">
        <v>751</v>
      </c>
      <c r="P390" s="239" t="s">
        <v>4530</v>
      </c>
      <c r="Q390" s="192" t="n">
        <f aca="false">NonNV!F5</f>
        <v>0.9</v>
      </c>
      <c r="R390" s="30" t="s">
        <v>751</v>
      </c>
      <c r="S390" s="44" t="str">
        <f aca="false">IF(ISNUMBER($AF390),INDEX(IDX_SrcStat,$AF390),"—")</f>
        <v>—</v>
      </c>
      <c r="T390" s="44" t="str">
        <f aca="false">IF(ISNUMBER($AF390),INDEX(IDX_SrcGrade,$AF390),"—")</f>
        <v>—</v>
      </c>
      <c r="U390" s="44" t="s">
        <v>4531</v>
      </c>
      <c r="V390" s="32" t="n">
        <f aca="false">IF(AND($F390="原始數據",$U390&lt;&gt;"連結 SRC"),1,0)</f>
        <v>0</v>
      </c>
      <c r="W390" s="32" t="n">
        <f aca="false">IF(AND($F390="Analogy",OR($H390="—",$H390="")),1,0)</f>
        <v>0</v>
      </c>
      <c r="X390" s="32" t="n">
        <f aca="false">IF(AND(OR($F390="Analogy",$F390="Assumed"),$G390&lt;&gt;"低",$G390&lt;&gt;"高",NOT(ISNUMBER($K390)),NOT(ISNUMBER($L390)),OR($M390="—",$M390="")),1,0)</f>
        <v>0</v>
      </c>
      <c r="Y390" s="32" t="n">
        <f aca="false">IF(AND(OR($F390="Analogy",$F390="Assumed",$F390="Derived（待改公式）",$F390="Derived（公式）"),OR($N390="—",$N390="",$N390=0)),1,0)</f>
        <v>0</v>
      </c>
      <c r="Z390" s="32" t="n">
        <f aca="false">IF(AND($F390="Decision",OR($J390="—",$J390="")),1,0)</f>
        <v>0</v>
      </c>
      <c r="AA390" s="33" t="n">
        <f aca="false">IF(OR($J390="—",$J390=""),0,IF(COUNTIF(Decisions!$A$5:$A$300,$J390)=0,1,0))</f>
        <v>0</v>
      </c>
      <c r="AB390" s="32" t="n">
        <f aca="false">IF(AND($F390="原始數據",$S390&lt;&gt;"Active"),1,0)</f>
        <v>0</v>
      </c>
      <c r="AC390" s="32" t="n">
        <f aca="false">IF(AND(ISNUMBER($K390),ISNUMBER($L390),ISNUMBER($Q390)),IF(OR($Q390&lt;MIN($K390,$L390),$Q390&gt;MAX($K390,$L390)),1,0),0)</f>
        <v>0</v>
      </c>
      <c r="AD390" s="32" t="n">
        <f aca="false">IF(AND(ISNUMBER($T390),$P390="高"),IF($T390=3,1,0),0)</f>
        <v>0</v>
      </c>
      <c r="AE390" s="32" t="n">
        <f aca="false">IF($S390="不存在",1,0)</f>
        <v>0</v>
      </c>
      <c r="AF390" s="44" t="str">
        <f aca="false">IF(OR($H390="—",$H390=""),"—",MATCH($H390,IDX_SrcID,0))</f>
        <v>—</v>
      </c>
      <c r="AG390" s="32" t="n">
        <f aca="false">IF(AND($P390="高",OR($AD390=1,$X390=1)),1,0)</f>
        <v>0</v>
      </c>
      <c r="AH390" s="32" t="n">
        <f aca="false">IF(AND($P390="高",$AG390=0,OR($F390&lt;&gt;"原始數據",$T390&lt;&gt;1)),1,0)</f>
        <v>0</v>
      </c>
      <c r="AI390" s="44" t="str">
        <f aca="false">IF(AND($P390="高",ISNUMBER($AF390)),INDEX(IDX_SrcDate,$AF390),"—")</f>
        <v>—</v>
      </c>
      <c r="AJ390" s="32" t="n">
        <f aca="false">IF(AND(ISTEXT($AI390),LEN($AI390)=10),IF(ISNUMBER(VALUE(SUBSTITUTE($AI390,"-",""))),VALUE(SUBSTITUTE($AI390,"-","")),0),0)</f>
        <v>0</v>
      </c>
    </row>
    <row r="391" customFormat="false" ht="43.5" hidden="false" customHeight="true" outlineLevel="0" collapsed="false">
      <c r="A391" s="30" t="s">
        <v>5493</v>
      </c>
      <c r="B391" s="239" t="s">
        <v>4525</v>
      </c>
      <c r="C391" s="30" t="s">
        <v>5491</v>
      </c>
      <c r="D391" s="30" t="s">
        <v>5494</v>
      </c>
      <c r="E391" s="6" t="s">
        <v>4049</v>
      </c>
      <c r="F391" s="30" t="s">
        <v>114</v>
      </c>
      <c r="G391" s="239" t="s">
        <v>1308</v>
      </c>
      <c r="H391" s="30" t="s">
        <v>751</v>
      </c>
      <c r="I391" s="6" t="s">
        <v>751</v>
      </c>
      <c r="J391" s="30" t="s">
        <v>751</v>
      </c>
      <c r="K391" s="239"/>
      <c r="L391" s="239"/>
      <c r="M391" s="30" t="s">
        <v>751</v>
      </c>
      <c r="N391" s="240" t="str">
        <f aca="false">NonNV!$L$5</f>
        <v>MI355X 在 V4-Pro 上 26 天內吞吐提升 110 倍（S20 所屬部落格），軟體成熟度為主要不確定</v>
      </c>
      <c r="O391" s="6" t="s">
        <v>751</v>
      </c>
      <c r="P391" s="239" t="s">
        <v>4530</v>
      </c>
      <c r="Q391" s="192" t="n">
        <f aca="false">NonNV!B5</f>
        <v>0.5</v>
      </c>
      <c r="R391" s="30" t="s">
        <v>751</v>
      </c>
      <c r="S391" s="44" t="str">
        <f aca="false">IF(ISNUMBER($AF391),INDEX(IDX_SrcStat,$AF391),"—")</f>
        <v>—</v>
      </c>
      <c r="T391" s="44" t="str">
        <f aca="false">IF(ISNUMBER($AF391),INDEX(IDX_SrcGrade,$AF391),"—")</f>
        <v>—</v>
      </c>
      <c r="U391" s="44" t="s">
        <v>4531</v>
      </c>
      <c r="V391" s="32" t="n">
        <f aca="false">IF(AND($F391="原始數據",$U391&lt;&gt;"連結 SRC"),1,0)</f>
        <v>0</v>
      </c>
      <c r="W391" s="32" t="n">
        <f aca="false">IF(AND($F391="Analogy",OR($H391="—",$H391="")),1,0)</f>
        <v>0</v>
      </c>
      <c r="X391" s="32" t="n">
        <f aca="false">IF(AND(OR($F391="Analogy",$F391="Assumed"),$G391&lt;&gt;"低",$G391&lt;&gt;"高",NOT(ISNUMBER($K391)),NOT(ISNUMBER($L391)),OR($M391="—",$M391="")),1,0)</f>
        <v>0</v>
      </c>
      <c r="Y391" s="32" t="n">
        <f aca="false">IF(AND(OR($F391="Analogy",$F391="Assumed",$F391="Derived（待改公式）",$F391="Derived（公式）"),OR($N391="—",$N391="",$N391=0)),1,0)</f>
        <v>0</v>
      </c>
      <c r="Z391" s="32" t="n">
        <f aca="false">IF(AND($F391="Decision",OR($J391="—",$J391="")),1,0)</f>
        <v>0</v>
      </c>
      <c r="AA391" s="33" t="n">
        <f aca="false">IF(OR($J391="—",$J391=""),0,IF(COUNTIF(Decisions!$A$5:$A$300,$J391)=0,1,0))</f>
        <v>0</v>
      </c>
      <c r="AB391" s="32" t="n">
        <f aca="false">IF(AND($F391="原始數據",$S391&lt;&gt;"Active"),1,0)</f>
        <v>0</v>
      </c>
      <c r="AC391" s="32" t="n">
        <f aca="false">IF(AND(ISNUMBER($K391),ISNUMBER($L391),ISNUMBER($Q391)),IF(OR($Q391&lt;MIN($K391,$L391),$Q391&gt;MAX($K391,$L391)),1,0),0)</f>
        <v>0</v>
      </c>
      <c r="AD391" s="32" t="n">
        <f aca="false">IF(AND(ISNUMBER($T391),$P391="高"),IF($T391=3,1,0),0)</f>
        <v>0</v>
      </c>
      <c r="AE391" s="32" t="n">
        <f aca="false">IF($S391="不存在",1,0)</f>
        <v>0</v>
      </c>
      <c r="AF391" s="44" t="str">
        <f aca="false">IF(OR($H391="—",$H391=""),"—",MATCH($H391,IDX_SrcID,0))</f>
        <v>—</v>
      </c>
      <c r="AG391" s="32" t="n">
        <f aca="false">IF(AND($P391="高",OR($AD391=1,$X391=1)),1,0)</f>
        <v>0</v>
      </c>
      <c r="AH391" s="32" t="n">
        <f aca="false">IF(AND($P391="高",$AG391=0,OR($F391&lt;&gt;"原始數據",$T391&lt;&gt;1)),1,0)</f>
        <v>0</v>
      </c>
      <c r="AI391" s="44" t="str">
        <f aca="false">IF(AND($P391="高",ISNUMBER($AF391)),INDEX(IDX_SrcDate,$AF391),"—")</f>
        <v>—</v>
      </c>
      <c r="AJ391" s="32" t="n">
        <f aca="false">IF(AND(ISTEXT($AI391),LEN($AI391)=10),IF(ISNUMBER(VALUE(SUBSTITUTE($AI391,"-",""))),VALUE(SUBSTITUTE($AI391,"-","")),0),0)</f>
        <v>0</v>
      </c>
    </row>
    <row r="392" customFormat="false" ht="43.5" hidden="false" customHeight="true" outlineLevel="0" collapsed="false">
      <c r="A392" s="30" t="s">
        <v>5495</v>
      </c>
      <c r="B392" s="239" t="s">
        <v>4525</v>
      </c>
      <c r="C392" s="30" t="s">
        <v>5491</v>
      </c>
      <c r="D392" s="30" t="s">
        <v>5197</v>
      </c>
      <c r="E392" s="6" t="s">
        <v>4049</v>
      </c>
      <c r="F392" s="30" t="s">
        <v>114</v>
      </c>
      <c r="G392" s="239" t="s">
        <v>1309</v>
      </c>
      <c r="H392" s="30" t="s">
        <v>751</v>
      </c>
      <c r="I392" s="6" t="s">
        <v>751</v>
      </c>
      <c r="J392" s="30" t="s">
        <v>751</v>
      </c>
      <c r="K392" s="239"/>
      <c r="L392" s="239"/>
      <c r="M392" s="30" t="s">
        <v>751</v>
      </c>
      <c r="N392" s="240" t="str">
        <f aca="false">NonNV!$L$5</f>
        <v>MI355X 在 V4-Pro 上 26 天內吞吐提升 110 倍（S20 所屬部落格），軟體成熟度為主要不確定</v>
      </c>
      <c r="O392" s="6" t="s">
        <v>751</v>
      </c>
      <c r="P392" s="239" t="s">
        <v>4530</v>
      </c>
      <c r="Q392" s="192" t="n">
        <f aca="false">NonNV!D5</f>
        <v>1</v>
      </c>
      <c r="R392" s="30" t="s">
        <v>751</v>
      </c>
      <c r="S392" s="44" t="str">
        <f aca="false">IF(ISNUMBER($AF392),INDEX(IDX_SrcStat,$AF392),"—")</f>
        <v>—</v>
      </c>
      <c r="T392" s="44" t="str">
        <f aca="false">IF(ISNUMBER($AF392),INDEX(IDX_SrcGrade,$AF392),"—")</f>
        <v>—</v>
      </c>
      <c r="U392" s="44" t="s">
        <v>4531</v>
      </c>
      <c r="V392" s="32" t="n">
        <f aca="false">IF(AND($F392="原始數據",$U392&lt;&gt;"連結 SRC"),1,0)</f>
        <v>0</v>
      </c>
      <c r="W392" s="32" t="n">
        <f aca="false">IF(AND($F392="Analogy",OR($H392="—",$H392="")),1,0)</f>
        <v>0</v>
      </c>
      <c r="X392" s="32" t="n">
        <f aca="false">IF(AND(OR($F392="Analogy",$F392="Assumed"),$G392&lt;&gt;"低",$G392&lt;&gt;"高",NOT(ISNUMBER($K392)),NOT(ISNUMBER($L392)),OR($M392="—",$M392="")),1,0)</f>
        <v>0</v>
      </c>
      <c r="Y392" s="32" t="n">
        <f aca="false">IF(AND(OR($F392="Analogy",$F392="Assumed",$F392="Derived（待改公式）",$F392="Derived（公式）"),OR($N392="—",$N392="",$N392=0)),1,0)</f>
        <v>0</v>
      </c>
      <c r="Z392" s="32" t="n">
        <f aca="false">IF(AND($F392="Decision",OR($J392="—",$J392="")),1,0)</f>
        <v>0</v>
      </c>
      <c r="AA392" s="33" t="n">
        <f aca="false">IF(OR($J392="—",$J392=""),0,IF(COUNTIF(Decisions!$A$5:$A$300,$J392)=0,1,0))</f>
        <v>0</v>
      </c>
      <c r="AB392" s="32" t="n">
        <f aca="false">IF(AND($F392="原始數據",$S392&lt;&gt;"Active"),1,0)</f>
        <v>0</v>
      </c>
      <c r="AC392" s="32" t="n">
        <f aca="false">IF(AND(ISNUMBER($K392),ISNUMBER($L392),ISNUMBER($Q392)),IF(OR($Q392&lt;MIN($K392,$L392),$Q392&gt;MAX($K392,$L392)),1,0),0)</f>
        <v>0</v>
      </c>
      <c r="AD392" s="32" t="n">
        <f aca="false">IF(AND(ISNUMBER($T392),$P392="高"),IF($T392=3,1,0),0)</f>
        <v>0</v>
      </c>
      <c r="AE392" s="32" t="n">
        <f aca="false">IF($S392="不存在",1,0)</f>
        <v>0</v>
      </c>
      <c r="AF392" s="44" t="str">
        <f aca="false">IF(OR($H392="—",$H392=""),"—",MATCH($H392,IDX_SrcID,0))</f>
        <v>—</v>
      </c>
      <c r="AG392" s="32" t="n">
        <f aca="false">IF(AND($P392="高",OR($AD392=1,$X392=1)),1,0)</f>
        <v>0</v>
      </c>
      <c r="AH392" s="32" t="n">
        <f aca="false">IF(AND($P392="高",$AG392=0,OR($F392&lt;&gt;"原始數據",$T392&lt;&gt;1)),1,0)</f>
        <v>0</v>
      </c>
      <c r="AI392" s="44" t="str">
        <f aca="false">IF(AND($P392="高",ISNUMBER($AF392)),INDEX(IDX_SrcDate,$AF392),"—")</f>
        <v>—</v>
      </c>
      <c r="AJ392" s="32" t="n">
        <f aca="false">IF(AND(ISTEXT($AI392),LEN($AI392)=10),IF(ISNUMBER(VALUE(SUBSTITUTE($AI392,"-",""))),VALUE(SUBSTITUTE($AI392,"-","")),0),0)</f>
        <v>0</v>
      </c>
    </row>
    <row r="393" customFormat="false" ht="43.5" hidden="false" customHeight="true" outlineLevel="0" collapsed="false">
      <c r="A393" s="30" t="s">
        <v>5496</v>
      </c>
      <c r="B393" s="239" t="s">
        <v>4525</v>
      </c>
      <c r="C393" s="30" t="s">
        <v>5491</v>
      </c>
      <c r="D393" s="30" t="s">
        <v>4305</v>
      </c>
      <c r="E393" s="6" t="s">
        <v>4049</v>
      </c>
      <c r="F393" s="30" t="s">
        <v>114</v>
      </c>
      <c r="G393" s="239" t="s">
        <v>1308</v>
      </c>
      <c r="H393" s="30" t="s">
        <v>751</v>
      </c>
      <c r="I393" s="6" t="s">
        <v>751</v>
      </c>
      <c r="J393" s="30" t="s">
        <v>751</v>
      </c>
      <c r="K393" s="239"/>
      <c r="L393" s="239"/>
      <c r="M393" s="30" t="s">
        <v>751</v>
      </c>
      <c r="N393" s="240" t="str">
        <f aca="false">NonNV!$L$5</f>
        <v>MI355X 在 V4-Pro 上 26 天內吞吐提升 110 倍（S20 所屬部落格），軟體成熟度為主要不確定</v>
      </c>
      <c r="O393" s="6" t="s">
        <v>751</v>
      </c>
      <c r="P393" s="239" t="s">
        <v>4530</v>
      </c>
      <c r="Q393" s="192" t="n">
        <f aca="false">NonNV!E5</f>
        <v>0.8</v>
      </c>
      <c r="R393" s="30" t="s">
        <v>751</v>
      </c>
      <c r="S393" s="44" t="str">
        <f aca="false">IF(ISNUMBER($AF393),INDEX(IDX_SrcStat,$AF393),"—")</f>
        <v>—</v>
      </c>
      <c r="T393" s="44" t="str">
        <f aca="false">IF(ISNUMBER($AF393),INDEX(IDX_SrcGrade,$AF393),"—")</f>
        <v>—</v>
      </c>
      <c r="U393" s="44" t="s">
        <v>4531</v>
      </c>
      <c r="V393" s="32" t="n">
        <f aca="false">IF(AND($F393="原始數據",$U393&lt;&gt;"連結 SRC"),1,0)</f>
        <v>0</v>
      </c>
      <c r="W393" s="32" t="n">
        <f aca="false">IF(AND($F393="Analogy",OR($H393="—",$H393="")),1,0)</f>
        <v>0</v>
      </c>
      <c r="X393" s="32" t="n">
        <f aca="false">IF(AND(OR($F393="Analogy",$F393="Assumed"),$G393&lt;&gt;"低",$G393&lt;&gt;"高",NOT(ISNUMBER($K393)),NOT(ISNUMBER($L393)),OR($M393="—",$M393="")),1,0)</f>
        <v>0</v>
      </c>
      <c r="Y393" s="32" t="n">
        <f aca="false">IF(AND(OR($F393="Analogy",$F393="Assumed",$F393="Derived（待改公式）",$F393="Derived（公式）"),OR($N393="—",$N393="",$N393=0)),1,0)</f>
        <v>0</v>
      </c>
      <c r="Z393" s="32" t="n">
        <f aca="false">IF(AND($F393="Decision",OR($J393="—",$J393="")),1,0)</f>
        <v>0</v>
      </c>
      <c r="AA393" s="33" t="n">
        <f aca="false">IF(OR($J393="—",$J393=""),0,IF(COUNTIF(Decisions!$A$5:$A$300,$J393)=0,1,0))</f>
        <v>0</v>
      </c>
      <c r="AB393" s="32" t="n">
        <f aca="false">IF(AND($F393="原始數據",$S393&lt;&gt;"Active"),1,0)</f>
        <v>0</v>
      </c>
      <c r="AC393" s="32" t="n">
        <f aca="false">IF(AND(ISNUMBER($K393),ISNUMBER($L393),ISNUMBER($Q393)),IF(OR($Q393&lt;MIN($K393,$L393),$Q393&gt;MAX($K393,$L393)),1,0),0)</f>
        <v>0</v>
      </c>
      <c r="AD393" s="32" t="n">
        <f aca="false">IF(AND(ISNUMBER($T393),$P393="高"),IF($T393=3,1,0),0)</f>
        <v>0</v>
      </c>
      <c r="AE393" s="32" t="n">
        <f aca="false">IF($S393="不存在",1,0)</f>
        <v>0</v>
      </c>
      <c r="AF393" s="44" t="str">
        <f aca="false">IF(OR($H393="—",$H393=""),"—",MATCH($H393,IDX_SrcID,0))</f>
        <v>—</v>
      </c>
      <c r="AG393" s="32" t="n">
        <f aca="false">IF(AND($P393="高",OR($AD393=1,$X393=1)),1,0)</f>
        <v>0</v>
      </c>
      <c r="AH393" s="32" t="n">
        <f aca="false">IF(AND($P393="高",$AG393=0,OR($F393&lt;&gt;"原始數據",$T393&lt;&gt;1)),1,0)</f>
        <v>0</v>
      </c>
      <c r="AI393" s="44" t="str">
        <f aca="false">IF(AND($P393="高",ISNUMBER($AF393)),INDEX(IDX_SrcDate,$AF393),"—")</f>
        <v>—</v>
      </c>
      <c r="AJ393" s="32" t="n">
        <f aca="false">IF(AND(ISTEXT($AI393),LEN($AI393)=10),IF(ISNUMBER(VALUE(SUBSTITUTE($AI393,"-",""))),VALUE(SUBSTITUTE($AI393,"-","")),0),0)</f>
        <v>0</v>
      </c>
    </row>
    <row r="394" customFormat="false" ht="43.5" hidden="false" customHeight="true" outlineLevel="0" collapsed="false">
      <c r="A394" s="30" t="s">
        <v>5497</v>
      </c>
      <c r="B394" s="239" t="s">
        <v>4525</v>
      </c>
      <c r="C394" s="30" t="s">
        <v>5491</v>
      </c>
      <c r="D394" s="30" t="s">
        <v>5202</v>
      </c>
      <c r="E394" s="6" t="s">
        <v>4049</v>
      </c>
      <c r="F394" s="30" t="s">
        <v>114</v>
      </c>
      <c r="G394" s="239" t="s">
        <v>1309</v>
      </c>
      <c r="H394" s="30" t="s">
        <v>751</v>
      </c>
      <c r="I394" s="6" t="s">
        <v>751</v>
      </c>
      <c r="J394" s="30" t="s">
        <v>751</v>
      </c>
      <c r="K394" s="239"/>
      <c r="L394" s="239"/>
      <c r="M394" s="30" t="s">
        <v>751</v>
      </c>
      <c r="N394" s="240" t="str">
        <f aca="false">NonNV!$L$5</f>
        <v>MI355X 在 V4-Pro 上 26 天內吞吐提升 110 倍（S20 所屬部落格），軟體成熟度為主要不確定</v>
      </c>
      <c r="O394" s="6" t="s">
        <v>751</v>
      </c>
      <c r="P394" s="239" t="s">
        <v>4530</v>
      </c>
      <c r="Q394" s="192" t="n">
        <f aca="false">NonNV!G5</f>
        <v>1</v>
      </c>
      <c r="R394" s="30" t="s">
        <v>751</v>
      </c>
      <c r="S394" s="44" t="str">
        <f aca="false">IF(ISNUMBER($AF394),INDEX(IDX_SrcStat,$AF394),"—")</f>
        <v>—</v>
      </c>
      <c r="T394" s="44" t="str">
        <f aca="false">IF(ISNUMBER($AF394),INDEX(IDX_SrcGrade,$AF394),"—")</f>
        <v>—</v>
      </c>
      <c r="U394" s="44" t="s">
        <v>4531</v>
      </c>
      <c r="V394" s="32" t="n">
        <f aca="false">IF(AND($F394="原始數據",$U394&lt;&gt;"連結 SRC"),1,0)</f>
        <v>0</v>
      </c>
      <c r="W394" s="32" t="n">
        <f aca="false">IF(AND($F394="Analogy",OR($H394="—",$H394="")),1,0)</f>
        <v>0</v>
      </c>
      <c r="X394" s="32" t="n">
        <f aca="false">IF(AND(OR($F394="Analogy",$F394="Assumed"),$G394&lt;&gt;"低",$G394&lt;&gt;"高",NOT(ISNUMBER($K394)),NOT(ISNUMBER($L394)),OR($M394="—",$M394="")),1,0)</f>
        <v>0</v>
      </c>
      <c r="Y394" s="32" t="n">
        <f aca="false">IF(AND(OR($F394="Analogy",$F394="Assumed",$F394="Derived（待改公式）",$F394="Derived（公式）"),OR($N394="—",$N394="",$N394=0)),1,0)</f>
        <v>0</v>
      </c>
      <c r="Z394" s="32" t="n">
        <f aca="false">IF(AND($F394="Decision",OR($J394="—",$J394="")),1,0)</f>
        <v>0</v>
      </c>
      <c r="AA394" s="33" t="n">
        <f aca="false">IF(OR($J394="—",$J394=""),0,IF(COUNTIF(Decisions!$A$5:$A$300,$J394)=0,1,0))</f>
        <v>0</v>
      </c>
      <c r="AB394" s="32" t="n">
        <f aca="false">IF(AND($F394="原始數據",$S394&lt;&gt;"Active"),1,0)</f>
        <v>0</v>
      </c>
      <c r="AC394" s="32" t="n">
        <f aca="false">IF(AND(ISNUMBER($K394),ISNUMBER($L394),ISNUMBER($Q394)),IF(OR($Q394&lt;MIN($K394,$L394),$Q394&gt;MAX($K394,$L394)),1,0),0)</f>
        <v>0</v>
      </c>
      <c r="AD394" s="32" t="n">
        <f aca="false">IF(AND(ISNUMBER($T394),$P394="高"),IF($T394=3,1,0),0)</f>
        <v>0</v>
      </c>
      <c r="AE394" s="32" t="n">
        <f aca="false">IF($S394="不存在",1,0)</f>
        <v>0</v>
      </c>
      <c r="AF394" s="44" t="str">
        <f aca="false">IF(OR($H394="—",$H394=""),"—",MATCH($H394,IDX_SrcID,0))</f>
        <v>—</v>
      </c>
      <c r="AG394" s="32" t="n">
        <f aca="false">IF(AND($P394="高",OR($AD394=1,$X394=1)),1,0)</f>
        <v>0</v>
      </c>
      <c r="AH394" s="32" t="n">
        <f aca="false">IF(AND($P394="高",$AG394=0,OR($F394&lt;&gt;"原始數據",$T394&lt;&gt;1)),1,0)</f>
        <v>0</v>
      </c>
      <c r="AI394" s="44" t="str">
        <f aca="false">IF(AND($P394="高",ISNUMBER($AF394)),INDEX(IDX_SrcDate,$AF394),"—")</f>
        <v>—</v>
      </c>
      <c r="AJ394" s="32" t="n">
        <f aca="false">IF(AND(ISTEXT($AI394),LEN($AI394)=10),IF(ISNUMBER(VALUE(SUBSTITUTE($AI394,"-",""))),VALUE(SUBSTITUTE($AI394,"-","")),0),0)</f>
        <v>0</v>
      </c>
    </row>
    <row r="395" customFormat="false" ht="15" hidden="false" customHeight="true" outlineLevel="0" collapsed="false">
      <c r="A395" s="30" t="s">
        <v>5498</v>
      </c>
      <c r="B395" s="239" t="s">
        <v>4525</v>
      </c>
      <c r="C395" s="30" t="s">
        <v>5491</v>
      </c>
      <c r="D395" s="30" t="s">
        <v>4690</v>
      </c>
      <c r="E395" s="6" t="s">
        <v>4052</v>
      </c>
      <c r="F395" s="30" t="s">
        <v>114</v>
      </c>
      <c r="G395" s="239" t="s">
        <v>97</v>
      </c>
      <c r="H395" s="30" t="s">
        <v>751</v>
      </c>
      <c r="I395" s="6" t="s">
        <v>751</v>
      </c>
      <c r="J395" s="30" t="s">
        <v>751</v>
      </c>
      <c r="K395" s="192" t="n">
        <f aca="false">NonNV!B6</f>
        <v>0.6</v>
      </c>
      <c r="L395" s="192" t="n">
        <f aca="false">NonNV!D6</f>
        <v>1.1</v>
      </c>
      <c r="M395" s="30" t="s">
        <v>751</v>
      </c>
      <c r="N395" s="240" t="str">
        <f aca="false">NonNV!$L$6</f>
        <v>自用為主，無公開同口徑實測</v>
      </c>
      <c r="O395" s="6" t="s">
        <v>751</v>
      </c>
      <c r="P395" s="239" t="s">
        <v>4530</v>
      </c>
      <c r="Q395" s="192" t="n">
        <f aca="false">NonNV!C6</f>
        <v>0.8</v>
      </c>
      <c r="R395" s="30" t="s">
        <v>751</v>
      </c>
      <c r="S395" s="44" t="str">
        <f aca="false">IF(ISNUMBER($AF395),INDEX(IDX_SrcStat,$AF395),"—")</f>
        <v>—</v>
      </c>
      <c r="T395" s="44" t="str">
        <f aca="false">IF(ISNUMBER($AF395),INDEX(IDX_SrcGrade,$AF395),"—")</f>
        <v>—</v>
      </c>
      <c r="U395" s="44" t="s">
        <v>4531</v>
      </c>
      <c r="V395" s="32" t="n">
        <f aca="false">IF(AND($F395="原始數據",$U395&lt;&gt;"連結 SRC"),1,0)</f>
        <v>0</v>
      </c>
      <c r="W395" s="32" t="n">
        <f aca="false">IF(AND($F395="Analogy",OR($H395="—",$H395="")),1,0)</f>
        <v>0</v>
      </c>
      <c r="X395" s="32" t="n">
        <f aca="false">IF(AND(OR($F395="Analogy",$F395="Assumed"),$G395&lt;&gt;"低",$G395&lt;&gt;"高",NOT(ISNUMBER($K395)),NOT(ISNUMBER($L395)),OR($M395="—",$M395="")),1,0)</f>
        <v>0</v>
      </c>
      <c r="Y395" s="32" t="n">
        <f aca="false">IF(AND(OR($F395="Analogy",$F395="Assumed",$F395="Derived（待改公式）",$F395="Derived（公式）"),OR($N395="—",$N395="",$N395=0)),1,0)</f>
        <v>0</v>
      </c>
      <c r="Z395" s="32" t="n">
        <f aca="false">IF(AND($F395="Decision",OR($J395="—",$J395="")),1,0)</f>
        <v>0</v>
      </c>
      <c r="AA395" s="33" t="n">
        <f aca="false">IF(OR($J395="—",$J395=""),0,IF(COUNTIF(Decisions!$A$5:$A$300,$J395)=0,1,0))</f>
        <v>0</v>
      </c>
      <c r="AB395" s="32" t="n">
        <f aca="false">IF(AND($F395="原始數據",$S395&lt;&gt;"Active"),1,0)</f>
        <v>0</v>
      </c>
      <c r="AC395" s="32" t="n">
        <f aca="false">IF(AND(ISNUMBER($K395),ISNUMBER($L395),ISNUMBER($Q395)),IF(OR($Q395&lt;MIN($K395,$L395),$Q395&gt;MAX($K395,$L395)),1,0),0)</f>
        <v>0</v>
      </c>
      <c r="AD395" s="32" t="n">
        <f aca="false">IF(AND(ISNUMBER($T395),$P395="高"),IF($T395=3,1,0),0)</f>
        <v>0</v>
      </c>
      <c r="AE395" s="32" t="n">
        <f aca="false">IF($S395="不存在",1,0)</f>
        <v>0</v>
      </c>
      <c r="AF395" s="44" t="str">
        <f aca="false">IF(OR($H395="—",$H395=""),"—",MATCH($H395,IDX_SrcID,0))</f>
        <v>—</v>
      </c>
      <c r="AG395" s="32" t="n">
        <f aca="false">IF(AND($P395="高",OR($AD395=1,$X395=1)),1,0)</f>
        <v>0</v>
      </c>
      <c r="AH395" s="32" t="n">
        <f aca="false">IF(AND($P395="高",$AG395=0,OR($F395&lt;&gt;"原始數據",$T395&lt;&gt;1)),1,0)</f>
        <v>0</v>
      </c>
      <c r="AI395" s="44" t="str">
        <f aca="false">IF(AND($P395="高",ISNUMBER($AF395)),INDEX(IDX_SrcDate,$AF395),"—")</f>
        <v>—</v>
      </c>
      <c r="AJ395" s="32" t="n">
        <f aca="false">IF(AND(ISTEXT($AI395),LEN($AI395)=10),IF(ISNUMBER(VALUE(SUBSTITUTE($AI395,"-",""))),VALUE(SUBSTITUTE($AI395,"-","")),0),0)</f>
        <v>0</v>
      </c>
    </row>
    <row r="396" customFormat="false" ht="15" hidden="false" customHeight="true" outlineLevel="0" collapsed="false">
      <c r="A396" s="30" t="s">
        <v>5499</v>
      </c>
      <c r="B396" s="239" t="s">
        <v>4525</v>
      </c>
      <c r="C396" s="30" t="s">
        <v>5491</v>
      </c>
      <c r="D396" s="30" t="s">
        <v>4698</v>
      </c>
      <c r="E396" s="6" t="s">
        <v>4052</v>
      </c>
      <c r="F396" s="30" t="s">
        <v>114</v>
      </c>
      <c r="G396" s="239" t="s">
        <v>97</v>
      </c>
      <c r="H396" s="30" t="s">
        <v>751</v>
      </c>
      <c r="I396" s="6" t="s">
        <v>751</v>
      </c>
      <c r="J396" s="30" t="s">
        <v>751</v>
      </c>
      <c r="K396" s="192" t="n">
        <f aca="false">NonNV!E6</f>
        <v>0.7</v>
      </c>
      <c r="L396" s="192" t="n">
        <f aca="false">NonNV!G6</f>
        <v>1</v>
      </c>
      <c r="M396" s="30" t="s">
        <v>751</v>
      </c>
      <c r="N396" s="240" t="str">
        <f aca="false">NonNV!$L$6</f>
        <v>自用為主，無公開同口徑實測</v>
      </c>
      <c r="O396" s="6" t="s">
        <v>751</v>
      </c>
      <c r="P396" s="239" t="s">
        <v>4530</v>
      </c>
      <c r="Q396" s="192" t="n">
        <f aca="false">NonNV!F6</f>
        <v>0.8</v>
      </c>
      <c r="R396" s="30" t="s">
        <v>751</v>
      </c>
      <c r="S396" s="44" t="str">
        <f aca="false">IF(ISNUMBER($AF396),INDEX(IDX_SrcStat,$AF396),"—")</f>
        <v>—</v>
      </c>
      <c r="T396" s="44" t="str">
        <f aca="false">IF(ISNUMBER($AF396),INDEX(IDX_SrcGrade,$AF396),"—")</f>
        <v>—</v>
      </c>
      <c r="U396" s="44" t="s">
        <v>4531</v>
      </c>
      <c r="V396" s="32" t="n">
        <f aca="false">IF(AND($F396="原始數據",$U396&lt;&gt;"連結 SRC"),1,0)</f>
        <v>0</v>
      </c>
      <c r="W396" s="32" t="n">
        <f aca="false">IF(AND($F396="Analogy",OR($H396="—",$H396="")),1,0)</f>
        <v>0</v>
      </c>
      <c r="X396" s="32" t="n">
        <f aca="false">IF(AND(OR($F396="Analogy",$F396="Assumed"),$G396&lt;&gt;"低",$G396&lt;&gt;"高",NOT(ISNUMBER($K396)),NOT(ISNUMBER($L396)),OR($M396="—",$M396="")),1,0)</f>
        <v>0</v>
      </c>
      <c r="Y396" s="32" t="n">
        <f aca="false">IF(AND(OR($F396="Analogy",$F396="Assumed",$F396="Derived（待改公式）",$F396="Derived（公式）"),OR($N396="—",$N396="",$N396=0)),1,0)</f>
        <v>0</v>
      </c>
      <c r="Z396" s="32" t="n">
        <f aca="false">IF(AND($F396="Decision",OR($J396="—",$J396="")),1,0)</f>
        <v>0</v>
      </c>
      <c r="AA396" s="33" t="n">
        <f aca="false">IF(OR($J396="—",$J396=""),0,IF(COUNTIF(Decisions!$A$5:$A$300,$J396)=0,1,0))</f>
        <v>0</v>
      </c>
      <c r="AB396" s="32" t="n">
        <f aca="false">IF(AND($F396="原始數據",$S396&lt;&gt;"Active"),1,0)</f>
        <v>0</v>
      </c>
      <c r="AC396" s="32" t="n">
        <f aca="false">IF(AND(ISNUMBER($K396),ISNUMBER($L396),ISNUMBER($Q396)),IF(OR($Q396&lt;MIN($K396,$L396),$Q396&gt;MAX($K396,$L396)),1,0),0)</f>
        <v>0</v>
      </c>
      <c r="AD396" s="32" t="n">
        <f aca="false">IF(AND(ISNUMBER($T396),$P396="高"),IF($T396=3,1,0),0)</f>
        <v>0</v>
      </c>
      <c r="AE396" s="32" t="n">
        <f aca="false">IF($S396="不存在",1,0)</f>
        <v>0</v>
      </c>
      <c r="AF396" s="44" t="str">
        <f aca="false">IF(OR($H396="—",$H396=""),"—",MATCH($H396,IDX_SrcID,0))</f>
        <v>—</v>
      </c>
      <c r="AG396" s="32" t="n">
        <f aca="false">IF(AND($P396="高",OR($AD396=1,$X396=1)),1,0)</f>
        <v>0</v>
      </c>
      <c r="AH396" s="32" t="n">
        <f aca="false">IF(AND($P396="高",$AG396=0,OR($F396&lt;&gt;"原始數據",$T396&lt;&gt;1)),1,0)</f>
        <v>0</v>
      </c>
      <c r="AI396" s="44" t="str">
        <f aca="false">IF(AND($P396="高",ISNUMBER($AF396)),INDEX(IDX_SrcDate,$AF396),"—")</f>
        <v>—</v>
      </c>
      <c r="AJ396" s="32" t="n">
        <f aca="false">IF(AND(ISTEXT($AI396),LEN($AI396)=10),IF(ISNUMBER(VALUE(SUBSTITUTE($AI396,"-",""))),VALUE(SUBSTITUTE($AI396,"-","")),0),0)</f>
        <v>0</v>
      </c>
    </row>
    <row r="397" customFormat="false" ht="15" hidden="false" customHeight="true" outlineLevel="0" collapsed="false">
      <c r="A397" s="30" t="s">
        <v>5500</v>
      </c>
      <c r="B397" s="239" t="s">
        <v>4525</v>
      </c>
      <c r="C397" s="30" t="s">
        <v>5491</v>
      </c>
      <c r="D397" s="30" t="s">
        <v>5501</v>
      </c>
      <c r="E397" s="6" t="s">
        <v>4052</v>
      </c>
      <c r="F397" s="30" t="s">
        <v>114</v>
      </c>
      <c r="G397" s="239" t="s">
        <v>1308</v>
      </c>
      <c r="H397" s="30" t="s">
        <v>751</v>
      </c>
      <c r="I397" s="6" t="s">
        <v>751</v>
      </c>
      <c r="J397" s="30" t="s">
        <v>751</v>
      </c>
      <c r="K397" s="239"/>
      <c r="L397" s="239"/>
      <c r="M397" s="30" t="s">
        <v>751</v>
      </c>
      <c r="N397" s="240" t="str">
        <f aca="false">NonNV!$L$6</f>
        <v>自用為主，無公開同口徑實測</v>
      </c>
      <c r="O397" s="6" t="s">
        <v>751</v>
      </c>
      <c r="P397" s="239" t="s">
        <v>4530</v>
      </c>
      <c r="Q397" s="192" t="n">
        <f aca="false">NonNV!B6</f>
        <v>0.6</v>
      </c>
      <c r="R397" s="30" t="s">
        <v>751</v>
      </c>
      <c r="S397" s="44" t="str">
        <f aca="false">IF(ISNUMBER($AF397),INDEX(IDX_SrcStat,$AF397),"—")</f>
        <v>—</v>
      </c>
      <c r="T397" s="44" t="str">
        <f aca="false">IF(ISNUMBER($AF397),INDEX(IDX_SrcGrade,$AF397),"—")</f>
        <v>—</v>
      </c>
      <c r="U397" s="44" t="s">
        <v>4531</v>
      </c>
      <c r="V397" s="32" t="n">
        <f aca="false">IF(AND($F397="原始數據",$U397&lt;&gt;"連結 SRC"),1,0)</f>
        <v>0</v>
      </c>
      <c r="W397" s="32" t="n">
        <f aca="false">IF(AND($F397="Analogy",OR($H397="—",$H397="")),1,0)</f>
        <v>0</v>
      </c>
      <c r="X397" s="32" t="n">
        <f aca="false">IF(AND(OR($F397="Analogy",$F397="Assumed"),$G397&lt;&gt;"低",$G397&lt;&gt;"高",NOT(ISNUMBER($K397)),NOT(ISNUMBER($L397)),OR($M397="—",$M397="")),1,0)</f>
        <v>0</v>
      </c>
      <c r="Y397" s="32" t="n">
        <f aca="false">IF(AND(OR($F397="Analogy",$F397="Assumed",$F397="Derived（待改公式）",$F397="Derived（公式）"),OR($N397="—",$N397="",$N397=0)),1,0)</f>
        <v>0</v>
      </c>
      <c r="Z397" s="32" t="n">
        <f aca="false">IF(AND($F397="Decision",OR($J397="—",$J397="")),1,0)</f>
        <v>0</v>
      </c>
      <c r="AA397" s="33" t="n">
        <f aca="false">IF(OR($J397="—",$J397=""),0,IF(COUNTIF(Decisions!$A$5:$A$300,$J397)=0,1,0))</f>
        <v>0</v>
      </c>
      <c r="AB397" s="32" t="n">
        <f aca="false">IF(AND($F397="原始數據",$S397&lt;&gt;"Active"),1,0)</f>
        <v>0</v>
      </c>
      <c r="AC397" s="32" t="n">
        <f aca="false">IF(AND(ISNUMBER($K397),ISNUMBER($L397),ISNUMBER($Q397)),IF(OR($Q397&lt;MIN($K397,$L397),$Q397&gt;MAX($K397,$L397)),1,0),0)</f>
        <v>0</v>
      </c>
      <c r="AD397" s="32" t="n">
        <f aca="false">IF(AND(ISNUMBER($T397),$P397="高"),IF($T397=3,1,0),0)</f>
        <v>0</v>
      </c>
      <c r="AE397" s="32" t="n">
        <f aca="false">IF($S397="不存在",1,0)</f>
        <v>0</v>
      </c>
      <c r="AF397" s="44" t="str">
        <f aca="false">IF(OR($H397="—",$H397=""),"—",MATCH($H397,IDX_SrcID,0))</f>
        <v>—</v>
      </c>
      <c r="AG397" s="32" t="n">
        <f aca="false">IF(AND($P397="高",OR($AD397=1,$X397=1)),1,0)</f>
        <v>0</v>
      </c>
      <c r="AH397" s="32" t="n">
        <f aca="false">IF(AND($P397="高",$AG397=0,OR($F397&lt;&gt;"原始數據",$T397&lt;&gt;1)),1,0)</f>
        <v>0</v>
      </c>
      <c r="AI397" s="44" t="str">
        <f aca="false">IF(AND($P397="高",ISNUMBER($AF397)),INDEX(IDX_SrcDate,$AF397),"—")</f>
        <v>—</v>
      </c>
      <c r="AJ397" s="32" t="n">
        <f aca="false">IF(AND(ISTEXT($AI397),LEN($AI397)=10),IF(ISNUMBER(VALUE(SUBSTITUTE($AI397,"-",""))),VALUE(SUBSTITUTE($AI397,"-","")),0),0)</f>
        <v>0</v>
      </c>
    </row>
    <row r="398" customFormat="false" ht="15" hidden="false" customHeight="true" outlineLevel="0" collapsed="false">
      <c r="A398" s="30" t="s">
        <v>5502</v>
      </c>
      <c r="B398" s="239" t="s">
        <v>4525</v>
      </c>
      <c r="C398" s="30" t="s">
        <v>5491</v>
      </c>
      <c r="D398" s="30" t="s">
        <v>4694</v>
      </c>
      <c r="E398" s="6" t="s">
        <v>4052</v>
      </c>
      <c r="F398" s="30" t="s">
        <v>114</v>
      </c>
      <c r="G398" s="239" t="s">
        <v>1309</v>
      </c>
      <c r="H398" s="30" t="s">
        <v>751</v>
      </c>
      <c r="I398" s="6" t="s">
        <v>751</v>
      </c>
      <c r="J398" s="30" t="s">
        <v>751</v>
      </c>
      <c r="K398" s="239"/>
      <c r="L398" s="239"/>
      <c r="M398" s="30" t="s">
        <v>751</v>
      </c>
      <c r="N398" s="240" t="str">
        <f aca="false">NonNV!$L$6</f>
        <v>自用為主，無公開同口徑實測</v>
      </c>
      <c r="O398" s="6" t="s">
        <v>751</v>
      </c>
      <c r="P398" s="239" t="s">
        <v>4530</v>
      </c>
      <c r="Q398" s="192" t="n">
        <f aca="false">NonNV!D6</f>
        <v>1.1</v>
      </c>
      <c r="R398" s="30" t="s">
        <v>751</v>
      </c>
      <c r="S398" s="44" t="str">
        <f aca="false">IF(ISNUMBER($AF398),INDEX(IDX_SrcStat,$AF398),"—")</f>
        <v>—</v>
      </c>
      <c r="T398" s="44" t="str">
        <f aca="false">IF(ISNUMBER($AF398),INDEX(IDX_SrcGrade,$AF398),"—")</f>
        <v>—</v>
      </c>
      <c r="U398" s="44" t="s">
        <v>4531</v>
      </c>
      <c r="V398" s="32" t="n">
        <f aca="false">IF(AND($F398="原始數據",$U398&lt;&gt;"連結 SRC"),1,0)</f>
        <v>0</v>
      </c>
      <c r="W398" s="32" t="n">
        <f aca="false">IF(AND($F398="Analogy",OR($H398="—",$H398="")),1,0)</f>
        <v>0</v>
      </c>
      <c r="X398" s="32" t="n">
        <f aca="false">IF(AND(OR($F398="Analogy",$F398="Assumed"),$G398&lt;&gt;"低",$G398&lt;&gt;"高",NOT(ISNUMBER($K398)),NOT(ISNUMBER($L398)),OR($M398="—",$M398="")),1,0)</f>
        <v>0</v>
      </c>
      <c r="Y398" s="32" t="n">
        <f aca="false">IF(AND(OR($F398="Analogy",$F398="Assumed",$F398="Derived（待改公式）",$F398="Derived（公式）"),OR($N398="—",$N398="",$N398=0)),1,0)</f>
        <v>0</v>
      </c>
      <c r="Z398" s="32" t="n">
        <f aca="false">IF(AND($F398="Decision",OR($J398="—",$J398="")),1,0)</f>
        <v>0</v>
      </c>
      <c r="AA398" s="33" t="n">
        <f aca="false">IF(OR($J398="—",$J398=""),0,IF(COUNTIF(Decisions!$A$5:$A$300,$J398)=0,1,0))</f>
        <v>0</v>
      </c>
      <c r="AB398" s="32" t="n">
        <f aca="false">IF(AND($F398="原始數據",$S398&lt;&gt;"Active"),1,0)</f>
        <v>0</v>
      </c>
      <c r="AC398" s="32" t="n">
        <f aca="false">IF(AND(ISNUMBER($K398),ISNUMBER($L398),ISNUMBER($Q398)),IF(OR($Q398&lt;MIN($K398,$L398),$Q398&gt;MAX($K398,$L398)),1,0),0)</f>
        <v>0</v>
      </c>
      <c r="AD398" s="32" t="n">
        <f aca="false">IF(AND(ISNUMBER($T398),$P398="高"),IF($T398=3,1,0),0)</f>
        <v>0</v>
      </c>
      <c r="AE398" s="32" t="n">
        <f aca="false">IF($S398="不存在",1,0)</f>
        <v>0</v>
      </c>
      <c r="AF398" s="44" t="str">
        <f aca="false">IF(OR($H398="—",$H398=""),"—",MATCH($H398,IDX_SrcID,0))</f>
        <v>—</v>
      </c>
      <c r="AG398" s="32" t="n">
        <f aca="false">IF(AND($P398="高",OR($AD398=1,$X398=1)),1,0)</f>
        <v>0</v>
      </c>
      <c r="AH398" s="32" t="n">
        <f aca="false">IF(AND($P398="高",$AG398=0,OR($F398&lt;&gt;"原始數據",$T398&lt;&gt;1)),1,0)</f>
        <v>0</v>
      </c>
      <c r="AI398" s="44" t="str">
        <f aca="false">IF(AND($P398="高",ISNUMBER($AF398)),INDEX(IDX_SrcDate,$AF398),"—")</f>
        <v>—</v>
      </c>
      <c r="AJ398" s="32" t="n">
        <f aca="false">IF(AND(ISTEXT($AI398),LEN($AI398)=10),IF(ISNUMBER(VALUE(SUBSTITUTE($AI398,"-",""))),VALUE(SUBSTITUTE($AI398,"-","")),0),0)</f>
        <v>0</v>
      </c>
    </row>
    <row r="399" customFormat="false" ht="15" hidden="false" customHeight="true" outlineLevel="0" collapsed="false">
      <c r="A399" s="30" t="s">
        <v>5503</v>
      </c>
      <c r="B399" s="239" t="s">
        <v>4525</v>
      </c>
      <c r="C399" s="30" t="s">
        <v>5491</v>
      </c>
      <c r="D399" s="30" t="s">
        <v>4307</v>
      </c>
      <c r="E399" s="6" t="s">
        <v>4052</v>
      </c>
      <c r="F399" s="30" t="s">
        <v>114</v>
      </c>
      <c r="G399" s="239" t="s">
        <v>1308</v>
      </c>
      <c r="H399" s="30" t="s">
        <v>751</v>
      </c>
      <c r="I399" s="6" t="s">
        <v>751</v>
      </c>
      <c r="J399" s="30" t="s">
        <v>751</v>
      </c>
      <c r="K399" s="239"/>
      <c r="L399" s="239"/>
      <c r="M399" s="30" t="s">
        <v>751</v>
      </c>
      <c r="N399" s="240" t="str">
        <f aca="false">NonNV!$L$6</f>
        <v>自用為主，無公開同口徑實測</v>
      </c>
      <c r="O399" s="6" t="s">
        <v>751</v>
      </c>
      <c r="P399" s="239" t="s">
        <v>4530</v>
      </c>
      <c r="Q399" s="192" t="n">
        <f aca="false">NonNV!E6</f>
        <v>0.7</v>
      </c>
      <c r="R399" s="30" t="s">
        <v>751</v>
      </c>
      <c r="S399" s="44" t="str">
        <f aca="false">IF(ISNUMBER($AF399),INDEX(IDX_SrcStat,$AF399),"—")</f>
        <v>—</v>
      </c>
      <c r="T399" s="44" t="str">
        <f aca="false">IF(ISNUMBER($AF399),INDEX(IDX_SrcGrade,$AF399),"—")</f>
        <v>—</v>
      </c>
      <c r="U399" s="44" t="s">
        <v>4531</v>
      </c>
      <c r="V399" s="32" t="n">
        <f aca="false">IF(AND($F399="原始數據",$U399&lt;&gt;"連結 SRC"),1,0)</f>
        <v>0</v>
      </c>
      <c r="W399" s="32" t="n">
        <f aca="false">IF(AND($F399="Analogy",OR($H399="—",$H399="")),1,0)</f>
        <v>0</v>
      </c>
      <c r="X399" s="32" t="n">
        <f aca="false">IF(AND(OR($F399="Analogy",$F399="Assumed"),$G399&lt;&gt;"低",$G399&lt;&gt;"高",NOT(ISNUMBER($K399)),NOT(ISNUMBER($L399)),OR($M399="—",$M399="")),1,0)</f>
        <v>0</v>
      </c>
      <c r="Y399" s="32" t="n">
        <f aca="false">IF(AND(OR($F399="Analogy",$F399="Assumed",$F399="Derived（待改公式）",$F399="Derived（公式）"),OR($N399="—",$N399="",$N399=0)),1,0)</f>
        <v>0</v>
      </c>
      <c r="Z399" s="32" t="n">
        <f aca="false">IF(AND($F399="Decision",OR($J399="—",$J399="")),1,0)</f>
        <v>0</v>
      </c>
      <c r="AA399" s="33" t="n">
        <f aca="false">IF(OR($J399="—",$J399=""),0,IF(COUNTIF(Decisions!$A$5:$A$300,$J399)=0,1,0))</f>
        <v>0</v>
      </c>
      <c r="AB399" s="32" t="n">
        <f aca="false">IF(AND($F399="原始數據",$S399&lt;&gt;"Active"),1,0)</f>
        <v>0</v>
      </c>
      <c r="AC399" s="32" t="n">
        <f aca="false">IF(AND(ISNUMBER($K399),ISNUMBER($L399),ISNUMBER($Q399)),IF(OR($Q399&lt;MIN($K399,$L399),$Q399&gt;MAX($K399,$L399)),1,0),0)</f>
        <v>0</v>
      </c>
      <c r="AD399" s="32" t="n">
        <f aca="false">IF(AND(ISNUMBER($T399),$P399="高"),IF($T399=3,1,0),0)</f>
        <v>0</v>
      </c>
      <c r="AE399" s="32" t="n">
        <f aca="false">IF($S399="不存在",1,0)</f>
        <v>0</v>
      </c>
      <c r="AF399" s="44" t="str">
        <f aca="false">IF(OR($H399="—",$H399=""),"—",MATCH($H399,IDX_SrcID,0))</f>
        <v>—</v>
      </c>
      <c r="AG399" s="32" t="n">
        <f aca="false">IF(AND($P399="高",OR($AD399=1,$X399=1)),1,0)</f>
        <v>0</v>
      </c>
      <c r="AH399" s="32" t="n">
        <f aca="false">IF(AND($P399="高",$AG399=0,OR($F399&lt;&gt;"原始數據",$T399&lt;&gt;1)),1,0)</f>
        <v>0</v>
      </c>
      <c r="AI399" s="44" t="str">
        <f aca="false">IF(AND($P399="高",ISNUMBER($AF399)),INDEX(IDX_SrcDate,$AF399),"—")</f>
        <v>—</v>
      </c>
      <c r="AJ399" s="32" t="n">
        <f aca="false">IF(AND(ISTEXT($AI399),LEN($AI399)=10),IF(ISNUMBER(VALUE(SUBSTITUTE($AI399,"-",""))),VALUE(SUBSTITUTE($AI399,"-","")),0),0)</f>
        <v>0</v>
      </c>
    </row>
    <row r="400" customFormat="false" ht="15" hidden="false" customHeight="true" outlineLevel="0" collapsed="false">
      <c r="A400" s="30" t="s">
        <v>5504</v>
      </c>
      <c r="B400" s="239" t="s">
        <v>4525</v>
      </c>
      <c r="C400" s="30" t="s">
        <v>5491</v>
      </c>
      <c r="D400" s="30" t="s">
        <v>4700</v>
      </c>
      <c r="E400" s="6" t="s">
        <v>4052</v>
      </c>
      <c r="F400" s="30" t="s">
        <v>114</v>
      </c>
      <c r="G400" s="239" t="s">
        <v>1309</v>
      </c>
      <c r="H400" s="30" t="s">
        <v>751</v>
      </c>
      <c r="I400" s="6" t="s">
        <v>751</v>
      </c>
      <c r="J400" s="30" t="s">
        <v>751</v>
      </c>
      <c r="K400" s="239"/>
      <c r="L400" s="239"/>
      <c r="M400" s="30" t="s">
        <v>751</v>
      </c>
      <c r="N400" s="240" t="str">
        <f aca="false">NonNV!$L$6</f>
        <v>自用為主，無公開同口徑實測</v>
      </c>
      <c r="O400" s="6" t="s">
        <v>751</v>
      </c>
      <c r="P400" s="239" t="s">
        <v>4530</v>
      </c>
      <c r="Q400" s="192" t="n">
        <f aca="false">NonNV!G6</f>
        <v>1</v>
      </c>
      <c r="R400" s="30" t="s">
        <v>751</v>
      </c>
      <c r="S400" s="44" t="str">
        <f aca="false">IF(ISNUMBER($AF400),INDEX(IDX_SrcStat,$AF400),"—")</f>
        <v>—</v>
      </c>
      <c r="T400" s="44" t="str">
        <f aca="false">IF(ISNUMBER($AF400),INDEX(IDX_SrcGrade,$AF400),"—")</f>
        <v>—</v>
      </c>
      <c r="U400" s="44" t="s">
        <v>4531</v>
      </c>
      <c r="V400" s="32" t="n">
        <f aca="false">IF(AND($F400="原始數據",$U400&lt;&gt;"連結 SRC"),1,0)</f>
        <v>0</v>
      </c>
      <c r="W400" s="32" t="n">
        <f aca="false">IF(AND($F400="Analogy",OR($H400="—",$H400="")),1,0)</f>
        <v>0</v>
      </c>
      <c r="X400" s="32" t="n">
        <f aca="false">IF(AND(OR($F400="Analogy",$F400="Assumed"),$G400&lt;&gt;"低",$G400&lt;&gt;"高",NOT(ISNUMBER($K400)),NOT(ISNUMBER($L400)),OR($M400="—",$M400="")),1,0)</f>
        <v>0</v>
      </c>
      <c r="Y400" s="32" t="n">
        <f aca="false">IF(AND(OR($F400="Analogy",$F400="Assumed",$F400="Derived（待改公式）",$F400="Derived（公式）"),OR($N400="—",$N400="",$N400=0)),1,0)</f>
        <v>0</v>
      </c>
      <c r="Z400" s="32" t="n">
        <f aca="false">IF(AND($F400="Decision",OR($J400="—",$J400="")),1,0)</f>
        <v>0</v>
      </c>
      <c r="AA400" s="33" t="n">
        <f aca="false">IF(OR($J400="—",$J400=""),0,IF(COUNTIF(Decisions!$A$5:$A$300,$J400)=0,1,0))</f>
        <v>0</v>
      </c>
      <c r="AB400" s="32" t="n">
        <f aca="false">IF(AND($F400="原始數據",$S400&lt;&gt;"Active"),1,0)</f>
        <v>0</v>
      </c>
      <c r="AC400" s="32" t="n">
        <f aca="false">IF(AND(ISNUMBER($K400),ISNUMBER($L400),ISNUMBER($Q400)),IF(OR($Q400&lt;MIN($K400,$L400),$Q400&gt;MAX($K400,$L400)),1,0),0)</f>
        <v>0</v>
      </c>
      <c r="AD400" s="32" t="n">
        <f aca="false">IF(AND(ISNUMBER($T400),$P400="高"),IF($T400=3,1,0),0)</f>
        <v>0</v>
      </c>
      <c r="AE400" s="32" t="n">
        <f aca="false">IF($S400="不存在",1,0)</f>
        <v>0</v>
      </c>
      <c r="AF400" s="44" t="str">
        <f aca="false">IF(OR($H400="—",$H400=""),"—",MATCH($H400,IDX_SrcID,0))</f>
        <v>—</v>
      </c>
      <c r="AG400" s="32" t="n">
        <f aca="false">IF(AND($P400="高",OR($AD400=1,$X400=1)),1,0)</f>
        <v>0</v>
      </c>
      <c r="AH400" s="32" t="n">
        <f aca="false">IF(AND($P400="高",$AG400=0,OR($F400&lt;&gt;"原始數據",$T400&lt;&gt;1)),1,0)</f>
        <v>0</v>
      </c>
      <c r="AI400" s="44" t="str">
        <f aca="false">IF(AND($P400="高",ISNUMBER($AF400)),INDEX(IDX_SrcDate,$AF400),"—")</f>
        <v>—</v>
      </c>
      <c r="AJ400" s="32" t="n">
        <f aca="false">IF(AND(ISTEXT($AI400),LEN($AI400)=10),IF(ISNUMBER(VALUE(SUBSTITUTE($AI400,"-",""))),VALUE(SUBSTITUTE($AI400,"-","")),0),0)</f>
        <v>0</v>
      </c>
    </row>
    <row r="401" customFormat="false" ht="15" hidden="false" customHeight="true" outlineLevel="0" collapsed="false">
      <c r="A401" s="30" t="s">
        <v>5505</v>
      </c>
      <c r="B401" s="239" t="s">
        <v>4525</v>
      </c>
      <c r="C401" s="30" t="s">
        <v>5491</v>
      </c>
      <c r="D401" s="30" t="s">
        <v>5017</v>
      </c>
      <c r="E401" s="6" t="s">
        <v>4055</v>
      </c>
      <c r="F401" s="30" t="s">
        <v>114</v>
      </c>
      <c r="G401" s="239" t="s">
        <v>97</v>
      </c>
      <c r="H401" s="30" t="s">
        <v>751</v>
      </c>
      <c r="I401" s="6" t="s">
        <v>751</v>
      </c>
      <c r="J401" s="30" t="s">
        <v>751</v>
      </c>
      <c r="K401" s="192" t="n">
        <f aca="false">NonNV!B7</f>
        <v>0.3</v>
      </c>
      <c r="L401" s="192" t="n">
        <f aca="false">NonNV!D7</f>
        <v>0.8</v>
      </c>
      <c r="M401" s="30" t="s">
        <v>751</v>
      </c>
      <c r="N401" s="240" t="str">
        <f aca="false">NonNV!$L$7</f>
        <v>OpenAI v0.5 以 2GW Trainium 合約為輸入</v>
      </c>
      <c r="O401" s="6" t="s">
        <v>751</v>
      </c>
      <c r="P401" s="239" t="s">
        <v>4530</v>
      </c>
      <c r="Q401" s="192" t="n">
        <f aca="false">NonNV!C7</f>
        <v>0.5</v>
      </c>
      <c r="R401" s="30" t="s">
        <v>751</v>
      </c>
      <c r="S401" s="44" t="str">
        <f aca="false">IF(ISNUMBER($AF401),INDEX(IDX_SrcStat,$AF401),"—")</f>
        <v>—</v>
      </c>
      <c r="T401" s="44" t="str">
        <f aca="false">IF(ISNUMBER($AF401),INDEX(IDX_SrcGrade,$AF401),"—")</f>
        <v>—</v>
      </c>
      <c r="U401" s="44" t="s">
        <v>4531</v>
      </c>
      <c r="V401" s="32" t="n">
        <f aca="false">IF(AND($F401="原始數據",$U401&lt;&gt;"連結 SRC"),1,0)</f>
        <v>0</v>
      </c>
      <c r="W401" s="32" t="n">
        <f aca="false">IF(AND($F401="Analogy",OR($H401="—",$H401="")),1,0)</f>
        <v>0</v>
      </c>
      <c r="X401" s="32" t="n">
        <f aca="false">IF(AND(OR($F401="Analogy",$F401="Assumed"),$G401&lt;&gt;"低",$G401&lt;&gt;"高",NOT(ISNUMBER($K401)),NOT(ISNUMBER($L401)),OR($M401="—",$M401="")),1,0)</f>
        <v>0</v>
      </c>
      <c r="Y401" s="32" t="n">
        <f aca="false">IF(AND(OR($F401="Analogy",$F401="Assumed",$F401="Derived（待改公式）",$F401="Derived（公式）"),OR($N401="—",$N401="",$N401=0)),1,0)</f>
        <v>0</v>
      </c>
      <c r="Z401" s="32" t="n">
        <f aca="false">IF(AND($F401="Decision",OR($J401="—",$J401="")),1,0)</f>
        <v>0</v>
      </c>
      <c r="AA401" s="33" t="n">
        <f aca="false">IF(OR($J401="—",$J401=""),0,IF(COUNTIF(Decisions!$A$5:$A$300,$J401)=0,1,0))</f>
        <v>0</v>
      </c>
      <c r="AB401" s="32" t="n">
        <f aca="false">IF(AND($F401="原始數據",$S401&lt;&gt;"Active"),1,0)</f>
        <v>0</v>
      </c>
      <c r="AC401" s="32" t="n">
        <f aca="false">IF(AND(ISNUMBER($K401),ISNUMBER($L401),ISNUMBER($Q401)),IF(OR($Q401&lt;MIN($K401,$L401),$Q401&gt;MAX($K401,$L401)),1,0),0)</f>
        <v>0</v>
      </c>
      <c r="AD401" s="32" t="n">
        <f aca="false">IF(AND(ISNUMBER($T401),$P401="高"),IF($T401=3,1,0),0)</f>
        <v>0</v>
      </c>
      <c r="AE401" s="32" t="n">
        <f aca="false">IF($S401="不存在",1,0)</f>
        <v>0</v>
      </c>
      <c r="AF401" s="44" t="str">
        <f aca="false">IF(OR($H401="—",$H401=""),"—",MATCH($H401,IDX_SrcID,0))</f>
        <v>—</v>
      </c>
      <c r="AG401" s="32" t="n">
        <f aca="false">IF(AND($P401="高",OR($AD401=1,$X401=1)),1,0)</f>
        <v>0</v>
      </c>
      <c r="AH401" s="32" t="n">
        <f aca="false">IF(AND($P401="高",$AG401=0,OR($F401&lt;&gt;"原始數據",$T401&lt;&gt;1)),1,0)</f>
        <v>0</v>
      </c>
      <c r="AI401" s="44" t="str">
        <f aca="false">IF(AND($P401="高",ISNUMBER($AF401)),INDEX(IDX_SrcDate,$AF401),"—")</f>
        <v>—</v>
      </c>
      <c r="AJ401" s="32" t="n">
        <f aca="false">IF(AND(ISTEXT($AI401),LEN($AI401)=10),IF(ISNUMBER(VALUE(SUBSTITUTE($AI401,"-",""))),VALUE(SUBSTITUTE($AI401,"-","")),0),0)</f>
        <v>0</v>
      </c>
    </row>
    <row r="402" customFormat="false" ht="15" hidden="false" customHeight="true" outlineLevel="0" collapsed="false">
      <c r="A402" s="30" t="s">
        <v>5506</v>
      </c>
      <c r="B402" s="239" t="s">
        <v>4525</v>
      </c>
      <c r="C402" s="30" t="s">
        <v>5491</v>
      </c>
      <c r="D402" s="30" t="s">
        <v>5216</v>
      </c>
      <c r="E402" s="6" t="s">
        <v>4055</v>
      </c>
      <c r="F402" s="30" t="s">
        <v>114</v>
      </c>
      <c r="G402" s="239" t="s">
        <v>97</v>
      </c>
      <c r="H402" s="30" t="s">
        <v>751</v>
      </c>
      <c r="I402" s="6" t="s">
        <v>751</v>
      </c>
      <c r="J402" s="30" t="s">
        <v>751</v>
      </c>
      <c r="K402" s="192" t="n">
        <f aca="false">NonNV!E7</f>
        <v>0.6</v>
      </c>
      <c r="L402" s="192" t="n">
        <f aca="false">NonNV!G7</f>
        <v>0.9</v>
      </c>
      <c r="M402" s="30" t="s">
        <v>751</v>
      </c>
      <c r="N402" s="240" t="str">
        <f aca="false">NonNV!$L$7</f>
        <v>OpenAI v0.5 以 2GW Trainium 合約為輸入</v>
      </c>
      <c r="O402" s="6" t="s">
        <v>751</v>
      </c>
      <c r="P402" s="239" t="s">
        <v>4530</v>
      </c>
      <c r="Q402" s="192" t="n">
        <f aca="false">NonNV!F7</f>
        <v>0.7</v>
      </c>
      <c r="R402" s="30" t="s">
        <v>751</v>
      </c>
      <c r="S402" s="44" t="str">
        <f aca="false">IF(ISNUMBER($AF402),INDEX(IDX_SrcStat,$AF402),"—")</f>
        <v>—</v>
      </c>
      <c r="T402" s="44" t="str">
        <f aca="false">IF(ISNUMBER($AF402),INDEX(IDX_SrcGrade,$AF402),"—")</f>
        <v>—</v>
      </c>
      <c r="U402" s="44" t="s">
        <v>4531</v>
      </c>
      <c r="V402" s="32" t="n">
        <f aca="false">IF(AND($F402="原始數據",$U402&lt;&gt;"連結 SRC"),1,0)</f>
        <v>0</v>
      </c>
      <c r="W402" s="32" t="n">
        <f aca="false">IF(AND($F402="Analogy",OR($H402="—",$H402="")),1,0)</f>
        <v>0</v>
      </c>
      <c r="X402" s="32" t="n">
        <f aca="false">IF(AND(OR($F402="Analogy",$F402="Assumed"),$G402&lt;&gt;"低",$G402&lt;&gt;"高",NOT(ISNUMBER($K402)),NOT(ISNUMBER($L402)),OR($M402="—",$M402="")),1,0)</f>
        <v>0</v>
      </c>
      <c r="Y402" s="32" t="n">
        <f aca="false">IF(AND(OR($F402="Analogy",$F402="Assumed",$F402="Derived（待改公式）",$F402="Derived（公式）"),OR($N402="—",$N402="",$N402=0)),1,0)</f>
        <v>0</v>
      </c>
      <c r="Z402" s="32" t="n">
        <f aca="false">IF(AND($F402="Decision",OR($J402="—",$J402="")),1,0)</f>
        <v>0</v>
      </c>
      <c r="AA402" s="33" t="n">
        <f aca="false">IF(OR($J402="—",$J402=""),0,IF(COUNTIF(Decisions!$A$5:$A$300,$J402)=0,1,0))</f>
        <v>0</v>
      </c>
      <c r="AB402" s="32" t="n">
        <f aca="false">IF(AND($F402="原始數據",$S402&lt;&gt;"Active"),1,0)</f>
        <v>0</v>
      </c>
      <c r="AC402" s="32" t="n">
        <f aca="false">IF(AND(ISNUMBER($K402),ISNUMBER($L402),ISNUMBER($Q402)),IF(OR($Q402&lt;MIN($K402,$L402),$Q402&gt;MAX($K402,$L402)),1,0),0)</f>
        <v>0</v>
      </c>
      <c r="AD402" s="32" t="n">
        <f aca="false">IF(AND(ISNUMBER($T402),$P402="高"),IF($T402=3,1,0),0)</f>
        <v>0</v>
      </c>
      <c r="AE402" s="32" t="n">
        <f aca="false">IF($S402="不存在",1,0)</f>
        <v>0</v>
      </c>
      <c r="AF402" s="44" t="str">
        <f aca="false">IF(OR($H402="—",$H402=""),"—",MATCH($H402,IDX_SrcID,0))</f>
        <v>—</v>
      </c>
      <c r="AG402" s="32" t="n">
        <f aca="false">IF(AND($P402="高",OR($AD402=1,$X402=1)),1,0)</f>
        <v>0</v>
      </c>
      <c r="AH402" s="32" t="n">
        <f aca="false">IF(AND($P402="高",$AG402=0,OR($F402&lt;&gt;"原始數據",$T402&lt;&gt;1)),1,0)</f>
        <v>0</v>
      </c>
      <c r="AI402" s="44" t="str">
        <f aca="false">IF(AND($P402="高",ISNUMBER($AF402)),INDEX(IDX_SrcDate,$AF402),"—")</f>
        <v>—</v>
      </c>
      <c r="AJ402" s="32" t="n">
        <f aca="false">IF(AND(ISTEXT($AI402),LEN($AI402)=10),IF(ISNUMBER(VALUE(SUBSTITUTE($AI402,"-",""))),VALUE(SUBSTITUTE($AI402,"-","")),0),0)</f>
        <v>0</v>
      </c>
    </row>
    <row r="403" customFormat="false" ht="15" hidden="false" customHeight="true" outlineLevel="0" collapsed="false">
      <c r="A403" s="30" t="s">
        <v>5507</v>
      </c>
      <c r="B403" s="239" t="s">
        <v>4525</v>
      </c>
      <c r="C403" s="30" t="s">
        <v>5491</v>
      </c>
      <c r="D403" s="30" t="s">
        <v>5508</v>
      </c>
      <c r="E403" s="6" t="s">
        <v>4055</v>
      </c>
      <c r="F403" s="30" t="s">
        <v>114</v>
      </c>
      <c r="G403" s="239" t="s">
        <v>1308</v>
      </c>
      <c r="H403" s="30" t="s">
        <v>751</v>
      </c>
      <c r="I403" s="6" t="s">
        <v>751</v>
      </c>
      <c r="J403" s="30" t="s">
        <v>751</v>
      </c>
      <c r="K403" s="239"/>
      <c r="L403" s="239"/>
      <c r="M403" s="30" t="s">
        <v>751</v>
      </c>
      <c r="N403" s="240" t="str">
        <f aca="false">NonNV!$L$7</f>
        <v>OpenAI v0.5 以 2GW Trainium 合約為輸入</v>
      </c>
      <c r="O403" s="6" t="s">
        <v>751</v>
      </c>
      <c r="P403" s="239" t="s">
        <v>4530</v>
      </c>
      <c r="Q403" s="192" t="n">
        <f aca="false">NonNV!B7</f>
        <v>0.3</v>
      </c>
      <c r="R403" s="30" t="s">
        <v>751</v>
      </c>
      <c r="S403" s="44" t="str">
        <f aca="false">IF(ISNUMBER($AF403),INDEX(IDX_SrcStat,$AF403),"—")</f>
        <v>—</v>
      </c>
      <c r="T403" s="44" t="str">
        <f aca="false">IF(ISNUMBER($AF403),INDEX(IDX_SrcGrade,$AF403),"—")</f>
        <v>—</v>
      </c>
      <c r="U403" s="44" t="s">
        <v>4531</v>
      </c>
      <c r="V403" s="32" t="n">
        <f aca="false">IF(AND($F403="原始數據",$U403&lt;&gt;"連結 SRC"),1,0)</f>
        <v>0</v>
      </c>
      <c r="W403" s="32" t="n">
        <f aca="false">IF(AND($F403="Analogy",OR($H403="—",$H403="")),1,0)</f>
        <v>0</v>
      </c>
      <c r="X403" s="32" t="n">
        <f aca="false">IF(AND(OR($F403="Analogy",$F403="Assumed"),$G403&lt;&gt;"低",$G403&lt;&gt;"高",NOT(ISNUMBER($K403)),NOT(ISNUMBER($L403)),OR($M403="—",$M403="")),1,0)</f>
        <v>0</v>
      </c>
      <c r="Y403" s="32" t="n">
        <f aca="false">IF(AND(OR($F403="Analogy",$F403="Assumed",$F403="Derived（待改公式）",$F403="Derived（公式）"),OR($N403="—",$N403="",$N403=0)),1,0)</f>
        <v>0</v>
      </c>
      <c r="Z403" s="32" t="n">
        <f aca="false">IF(AND($F403="Decision",OR($J403="—",$J403="")),1,0)</f>
        <v>0</v>
      </c>
      <c r="AA403" s="33" t="n">
        <f aca="false">IF(OR($J403="—",$J403=""),0,IF(COUNTIF(Decisions!$A$5:$A$300,$J403)=0,1,0))</f>
        <v>0</v>
      </c>
      <c r="AB403" s="32" t="n">
        <f aca="false">IF(AND($F403="原始數據",$S403&lt;&gt;"Active"),1,0)</f>
        <v>0</v>
      </c>
      <c r="AC403" s="32" t="n">
        <f aca="false">IF(AND(ISNUMBER($K403),ISNUMBER($L403),ISNUMBER($Q403)),IF(OR($Q403&lt;MIN($K403,$L403),$Q403&gt;MAX($K403,$L403)),1,0),0)</f>
        <v>0</v>
      </c>
      <c r="AD403" s="32" t="n">
        <f aca="false">IF(AND(ISNUMBER($T403),$P403="高"),IF($T403=3,1,0),0)</f>
        <v>0</v>
      </c>
      <c r="AE403" s="32" t="n">
        <f aca="false">IF($S403="不存在",1,0)</f>
        <v>0</v>
      </c>
      <c r="AF403" s="44" t="str">
        <f aca="false">IF(OR($H403="—",$H403=""),"—",MATCH($H403,IDX_SrcID,0))</f>
        <v>—</v>
      </c>
      <c r="AG403" s="32" t="n">
        <f aca="false">IF(AND($P403="高",OR($AD403=1,$X403=1)),1,0)</f>
        <v>0</v>
      </c>
      <c r="AH403" s="32" t="n">
        <f aca="false">IF(AND($P403="高",$AG403=0,OR($F403&lt;&gt;"原始數據",$T403&lt;&gt;1)),1,0)</f>
        <v>0</v>
      </c>
      <c r="AI403" s="44" t="str">
        <f aca="false">IF(AND($P403="高",ISNUMBER($AF403)),INDEX(IDX_SrcDate,$AF403),"—")</f>
        <v>—</v>
      </c>
      <c r="AJ403" s="32" t="n">
        <f aca="false">IF(AND(ISTEXT($AI403),LEN($AI403)=10),IF(ISNUMBER(VALUE(SUBSTITUTE($AI403,"-",""))),VALUE(SUBSTITUTE($AI403,"-","")),0),0)</f>
        <v>0</v>
      </c>
    </row>
    <row r="404" customFormat="false" ht="15" hidden="false" customHeight="true" outlineLevel="0" collapsed="false">
      <c r="A404" s="30" t="s">
        <v>5509</v>
      </c>
      <c r="B404" s="239" t="s">
        <v>4525</v>
      </c>
      <c r="C404" s="30" t="s">
        <v>5491</v>
      </c>
      <c r="D404" s="30" t="s">
        <v>5020</v>
      </c>
      <c r="E404" s="6" t="s">
        <v>4055</v>
      </c>
      <c r="F404" s="30" t="s">
        <v>114</v>
      </c>
      <c r="G404" s="239" t="s">
        <v>1309</v>
      </c>
      <c r="H404" s="30" t="s">
        <v>751</v>
      </c>
      <c r="I404" s="6" t="s">
        <v>751</v>
      </c>
      <c r="J404" s="30" t="s">
        <v>751</v>
      </c>
      <c r="K404" s="239"/>
      <c r="L404" s="239"/>
      <c r="M404" s="30" t="s">
        <v>751</v>
      </c>
      <c r="N404" s="240" t="str">
        <f aca="false">NonNV!$L$7</f>
        <v>OpenAI v0.5 以 2GW Trainium 合約為輸入</v>
      </c>
      <c r="O404" s="6" t="s">
        <v>751</v>
      </c>
      <c r="P404" s="239" t="s">
        <v>4530</v>
      </c>
      <c r="Q404" s="192" t="n">
        <f aca="false">NonNV!D7</f>
        <v>0.8</v>
      </c>
      <c r="R404" s="30" t="s">
        <v>751</v>
      </c>
      <c r="S404" s="44" t="str">
        <f aca="false">IF(ISNUMBER($AF404),INDEX(IDX_SrcStat,$AF404),"—")</f>
        <v>—</v>
      </c>
      <c r="T404" s="44" t="str">
        <f aca="false">IF(ISNUMBER($AF404),INDEX(IDX_SrcGrade,$AF404),"—")</f>
        <v>—</v>
      </c>
      <c r="U404" s="44" t="s">
        <v>4531</v>
      </c>
      <c r="V404" s="32" t="n">
        <f aca="false">IF(AND($F404="原始數據",$U404&lt;&gt;"連結 SRC"),1,0)</f>
        <v>0</v>
      </c>
      <c r="W404" s="32" t="n">
        <f aca="false">IF(AND($F404="Analogy",OR($H404="—",$H404="")),1,0)</f>
        <v>0</v>
      </c>
      <c r="X404" s="32" t="n">
        <f aca="false">IF(AND(OR($F404="Analogy",$F404="Assumed"),$G404&lt;&gt;"低",$G404&lt;&gt;"高",NOT(ISNUMBER($K404)),NOT(ISNUMBER($L404)),OR($M404="—",$M404="")),1,0)</f>
        <v>0</v>
      </c>
      <c r="Y404" s="32" t="n">
        <f aca="false">IF(AND(OR($F404="Analogy",$F404="Assumed",$F404="Derived（待改公式）",$F404="Derived（公式）"),OR($N404="—",$N404="",$N404=0)),1,0)</f>
        <v>0</v>
      </c>
      <c r="Z404" s="32" t="n">
        <f aca="false">IF(AND($F404="Decision",OR($J404="—",$J404="")),1,0)</f>
        <v>0</v>
      </c>
      <c r="AA404" s="33" t="n">
        <f aca="false">IF(OR($J404="—",$J404=""),0,IF(COUNTIF(Decisions!$A$5:$A$300,$J404)=0,1,0))</f>
        <v>0</v>
      </c>
      <c r="AB404" s="32" t="n">
        <f aca="false">IF(AND($F404="原始數據",$S404&lt;&gt;"Active"),1,0)</f>
        <v>0</v>
      </c>
      <c r="AC404" s="32" t="n">
        <f aca="false">IF(AND(ISNUMBER($K404),ISNUMBER($L404),ISNUMBER($Q404)),IF(OR($Q404&lt;MIN($K404,$L404),$Q404&gt;MAX($K404,$L404)),1,0),0)</f>
        <v>0</v>
      </c>
      <c r="AD404" s="32" t="n">
        <f aca="false">IF(AND(ISNUMBER($T404),$P404="高"),IF($T404=3,1,0),0)</f>
        <v>0</v>
      </c>
      <c r="AE404" s="32" t="n">
        <f aca="false">IF($S404="不存在",1,0)</f>
        <v>0</v>
      </c>
      <c r="AF404" s="44" t="str">
        <f aca="false">IF(OR($H404="—",$H404=""),"—",MATCH($H404,IDX_SrcID,0))</f>
        <v>—</v>
      </c>
      <c r="AG404" s="32" t="n">
        <f aca="false">IF(AND($P404="高",OR($AD404=1,$X404=1)),1,0)</f>
        <v>0</v>
      </c>
      <c r="AH404" s="32" t="n">
        <f aca="false">IF(AND($P404="高",$AG404=0,OR($F404&lt;&gt;"原始數據",$T404&lt;&gt;1)),1,0)</f>
        <v>0</v>
      </c>
      <c r="AI404" s="44" t="str">
        <f aca="false">IF(AND($P404="高",ISNUMBER($AF404)),INDEX(IDX_SrcDate,$AF404),"—")</f>
        <v>—</v>
      </c>
      <c r="AJ404" s="32" t="n">
        <f aca="false">IF(AND(ISTEXT($AI404),LEN($AI404)=10),IF(ISNUMBER(VALUE(SUBSTITUTE($AI404,"-",""))),VALUE(SUBSTITUTE($AI404,"-","")),0),0)</f>
        <v>0</v>
      </c>
    </row>
    <row r="405" customFormat="false" ht="15" hidden="false" customHeight="true" outlineLevel="0" collapsed="false">
      <c r="A405" s="30" t="s">
        <v>5510</v>
      </c>
      <c r="B405" s="239" t="s">
        <v>4525</v>
      </c>
      <c r="C405" s="30" t="s">
        <v>5491</v>
      </c>
      <c r="D405" s="30" t="s">
        <v>4310</v>
      </c>
      <c r="E405" s="6" t="s">
        <v>4055</v>
      </c>
      <c r="F405" s="30" t="s">
        <v>114</v>
      </c>
      <c r="G405" s="239" t="s">
        <v>1308</v>
      </c>
      <c r="H405" s="30" t="s">
        <v>751</v>
      </c>
      <c r="I405" s="6" t="s">
        <v>751</v>
      </c>
      <c r="J405" s="30" t="s">
        <v>751</v>
      </c>
      <c r="K405" s="239"/>
      <c r="L405" s="239"/>
      <c r="M405" s="30" t="s">
        <v>751</v>
      </c>
      <c r="N405" s="240" t="str">
        <f aca="false">NonNV!$L$7</f>
        <v>OpenAI v0.5 以 2GW Trainium 合約為輸入</v>
      </c>
      <c r="O405" s="6" t="s">
        <v>751</v>
      </c>
      <c r="P405" s="239" t="s">
        <v>4530</v>
      </c>
      <c r="Q405" s="192" t="n">
        <f aca="false">NonNV!E7</f>
        <v>0.6</v>
      </c>
      <c r="R405" s="30" t="s">
        <v>751</v>
      </c>
      <c r="S405" s="44" t="str">
        <f aca="false">IF(ISNUMBER($AF405),INDEX(IDX_SrcStat,$AF405),"—")</f>
        <v>—</v>
      </c>
      <c r="T405" s="44" t="str">
        <f aca="false">IF(ISNUMBER($AF405),INDEX(IDX_SrcGrade,$AF405),"—")</f>
        <v>—</v>
      </c>
      <c r="U405" s="44" t="s">
        <v>4531</v>
      </c>
      <c r="V405" s="32" t="n">
        <f aca="false">IF(AND($F405="原始數據",$U405&lt;&gt;"連結 SRC"),1,0)</f>
        <v>0</v>
      </c>
      <c r="W405" s="32" t="n">
        <f aca="false">IF(AND($F405="Analogy",OR($H405="—",$H405="")),1,0)</f>
        <v>0</v>
      </c>
      <c r="X405" s="32" t="n">
        <f aca="false">IF(AND(OR($F405="Analogy",$F405="Assumed"),$G405&lt;&gt;"低",$G405&lt;&gt;"高",NOT(ISNUMBER($K405)),NOT(ISNUMBER($L405)),OR($M405="—",$M405="")),1,0)</f>
        <v>0</v>
      </c>
      <c r="Y405" s="32" t="n">
        <f aca="false">IF(AND(OR($F405="Analogy",$F405="Assumed",$F405="Derived（待改公式）",$F405="Derived（公式）"),OR($N405="—",$N405="",$N405=0)),1,0)</f>
        <v>0</v>
      </c>
      <c r="Z405" s="32" t="n">
        <f aca="false">IF(AND($F405="Decision",OR($J405="—",$J405="")),1,0)</f>
        <v>0</v>
      </c>
      <c r="AA405" s="33" t="n">
        <f aca="false">IF(OR($J405="—",$J405=""),0,IF(COUNTIF(Decisions!$A$5:$A$300,$J405)=0,1,0))</f>
        <v>0</v>
      </c>
      <c r="AB405" s="32" t="n">
        <f aca="false">IF(AND($F405="原始數據",$S405&lt;&gt;"Active"),1,0)</f>
        <v>0</v>
      </c>
      <c r="AC405" s="32" t="n">
        <f aca="false">IF(AND(ISNUMBER($K405),ISNUMBER($L405),ISNUMBER($Q405)),IF(OR($Q405&lt;MIN($K405,$L405),$Q405&gt;MAX($K405,$L405)),1,0),0)</f>
        <v>0</v>
      </c>
      <c r="AD405" s="32" t="n">
        <f aca="false">IF(AND(ISNUMBER($T405),$P405="高"),IF($T405=3,1,0),0)</f>
        <v>0</v>
      </c>
      <c r="AE405" s="32" t="n">
        <f aca="false">IF($S405="不存在",1,0)</f>
        <v>0</v>
      </c>
      <c r="AF405" s="44" t="str">
        <f aca="false">IF(OR($H405="—",$H405=""),"—",MATCH($H405,IDX_SrcID,0))</f>
        <v>—</v>
      </c>
      <c r="AG405" s="32" t="n">
        <f aca="false">IF(AND($P405="高",OR($AD405=1,$X405=1)),1,0)</f>
        <v>0</v>
      </c>
      <c r="AH405" s="32" t="n">
        <f aca="false">IF(AND($P405="高",$AG405=0,OR($F405&lt;&gt;"原始數據",$T405&lt;&gt;1)),1,0)</f>
        <v>0</v>
      </c>
      <c r="AI405" s="44" t="str">
        <f aca="false">IF(AND($P405="高",ISNUMBER($AF405)),INDEX(IDX_SrcDate,$AF405),"—")</f>
        <v>—</v>
      </c>
      <c r="AJ405" s="32" t="n">
        <f aca="false">IF(AND(ISTEXT($AI405),LEN($AI405)=10),IF(ISNUMBER(VALUE(SUBSTITUTE($AI405,"-",""))),VALUE(SUBSTITUTE($AI405,"-","")),0),0)</f>
        <v>0</v>
      </c>
    </row>
    <row r="406" customFormat="false" ht="15" hidden="false" customHeight="true" outlineLevel="0" collapsed="false">
      <c r="A406" s="30" t="s">
        <v>5511</v>
      </c>
      <c r="B406" s="239" t="s">
        <v>4525</v>
      </c>
      <c r="C406" s="30" t="s">
        <v>5491</v>
      </c>
      <c r="D406" s="30" t="s">
        <v>5218</v>
      </c>
      <c r="E406" s="6" t="s">
        <v>4055</v>
      </c>
      <c r="F406" s="30" t="s">
        <v>114</v>
      </c>
      <c r="G406" s="239" t="s">
        <v>1309</v>
      </c>
      <c r="H406" s="30" t="s">
        <v>751</v>
      </c>
      <c r="I406" s="6" t="s">
        <v>751</v>
      </c>
      <c r="J406" s="30" t="s">
        <v>751</v>
      </c>
      <c r="K406" s="239"/>
      <c r="L406" s="239"/>
      <c r="M406" s="30" t="s">
        <v>751</v>
      </c>
      <c r="N406" s="240" t="str">
        <f aca="false">NonNV!$L$7</f>
        <v>OpenAI v0.5 以 2GW Trainium 合約為輸入</v>
      </c>
      <c r="O406" s="6" t="s">
        <v>751</v>
      </c>
      <c r="P406" s="239" t="s">
        <v>4530</v>
      </c>
      <c r="Q406" s="192" t="n">
        <f aca="false">NonNV!G7</f>
        <v>0.9</v>
      </c>
      <c r="R406" s="30" t="s">
        <v>751</v>
      </c>
      <c r="S406" s="44" t="str">
        <f aca="false">IF(ISNUMBER($AF406),INDEX(IDX_SrcStat,$AF406),"—")</f>
        <v>—</v>
      </c>
      <c r="T406" s="44" t="str">
        <f aca="false">IF(ISNUMBER($AF406),INDEX(IDX_SrcGrade,$AF406),"—")</f>
        <v>—</v>
      </c>
      <c r="U406" s="44" t="s">
        <v>4531</v>
      </c>
      <c r="V406" s="32" t="n">
        <f aca="false">IF(AND($F406="原始數據",$U406&lt;&gt;"連結 SRC"),1,0)</f>
        <v>0</v>
      </c>
      <c r="W406" s="32" t="n">
        <f aca="false">IF(AND($F406="Analogy",OR($H406="—",$H406="")),1,0)</f>
        <v>0</v>
      </c>
      <c r="X406" s="32" t="n">
        <f aca="false">IF(AND(OR($F406="Analogy",$F406="Assumed"),$G406&lt;&gt;"低",$G406&lt;&gt;"高",NOT(ISNUMBER($K406)),NOT(ISNUMBER($L406)),OR($M406="—",$M406="")),1,0)</f>
        <v>0</v>
      </c>
      <c r="Y406" s="32" t="n">
        <f aca="false">IF(AND(OR($F406="Analogy",$F406="Assumed",$F406="Derived（待改公式）",$F406="Derived（公式）"),OR($N406="—",$N406="",$N406=0)),1,0)</f>
        <v>0</v>
      </c>
      <c r="Z406" s="32" t="n">
        <f aca="false">IF(AND($F406="Decision",OR($J406="—",$J406="")),1,0)</f>
        <v>0</v>
      </c>
      <c r="AA406" s="33" t="n">
        <f aca="false">IF(OR($J406="—",$J406=""),0,IF(COUNTIF(Decisions!$A$5:$A$300,$J406)=0,1,0))</f>
        <v>0</v>
      </c>
      <c r="AB406" s="32" t="n">
        <f aca="false">IF(AND($F406="原始數據",$S406&lt;&gt;"Active"),1,0)</f>
        <v>0</v>
      </c>
      <c r="AC406" s="32" t="n">
        <f aca="false">IF(AND(ISNUMBER($K406),ISNUMBER($L406),ISNUMBER($Q406)),IF(OR($Q406&lt;MIN($K406,$L406),$Q406&gt;MAX($K406,$L406)),1,0),0)</f>
        <v>0</v>
      </c>
      <c r="AD406" s="32" t="n">
        <f aca="false">IF(AND(ISNUMBER($T406),$P406="高"),IF($T406=3,1,0),0)</f>
        <v>0</v>
      </c>
      <c r="AE406" s="32" t="n">
        <f aca="false">IF($S406="不存在",1,0)</f>
        <v>0</v>
      </c>
      <c r="AF406" s="44" t="str">
        <f aca="false">IF(OR($H406="—",$H406=""),"—",MATCH($H406,IDX_SrcID,0))</f>
        <v>—</v>
      </c>
      <c r="AG406" s="32" t="n">
        <f aca="false">IF(AND($P406="高",OR($AD406=1,$X406=1)),1,0)</f>
        <v>0</v>
      </c>
      <c r="AH406" s="32" t="n">
        <f aca="false">IF(AND($P406="高",$AG406=0,OR($F406&lt;&gt;"原始數據",$T406&lt;&gt;1)),1,0)</f>
        <v>0</v>
      </c>
      <c r="AI406" s="44" t="str">
        <f aca="false">IF(AND($P406="高",ISNUMBER($AF406)),INDEX(IDX_SrcDate,$AF406),"—")</f>
        <v>—</v>
      </c>
      <c r="AJ406" s="32" t="n">
        <f aca="false">IF(AND(ISTEXT($AI406),LEN($AI406)=10),IF(ISNUMBER(VALUE(SUBSTITUTE($AI406,"-",""))),VALUE(SUBSTITUTE($AI406,"-","")),0),0)</f>
        <v>0</v>
      </c>
    </row>
    <row r="407" customFormat="false" ht="29.25" hidden="false" customHeight="true" outlineLevel="0" collapsed="false">
      <c r="A407" s="30" t="s">
        <v>5512</v>
      </c>
      <c r="B407" s="239" t="s">
        <v>4525</v>
      </c>
      <c r="C407" s="30" t="s">
        <v>5491</v>
      </c>
      <c r="D407" s="30" t="s">
        <v>4703</v>
      </c>
      <c r="E407" s="6" t="s">
        <v>4058</v>
      </c>
      <c r="F407" s="30" t="s">
        <v>114</v>
      </c>
      <c r="G407" s="239" t="s">
        <v>97</v>
      </c>
      <c r="H407" s="30" t="s">
        <v>751</v>
      </c>
      <c r="I407" s="6" t="s">
        <v>751</v>
      </c>
      <c r="J407" s="30" t="s">
        <v>751</v>
      </c>
      <c r="K407" s="192" t="n">
        <f aca="false">NonNV!B8</f>
        <v>0.2</v>
      </c>
      <c r="L407" s="192" t="n">
        <f aca="false">NonNV!D8</f>
        <v>0.8</v>
      </c>
      <c r="M407" s="30" t="s">
        <v>751</v>
      </c>
      <c r="N407" s="240" t="str">
        <f aca="false">NonNV!$L$8</f>
        <v>高互動性利基；每 GW 吞吐低、單用戶速度高</v>
      </c>
      <c r="O407" s="6" t="s">
        <v>751</v>
      </c>
      <c r="P407" s="239" t="s">
        <v>4530</v>
      </c>
      <c r="Q407" s="192" t="n">
        <f aca="false">NonNV!C8</f>
        <v>0.4</v>
      </c>
      <c r="R407" s="30" t="s">
        <v>751</v>
      </c>
      <c r="S407" s="44" t="str">
        <f aca="false">IF(ISNUMBER($AF407),INDEX(IDX_SrcStat,$AF407),"—")</f>
        <v>—</v>
      </c>
      <c r="T407" s="44" t="str">
        <f aca="false">IF(ISNUMBER($AF407),INDEX(IDX_SrcGrade,$AF407),"—")</f>
        <v>—</v>
      </c>
      <c r="U407" s="44" t="s">
        <v>4531</v>
      </c>
      <c r="V407" s="32" t="n">
        <f aca="false">IF(AND($F407="原始數據",$U407&lt;&gt;"連結 SRC"),1,0)</f>
        <v>0</v>
      </c>
      <c r="W407" s="32" t="n">
        <f aca="false">IF(AND($F407="Analogy",OR($H407="—",$H407="")),1,0)</f>
        <v>0</v>
      </c>
      <c r="X407" s="32" t="n">
        <f aca="false">IF(AND(OR($F407="Analogy",$F407="Assumed"),$G407&lt;&gt;"低",$G407&lt;&gt;"高",NOT(ISNUMBER($K407)),NOT(ISNUMBER($L407)),OR($M407="—",$M407="")),1,0)</f>
        <v>0</v>
      </c>
      <c r="Y407" s="32" t="n">
        <f aca="false">IF(AND(OR($F407="Analogy",$F407="Assumed",$F407="Derived（待改公式）",$F407="Derived（公式）"),OR($N407="—",$N407="",$N407=0)),1,0)</f>
        <v>0</v>
      </c>
      <c r="Z407" s="32" t="n">
        <f aca="false">IF(AND($F407="Decision",OR($J407="—",$J407="")),1,0)</f>
        <v>0</v>
      </c>
      <c r="AA407" s="33" t="n">
        <f aca="false">IF(OR($J407="—",$J407=""),0,IF(COUNTIF(Decisions!$A$5:$A$300,$J407)=0,1,0))</f>
        <v>0</v>
      </c>
      <c r="AB407" s="32" t="n">
        <f aca="false">IF(AND($F407="原始數據",$S407&lt;&gt;"Active"),1,0)</f>
        <v>0</v>
      </c>
      <c r="AC407" s="32" t="n">
        <f aca="false">IF(AND(ISNUMBER($K407),ISNUMBER($L407),ISNUMBER($Q407)),IF(OR($Q407&lt;MIN($K407,$L407),$Q407&gt;MAX($K407,$L407)),1,0),0)</f>
        <v>0</v>
      </c>
      <c r="AD407" s="32" t="n">
        <f aca="false">IF(AND(ISNUMBER($T407),$P407="高"),IF($T407=3,1,0),0)</f>
        <v>0</v>
      </c>
      <c r="AE407" s="32" t="n">
        <f aca="false">IF($S407="不存在",1,0)</f>
        <v>0</v>
      </c>
      <c r="AF407" s="44" t="str">
        <f aca="false">IF(OR($H407="—",$H407=""),"—",MATCH($H407,IDX_SrcID,0))</f>
        <v>—</v>
      </c>
      <c r="AG407" s="32" t="n">
        <f aca="false">IF(AND($P407="高",OR($AD407=1,$X407=1)),1,0)</f>
        <v>0</v>
      </c>
      <c r="AH407" s="32" t="n">
        <f aca="false">IF(AND($P407="高",$AG407=0,OR($F407&lt;&gt;"原始數據",$T407&lt;&gt;1)),1,0)</f>
        <v>0</v>
      </c>
      <c r="AI407" s="44" t="str">
        <f aca="false">IF(AND($P407="高",ISNUMBER($AF407)),INDEX(IDX_SrcDate,$AF407),"—")</f>
        <v>—</v>
      </c>
      <c r="AJ407" s="32" t="n">
        <f aca="false">IF(AND(ISTEXT($AI407),LEN($AI407)=10),IF(ISNUMBER(VALUE(SUBSTITUTE($AI407,"-",""))),VALUE(SUBSTITUTE($AI407,"-","")),0),0)</f>
        <v>0</v>
      </c>
    </row>
    <row r="408" customFormat="false" ht="29.25" hidden="false" customHeight="true" outlineLevel="0" collapsed="false">
      <c r="A408" s="30" t="s">
        <v>5513</v>
      </c>
      <c r="B408" s="239" t="s">
        <v>4525</v>
      </c>
      <c r="C408" s="30" t="s">
        <v>5491</v>
      </c>
      <c r="D408" s="30" t="s">
        <v>4711</v>
      </c>
      <c r="E408" s="6" t="s">
        <v>4058</v>
      </c>
      <c r="F408" s="30" t="s">
        <v>114</v>
      </c>
      <c r="G408" s="239" t="s">
        <v>97</v>
      </c>
      <c r="H408" s="30" t="s">
        <v>751</v>
      </c>
      <c r="I408" s="6" t="s">
        <v>751</v>
      </c>
      <c r="J408" s="30" t="s">
        <v>751</v>
      </c>
      <c r="K408" s="192" t="n">
        <f aca="false">NonNV!E8</f>
        <v>0.8</v>
      </c>
      <c r="L408" s="192" t="n">
        <f aca="false">NonNV!G8</f>
        <v>1.2</v>
      </c>
      <c r="M408" s="30" t="s">
        <v>751</v>
      </c>
      <c r="N408" s="240" t="str">
        <f aca="false">NonNV!$L$8</f>
        <v>高互動性利基；每 GW 吞吐低、單用戶速度高</v>
      </c>
      <c r="O408" s="6" t="s">
        <v>751</v>
      </c>
      <c r="P408" s="239" t="s">
        <v>4530</v>
      </c>
      <c r="Q408" s="192" t="n">
        <f aca="false">NonNV!F8</f>
        <v>1</v>
      </c>
      <c r="R408" s="30" t="s">
        <v>751</v>
      </c>
      <c r="S408" s="44" t="str">
        <f aca="false">IF(ISNUMBER($AF408),INDEX(IDX_SrcStat,$AF408),"—")</f>
        <v>—</v>
      </c>
      <c r="T408" s="44" t="str">
        <f aca="false">IF(ISNUMBER($AF408),INDEX(IDX_SrcGrade,$AF408),"—")</f>
        <v>—</v>
      </c>
      <c r="U408" s="44" t="s">
        <v>4531</v>
      </c>
      <c r="V408" s="32" t="n">
        <f aca="false">IF(AND($F408="原始數據",$U408&lt;&gt;"連結 SRC"),1,0)</f>
        <v>0</v>
      </c>
      <c r="W408" s="32" t="n">
        <f aca="false">IF(AND($F408="Analogy",OR($H408="—",$H408="")),1,0)</f>
        <v>0</v>
      </c>
      <c r="X408" s="32" t="n">
        <f aca="false">IF(AND(OR($F408="Analogy",$F408="Assumed"),$G408&lt;&gt;"低",$G408&lt;&gt;"高",NOT(ISNUMBER($K408)),NOT(ISNUMBER($L408)),OR($M408="—",$M408="")),1,0)</f>
        <v>0</v>
      </c>
      <c r="Y408" s="32" t="n">
        <f aca="false">IF(AND(OR($F408="Analogy",$F408="Assumed",$F408="Derived（待改公式）",$F408="Derived（公式）"),OR($N408="—",$N408="",$N408=0)),1,0)</f>
        <v>0</v>
      </c>
      <c r="Z408" s="32" t="n">
        <f aca="false">IF(AND($F408="Decision",OR($J408="—",$J408="")),1,0)</f>
        <v>0</v>
      </c>
      <c r="AA408" s="33" t="n">
        <f aca="false">IF(OR($J408="—",$J408=""),0,IF(COUNTIF(Decisions!$A$5:$A$300,$J408)=0,1,0))</f>
        <v>0</v>
      </c>
      <c r="AB408" s="32" t="n">
        <f aca="false">IF(AND($F408="原始數據",$S408&lt;&gt;"Active"),1,0)</f>
        <v>0</v>
      </c>
      <c r="AC408" s="32" t="n">
        <f aca="false">IF(AND(ISNUMBER($K408),ISNUMBER($L408),ISNUMBER($Q408)),IF(OR($Q408&lt;MIN($K408,$L408),$Q408&gt;MAX($K408,$L408)),1,0),0)</f>
        <v>0</v>
      </c>
      <c r="AD408" s="32" t="n">
        <f aca="false">IF(AND(ISNUMBER($T408),$P408="高"),IF($T408=3,1,0),0)</f>
        <v>0</v>
      </c>
      <c r="AE408" s="32" t="n">
        <f aca="false">IF($S408="不存在",1,0)</f>
        <v>0</v>
      </c>
      <c r="AF408" s="44" t="str">
        <f aca="false">IF(OR($H408="—",$H408=""),"—",MATCH($H408,IDX_SrcID,0))</f>
        <v>—</v>
      </c>
      <c r="AG408" s="32" t="n">
        <f aca="false">IF(AND($P408="高",OR($AD408=1,$X408=1)),1,0)</f>
        <v>0</v>
      </c>
      <c r="AH408" s="32" t="n">
        <f aca="false">IF(AND($P408="高",$AG408=0,OR($F408&lt;&gt;"原始數據",$T408&lt;&gt;1)),1,0)</f>
        <v>0</v>
      </c>
      <c r="AI408" s="44" t="str">
        <f aca="false">IF(AND($P408="高",ISNUMBER($AF408)),INDEX(IDX_SrcDate,$AF408),"—")</f>
        <v>—</v>
      </c>
      <c r="AJ408" s="32" t="n">
        <f aca="false">IF(AND(ISTEXT($AI408),LEN($AI408)=10),IF(ISNUMBER(VALUE(SUBSTITUTE($AI408,"-",""))),VALUE(SUBSTITUTE($AI408,"-","")),0),0)</f>
        <v>0</v>
      </c>
    </row>
    <row r="409" customFormat="false" ht="29.25" hidden="false" customHeight="true" outlineLevel="0" collapsed="false">
      <c r="A409" s="30" t="s">
        <v>5514</v>
      </c>
      <c r="B409" s="239" t="s">
        <v>4525</v>
      </c>
      <c r="C409" s="30" t="s">
        <v>5491</v>
      </c>
      <c r="D409" s="30" t="s">
        <v>5515</v>
      </c>
      <c r="E409" s="6" t="s">
        <v>4058</v>
      </c>
      <c r="F409" s="30" t="s">
        <v>114</v>
      </c>
      <c r="G409" s="239" t="s">
        <v>1308</v>
      </c>
      <c r="H409" s="30" t="s">
        <v>751</v>
      </c>
      <c r="I409" s="6" t="s">
        <v>751</v>
      </c>
      <c r="J409" s="30" t="s">
        <v>751</v>
      </c>
      <c r="K409" s="239"/>
      <c r="L409" s="239"/>
      <c r="M409" s="30" t="s">
        <v>751</v>
      </c>
      <c r="N409" s="240" t="str">
        <f aca="false">NonNV!$L$8</f>
        <v>高互動性利基；每 GW 吞吐低、單用戶速度高</v>
      </c>
      <c r="O409" s="6" t="s">
        <v>751</v>
      </c>
      <c r="P409" s="239" t="s">
        <v>4530</v>
      </c>
      <c r="Q409" s="192" t="n">
        <f aca="false">NonNV!B8</f>
        <v>0.2</v>
      </c>
      <c r="R409" s="30" t="s">
        <v>751</v>
      </c>
      <c r="S409" s="44" t="str">
        <f aca="false">IF(ISNUMBER($AF409),INDEX(IDX_SrcStat,$AF409),"—")</f>
        <v>—</v>
      </c>
      <c r="T409" s="44" t="str">
        <f aca="false">IF(ISNUMBER($AF409),INDEX(IDX_SrcGrade,$AF409),"—")</f>
        <v>—</v>
      </c>
      <c r="U409" s="44" t="s">
        <v>4531</v>
      </c>
      <c r="V409" s="32" t="n">
        <f aca="false">IF(AND($F409="原始數據",$U409&lt;&gt;"連結 SRC"),1,0)</f>
        <v>0</v>
      </c>
      <c r="W409" s="32" t="n">
        <f aca="false">IF(AND($F409="Analogy",OR($H409="—",$H409="")),1,0)</f>
        <v>0</v>
      </c>
      <c r="X409" s="32" t="n">
        <f aca="false">IF(AND(OR($F409="Analogy",$F409="Assumed"),$G409&lt;&gt;"低",$G409&lt;&gt;"高",NOT(ISNUMBER($K409)),NOT(ISNUMBER($L409)),OR($M409="—",$M409="")),1,0)</f>
        <v>0</v>
      </c>
      <c r="Y409" s="32" t="n">
        <f aca="false">IF(AND(OR($F409="Analogy",$F409="Assumed",$F409="Derived（待改公式）",$F409="Derived（公式）"),OR($N409="—",$N409="",$N409=0)),1,0)</f>
        <v>0</v>
      </c>
      <c r="Z409" s="32" t="n">
        <f aca="false">IF(AND($F409="Decision",OR($J409="—",$J409="")),1,0)</f>
        <v>0</v>
      </c>
      <c r="AA409" s="33" t="n">
        <f aca="false">IF(OR($J409="—",$J409=""),0,IF(COUNTIF(Decisions!$A$5:$A$300,$J409)=0,1,0))</f>
        <v>0</v>
      </c>
      <c r="AB409" s="32" t="n">
        <f aca="false">IF(AND($F409="原始數據",$S409&lt;&gt;"Active"),1,0)</f>
        <v>0</v>
      </c>
      <c r="AC409" s="32" t="n">
        <f aca="false">IF(AND(ISNUMBER($K409),ISNUMBER($L409),ISNUMBER($Q409)),IF(OR($Q409&lt;MIN($K409,$L409),$Q409&gt;MAX($K409,$L409)),1,0),0)</f>
        <v>0</v>
      </c>
      <c r="AD409" s="32" t="n">
        <f aca="false">IF(AND(ISNUMBER($T409),$P409="高"),IF($T409=3,1,0),0)</f>
        <v>0</v>
      </c>
      <c r="AE409" s="32" t="n">
        <f aca="false">IF($S409="不存在",1,0)</f>
        <v>0</v>
      </c>
      <c r="AF409" s="44" t="str">
        <f aca="false">IF(OR($H409="—",$H409=""),"—",MATCH($H409,IDX_SrcID,0))</f>
        <v>—</v>
      </c>
      <c r="AG409" s="32" t="n">
        <f aca="false">IF(AND($P409="高",OR($AD409=1,$X409=1)),1,0)</f>
        <v>0</v>
      </c>
      <c r="AH409" s="32" t="n">
        <f aca="false">IF(AND($P409="高",$AG409=0,OR($F409&lt;&gt;"原始數據",$T409&lt;&gt;1)),1,0)</f>
        <v>0</v>
      </c>
      <c r="AI409" s="44" t="str">
        <f aca="false">IF(AND($P409="高",ISNUMBER($AF409)),INDEX(IDX_SrcDate,$AF409),"—")</f>
        <v>—</v>
      </c>
      <c r="AJ409" s="32" t="n">
        <f aca="false">IF(AND(ISTEXT($AI409),LEN($AI409)=10),IF(ISNUMBER(VALUE(SUBSTITUTE($AI409,"-",""))),VALUE(SUBSTITUTE($AI409,"-","")),0),0)</f>
        <v>0</v>
      </c>
    </row>
    <row r="410" customFormat="false" ht="29.25" hidden="false" customHeight="true" outlineLevel="0" collapsed="false">
      <c r="A410" s="30" t="s">
        <v>5516</v>
      </c>
      <c r="B410" s="239" t="s">
        <v>4525</v>
      </c>
      <c r="C410" s="30" t="s">
        <v>5491</v>
      </c>
      <c r="D410" s="30" t="s">
        <v>4706</v>
      </c>
      <c r="E410" s="6" t="s">
        <v>4058</v>
      </c>
      <c r="F410" s="30" t="s">
        <v>114</v>
      </c>
      <c r="G410" s="239" t="s">
        <v>1309</v>
      </c>
      <c r="H410" s="30" t="s">
        <v>751</v>
      </c>
      <c r="I410" s="6" t="s">
        <v>751</v>
      </c>
      <c r="J410" s="30" t="s">
        <v>751</v>
      </c>
      <c r="K410" s="239"/>
      <c r="L410" s="239"/>
      <c r="M410" s="30" t="s">
        <v>751</v>
      </c>
      <c r="N410" s="240" t="str">
        <f aca="false">NonNV!$L$8</f>
        <v>高互動性利基；每 GW 吞吐低、單用戶速度高</v>
      </c>
      <c r="O410" s="6" t="s">
        <v>751</v>
      </c>
      <c r="P410" s="239" t="s">
        <v>4530</v>
      </c>
      <c r="Q410" s="192" t="n">
        <f aca="false">NonNV!D8</f>
        <v>0.8</v>
      </c>
      <c r="R410" s="30" t="s">
        <v>751</v>
      </c>
      <c r="S410" s="44" t="str">
        <f aca="false">IF(ISNUMBER($AF410),INDEX(IDX_SrcStat,$AF410),"—")</f>
        <v>—</v>
      </c>
      <c r="T410" s="44" t="str">
        <f aca="false">IF(ISNUMBER($AF410),INDEX(IDX_SrcGrade,$AF410),"—")</f>
        <v>—</v>
      </c>
      <c r="U410" s="44" t="s">
        <v>4531</v>
      </c>
      <c r="V410" s="32" t="n">
        <f aca="false">IF(AND($F410="原始數據",$U410&lt;&gt;"連結 SRC"),1,0)</f>
        <v>0</v>
      </c>
      <c r="W410" s="32" t="n">
        <f aca="false">IF(AND($F410="Analogy",OR($H410="—",$H410="")),1,0)</f>
        <v>0</v>
      </c>
      <c r="X410" s="32" t="n">
        <f aca="false">IF(AND(OR($F410="Analogy",$F410="Assumed"),$G410&lt;&gt;"低",$G410&lt;&gt;"高",NOT(ISNUMBER($K410)),NOT(ISNUMBER($L410)),OR($M410="—",$M410="")),1,0)</f>
        <v>0</v>
      </c>
      <c r="Y410" s="32" t="n">
        <f aca="false">IF(AND(OR($F410="Analogy",$F410="Assumed",$F410="Derived（待改公式）",$F410="Derived（公式）"),OR($N410="—",$N410="",$N410=0)),1,0)</f>
        <v>0</v>
      </c>
      <c r="Z410" s="32" t="n">
        <f aca="false">IF(AND($F410="Decision",OR($J410="—",$J410="")),1,0)</f>
        <v>0</v>
      </c>
      <c r="AA410" s="33" t="n">
        <f aca="false">IF(OR($J410="—",$J410=""),0,IF(COUNTIF(Decisions!$A$5:$A$300,$J410)=0,1,0))</f>
        <v>0</v>
      </c>
      <c r="AB410" s="32" t="n">
        <f aca="false">IF(AND($F410="原始數據",$S410&lt;&gt;"Active"),1,0)</f>
        <v>0</v>
      </c>
      <c r="AC410" s="32" t="n">
        <f aca="false">IF(AND(ISNUMBER($K410),ISNUMBER($L410),ISNUMBER($Q410)),IF(OR($Q410&lt;MIN($K410,$L410),$Q410&gt;MAX($K410,$L410)),1,0),0)</f>
        <v>0</v>
      </c>
      <c r="AD410" s="32" t="n">
        <f aca="false">IF(AND(ISNUMBER($T410),$P410="高"),IF($T410=3,1,0),0)</f>
        <v>0</v>
      </c>
      <c r="AE410" s="32" t="n">
        <f aca="false">IF($S410="不存在",1,0)</f>
        <v>0</v>
      </c>
      <c r="AF410" s="44" t="str">
        <f aca="false">IF(OR($H410="—",$H410=""),"—",MATCH($H410,IDX_SrcID,0))</f>
        <v>—</v>
      </c>
      <c r="AG410" s="32" t="n">
        <f aca="false">IF(AND($P410="高",OR($AD410=1,$X410=1)),1,0)</f>
        <v>0</v>
      </c>
      <c r="AH410" s="32" t="n">
        <f aca="false">IF(AND($P410="高",$AG410=0,OR($F410&lt;&gt;"原始數據",$T410&lt;&gt;1)),1,0)</f>
        <v>0</v>
      </c>
      <c r="AI410" s="44" t="str">
        <f aca="false">IF(AND($P410="高",ISNUMBER($AF410)),INDEX(IDX_SrcDate,$AF410),"—")</f>
        <v>—</v>
      </c>
      <c r="AJ410" s="32" t="n">
        <f aca="false">IF(AND(ISTEXT($AI410),LEN($AI410)=10),IF(ISNUMBER(VALUE(SUBSTITUTE($AI410,"-",""))),VALUE(SUBSTITUTE($AI410,"-","")),0),0)</f>
        <v>0</v>
      </c>
    </row>
    <row r="411" customFormat="false" ht="29.25" hidden="false" customHeight="true" outlineLevel="0" collapsed="false">
      <c r="A411" s="30" t="s">
        <v>5517</v>
      </c>
      <c r="B411" s="239" t="s">
        <v>4525</v>
      </c>
      <c r="C411" s="30" t="s">
        <v>5491</v>
      </c>
      <c r="D411" s="30" t="s">
        <v>4313</v>
      </c>
      <c r="E411" s="6" t="s">
        <v>4058</v>
      </c>
      <c r="F411" s="30" t="s">
        <v>114</v>
      </c>
      <c r="G411" s="239" t="s">
        <v>1308</v>
      </c>
      <c r="H411" s="30" t="s">
        <v>751</v>
      </c>
      <c r="I411" s="6" t="s">
        <v>751</v>
      </c>
      <c r="J411" s="30" t="s">
        <v>751</v>
      </c>
      <c r="K411" s="239"/>
      <c r="L411" s="239"/>
      <c r="M411" s="30" t="s">
        <v>751</v>
      </c>
      <c r="N411" s="240" t="str">
        <f aca="false">NonNV!$L$8</f>
        <v>高互動性利基；每 GW 吞吐低、單用戶速度高</v>
      </c>
      <c r="O411" s="6" t="s">
        <v>751</v>
      </c>
      <c r="P411" s="239" t="s">
        <v>4530</v>
      </c>
      <c r="Q411" s="192" t="n">
        <f aca="false">NonNV!E8</f>
        <v>0.8</v>
      </c>
      <c r="R411" s="30" t="s">
        <v>751</v>
      </c>
      <c r="S411" s="44" t="str">
        <f aca="false">IF(ISNUMBER($AF411),INDEX(IDX_SrcStat,$AF411),"—")</f>
        <v>—</v>
      </c>
      <c r="T411" s="44" t="str">
        <f aca="false">IF(ISNUMBER($AF411),INDEX(IDX_SrcGrade,$AF411),"—")</f>
        <v>—</v>
      </c>
      <c r="U411" s="44" t="s">
        <v>4531</v>
      </c>
      <c r="V411" s="32" t="n">
        <f aca="false">IF(AND($F411="原始數據",$U411&lt;&gt;"連結 SRC"),1,0)</f>
        <v>0</v>
      </c>
      <c r="W411" s="32" t="n">
        <f aca="false">IF(AND($F411="Analogy",OR($H411="—",$H411="")),1,0)</f>
        <v>0</v>
      </c>
      <c r="X411" s="32" t="n">
        <f aca="false">IF(AND(OR($F411="Analogy",$F411="Assumed"),$G411&lt;&gt;"低",$G411&lt;&gt;"高",NOT(ISNUMBER($K411)),NOT(ISNUMBER($L411)),OR($M411="—",$M411="")),1,0)</f>
        <v>0</v>
      </c>
      <c r="Y411" s="32" t="n">
        <f aca="false">IF(AND(OR($F411="Analogy",$F411="Assumed",$F411="Derived（待改公式）",$F411="Derived（公式）"),OR($N411="—",$N411="",$N411=0)),1,0)</f>
        <v>0</v>
      </c>
      <c r="Z411" s="32" t="n">
        <f aca="false">IF(AND($F411="Decision",OR($J411="—",$J411="")),1,0)</f>
        <v>0</v>
      </c>
      <c r="AA411" s="33" t="n">
        <f aca="false">IF(OR($J411="—",$J411=""),0,IF(COUNTIF(Decisions!$A$5:$A$300,$J411)=0,1,0))</f>
        <v>0</v>
      </c>
      <c r="AB411" s="32" t="n">
        <f aca="false">IF(AND($F411="原始數據",$S411&lt;&gt;"Active"),1,0)</f>
        <v>0</v>
      </c>
      <c r="AC411" s="32" t="n">
        <f aca="false">IF(AND(ISNUMBER($K411),ISNUMBER($L411),ISNUMBER($Q411)),IF(OR($Q411&lt;MIN($K411,$L411),$Q411&gt;MAX($K411,$L411)),1,0),0)</f>
        <v>0</v>
      </c>
      <c r="AD411" s="32" t="n">
        <f aca="false">IF(AND(ISNUMBER($T411),$P411="高"),IF($T411=3,1,0),0)</f>
        <v>0</v>
      </c>
      <c r="AE411" s="32" t="n">
        <f aca="false">IF($S411="不存在",1,0)</f>
        <v>0</v>
      </c>
      <c r="AF411" s="44" t="str">
        <f aca="false">IF(OR($H411="—",$H411=""),"—",MATCH($H411,IDX_SrcID,0))</f>
        <v>—</v>
      </c>
      <c r="AG411" s="32" t="n">
        <f aca="false">IF(AND($P411="高",OR($AD411=1,$X411=1)),1,0)</f>
        <v>0</v>
      </c>
      <c r="AH411" s="32" t="n">
        <f aca="false">IF(AND($P411="高",$AG411=0,OR($F411&lt;&gt;"原始數據",$T411&lt;&gt;1)),1,0)</f>
        <v>0</v>
      </c>
      <c r="AI411" s="44" t="str">
        <f aca="false">IF(AND($P411="高",ISNUMBER($AF411)),INDEX(IDX_SrcDate,$AF411),"—")</f>
        <v>—</v>
      </c>
      <c r="AJ411" s="32" t="n">
        <f aca="false">IF(AND(ISTEXT($AI411),LEN($AI411)=10),IF(ISNUMBER(VALUE(SUBSTITUTE($AI411,"-",""))),VALUE(SUBSTITUTE($AI411,"-","")),0),0)</f>
        <v>0</v>
      </c>
    </row>
    <row r="412" customFormat="false" ht="29.25" hidden="false" customHeight="true" outlineLevel="0" collapsed="false">
      <c r="A412" s="30" t="s">
        <v>5518</v>
      </c>
      <c r="B412" s="239" t="s">
        <v>4525</v>
      </c>
      <c r="C412" s="30" t="s">
        <v>5491</v>
      </c>
      <c r="D412" s="30" t="s">
        <v>4714</v>
      </c>
      <c r="E412" s="6" t="s">
        <v>4058</v>
      </c>
      <c r="F412" s="30" t="s">
        <v>114</v>
      </c>
      <c r="G412" s="239" t="s">
        <v>1309</v>
      </c>
      <c r="H412" s="30" t="s">
        <v>751</v>
      </c>
      <c r="I412" s="6" t="s">
        <v>751</v>
      </c>
      <c r="J412" s="30" t="s">
        <v>751</v>
      </c>
      <c r="K412" s="239"/>
      <c r="L412" s="239"/>
      <c r="M412" s="30" t="s">
        <v>751</v>
      </c>
      <c r="N412" s="240" t="str">
        <f aca="false">NonNV!$L$8</f>
        <v>高互動性利基；每 GW 吞吐低、單用戶速度高</v>
      </c>
      <c r="O412" s="6" t="s">
        <v>751</v>
      </c>
      <c r="P412" s="239" t="s">
        <v>4530</v>
      </c>
      <c r="Q412" s="192" t="n">
        <f aca="false">NonNV!G8</f>
        <v>1.2</v>
      </c>
      <c r="R412" s="30" t="s">
        <v>751</v>
      </c>
      <c r="S412" s="44" t="str">
        <f aca="false">IF(ISNUMBER($AF412),INDEX(IDX_SrcStat,$AF412),"—")</f>
        <v>—</v>
      </c>
      <c r="T412" s="44" t="str">
        <f aca="false">IF(ISNUMBER($AF412),INDEX(IDX_SrcGrade,$AF412),"—")</f>
        <v>—</v>
      </c>
      <c r="U412" s="44" t="s">
        <v>4531</v>
      </c>
      <c r="V412" s="32" t="n">
        <f aca="false">IF(AND($F412="原始數據",$U412&lt;&gt;"連結 SRC"),1,0)</f>
        <v>0</v>
      </c>
      <c r="W412" s="32" t="n">
        <f aca="false">IF(AND($F412="Analogy",OR($H412="—",$H412="")),1,0)</f>
        <v>0</v>
      </c>
      <c r="X412" s="32" t="n">
        <f aca="false">IF(AND(OR($F412="Analogy",$F412="Assumed"),$G412&lt;&gt;"低",$G412&lt;&gt;"高",NOT(ISNUMBER($K412)),NOT(ISNUMBER($L412)),OR($M412="—",$M412="")),1,0)</f>
        <v>0</v>
      </c>
      <c r="Y412" s="32" t="n">
        <f aca="false">IF(AND(OR($F412="Analogy",$F412="Assumed",$F412="Derived（待改公式）",$F412="Derived（公式）"),OR($N412="—",$N412="",$N412=0)),1,0)</f>
        <v>0</v>
      </c>
      <c r="Z412" s="32" t="n">
        <f aca="false">IF(AND($F412="Decision",OR($J412="—",$J412="")),1,0)</f>
        <v>0</v>
      </c>
      <c r="AA412" s="33" t="n">
        <f aca="false">IF(OR($J412="—",$J412=""),0,IF(COUNTIF(Decisions!$A$5:$A$300,$J412)=0,1,0))</f>
        <v>0</v>
      </c>
      <c r="AB412" s="32" t="n">
        <f aca="false">IF(AND($F412="原始數據",$S412&lt;&gt;"Active"),1,0)</f>
        <v>0</v>
      </c>
      <c r="AC412" s="32" t="n">
        <f aca="false">IF(AND(ISNUMBER($K412),ISNUMBER($L412),ISNUMBER($Q412)),IF(OR($Q412&lt;MIN($K412,$L412),$Q412&gt;MAX($K412,$L412)),1,0),0)</f>
        <v>0</v>
      </c>
      <c r="AD412" s="32" t="n">
        <f aca="false">IF(AND(ISNUMBER($T412),$P412="高"),IF($T412=3,1,0),0)</f>
        <v>0</v>
      </c>
      <c r="AE412" s="32" t="n">
        <f aca="false">IF($S412="不存在",1,0)</f>
        <v>0</v>
      </c>
      <c r="AF412" s="44" t="str">
        <f aca="false">IF(OR($H412="—",$H412=""),"—",MATCH($H412,IDX_SrcID,0))</f>
        <v>—</v>
      </c>
      <c r="AG412" s="32" t="n">
        <f aca="false">IF(AND($P412="高",OR($AD412=1,$X412=1)),1,0)</f>
        <v>0</v>
      </c>
      <c r="AH412" s="32" t="n">
        <f aca="false">IF(AND($P412="高",$AG412=0,OR($F412&lt;&gt;"原始數據",$T412&lt;&gt;1)),1,0)</f>
        <v>0</v>
      </c>
      <c r="AI412" s="44" t="str">
        <f aca="false">IF(AND($P412="高",ISNUMBER($AF412)),INDEX(IDX_SrcDate,$AF412),"—")</f>
        <v>—</v>
      </c>
      <c r="AJ412" s="32" t="n">
        <f aca="false">IF(AND(ISTEXT($AI412),LEN($AI412)=10),IF(ISNUMBER(VALUE(SUBSTITUTE($AI412,"-",""))),VALUE(SUBSTITUTE($AI412,"-","")),0),0)</f>
        <v>0</v>
      </c>
    </row>
    <row r="413" customFormat="false" ht="29.25" hidden="false" customHeight="true" outlineLevel="0" collapsed="false">
      <c r="A413" s="30" t="s">
        <v>5519</v>
      </c>
      <c r="B413" s="239" t="s">
        <v>4525</v>
      </c>
      <c r="C413" s="30" t="s">
        <v>5491</v>
      </c>
      <c r="D413" s="30" t="s">
        <v>4717</v>
      </c>
      <c r="E413" s="6" t="s">
        <v>4061</v>
      </c>
      <c r="F413" s="30" t="s">
        <v>114</v>
      </c>
      <c r="G413" s="239" t="s">
        <v>97</v>
      </c>
      <c r="H413" s="30" t="s">
        <v>751</v>
      </c>
      <c r="I413" s="6" t="s">
        <v>751</v>
      </c>
      <c r="J413" s="30" t="s">
        <v>751</v>
      </c>
      <c r="K413" s="192" t="n">
        <f aca="false">NonNV!B9</f>
        <v>0.4</v>
      </c>
      <c r="L413" s="192" t="n">
        <f aca="false">NonNV!D9</f>
        <v>0.9</v>
      </c>
      <c r="M413" s="30" t="s">
        <v>751</v>
      </c>
      <c r="N413" s="240" t="str">
        <f aca="false">NonNV!$L$9</f>
        <v>無公開規格；沿用 v0.5「自研／其他 0.6（0.4–1.0）」</v>
      </c>
      <c r="O413" s="6" t="s">
        <v>751</v>
      </c>
      <c r="P413" s="239" t="s">
        <v>4530</v>
      </c>
      <c r="Q413" s="192" t="n">
        <f aca="false">NonNV!C9</f>
        <v>0.6</v>
      </c>
      <c r="R413" s="30" t="s">
        <v>751</v>
      </c>
      <c r="S413" s="44" t="str">
        <f aca="false">IF(ISNUMBER($AF413),INDEX(IDX_SrcStat,$AF413),"—")</f>
        <v>—</v>
      </c>
      <c r="T413" s="44" t="str">
        <f aca="false">IF(ISNUMBER($AF413),INDEX(IDX_SrcGrade,$AF413),"—")</f>
        <v>—</v>
      </c>
      <c r="U413" s="44" t="s">
        <v>4531</v>
      </c>
      <c r="V413" s="32" t="n">
        <f aca="false">IF(AND($F413="原始數據",$U413&lt;&gt;"連結 SRC"),1,0)</f>
        <v>0</v>
      </c>
      <c r="W413" s="32" t="n">
        <f aca="false">IF(AND($F413="Analogy",OR($H413="—",$H413="")),1,0)</f>
        <v>0</v>
      </c>
      <c r="X413" s="32" t="n">
        <f aca="false">IF(AND(OR($F413="Analogy",$F413="Assumed"),$G413&lt;&gt;"低",$G413&lt;&gt;"高",NOT(ISNUMBER($K413)),NOT(ISNUMBER($L413)),OR($M413="—",$M413="")),1,0)</f>
        <v>0</v>
      </c>
      <c r="Y413" s="32" t="n">
        <f aca="false">IF(AND(OR($F413="Analogy",$F413="Assumed",$F413="Derived（待改公式）",$F413="Derived（公式）"),OR($N413="—",$N413="",$N413=0)),1,0)</f>
        <v>0</v>
      </c>
      <c r="Z413" s="32" t="n">
        <f aca="false">IF(AND($F413="Decision",OR($J413="—",$J413="")),1,0)</f>
        <v>0</v>
      </c>
      <c r="AA413" s="33" t="n">
        <f aca="false">IF(OR($J413="—",$J413=""),0,IF(COUNTIF(Decisions!$A$5:$A$300,$J413)=0,1,0))</f>
        <v>0</v>
      </c>
      <c r="AB413" s="32" t="n">
        <f aca="false">IF(AND($F413="原始數據",$S413&lt;&gt;"Active"),1,0)</f>
        <v>0</v>
      </c>
      <c r="AC413" s="32" t="n">
        <f aca="false">IF(AND(ISNUMBER($K413),ISNUMBER($L413),ISNUMBER($Q413)),IF(OR($Q413&lt;MIN($K413,$L413),$Q413&gt;MAX($K413,$L413)),1,0),0)</f>
        <v>0</v>
      </c>
      <c r="AD413" s="32" t="n">
        <f aca="false">IF(AND(ISNUMBER($T413),$P413="高"),IF($T413=3,1,0),0)</f>
        <v>0</v>
      </c>
      <c r="AE413" s="32" t="n">
        <f aca="false">IF($S413="不存在",1,0)</f>
        <v>0</v>
      </c>
      <c r="AF413" s="44" t="str">
        <f aca="false">IF(OR($H413="—",$H413=""),"—",MATCH($H413,IDX_SrcID,0))</f>
        <v>—</v>
      </c>
      <c r="AG413" s="32" t="n">
        <f aca="false">IF(AND($P413="高",OR($AD413=1,$X413=1)),1,0)</f>
        <v>0</v>
      </c>
      <c r="AH413" s="32" t="n">
        <f aca="false">IF(AND($P413="高",$AG413=0,OR($F413&lt;&gt;"原始數據",$T413&lt;&gt;1)),1,0)</f>
        <v>0</v>
      </c>
      <c r="AI413" s="44" t="str">
        <f aca="false">IF(AND($P413="高",ISNUMBER($AF413)),INDEX(IDX_SrcDate,$AF413),"—")</f>
        <v>—</v>
      </c>
      <c r="AJ413" s="32" t="n">
        <f aca="false">IF(AND(ISTEXT($AI413),LEN($AI413)=10),IF(ISNUMBER(VALUE(SUBSTITUTE($AI413,"-",""))),VALUE(SUBSTITUTE($AI413,"-","")),0),0)</f>
        <v>0</v>
      </c>
    </row>
    <row r="414" customFormat="false" ht="29.25" hidden="false" customHeight="true" outlineLevel="0" collapsed="false">
      <c r="A414" s="30" t="s">
        <v>5520</v>
      </c>
      <c r="B414" s="239" t="s">
        <v>4525</v>
      </c>
      <c r="C414" s="30" t="s">
        <v>5491</v>
      </c>
      <c r="D414" s="30" t="s">
        <v>4542</v>
      </c>
      <c r="E414" s="6" t="s">
        <v>4061</v>
      </c>
      <c r="F414" s="30" t="s">
        <v>114</v>
      </c>
      <c r="G414" s="239" t="s">
        <v>97</v>
      </c>
      <c r="H414" s="30" t="s">
        <v>751</v>
      </c>
      <c r="I414" s="6" t="s">
        <v>751</v>
      </c>
      <c r="J414" s="30" t="s">
        <v>751</v>
      </c>
      <c r="K414" s="192" t="n">
        <f aca="false">NonNV!E9</f>
        <v>0.7</v>
      </c>
      <c r="L414" s="192" t="n">
        <f aca="false">NonNV!G9</f>
        <v>1</v>
      </c>
      <c r="M414" s="30" t="s">
        <v>751</v>
      </c>
      <c r="N414" s="240" t="str">
        <f aca="false">NonNV!$L$9</f>
        <v>無公開規格；沿用 v0.5「自研／其他 0.6（0.4–1.0）」</v>
      </c>
      <c r="O414" s="6" t="s">
        <v>751</v>
      </c>
      <c r="P414" s="239" t="s">
        <v>4530</v>
      </c>
      <c r="Q414" s="192" t="n">
        <f aca="false">NonNV!F9</f>
        <v>0.8</v>
      </c>
      <c r="R414" s="30" t="s">
        <v>751</v>
      </c>
      <c r="S414" s="44" t="str">
        <f aca="false">IF(ISNUMBER($AF414),INDEX(IDX_SrcStat,$AF414),"—")</f>
        <v>—</v>
      </c>
      <c r="T414" s="44" t="str">
        <f aca="false">IF(ISNUMBER($AF414),INDEX(IDX_SrcGrade,$AF414),"—")</f>
        <v>—</v>
      </c>
      <c r="U414" s="44" t="s">
        <v>4531</v>
      </c>
      <c r="V414" s="32" t="n">
        <f aca="false">IF(AND($F414="原始數據",$U414&lt;&gt;"連結 SRC"),1,0)</f>
        <v>0</v>
      </c>
      <c r="W414" s="32" t="n">
        <f aca="false">IF(AND($F414="Analogy",OR($H414="—",$H414="")),1,0)</f>
        <v>0</v>
      </c>
      <c r="X414" s="32" t="n">
        <f aca="false">IF(AND(OR($F414="Analogy",$F414="Assumed"),$G414&lt;&gt;"低",$G414&lt;&gt;"高",NOT(ISNUMBER($K414)),NOT(ISNUMBER($L414)),OR($M414="—",$M414="")),1,0)</f>
        <v>0</v>
      </c>
      <c r="Y414" s="32" t="n">
        <f aca="false">IF(AND(OR($F414="Analogy",$F414="Assumed",$F414="Derived（待改公式）",$F414="Derived（公式）"),OR($N414="—",$N414="",$N414=0)),1,0)</f>
        <v>0</v>
      </c>
      <c r="Z414" s="32" t="n">
        <f aca="false">IF(AND($F414="Decision",OR($J414="—",$J414="")),1,0)</f>
        <v>0</v>
      </c>
      <c r="AA414" s="33" t="n">
        <f aca="false">IF(OR($J414="—",$J414=""),0,IF(COUNTIF(Decisions!$A$5:$A$300,$J414)=0,1,0))</f>
        <v>0</v>
      </c>
      <c r="AB414" s="32" t="n">
        <f aca="false">IF(AND($F414="原始數據",$S414&lt;&gt;"Active"),1,0)</f>
        <v>0</v>
      </c>
      <c r="AC414" s="32" t="n">
        <f aca="false">IF(AND(ISNUMBER($K414),ISNUMBER($L414),ISNUMBER($Q414)),IF(OR($Q414&lt;MIN($K414,$L414),$Q414&gt;MAX($K414,$L414)),1,0),0)</f>
        <v>0</v>
      </c>
      <c r="AD414" s="32" t="n">
        <f aca="false">IF(AND(ISNUMBER($T414),$P414="高"),IF($T414=3,1,0),0)</f>
        <v>0</v>
      </c>
      <c r="AE414" s="32" t="n">
        <f aca="false">IF($S414="不存在",1,0)</f>
        <v>0</v>
      </c>
      <c r="AF414" s="44" t="str">
        <f aca="false">IF(OR($H414="—",$H414=""),"—",MATCH($H414,IDX_SrcID,0))</f>
        <v>—</v>
      </c>
      <c r="AG414" s="32" t="n">
        <f aca="false">IF(AND($P414="高",OR($AD414=1,$X414=1)),1,0)</f>
        <v>0</v>
      </c>
      <c r="AH414" s="32" t="n">
        <f aca="false">IF(AND($P414="高",$AG414=0,OR($F414&lt;&gt;"原始數據",$T414&lt;&gt;1)),1,0)</f>
        <v>0</v>
      </c>
      <c r="AI414" s="44" t="str">
        <f aca="false">IF(AND($P414="高",ISNUMBER($AF414)),INDEX(IDX_SrcDate,$AF414),"—")</f>
        <v>—</v>
      </c>
      <c r="AJ414" s="32" t="n">
        <f aca="false">IF(AND(ISTEXT($AI414),LEN($AI414)=10),IF(ISNUMBER(VALUE(SUBSTITUTE($AI414,"-",""))),VALUE(SUBSTITUTE($AI414,"-","")),0),0)</f>
        <v>0</v>
      </c>
    </row>
    <row r="415" customFormat="false" ht="29.25" hidden="false" customHeight="true" outlineLevel="0" collapsed="false">
      <c r="A415" s="30" t="s">
        <v>5521</v>
      </c>
      <c r="B415" s="239" t="s">
        <v>4525</v>
      </c>
      <c r="C415" s="30" t="s">
        <v>5491</v>
      </c>
      <c r="D415" s="30" t="s">
        <v>5522</v>
      </c>
      <c r="E415" s="6" t="s">
        <v>4061</v>
      </c>
      <c r="F415" s="30" t="s">
        <v>114</v>
      </c>
      <c r="G415" s="239" t="s">
        <v>1308</v>
      </c>
      <c r="H415" s="30" t="s">
        <v>751</v>
      </c>
      <c r="I415" s="6" t="s">
        <v>751</v>
      </c>
      <c r="J415" s="30" t="s">
        <v>751</v>
      </c>
      <c r="K415" s="239"/>
      <c r="L415" s="239"/>
      <c r="M415" s="30" t="s">
        <v>751</v>
      </c>
      <c r="N415" s="240" t="str">
        <f aca="false">NonNV!$L$9</f>
        <v>無公開規格；沿用 v0.5「自研／其他 0.6（0.4–1.0）」</v>
      </c>
      <c r="O415" s="6" t="s">
        <v>751</v>
      </c>
      <c r="P415" s="239" t="s">
        <v>4530</v>
      </c>
      <c r="Q415" s="192" t="n">
        <f aca="false">NonNV!B9</f>
        <v>0.4</v>
      </c>
      <c r="R415" s="30" t="s">
        <v>751</v>
      </c>
      <c r="S415" s="44" t="str">
        <f aca="false">IF(ISNUMBER($AF415),INDEX(IDX_SrcStat,$AF415),"—")</f>
        <v>—</v>
      </c>
      <c r="T415" s="44" t="str">
        <f aca="false">IF(ISNUMBER($AF415),INDEX(IDX_SrcGrade,$AF415),"—")</f>
        <v>—</v>
      </c>
      <c r="U415" s="44" t="s">
        <v>4531</v>
      </c>
      <c r="V415" s="32" t="n">
        <f aca="false">IF(AND($F415="原始數據",$U415&lt;&gt;"連結 SRC"),1,0)</f>
        <v>0</v>
      </c>
      <c r="W415" s="32" t="n">
        <f aca="false">IF(AND($F415="Analogy",OR($H415="—",$H415="")),1,0)</f>
        <v>0</v>
      </c>
      <c r="X415" s="32" t="n">
        <f aca="false">IF(AND(OR($F415="Analogy",$F415="Assumed"),$G415&lt;&gt;"低",$G415&lt;&gt;"高",NOT(ISNUMBER($K415)),NOT(ISNUMBER($L415)),OR($M415="—",$M415="")),1,0)</f>
        <v>0</v>
      </c>
      <c r="Y415" s="32" t="n">
        <f aca="false">IF(AND(OR($F415="Analogy",$F415="Assumed",$F415="Derived（待改公式）",$F415="Derived（公式）"),OR($N415="—",$N415="",$N415=0)),1,0)</f>
        <v>0</v>
      </c>
      <c r="Z415" s="32" t="n">
        <f aca="false">IF(AND($F415="Decision",OR($J415="—",$J415="")),1,0)</f>
        <v>0</v>
      </c>
      <c r="AA415" s="33" t="n">
        <f aca="false">IF(OR($J415="—",$J415=""),0,IF(COUNTIF(Decisions!$A$5:$A$300,$J415)=0,1,0))</f>
        <v>0</v>
      </c>
      <c r="AB415" s="32" t="n">
        <f aca="false">IF(AND($F415="原始數據",$S415&lt;&gt;"Active"),1,0)</f>
        <v>0</v>
      </c>
      <c r="AC415" s="32" t="n">
        <f aca="false">IF(AND(ISNUMBER($K415),ISNUMBER($L415),ISNUMBER($Q415)),IF(OR($Q415&lt;MIN($K415,$L415),$Q415&gt;MAX($K415,$L415)),1,0),0)</f>
        <v>0</v>
      </c>
      <c r="AD415" s="32" t="n">
        <f aca="false">IF(AND(ISNUMBER($T415),$P415="高"),IF($T415=3,1,0),0)</f>
        <v>0</v>
      </c>
      <c r="AE415" s="32" t="n">
        <f aca="false">IF($S415="不存在",1,0)</f>
        <v>0</v>
      </c>
      <c r="AF415" s="44" t="str">
        <f aca="false">IF(OR($H415="—",$H415=""),"—",MATCH($H415,IDX_SrcID,0))</f>
        <v>—</v>
      </c>
      <c r="AG415" s="32" t="n">
        <f aca="false">IF(AND($P415="高",OR($AD415=1,$X415=1)),1,0)</f>
        <v>0</v>
      </c>
      <c r="AH415" s="32" t="n">
        <f aca="false">IF(AND($P415="高",$AG415=0,OR($F415&lt;&gt;"原始數據",$T415&lt;&gt;1)),1,0)</f>
        <v>0</v>
      </c>
      <c r="AI415" s="44" t="str">
        <f aca="false">IF(AND($P415="高",ISNUMBER($AF415)),INDEX(IDX_SrcDate,$AF415),"—")</f>
        <v>—</v>
      </c>
      <c r="AJ415" s="32" t="n">
        <f aca="false">IF(AND(ISTEXT($AI415),LEN($AI415)=10),IF(ISNUMBER(VALUE(SUBSTITUTE($AI415,"-",""))),VALUE(SUBSTITUTE($AI415,"-","")),0),0)</f>
        <v>0</v>
      </c>
    </row>
    <row r="416" customFormat="false" ht="29.25" hidden="false" customHeight="true" outlineLevel="0" collapsed="false">
      <c r="A416" s="30" t="s">
        <v>5523</v>
      </c>
      <c r="B416" s="239" t="s">
        <v>4525</v>
      </c>
      <c r="C416" s="30" t="s">
        <v>5491</v>
      </c>
      <c r="D416" s="30" t="s">
        <v>4540</v>
      </c>
      <c r="E416" s="6" t="s">
        <v>4061</v>
      </c>
      <c r="F416" s="30" t="s">
        <v>114</v>
      </c>
      <c r="G416" s="239" t="s">
        <v>1309</v>
      </c>
      <c r="H416" s="30" t="s">
        <v>751</v>
      </c>
      <c r="I416" s="6" t="s">
        <v>751</v>
      </c>
      <c r="J416" s="30" t="s">
        <v>751</v>
      </c>
      <c r="K416" s="239"/>
      <c r="L416" s="239"/>
      <c r="M416" s="30" t="s">
        <v>751</v>
      </c>
      <c r="N416" s="240" t="str">
        <f aca="false">NonNV!$L$9</f>
        <v>無公開規格；沿用 v0.5「自研／其他 0.6（0.4–1.0）」</v>
      </c>
      <c r="O416" s="6" t="s">
        <v>751</v>
      </c>
      <c r="P416" s="239" t="s">
        <v>4530</v>
      </c>
      <c r="Q416" s="192" t="n">
        <f aca="false">NonNV!D9</f>
        <v>0.9</v>
      </c>
      <c r="R416" s="30" t="s">
        <v>751</v>
      </c>
      <c r="S416" s="44" t="str">
        <f aca="false">IF(ISNUMBER($AF416),INDEX(IDX_SrcStat,$AF416),"—")</f>
        <v>—</v>
      </c>
      <c r="T416" s="44" t="str">
        <f aca="false">IF(ISNUMBER($AF416),INDEX(IDX_SrcGrade,$AF416),"—")</f>
        <v>—</v>
      </c>
      <c r="U416" s="44" t="s">
        <v>4531</v>
      </c>
      <c r="V416" s="32" t="n">
        <f aca="false">IF(AND($F416="原始數據",$U416&lt;&gt;"連結 SRC"),1,0)</f>
        <v>0</v>
      </c>
      <c r="W416" s="32" t="n">
        <f aca="false">IF(AND($F416="Analogy",OR($H416="—",$H416="")),1,0)</f>
        <v>0</v>
      </c>
      <c r="X416" s="32" t="n">
        <f aca="false">IF(AND(OR($F416="Analogy",$F416="Assumed"),$G416&lt;&gt;"低",$G416&lt;&gt;"高",NOT(ISNUMBER($K416)),NOT(ISNUMBER($L416)),OR($M416="—",$M416="")),1,0)</f>
        <v>0</v>
      </c>
      <c r="Y416" s="32" t="n">
        <f aca="false">IF(AND(OR($F416="Analogy",$F416="Assumed",$F416="Derived（待改公式）",$F416="Derived（公式）"),OR($N416="—",$N416="",$N416=0)),1,0)</f>
        <v>0</v>
      </c>
      <c r="Z416" s="32" t="n">
        <f aca="false">IF(AND($F416="Decision",OR($J416="—",$J416="")),1,0)</f>
        <v>0</v>
      </c>
      <c r="AA416" s="33" t="n">
        <f aca="false">IF(OR($J416="—",$J416=""),0,IF(COUNTIF(Decisions!$A$5:$A$300,$J416)=0,1,0))</f>
        <v>0</v>
      </c>
      <c r="AB416" s="32" t="n">
        <f aca="false">IF(AND($F416="原始數據",$S416&lt;&gt;"Active"),1,0)</f>
        <v>0</v>
      </c>
      <c r="AC416" s="32" t="n">
        <f aca="false">IF(AND(ISNUMBER($K416),ISNUMBER($L416),ISNUMBER($Q416)),IF(OR($Q416&lt;MIN($K416,$L416),$Q416&gt;MAX($K416,$L416)),1,0),0)</f>
        <v>0</v>
      </c>
      <c r="AD416" s="32" t="n">
        <f aca="false">IF(AND(ISNUMBER($T416),$P416="高"),IF($T416=3,1,0),0)</f>
        <v>0</v>
      </c>
      <c r="AE416" s="32" t="n">
        <f aca="false">IF($S416="不存在",1,0)</f>
        <v>0</v>
      </c>
      <c r="AF416" s="44" t="str">
        <f aca="false">IF(OR($H416="—",$H416=""),"—",MATCH($H416,IDX_SrcID,0))</f>
        <v>—</v>
      </c>
      <c r="AG416" s="32" t="n">
        <f aca="false">IF(AND($P416="高",OR($AD416=1,$X416=1)),1,0)</f>
        <v>0</v>
      </c>
      <c r="AH416" s="32" t="n">
        <f aca="false">IF(AND($P416="高",$AG416=0,OR($F416&lt;&gt;"原始數據",$T416&lt;&gt;1)),1,0)</f>
        <v>0</v>
      </c>
      <c r="AI416" s="44" t="str">
        <f aca="false">IF(AND($P416="高",ISNUMBER($AF416)),INDEX(IDX_SrcDate,$AF416),"—")</f>
        <v>—</v>
      </c>
      <c r="AJ416" s="32" t="n">
        <f aca="false">IF(AND(ISTEXT($AI416),LEN($AI416)=10),IF(ISNUMBER(VALUE(SUBSTITUTE($AI416,"-",""))),VALUE(SUBSTITUTE($AI416,"-","")),0),0)</f>
        <v>0</v>
      </c>
    </row>
    <row r="417" customFormat="false" ht="29.25" hidden="false" customHeight="true" outlineLevel="0" collapsed="false">
      <c r="A417" s="30" t="s">
        <v>5524</v>
      </c>
      <c r="B417" s="239" t="s">
        <v>4525</v>
      </c>
      <c r="C417" s="30" t="s">
        <v>5491</v>
      </c>
      <c r="D417" s="30" t="s">
        <v>4316</v>
      </c>
      <c r="E417" s="6" t="s">
        <v>4061</v>
      </c>
      <c r="F417" s="30" t="s">
        <v>114</v>
      </c>
      <c r="G417" s="239" t="s">
        <v>1308</v>
      </c>
      <c r="H417" s="30" t="s">
        <v>751</v>
      </c>
      <c r="I417" s="6" t="s">
        <v>751</v>
      </c>
      <c r="J417" s="30" t="s">
        <v>751</v>
      </c>
      <c r="K417" s="239"/>
      <c r="L417" s="239"/>
      <c r="M417" s="30" t="s">
        <v>751</v>
      </c>
      <c r="N417" s="240" t="str">
        <f aca="false">NonNV!$L$9</f>
        <v>無公開規格；沿用 v0.5「自研／其他 0.6（0.4–1.0）」</v>
      </c>
      <c r="O417" s="6" t="s">
        <v>751</v>
      </c>
      <c r="P417" s="239" t="s">
        <v>4530</v>
      </c>
      <c r="Q417" s="192" t="n">
        <f aca="false">NonNV!E9</f>
        <v>0.7</v>
      </c>
      <c r="R417" s="30" t="s">
        <v>751</v>
      </c>
      <c r="S417" s="44" t="str">
        <f aca="false">IF(ISNUMBER($AF417),INDEX(IDX_SrcStat,$AF417),"—")</f>
        <v>—</v>
      </c>
      <c r="T417" s="44" t="str">
        <f aca="false">IF(ISNUMBER($AF417),INDEX(IDX_SrcGrade,$AF417),"—")</f>
        <v>—</v>
      </c>
      <c r="U417" s="44" t="s">
        <v>4531</v>
      </c>
      <c r="V417" s="32" t="n">
        <f aca="false">IF(AND($F417="原始數據",$U417&lt;&gt;"連結 SRC"),1,0)</f>
        <v>0</v>
      </c>
      <c r="W417" s="32" t="n">
        <f aca="false">IF(AND($F417="Analogy",OR($H417="—",$H417="")),1,0)</f>
        <v>0</v>
      </c>
      <c r="X417" s="32" t="n">
        <f aca="false">IF(AND(OR($F417="Analogy",$F417="Assumed"),$G417&lt;&gt;"低",$G417&lt;&gt;"高",NOT(ISNUMBER($K417)),NOT(ISNUMBER($L417)),OR($M417="—",$M417="")),1,0)</f>
        <v>0</v>
      </c>
      <c r="Y417" s="32" t="n">
        <f aca="false">IF(AND(OR($F417="Analogy",$F417="Assumed",$F417="Derived（待改公式）",$F417="Derived（公式）"),OR($N417="—",$N417="",$N417=0)),1,0)</f>
        <v>0</v>
      </c>
      <c r="Z417" s="32" t="n">
        <f aca="false">IF(AND($F417="Decision",OR($J417="—",$J417="")),1,0)</f>
        <v>0</v>
      </c>
      <c r="AA417" s="33" t="n">
        <f aca="false">IF(OR($J417="—",$J417=""),0,IF(COUNTIF(Decisions!$A$5:$A$300,$J417)=0,1,0))</f>
        <v>0</v>
      </c>
      <c r="AB417" s="32" t="n">
        <f aca="false">IF(AND($F417="原始數據",$S417&lt;&gt;"Active"),1,0)</f>
        <v>0</v>
      </c>
      <c r="AC417" s="32" t="n">
        <f aca="false">IF(AND(ISNUMBER($K417),ISNUMBER($L417),ISNUMBER($Q417)),IF(OR($Q417&lt;MIN($K417,$L417),$Q417&gt;MAX($K417,$L417)),1,0),0)</f>
        <v>0</v>
      </c>
      <c r="AD417" s="32" t="n">
        <f aca="false">IF(AND(ISNUMBER($T417),$P417="高"),IF($T417=3,1,0),0)</f>
        <v>0</v>
      </c>
      <c r="AE417" s="32" t="n">
        <f aca="false">IF($S417="不存在",1,0)</f>
        <v>0</v>
      </c>
      <c r="AF417" s="44" t="str">
        <f aca="false">IF(OR($H417="—",$H417=""),"—",MATCH($H417,IDX_SrcID,0))</f>
        <v>—</v>
      </c>
      <c r="AG417" s="32" t="n">
        <f aca="false">IF(AND($P417="高",OR($AD417=1,$X417=1)),1,0)</f>
        <v>0</v>
      </c>
      <c r="AH417" s="32" t="n">
        <f aca="false">IF(AND($P417="高",$AG417=0,OR($F417&lt;&gt;"原始數據",$T417&lt;&gt;1)),1,0)</f>
        <v>0</v>
      </c>
      <c r="AI417" s="44" t="str">
        <f aca="false">IF(AND($P417="高",ISNUMBER($AF417)),INDEX(IDX_SrcDate,$AF417),"—")</f>
        <v>—</v>
      </c>
      <c r="AJ417" s="32" t="n">
        <f aca="false">IF(AND(ISTEXT($AI417),LEN($AI417)=10),IF(ISNUMBER(VALUE(SUBSTITUTE($AI417,"-",""))),VALUE(SUBSTITUTE($AI417,"-","")),0),0)</f>
        <v>0</v>
      </c>
    </row>
    <row r="418" customFormat="false" ht="29.25" hidden="false" customHeight="true" outlineLevel="0" collapsed="false">
      <c r="A418" s="30" t="s">
        <v>5525</v>
      </c>
      <c r="B418" s="239" t="s">
        <v>4525</v>
      </c>
      <c r="C418" s="30" t="s">
        <v>5491</v>
      </c>
      <c r="D418" s="30" t="s">
        <v>4732</v>
      </c>
      <c r="E418" s="6" t="s">
        <v>4061</v>
      </c>
      <c r="F418" s="30" t="s">
        <v>114</v>
      </c>
      <c r="G418" s="239" t="s">
        <v>1309</v>
      </c>
      <c r="H418" s="30" t="s">
        <v>751</v>
      </c>
      <c r="I418" s="6" t="s">
        <v>751</v>
      </c>
      <c r="J418" s="30" t="s">
        <v>751</v>
      </c>
      <c r="K418" s="239"/>
      <c r="L418" s="239"/>
      <c r="M418" s="30" t="s">
        <v>751</v>
      </c>
      <c r="N418" s="240" t="str">
        <f aca="false">NonNV!$L$9</f>
        <v>無公開規格；沿用 v0.5「自研／其他 0.6（0.4–1.0）」</v>
      </c>
      <c r="O418" s="6" t="s">
        <v>751</v>
      </c>
      <c r="P418" s="239" t="s">
        <v>4530</v>
      </c>
      <c r="Q418" s="192" t="n">
        <f aca="false">NonNV!G9</f>
        <v>1</v>
      </c>
      <c r="R418" s="30" t="s">
        <v>751</v>
      </c>
      <c r="S418" s="44" t="str">
        <f aca="false">IF(ISNUMBER($AF418),INDEX(IDX_SrcStat,$AF418),"—")</f>
        <v>—</v>
      </c>
      <c r="T418" s="44" t="str">
        <f aca="false">IF(ISNUMBER($AF418),INDEX(IDX_SrcGrade,$AF418),"—")</f>
        <v>—</v>
      </c>
      <c r="U418" s="44" t="s">
        <v>4531</v>
      </c>
      <c r="V418" s="32" t="n">
        <f aca="false">IF(AND($F418="原始數據",$U418&lt;&gt;"連結 SRC"),1,0)</f>
        <v>0</v>
      </c>
      <c r="W418" s="32" t="n">
        <f aca="false">IF(AND($F418="Analogy",OR($H418="—",$H418="")),1,0)</f>
        <v>0</v>
      </c>
      <c r="X418" s="32" t="n">
        <f aca="false">IF(AND(OR($F418="Analogy",$F418="Assumed"),$G418&lt;&gt;"低",$G418&lt;&gt;"高",NOT(ISNUMBER($K418)),NOT(ISNUMBER($L418)),OR($M418="—",$M418="")),1,0)</f>
        <v>0</v>
      </c>
      <c r="Y418" s="32" t="n">
        <f aca="false">IF(AND(OR($F418="Analogy",$F418="Assumed",$F418="Derived（待改公式）",$F418="Derived（公式）"),OR($N418="—",$N418="",$N418=0)),1,0)</f>
        <v>0</v>
      </c>
      <c r="Z418" s="32" t="n">
        <f aca="false">IF(AND($F418="Decision",OR($J418="—",$J418="")),1,0)</f>
        <v>0</v>
      </c>
      <c r="AA418" s="33" t="n">
        <f aca="false">IF(OR($J418="—",$J418=""),0,IF(COUNTIF(Decisions!$A$5:$A$300,$J418)=0,1,0))</f>
        <v>0</v>
      </c>
      <c r="AB418" s="32" t="n">
        <f aca="false">IF(AND($F418="原始數據",$S418&lt;&gt;"Active"),1,0)</f>
        <v>0</v>
      </c>
      <c r="AC418" s="32" t="n">
        <f aca="false">IF(AND(ISNUMBER($K418),ISNUMBER($L418),ISNUMBER($Q418)),IF(OR($Q418&lt;MIN($K418,$L418),$Q418&gt;MAX($K418,$L418)),1,0),0)</f>
        <v>0</v>
      </c>
      <c r="AD418" s="32" t="n">
        <f aca="false">IF(AND(ISNUMBER($T418),$P418="高"),IF($T418=3,1,0),0)</f>
        <v>0</v>
      </c>
      <c r="AE418" s="32" t="n">
        <f aca="false">IF($S418="不存在",1,0)</f>
        <v>0</v>
      </c>
      <c r="AF418" s="44" t="str">
        <f aca="false">IF(OR($H418="—",$H418=""),"—",MATCH($H418,IDX_SrcID,0))</f>
        <v>—</v>
      </c>
      <c r="AG418" s="32" t="n">
        <f aca="false">IF(AND($P418="高",OR($AD418=1,$X418=1)),1,0)</f>
        <v>0</v>
      </c>
      <c r="AH418" s="32" t="n">
        <f aca="false">IF(AND($P418="高",$AG418=0,OR($F418&lt;&gt;"原始數據",$T418&lt;&gt;1)),1,0)</f>
        <v>0</v>
      </c>
      <c r="AI418" s="44" t="str">
        <f aca="false">IF(AND($P418="高",ISNUMBER($AF418)),INDEX(IDX_SrcDate,$AF418),"—")</f>
        <v>—</v>
      </c>
      <c r="AJ418" s="32" t="n">
        <f aca="false">IF(AND(ISTEXT($AI418),LEN($AI418)=10),IF(ISNUMBER(VALUE(SUBSTITUTE($AI418,"-",""))),VALUE(SUBSTITUTE($AI418,"-","")),0),0)</f>
        <v>0</v>
      </c>
    </row>
    <row r="419" customFormat="false" ht="15" hidden="false" customHeight="true" outlineLevel="0" collapsed="false">
      <c r="A419" s="30" t="s">
        <v>5526</v>
      </c>
      <c r="B419" s="239" t="s">
        <v>4525</v>
      </c>
      <c r="C419" s="30" t="s">
        <v>5527</v>
      </c>
      <c r="D419" s="30" t="s">
        <v>5528</v>
      </c>
      <c r="E419" s="20" t="s">
        <v>469</v>
      </c>
      <c r="F419" s="239" t="s">
        <v>5286</v>
      </c>
      <c r="G419" s="239" t="s">
        <v>5287</v>
      </c>
      <c r="H419" s="30" t="s">
        <v>751</v>
      </c>
      <c r="I419" s="6" t="s">
        <v>751</v>
      </c>
      <c r="J419" s="30" t="s">
        <v>751</v>
      </c>
      <c r="K419" s="239"/>
      <c r="L419" s="239"/>
      <c r="M419" s="30" t="s">
        <v>751</v>
      </c>
      <c r="N419" s="20" t="s">
        <v>5529</v>
      </c>
      <c r="O419" s="6" t="s">
        <v>751</v>
      </c>
      <c r="P419" s="30" t="s">
        <v>751</v>
      </c>
      <c r="Q419" s="184" t="s">
        <v>751</v>
      </c>
      <c r="R419" s="30" t="s">
        <v>751</v>
      </c>
      <c r="S419" s="44" t="str">
        <f aca="false">IF(ISNUMBER($AF419),INDEX(IDX_SrcStat,$AF419),"—")</f>
        <v>—</v>
      </c>
      <c r="T419" s="44" t="str">
        <f aca="false">IF(ISNUMBER($AF419),INDEX(IDX_SrcGrade,$AF419),"—")</f>
        <v>—</v>
      </c>
      <c r="U419" s="30" t="s">
        <v>751</v>
      </c>
      <c r="V419" s="32" t="n">
        <f aca="false">IF(AND($F419="原始數據",$U419&lt;&gt;"連結 SRC"),1,0)</f>
        <v>0</v>
      </c>
      <c r="W419" s="32" t="n">
        <f aca="false">IF(AND($F419="Analogy",OR($H419="—",$H419="")),1,0)</f>
        <v>0</v>
      </c>
      <c r="X419" s="32" t="n">
        <f aca="false">IF(AND(OR($F419="Analogy",$F419="Assumed"),$G419&lt;&gt;"低",$G419&lt;&gt;"高",NOT(ISNUMBER($K419)),NOT(ISNUMBER($L419)),OR($M419="—",$M419="")),1,0)</f>
        <v>0</v>
      </c>
      <c r="Y419" s="32" t="n">
        <f aca="false">IF(AND(OR($F419="Analogy",$F419="Assumed",$F419="Derived（待改公式）",$F419="Derived（公式）"),OR($N419="—",$N419="",$N419=0)),1,0)</f>
        <v>0</v>
      </c>
      <c r="Z419" s="32" t="n">
        <f aca="false">IF(AND($F419="Decision",OR($J419="—",$J419="")),1,0)</f>
        <v>0</v>
      </c>
      <c r="AA419" s="33" t="n">
        <f aca="false">IF(OR($J419="—",$J419=""),0,IF(COUNTIF(Decisions!$A$5:$A$300,$J419)=0,1,0))</f>
        <v>0</v>
      </c>
      <c r="AB419" s="32" t="n">
        <f aca="false">IF(AND($F419="原始數據",$S419&lt;&gt;"Active"),1,0)</f>
        <v>0</v>
      </c>
      <c r="AC419" s="32" t="n">
        <f aca="false">IF(AND(ISNUMBER($K419),ISNUMBER($L419),ISNUMBER($Q419)),IF(OR($Q419&lt;MIN($K419,$L419),$Q419&gt;MAX($K419,$L419)),1,0),0)</f>
        <v>0</v>
      </c>
      <c r="AD419" s="32" t="n">
        <f aca="false">IF(AND(ISNUMBER($T419),$P419="高"),IF($T419=3,1,0),0)</f>
        <v>0</v>
      </c>
      <c r="AE419" s="32" t="n">
        <f aca="false">IF($S419="不存在",1,0)</f>
        <v>0</v>
      </c>
      <c r="AF419" s="44" t="str">
        <f aca="false">IF(OR($H419="—",$H419=""),"—",MATCH($H419,IDX_SrcID,0))</f>
        <v>—</v>
      </c>
      <c r="AG419" s="32" t="n">
        <f aca="false">IF(AND($P419="高",OR($AD419=1,$X419=1)),1,0)</f>
        <v>0</v>
      </c>
      <c r="AH419" s="32" t="n">
        <f aca="false">IF(AND($P419="高",$AG419=0,OR($F419&lt;&gt;"原始數據",$T419&lt;&gt;1)),1,0)</f>
        <v>0</v>
      </c>
      <c r="AI419" s="44" t="str">
        <f aca="false">IF(AND($P419="高",ISNUMBER($AF419)),INDEX(IDX_SrcDate,$AF419),"—")</f>
        <v>—</v>
      </c>
      <c r="AJ419" s="32" t="n">
        <f aca="false">IF(AND(ISTEXT($AI419),LEN($AI419)=10),IF(ISNUMBER(VALUE(SUBSTITUTE($AI419,"-",""))),VALUE(SUBSTITUTE($AI419,"-","")),0),0)</f>
        <v>0</v>
      </c>
    </row>
    <row r="420" customFormat="false" ht="15" hidden="false" customHeight="true" outlineLevel="0" collapsed="false">
      <c r="A420" s="30" t="s">
        <v>5530</v>
      </c>
      <c r="B420" s="239" t="s">
        <v>4525</v>
      </c>
      <c r="C420" s="30" t="s">
        <v>5527</v>
      </c>
      <c r="D420" s="30" t="s">
        <v>5531</v>
      </c>
      <c r="E420" s="20" t="s">
        <v>856</v>
      </c>
      <c r="F420" s="239" t="s">
        <v>5286</v>
      </c>
      <c r="G420" s="239" t="s">
        <v>5287</v>
      </c>
      <c r="H420" s="30" t="s">
        <v>751</v>
      </c>
      <c r="I420" s="6" t="s">
        <v>751</v>
      </c>
      <c r="J420" s="30" t="s">
        <v>751</v>
      </c>
      <c r="K420" s="239"/>
      <c r="L420" s="239"/>
      <c r="M420" s="30" t="s">
        <v>751</v>
      </c>
      <c r="N420" s="20" t="s">
        <v>5529</v>
      </c>
      <c r="O420" s="6" t="s">
        <v>751</v>
      </c>
      <c r="P420" s="30" t="s">
        <v>751</v>
      </c>
      <c r="Q420" s="184" t="s">
        <v>751</v>
      </c>
      <c r="R420" s="30" t="s">
        <v>751</v>
      </c>
      <c r="S420" s="44" t="str">
        <f aca="false">IF(ISNUMBER($AF420),INDEX(IDX_SrcStat,$AF420),"—")</f>
        <v>—</v>
      </c>
      <c r="T420" s="44" t="str">
        <f aca="false">IF(ISNUMBER($AF420),INDEX(IDX_SrcGrade,$AF420),"—")</f>
        <v>—</v>
      </c>
      <c r="U420" s="30" t="s">
        <v>751</v>
      </c>
      <c r="V420" s="32" t="n">
        <f aca="false">IF(AND($F420="原始數據",$U420&lt;&gt;"連結 SRC"),1,0)</f>
        <v>0</v>
      </c>
      <c r="W420" s="32" t="n">
        <f aca="false">IF(AND($F420="Analogy",OR($H420="—",$H420="")),1,0)</f>
        <v>0</v>
      </c>
      <c r="X420" s="32" t="n">
        <f aca="false">IF(AND(OR($F420="Analogy",$F420="Assumed"),$G420&lt;&gt;"低",$G420&lt;&gt;"高",NOT(ISNUMBER($K420)),NOT(ISNUMBER($L420)),OR($M420="—",$M420="")),1,0)</f>
        <v>0</v>
      </c>
      <c r="Y420" s="32" t="n">
        <f aca="false">IF(AND(OR($F420="Analogy",$F420="Assumed",$F420="Derived（待改公式）",$F420="Derived（公式）"),OR($N420="—",$N420="",$N420=0)),1,0)</f>
        <v>0</v>
      </c>
      <c r="Z420" s="32" t="n">
        <f aca="false">IF(AND($F420="Decision",OR($J420="—",$J420="")),1,0)</f>
        <v>0</v>
      </c>
      <c r="AA420" s="33" t="n">
        <f aca="false">IF(OR($J420="—",$J420=""),0,IF(COUNTIF(Decisions!$A$5:$A$300,$J420)=0,1,0))</f>
        <v>0</v>
      </c>
      <c r="AB420" s="32" t="n">
        <f aca="false">IF(AND($F420="原始數據",$S420&lt;&gt;"Active"),1,0)</f>
        <v>0</v>
      </c>
      <c r="AC420" s="32" t="n">
        <f aca="false">IF(AND(ISNUMBER($K420),ISNUMBER($L420),ISNUMBER($Q420)),IF(OR($Q420&lt;MIN($K420,$L420),$Q420&gt;MAX($K420,$L420)),1,0),0)</f>
        <v>0</v>
      </c>
      <c r="AD420" s="32" t="n">
        <f aca="false">IF(AND(ISNUMBER($T420),$P420="高"),IF($T420=3,1,0),0)</f>
        <v>0</v>
      </c>
      <c r="AE420" s="32" t="n">
        <f aca="false">IF($S420="不存在",1,0)</f>
        <v>0</v>
      </c>
      <c r="AF420" s="44" t="str">
        <f aca="false">IF(OR($H420="—",$H420=""),"—",MATCH($H420,IDX_SrcID,0))</f>
        <v>—</v>
      </c>
      <c r="AG420" s="32" t="n">
        <f aca="false">IF(AND($P420="高",OR($AD420=1,$X420=1)),1,0)</f>
        <v>0</v>
      </c>
      <c r="AH420" s="32" t="n">
        <f aca="false">IF(AND($P420="高",$AG420=0,OR($F420&lt;&gt;"原始數據",$T420&lt;&gt;1)),1,0)</f>
        <v>0</v>
      </c>
      <c r="AI420" s="44" t="str">
        <f aca="false">IF(AND($P420="高",ISNUMBER($AF420)),INDEX(IDX_SrcDate,$AF420),"—")</f>
        <v>—</v>
      </c>
      <c r="AJ420" s="32" t="n">
        <f aca="false">IF(AND(ISTEXT($AI420),LEN($AI420)=10),IF(ISNUMBER(VALUE(SUBSTITUTE($AI420,"-",""))),VALUE(SUBSTITUTE($AI420,"-","")),0),0)</f>
        <v>0</v>
      </c>
    </row>
    <row r="421" customFormat="false" ht="15" hidden="false" customHeight="true" outlineLevel="0" collapsed="false">
      <c r="A421" s="30" t="s">
        <v>5532</v>
      </c>
      <c r="B421" s="239" t="s">
        <v>4525</v>
      </c>
      <c r="C421" s="30" t="s">
        <v>4157</v>
      </c>
      <c r="D421" s="30" t="s">
        <v>5533</v>
      </c>
      <c r="E421" s="20" t="s">
        <v>469</v>
      </c>
      <c r="F421" s="239" t="s">
        <v>5286</v>
      </c>
      <c r="G421" s="239" t="s">
        <v>5287</v>
      </c>
      <c r="H421" s="30" t="s">
        <v>751</v>
      </c>
      <c r="I421" s="6" t="s">
        <v>751</v>
      </c>
      <c r="J421" s="30" t="s">
        <v>751</v>
      </c>
      <c r="K421" s="239"/>
      <c r="L421" s="239"/>
      <c r="M421" s="30" t="s">
        <v>751</v>
      </c>
      <c r="N421" s="20" t="s">
        <v>5529</v>
      </c>
      <c r="O421" s="6" t="s">
        <v>751</v>
      </c>
      <c r="P421" s="30" t="s">
        <v>751</v>
      </c>
      <c r="Q421" s="184" t="s">
        <v>751</v>
      </c>
      <c r="R421" s="30" t="s">
        <v>751</v>
      </c>
      <c r="S421" s="44" t="str">
        <f aca="false">IF(ISNUMBER($AF421),INDEX(IDX_SrcStat,$AF421),"—")</f>
        <v>—</v>
      </c>
      <c r="T421" s="44" t="str">
        <f aca="false">IF(ISNUMBER($AF421),INDEX(IDX_SrcGrade,$AF421),"—")</f>
        <v>—</v>
      </c>
      <c r="U421" s="30" t="s">
        <v>751</v>
      </c>
      <c r="V421" s="32" t="n">
        <f aca="false">IF(AND($F421="原始數據",$U421&lt;&gt;"連結 SRC"),1,0)</f>
        <v>0</v>
      </c>
      <c r="W421" s="32" t="n">
        <f aca="false">IF(AND($F421="Analogy",OR($H421="—",$H421="")),1,0)</f>
        <v>0</v>
      </c>
      <c r="X421" s="32" t="n">
        <f aca="false">IF(AND(OR($F421="Analogy",$F421="Assumed"),$G421&lt;&gt;"低",$G421&lt;&gt;"高",NOT(ISNUMBER($K421)),NOT(ISNUMBER($L421)),OR($M421="—",$M421="")),1,0)</f>
        <v>0</v>
      </c>
      <c r="Y421" s="32" t="n">
        <f aca="false">IF(AND(OR($F421="Analogy",$F421="Assumed",$F421="Derived（待改公式）",$F421="Derived（公式）"),OR($N421="—",$N421="",$N421=0)),1,0)</f>
        <v>0</v>
      </c>
      <c r="Z421" s="32" t="n">
        <f aca="false">IF(AND($F421="Decision",OR($J421="—",$J421="")),1,0)</f>
        <v>0</v>
      </c>
      <c r="AA421" s="33" t="n">
        <f aca="false">IF(OR($J421="—",$J421=""),0,IF(COUNTIF(Decisions!$A$5:$A$300,$J421)=0,1,0))</f>
        <v>0</v>
      </c>
      <c r="AB421" s="32" t="n">
        <f aca="false">IF(AND($F421="原始數據",$S421&lt;&gt;"Active"),1,0)</f>
        <v>0</v>
      </c>
      <c r="AC421" s="32" t="n">
        <f aca="false">IF(AND(ISNUMBER($K421),ISNUMBER($L421),ISNUMBER($Q421)),IF(OR($Q421&lt;MIN($K421,$L421),$Q421&gt;MAX($K421,$L421)),1,0),0)</f>
        <v>0</v>
      </c>
      <c r="AD421" s="32" t="n">
        <f aca="false">IF(AND(ISNUMBER($T421),$P421="高"),IF($T421=3,1,0),0)</f>
        <v>0</v>
      </c>
      <c r="AE421" s="32" t="n">
        <f aca="false">IF($S421="不存在",1,0)</f>
        <v>0</v>
      </c>
      <c r="AF421" s="44" t="str">
        <f aca="false">IF(OR($H421="—",$H421=""),"—",MATCH($H421,IDX_SrcID,0))</f>
        <v>—</v>
      </c>
      <c r="AG421" s="32" t="n">
        <f aca="false">IF(AND($P421="高",OR($AD421=1,$X421=1)),1,0)</f>
        <v>0</v>
      </c>
      <c r="AH421" s="32" t="n">
        <f aca="false">IF(AND($P421="高",$AG421=0,OR($F421&lt;&gt;"原始數據",$T421&lt;&gt;1)),1,0)</f>
        <v>0</v>
      </c>
      <c r="AI421" s="44" t="str">
        <f aca="false">IF(AND($P421="高",ISNUMBER($AF421)),INDEX(IDX_SrcDate,$AF421),"—")</f>
        <v>—</v>
      </c>
      <c r="AJ421" s="32" t="n">
        <f aca="false">IF(AND(ISTEXT($AI421),LEN($AI421)=10),IF(ISNUMBER(VALUE(SUBSTITUTE($AI421,"-",""))),VALUE(SUBSTITUTE($AI421,"-","")),0),0)</f>
        <v>0</v>
      </c>
    </row>
    <row r="422" customFormat="false" ht="15" hidden="false" customHeight="true" outlineLevel="0" collapsed="false">
      <c r="A422" s="30" t="s">
        <v>5534</v>
      </c>
      <c r="B422" s="239" t="s">
        <v>4525</v>
      </c>
      <c r="C422" s="30" t="s">
        <v>4157</v>
      </c>
      <c r="D422" s="30" t="s">
        <v>5535</v>
      </c>
      <c r="E422" s="20" t="s">
        <v>856</v>
      </c>
      <c r="F422" s="239" t="s">
        <v>5286</v>
      </c>
      <c r="G422" s="239" t="s">
        <v>5287</v>
      </c>
      <c r="H422" s="30" t="s">
        <v>751</v>
      </c>
      <c r="I422" s="6" t="s">
        <v>751</v>
      </c>
      <c r="J422" s="30" t="s">
        <v>751</v>
      </c>
      <c r="K422" s="239"/>
      <c r="L422" s="239"/>
      <c r="M422" s="30" t="s">
        <v>751</v>
      </c>
      <c r="N422" s="20" t="s">
        <v>5529</v>
      </c>
      <c r="O422" s="6" t="s">
        <v>751</v>
      </c>
      <c r="P422" s="30" t="s">
        <v>751</v>
      </c>
      <c r="Q422" s="184" t="s">
        <v>751</v>
      </c>
      <c r="R422" s="30" t="s">
        <v>751</v>
      </c>
      <c r="S422" s="44" t="str">
        <f aca="false">IF(ISNUMBER($AF422),INDEX(IDX_SrcStat,$AF422),"—")</f>
        <v>—</v>
      </c>
      <c r="T422" s="44" t="str">
        <f aca="false">IF(ISNUMBER($AF422),INDEX(IDX_SrcGrade,$AF422),"—")</f>
        <v>—</v>
      </c>
      <c r="U422" s="30" t="s">
        <v>751</v>
      </c>
      <c r="V422" s="32" t="n">
        <f aca="false">IF(AND($F422="原始數據",$U422&lt;&gt;"連結 SRC"),1,0)</f>
        <v>0</v>
      </c>
      <c r="W422" s="32" t="n">
        <f aca="false">IF(AND($F422="Analogy",OR($H422="—",$H422="")),1,0)</f>
        <v>0</v>
      </c>
      <c r="X422" s="32" t="n">
        <f aca="false">IF(AND(OR($F422="Analogy",$F422="Assumed"),$G422&lt;&gt;"低",$G422&lt;&gt;"高",NOT(ISNUMBER($K422)),NOT(ISNUMBER($L422)),OR($M422="—",$M422="")),1,0)</f>
        <v>0</v>
      </c>
      <c r="Y422" s="32" t="n">
        <f aca="false">IF(AND(OR($F422="Analogy",$F422="Assumed",$F422="Derived（待改公式）",$F422="Derived（公式）"),OR($N422="—",$N422="",$N422=0)),1,0)</f>
        <v>0</v>
      </c>
      <c r="Z422" s="32" t="n">
        <f aca="false">IF(AND($F422="Decision",OR($J422="—",$J422="")),1,0)</f>
        <v>0</v>
      </c>
      <c r="AA422" s="33" t="n">
        <f aca="false">IF(OR($J422="—",$J422=""),0,IF(COUNTIF(Decisions!$A$5:$A$300,$J422)=0,1,0))</f>
        <v>0</v>
      </c>
      <c r="AB422" s="32" t="n">
        <f aca="false">IF(AND($F422="原始數據",$S422&lt;&gt;"Active"),1,0)</f>
        <v>0</v>
      </c>
      <c r="AC422" s="32" t="n">
        <f aca="false">IF(AND(ISNUMBER($K422),ISNUMBER($L422),ISNUMBER($Q422)),IF(OR($Q422&lt;MIN($K422,$L422),$Q422&gt;MAX($K422,$L422)),1,0),0)</f>
        <v>0</v>
      </c>
      <c r="AD422" s="32" t="n">
        <f aca="false">IF(AND(ISNUMBER($T422),$P422="高"),IF($T422=3,1,0),0)</f>
        <v>0</v>
      </c>
      <c r="AE422" s="32" t="n">
        <f aca="false">IF($S422="不存在",1,0)</f>
        <v>0</v>
      </c>
      <c r="AF422" s="44" t="str">
        <f aca="false">IF(OR($H422="—",$H422=""),"—",MATCH($H422,IDX_SrcID,0))</f>
        <v>—</v>
      </c>
      <c r="AG422" s="32" t="n">
        <f aca="false">IF(AND($P422="高",OR($AD422=1,$X422=1)),1,0)</f>
        <v>0</v>
      </c>
      <c r="AH422" s="32" t="n">
        <f aca="false">IF(AND($P422="高",$AG422=0,OR($F422&lt;&gt;"原始數據",$T422&lt;&gt;1)),1,0)</f>
        <v>0</v>
      </c>
      <c r="AI422" s="44" t="str">
        <f aca="false">IF(AND($P422="高",ISNUMBER($AF422)),INDEX(IDX_SrcDate,$AF422),"—")</f>
        <v>—</v>
      </c>
      <c r="AJ422" s="32" t="n">
        <f aca="false">IF(AND(ISTEXT($AI422),LEN($AI422)=10),IF(ISNUMBER(VALUE(SUBSTITUTE($AI422,"-",""))),VALUE(SUBSTITUTE($AI422,"-","")),0),0)</f>
        <v>0</v>
      </c>
    </row>
    <row r="423" customFormat="false" ht="15" hidden="false" customHeight="true" outlineLevel="0" collapsed="false">
      <c r="A423" s="30" t="s">
        <v>5536</v>
      </c>
      <c r="B423" s="239" t="s">
        <v>4525</v>
      </c>
      <c r="C423" s="30" t="s">
        <v>4157</v>
      </c>
      <c r="D423" s="30" t="s">
        <v>5537</v>
      </c>
      <c r="E423" s="20" t="s">
        <v>500</v>
      </c>
      <c r="F423" s="239" t="s">
        <v>5398</v>
      </c>
      <c r="G423" s="239" t="s">
        <v>5287</v>
      </c>
      <c r="H423" s="30" t="s">
        <v>751</v>
      </c>
      <c r="I423" s="6" t="s">
        <v>751</v>
      </c>
      <c r="J423" s="30" t="s">
        <v>751</v>
      </c>
      <c r="K423" s="239"/>
      <c r="L423" s="239"/>
      <c r="M423" s="30" t="s">
        <v>751</v>
      </c>
      <c r="N423" s="20" t="s">
        <v>5538</v>
      </c>
      <c r="O423" s="6" t="s">
        <v>751</v>
      </c>
      <c r="P423" s="239" t="s">
        <v>4530</v>
      </c>
      <c r="Q423" s="46" t="n">
        <f aca="false">Sens_Perf!M14</f>
        <v>50</v>
      </c>
      <c r="R423" s="30" t="s">
        <v>751</v>
      </c>
      <c r="S423" s="44" t="str">
        <f aca="false">IF(ISNUMBER($AF423),INDEX(IDX_SrcStat,$AF423),"—")</f>
        <v>—</v>
      </c>
      <c r="T423" s="44" t="str">
        <f aca="false">IF(ISNUMBER($AF423),INDEX(IDX_SrcGrade,$AF423),"—")</f>
        <v>—</v>
      </c>
      <c r="U423" s="44" t="s">
        <v>4531</v>
      </c>
      <c r="V423" s="32" t="n">
        <f aca="false">IF(AND($F423="原始數據",$U423&lt;&gt;"連結 SRC"),1,0)</f>
        <v>0</v>
      </c>
      <c r="W423" s="32" t="n">
        <f aca="false">IF(AND($F423="Analogy",OR($H423="—",$H423="")),1,0)</f>
        <v>0</v>
      </c>
      <c r="X423" s="32" t="n">
        <f aca="false">IF(AND(OR($F423="Analogy",$F423="Assumed"),$G423&lt;&gt;"低",$G423&lt;&gt;"高",NOT(ISNUMBER($K423)),NOT(ISNUMBER($L423)),OR($M423="—",$M423="")),1,0)</f>
        <v>0</v>
      </c>
      <c r="Y423" s="32" t="n">
        <f aca="false">IF(AND(OR($F423="Analogy",$F423="Assumed",$F423="Derived（待改公式）",$F423="Derived（公式）"),OR($N423="—",$N423="",$N423=0)),1,0)</f>
        <v>0</v>
      </c>
      <c r="Z423" s="32" t="n">
        <f aca="false">IF(AND($F423="Decision",OR($J423="—",$J423="")),1,0)</f>
        <v>0</v>
      </c>
      <c r="AA423" s="33" t="n">
        <f aca="false">IF(OR($J423="—",$J423=""),0,IF(COUNTIF(Decisions!$A$5:$A$300,$J423)=0,1,0))</f>
        <v>0</v>
      </c>
      <c r="AB423" s="32" t="n">
        <f aca="false">IF(AND($F423="原始數據",$S423&lt;&gt;"Active"),1,0)</f>
        <v>0</v>
      </c>
      <c r="AC423" s="32" t="n">
        <f aca="false">IF(AND(ISNUMBER($K423),ISNUMBER($L423),ISNUMBER($Q423)),IF(OR($Q423&lt;MIN($K423,$L423),$Q423&gt;MAX($K423,$L423)),1,0),0)</f>
        <v>0</v>
      </c>
      <c r="AD423" s="32" t="n">
        <f aca="false">IF(AND(ISNUMBER($T423),$P423="高"),IF($T423=3,1,0),0)</f>
        <v>0</v>
      </c>
      <c r="AE423" s="32" t="n">
        <f aca="false">IF($S423="不存在",1,0)</f>
        <v>0</v>
      </c>
      <c r="AF423" s="44" t="str">
        <f aca="false">IF(OR($H423="—",$H423=""),"—",MATCH($H423,IDX_SrcID,0))</f>
        <v>—</v>
      </c>
      <c r="AG423" s="32" t="n">
        <f aca="false">IF(AND($P423="高",OR($AD423=1,$X423=1)),1,0)</f>
        <v>0</v>
      </c>
      <c r="AH423" s="32" t="n">
        <f aca="false">IF(AND($P423="高",$AG423=0,OR($F423&lt;&gt;"原始數據",$T423&lt;&gt;1)),1,0)</f>
        <v>0</v>
      </c>
      <c r="AI423" s="44" t="str">
        <f aca="false">IF(AND($P423="高",ISNUMBER($AF423)),INDEX(IDX_SrcDate,$AF423),"—")</f>
        <v>—</v>
      </c>
      <c r="AJ423" s="32" t="n">
        <f aca="false">IF(AND(ISTEXT($AI423),LEN($AI423)=10),IF(ISNUMBER(VALUE(SUBSTITUTE($AI423,"-",""))),VALUE(SUBSTITUTE($AI423,"-","")),0),0)</f>
        <v>0</v>
      </c>
    </row>
    <row r="424" customFormat="false" ht="15" hidden="false" customHeight="true" outlineLevel="0" collapsed="false">
      <c r="A424" s="30" t="s">
        <v>5539</v>
      </c>
      <c r="B424" s="239" t="s">
        <v>4525</v>
      </c>
      <c r="C424" s="30" t="s">
        <v>4157</v>
      </c>
      <c r="D424" s="30" t="s">
        <v>5540</v>
      </c>
      <c r="E424" s="6" t="s">
        <v>388</v>
      </c>
      <c r="F424" s="239" t="s">
        <v>5398</v>
      </c>
      <c r="G424" s="239" t="s">
        <v>5287</v>
      </c>
      <c r="H424" s="30" t="s">
        <v>751</v>
      </c>
      <c r="I424" s="6" t="s">
        <v>751</v>
      </c>
      <c r="J424" s="30" t="s">
        <v>751</v>
      </c>
      <c r="K424" s="239"/>
      <c r="L424" s="239"/>
      <c r="M424" s="30" t="s">
        <v>751</v>
      </c>
      <c r="N424" s="20" t="s">
        <v>5538</v>
      </c>
      <c r="O424" s="6" t="s">
        <v>751</v>
      </c>
      <c r="P424" s="30" t="s">
        <v>751</v>
      </c>
      <c r="Q424" s="184" t="s">
        <v>751</v>
      </c>
      <c r="R424" s="30" t="s">
        <v>751</v>
      </c>
      <c r="S424" s="44" t="str">
        <f aca="false">IF(ISNUMBER($AF424),INDEX(IDX_SrcStat,$AF424),"—")</f>
        <v>—</v>
      </c>
      <c r="T424" s="44" t="str">
        <f aca="false">IF(ISNUMBER($AF424),INDEX(IDX_SrcGrade,$AF424),"—")</f>
        <v>—</v>
      </c>
      <c r="U424" s="30" t="s">
        <v>751</v>
      </c>
      <c r="V424" s="32" t="n">
        <f aca="false">IF(AND($F424="原始數據",$U424&lt;&gt;"連結 SRC"),1,0)</f>
        <v>0</v>
      </c>
      <c r="W424" s="32" t="n">
        <f aca="false">IF(AND($F424="Analogy",OR($H424="—",$H424="")),1,0)</f>
        <v>0</v>
      </c>
      <c r="X424" s="32" t="n">
        <f aca="false">IF(AND(OR($F424="Analogy",$F424="Assumed"),$G424&lt;&gt;"低",$G424&lt;&gt;"高",NOT(ISNUMBER($K424)),NOT(ISNUMBER($L424)),OR($M424="—",$M424="")),1,0)</f>
        <v>0</v>
      </c>
      <c r="Y424" s="32" t="n">
        <f aca="false">IF(AND(OR($F424="Analogy",$F424="Assumed",$F424="Derived（待改公式）",$F424="Derived（公式）"),OR($N424="—",$N424="",$N424=0)),1,0)</f>
        <v>0</v>
      </c>
      <c r="Z424" s="32" t="n">
        <f aca="false">IF(AND($F424="Decision",OR($J424="—",$J424="")),1,0)</f>
        <v>0</v>
      </c>
      <c r="AA424" s="33" t="n">
        <f aca="false">IF(OR($J424="—",$J424=""),0,IF(COUNTIF(Decisions!$A$5:$A$300,$J424)=0,1,0))</f>
        <v>0</v>
      </c>
      <c r="AB424" s="32" t="n">
        <f aca="false">IF(AND($F424="原始數據",$S424&lt;&gt;"Active"),1,0)</f>
        <v>0</v>
      </c>
      <c r="AC424" s="32" t="n">
        <f aca="false">IF(AND(ISNUMBER($K424),ISNUMBER($L424),ISNUMBER($Q424)),IF(OR($Q424&lt;MIN($K424,$L424),$Q424&gt;MAX($K424,$L424)),1,0),0)</f>
        <v>0</v>
      </c>
      <c r="AD424" s="32" t="n">
        <f aca="false">IF(AND(ISNUMBER($T424),$P424="高"),IF($T424=3,1,0),0)</f>
        <v>0</v>
      </c>
      <c r="AE424" s="32" t="n">
        <f aca="false">IF($S424="不存在",1,0)</f>
        <v>0</v>
      </c>
      <c r="AF424" s="44" t="str">
        <f aca="false">IF(OR($H424="—",$H424=""),"—",MATCH($H424,IDX_SrcID,0))</f>
        <v>—</v>
      </c>
      <c r="AG424" s="32" t="n">
        <f aca="false">IF(AND($P424="高",OR($AD424=1,$X424=1)),1,0)</f>
        <v>0</v>
      </c>
      <c r="AH424" s="32" t="n">
        <f aca="false">IF(AND($P424="高",$AG424=0,OR($F424&lt;&gt;"原始數據",$T424&lt;&gt;1)),1,0)</f>
        <v>0</v>
      </c>
      <c r="AI424" s="44" t="str">
        <f aca="false">IF(AND($P424="高",ISNUMBER($AF424)),INDEX(IDX_SrcDate,$AF424),"—")</f>
        <v>—</v>
      </c>
      <c r="AJ424" s="32" t="n">
        <f aca="false">IF(AND(ISTEXT($AI424),LEN($AI424)=10),IF(ISNUMBER(VALUE(SUBSTITUTE($AI424,"-",""))),VALUE(SUBSTITUTE($AI424,"-","")),0),0)</f>
        <v>0</v>
      </c>
    </row>
    <row r="425" customFormat="false" ht="15" hidden="false" customHeight="true" outlineLevel="0" collapsed="false">
      <c r="A425" s="30" t="s">
        <v>5541</v>
      </c>
      <c r="B425" s="239" t="s">
        <v>4525</v>
      </c>
      <c r="C425" s="30" t="s">
        <v>4157</v>
      </c>
      <c r="D425" s="30" t="s">
        <v>5542</v>
      </c>
      <c r="E425" s="20" t="s">
        <v>5543</v>
      </c>
      <c r="F425" s="239" t="s">
        <v>5398</v>
      </c>
      <c r="G425" s="239" t="s">
        <v>5287</v>
      </c>
      <c r="H425" s="30" t="s">
        <v>751</v>
      </c>
      <c r="I425" s="6" t="s">
        <v>751</v>
      </c>
      <c r="J425" s="30" t="s">
        <v>751</v>
      </c>
      <c r="K425" s="239"/>
      <c r="L425" s="239"/>
      <c r="M425" s="30" t="s">
        <v>751</v>
      </c>
      <c r="N425" s="20" t="s">
        <v>5538</v>
      </c>
      <c r="O425" s="6" t="s">
        <v>751</v>
      </c>
      <c r="P425" s="30" t="s">
        <v>751</v>
      </c>
      <c r="Q425" s="184" t="s">
        <v>751</v>
      </c>
      <c r="R425" s="30" t="s">
        <v>751</v>
      </c>
      <c r="S425" s="44" t="str">
        <f aca="false">IF(ISNUMBER($AF425),INDEX(IDX_SrcStat,$AF425),"—")</f>
        <v>—</v>
      </c>
      <c r="T425" s="44" t="str">
        <f aca="false">IF(ISNUMBER($AF425),INDEX(IDX_SrcGrade,$AF425),"—")</f>
        <v>—</v>
      </c>
      <c r="U425" s="30" t="s">
        <v>751</v>
      </c>
      <c r="V425" s="32" t="n">
        <f aca="false">IF(AND($F425="原始數據",$U425&lt;&gt;"連結 SRC"),1,0)</f>
        <v>0</v>
      </c>
      <c r="W425" s="32" t="n">
        <f aca="false">IF(AND($F425="Analogy",OR($H425="—",$H425="")),1,0)</f>
        <v>0</v>
      </c>
      <c r="X425" s="32" t="n">
        <f aca="false">IF(AND(OR($F425="Analogy",$F425="Assumed"),$G425&lt;&gt;"低",$G425&lt;&gt;"高",NOT(ISNUMBER($K425)),NOT(ISNUMBER($L425)),OR($M425="—",$M425="")),1,0)</f>
        <v>0</v>
      </c>
      <c r="Y425" s="32" t="n">
        <f aca="false">IF(AND(OR($F425="Analogy",$F425="Assumed",$F425="Derived（待改公式）",$F425="Derived（公式）"),OR($N425="—",$N425="",$N425=0)),1,0)</f>
        <v>0</v>
      </c>
      <c r="Z425" s="32" t="n">
        <f aca="false">IF(AND($F425="Decision",OR($J425="—",$J425="")),1,0)</f>
        <v>0</v>
      </c>
      <c r="AA425" s="33" t="n">
        <f aca="false">IF(OR($J425="—",$J425=""),0,IF(COUNTIF(Decisions!$A$5:$A$300,$J425)=0,1,0))</f>
        <v>0</v>
      </c>
      <c r="AB425" s="32" t="n">
        <f aca="false">IF(AND($F425="原始數據",$S425&lt;&gt;"Active"),1,0)</f>
        <v>0</v>
      </c>
      <c r="AC425" s="32" t="n">
        <f aca="false">IF(AND(ISNUMBER($K425),ISNUMBER($L425),ISNUMBER($Q425)),IF(OR($Q425&lt;MIN($K425,$L425),$Q425&gt;MAX($K425,$L425)),1,0),0)</f>
        <v>0</v>
      </c>
      <c r="AD425" s="32" t="n">
        <f aca="false">IF(AND(ISNUMBER($T425),$P425="高"),IF($T425=3,1,0),0)</f>
        <v>0</v>
      </c>
      <c r="AE425" s="32" t="n">
        <f aca="false">IF($S425="不存在",1,0)</f>
        <v>0</v>
      </c>
      <c r="AF425" s="44" t="str">
        <f aca="false">IF(OR($H425="—",$H425=""),"—",MATCH($H425,IDX_SrcID,0))</f>
        <v>—</v>
      </c>
      <c r="AG425" s="32" t="n">
        <f aca="false">IF(AND($P425="高",OR($AD425=1,$X425=1)),1,0)</f>
        <v>0</v>
      </c>
      <c r="AH425" s="32" t="n">
        <f aca="false">IF(AND($P425="高",$AG425=0,OR($F425&lt;&gt;"原始數據",$T425&lt;&gt;1)),1,0)</f>
        <v>0</v>
      </c>
      <c r="AI425" s="44" t="str">
        <f aca="false">IF(AND($P425="高",ISNUMBER($AF425)),INDEX(IDX_SrcDate,$AF425),"—")</f>
        <v>—</v>
      </c>
      <c r="AJ425" s="32" t="n">
        <f aca="false">IF(AND(ISTEXT($AI425),LEN($AI425)=10),IF(ISNUMBER(VALUE(SUBSTITUTE($AI425,"-",""))),VALUE(SUBSTITUTE($AI425,"-","")),0),0)</f>
        <v>0</v>
      </c>
    </row>
    <row r="426" customFormat="false" ht="15" hidden="false" customHeight="true" outlineLevel="0" collapsed="false">
      <c r="A426" s="30" t="s">
        <v>5544</v>
      </c>
      <c r="B426" s="239" t="s">
        <v>4525</v>
      </c>
      <c r="C426" s="30" t="s">
        <v>4157</v>
      </c>
      <c r="D426" s="30" t="s">
        <v>5545</v>
      </c>
      <c r="E426" s="20" t="s">
        <v>884</v>
      </c>
      <c r="F426" s="239" t="s">
        <v>5398</v>
      </c>
      <c r="G426" s="239" t="s">
        <v>5287</v>
      </c>
      <c r="H426" s="30" t="s">
        <v>751</v>
      </c>
      <c r="I426" s="6" t="s">
        <v>751</v>
      </c>
      <c r="J426" s="30" t="s">
        <v>751</v>
      </c>
      <c r="K426" s="239"/>
      <c r="L426" s="239"/>
      <c r="M426" s="30" t="s">
        <v>751</v>
      </c>
      <c r="N426" s="20" t="s">
        <v>5538</v>
      </c>
      <c r="O426" s="6" t="s">
        <v>751</v>
      </c>
      <c r="P426" s="30" t="s">
        <v>751</v>
      </c>
      <c r="Q426" s="184" t="s">
        <v>751</v>
      </c>
      <c r="R426" s="30" t="s">
        <v>751</v>
      </c>
      <c r="S426" s="44" t="str">
        <f aca="false">IF(ISNUMBER($AF426),INDEX(IDX_SrcStat,$AF426),"—")</f>
        <v>—</v>
      </c>
      <c r="T426" s="44" t="str">
        <f aca="false">IF(ISNUMBER($AF426),INDEX(IDX_SrcGrade,$AF426),"—")</f>
        <v>—</v>
      </c>
      <c r="U426" s="30" t="s">
        <v>751</v>
      </c>
      <c r="V426" s="32" t="n">
        <f aca="false">IF(AND($F426="原始數據",$U426&lt;&gt;"連結 SRC"),1,0)</f>
        <v>0</v>
      </c>
      <c r="W426" s="32" t="n">
        <f aca="false">IF(AND($F426="Analogy",OR($H426="—",$H426="")),1,0)</f>
        <v>0</v>
      </c>
      <c r="X426" s="32" t="n">
        <f aca="false">IF(AND(OR($F426="Analogy",$F426="Assumed"),$G426&lt;&gt;"低",$G426&lt;&gt;"高",NOT(ISNUMBER($K426)),NOT(ISNUMBER($L426)),OR($M426="—",$M426="")),1,0)</f>
        <v>0</v>
      </c>
      <c r="Y426" s="32" t="n">
        <f aca="false">IF(AND(OR($F426="Analogy",$F426="Assumed",$F426="Derived（待改公式）",$F426="Derived（公式）"),OR($N426="—",$N426="",$N426=0)),1,0)</f>
        <v>0</v>
      </c>
      <c r="Z426" s="32" t="n">
        <f aca="false">IF(AND($F426="Decision",OR($J426="—",$J426="")),1,0)</f>
        <v>0</v>
      </c>
      <c r="AA426" s="33" t="n">
        <f aca="false">IF(OR($J426="—",$J426=""),0,IF(COUNTIF(Decisions!$A$5:$A$300,$J426)=0,1,0))</f>
        <v>0</v>
      </c>
      <c r="AB426" s="32" t="n">
        <f aca="false">IF(AND($F426="原始數據",$S426&lt;&gt;"Active"),1,0)</f>
        <v>0</v>
      </c>
      <c r="AC426" s="32" t="n">
        <f aca="false">IF(AND(ISNUMBER($K426),ISNUMBER($L426),ISNUMBER($Q426)),IF(OR($Q426&lt;MIN($K426,$L426),$Q426&gt;MAX($K426,$L426)),1,0),0)</f>
        <v>0</v>
      </c>
      <c r="AD426" s="32" t="n">
        <f aca="false">IF(AND(ISNUMBER($T426),$P426="高"),IF($T426=3,1,0),0)</f>
        <v>0</v>
      </c>
      <c r="AE426" s="32" t="n">
        <f aca="false">IF($S426="不存在",1,0)</f>
        <v>0</v>
      </c>
      <c r="AF426" s="44" t="str">
        <f aca="false">IF(OR($H426="—",$H426=""),"—",MATCH($H426,IDX_SrcID,0))</f>
        <v>—</v>
      </c>
      <c r="AG426" s="32" t="n">
        <f aca="false">IF(AND($P426="高",OR($AD426=1,$X426=1)),1,0)</f>
        <v>0</v>
      </c>
      <c r="AH426" s="32" t="n">
        <f aca="false">IF(AND($P426="高",$AG426=0,OR($F426&lt;&gt;"原始數據",$T426&lt;&gt;1)),1,0)</f>
        <v>0</v>
      </c>
      <c r="AI426" s="44" t="str">
        <f aca="false">IF(AND($P426="高",ISNUMBER($AF426)),INDEX(IDX_SrcDate,$AF426),"—")</f>
        <v>—</v>
      </c>
      <c r="AJ426" s="32" t="n">
        <f aca="false">IF(AND(ISTEXT($AI426),LEN($AI426)=10),IF(ISNUMBER(VALUE(SUBSTITUTE($AI426,"-",""))),VALUE(SUBSTITUTE($AI426,"-","")),0),0)</f>
        <v>0</v>
      </c>
    </row>
    <row r="427" customFormat="false" ht="15" hidden="false" customHeight="true" outlineLevel="0" collapsed="false">
      <c r="A427" s="30" t="s">
        <v>5546</v>
      </c>
      <c r="B427" s="239" t="s">
        <v>4525</v>
      </c>
      <c r="C427" s="30" t="s">
        <v>4157</v>
      </c>
      <c r="D427" s="30" t="s">
        <v>5547</v>
      </c>
      <c r="E427" s="20" t="s">
        <v>383</v>
      </c>
      <c r="F427" s="239" t="s">
        <v>5398</v>
      </c>
      <c r="G427" s="239" t="s">
        <v>5287</v>
      </c>
      <c r="H427" s="30" t="s">
        <v>751</v>
      </c>
      <c r="I427" s="6" t="s">
        <v>751</v>
      </c>
      <c r="J427" s="30" t="s">
        <v>751</v>
      </c>
      <c r="K427" s="239"/>
      <c r="L427" s="239"/>
      <c r="M427" s="30" t="s">
        <v>751</v>
      </c>
      <c r="N427" s="20" t="s">
        <v>5538</v>
      </c>
      <c r="O427" s="6" t="s">
        <v>751</v>
      </c>
      <c r="P427" s="30" t="s">
        <v>751</v>
      </c>
      <c r="Q427" s="184" t="s">
        <v>751</v>
      </c>
      <c r="R427" s="30" t="s">
        <v>751</v>
      </c>
      <c r="S427" s="44" t="str">
        <f aca="false">IF(ISNUMBER($AF427),INDEX(IDX_SrcStat,$AF427),"—")</f>
        <v>—</v>
      </c>
      <c r="T427" s="44" t="str">
        <f aca="false">IF(ISNUMBER($AF427),INDEX(IDX_SrcGrade,$AF427),"—")</f>
        <v>—</v>
      </c>
      <c r="U427" s="30" t="s">
        <v>751</v>
      </c>
      <c r="V427" s="32" t="n">
        <f aca="false">IF(AND($F427="原始數據",$U427&lt;&gt;"連結 SRC"),1,0)</f>
        <v>0</v>
      </c>
      <c r="W427" s="32" t="n">
        <f aca="false">IF(AND($F427="Analogy",OR($H427="—",$H427="")),1,0)</f>
        <v>0</v>
      </c>
      <c r="X427" s="32" t="n">
        <f aca="false">IF(AND(OR($F427="Analogy",$F427="Assumed"),$G427&lt;&gt;"低",$G427&lt;&gt;"高",NOT(ISNUMBER($K427)),NOT(ISNUMBER($L427)),OR($M427="—",$M427="")),1,0)</f>
        <v>0</v>
      </c>
      <c r="Y427" s="32" t="n">
        <f aca="false">IF(AND(OR($F427="Analogy",$F427="Assumed",$F427="Derived（待改公式）",$F427="Derived（公式）"),OR($N427="—",$N427="",$N427=0)),1,0)</f>
        <v>0</v>
      </c>
      <c r="Z427" s="32" t="n">
        <f aca="false">IF(AND($F427="Decision",OR($J427="—",$J427="")),1,0)</f>
        <v>0</v>
      </c>
      <c r="AA427" s="33" t="n">
        <f aca="false">IF(OR($J427="—",$J427=""),0,IF(COUNTIF(Decisions!$A$5:$A$300,$J427)=0,1,0))</f>
        <v>0</v>
      </c>
      <c r="AB427" s="32" t="n">
        <f aca="false">IF(AND($F427="原始數據",$S427&lt;&gt;"Active"),1,0)</f>
        <v>0</v>
      </c>
      <c r="AC427" s="32" t="n">
        <f aca="false">IF(AND(ISNUMBER($K427),ISNUMBER($L427),ISNUMBER($Q427)),IF(OR($Q427&lt;MIN($K427,$L427),$Q427&gt;MAX($K427,$L427)),1,0),0)</f>
        <v>0</v>
      </c>
      <c r="AD427" s="32" t="n">
        <f aca="false">IF(AND(ISNUMBER($T427),$P427="高"),IF($T427=3,1,0),0)</f>
        <v>0</v>
      </c>
      <c r="AE427" s="32" t="n">
        <f aca="false">IF($S427="不存在",1,0)</f>
        <v>0</v>
      </c>
      <c r="AF427" s="44" t="str">
        <f aca="false">IF(OR($H427="—",$H427=""),"—",MATCH($H427,IDX_SrcID,0))</f>
        <v>—</v>
      </c>
      <c r="AG427" s="32" t="n">
        <f aca="false">IF(AND($P427="高",OR($AD427=1,$X427=1)),1,0)</f>
        <v>0</v>
      </c>
      <c r="AH427" s="32" t="n">
        <f aca="false">IF(AND($P427="高",$AG427=0,OR($F427&lt;&gt;"原始數據",$T427&lt;&gt;1)),1,0)</f>
        <v>0</v>
      </c>
      <c r="AI427" s="44" t="str">
        <f aca="false">IF(AND($P427="高",ISNUMBER($AF427)),INDEX(IDX_SrcDate,$AF427),"—")</f>
        <v>—</v>
      </c>
      <c r="AJ427" s="32" t="n">
        <f aca="false">IF(AND(ISTEXT($AI427),LEN($AI427)=10),IF(ISNUMBER(VALUE(SUBSTITUTE($AI427,"-",""))),VALUE(SUBSTITUTE($AI427,"-","")),0),0)</f>
        <v>0</v>
      </c>
    </row>
    <row r="428" customFormat="false" ht="43.5" hidden="false" customHeight="true" outlineLevel="0" collapsed="false">
      <c r="A428" s="30" t="s">
        <v>5548</v>
      </c>
      <c r="B428" s="239" t="s">
        <v>4525</v>
      </c>
      <c r="C428" s="30" t="s">
        <v>4157</v>
      </c>
      <c r="D428" s="30" t="s">
        <v>5549</v>
      </c>
      <c r="E428" s="6" t="s">
        <v>887</v>
      </c>
      <c r="F428" s="239" t="s">
        <v>5398</v>
      </c>
      <c r="G428" s="239" t="s">
        <v>5287</v>
      </c>
      <c r="H428" s="30" t="s">
        <v>751</v>
      </c>
      <c r="I428" s="6" t="s">
        <v>751</v>
      </c>
      <c r="J428" s="30" t="s">
        <v>751</v>
      </c>
      <c r="K428" s="239"/>
      <c r="L428" s="239"/>
      <c r="M428" s="30" t="s">
        <v>751</v>
      </c>
      <c r="N428" s="20" t="s">
        <v>5550</v>
      </c>
      <c r="O428" s="6" t="s">
        <v>751</v>
      </c>
      <c r="P428" s="30" t="s">
        <v>751</v>
      </c>
      <c r="Q428" s="184" t="s">
        <v>751</v>
      </c>
      <c r="R428" s="30" t="s">
        <v>751</v>
      </c>
      <c r="S428" s="44" t="str">
        <f aca="false">IF(ISNUMBER($AF428),INDEX(IDX_SrcStat,$AF428),"—")</f>
        <v>—</v>
      </c>
      <c r="T428" s="44" t="str">
        <f aca="false">IF(ISNUMBER($AF428),INDEX(IDX_SrcGrade,$AF428),"—")</f>
        <v>—</v>
      </c>
      <c r="U428" s="44" t="s">
        <v>5551</v>
      </c>
      <c r="V428" s="32" t="n">
        <f aca="false">IF(AND($F428="原始數據",$U428&lt;&gt;"連結 SRC"),1,0)</f>
        <v>0</v>
      </c>
      <c r="W428" s="32" t="n">
        <f aca="false">IF(AND($F428="Analogy",OR($H428="—",$H428="")),1,0)</f>
        <v>0</v>
      </c>
      <c r="X428" s="32" t="n">
        <f aca="false">IF(AND(OR($F428="Analogy",$F428="Assumed"),$G428&lt;&gt;"低",$G428&lt;&gt;"高",NOT(ISNUMBER($K428)),NOT(ISNUMBER($L428)),OR($M428="—",$M428="")),1,0)</f>
        <v>0</v>
      </c>
      <c r="Y428" s="32" t="n">
        <f aca="false">IF(AND(OR($F428="Analogy",$F428="Assumed",$F428="Derived（待改公式）",$F428="Derived（公式）"),OR($N428="—",$N428="",$N428=0)),1,0)</f>
        <v>0</v>
      </c>
      <c r="Z428" s="32" t="n">
        <f aca="false">IF(AND($F428="Decision",OR($J428="—",$J428="")),1,0)</f>
        <v>0</v>
      </c>
      <c r="AA428" s="33" t="n">
        <f aca="false">IF(OR($J428="—",$J428=""),0,IF(COUNTIF(Decisions!$A$5:$A$300,$J428)=0,1,0))</f>
        <v>0</v>
      </c>
      <c r="AB428" s="32" t="n">
        <f aca="false">IF(AND($F428="原始數據",$S428&lt;&gt;"Active"),1,0)</f>
        <v>0</v>
      </c>
      <c r="AC428" s="32" t="n">
        <f aca="false">IF(AND(ISNUMBER($K428),ISNUMBER($L428),ISNUMBER($Q428)),IF(OR($Q428&lt;MIN($K428,$L428),$Q428&gt;MAX($K428,$L428)),1,0),0)</f>
        <v>0</v>
      </c>
      <c r="AD428" s="32" t="n">
        <f aca="false">IF(AND(ISNUMBER($T428),$P428="高"),IF($T428=3,1,0),0)</f>
        <v>0</v>
      </c>
      <c r="AE428" s="32" t="n">
        <f aca="false">IF($S428="不存在",1,0)</f>
        <v>0</v>
      </c>
      <c r="AF428" s="44" t="str">
        <f aca="false">IF(OR($H428="—",$H428=""),"—",MATCH($H428,IDX_SrcID,0))</f>
        <v>—</v>
      </c>
      <c r="AG428" s="32" t="n">
        <f aca="false">IF(AND($P428="高",OR($AD428=1,$X428=1)),1,0)</f>
        <v>0</v>
      </c>
      <c r="AH428" s="32" t="n">
        <f aca="false">IF(AND($P428="高",$AG428=0,OR($F428&lt;&gt;"原始數據",$T428&lt;&gt;1)),1,0)</f>
        <v>0</v>
      </c>
      <c r="AI428" s="44" t="str">
        <f aca="false">IF(AND($P428="高",ISNUMBER($AF428)),INDEX(IDX_SrcDate,$AF428),"—")</f>
        <v>—</v>
      </c>
      <c r="AJ428" s="32" t="n">
        <f aca="false">IF(AND(ISTEXT($AI428),LEN($AI428)=10),IF(ISNUMBER(VALUE(SUBSTITUTE($AI428,"-",""))),VALUE(SUBSTITUTE($AI428,"-","")),0),0)</f>
        <v>0</v>
      </c>
    </row>
    <row r="429" customFormat="false" ht="29.25" hidden="false" customHeight="true" outlineLevel="0" collapsed="false">
      <c r="A429" s="30" t="s">
        <v>5552</v>
      </c>
      <c r="B429" s="239" t="s">
        <v>4525</v>
      </c>
      <c r="C429" s="30" t="s">
        <v>4157</v>
      </c>
      <c r="D429" s="30" t="s">
        <v>5553</v>
      </c>
      <c r="E429" s="20" t="s">
        <v>5554</v>
      </c>
      <c r="F429" s="239" t="s">
        <v>5398</v>
      </c>
      <c r="G429" s="239" t="s">
        <v>5287</v>
      </c>
      <c r="H429" s="30" t="s">
        <v>751</v>
      </c>
      <c r="I429" s="6" t="s">
        <v>751</v>
      </c>
      <c r="J429" s="30" t="s">
        <v>751</v>
      </c>
      <c r="K429" s="239"/>
      <c r="L429" s="239"/>
      <c r="M429" s="30" t="s">
        <v>751</v>
      </c>
      <c r="N429" s="20" t="s">
        <v>5555</v>
      </c>
      <c r="O429" s="6" t="s">
        <v>751</v>
      </c>
      <c r="P429" s="30" t="s">
        <v>751</v>
      </c>
      <c r="Q429" s="184" t="s">
        <v>751</v>
      </c>
      <c r="R429" s="30" t="s">
        <v>751</v>
      </c>
      <c r="S429" s="44" t="str">
        <f aca="false">IF(ISNUMBER($AF429),INDEX(IDX_SrcStat,$AF429),"—")</f>
        <v>—</v>
      </c>
      <c r="T429" s="44" t="str">
        <f aca="false">IF(ISNUMBER($AF429),INDEX(IDX_SrcGrade,$AF429),"—")</f>
        <v>—</v>
      </c>
      <c r="U429" s="44" t="s">
        <v>5551</v>
      </c>
      <c r="V429" s="32" t="n">
        <f aca="false">IF(AND($F429="原始數據",$U429&lt;&gt;"連結 SRC"),1,0)</f>
        <v>0</v>
      </c>
      <c r="W429" s="32" t="n">
        <f aca="false">IF(AND($F429="Analogy",OR($H429="—",$H429="")),1,0)</f>
        <v>0</v>
      </c>
      <c r="X429" s="32" t="n">
        <f aca="false">IF(AND(OR($F429="Analogy",$F429="Assumed"),$G429&lt;&gt;"低",$G429&lt;&gt;"高",NOT(ISNUMBER($K429)),NOT(ISNUMBER($L429)),OR($M429="—",$M429="")),1,0)</f>
        <v>0</v>
      </c>
      <c r="Y429" s="32" t="n">
        <f aca="false">IF(AND(OR($F429="Analogy",$F429="Assumed",$F429="Derived（待改公式）",$F429="Derived（公式）"),OR($N429="—",$N429="",$N429=0)),1,0)</f>
        <v>0</v>
      </c>
      <c r="Z429" s="32" t="n">
        <f aca="false">IF(AND($F429="Decision",OR($J429="—",$J429="")),1,0)</f>
        <v>0</v>
      </c>
      <c r="AA429" s="33" t="n">
        <f aca="false">IF(OR($J429="—",$J429=""),0,IF(COUNTIF(Decisions!$A$5:$A$300,$J429)=0,1,0))</f>
        <v>0</v>
      </c>
      <c r="AB429" s="32" t="n">
        <f aca="false">IF(AND($F429="原始數據",$S429&lt;&gt;"Active"),1,0)</f>
        <v>0</v>
      </c>
      <c r="AC429" s="32" t="n">
        <f aca="false">IF(AND(ISNUMBER($K429),ISNUMBER($L429),ISNUMBER($Q429)),IF(OR($Q429&lt;MIN($K429,$L429),$Q429&gt;MAX($K429,$L429)),1,0),0)</f>
        <v>0</v>
      </c>
      <c r="AD429" s="32" t="n">
        <f aca="false">IF(AND(ISNUMBER($T429),$P429="高"),IF($T429=3,1,0),0)</f>
        <v>0</v>
      </c>
      <c r="AE429" s="32" t="n">
        <f aca="false">IF($S429="不存在",1,0)</f>
        <v>0</v>
      </c>
      <c r="AF429" s="44" t="str">
        <f aca="false">IF(OR($H429="—",$H429=""),"—",MATCH($H429,IDX_SrcID,0))</f>
        <v>—</v>
      </c>
      <c r="AG429" s="32" t="n">
        <f aca="false">IF(AND($P429="高",OR($AD429=1,$X429=1)),1,0)</f>
        <v>0</v>
      </c>
      <c r="AH429" s="32" t="n">
        <f aca="false">IF(AND($P429="高",$AG429=0,OR($F429&lt;&gt;"原始數據",$T429&lt;&gt;1)),1,0)</f>
        <v>0</v>
      </c>
      <c r="AI429" s="44" t="str">
        <f aca="false">IF(AND($P429="高",ISNUMBER($AF429)),INDEX(IDX_SrcDate,$AF429),"—")</f>
        <v>—</v>
      </c>
      <c r="AJ429" s="32" t="n">
        <f aca="false">IF(AND(ISTEXT($AI429),LEN($AI429)=10),IF(ISNUMBER(VALUE(SUBSTITUTE($AI429,"-",""))),VALUE(SUBSTITUTE($AI429,"-","")),0),0)</f>
        <v>0</v>
      </c>
    </row>
    <row r="430" customFormat="false" ht="15" hidden="false" customHeight="true" outlineLevel="0" collapsed="false">
      <c r="A430" s="30" t="s">
        <v>5556</v>
      </c>
      <c r="B430" s="239" t="s">
        <v>4525</v>
      </c>
      <c r="C430" s="30" t="s">
        <v>5557</v>
      </c>
      <c r="D430" s="30" t="s">
        <v>5528</v>
      </c>
      <c r="E430" s="20" t="s">
        <v>469</v>
      </c>
      <c r="F430" s="239" t="s">
        <v>5286</v>
      </c>
      <c r="G430" s="239" t="s">
        <v>5287</v>
      </c>
      <c r="H430" s="30" t="s">
        <v>751</v>
      </c>
      <c r="I430" s="6" t="s">
        <v>751</v>
      </c>
      <c r="J430" s="30" t="s">
        <v>751</v>
      </c>
      <c r="K430" s="239"/>
      <c r="L430" s="239"/>
      <c r="M430" s="30" t="s">
        <v>751</v>
      </c>
      <c r="N430" s="20" t="s">
        <v>5529</v>
      </c>
      <c r="O430" s="6" t="s">
        <v>751</v>
      </c>
      <c r="P430" s="30" t="s">
        <v>751</v>
      </c>
      <c r="Q430" s="184" t="s">
        <v>751</v>
      </c>
      <c r="R430" s="30" t="s">
        <v>751</v>
      </c>
      <c r="S430" s="44" t="str">
        <f aca="false">IF(ISNUMBER($AF430),INDEX(IDX_SrcStat,$AF430),"—")</f>
        <v>—</v>
      </c>
      <c r="T430" s="44" t="str">
        <f aca="false">IF(ISNUMBER($AF430),INDEX(IDX_SrcGrade,$AF430),"—")</f>
        <v>—</v>
      </c>
      <c r="U430" s="30" t="s">
        <v>751</v>
      </c>
      <c r="V430" s="32" t="n">
        <f aca="false">IF(AND($F430="原始數據",$U430&lt;&gt;"連結 SRC"),1,0)</f>
        <v>0</v>
      </c>
      <c r="W430" s="32" t="n">
        <f aca="false">IF(AND($F430="Analogy",OR($H430="—",$H430="")),1,0)</f>
        <v>0</v>
      </c>
      <c r="X430" s="32" t="n">
        <f aca="false">IF(AND(OR($F430="Analogy",$F430="Assumed"),$G430&lt;&gt;"低",$G430&lt;&gt;"高",NOT(ISNUMBER($K430)),NOT(ISNUMBER($L430)),OR($M430="—",$M430="")),1,0)</f>
        <v>0</v>
      </c>
      <c r="Y430" s="32" t="n">
        <f aca="false">IF(AND(OR($F430="Analogy",$F430="Assumed",$F430="Derived（待改公式）",$F430="Derived（公式）"),OR($N430="—",$N430="",$N430=0)),1,0)</f>
        <v>0</v>
      </c>
      <c r="Z430" s="32" t="n">
        <f aca="false">IF(AND($F430="Decision",OR($J430="—",$J430="")),1,0)</f>
        <v>0</v>
      </c>
      <c r="AA430" s="33" t="n">
        <f aca="false">IF(OR($J430="—",$J430=""),0,IF(COUNTIF(Decisions!$A$5:$A$300,$J430)=0,1,0))</f>
        <v>0</v>
      </c>
      <c r="AB430" s="32" t="n">
        <f aca="false">IF(AND($F430="原始數據",$S430&lt;&gt;"Active"),1,0)</f>
        <v>0</v>
      </c>
      <c r="AC430" s="32" t="n">
        <f aca="false">IF(AND(ISNUMBER($K430),ISNUMBER($L430),ISNUMBER($Q430)),IF(OR($Q430&lt;MIN($K430,$L430),$Q430&gt;MAX($K430,$L430)),1,0),0)</f>
        <v>0</v>
      </c>
      <c r="AD430" s="32" t="n">
        <f aca="false">IF(AND(ISNUMBER($T430),$P430="高"),IF($T430=3,1,0),0)</f>
        <v>0</v>
      </c>
      <c r="AE430" s="32" t="n">
        <f aca="false">IF($S430="不存在",1,0)</f>
        <v>0</v>
      </c>
      <c r="AF430" s="44" t="str">
        <f aca="false">IF(OR($H430="—",$H430=""),"—",MATCH($H430,IDX_SrcID,0))</f>
        <v>—</v>
      </c>
      <c r="AG430" s="32" t="n">
        <f aca="false">IF(AND($P430="高",OR($AD430=1,$X430=1)),1,0)</f>
        <v>0</v>
      </c>
      <c r="AH430" s="32" t="n">
        <f aca="false">IF(AND($P430="高",$AG430=0,OR($F430&lt;&gt;"原始數據",$T430&lt;&gt;1)),1,0)</f>
        <v>0</v>
      </c>
      <c r="AI430" s="44" t="str">
        <f aca="false">IF(AND($P430="高",ISNUMBER($AF430)),INDEX(IDX_SrcDate,$AF430),"—")</f>
        <v>—</v>
      </c>
      <c r="AJ430" s="32" t="n">
        <f aca="false">IF(AND(ISTEXT($AI430),LEN($AI430)=10),IF(ISNUMBER(VALUE(SUBSTITUTE($AI430,"-",""))),VALUE(SUBSTITUTE($AI430,"-","")),0),0)</f>
        <v>0</v>
      </c>
    </row>
    <row r="431" customFormat="false" ht="15" hidden="false" customHeight="true" outlineLevel="0" collapsed="false">
      <c r="A431" s="30" t="s">
        <v>5558</v>
      </c>
      <c r="B431" s="239" t="s">
        <v>5559</v>
      </c>
      <c r="C431" s="30" t="s">
        <v>5560</v>
      </c>
      <c r="D431" s="30" t="s">
        <v>4836</v>
      </c>
      <c r="E431" s="20" t="s">
        <v>5561</v>
      </c>
      <c r="F431" s="239" t="s">
        <v>348</v>
      </c>
      <c r="G431" s="239" t="s">
        <v>4527</v>
      </c>
      <c r="H431" s="30" t="s">
        <v>5562</v>
      </c>
      <c r="I431" s="20" t="s">
        <v>4562</v>
      </c>
      <c r="J431" s="30" t="s">
        <v>751</v>
      </c>
      <c r="K431" s="239"/>
      <c r="L431" s="239"/>
      <c r="M431" s="30" t="s">
        <v>751</v>
      </c>
      <c r="N431" s="20" t="s">
        <v>4665</v>
      </c>
      <c r="O431" s="6" t="s">
        <v>751</v>
      </c>
      <c r="P431" s="239" t="s">
        <v>1309</v>
      </c>
      <c r="Q431" s="195" t="n">
        <f aca="false">Train_In!C25</f>
        <v>32</v>
      </c>
      <c r="R431" s="184" t="n">
        <f aca="false">SRC_MOD_029</f>
        <v>32</v>
      </c>
      <c r="S431" s="44" t="str">
        <f aca="false">IF(ISNUMBER($AF431),INDEX(IDX_SrcStat,$AF431),"—")</f>
        <v>Active</v>
      </c>
      <c r="T431" s="44" t="n">
        <f aca="false">IF(ISNUMBER($AF431),INDEX(IDX_SrcGrade,$AF431),"—")</f>
        <v>1</v>
      </c>
      <c r="U431" s="44" t="s">
        <v>4564</v>
      </c>
      <c r="V431" s="32" t="n">
        <f aca="false">IF(AND($F431="原始數據",$U431&lt;&gt;"連結 SRC"),1,0)</f>
        <v>0</v>
      </c>
      <c r="W431" s="32" t="n">
        <f aca="false">IF(AND($F431="Analogy",OR($H431="—",$H431="")),1,0)</f>
        <v>0</v>
      </c>
      <c r="X431" s="32" t="n">
        <f aca="false">IF(AND(OR($F431="Analogy",$F431="Assumed"),$G431&lt;&gt;"低",$G431&lt;&gt;"高",NOT(ISNUMBER($K431)),NOT(ISNUMBER($L431)),OR($M431="—",$M431="")),1,0)</f>
        <v>0</v>
      </c>
      <c r="Y431" s="32" t="n">
        <f aca="false">IF(AND(OR($F431="Analogy",$F431="Assumed",$F431="Derived（待改公式）",$F431="Derived（公式）"),OR($N431="—",$N431="",$N431=0)),1,0)</f>
        <v>0</v>
      </c>
      <c r="Z431" s="32" t="n">
        <f aca="false">IF(AND($F431="Decision",OR($J431="—",$J431="")),1,0)</f>
        <v>0</v>
      </c>
      <c r="AA431" s="33" t="n">
        <f aca="false">IF(OR($J431="—",$J431=""),0,IF(COUNTIF(Decisions!$A$5:$A$300,$J431)=0,1,0))</f>
        <v>0</v>
      </c>
      <c r="AB431" s="32" t="n">
        <f aca="false">IF(AND($F431="原始數據",$S431&lt;&gt;"Active"),1,0)</f>
        <v>0</v>
      </c>
      <c r="AC431" s="32" t="n">
        <f aca="false">IF(AND(ISNUMBER($K431),ISNUMBER($L431),ISNUMBER($Q431)),IF(OR($Q431&lt;MIN($K431,$L431),$Q431&gt;MAX($K431,$L431)),1,0),0)</f>
        <v>0</v>
      </c>
      <c r="AD431" s="32" t="n">
        <f aca="false">IF(AND(ISNUMBER($T431),$P431="高"),IF($T431=3,1,0),0)</f>
        <v>0</v>
      </c>
      <c r="AE431" s="32" t="n">
        <f aca="false">IF($S431="不存在",1,0)</f>
        <v>0</v>
      </c>
      <c r="AF431" s="44" t="n">
        <f aca="false">IF(OR($H431="—",$H431=""),"—",MATCH($H431,IDX_SrcID,0))</f>
        <v>212</v>
      </c>
      <c r="AG431" s="32" t="n">
        <f aca="false">IF(AND($P431="高",OR($AD431=1,$X431=1)),1,0)</f>
        <v>0</v>
      </c>
      <c r="AH431" s="32" t="n">
        <f aca="false">IF(AND($P431="高",$AG431=0,OR($F431&lt;&gt;"原始數據",$T431&lt;&gt;1)),1,0)</f>
        <v>0</v>
      </c>
      <c r="AI431" s="44" t="str">
        <f aca="false">IF(AND($P431="高",ISNUMBER($AF431)),INDEX(IDX_SrcDate,$AF431),"—")</f>
        <v>—</v>
      </c>
      <c r="AJ431" s="32" t="n">
        <f aca="false">IF(AND(ISTEXT($AI431),LEN($AI431)=10),IF(ISNUMBER(VALUE(SUBSTITUTE($AI431,"-",""))),VALUE(SUBSTITUTE($AI431,"-","")),0),0)</f>
        <v>0</v>
      </c>
    </row>
    <row r="432" customFormat="false" ht="15" hidden="false" customHeight="true" outlineLevel="0" collapsed="false">
      <c r="A432" s="30" t="s">
        <v>5563</v>
      </c>
      <c r="B432" s="239" t="s">
        <v>5559</v>
      </c>
      <c r="C432" s="30" t="s">
        <v>5560</v>
      </c>
      <c r="D432" s="30" t="s">
        <v>4839</v>
      </c>
      <c r="E432" s="20" t="s">
        <v>5561</v>
      </c>
      <c r="F432" s="239" t="s">
        <v>348</v>
      </c>
      <c r="G432" s="239" t="s">
        <v>4527</v>
      </c>
      <c r="H432" s="30" t="s">
        <v>5564</v>
      </c>
      <c r="I432" s="20" t="s">
        <v>4562</v>
      </c>
      <c r="J432" s="30" t="s">
        <v>751</v>
      </c>
      <c r="K432" s="239"/>
      <c r="L432" s="239"/>
      <c r="M432" s="30" t="s">
        <v>751</v>
      </c>
      <c r="N432" s="20" t="s">
        <v>4665</v>
      </c>
      <c r="O432" s="6" t="s">
        <v>751</v>
      </c>
      <c r="P432" s="239" t="s">
        <v>1309</v>
      </c>
      <c r="Q432" s="195" t="n">
        <f aca="false">Train_In!D25</f>
        <v>33</v>
      </c>
      <c r="R432" s="184" t="n">
        <f aca="false">SRC_MOD_030</f>
        <v>33</v>
      </c>
      <c r="S432" s="44" t="str">
        <f aca="false">IF(ISNUMBER($AF432),INDEX(IDX_SrcStat,$AF432),"—")</f>
        <v>Active</v>
      </c>
      <c r="T432" s="44" t="n">
        <f aca="false">IF(ISNUMBER($AF432),INDEX(IDX_SrcGrade,$AF432),"—")</f>
        <v>1</v>
      </c>
      <c r="U432" s="44" t="s">
        <v>4564</v>
      </c>
      <c r="V432" s="32" t="n">
        <f aca="false">IF(AND($F432="原始數據",$U432&lt;&gt;"連結 SRC"),1,0)</f>
        <v>0</v>
      </c>
      <c r="W432" s="32" t="n">
        <f aca="false">IF(AND($F432="Analogy",OR($H432="—",$H432="")),1,0)</f>
        <v>0</v>
      </c>
      <c r="X432" s="32" t="n">
        <f aca="false">IF(AND(OR($F432="Analogy",$F432="Assumed"),$G432&lt;&gt;"低",$G432&lt;&gt;"高",NOT(ISNUMBER($K432)),NOT(ISNUMBER($L432)),OR($M432="—",$M432="")),1,0)</f>
        <v>0</v>
      </c>
      <c r="Y432" s="32" t="n">
        <f aca="false">IF(AND(OR($F432="Analogy",$F432="Assumed",$F432="Derived（待改公式）",$F432="Derived（公式）"),OR($N432="—",$N432="",$N432=0)),1,0)</f>
        <v>0</v>
      </c>
      <c r="Z432" s="32" t="n">
        <f aca="false">IF(AND($F432="Decision",OR($J432="—",$J432="")),1,0)</f>
        <v>0</v>
      </c>
      <c r="AA432" s="33" t="n">
        <f aca="false">IF(OR($J432="—",$J432=""),0,IF(COUNTIF(Decisions!$A$5:$A$300,$J432)=0,1,0))</f>
        <v>0</v>
      </c>
      <c r="AB432" s="32" t="n">
        <f aca="false">IF(AND($F432="原始數據",$S432&lt;&gt;"Active"),1,0)</f>
        <v>0</v>
      </c>
      <c r="AC432" s="32" t="n">
        <f aca="false">IF(AND(ISNUMBER($K432),ISNUMBER($L432),ISNUMBER($Q432)),IF(OR($Q432&lt;MIN($K432,$L432),$Q432&gt;MAX($K432,$L432)),1,0),0)</f>
        <v>0</v>
      </c>
      <c r="AD432" s="32" t="n">
        <f aca="false">IF(AND(ISNUMBER($T432),$P432="高"),IF($T432=3,1,0),0)</f>
        <v>0</v>
      </c>
      <c r="AE432" s="32" t="n">
        <f aca="false">IF($S432="不存在",1,0)</f>
        <v>0</v>
      </c>
      <c r="AF432" s="44" t="n">
        <f aca="false">IF(OR($H432="—",$H432=""),"—",MATCH($H432,IDX_SrcID,0))</f>
        <v>213</v>
      </c>
      <c r="AG432" s="32" t="n">
        <f aca="false">IF(AND($P432="高",OR($AD432=1,$X432=1)),1,0)</f>
        <v>0</v>
      </c>
      <c r="AH432" s="32" t="n">
        <f aca="false">IF(AND($P432="高",$AG432=0,OR($F432&lt;&gt;"原始數據",$T432&lt;&gt;1)),1,0)</f>
        <v>0</v>
      </c>
      <c r="AI432" s="44" t="str">
        <f aca="false">IF(AND($P432="高",ISNUMBER($AF432)),INDEX(IDX_SrcDate,$AF432),"—")</f>
        <v>—</v>
      </c>
      <c r="AJ432" s="32" t="n">
        <f aca="false">IF(AND(ISTEXT($AI432),LEN($AI432)=10),IF(ISNUMBER(VALUE(SUBSTITUTE($AI432,"-",""))),VALUE(SUBSTITUTE($AI432,"-","")),0),0)</f>
        <v>0</v>
      </c>
    </row>
    <row r="433" customFormat="false" ht="15" hidden="false" customHeight="true" outlineLevel="0" collapsed="false">
      <c r="A433" s="30" t="s">
        <v>5565</v>
      </c>
      <c r="B433" s="239" t="s">
        <v>5559</v>
      </c>
      <c r="C433" s="30" t="s">
        <v>5560</v>
      </c>
      <c r="D433" s="30" t="s">
        <v>4852</v>
      </c>
      <c r="E433" s="20" t="s">
        <v>5566</v>
      </c>
      <c r="F433" s="239" t="s">
        <v>348</v>
      </c>
      <c r="G433" s="239" t="s">
        <v>4527</v>
      </c>
      <c r="H433" s="30" t="s">
        <v>5567</v>
      </c>
      <c r="I433" s="20" t="s">
        <v>4562</v>
      </c>
      <c r="J433" s="30" t="s">
        <v>751</v>
      </c>
      <c r="K433" s="239"/>
      <c r="L433" s="239"/>
      <c r="M433" s="30" t="s">
        <v>751</v>
      </c>
      <c r="N433" s="20" t="s">
        <v>4665</v>
      </c>
      <c r="O433" s="6" t="s">
        <v>751</v>
      </c>
      <c r="P433" s="239" t="s">
        <v>4586</v>
      </c>
      <c r="Q433" s="49" t="n">
        <f aca="false">Train_In!C26</f>
        <v>4096</v>
      </c>
      <c r="R433" s="184" t="n">
        <f aca="false">SRC_MOD_031</f>
        <v>4096</v>
      </c>
      <c r="S433" s="44" t="str">
        <f aca="false">IF(ISNUMBER($AF433),INDEX(IDX_SrcStat,$AF433),"—")</f>
        <v>Active</v>
      </c>
      <c r="T433" s="44" t="n">
        <f aca="false">IF(ISNUMBER($AF433),INDEX(IDX_SrcGrade,$AF433),"—")</f>
        <v>1</v>
      </c>
      <c r="U433" s="44" t="s">
        <v>4564</v>
      </c>
      <c r="V433" s="32" t="n">
        <f aca="false">IF(AND($F433="原始數據",$U433&lt;&gt;"連結 SRC"),1,0)</f>
        <v>0</v>
      </c>
      <c r="W433" s="32" t="n">
        <f aca="false">IF(AND($F433="Analogy",OR($H433="—",$H433="")),1,0)</f>
        <v>0</v>
      </c>
      <c r="X433" s="32" t="n">
        <f aca="false">IF(AND(OR($F433="Analogy",$F433="Assumed"),$G433&lt;&gt;"低",$G433&lt;&gt;"高",NOT(ISNUMBER($K433)),NOT(ISNUMBER($L433)),OR($M433="—",$M433="")),1,0)</f>
        <v>0</v>
      </c>
      <c r="Y433" s="32" t="n">
        <f aca="false">IF(AND(OR($F433="Analogy",$F433="Assumed",$F433="Derived（待改公式）",$F433="Derived（公式）"),OR($N433="—",$N433="",$N433=0)),1,0)</f>
        <v>0</v>
      </c>
      <c r="Z433" s="32" t="n">
        <f aca="false">IF(AND($F433="Decision",OR($J433="—",$J433="")),1,0)</f>
        <v>0</v>
      </c>
      <c r="AA433" s="33" t="n">
        <f aca="false">IF(OR($J433="—",$J433=""),0,IF(COUNTIF(Decisions!$A$5:$A$300,$J433)=0,1,0))</f>
        <v>0</v>
      </c>
      <c r="AB433" s="32" t="n">
        <f aca="false">IF(AND($F433="原始數據",$S433&lt;&gt;"Active"),1,0)</f>
        <v>0</v>
      </c>
      <c r="AC433" s="32" t="n">
        <f aca="false">IF(AND(ISNUMBER($K433),ISNUMBER($L433),ISNUMBER($Q433)),IF(OR($Q433&lt;MIN($K433,$L433),$Q433&gt;MAX($K433,$L433)),1,0),0)</f>
        <v>0</v>
      </c>
      <c r="AD433" s="32" t="n">
        <f aca="false">IF(AND(ISNUMBER($T433),$P433="高"),IF($T433=3,1,0),0)</f>
        <v>0</v>
      </c>
      <c r="AE433" s="32" t="n">
        <f aca="false">IF($S433="不存在",1,0)</f>
        <v>0</v>
      </c>
      <c r="AF433" s="44" t="n">
        <f aca="false">IF(OR($H433="—",$H433=""),"—",MATCH($H433,IDX_SrcID,0))</f>
        <v>214</v>
      </c>
      <c r="AG433" s="32" t="n">
        <f aca="false">IF(AND($P433="高",OR($AD433=1,$X433=1)),1,0)</f>
        <v>0</v>
      </c>
      <c r="AH433" s="32" t="n">
        <f aca="false">IF(AND($P433="高",$AG433=0,OR($F433&lt;&gt;"原始數據",$T433&lt;&gt;1)),1,0)</f>
        <v>0</v>
      </c>
      <c r="AI433" s="44" t="str">
        <f aca="false">IF(AND($P433="高",ISNUMBER($AF433)),INDEX(IDX_SrcDate,$AF433),"—")</f>
        <v>—</v>
      </c>
      <c r="AJ433" s="32" t="n">
        <f aca="false">IF(AND(ISTEXT($AI433),LEN($AI433)=10),IF(ISNUMBER(VALUE(SUBSTITUTE($AI433,"-",""))),VALUE(SUBSTITUTE($AI433,"-","")),0),0)</f>
        <v>0</v>
      </c>
    </row>
    <row r="434" customFormat="false" ht="15" hidden="false" customHeight="true" outlineLevel="0" collapsed="false">
      <c r="A434" s="30" t="s">
        <v>5568</v>
      </c>
      <c r="B434" s="239" t="s">
        <v>5559</v>
      </c>
      <c r="C434" s="30" t="s">
        <v>5560</v>
      </c>
      <c r="D434" s="30" t="s">
        <v>4855</v>
      </c>
      <c r="E434" s="20" t="s">
        <v>5566</v>
      </c>
      <c r="F434" s="239" t="s">
        <v>348</v>
      </c>
      <c r="G434" s="239" t="s">
        <v>4527</v>
      </c>
      <c r="H434" s="30" t="s">
        <v>5567</v>
      </c>
      <c r="I434" s="20" t="s">
        <v>4562</v>
      </c>
      <c r="J434" s="30" t="s">
        <v>751</v>
      </c>
      <c r="K434" s="239"/>
      <c r="L434" s="239"/>
      <c r="M434" s="30" t="s">
        <v>751</v>
      </c>
      <c r="N434" s="20" t="s">
        <v>4665</v>
      </c>
      <c r="O434" s="6" t="s">
        <v>751</v>
      </c>
      <c r="P434" s="239" t="s">
        <v>4586</v>
      </c>
      <c r="Q434" s="49" t="n">
        <f aca="false">Train_In!D26</f>
        <v>4096</v>
      </c>
      <c r="R434" s="184" t="n">
        <f aca="false">SRC_MOD_031</f>
        <v>4096</v>
      </c>
      <c r="S434" s="44" t="str">
        <f aca="false">IF(ISNUMBER($AF434),INDEX(IDX_SrcStat,$AF434),"—")</f>
        <v>Active</v>
      </c>
      <c r="T434" s="44" t="n">
        <f aca="false">IF(ISNUMBER($AF434),INDEX(IDX_SrcGrade,$AF434),"—")</f>
        <v>1</v>
      </c>
      <c r="U434" s="44" t="s">
        <v>4564</v>
      </c>
      <c r="V434" s="32" t="n">
        <f aca="false">IF(AND($F434="原始數據",$U434&lt;&gt;"連結 SRC"),1,0)</f>
        <v>0</v>
      </c>
      <c r="W434" s="32" t="n">
        <f aca="false">IF(AND($F434="Analogy",OR($H434="—",$H434="")),1,0)</f>
        <v>0</v>
      </c>
      <c r="X434" s="32" t="n">
        <f aca="false">IF(AND(OR($F434="Analogy",$F434="Assumed"),$G434&lt;&gt;"低",$G434&lt;&gt;"高",NOT(ISNUMBER($K434)),NOT(ISNUMBER($L434)),OR($M434="—",$M434="")),1,0)</f>
        <v>0</v>
      </c>
      <c r="Y434" s="32" t="n">
        <f aca="false">IF(AND(OR($F434="Analogy",$F434="Assumed",$F434="Derived（待改公式）",$F434="Derived（公式）"),OR($N434="—",$N434="",$N434=0)),1,0)</f>
        <v>0</v>
      </c>
      <c r="Z434" s="32" t="n">
        <f aca="false">IF(AND($F434="Decision",OR($J434="—",$J434="")),1,0)</f>
        <v>0</v>
      </c>
      <c r="AA434" s="33" t="n">
        <f aca="false">IF(OR($J434="—",$J434=""),0,IF(COUNTIF(Decisions!$A$5:$A$300,$J434)=0,1,0))</f>
        <v>0</v>
      </c>
      <c r="AB434" s="32" t="n">
        <f aca="false">IF(AND($F434="原始數據",$S434&lt;&gt;"Active"),1,0)</f>
        <v>0</v>
      </c>
      <c r="AC434" s="32" t="n">
        <f aca="false">IF(AND(ISNUMBER($K434),ISNUMBER($L434),ISNUMBER($Q434)),IF(OR($Q434&lt;MIN($K434,$L434),$Q434&gt;MAX($K434,$L434)),1,0),0)</f>
        <v>0</v>
      </c>
      <c r="AD434" s="32" t="n">
        <f aca="false">IF(AND(ISNUMBER($T434),$P434="高"),IF($T434=3,1,0),0)</f>
        <v>0</v>
      </c>
      <c r="AE434" s="32" t="n">
        <f aca="false">IF($S434="不存在",1,0)</f>
        <v>0</v>
      </c>
      <c r="AF434" s="44" t="n">
        <f aca="false">IF(OR($H434="—",$H434=""),"—",MATCH($H434,IDX_SrcID,0))</f>
        <v>214</v>
      </c>
      <c r="AG434" s="32" t="n">
        <f aca="false">IF(AND($P434="高",OR($AD434=1,$X434=1)),1,0)</f>
        <v>0</v>
      </c>
      <c r="AH434" s="32" t="n">
        <f aca="false">IF(AND($P434="高",$AG434=0,OR($F434&lt;&gt;"原始數據",$T434&lt;&gt;1)),1,0)</f>
        <v>0</v>
      </c>
      <c r="AI434" s="44" t="str">
        <f aca="false">IF(AND($P434="高",ISNUMBER($AF434)),INDEX(IDX_SrcDate,$AF434),"—")</f>
        <v>—</v>
      </c>
      <c r="AJ434" s="32" t="n">
        <f aca="false">IF(AND(ISTEXT($AI434),LEN($AI434)=10),IF(ISNUMBER(VALUE(SUBSTITUTE($AI434,"-",""))),VALUE(SUBSTITUTE($AI434,"-","")),0),0)</f>
        <v>0</v>
      </c>
    </row>
    <row r="435" customFormat="false" ht="15" hidden="false" customHeight="true" outlineLevel="0" collapsed="false">
      <c r="A435" s="30" t="s">
        <v>5569</v>
      </c>
      <c r="B435" s="239" t="s">
        <v>5559</v>
      </c>
      <c r="C435" s="30" t="s">
        <v>5560</v>
      </c>
      <c r="D435" s="30" t="s">
        <v>4997</v>
      </c>
      <c r="E435" s="6" t="s">
        <v>1128</v>
      </c>
      <c r="F435" s="239" t="s">
        <v>348</v>
      </c>
      <c r="G435" s="239" t="s">
        <v>4527</v>
      </c>
      <c r="H435" s="30" t="s">
        <v>5570</v>
      </c>
      <c r="I435" s="20" t="s">
        <v>4562</v>
      </c>
      <c r="J435" s="30" t="s">
        <v>751</v>
      </c>
      <c r="K435" s="239"/>
      <c r="L435" s="239"/>
      <c r="M435" s="30" t="s">
        <v>751</v>
      </c>
      <c r="N435" s="20" t="s">
        <v>4665</v>
      </c>
      <c r="O435" s="6" t="s">
        <v>751</v>
      </c>
      <c r="P435" s="239" t="s">
        <v>4530</v>
      </c>
      <c r="Q435" s="195" t="n">
        <f aca="false">Train_In!C41</f>
        <v>14.8</v>
      </c>
      <c r="R435" s="184" t="n">
        <f aca="false">SRC_MOD_039</f>
        <v>14.8</v>
      </c>
      <c r="S435" s="44" t="str">
        <f aca="false">IF(ISNUMBER($AF435),INDEX(IDX_SrcStat,$AF435),"—")</f>
        <v>Active</v>
      </c>
      <c r="T435" s="44" t="n">
        <f aca="false">IF(ISNUMBER($AF435),INDEX(IDX_SrcGrade,$AF435),"—")</f>
        <v>3</v>
      </c>
      <c r="U435" s="44" t="s">
        <v>4564</v>
      </c>
      <c r="V435" s="32" t="n">
        <f aca="false">IF(AND($F435="原始數據",$U435&lt;&gt;"連結 SRC"),1,0)</f>
        <v>0</v>
      </c>
      <c r="W435" s="32" t="n">
        <f aca="false">IF(AND($F435="Analogy",OR($H435="—",$H435="")),1,0)</f>
        <v>0</v>
      </c>
      <c r="X435" s="32" t="n">
        <f aca="false">IF(AND(OR($F435="Analogy",$F435="Assumed"),$G435&lt;&gt;"低",$G435&lt;&gt;"高",NOT(ISNUMBER($K435)),NOT(ISNUMBER($L435)),OR($M435="—",$M435="")),1,0)</f>
        <v>0</v>
      </c>
      <c r="Y435" s="32" t="n">
        <f aca="false">IF(AND(OR($F435="Analogy",$F435="Assumed",$F435="Derived（待改公式）",$F435="Derived（公式）"),OR($N435="—",$N435="",$N435=0)),1,0)</f>
        <v>0</v>
      </c>
      <c r="Z435" s="32" t="n">
        <f aca="false">IF(AND($F435="Decision",OR($J435="—",$J435="")),1,0)</f>
        <v>0</v>
      </c>
      <c r="AA435" s="33" t="n">
        <f aca="false">IF(OR($J435="—",$J435=""),0,IF(COUNTIF(Decisions!$A$5:$A$300,$J435)=0,1,0))</f>
        <v>0</v>
      </c>
      <c r="AB435" s="32" t="n">
        <f aca="false">IF(AND($F435="原始數據",$S435&lt;&gt;"Active"),1,0)</f>
        <v>0</v>
      </c>
      <c r="AC435" s="32" t="n">
        <f aca="false">IF(AND(ISNUMBER($K435),ISNUMBER($L435),ISNUMBER($Q435)),IF(OR($Q435&lt;MIN($K435,$L435),$Q435&gt;MAX($K435,$L435)),1,0),0)</f>
        <v>0</v>
      </c>
      <c r="AD435" s="32" t="n">
        <f aca="false">IF(AND(ISNUMBER($T435),$P435="高"),IF($T435=3,1,0),0)</f>
        <v>0</v>
      </c>
      <c r="AE435" s="32" t="n">
        <f aca="false">IF($S435="不存在",1,0)</f>
        <v>0</v>
      </c>
      <c r="AF435" s="44" t="n">
        <f aca="false">IF(OR($H435="—",$H435=""),"—",MATCH($H435,IDX_SrcID,0))</f>
        <v>222</v>
      </c>
      <c r="AG435" s="32" t="n">
        <f aca="false">IF(AND($P435="高",OR($AD435=1,$X435=1)),1,0)</f>
        <v>0</v>
      </c>
      <c r="AH435" s="32" t="n">
        <f aca="false">IF(AND($P435="高",$AG435=0,OR($F435&lt;&gt;"原始數據",$T435&lt;&gt;1)),1,0)</f>
        <v>0</v>
      </c>
      <c r="AI435" s="44" t="str">
        <f aca="false">IF(AND($P435="高",ISNUMBER($AF435)),INDEX(IDX_SrcDate,$AF435),"—")</f>
        <v>—</v>
      </c>
      <c r="AJ435" s="32" t="n">
        <f aca="false">IF(AND(ISTEXT($AI435),LEN($AI435)=10),IF(ISNUMBER(VALUE(SUBSTITUTE($AI435,"-",""))),VALUE(SUBSTITUTE($AI435,"-","")),0),0)</f>
        <v>0</v>
      </c>
    </row>
    <row r="436" customFormat="false" ht="29.25" hidden="false" customHeight="true" outlineLevel="0" collapsed="false">
      <c r="A436" s="30" t="s">
        <v>5571</v>
      </c>
      <c r="B436" s="239" t="s">
        <v>5559</v>
      </c>
      <c r="C436" s="30" t="s">
        <v>5560</v>
      </c>
      <c r="D436" s="30" t="s">
        <v>5572</v>
      </c>
      <c r="E436" s="6" t="s">
        <v>1130</v>
      </c>
      <c r="F436" s="239" t="s">
        <v>348</v>
      </c>
      <c r="G436" s="239" t="s">
        <v>4527</v>
      </c>
      <c r="H436" s="30" t="s">
        <v>5573</v>
      </c>
      <c r="I436" s="20" t="s">
        <v>4562</v>
      </c>
      <c r="J436" s="30" t="s">
        <v>751</v>
      </c>
      <c r="K436" s="239"/>
      <c r="L436" s="239"/>
      <c r="M436" s="30" t="s">
        <v>751</v>
      </c>
      <c r="N436" s="20" t="s">
        <v>4665</v>
      </c>
      <c r="O436" s="6" t="s">
        <v>751</v>
      </c>
      <c r="P436" s="239" t="s">
        <v>4530</v>
      </c>
      <c r="Q436" s="46" t="n">
        <f aca="false">Train_In!C42</f>
        <v>2.664</v>
      </c>
      <c r="R436" s="184" t="n">
        <f aca="false">SRC_MOD_040</f>
        <v>2.664</v>
      </c>
      <c r="S436" s="44" t="str">
        <f aca="false">IF(ISNUMBER($AF436),INDEX(IDX_SrcStat,$AF436),"—")</f>
        <v>Active</v>
      </c>
      <c r="T436" s="44" t="n">
        <f aca="false">IF(ISNUMBER($AF436),INDEX(IDX_SrcGrade,$AF436),"—")</f>
        <v>3</v>
      </c>
      <c r="U436" s="44" t="s">
        <v>4564</v>
      </c>
      <c r="V436" s="32" t="n">
        <f aca="false">IF(AND($F436="原始數據",$U436&lt;&gt;"連結 SRC"),1,0)</f>
        <v>0</v>
      </c>
      <c r="W436" s="32" t="n">
        <f aca="false">IF(AND($F436="Analogy",OR($H436="—",$H436="")),1,0)</f>
        <v>0</v>
      </c>
      <c r="X436" s="32" t="n">
        <f aca="false">IF(AND(OR($F436="Analogy",$F436="Assumed"),$G436&lt;&gt;"低",$G436&lt;&gt;"高",NOT(ISNUMBER($K436)),NOT(ISNUMBER($L436)),OR($M436="—",$M436="")),1,0)</f>
        <v>0</v>
      </c>
      <c r="Y436" s="32" t="n">
        <f aca="false">IF(AND(OR($F436="Analogy",$F436="Assumed",$F436="Derived（待改公式）",$F436="Derived（公式）"),OR($N436="—",$N436="",$N436=0)),1,0)</f>
        <v>0</v>
      </c>
      <c r="Z436" s="32" t="n">
        <f aca="false">IF(AND($F436="Decision",OR($J436="—",$J436="")),1,0)</f>
        <v>0</v>
      </c>
      <c r="AA436" s="33" t="n">
        <f aca="false">IF(OR($J436="—",$J436=""),0,IF(COUNTIF(Decisions!$A$5:$A$300,$J436)=0,1,0))</f>
        <v>0</v>
      </c>
      <c r="AB436" s="32" t="n">
        <f aca="false">IF(AND($F436="原始數據",$S436&lt;&gt;"Active"),1,0)</f>
        <v>0</v>
      </c>
      <c r="AC436" s="32" t="n">
        <f aca="false">IF(AND(ISNUMBER($K436),ISNUMBER($L436),ISNUMBER($Q436)),IF(OR($Q436&lt;MIN($K436,$L436),$Q436&gt;MAX($K436,$L436)),1,0),0)</f>
        <v>0</v>
      </c>
      <c r="AD436" s="32" t="n">
        <f aca="false">IF(AND(ISNUMBER($T436),$P436="高"),IF($T436=3,1,0),0)</f>
        <v>0</v>
      </c>
      <c r="AE436" s="32" t="n">
        <f aca="false">IF($S436="不存在",1,0)</f>
        <v>0</v>
      </c>
      <c r="AF436" s="44" t="n">
        <f aca="false">IF(OR($H436="—",$H436=""),"—",MATCH($H436,IDX_SrcID,0))</f>
        <v>223</v>
      </c>
      <c r="AG436" s="32" t="n">
        <f aca="false">IF(AND($P436="高",OR($AD436=1,$X436=1)),1,0)</f>
        <v>0</v>
      </c>
      <c r="AH436" s="32" t="n">
        <f aca="false">IF(AND($P436="高",$AG436=0,OR($F436&lt;&gt;"原始數據",$T436&lt;&gt;1)),1,0)</f>
        <v>0</v>
      </c>
      <c r="AI436" s="44" t="str">
        <f aca="false">IF(AND($P436="高",ISNUMBER($AF436)),INDEX(IDX_SrcDate,$AF436),"—")</f>
        <v>—</v>
      </c>
      <c r="AJ436" s="32" t="n">
        <f aca="false">IF(AND(ISTEXT($AI436),LEN($AI436)=10),IF(ISNUMBER(VALUE(SUBSTITUTE($AI436,"-",""))),VALUE(SUBSTITUTE($AI436,"-","")),0),0)</f>
        <v>0</v>
      </c>
    </row>
    <row r="437" customFormat="false" ht="15" hidden="false" customHeight="true" outlineLevel="0" collapsed="false">
      <c r="A437" s="30" t="s">
        <v>5574</v>
      </c>
      <c r="B437" s="239" t="s">
        <v>5559</v>
      </c>
      <c r="C437" s="30" t="s">
        <v>5560</v>
      </c>
      <c r="D437" s="30" t="s">
        <v>5575</v>
      </c>
      <c r="E437" s="6" t="s">
        <v>1133</v>
      </c>
      <c r="F437" s="239" t="s">
        <v>348</v>
      </c>
      <c r="G437" s="239" t="s">
        <v>4527</v>
      </c>
      <c r="H437" s="30" t="s">
        <v>5576</v>
      </c>
      <c r="I437" s="20" t="s">
        <v>4562</v>
      </c>
      <c r="J437" s="30" t="s">
        <v>751</v>
      </c>
      <c r="K437" s="239"/>
      <c r="L437" s="239"/>
      <c r="M437" s="30" t="s">
        <v>751</v>
      </c>
      <c r="N437" s="20" t="s">
        <v>4665</v>
      </c>
      <c r="O437" s="6" t="s">
        <v>751</v>
      </c>
      <c r="P437" s="239" t="s">
        <v>4530</v>
      </c>
      <c r="Q437" s="49" t="n">
        <f aca="false">Train_In!C43</f>
        <v>4096</v>
      </c>
      <c r="R437" s="184" t="n">
        <f aca="false">SRC_MOD_042</f>
        <v>4096</v>
      </c>
      <c r="S437" s="44" t="str">
        <f aca="false">IF(ISNUMBER($AF437),INDEX(IDX_SrcStat,$AF437),"—")</f>
        <v>Active</v>
      </c>
      <c r="T437" s="44" t="n">
        <f aca="false">IF(ISNUMBER($AF437),INDEX(IDX_SrcGrade,$AF437),"—")</f>
        <v>3</v>
      </c>
      <c r="U437" s="44" t="s">
        <v>4564</v>
      </c>
      <c r="V437" s="32" t="n">
        <f aca="false">IF(AND($F437="原始數據",$U437&lt;&gt;"連結 SRC"),1,0)</f>
        <v>0</v>
      </c>
      <c r="W437" s="32" t="n">
        <f aca="false">IF(AND($F437="Analogy",OR($H437="—",$H437="")),1,0)</f>
        <v>0</v>
      </c>
      <c r="X437" s="32" t="n">
        <f aca="false">IF(AND(OR($F437="Analogy",$F437="Assumed"),$G437&lt;&gt;"低",$G437&lt;&gt;"高",NOT(ISNUMBER($K437)),NOT(ISNUMBER($L437)),OR($M437="—",$M437="")),1,0)</f>
        <v>0</v>
      </c>
      <c r="Y437" s="32" t="n">
        <f aca="false">IF(AND(OR($F437="Analogy",$F437="Assumed",$F437="Derived（待改公式）",$F437="Derived（公式）"),OR($N437="—",$N437="",$N437=0)),1,0)</f>
        <v>0</v>
      </c>
      <c r="Z437" s="32" t="n">
        <f aca="false">IF(AND($F437="Decision",OR($J437="—",$J437="")),1,0)</f>
        <v>0</v>
      </c>
      <c r="AA437" s="33" t="n">
        <f aca="false">IF(OR($J437="—",$J437=""),0,IF(COUNTIF(Decisions!$A$5:$A$300,$J437)=0,1,0))</f>
        <v>0</v>
      </c>
      <c r="AB437" s="32" t="n">
        <f aca="false">IF(AND($F437="原始數據",$S437&lt;&gt;"Active"),1,0)</f>
        <v>0</v>
      </c>
      <c r="AC437" s="32" t="n">
        <f aca="false">IF(AND(ISNUMBER($K437),ISNUMBER($L437),ISNUMBER($Q437)),IF(OR($Q437&lt;MIN($K437,$L437),$Q437&gt;MAX($K437,$L437)),1,0),0)</f>
        <v>0</v>
      </c>
      <c r="AD437" s="32" t="n">
        <f aca="false">IF(AND(ISNUMBER($T437),$P437="高"),IF($T437=3,1,0),0)</f>
        <v>0</v>
      </c>
      <c r="AE437" s="32" t="n">
        <f aca="false">IF($S437="不存在",1,0)</f>
        <v>0</v>
      </c>
      <c r="AF437" s="44" t="n">
        <f aca="false">IF(OR($H437="—",$H437=""),"—",MATCH($H437,IDX_SrcID,0))</f>
        <v>225</v>
      </c>
      <c r="AG437" s="32" t="n">
        <f aca="false">IF(AND($P437="高",OR($AD437=1,$X437=1)),1,0)</f>
        <v>0</v>
      </c>
      <c r="AH437" s="32" t="n">
        <f aca="false">IF(AND($P437="高",$AG437=0,OR($F437&lt;&gt;"原始數據",$T437&lt;&gt;1)),1,0)</f>
        <v>0</v>
      </c>
      <c r="AI437" s="44" t="str">
        <f aca="false">IF(AND($P437="高",ISNUMBER($AF437)),INDEX(IDX_SrcDate,$AF437),"—")</f>
        <v>—</v>
      </c>
      <c r="AJ437" s="32" t="n">
        <f aca="false">IF(AND(ISTEXT($AI437),LEN($AI437)=10),IF(ISNUMBER(VALUE(SUBSTITUTE($AI437,"-",""))),VALUE(SUBSTITUTE($AI437,"-","")),0),0)</f>
        <v>0</v>
      </c>
    </row>
    <row r="438" customFormat="false" ht="15" hidden="false" customHeight="true" outlineLevel="0" collapsed="false">
      <c r="A438" s="30" t="s">
        <v>5577</v>
      </c>
      <c r="B438" s="239" t="s">
        <v>5559</v>
      </c>
      <c r="C438" s="30" t="s">
        <v>5560</v>
      </c>
      <c r="D438" s="30" t="s">
        <v>5578</v>
      </c>
      <c r="E438" s="6" t="s">
        <v>1137</v>
      </c>
      <c r="F438" s="239" t="s">
        <v>348</v>
      </c>
      <c r="G438" s="239" t="s">
        <v>4527</v>
      </c>
      <c r="H438" s="30" t="s">
        <v>3308</v>
      </c>
      <c r="I438" s="20" t="s">
        <v>4562</v>
      </c>
      <c r="J438" s="30" t="s">
        <v>751</v>
      </c>
      <c r="K438" s="239"/>
      <c r="L438" s="239"/>
      <c r="M438" s="30" t="s">
        <v>751</v>
      </c>
      <c r="N438" s="20" t="s">
        <v>4665</v>
      </c>
      <c r="O438" s="6" t="s">
        <v>751</v>
      </c>
      <c r="P438" s="239" t="s">
        <v>4530</v>
      </c>
      <c r="Q438" s="199" t="n">
        <f aca="false">Train_In!C45</f>
        <v>1</v>
      </c>
      <c r="R438" s="184" t="n">
        <f aca="false">SRC_MOD_036</f>
        <v>1</v>
      </c>
      <c r="S438" s="44" t="str">
        <f aca="false">IF(ISNUMBER($AF438),INDEX(IDX_SrcStat,$AF438),"—")</f>
        <v>Active</v>
      </c>
      <c r="T438" s="44" t="n">
        <f aca="false">IF(ISNUMBER($AF438),INDEX(IDX_SrcGrade,$AF438),"—")</f>
        <v>1</v>
      </c>
      <c r="U438" s="44" t="s">
        <v>4564</v>
      </c>
      <c r="V438" s="32" t="n">
        <f aca="false">IF(AND($F438="原始數據",$U438&lt;&gt;"連結 SRC"),1,0)</f>
        <v>0</v>
      </c>
      <c r="W438" s="32" t="n">
        <f aca="false">IF(AND($F438="Analogy",OR($H438="—",$H438="")),1,0)</f>
        <v>0</v>
      </c>
      <c r="X438" s="32" t="n">
        <f aca="false">IF(AND(OR($F438="Analogy",$F438="Assumed"),$G438&lt;&gt;"低",$G438&lt;&gt;"高",NOT(ISNUMBER($K438)),NOT(ISNUMBER($L438)),OR($M438="—",$M438="")),1,0)</f>
        <v>0</v>
      </c>
      <c r="Y438" s="32" t="n">
        <f aca="false">IF(AND(OR($F438="Analogy",$F438="Assumed",$F438="Derived（待改公式）",$F438="Derived（公式）"),OR($N438="—",$N438="",$N438=0)),1,0)</f>
        <v>0</v>
      </c>
      <c r="Z438" s="32" t="n">
        <f aca="false">IF(AND($F438="Decision",OR($J438="—",$J438="")),1,0)</f>
        <v>0</v>
      </c>
      <c r="AA438" s="33" t="n">
        <f aca="false">IF(OR($J438="—",$J438=""),0,IF(COUNTIF(Decisions!$A$5:$A$300,$J438)=0,1,0))</f>
        <v>0</v>
      </c>
      <c r="AB438" s="32" t="n">
        <f aca="false">IF(AND($F438="原始數據",$S438&lt;&gt;"Active"),1,0)</f>
        <v>0</v>
      </c>
      <c r="AC438" s="32" t="n">
        <f aca="false">IF(AND(ISNUMBER($K438),ISNUMBER($L438),ISNUMBER($Q438)),IF(OR($Q438&lt;MIN($K438,$L438),$Q438&gt;MAX($K438,$L438)),1,0),0)</f>
        <v>0</v>
      </c>
      <c r="AD438" s="32" t="n">
        <f aca="false">IF(AND(ISNUMBER($T438),$P438="高"),IF($T438=3,1,0),0)</f>
        <v>0</v>
      </c>
      <c r="AE438" s="32" t="n">
        <f aca="false">IF($S438="不存在",1,0)</f>
        <v>0</v>
      </c>
      <c r="AF438" s="44" t="n">
        <f aca="false">IF(OR($H438="—",$H438=""),"—",MATCH($H438,IDX_SrcID,0))</f>
        <v>219</v>
      </c>
      <c r="AG438" s="32" t="n">
        <f aca="false">IF(AND($P438="高",OR($AD438=1,$X438=1)),1,0)</f>
        <v>0</v>
      </c>
      <c r="AH438" s="32" t="n">
        <f aca="false">IF(AND($P438="高",$AG438=0,OR($F438&lt;&gt;"原始數據",$T438&lt;&gt;1)),1,0)</f>
        <v>0</v>
      </c>
      <c r="AI438" s="44" t="str">
        <f aca="false">IF(AND($P438="高",ISNUMBER($AF438)),INDEX(IDX_SrcDate,$AF438),"—")</f>
        <v>—</v>
      </c>
      <c r="AJ438" s="32" t="n">
        <f aca="false">IF(AND(ISTEXT($AI438),LEN($AI438)=10),IF(ISNUMBER(VALUE(SUBSTITUTE($AI438,"-",""))),VALUE(SUBSTITUTE($AI438,"-","")),0),0)</f>
        <v>0</v>
      </c>
    </row>
    <row r="439" customFormat="false" ht="29.25" hidden="false" customHeight="true" outlineLevel="0" collapsed="false">
      <c r="A439" s="30" t="s">
        <v>5579</v>
      </c>
      <c r="B439" s="239" t="s">
        <v>5559</v>
      </c>
      <c r="C439" s="30" t="s">
        <v>24</v>
      </c>
      <c r="D439" s="30" t="s">
        <v>5580</v>
      </c>
      <c r="E439" s="6" t="s">
        <v>798</v>
      </c>
      <c r="F439" s="239" t="s">
        <v>348</v>
      </c>
      <c r="G439" s="239" t="s">
        <v>4527</v>
      </c>
      <c r="H439" s="30" t="s">
        <v>5581</v>
      </c>
      <c r="I439" s="20" t="s">
        <v>5582</v>
      </c>
      <c r="J439" s="30" t="s">
        <v>751</v>
      </c>
      <c r="K439" s="239"/>
      <c r="L439" s="239"/>
      <c r="M439" s="30" t="s">
        <v>751</v>
      </c>
      <c r="N439" s="6" t="s">
        <v>5583</v>
      </c>
      <c r="O439" s="6" t="s">
        <v>751</v>
      </c>
      <c r="P439" s="239" t="s">
        <v>4530</v>
      </c>
      <c r="Q439" s="33" t="n">
        <f aca="false">Tech_Registry!J14</f>
        <v>4</v>
      </c>
      <c r="R439" s="184" t="n">
        <f aca="false">SRC_MOD_043</f>
        <v>1</v>
      </c>
      <c r="S439" s="44" t="str">
        <f aca="false">IF(ISNUMBER($AF439),INDEX(IDX_SrcStat,$AF439),"—")</f>
        <v>Active</v>
      </c>
      <c r="T439" s="44" t="n">
        <f aca="false">IF(ISNUMBER($AF439),INDEX(IDX_SrcGrade,$AF439),"—")</f>
        <v>1</v>
      </c>
      <c r="U439" s="44" t="s">
        <v>4564</v>
      </c>
      <c r="V439" s="32" t="n">
        <f aca="false">IF(AND($F439="原始數據",$U439&lt;&gt;"連結 SRC"),1,0)</f>
        <v>0</v>
      </c>
      <c r="W439" s="32" t="n">
        <f aca="false">IF(AND($F439="Analogy",OR($H439="—",$H439="")),1,0)</f>
        <v>0</v>
      </c>
      <c r="X439" s="32" t="n">
        <f aca="false">IF(AND(OR($F439="Analogy",$F439="Assumed"),$G439&lt;&gt;"低",$G439&lt;&gt;"高",NOT(ISNUMBER($K439)),NOT(ISNUMBER($L439)),OR($M439="—",$M439="")),1,0)</f>
        <v>0</v>
      </c>
      <c r="Y439" s="32" t="n">
        <f aca="false">IF(AND(OR($F439="Analogy",$F439="Assumed",$F439="Derived（待改公式）",$F439="Derived（公式）"),OR($N439="—",$N439="",$N439=0)),1,0)</f>
        <v>0</v>
      </c>
      <c r="Z439" s="32" t="n">
        <f aca="false">IF(AND($F439="Decision",OR($J439="—",$J439="")),1,0)</f>
        <v>0</v>
      </c>
      <c r="AA439" s="33" t="n">
        <f aca="false">IF(OR($J439="—",$J439=""),0,IF(COUNTIF(Decisions!$A$5:$A$300,$J439)=0,1,0))</f>
        <v>0</v>
      </c>
      <c r="AB439" s="32" t="n">
        <f aca="false">IF(AND($F439="原始數據",$S439&lt;&gt;"Active"),1,0)</f>
        <v>0</v>
      </c>
      <c r="AC439" s="32" t="n">
        <f aca="false">IF(AND(ISNUMBER($K439),ISNUMBER($L439),ISNUMBER($Q439)),IF(OR($Q439&lt;MIN($K439,$L439),$Q439&gt;MAX($K439,$L439)),1,0),0)</f>
        <v>0</v>
      </c>
      <c r="AD439" s="32" t="n">
        <f aca="false">IF(AND(ISNUMBER($T439),$P439="高"),IF($T439=3,1,0),0)</f>
        <v>0</v>
      </c>
      <c r="AE439" s="32" t="n">
        <f aca="false">IF($S439="不存在",1,0)</f>
        <v>0</v>
      </c>
      <c r="AF439" s="44" t="n">
        <f aca="false">IF(OR($H439="—",$H439=""),"—",MATCH($H439,IDX_SrcID,0))</f>
        <v>226</v>
      </c>
      <c r="AG439" s="32" t="n">
        <f aca="false">IF(AND($P439="高",OR($AD439=1,$X439=1)),1,0)</f>
        <v>0</v>
      </c>
      <c r="AH439" s="32" t="n">
        <f aca="false">IF(AND($P439="高",$AG439=0,OR($F439&lt;&gt;"原始數據",$T439&lt;&gt;1)),1,0)</f>
        <v>0</v>
      </c>
      <c r="AI439" s="44" t="str">
        <f aca="false">IF(AND($P439="高",ISNUMBER($AF439)),INDEX(IDX_SrcDate,$AF439),"—")</f>
        <v>—</v>
      </c>
      <c r="AJ439" s="32" t="n">
        <f aca="false">IF(AND(ISTEXT($AI439),LEN($AI439)=10),IF(ISNUMBER(VALUE(SUBSTITUTE($AI439,"-",""))),VALUE(SUBSTITUTE($AI439,"-","")),0),0)</f>
        <v>0</v>
      </c>
    </row>
    <row r="440" customFormat="false" ht="43.5" hidden="false" customHeight="true" outlineLevel="0" collapsed="false">
      <c r="A440" s="30" t="s">
        <v>5584</v>
      </c>
      <c r="B440" s="239" t="s">
        <v>4525</v>
      </c>
      <c r="C440" s="30" t="s">
        <v>5012</v>
      </c>
      <c r="D440" s="30" t="s">
        <v>4932</v>
      </c>
      <c r="E440" s="20" t="s">
        <v>5585</v>
      </c>
      <c r="F440" s="30" t="s">
        <v>114</v>
      </c>
      <c r="G440" s="239" t="s">
        <v>4527</v>
      </c>
      <c r="H440" s="30" t="s">
        <v>751</v>
      </c>
      <c r="I440" s="6" t="s">
        <v>751</v>
      </c>
      <c r="J440" s="30" t="s">
        <v>751</v>
      </c>
      <c r="K440" s="239"/>
      <c r="L440" s="239"/>
      <c r="M440" s="239" t="s">
        <v>4352</v>
      </c>
      <c r="N440" s="20" t="s">
        <v>5586</v>
      </c>
      <c r="O440" s="6" t="s">
        <v>751</v>
      </c>
      <c r="P440" s="239" t="s">
        <v>4530</v>
      </c>
      <c r="Q440" s="49" t="n">
        <f aca="false">Arch!C32</f>
        <v>128000</v>
      </c>
      <c r="R440" s="30" t="s">
        <v>751</v>
      </c>
      <c r="S440" s="44" t="str">
        <f aca="false">IF(ISNUMBER($AF440),INDEX(IDX_SrcStat,$AF440),"—")</f>
        <v>—</v>
      </c>
      <c r="T440" s="44" t="str">
        <f aca="false">IF(ISNUMBER($AF440),INDEX(IDX_SrcGrade,$AF440),"—")</f>
        <v>—</v>
      </c>
      <c r="U440" s="44" t="s">
        <v>4531</v>
      </c>
      <c r="V440" s="32" t="n">
        <f aca="false">IF(AND($F440="原始數據",$U440&lt;&gt;"連結 SRC"),1,0)</f>
        <v>0</v>
      </c>
      <c r="W440" s="32" t="n">
        <f aca="false">IF(AND($F440="Analogy",OR($H440="—",$H440="")),1,0)</f>
        <v>0</v>
      </c>
      <c r="X440" s="32" t="n">
        <f aca="false">IF(AND(OR($F440="Analogy",$F440="Assumed"),$G440&lt;&gt;"低",$G440&lt;&gt;"高",NOT(ISNUMBER($K440)),NOT(ISNUMBER($L440)),OR($M440="—",$M440="")),1,0)</f>
        <v>0</v>
      </c>
      <c r="Y440" s="32" t="n">
        <f aca="false">IF(AND(OR($F440="Analogy",$F440="Assumed",$F440="Derived（待改公式）",$F440="Derived（公式）"),OR($N440="—",$N440="",$N440=0)),1,0)</f>
        <v>0</v>
      </c>
      <c r="Z440" s="32" t="n">
        <f aca="false">IF(AND($F440="Decision",OR($J440="—",$J440="")),1,0)</f>
        <v>0</v>
      </c>
      <c r="AA440" s="33" t="n">
        <f aca="false">IF(OR($J440="—",$J440=""),0,IF(COUNTIF(Decisions!$A$5:$A$300,$J440)=0,1,0))</f>
        <v>0</v>
      </c>
      <c r="AB440" s="32" t="n">
        <f aca="false">IF(AND($F440="原始數據",$S440&lt;&gt;"Active"),1,0)</f>
        <v>0</v>
      </c>
      <c r="AC440" s="32" t="n">
        <f aca="false">IF(AND(ISNUMBER($K440),ISNUMBER($L440),ISNUMBER($Q440)),IF(OR($Q440&lt;MIN($K440,$L440),$Q440&gt;MAX($K440,$L440)),1,0),0)</f>
        <v>0</v>
      </c>
      <c r="AD440" s="32" t="n">
        <f aca="false">IF(AND(ISNUMBER($T440),$P440="高"),IF($T440=3,1,0),0)</f>
        <v>0</v>
      </c>
      <c r="AE440" s="32" t="n">
        <f aca="false">IF($S440="不存在",1,0)</f>
        <v>0</v>
      </c>
      <c r="AF440" s="44" t="str">
        <f aca="false">IF(OR($H440="—",$H440=""),"—",MATCH($H440,IDX_SrcID,0))</f>
        <v>—</v>
      </c>
      <c r="AG440" s="32" t="n">
        <f aca="false">IF(AND($P440="高",OR($AD440=1,$X440=1)),1,0)</f>
        <v>0</v>
      </c>
      <c r="AH440" s="32" t="n">
        <f aca="false">IF(AND($P440="高",$AG440=0,OR($F440&lt;&gt;"原始數據",$T440&lt;&gt;1)),1,0)</f>
        <v>0</v>
      </c>
      <c r="AI440" s="44" t="str">
        <f aca="false">IF(AND($P440="高",ISNUMBER($AF440)),INDEX(IDX_SrcDate,$AF440),"—")</f>
        <v>—</v>
      </c>
      <c r="AJ440" s="32" t="n">
        <f aca="false">IF(AND(ISTEXT($AI440),LEN($AI440)=10),IF(ISNUMBER(VALUE(SUBSTITUTE($AI440,"-",""))),VALUE(SUBSTITUTE($AI440,"-","")),0),0)</f>
        <v>0</v>
      </c>
    </row>
    <row r="441" customFormat="false" ht="29.25" hidden="false" customHeight="true" outlineLevel="0" collapsed="false">
      <c r="A441" s="30" t="s">
        <v>5587</v>
      </c>
      <c r="B441" s="239" t="s">
        <v>5588</v>
      </c>
      <c r="C441" s="30" t="s">
        <v>5589</v>
      </c>
      <c r="D441" s="30" t="s">
        <v>5590</v>
      </c>
      <c r="E441" s="20" t="s">
        <v>5591</v>
      </c>
      <c r="F441" s="239" t="s">
        <v>5398</v>
      </c>
      <c r="G441" s="239" t="s">
        <v>5287</v>
      </c>
      <c r="H441" s="30" t="s">
        <v>751</v>
      </c>
      <c r="I441" s="6" t="s">
        <v>751</v>
      </c>
      <c r="J441" s="30" t="s">
        <v>751</v>
      </c>
      <c r="K441" s="239"/>
      <c r="L441" s="239"/>
      <c r="M441" s="30" t="s">
        <v>751</v>
      </c>
      <c r="N441" s="6" t="s">
        <v>5592</v>
      </c>
      <c r="O441" s="6" t="s">
        <v>751</v>
      </c>
      <c r="P441" s="30" t="s">
        <v>751</v>
      </c>
      <c r="Q441" s="184" t="s">
        <v>751</v>
      </c>
      <c r="R441" s="30" t="s">
        <v>751</v>
      </c>
      <c r="S441" s="44" t="str">
        <f aca="false">IF(ISNUMBER($AF441),INDEX(IDX_SrcStat,$AF441),"—")</f>
        <v>—</v>
      </c>
      <c r="T441" s="44" t="str">
        <f aca="false">IF(ISNUMBER($AF441),INDEX(IDX_SrcGrade,$AF441),"—")</f>
        <v>—</v>
      </c>
      <c r="U441" s="30" t="s">
        <v>751</v>
      </c>
      <c r="V441" s="32" t="n">
        <f aca="false">IF(AND($F441="原始數據",$U441&lt;&gt;"連結 SRC"),1,0)</f>
        <v>0</v>
      </c>
      <c r="W441" s="32" t="n">
        <f aca="false">IF(AND($F441="Analogy",OR($H441="—",$H441="")),1,0)</f>
        <v>0</v>
      </c>
      <c r="X441" s="32" t="n">
        <f aca="false">IF(AND(OR($F441="Analogy",$F441="Assumed"),$G441&lt;&gt;"低",$G441&lt;&gt;"高",NOT(ISNUMBER($K441)),NOT(ISNUMBER($L441)),OR($M441="—",$M441="")),1,0)</f>
        <v>0</v>
      </c>
      <c r="Y441" s="32" t="n">
        <f aca="false">IF(AND(OR($F441="Analogy",$F441="Assumed",$F441="Derived（待改公式）",$F441="Derived（公式）"),OR($N441="—",$N441="",$N441=0)),1,0)</f>
        <v>0</v>
      </c>
      <c r="Z441" s="32" t="n">
        <f aca="false">IF(AND($F441="Decision",OR($J441="—",$J441="")),1,0)</f>
        <v>0</v>
      </c>
      <c r="AA441" s="33" t="n">
        <f aca="false">IF(OR($J441="—",$J441=""),0,IF(COUNTIF(Decisions!$A$5:$A$300,$J441)=0,1,0))</f>
        <v>0</v>
      </c>
      <c r="AB441" s="32" t="n">
        <f aca="false">IF(AND($F441="原始數據",$S441&lt;&gt;"Active"),1,0)</f>
        <v>0</v>
      </c>
      <c r="AC441" s="32" t="n">
        <f aca="false">IF(AND(ISNUMBER($K441),ISNUMBER($L441),ISNUMBER($Q441)),IF(OR($Q441&lt;MIN($K441,$L441),$Q441&gt;MAX($K441,$L441)),1,0),0)</f>
        <v>0</v>
      </c>
      <c r="AD441" s="32" t="n">
        <f aca="false">IF(AND(ISNUMBER($T441),$P441="高"),IF($T441=3,1,0),0)</f>
        <v>0</v>
      </c>
      <c r="AE441" s="32" t="n">
        <f aca="false">IF($S441="不存在",1,0)</f>
        <v>0</v>
      </c>
      <c r="AF441" s="44" t="str">
        <f aca="false">IF(OR($H441="—",$H441=""),"—",MATCH($H441,IDX_SrcID,0))</f>
        <v>—</v>
      </c>
      <c r="AG441" s="32" t="n">
        <f aca="false">IF(AND($P441="高",OR($AD441=1,$X441=1)),1,0)</f>
        <v>0</v>
      </c>
      <c r="AH441" s="32" t="n">
        <f aca="false">IF(AND($P441="高",$AG441=0,OR($F441&lt;&gt;"原始數據",$T441&lt;&gt;1)),1,0)</f>
        <v>0</v>
      </c>
      <c r="AI441" s="44" t="str">
        <f aca="false">IF(AND($P441="高",ISNUMBER($AF441)),INDEX(IDX_SrcDate,$AF441),"—")</f>
        <v>—</v>
      </c>
      <c r="AJ441" s="32" t="n">
        <f aca="false">IF(AND(ISTEXT($AI441),LEN($AI441)=10),IF(ISNUMBER(VALUE(SUBSTITUTE($AI441,"-",""))),VALUE(SUBSTITUTE($AI441,"-","")),0),0)</f>
        <v>0</v>
      </c>
    </row>
    <row r="442" customFormat="false" ht="29.25" hidden="false" customHeight="true" outlineLevel="0" collapsed="false">
      <c r="A442" s="30" t="s">
        <v>5593</v>
      </c>
      <c r="B442" s="239" t="s">
        <v>5588</v>
      </c>
      <c r="C442" s="30" t="s">
        <v>5589</v>
      </c>
      <c r="D442" s="30" t="s">
        <v>5594</v>
      </c>
      <c r="E442" s="20" t="s">
        <v>5595</v>
      </c>
      <c r="F442" s="239" t="s">
        <v>5398</v>
      </c>
      <c r="G442" s="239" t="s">
        <v>5287</v>
      </c>
      <c r="H442" s="30" t="s">
        <v>751</v>
      </c>
      <c r="I442" s="6" t="s">
        <v>751</v>
      </c>
      <c r="J442" s="30" t="s">
        <v>751</v>
      </c>
      <c r="K442" s="239"/>
      <c r="L442" s="239"/>
      <c r="M442" s="30" t="s">
        <v>751</v>
      </c>
      <c r="N442" s="6" t="s">
        <v>5596</v>
      </c>
      <c r="O442" s="6" t="s">
        <v>751</v>
      </c>
      <c r="P442" s="30" t="s">
        <v>751</v>
      </c>
      <c r="Q442" s="184" t="s">
        <v>751</v>
      </c>
      <c r="R442" s="30" t="s">
        <v>751</v>
      </c>
      <c r="S442" s="44" t="str">
        <f aca="false">IF(ISNUMBER($AF442),INDEX(IDX_SrcStat,$AF442),"—")</f>
        <v>—</v>
      </c>
      <c r="T442" s="44" t="str">
        <f aca="false">IF(ISNUMBER($AF442),INDEX(IDX_SrcGrade,$AF442),"—")</f>
        <v>—</v>
      </c>
      <c r="U442" s="30" t="s">
        <v>751</v>
      </c>
      <c r="V442" s="32" t="n">
        <f aca="false">IF(AND($F442="原始數據",$U442&lt;&gt;"連結 SRC"),1,0)</f>
        <v>0</v>
      </c>
      <c r="W442" s="32" t="n">
        <f aca="false">IF(AND($F442="Analogy",OR($H442="—",$H442="")),1,0)</f>
        <v>0</v>
      </c>
      <c r="X442" s="32" t="n">
        <f aca="false">IF(AND(OR($F442="Analogy",$F442="Assumed"),$G442&lt;&gt;"低",$G442&lt;&gt;"高",NOT(ISNUMBER($K442)),NOT(ISNUMBER($L442)),OR($M442="—",$M442="")),1,0)</f>
        <v>0</v>
      </c>
      <c r="Y442" s="32" t="n">
        <f aca="false">IF(AND(OR($F442="Analogy",$F442="Assumed",$F442="Derived（待改公式）",$F442="Derived（公式）"),OR($N442="—",$N442="",$N442=0)),1,0)</f>
        <v>0</v>
      </c>
      <c r="Z442" s="32" t="n">
        <f aca="false">IF(AND($F442="Decision",OR($J442="—",$J442="")),1,0)</f>
        <v>0</v>
      </c>
      <c r="AA442" s="33" t="n">
        <f aca="false">IF(OR($J442="—",$J442=""),0,IF(COUNTIF(Decisions!$A$5:$A$300,$J442)=0,1,0))</f>
        <v>0</v>
      </c>
      <c r="AB442" s="32" t="n">
        <f aca="false">IF(AND($F442="原始數據",$S442&lt;&gt;"Active"),1,0)</f>
        <v>0</v>
      </c>
      <c r="AC442" s="32" t="n">
        <f aca="false">IF(AND(ISNUMBER($K442),ISNUMBER($L442),ISNUMBER($Q442)),IF(OR($Q442&lt;MIN($K442,$L442),$Q442&gt;MAX($K442,$L442)),1,0),0)</f>
        <v>0</v>
      </c>
      <c r="AD442" s="32" t="n">
        <f aca="false">IF(AND(ISNUMBER($T442),$P442="高"),IF($T442=3,1,0),0)</f>
        <v>0</v>
      </c>
      <c r="AE442" s="32" t="n">
        <f aca="false">IF($S442="不存在",1,0)</f>
        <v>0</v>
      </c>
      <c r="AF442" s="44" t="str">
        <f aca="false">IF(OR($H442="—",$H442=""),"—",MATCH($H442,IDX_SrcID,0))</f>
        <v>—</v>
      </c>
      <c r="AG442" s="32" t="n">
        <f aca="false">IF(AND($P442="高",OR($AD442=1,$X442=1)),1,0)</f>
        <v>0</v>
      </c>
      <c r="AH442" s="32" t="n">
        <f aca="false">IF(AND($P442="高",$AG442=0,OR($F442&lt;&gt;"原始數據",$T442&lt;&gt;1)),1,0)</f>
        <v>0</v>
      </c>
      <c r="AI442" s="44" t="str">
        <f aca="false">IF(AND($P442="高",ISNUMBER($AF442)),INDEX(IDX_SrcDate,$AF442),"—")</f>
        <v>—</v>
      </c>
      <c r="AJ442" s="32" t="n">
        <f aca="false">IF(AND(ISTEXT($AI442),LEN($AI442)=10),IF(ISNUMBER(VALUE(SUBSTITUTE($AI442,"-",""))),VALUE(SUBSTITUTE($AI442,"-","")),0),0)</f>
        <v>0</v>
      </c>
    </row>
    <row r="443" customFormat="false" ht="29.25" hidden="false" customHeight="true" outlineLevel="0" collapsed="false">
      <c r="A443" s="30" t="s">
        <v>5597</v>
      </c>
      <c r="B443" s="239" t="s">
        <v>5588</v>
      </c>
      <c r="C443" s="30" t="s">
        <v>5598</v>
      </c>
      <c r="D443" s="30" t="s">
        <v>5599</v>
      </c>
      <c r="E443" s="6" t="s">
        <v>5600</v>
      </c>
      <c r="F443" s="239" t="s">
        <v>5398</v>
      </c>
      <c r="G443" s="239" t="s">
        <v>4527</v>
      </c>
      <c r="H443" s="30" t="s">
        <v>751</v>
      </c>
      <c r="I443" s="6" t="s">
        <v>751</v>
      </c>
      <c r="J443" s="30" t="s">
        <v>751</v>
      </c>
      <c r="K443" s="239"/>
      <c r="L443" s="239"/>
      <c r="M443" s="30" t="s">
        <v>751</v>
      </c>
      <c r="N443" s="6" t="s">
        <v>5601</v>
      </c>
      <c r="O443" s="6" t="s">
        <v>751</v>
      </c>
      <c r="P443" s="239" t="s">
        <v>4530</v>
      </c>
      <c r="Q443" s="192" t="n">
        <f aca="false">Sens_Rev!B18</f>
        <v>0.5</v>
      </c>
      <c r="R443" s="30" t="s">
        <v>751</v>
      </c>
      <c r="S443" s="44" t="str">
        <f aca="false">IF(ISNUMBER($AF443),INDEX(IDX_SrcStat,$AF443),"—")</f>
        <v>—</v>
      </c>
      <c r="T443" s="44" t="str">
        <f aca="false">IF(ISNUMBER($AF443),INDEX(IDX_SrcGrade,$AF443),"—")</f>
        <v>—</v>
      </c>
      <c r="U443" s="44" t="s">
        <v>4531</v>
      </c>
      <c r="V443" s="32" t="n">
        <f aca="false">IF(AND($F443="原始數據",$U443&lt;&gt;"連結 SRC"),1,0)</f>
        <v>0</v>
      </c>
      <c r="W443" s="32" t="n">
        <f aca="false">IF(AND($F443="Analogy",OR($H443="—",$H443="")),1,0)</f>
        <v>0</v>
      </c>
      <c r="X443" s="32" t="n">
        <f aca="false">IF(AND(OR($F443="Analogy",$F443="Assumed"),$G443&lt;&gt;"低",$G443&lt;&gt;"高",NOT(ISNUMBER($K443)),NOT(ISNUMBER($L443)),OR($M443="—",$M443="")),1,0)</f>
        <v>0</v>
      </c>
      <c r="Y443" s="32" t="n">
        <f aca="false">IF(AND(OR($F443="Analogy",$F443="Assumed",$F443="Derived（待改公式）",$F443="Derived（公式）"),OR($N443="—",$N443="",$N443=0)),1,0)</f>
        <v>0</v>
      </c>
      <c r="Z443" s="32" t="n">
        <f aca="false">IF(AND($F443="Decision",OR($J443="—",$J443="")),1,0)</f>
        <v>0</v>
      </c>
      <c r="AA443" s="33" t="n">
        <f aca="false">IF(OR($J443="—",$J443=""),0,IF(COUNTIF(Decisions!$A$5:$A$300,$J443)=0,1,0))</f>
        <v>0</v>
      </c>
      <c r="AB443" s="32" t="n">
        <f aca="false">IF(AND($F443="原始數據",$S443&lt;&gt;"Active"),1,0)</f>
        <v>0</v>
      </c>
      <c r="AC443" s="32" t="n">
        <f aca="false">IF(AND(ISNUMBER($K443),ISNUMBER($L443),ISNUMBER($Q443)),IF(OR($Q443&lt;MIN($K443,$L443),$Q443&gt;MAX($K443,$L443)),1,0),0)</f>
        <v>0</v>
      </c>
      <c r="AD443" s="32" t="n">
        <f aca="false">IF(AND(ISNUMBER($T443),$P443="高"),IF($T443=3,1,0),0)</f>
        <v>0</v>
      </c>
      <c r="AE443" s="32" t="n">
        <f aca="false">IF($S443="不存在",1,0)</f>
        <v>0</v>
      </c>
      <c r="AF443" s="44" t="str">
        <f aca="false">IF(OR($H443="—",$H443=""),"—",MATCH($H443,IDX_SrcID,0))</f>
        <v>—</v>
      </c>
      <c r="AG443" s="32" t="n">
        <f aca="false">IF(AND($P443="高",OR($AD443=1,$X443=1)),1,0)</f>
        <v>0</v>
      </c>
      <c r="AH443" s="32" t="n">
        <f aca="false">IF(AND($P443="高",$AG443=0,OR($F443&lt;&gt;"原始數據",$T443&lt;&gt;1)),1,0)</f>
        <v>0</v>
      </c>
      <c r="AI443" s="44" t="str">
        <f aca="false">IF(AND($P443="高",ISNUMBER($AF443)),INDEX(IDX_SrcDate,$AF443),"—")</f>
        <v>—</v>
      </c>
      <c r="AJ443" s="32" t="n">
        <f aca="false">IF(AND(ISTEXT($AI443),LEN($AI443)=10),IF(ISNUMBER(VALUE(SUBSTITUTE($AI443,"-",""))),VALUE(SUBSTITUTE($AI443,"-","")),0),0)</f>
        <v>0</v>
      </c>
    </row>
    <row r="444" customFormat="false" ht="29.25" hidden="false" customHeight="true" outlineLevel="0" collapsed="false">
      <c r="A444" s="30" t="s">
        <v>5602</v>
      </c>
      <c r="B444" s="239" t="s">
        <v>5588</v>
      </c>
      <c r="C444" s="30" t="s">
        <v>24</v>
      </c>
      <c r="D444" s="30" t="s">
        <v>5603</v>
      </c>
      <c r="E444" s="20" t="s">
        <v>5604</v>
      </c>
      <c r="F444" s="30" t="s">
        <v>104</v>
      </c>
      <c r="G444" s="239" t="s">
        <v>4527</v>
      </c>
      <c r="H444" s="30" t="s">
        <v>751</v>
      </c>
      <c r="I444" s="6" t="s">
        <v>751</v>
      </c>
      <c r="J444" s="30" t="s">
        <v>5580</v>
      </c>
      <c r="K444" s="239"/>
      <c r="L444" s="239"/>
      <c r="M444" s="30" t="s">
        <v>751</v>
      </c>
      <c r="N444" s="6" t="s">
        <v>5605</v>
      </c>
      <c r="O444" s="6" t="s">
        <v>751</v>
      </c>
      <c r="P444" s="239" t="s">
        <v>4530</v>
      </c>
      <c r="Q444" s="33" t="n">
        <f aca="false">Tech_Registry!J17</f>
        <v>2</v>
      </c>
      <c r="R444" s="30" t="s">
        <v>751</v>
      </c>
      <c r="S444" s="44" t="str">
        <f aca="false">IF(ISNUMBER($AF444),INDEX(IDX_SrcStat,$AF444),"—")</f>
        <v>—</v>
      </c>
      <c r="T444" s="44" t="str">
        <f aca="false">IF(ISNUMBER($AF444),INDEX(IDX_SrcGrade,$AF444),"—")</f>
        <v>—</v>
      </c>
      <c r="U444" s="44" t="s">
        <v>4531</v>
      </c>
      <c r="V444" s="32" t="n">
        <f aca="false">IF(AND($F444="原始數據",$U444&lt;&gt;"連結 SRC"),1,0)</f>
        <v>0</v>
      </c>
      <c r="W444" s="32" t="n">
        <f aca="false">IF(AND($F444="Analogy",OR($H444="—",$H444="")),1,0)</f>
        <v>0</v>
      </c>
      <c r="X444" s="32" t="n">
        <f aca="false">IF(AND(OR($F444="Analogy",$F444="Assumed"),$G444&lt;&gt;"低",$G444&lt;&gt;"高",NOT(ISNUMBER($K444)),NOT(ISNUMBER($L444)),OR($M444="—",$M444="")),1,0)</f>
        <v>0</v>
      </c>
      <c r="Y444" s="32" t="n">
        <f aca="false">IF(AND(OR($F444="Analogy",$F444="Assumed",$F444="Derived（待改公式）",$F444="Derived（公式）"),OR($N444="—",$N444="",$N444=0)),1,0)</f>
        <v>0</v>
      </c>
      <c r="Z444" s="32" t="n">
        <f aca="false">IF(AND($F444="Decision",OR($J444="—",$J444="")),1,0)</f>
        <v>0</v>
      </c>
      <c r="AA444" s="33" t="n">
        <f aca="false">IF(OR($J444="—",$J444=""),0,IF(COUNTIF(Decisions!$A$5:$A$300,$J444)=0,1,0))</f>
        <v>0</v>
      </c>
      <c r="AB444" s="32" t="n">
        <f aca="false">IF(AND($F444="原始數據",$S444&lt;&gt;"Active"),1,0)</f>
        <v>0</v>
      </c>
      <c r="AC444" s="32" t="n">
        <f aca="false">IF(AND(ISNUMBER($K444),ISNUMBER($L444),ISNUMBER($Q444)),IF(OR($Q444&lt;MIN($K444,$L444),$Q444&gt;MAX($K444,$L444)),1,0),0)</f>
        <v>0</v>
      </c>
      <c r="AD444" s="32" t="n">
        <f aca="false">IF(AND(ISNUMBER($T444),$P444="高"),IF($T444=3,1,0),0)</f>
        <v>0</v>
      </c>
      <c r="AE444" s="32" t="n">
        <f aca="false">IF($S444="不存在",1,0)</f>
        <v>0</v>
      </c>
      <c r="AF444" s="44" t="str">
        <f aca="false">IF(OR($H444="—",$H444=""),"—",MATCH($H444,IDX_SrcID,0))</f>
        <v>—</v>
      </c>
      <c r="AG444" s="32" t="n">
        <f aca="false">IF(AND($P444="高",OR($AD444=1,$X444=1)),1,0)</f>
        <v>0</v>
      </c>
      <c r="AH444" s="32" t="n">
        <f aca="false">IF(AND($P444="高",$AG444=0,OR($F444&lt;&gt;"原始數據",$T444&lt;&gt;1)),1,0)</f>
        <v>0</v>
      </c>
      <c r="AI444" s="44" t="str">
        <f aca="false">IF(AND($P444="高",ISNUMBER($AF444)),INDEX(IDX_SrcDate,$AF444),"—")</f>
        <v>—</v>
      </c>
      <c r="AJ444" s="32" t="n">
        <f aca="false">IF(AND(ISTEXT($AI444),LEN($AI444)=10),IF(ISNUMBER(VALUE(SUBSTITUTE($AI444,"-",""))),VALUE(SUBSTITUTE($AI444,"-","")),0),0)</f>
        <v>0</v>
      </c>
    </row>
    <row r="445" customFormat="false" ht="43.5" hidden="false" customHeight="true" outlineLevel="0" collapsed="false">
      <c r="A445" s="30" t="s">
        <v>5606</v>
      </c>
      <c r="B445" s="239" t="s">
        <v>5607</v>
      </c>
      <c r="C445" s="30" t="s">
        <v>5608</v>
      </c>
      <c r="D445" s="30" t="s">
        <v>4769</v>
      </c>
      <c r="E445" s="20" t="s">
        <v>5609</v>
      </c>
      <c r="F445" s="30" t="s">
        <v>114</v>
      </c>
      <c r="G445" s="239" t="s">
        <v>97</v>
      </c>
      <c r="H445" s="30" t="s">
        <v>751</v>
      </c>
      <c r="I445" s="6" t="s">
        <v>751</v>
      </c>
      <c r="J445" s="30" t="s">
        <v>751</v>
      </c>
      <c r="K445" s="194" t="n">
        <f aca="false">Cap_In!D12</f>
        <v>0.1</v>
      </c>
      <c r="L445" s="194" t="n">
        <f aca="false">Cap_In!E12</f>
        <v>0.4</v>
      </c>
      <c r="M445" s="30" t="s">
        <v>5610</v>
      </c>
      <c r="N445" s="20" t="s">
        <v>5611</v>
      </c>
      <c r="O445" s="6" t="s">
        <v>751</v>
      </c>
      <c r="P445" s="239" t="s">
        <v>4586</v>
      </c>
      <c r="Q445" s="194" t="n">
        <f aca="false">Cap_In!C12</f>
        <v>0.2</v>
      </c>
      <c r="R445" s="30" t="s">
        <v>751</v>
      </c>
      <c r="S445" s="44" t="str">
        <f aca="false">IF(ISNUMBER($AF445),INDEX(IDX_SrcStat,$AF445),"—")</f>
        <v>—</v>
      </c>
      <c r="T445" s="44" t="str">
        <f aca="false">IF(ISNUMBER($AF445),INDEX(IDX_SrcGrade,$AF445),"—")</f>
        <v>—</v>
      </c>
      <c r="U445" s="44" t="s">
        <v>4531</v>
      </c>
      <c r="V445" s="32" t="n">
        <f aca="false">IF(AND($F445="原始數據",$U445&lt;&gt;"連結 SRC"),1,0)</f>
        <v>0</v>
      </c>
      <c r="W445" s="32" t="n">
        <f aca="false">IF(AND($F445="Analogy",OR($H445="—",$H445="")),1,0)</f>
        <v>0</v>
      </c>
      <c r="X445" s="32" t="n">
        <f aca="false">IF(AND(OR($F445="Analogy",$F445="Assumed"),$G445&lt;&gt;"低",$G445&lt;&gt;"高",NOT(ISNUMBER($K445)),NOT(ISNUMBER($L445)),OR($M445="—",$M445="")),1,0)</f>
        <v>0</v>
      </c>
      <c r="Y445" s="32" t="n">
        <f aca="false">IF(AND(OR($F445="Analogy",$F445="Assumed",$F445="Derived（待改公式）",$F445="Derived（公式）"),OR($N445="—",$N445="",$N445=0)),1,0)</f>
        <v>0</v>
      </c>
      <c r="Z445" s="32" t="n">
        <f aca="false">IF(AND($F445="Decision",OR($J445="—",$J445="")),1,0)</f>
        <v>0</v>
      </c>
      <c r="AA445" s="33" t="n">
        <f aca="false">IF(OR($J445="—",$J445=""),0,IF(COUNTIF(Decisions!$A$5:$A$300,$J445)=0,1,0))</f>
        <v>0</v>
      </c>
      <c r="AB445" s="32" t="n">
        <f aca="false">IF(AND($F445="原始數據",$S445&lt;&gt;"Active"),1,0)</f>
        <v>0</v>
      </c>
      <c r="AC445" s="32" t="n">
        <f aca="false">IF(AND(ISNUMBER($K445),ISNUMBER($L445),ISNUMBER($Q445)),IF(OR($Q445&lt;MIN($K445,$L445),$Q445&gt;MAX($K445,$L445)),1,0),0)</f>
        <v>0</v>
      </c>
      <c r="AD445" s="32" t="n">
        <f aca="false">IF(AND(ISNUMBER($T445),$P445="高"),IF($T445=3,1,0),0)</f>
        <v>0</v>
      </c>
      <c r="AE445" s="32" t="n">
        <f aca="false">IF($S445="不存在",1,0)</f>
        <v>0</v>
      </c>
      <c r="AF445" s="44" t="str">
        <f aca="false">IF(OR($H445="—",$H445=""),"—",MATCH($H445,IDX_SrcID,0))</f>
        <v>—</v>
      </c>
      <c r="AG445" s="32" t="n">
        <f aca="false">IF(AND($P445="高",OR($AD445=1,$X445=1)),1,0)</f>
        <v>0</v>
      </c>
      <c r="AH445" s="32" t="n">
        <f aca="false">IF(AND($P445="高",$AG445=0,OR($F445&lt;&gt;"原始數據",$T445&lt;&gt;1)),1,0)</f>
        <v>0</v>
      </c>
      <c r="AI445" s="44" t="str">
        <f aca="false">IF(AND($P445="高",ISNUMBER($AF445)),INDEX(IDX_SrcDate,$AF445),"—")</f>
        <v>—</v>
      </c>
      <c r="AJ445" s="32" t="n">
        <f aca="false">IF(AND(ISTEXT($AI445),LEN($AI445)=10),IF(ISNUMBER(VALUE(SUBSTITUTE($AI445,"-",""))),VALUE(SUBSTITUTE($AI445,"-","")),0),0)</f>
        <v>0</v>
      </c>
    </row>
    <row r="446" customFormat="false" ht="43.5" hidden="false" customHeight="true" outlineLevel="0" collapsed="false">
      <c r="A446" s="30" t="s">
        <v>5612</v>
      </c>
      <c r="B446" s="239" t="s">
        <v>5607</v>
      </c>
      <c r="C446" s="30" t="s">
        <v>5608</v>
      </c>
      <c r="D446" s="30" t="s">
        <v>5613</v>
      </c>
      <c r="E446" s="20" t="s">
        <v>5609</v>
      </c>
      <c r="F446" s="30" t="s">
        <v>114</v>
      </c>
      <c r="G446" s="239" t="s">
        <v>5614</v>
      </c>
      <c r="H446" s="30" t="s">
        <v>751</v>
      </c>
      <c r="I446" s="6" t="s">
        <v>751</v>
      </c>
      <c r="J446" s="30" t="s">
        <v>751</v>
      </c>
      <c r="K446" s="239"/>
      <c r="L446" s="239"/>
      <c r="M446" s="30" t="s">
        <v>5615</v>
      </c>
      <c r="N446" s="20" t="s">
        <v>5611</v>
      </c>
      <c r="O446" s="6" t="s">
        <v>751</v>
      </c>
      <c r="P446" s="239" t="s">
        <v>4586</v>
      </c>
      <c r="Q446" s="184" t="s">
        <v>751</v>
      </c>
      <c r="R446" s="30" t="s">
        <v>751</v>
      </c>
      <c r="S446" s="44" t="str">
        <f aca="false">IF(ISNUMBER($AF446),INDEX(IDX_SrcStat,$AF446),"—")</f>
        <v>—</v>
      </c>
      <c r="T446" s="44" t="str">
        <f aca="false">IF(ISNUMBER($AF446),INDEX(IDX_SrcGrade,$AF446),"—")</f>
        <v>—</v>
      </c>
      <c r="U446" s="30" t="s">
        <v>751</v>
      </c>
      <c r="V446" s="32" t="n">
        <f aca="false">IF(AND($F446="原始數據",$U446&lt;&gt;"連結 SRC"),1,0)</f>
        <v>0</v>
      </c>
      <c r="W446" s="32" t="n">
        <f aca="false">IF(AND($F446="Analogy",OR($H446="—",$H446="")),1,0)</f>
        <v>0</v>
      </c>
      <c r="X446" s="32" t="n">
        <f aca="false">IF(AND(OR($F446="Analogy",$F446="Assumed"),$G446&lt;&gt;"低",$G446&lt;&gt;"高",NOT(ISNUMBER($K446)),NOT(ISNUMBER($L446)),OR($M446="—",$M446="")),1,0)</f>
        <v>0</v>
      </c>
      <c r="Y446" s="32" t="n">
        <f aca="false">IF(AND(OR($F446="Analogy",$F446="Assumed",$F446="Derived（待改公式）",$F446="Derived（公式）"),OR($N446="—",$N446="",$N446=0)),1,0)</f>
        <v>0</v>
      </c>
      <c r="Z446" s="32" t="n">
        <f aca="false">IF(AND($F446="Decision",OR($J446="—",$J446="")),1,0)</f>
        <v>0</v>
      </c>
      <c r="AA446" s="33" t="n">
        <f aca="false">IF(OR($J446="—",$J446=""),0,IF(COUNTIF(Decisions!$A$5:$A$300,$J446)=0,1,0))</f>
        <v>0</v>
      </c>
      <c r="AB446" s="32" t="n">
        <f aca="false">IF(AND($F446="原始數據",$S446&lt;&gt;"Active"),1,0)</f>
        <v>0</v>
      </c>
      <c r="AC446" s="32" t="n">
        <f aca="false">IF(AND(ISNUMBER($K446),ISNUMBER($L446),ISNUMBER($Q446)),IF(OR($Q446&lt;MIN($K446,$L446),$Q446&gt;MAX($K446,$L446)),1,0),0)</f>
        <v>0</v>
      </c>
      <c r="AD446" s="32" t="n">
        <f aca="false">IF(AND(ISNUMBER($T446),$P446="高"),IF($T446=3,1,0),0)</f>
        <v>0</v>
      </c>
      <c r="AE446" s="32" t="n">
        <f aca="false">IF($S446="不存在",1,0)</f>
        <v>0</v>
      </c>
      <c r="AF446" s="44" t="str">
        <f aca="false">IF(OR($H446="—",$H446=""),"—",MATCH($H446,IDX_SrcID,0))</f>
        <v>—</v>
      </c>
      <c r="AG446" s="32" t="n">
        <f aca="false">IF(AND($P446="高",OR($AD446=1,$X446=1)),1,0)</f>
        <v>0</v>
      </c>
      <c r="AH446" s="32" t="n">
        <f aca="false">IF(AND($P446="高",$AG446=0,OR($F446&lt;&gt;"原始數據",$T446&lt;&gt;1)),1,0)</f>
        <v>0</v>
      </c>
      <c r="AI446" s="44" t="str">
        <f aca="false">IF(AND($P446="高",ISNUMBER($AF446)),INDEX(IDX_SrcDate,$AF446),"—")</f>
        <v>—</v>
      </c>
      <c r="AJ446" s="32" t="n">
        <f aca="false">IF(AND(ISTEXT($AI446),LEN($AI446)=10),IF(ISNUMBER(VALUE(SUBSTITUTE($AI446,"-",""))),VALUE(SUBSTITUTE($AI446,"-","")),0),0)</f>
        <v>0</v>
      </c>
    </row>
    <row r="447" customFormat="false" ht="29.25" hidden="false" customHeight="true" outlineLevel="0" collapsed="false">
      <c r="A447" s="30" t="s">
        <v>5616</v>
      </c>
      <c r="B447" s="239" t="s">
        <v>5607</v>
      </c>
      <c r="C447" s="30" t="s">
        <v>5608</v>
      </c>
      <c r="D447" s="30" t="s">
        <v>4789</v>
      </c>
      <c r="E447" s="20" t="s">
        <v>5617</v>
      </c>
      <c r="F447" s="30" t="s">
        <v>114</v>
      </c>
      <c r="G447" s="239" t="s">
        <v>97</v>
      </c>
      <c r="H447" s="30" t="s">
        <v>751</v>
      </c>
      <c r="I447" s="6" t="s">
        <v>751</v>
      </c>
      <c r="J447" s="30" t="s">
        <v>751</v>
      </c>
      <c r="K447" s="194" t="n">
        <f aca="false">Cap_In!D13</f>
        <v>0.3</v>
      </c>
      <c r="L447" s="194" t="n">
        <f aca="false">Cap_In!E13</f>
        <v>0.75</v>
      </c>
      <c r="M447" s="30" t="s">
        <v>751</v>
      </c>
      <c r="N447" s="20" t="s">
        <v>5618</v>
      </c>
      <c r="O447" s="6" t="s">
        <v>751</v>
      </c>
      <c r="P447" s="239" t="s">
        <v>4586</v>
      </c>
      <c r="Q447" s="194" t="n">
        <f aca="false">Cap_In!C13</f>
        <v>0.55</v>
      </c>
      <c r="R447" s="30" t="s">
        <v>751</v>
      </c>
      <c r="S447" s="44" t="str">
        <f aca="false">IF(ISNUMBER($AF447),INDEX(IDX_SrcStat,$AF447),"—")</f>
        <v>—</v>
      </c>
      <c r="T447" s="44" t="str">
        <f aca="false">IF(ISNUMBER($AF447),INDEX(IDX_SrcGrade,$AF447),"—")</f>
        <v>—</v>
      </c>
      <c r="U447" s="44" t="s">
        <v>4531</v>
      </c>
      <c r="V447" s="32" t="n">
        <f aca="false">IF(AND($F447="原始數據",$U447&lt;&gt;"連結 SRC"),1,0)</f>
        <v>0</v>
      </c>
      <c r="W447" s="32" t="n">
        <f aca="false">IF(AND($F447="Analogy",OR($H447="—",$H447="")),1,0)</f>
        <v>0</v>
      </c>
      <c r="X447" s="32" t="n">
        <f aca="false">IF(AND(OR($F447="Analogy",$F447="Assumed"),$G447&lt;&gt;"低",$G447&lt;&gt;"高",NOT(ISNUMBER($K447)),NOT(ISNUMBER($L447)),OR($M447="—",$M447="")),1,0)</f>
        <v>0</v>
      </c>
      <c r="Y447" s="32" t="n">
        <f aca="false">IF(AND(OR($F447="Analogy",$F447="Assumed",$F447="Derived（待改公式）",$F447="Derived（公式）"),OR($N447="—",$N447="",$N447=0)),1,0)</f>
        <v>0</v>
      </c>
      <c r="Z447" s="32" t="n">
        <f aca="false">IF(AND($F447="Decision",OR($J447="—",$J447="")),1,0)</f>
        <v>0</v>
      </c>
      <c r="AA447" s="33" t="n">
        <f aca="false">IF(OR($J447="—",$J447=""),0,IF(COUNTIF(Decisions!$A$5:$A$300,$J447)=0,1,0))</f>
        <v>0</v>
      </c>
      <c r="AB447" s="32" t="n">
        <f aca="false">IF(AND($F447="原始數據",$S447&lt;&gt;"Active"),1,0)</f>
        <v>0</v>
      </c>
      <c r="AC447" s="32" t="n">
        <f aca="false">IF(AND(ISNUMBER($K447),ISNUMBER($L447),ISNUMBER($Q447)),IF(OR($Q447&lt;MIN($K447,$L447),$Q447&gt;MAX($K447,$L447)),1,0),0)</f>
        <v>0</v>
      </c>
      <c r="AD447" s="32" t="n">
        <f aca="false">IF(AND(ISNUMBER($T447),$P447="高"),IF($T447=3,1,0),0)</f>
        <v>0</v>
      </c>
      <c r="AE447" s="32" t="n">
        <f aca="false">IF($S447="不存在",1,0)</f>
        <v>0</v>
      </c>
      <c r="AF447" s="44" t="str">
        <f aca="false">IF(OR($H447="—",$H447=""),"—",MATCH($H447,IDX_SrcID,0))</f>
        <v>—</v>
      </c>
      <c r="AG447" s="32" t="n">
        <f aca="false">IF(AND($P447="高",OR($AD447=1,$X447=1)),1,0)</f>
        <v>0</v>
      </c>
      <c r="AH447" s="32" t="n">
        <f aca="false">IF(AND($P447="高",$AG447=0,OR($F447&lt;&gt;"原始數據",$T447&lt;&gt;1)),1,0)</f>
        <v>0</v>
      </c>
      <c r="AI447" s="44" t="str">
        <f aca="false">IF(AND($P447="高",ISNUMBER($AF447)),INDEX(IDX_SrcDate,$AF447),"—")</f>
        <v>—</v>
      </c>
      <c r="AJ447" s="32" t="n">
        <f aca="false">IF(AND(ISTEXT($AI447),LEN($AI447)=10),IF(ISNUMBER(VALUE(SUBSTITUTE($AI447,"-",""))),VALUE(SUBSTITUTE($AI447,"-","")),0),0)</f>
        <v>0</v>
      </c>
    </row>
    <row r="448" customFormat="false" ht="29.25" hidden="false" customHeight="true" outlineLevel="0" collapsed="false">
      <c r="A448" s="30" t="s">
        <v>5619</v>
      </c>
      <c r="B448" s="239" t="s">
        <v>5607</v>
      </c>
      <c r="C448" s="30" t="s">
        <v>5608</v>
      </c>
      <c r="D448" s="30" t="s">
        <v>5620</v>
      </c>
      <c r="E448" s="20" t="s">
        <v>5617</v>
      </c>
      <c r="F448" s="30" t="s">
        <v>114</v>
      </c>
      <c r="G448" s="239" t="s">
        <v>5614</v>
      </c>
      <c r="H448" s="30" t="s">
        <v>751</v>
      </c>
      <c r="I448" s="6" t="s">
        <v>751</v>
      </c>
      <c r="J448" s="30" t="s">
        <v>751</v>
      </c>
      <c r="K448" s="239"/>
      <c r="L448" s="239"/>
      <c r="M448" s="30" t="s">
        <v>5621</v>
      </c>
      <c r="N448" s="20" t="s">
        <v>5618</v>
      </c>
      <c r="O448" s="6" t="s">
        <v>751</v>
      </c>
      <c r="P448" s="239" t="s">
        <v>4586</v>
      </c>
      <c r="Q448" s="184" t="s">
        <v>751</v>
      </c>
      <c r="R448" s="30" t="s">
        <v>751</v>
      </c>
      <c r="S448" s="44" t="str">
        <f aca="false">IF(ISNUMBER($AF448),INDEX(IDX_SrcStat,$AF448),"—")</f>
        <v>—</v>
      </c>
      <c r="T448" s="44" t="str">
        <f aca="false">IF(ISNUMBER($AF448),INDEX(IDX_SrcGrade,$AF448),"—")</f>
        <v>—</v>
      </c>
      <c r="U448" s="30" t="s">
        <v>751</v>
      </c>
      <c r="V448" s="32" t="n">
        <f aca="false">IF(AND($F448="原始數據",$U448&lt;&gt;"連結 SRC"),1,0)</f>
        <v>0</v>
      </c>
      <c r="W448" s="32" t="n">
        <f aca="false">IF(AND($F448="Analogy",OR($H448="—",$H448="")),1,0)</f>
        <v>0</v>
      </c>
      <c r="X448" s="32" t="n">
        <f aca="false">IF(AND(OR($F448="Analogy",$F448="Assumed"),$G448&lt;&gt;"低",$G448&lt;&gt;"高",NOT(ISNUMBER($K448)),NOT(ISNUMBER($L448)),OR($M448="—",$M448="")),1,0)</f>
        <v>0</v>
      </c>
      <c r="Y448" s="32" t="n">
        <f aca="false">IF(AND(OR($F448="Analogy",$F448="Assumed",$F448="Derived（待改公式）",$F448="Derived（公式）"),OR($N448="—",$N448="",$N448=0)),1,0)</f>
        <v>0</v>
      </c>
      <c r="Z448" s="32" t="n">
        <f aca="false">IF(AND($F448="Decision",OR($J448="—",$J448="")),1,0)</f>
        <v>0</v>
      </c>
      <c r="AA448" s="33" t="n">
        <f aca="false">IF(OR($J448="—",$J448=""),0,IF(COUNTIF(Decisions!$A$5:$A$300,$J448)=0,1,0))</f>
        <v>0</v>
      </c>
      <c r="AB448" s="32" t="n">
        <f aca="false">IF(AND($F448="原始數據",$S448&lt;&gt;"Active"),1,0)</f>
        <v>0</v>
      </c>
      <c r="AC448" s="32" t="n">
        <f aca="false">IF(AND(ISNUMBER($K448),ISNUMBER($L448),ISNUMBER($Q448)),IF(OR($Q448&lt;MIN($K448,$L448),$Q448&gt;MAX($K448,$L448)),1,0),0)</f>
        <v>0</v>
      </c>
      <c r="AD448" s="32" t="n">
        <f aca="false">IF(AND(ISNUMBER($T448),$P448="高"),IF($T448=3,1,0),0)</f>
        <v>0</v>
      </c>
      <c r="AE448" s="32" t="n">
        <f aca="false">IF($S448="不存在",1,0)</f>
        <v>0</v>
      </c>
      <c r="AF448" s="44" t="str">
        <f aca="false">IF(OR($H448="—",$H448=""),"—",MATCH($H448,IDX_SrcID,0))</f>
        <v>—</v>
      </c>
      <c r="AG448" s="32" t="n">
        <f aca="false">IF(AND($P448="高",OR($AD448=1,$X448=1)),1,0)</f>
        <v>0</v>
      </c>
      <c r="AH448" s="32" t="n">
        <f aca="false">IF(AND($P448="高",$AG448=0,OR($F448&lt;&gt;"原始數據",$T448&lt;&gt;1)),1,0)</f>
        <v>0</v>
      </c>
      <c r="AI448" s="44" t="str">
        <f aca="false">IF(AND($P448="高",ISNUMBER($AF448)),INDEX(IDX_SrcDate,$AF448),"—")</f>
        <v>—</v>
      </c>
      <c r="AJ448" s="32" t="n">
        <f aca="false">IF(AND(ISTEXT($AI448),LEN($AI448)=10),IF(ISNUMBER(VALUE(SUBSTITUTE($AI448,"-",""))),VALUE(SUBSTITUTE($AI448,"-","")),0),0)</f>
        <v>0</v>
      </c>
    </row>
    <row r="449" customFormat="false" ht="29.25" hidden="false" customHeight="true" outlineLevel="0" collapsed="false">
      <c r="A449" s="30" t="s">
        <v>5622</v>
      </c>
      <c r="B449" s="239" t="s">
        <v>5607</v>
      </c>
      <c r="C449" s="30" t="s">
        <v>5608</v>
      </c>
      <c r="D449" s="30" t="s">
        <v>5038</v>
      </c>
      <c r="E449" s="20" t="s">
        <v>5623</v>
      </c>
      <c r="F449" s="30" t="s">
        <v>104</v>
      </c>
      <c r="G449" s="239" t="s">
        <v>97</v>
      </c>
      <c r="H449" s="30" t="s">
        <v>751</v>
      </c>
      <c r="I449" s="6" t="s">
        <v>751</v>
      </c>
      <c r="J449" s="30" t="s">
        <v>4391</v>
      </c>
      <c r="K449" s="192" t="n">
        <f aca="false">Cap_In!D14</f>
        <v>0</v>
      </c>
      <c r="L449" s="192" t="n">
        <f aca="false">Cap_In!E14</f>
        <v>0.5</v>
      </c>
      <c r="M449" s="30" t="s">
        <v>751</v>
      </c>
      <c r="N449" s="6" t="s">
        <v>5624</v>
      </c>
      <c r="O449" s="6" t="s">
        <v>751</v>
      </c>
      <c r="P449" s="239" t="s">
        <v>4530</v>
      </c>
      <c r="Q449" s="192" t="n">
        <f aca="false">Cap_In!C14</f>
        <v>0</v>
      </c>
      <c r="R449" s="30" t="s">
        <v>751</v>
      </c>
      <c r="S449" s="44" t="str">
        <f aca="false">IF(ISNUMBER($AF449),INDEX(IDX_SrcStat,$AF449),"—")</f>
        <v>—</v>
      </c>
      <c r="T449" s="44" t="str">
        <f aca="false">IF(ISNUMBER($AF449),INDEX(IDX_SrcGrade,$AF449),"—")</f>
        <v>—</v>
      </c>
      <c r="U449" s="44" t="s">
        <v>4531</v>
      </c>
      <c r="V449" s="32" t="n">
        <f aca="false">IF(AND($F449="原始數據",$U449&lt;&gt;"連結 SRC"),1,0)</f>
        <v>0</v>
      </c>
      <c r="W449" s="32" t="n">
        <f aca="false">IF(AND($F449="Analogy",OR($H449="—",$H449="")),1,0)</f>
        <v>0</v>
      </c>
      <c r="X449" s="32" t="n">
        <f aca="false">IF(AND(OR($F449="Analogy",$F449="Assumed"),$G449&lt;&gt;"低",$G449&lt;&gt;"高",NOT(ISNUMBER($K449)),NOT(ISNUMBER($L449)),OR($M449="—",$M449="")),1,0)</f>
        <v>0</v>
      </c>
      <c r="Y449" s="32" t="n">
        <f aca="false">IF(AND(OR($F449="Analogy",$F449="Assumed",$F449="Derived（待改公式）",$F449="Derived（公式）"),OR($N449="—",$N449="",$N449=0)),1,0)</f>
        <v>0</v>
      </c>
      <c r="Z449" s="32" t="n">
        <f aca="false">IF(AND($F449="Decision",OR($J449="—",$J449="")),1,0)</f>
        <v>0</v>
      </c>
      <c r="AA449" s="33" t="n">
        <f aca="false">IF(OR($J449="—",$J449=""),0,IF(COUNTIF(Decisions!$A$5:$A$300,$J449)=0,1,0))</f>
        <v>0</v>
      </c>
      <c r="AB449" s="32" t="n">
        <f aca="false">IF(AND($F449="原始數據",$S449&lt;&gt;"Active"),1,0)</f>
        <v>0</v>
      </c>
      <c r="AC449" s="32" t="n">
        <f aca="false">IF(AND(ISNUMBER($K449),ISNUMBER($L449),ISNUMBER($Q449)),IF(OR($Q449&lt;MIN($K449,$L449),$Q449&gt;MAX($K449,$L449)),1,0),0)</f>
        <v>0</v>
      </c>
      <c r="AD449" s="32" t="n">
        <f aca="false">IF(AND(ISNUMBER($T449),$P449="高"),IF($T449=3,1,0),0)</f>
        <v>0</v>
      </c>
      <c r="AE449" s="32" t="n">
        <f aca="false">IF($S449="不存在",1,0)</f>
        <v>0</v>
      </c>
      <c r="AF449" s="44" t="str">
        <f aca="false">IF(OR($H449="—",$H449=""),"—",MATCH($H449,IDX_SrcID,0))</f>
        <v>—</v>
      </c>
      <c r="AG449" s="32" t="n">
        <f aca="false">IF(AND($P449="高",OR($AD449=1,$X449=1)),1,0)</f>
        <v>0</v>
      </c>
      <c r="AH449" s="32" t="n">
        <f aca="false">IF(AND($P449="高",$AG449=0,OR($F449&lt;&gt;"原始數據",$T449&lt;&gt;1)),1,0)</f>
        <v>0</v>
      </c>
      <c r="AI449" s="44" t="str">
        <f aca="false">IF(AND($P449="高",ISNUMBER($AF449)),INDEX(IDX_SrcDate,$AF449),"—")</f>
        <v>—</v>
      </c>
      <c r="AJ449" s="32" t="n">
        <f aca="false">IF(AND(ISTEXT($AI449),LEN($AI449)=10),IF(ISNUMBER(VALUE(SUBSTITUTE($AI449,"-",""))),VALUE(SUBSTITUTE($AI449,"-","")),0),0)</f>
        <v>0</v>
      </c>
    </row>
    <row r="450" customFormat="false" ht="29.25" hidden="false" customHeight="true" outlineLevel="0" collapsed="false">
      <c r="A450" s="30" t="s">
        <v>5625</v>
      </c>
      <c r="B450" s="239" t="s">
        <v>5607</v>
      </c>
      <c r="C450" s="30" t="s">
        <v>5608</v>
      </c>
      <c r="D450" s="30" t="s">
        <v>5626</v>
      </c>
      <c r="E450" s="20" t="s">
        <v>5623</v>
      </c>
      <c r="F450" s="30" t="s">
        <v>104</v>
      </c>
      <c r="G450" s="239" t="s">
        <v>5614</v>
      </c>
      <c r="H450" s="30" t="s">
        <v>751</v>
      </c>
      <c r="I450" s="6" t="s">
        <v>751</v>
      </c>
      <c r="J450" s="30" t="s">
        <v>4391</v>
      </c>
      <c r="K450" s="239"/>
      <c r="L450" s="239"/>
      <c r="M450" s="30" t="s">
        <v>5627</v>
      </c>
      <c r="N450" s="6" t="s">
        <v>5624</v>
      </c>
      <c r="O450" s="6" t="s">
        <v>751</v>
      </c>
      <c r="P450" s="239" t="s">
        <v>4530</v>
      </c>
      <c r="Q450" s="184" t="s">
        <v>751</v>
      </c>
      <c r="R450" s="30" t="s">
        <v>751</v>
      </c>
      <c r="S450" s="44" t="str">
        <f aca="false">IF(ISNUMBER($AF450),INDEX(IDX_SrcStat,$AF450),"—")</f>
        <v>—</v>
      </c>
      <c r="T450" s="44" t="str">
        <f aca="false">IF(ISNUMBER($AF450),INDEX(IDX_SrcGrade,$AF450),"—")</f>
        <v>—</v>
      </c>
      <c r="U450" s="30" t="s">
        <v>751</v>
      </c>
      <c r="V450" s="32" t="n">
        <f aca="false">IF(AND($F450="原始數據",$U450&lt;&gt;"連結 SRC"),1,0)</f>
        <v>0</v>
      </c>
      <c r="W450" s="32" t="n">
        <f aca="false">IF(AND($F450="Analogy",OR($H450="—",$H450="")),1,0)</f>
        <v>0</v>
      </c>
      <c r="X450" s="32" t="n">
        <f aca="false">IF(AND(OR($F450="Analogy",$F450="Assumed"),$G450&lt;&gt;"低",$G450&lt;&gt;"高",NOT(ISNUMBER($K450)),NOT(ISNUMBER($L450)),OR($M450="—",$M450="")),1,0)</f>
        <v>0</v>
      </c>
      <c r="Y450" s="32" t="n">
        <f aca="false">IF(AND(OR($F450="Analogy",$F450="Assumed",$F450="Derived（待改公式）",$F450="Derived（公式）"),OR($N450="—",$N450="",$N450=0)),1,0)</f>
        <v>0</v>
      </c>
      <c r="Z450" s="32" t="n">
        <f aca="false">IF(AND($F450="Decision",OR($J450="—",$J450="")),1,0)</f>
        <v>0</v>
      </c>
      <c r="AA450" s="33" t="n">
        <f aca="false">IF(OR($J450="—",$J450=""),0,IF(COUNTIF(Decisions!$A$5:$A$300,$J450)=0,1,0))</f>
        <v>0</v>
      </c>
      <c r="AB450" s="32" t="n">
        <f aca="false">IF(AND($F450="原始數據",$S450&lt;&gt;"Active"),1,0)</f>
        <v>0</v>
      </c>
      <c r="AC450" s="32" t="n">
        <f aca="false">IF(AND(ISNUMBER($K450),ISNUMBER($L450),ISNUMBER($Q450)),IF(OR($Q450&lt;MIN($K450,$L450),$Q450&gt;MAX($K450,$L450)),1,0),0)</f>
        <v>0</v>
      </c>
      <c r="AD450" s="32" t="n">
        <f aca="false">IF(AND(ISNUMBER($T450),$P450="高"),IF($T450=3,1,0),0)</f>
        <v>0</v>
      </c>
      <c r="AE450" s="32" t="n">
        <f aca="false">IF($S450="不存在",1,0)</f>
        <v>0</v>
      </c>
      <c r="AF450" s="44" t="str">
        <f aca="false">IF(OR($H450="—",$H450=""),"—",MATCH($H450,IDX_SrcID,0))</f>
        <v>—</v>
      </c>
      <c r="AG450" s="32" t="n">
        <f aca="false">IF(AND($P450="高",OR($AD450=1,$X450=1)),1,0)</f>
        <v>0</v>
      </c>
      <c r="AH450" s="32" t="n">
        <f aca="false">IF(AND($P450="高",$AG450=0,OR($F450&lt;&gt;"原始數據",$T450&lt;&gt;1)),1,0)</f>
        <v>0</v>
      </c>
      <c r="AI450" s="44" t="str">
        <f aca="false">IF(AND($P450="高",ISNUMBER($AF450)),INDEX(IDX_SrcDate,$AF450),"—")</f>
        <v>—</v>
      </c>
      <c r="AJ450" s="32" t="n">
        <f aca="false">IF(AND(ISTEXT($AI450),LEN($AI450)=10),IF(ISNUMBER(VALUE(SUBSTITUTE($AI450,"-",""))),VALUE(SUBSTITUTE($AI450,"-","")),0),0)</f>
        <v>0</v>
      </c>
    </row>
    <row r="451" customFormat="false" ht="29.25" hidden="false" customHeight="true" outlineLevel="0" collapsed="false">
      <c r="A451" s="30" t="s">
        <v>5628</v>
      </c>
      <c r="B451" s="239" t="s">
        <v>5607</v>
      </c>
      <c r="C451" s="30" t="s">
        <v>5608</v>
      </c>
      <c r="D451" s="30" t="s">
        <v>5042</v>
      </c>
      <c r="E451" s="20" t="s">
        <v>5629</v>
      </c>
      <c r="F451" s="239" t="s">
        <v>5398</v>
      </c>
      <c r="G451" s="239" t="s">
        <v>97</v>
      </c>
      <c r="H451" s="30" t="s">
        <v>751</v>
      </c>
      <c r="I451" s="6" t="s">
        <v>751</v>
      </c>
      <c r="J451" s="30" t="s">
        <v>751</v>
      </c>
      <c r="K451" s="192" t="n">
        <f aca="false">Cap_In!D15</f>
        <v>0.5</v>
      </c>
      <c r="L451" s="192" t="n">
        <f aca="false">Cap_In!E15</f>
        <v>7</v>
      </c>
      <c r="M451" s="30" t="s">
        <v>751</v>
      </c>
      <c r="N451" s="20" t="s">
        <v>5630</v>
      </c>
      <c r="O451" s="6" t="s">
        <v>751</v>
      </c>
      <c r="P451" s="239" t="s">
        <v>4530</v>
      </c>
      <c r="Q451" s="192" t="n">
        <f aca="false">Cap_In!C15</f>
        <v>1</v>
      </c>
      <c r="R451" s="30" t="s">
        <v>751</v>
      </c>
      <c r="S451" s="44" t="str">
        <f aca="false">IF(ISNUMBER($AF451),INDEX(IDX_SrcStat,$AF451),"—")</f>
        <v>—</v>
      </c>
      <c r="T451" s="44" t="str">
        <f aca="false">IF(ISNUMBER($AF451),INDEX(IDX_SrcGrade,$AF451),"—")</f>
        <v>—</v>
      </c>
      <c r="U451" s="44" t="s">
        <v>4531</v>
      </c>
      <c r="V451" s="32" t="n">
        <f aca="false">IF(AND($F451="原始數據",$U451&lt;&gt;"連結 SRC"),1,0)</f>
        <v>0</v>
      </c>
      <c r="W451" s="32" t="n">
        <f aca="false">IF(AND($F451="Analogy",OR($H451="—",$H451="")),1,0)</f>
        <v>0</v>
      </c>
      <c r="X451" s="32" t="n">
        <f aca="false">IF(AND(OR($F451="Analogy",$F451="Assumed"),$G451&lt;&gt;"低",$G451&lt;&gt;"高",NOT(ISNUMBER($K451)),NOT(ISNUMBER($L451)),OR($M451="—",$M451="")),1,0)</f>
        <v>0</v>
      </c>
      <c r="Y451" s="32" t="n">
        <f aca="false">IF(AND(OR($F451="Analogy",$F451="Assumed",$F451="Derived（待改公式）",$F451="Derived（公式）"),OR($N451="—",$N451="",$N451=0)),1,0)</f>
        <v>0</v>
      </c>
      <c r="Z451" s="32" t="n">
        <f aca="false">IF(AND($F451="Decision",OR($J451="—",$J451="")),1,0)</f>
        <v>0</v>
      </c>
      <c r="AA451" s="33" t="n">
        <f aca="false">IF(OR($J451="—",$J451=""),0,IF(COUNTIF(Decisions!$A$5:$A$300,$J451)=0,1,0))</f>
        <v>0</v>
      </c>
      <c r="AB451" s="32" t="n">
        <f aca="false">IF(AND($F451="原始數據",$S451&lt;&gt;"Active"),1,0)</f>
        <v>0</v>
      </c>
      <c r="AC451" s="32" t="n">
        <f aca="false">IF(AND(ISNUMBER($K451),ISNUMBER($L451),ISNUMBER($Q451)),IF(OR($Q451&lt;MIN($K451,$L451),$Q451&gt;MAX($K451,$L451)),1,0),0)</f>
        <v>0</v>
      </c>
      <c r="AD451" s="32" t="n">
        <f aca="false">IF(AND(ISNUMBER($T451),$P451="高"),IF($T451=3,1,0),0)</f>
        <v>0</v>
      </c>
      <c r="AE451" s="32" t="n">
        <f aca="false">IF($S451="不存在",1,0)</f>
        <v>0</v>
      </c>
      <c r="AF451" s="44" t="str">
        <f aca="false">IF(OR($H451="—",$H451=""),"—",MATCH($H451,IDX_SrcID,0))</f>
        <v>—</v>
      </c>
      <c r="AG451" s="32" t="n">
        <f aca="false">IF(AND($P451="高",OR($AD451=1,$X451=1)),1,0)</f>
        <v>0</v>
      </c>
      <c r="AH451" s="32" t="n">
        <f aca="false">IF(AND($P451="高",$AG451=0,OR($F451&lt;&gt;"原始數據",$T451&lt;&gt;1)),1,0)</f>
        <v>0</v>
      </c>
      <c r="AI451" s="44" t="str">
        <f aca="false">IF(AND($P451="高",ISNUMBER($AF451)),INDEX(IDX_SrcDate,$AF451),"—")</f>
        <v>—</v>
      </c>
      <c r="AJ451" s="32" t="n">
        <f aca="false">IF(AND(ISTEXT($AI451),LEN($AI451)=10),IF(ISNUMBER(VALUE(SUBSTITUTE($AI451,"-",""))),VALUE(SUBSTITUTE($AI451,"-","")),0),0)</f>
        <v>0</v>
      </c>
    </row>
    <row r="452" customFormat="false" ht="29.25" hidden="false" customHeight="true" outlineLevel="0" collapsed="false">
      <c r="A452" s="30" t="s">
        <v>5631</v>
      </c>
      <c r="B452" s="239" t="s">
        <v>5607</v>
      </c>
      <c r="C452" s="30" t="s">
        <v>5608</v>
      </c>
      <c r="D452" s="30" t="s">
        <v>5632</v>
      </c>
      <c r="E452" s="20" t="s">
        <v>5629</v>
      </c>
      <c r="F452" s="239" t="s">
        <v>5398</v>
      </c>
      <c r="G452" s="239" t="s">
        <v>5614</v>
      </c>
      <c r="H452" s="30" t="s">
        <v>751</v>
      </c>
      <c r="I452" s="6" t="s">
        <v>751</v>
      </c>
      <c r="J452" s="30" t="s">
        <v>751</v>
      </c>
      <c r="K452" s="239"/>
      <c r="L452" s="239"/>
      <c r="M452" s="30" t="s">
        <v>5633</v>
      </c>
      <c r="N452" s="20" t="s">
        <v>5630</v>
      </c>
      <c r="O452" s="6" t="s">
        <v>751</v>
      </c>
      <c r="P452" s="239" t="s">
        <v>4530</v>
      </c>
      <c r="Q452" s="184" t="s">
        <v>751</v>
      </c>
      <c r="R452" s="30" t="s">
        <v>751</v>
      </c>
      <c r="S452" s="44" t="str">
        <f aca="false">IF(ISNUMBER($AF452),INDEX(IDX_SrcStat,$AF452),"—")</f>
        <v>—</v>
      </c>
      <c r="T452" s="44" t="str">
        <f aca="false">IF(ISNUMBER($AF452),INDEX(IDX_SrcGrade,$AF452),"—")</f>
        <v>—</v>
      </c>
      <c r="U452" s="30" t="s">
        <v>751</v>
      </c>
      <c r="V452" s="32" t="n">
        <f aca="false">IF(AND($F452="原始數據",$U452&lt;&gt;"連結 SRC"),1,0)</f>
        <v>0</v>
      </c>
      <c r="W452" s="32" t="n">
        <f aca="false">IF(AND($F452="Analogy",OR($H452="—",$H452="")),1,0)</f>
        <v>0</v>
      </c>
      <c r="X452" s="32" t="n">
        <f aca="false">IF(AND(OR($F452="Analogy",$F452="Assumed"),$G452&lt;&gt;"低",$G452&lt;&gt;"高",NOT(ISNUMBER($K452)),NOT(ISNUMBER($L452)),OR($M452="—",$M452="")),1,0)</f>
        <v>0</v>
      </c>
      <c r="Y452" s="32" t="n">
        <f aca="false">IF(AND(OR($F452="Analogy",$F452="Assumed",$F452="Derived（待改公式）",$F452="Derived（公式）"),OR($N452="—",$N452="",$N452=0)),1,0)</f>
        <v>0</v>
      </c>
      <c r="Z452" s="32" t="n">
        <f aca="false">IF(AND($F452="Decision",OR($J452="—",$J452="")),1,0)</f>
        <v>0</v>
      </c>
      <c r="AA452" s="33" t="n">
        <f aca="false">IF(OR($J452="—",$J452=""),0,IF(COUNTIF(Decisions!$A$5:$A$300,$J452)=0,1,0))</f>
        <v>0</v>
      </c>
      <c r="AB452" s="32" t="n">
        <f aca="false">IF(AND($F452="原始數據",$S452&lt;&gt;"Active"),1,0)</f>
        <v>0</v>
      </c>
      <c r="AC452" s="32" t="n">
        <f aca="false">IF(AND(ISNUMBER($K452),ISNUMBER($L452),ISNUMBER($Q452)),IF(OR($Q452&lt;MIN($K452,$L452),$Q452&gt;MAX($K452,$L452)),1,0),0)</f>
        <v>0</v>
      </c>
      <c r="AD452" s="32" t="n">
        <f aca="false">IF(AND(ISNUMBER($T452),$P452="高"),IF($T452=3,1,0),0)</f>
        <v>0</v>
      </c>
      <c r="AE452" s="32" t="n">
        <f aca="false">IF($S452="不存在",1,0)</f>
        <v>0</v>
      </c>
      <c r="AF452" s="44" t="str">
        <f aca="false">IF(OR($H452="—",$H452=""),"—",MATCH($H452,IDX_SrcID,0))</f>
        <v>—</v>
      </c>
      <c r="AG452" s="32" t="n">
        <f aca="false">IF(AND($P452="高",OR($AD452=1,$X452=1)),1,0)</f>
        <v>0</v>
      </c>
      <c r="AH452" s="32" t="n">
        <f aca="false">IF(AND($P452="高",$AG452=0,OR($F452&lt;&gt;"原始數據",$T452&lt;&gt;1)),1,0)</f>
        <v>0</v>
      </c>
      <c r="AI452" s="44" t="str">
        <f aca="false">IF(AND($P452="高",ISNUMBER($AF452)),INDEX(IDX_SrcDate,$AF452),"—")</f>
        <v>—</v>
      </c>
      <c r="AJ452" s="32" t="n">
        <f aca="false">IF(AND(ISTEXT($AI452),LEN($AI452)=10),IF(ISNUMBER(VALUE(SUBSTITUTE($AI452,"-",""))),VALUE(SUBSTITUTE($AI452,"-","")),0),0)</f>
        <v>0</v>
      </c>
    </row>
    <row r="453" customFormat="false" ht="29.25" hidden="false" customHeight="true" outlineLevel="0" collapsed="false">
      <c r="A453" s="30" t="s">
        <v>5634</v>
      </c>
      <c r="B453" s="239" t="s">
        <v>5607</v>
      </c>
      <c r="C453" s="30" t="s">
        <v>5608</v>
      </c>
      <c r="D453" s="30" t="s">
        <v>5635</v>
      </c>
      <c r="E453" s="20" t="s">
        <v>5636</v>
      </c>
      <c r="F453" s="30" t="s">
        <v>104</v>
      </c>
      <c r="G453" s="239" t="s">
        <v>5287</v>
      </c>
      <c r="H453" s="30" t="s">
        <v>751</v>
      </c>
      <c r="I453" s="6" t="s">
        <v>751</v>
      </c>
      <c r="J453" s="30" t="s">
        <v>5637</v>
      </c>
      <c r="K453" s="239"/>
      <c r="L453" s="239"/>
      <c r="M453" s="30" t="s">
        <v>751</v>
      </c>
      <c r="N453" s="6" t="s">
        <v>5638</v>
      </c>
      <c r="O453" s="6" t="s">
        <v>751</v>
      </c>
      <c r="P453" s="239" t="s">
        <v>4530</v>
      </c>
      <c r="Q453" s="184" t="s">
        <v>751</v>
      </c>
      <c r="R453" s="30" t="s">
        <v>751</v>
      </c>
      <c r="S453" s="44" t="str">
        <f aca="false">IF(ISNUMBER($AF453),INDEX(IDX_SrcStat,$AF453),"—")</f>
        <v>—</v>
      </c>
      <c r="T453" s="44" t="str">
        <f aca="false">IF(ISNUMBER($AF453),INDEX(IDX_SrcGrade,$AF453),"—")</f>
        <v>—</v>
      </c>
      <c r="U453" s="30" t="s">
        <v>751</v>
      </c>
      <c r="V453" s="32" t="n">
        <f aca="false">IF(AND($F453="原始數據",$U453&lt;&gt;"連結 SRC"),1,0)</f>
        <v>0</v>
      </c>
      <c r="W453" s="32" t="n">
        <f aca="false">IF(AND($F453="Analogy",OR($H453="—",$H453="")),1,0)</f>
        <v>0</v>
      </c>
      <c r="X453" s="32" t="n">
        <f aca="false">IF(AND(OR($F453="Analogy",$F453="Assumed"),$G453&lt;&gt;"低",$G453&lt;&gt;"高",NOT(ISNUMBER($K453)),NOT(ISNUMBER($L453)),OR($M453="—",$M453="")),1,0)</f>
        <v>0</v>
      </c>
      <c r="Y453" s="32" t="n">
        <f aca="false">IF(AND(OR($F453="Analogy",$F453="Assumed",$F453="Derived（待改公式）",$F453="Derived（公式）"),OR($N453="—",$N453="",$N453=0)),1,0)</f>
        <v>0</v>
      </c>
      <c r="Z453" s="32" t="n">
        <f aca="false">IF(AND($F453="Decision",OR($J453="—",$J453="")),1,0)</f>
        <v>0</v>
      </c>
      <c r="AA453" s="33" t="n">
        <f aca="false">IF(OR($J453="—",$J453=""),0,IF(COUNTIF(Decisions!$A$5:$A$300,$J453)=0,1,0))</f>
        <v>0</v>
      </c>
      <c r="AB453" s="32" t="n">
        <f aca="false">IF(AND($F453="原始數據",$S453&lt;&gt;"Active"),1,0)</f>
        <v>0</v>
      </c>
      <c r="AC453" s="32" t="n">
        <f aca="false">IF(AND(ISNUMBER($K453),ISNUMBER($L453),ISNUMBER($Q453)),IF(OR($Q453&lt;MIN($K453,$L453),$Q453&gt;MAX($K453,$L453)),1,0),0)</f>
        <v>0</v>
      </c>
      <c r="AD453" s="32" t="n">
        <f aca="false">IF(AND(ISNUMBER($T453),$P453="高"),IF($T453=3,1,0),0)</f>
        <v>0</v>
      </c>
      <c r="AE453" s="32" t="n">
        <f aca="false">IF($S453="不存在",1,0)</f>
        <v>0</v>
      </c>
      <c r="AF453" s="44" t="str">
        <f aca="false">IF(OR($H453="—",$H453=""),"—",MATCH($H453,IDX_SrcID,0))</f>
        <v>—</v>
      </c>
      <c r="AG453" s="32" t="n">
        <f aca="false">IF(AND($P453="高",OR($AD453=1,$X453=1)),1,0)</f>
        <v>0</v>
      </c>
      <c r="AH453" s="32" t="n">
        <f aca="false">IF(AND($P453="高",$AG453=0,OR($F453&lt;&gt;"原始數據",$T453&lt;&gt;1)),1,0)</f>
        <v>0</v>
      </c>
      <c r="AI453" s="44" t="str">
        <f aca="false">IF(AND($P453="高",ISNUMBER($AF453)),INDEX(IDX_SrcDate,$AF453),"—")</f>
        <v>—</v>
      </c>
      <c r="AJ453" s="32" t="n">
        <f aca="false">IF(AND(ISTEXT($AI453),LEN($AI453)=10),IF(ISNUMBER(VALUE(SUBSTITUTE($AI453,"-",""))),VALUE(SUBSTITUTE($AI453,"-","")),0),0)</f>
        <v>0</v>
      </c>
    </row>
    <row r="454" customFormat="false" ht="29.25" hidden="false" customHeight="true" outlineLevel="0" collapsed="false">
      <c r="A454" s="30" t="s">
        <v>5639</v>
      </c>
      <c r="B454" s="239" t="s">
        <v>5607</v>
      </c>
      <c r="C454" s="30" t="s">
        <v>5608</v>
      </c>
      <c r="D454" s="30" t="s">
        <v>5640</v>
      </c>
      <c r="E454" s="20" t="s">
        <v>1326</v>
      </c>
      <c r="F454" s="30" t="s">
        <v>114</v>
      </c>
      <c r="G454" s="239" t="s">
        <v>5287</v>
      </c>
      <c r="H454" s="30" t="s">
        <v>751</v>
      </c>
      <c r="I454" s="6" t="s">
        <v>751</v>
      </c>
      <c r="J454" s="30" t="s">
        <v>4394</v>
      </c>
      <c r="K454" s="239"/>
      <c r="L454" s="239"/>
      <c r="M454" s="239" t="s">
        <v>5641</v>
      </c>
      <c r="N454" s="6" t="s">
        <v>5642</v>
      </c>
      <c r="O454" s="6" t="s">
        <v>751</v>
      </c>
      <c r="P454" s="239" t="s">
        <v>4530</v>
      </c>
      <c r="Q454" s="184" t="s">
        <v>751</v>
      </c>
      <c r="R454" s="30" t="s">
        <v>751</v>
      </c>
      <c r="S454" s="44" t="str">
        <f aca="false">IF(ISNUMBER($AF454),INDEX(IDX_SrcStat,$AF454),"—")</f>
        <v>—</v>
      </c>
      <c r="T454" s="44" t="str">
        <f aca="false">IF(ISNUMBER($AF454),INDEX(IDX_SrcGrade,$AF454),"—")</f>
        <v>—</v>
      </c>
      <c r="U454" s="30" t="s">
        <v>751</v>
      </c>
      <c r="V454" s="32" t="n">
        <f aca="false">IF(AND($F454="原始數據",$U454&lt;&gt;"連結 SRC"),1,0)</f>
        <v>0</v>
      </c>
      <c r="W454" s="32" t="n">
        <f aca="false">IF(AND($F454="Analogy",OR($H454="—",$H454="")),1,0)</f>
        <v>0</v>
      </c>
      <c r="X454" s="32" t="n">
        <f aca="false">IF(AND(OR($F454="Analogy",$F454="Assumed"),$G454&lt;&gt;"低",$G454&lt;&gt;"高",NOT(ISNUMBER($K454)),NOT(ISNUMBER($L454)),OR($M454="—",$M454="")),1,0)</f>
        <v>0</v>
      </c>
      <c r="Y454" s="32" t="n">
        <f aca="false">IF(AND(OR($F454="Analogy",$F454="Assumed",$F454="Derived（待改公式）",$F454="Derived（公式）"),OR($N454="—",$N454="",$N454=0)),1,0)</f>
        <v>0</v>
      </c>
      <c r="Z454" s="32" t="n">
        <f aca="false">IF(AND($F454="Decision",OR($J454="—",$J454="")),1,0)</f>
        <v>0</v>
      </c>
      <c r="AA454" s="33" t="n">
        <f aca="false">IF(OR($J454="—",$J454=""),0,IF(COUNTIF(Decisions!$A$5:$A$300,$J454)=0,1,0))</f>
        <v>0</v>
      </c>
      <c r="AB454" s="32" t="n">
        <f aca="false">IF(AND($F454="原始數據",$S454&lt;&gt;"Active"),1,0)</f>
        <v>0</v>
      </c>
      <c r="AC454" s="32" t="n">
        <f aca="false">IF(AND(ISNUMBER($K454),ISNUMBER($L454),ISNUMBER($Q454)),IF(OR($Q454&lt;MIN($K454,$L454),$Q454&gt;MAX($K454,$L454)),1,0),0)</f>
        <v>0</v>
      </c>
      <c r="AD454" s="32" t="n">
        <f aca="false">IF(AND(ISNUMBER($T454),$P454="高"),IF($T454=3,1,0),0)</f>
        <v>0</v>
      </c>
      <c r="AE454" s="32" t="n">
        <f aca="false">IF($S454="不存在",1,0)</f>
        <v>0</v>
      </c>
      <c r="AF454" s="44" t="str">
        <f aca="false">IF(OR($H454="—",$H454=""),"—",MATCH($H454,IDX_SrcID,0))</f>
        <v>—</v>
      </c>
      <c r="AG454" s="32" t="n">
        <f aca="false">IF(AND($P454="高",OR($AD454=1,$X454=1)),1,0)</f>
        <v>0</v>
      </c>
      <c r="AH454" s="32" t="n">
        <f aca="false">IF(AND($P454="高",$AG454=0,OR($F454&lt;&gt;"原始數據",$T454&lt;&gt;1)),1,0)</f>
        <v>0</v>
      </c>
      <c r="AI454" s="44" t="str">
        <f aca="false">IF(AND($P454="高",ISNUMBER($AF454)),INDEX(IDX_SrcDate,$AF454),"—")</f>
        <v>—</v>
      </c>
      <c r="AJ454" s="32" t="n">
        <f aca="false">IF(AND(ISTEXT($AI454),LEN($AI454)=10),IF(ISNUMBER(VALUE(SUBSTITUTE($AI454,"-",""))),VALUE(SUBSTITUTE($AI454,"-","")),0),0)</f>
        <v>0</v>
      </c>
    </row>
    <row r="455" customFormat="false" ht="29.25" hidden="false" customHeight="true" outlineLevel="0" collapsed="false">
      <c r="A455" s="30" t="s">
        <v>5643</v>
      </c>
      <c r="B455" s="239" t="s">
        <v>5607</v>
      </c>
      <c r="C455" s="30" t="s">
        <v>5608</v>
      </c>
      <c r="D455" s="30" t="s">
        <v>5644</v>
      </c>
      <c r="E455" s="20" t="s">
        <v>1329</v>
      </c>
      <c r="F455" s="30" t="s">
        <v>114</v>
      </c>
      <c r="G455" s="239" t="s">
        <v>1308</v>
      </c>
      <c r="H455" s="30" t="s">
        <v>751</v>
      </c>
      <c r="I455" s="6" t="s">
        <v>751</v>
      </c>
      <c r="J455" s="30" t="s">
        <v>4394</v>
      </c>
      <c r="K455" s="239"/>
      <c r="L455" s="239"/>
      <c r="M455" s="30" t="s">
        <v>751</v>
      </c>
      <c r="N455" s="6" t="s">
        <v>5642</v>
      </c>
      <c r="O455" s="6" t="s">
        <v>751</v>
      </c>
      <c r="P455" s="239" t="s">
        <v>4530</v>
      </c>
      <c r="Q455" s="184" t="s">
        <v>751</v>
      </c>
      <c r="R455" s="30" t="s">
        <v>751</v>
      </c>
      <c r="S455" s="44" t="str">
        <f aca="false">IF(ISNUMBER($AF455),INDEX(IDX_SrcStat,$AF455),"—")</f>
        <v>—</v>
      </c>
      <c r="T455" s="44" t="str">
        <f aca="false">IF(ISNUMBER($AF455),INDEX(IDX_SrcGrade,$AF455),"—")</f>
        <v>—</v>
      </c>
      <c r="U455" s="30" t="s">
        <v>751</v>
      </c>
      <c r="V455" s="32" t="n">
        <f aca="false">IF(AND($F455="原始數據",$U455&lt;&gt;"連結 SRC"),1,0)</f>
        <v>0</v>
      </c>
      <c r="W455" s="32" t="n">
        <f aca="false">IF(AND($F455="Analogy",OR($H455="—",$H455="")),1,0)</f>
        <v>0</v>
      </c>
      <c r="X455" s="32" t="n">
        <f aca="false">IF(AND(OR($F455="Analogy",$F455="Assumed"),$G455&lt;&gt;"低",$G455&lt;&gt;"高",NOT(ISNUMBER($K455)),NOT(ISNUMBER($L455)),OR($M455="—",$M455="")),1,0)</f>
        <v>0</v>
      </c>
      <c r="Y455" s="32" t="n">
        <f aca="false">IF(AND(OR($F455="Analogy",$F455="Assumed",$F455="Derived（待改公式）",$F455="Derived（公式）"),OR($N455="—",$N455="",$N455=0)),1,0)</f>
        <v>0</v>
      </c>
      <c r="Z455" s="32" t="n">
        <f aca="false">IF(AND($F455="Decision",OR($J455="—",$J455="")),1,0)</f>
        <v>0</v>
      </c>
      <c r="AA455" s="33" t="n">
        <f aca="false">IF(OR($J455="—",$J455=""),0,IF(COUNTIF(Decisions!$A$5:$A$300,$J455)=0,1,0))</f>
        <v>0</v>
      </c>
      <c r="AB455" s="32" t="n">
        <f aca="false">IF(AND($F455="原始數據",$S455&lt;&gt;"Active"),1,0)</f>
        <v>0</v>
      </c>
      <c r="AC455" s="32" t="n">
        <f aca="false">IF(AND(ISNUMBER($K455),ISNUMBER($L455),ISNUMBER($Q455)),IF(OR($Q455&lt;MIN($K455,$L455),$Q455&gt;MAX($K455,$L455)),1,0),0)</f>
        <v>0</v>
      </c>
      <c r="AD455" s="32" t="n">
        <f aca="false">IF(AND(ISNUMBER($T455),$P455="高"),IF($T455=3,1,0),0)</f>
        <v>0</v>
      </c>
      <c r="AE455" s="32" t="n">
        <f aca="false">IF($S455="不存在",1,0)</f>
        <v>0</v>
      </c>
      <c r="AF455" s="44" t="str">
        <f aca="false">IF(OR($H455="—",$H455=""),"—",MATCH($H455,IDX_SrcID,0))</f>
        <v>—</v>
      </c>
      <c r="AG455" s="32" t="n">
        <f aca="false">IF(AND($P455="高",OR($AD455=1,$X455=1)),1,0)</f>
        <v>0</v>
      </c>
      <c r="AH455" s="32" t="n">
        <f aca="false">IF(AND($P455="高",$AG455=0,OR($F455&lt;&gt;"原始數據",$T455&lt;&gt;1)),1,0)</f>
        <v>0</v>
      </c>
      <c r="AI455" s="44" t="str">
        <f aca="false">IF(AND($P455="高",ISNUMBER($AF455)),INDEX(IDX_SrcDate,$AF455),"—")</f>
        <v>—</v>
      </c>
      <c r="AJ455" s="32" t="n">
        <f aca="false">IF(AND(ISTEXT($AI455),LEN($AI455)=10),IF(ISNUMBER(VALUE(SUBSTITUTE($AI455,"-",""))),VALUE(SUBSTITUTE($AI455,"-","")),0),0)</f>
        <v>0</v>
      </c>
    </row>
    <row r="456" customFormat="false" ht="29.25" hidden="false" customHeight="true" outlineLevel="0" collapsed="false">
      <c r="A456" s="30" t="s">
        <v>5645</v>
      </c>
      <c r="B456" s="239" t="s">
        <v>5607</v>
      </c>
      <c r="C456" s="30" t="s">
        <v>5608</v>
      </c>
      <c r="D456" s="30" t="s">
        <v>5646</v>
      </c>
      <c r="E456" s="20" t="s">
        <v>1330</v>
      </c>
      <c r="F456" s="30" t="s">
        <v>114</v>
      </c>
      <c r="G456" s="239" t="s">
        <v>1309</v>
      </c>
      <c r="H456" s="30" t="s">
        <v>751</v>
      </c>
      <c r="I456" s="6" t="s">
        <v>751</v>
      </c>
      <c r="J456" s="30" t="s">
        <v>4394</v>
      </c>
      <c r="K456" s="239"/>
      <c r="L456" s="239"/>
      <c r="M456" s="30" t="s">
        <v>751</v>
      </c>
      <c r="N456" s="6" t="s">
        <v>5642</v>
      </c>
      <c r="O456" s="6" t="s">
        <v>751</v>
      </c>
      <c r="P456" s="239" t="s">
        <v>4530</v>
      </c>
      <c r="Q456" s="184" t="s">
        <v>751</v>
      </c>
      <c r="R456" s="30" t="s">
        <v>751</v>
      </c>
      <c r="S456" s="44" t="str">
        <f aca="false">IF(ISNUMBER($AF456),INDEX(IDX_SrcStat,$AF456),"—")</f>
        <v>—</v>
      </c>
      <c r="T456" s="44" t="str">
        <f aca="false">IF(ISNUMBER($AF456),INDEX(IDX_SrcGrade,$AF456),"—")</f>
        <v>—</v>
      </c>
      <c r="U456" s="30" t="s">
        <v>751</v>
      </c>
      <c r="V456" s="32" t="n">
        <f aca="false">IF(AND($F456="原始數據",$U456&lt;&gt;"連結 SRC"),1,0)</f>
        <v>0</v>
      </c>
      <c r="W456" s="32" t="n">
        <f aca="false">IF(AND($F456="Analogy",OR($H456="—",$H456="")),1,0)</f>
        <v>0</v>
      </c>
      <c r="X456" s="32" t="n">
        <f aca="false">IF(AND(OR($F456="Analogy",$F456="Assumed"),$G456&lt;&gt;"低",$G456&lt;&gt;"高",NOT(ISNUMBER($K456)),NOT(ISNUMBER($L456)),OR($M456="—",$M456="")),1,0)</f>
        <v>0</v>
      </c>
      <c r="Y456" s="32" t="n">
        <f aca="false">IF(AND(OR($F456="Analogy",$F456="Assumed",$F456="Derived（待改公式）",$F456="Derived（公式）"),OR($N456="—",$N456="",$N456=0)),1,0)</f>
        <v>0</v>
      </c>
      <c r="Z456" s="32" t="n">
        <f aca="false">IF(AND($F456="Decision",OR($J456="—",$J456="")),1,0)</f>
        <v>0</v>
      </c>
      <c r="AA456" s="33" t="n">
        <f aca="false">IF(OR($J456="—",$J456=""),0,IF(COUNTIF(Decisions!$A$5:$A$300,$J456)=0,1,0))</f>
        <v>0</v>
      </c>
      <c r="AB456" s="32" t="n">
        <f aca="false">IF(AND($F456="原始數據",$S456&lt;&gt;"Active"),1,0)</f>
        <v>0</v>
      </c>
      <c r="AC456" s="32" t="n">
        <f aca="false">IF(AND(ISNUMBER($K456),ISNUMBER($L456),ISNUMBER($Q456)),IF(OR($Q456&lt;MIN($K456,$L456),$Q456&gt;MAX($K456,$L456)),1,0),0)</f>
        <v>0</v>
      </c>
      <c r="AD456" s="32" t="n">
        <f aca="false">IF(AND(ISNUMBER($T456),$P456="高"),IF($T456=3,1,0),0)</f>
        <v>0</v>
      </c>
      <c r="AE456" s="32" t="n">
        <f aca="false">IF($S456="不存在",1,0)</f>
        <v>0</v>
      </c>
      <c r="AF456" s="44" t="str">
        <f aca="false">IF(OR($H456="—",$H456=""),"—",MATCH($H456,IDX_SrcID,0))</f>
        <v>—</v>
      </c>
      <c r="AG456" s="32" t="n">
        <f aca="false">IF(AND($P456="高",OR($AD456=1,$X456=1)),1,0)</f>
        <v>0</v>
      </c>
      <c r="AH456" s="32" t="n">
        <f aca="false">IF(AND($P456="高",$AG456=0,OR($F456&lt;&gt;"原始數據",$T456&lt;&gt;1)),1,0)</f>
        <v>0</v>
      </c>
      <c r="AI456" s="44" t="str">
        <f aca="false">IF(AND($P456="高",ISNUMBER($AF456)),INDEX(IDX_SrcDate,$AF456),"—")</f>
        <v>—</v>
      </c>
      <c r="AJ456" s="32" t="n">
        <f aca="false">IF(AND(ISTEXT($AI456),LEN($AI456)=10),IF(ISNUMBER(VALUE(SUBSTITUTE($AI456,"-",""))),VALUE(SUBSTITUTE($AI456,"-","")),0),0)</f>
        <v>0</v>
      </c>
    </row>
    <row r="457" customFormat="false" ht="43.5" hidden="false" customHeight="true" outlineLevel="0" collapsed="false">
      <c r="A457" s="30" t="s">
        <v>5647</v>
      </c>
      <c r="B457" s="239" t="s">
        <v>5607</v>
      </c>
      <c r="C457" s="30" t="s">
        <v>5608</v>
      </c>
      <c r="D457" s="30" t="s">
        <v>4883</v>
      </c>
      <c r="E457" s="20" t="s">
        <v>1332</v>
      </c>
      <c r="F457" s="239" t="s">
        <v>4718</v>
      </c>
      <c r="G457" s="239" t="s">
        <v>97</v>
      </c>
      <c r="H457" s="30" t="s">
        <v>3425</v>
      </c>
      <c r="I457" s="20" t="s">
        <v>5648</v>
      </c>
      <c r="J457" s="30" t="s">
        <v>4400</v>
      </c>
      <c r="K457" s="194" t="n">
        <f aca="false">Cap_In!D28</f>
        <v>0.3</v>
      </c>
      <c r="L457" s="194" t="n">
        <f aca="false">Cap_In!E28</f>
        <v>0.6</v>
      </c>
      <c r="M457" s="30" t="s">
        <v>751</v>
      </c>
      <c r="N457" s="20" t="s">
        <v>5649</v>
      </c>
      <c r="O457" s="6" t="s">
        <v>5650</v>
      </c>
      <c r="P457" s="239" t="s">
        <v>1309</v>
      </c>
      <c r="Q457" s="194" t="n">
        <f aca="false">Cap_In!C28</f>
        <v>0.41</v>
      </c>
      <c r="R457" s="184" t="n">
        <f aca="false">SRC_DEM_004</f>
        <v>8.4</v>
      </c>
      <c r="S457" s="44" t="str">
        <f aca="false">IF(ISNUMBER($AF457),INDEX(IDX_SrcStat,$AF457),"—")</f>
        <v>Active</v>
      </c>
      <c r="T457" s="44" t="n">
        <f aca="false">IF(ISNUMBER($AF457),INDEX(IDX_SrcGrade,$AF457),"—")</f>
        <v>2</v>
      </c>
      <c r="U457" s="44" t="s">
        <v>4531</v>
      </c>
      <c r="V457" s="32" t="n">
        <f aca="false">IF(AND($F457="原始數據",$U457&lt;&gt;"連結 SRC"),1,0)</f>
        <v>0</v>
      </c>
      <c r="W457" s="32" t="n">
        <f aca="false">IF(AND($F457="Analogy",OR($H457="—",$H457="")),1,0)</f>
        <v>0</v>
      </c>
      <c r="X457" s="32" t="n">
        <f aca="false">IF(AND(OR($F457="Analogy",$F457="Assumed"),$G457&lt;&gt;"低",$G457&lt;&gt;"高",NOT(ISNUMBER($K457)),NOT(ISNUMBER($L457)),OR($M457="—",$M457="")),1,0)</f>
        <v>0</v>
      </c>
      <c r="Y457" s="32" t="n">
        <f aca="false">IF(AND(OR($F457="Analogy",$F457="Assumed",$F457="Derived（待改公式）",$F457="Derived（公式）"),OR($N457="—",$N457="",$N457=0)),1,0)</f>
        <v>0</v>
      </c>
      <c r="Z457" s="32" t="n">
        <f aca="false">IF(AND($F457="Decision",OR($J457="—",$J457="")),1,0)</f>
        <v>0</v>
      </c>
      <c r="AA457" s="33" t="n">
        <f aca="false">IF(OR($J457="—",$J457=""),0,IF(COUNTIF(Decisions!$A$5:$A$300,$J457)=0,1,0))</f>
        <v>0</v>
      </c>
      <c r="AB457" s="32" t="n">
        <f aca="false">IF(AND($F457="原始數據",$S457&lt;&gt;"Active"),1,0)</f>
        <v>0</v>
      </c>
      <c r="AC457" s="32" t="n">
        <f aca="false">IF(AND(ISNUMBER($K457),ISNUMBER($L457),ISNUMBER($Q457)),IF(OR($Q457&lt;MIN($K457,$L457),$Q457&gt;MAX($K457,$L457)),1,0),0)</f>
        <v>0</v>
      </c>
      <c r="AD457" s="32" t="n">
        <f aca="false">IF(AND(ISNUMBER($T457),$P457="高"),IF($T457=3,1,0),0)</f>
        <v>0</v>
      </c>
      <c r="AE457" s="32" t="n">
        <f aca="false">IF($S457="不存在",1,0)</f>
        <v>0</v>
      </c>
      <c r="AF457" s="44" t="n">
        <f aca="false">IF(OR($H457="—",$H457=""),"—",MATCH($H457,IDX_SrcID,0))</f>
        <v>657</v>
      </c>
      <c r="AG457" s="32" t="n">
        <f aca="false">IF(AND($P457="高",OR($AD457=1,$X457=1)),1,0)</f>
        <v>0</v>
      </c>
      <c r="AH457" s="32" t="n">
        <f aca="false">IF(AND($P457="高",$AG457=0,OR($F457&lt;&gt;"原始數據",$T457&lt;&gt;1)),1,0)</f>
        <v>1</v>
      </c>
      <c r="AI457" s="44" t="str">
        <f aca="false">IF(AND($P457="高",ISNUMBER($AF457)),INDEX(IDX_SrcDate,$AF457),"—")</f>
        <v>—</v>
      </c>
      <c r="AJ457" s="32" t="n">
        <f aca="false">IF(AND(ISTEXT($AI457),LEN($AI457)=10),IF(ISNUMBER(VALUE(SUBSTITUTE($AI457,"-",""))),VALUE(SUBSTITUTE($AI457,"-","")),0),0)</f>
        <v>0</v>
      </c>
    </row>
    <row r="458" customFormat="false" ht="15" hidden="false" customHeight="true" outlineLevel="0" collapsed="false">
      <c r="A458" s="30" t="s">
        <v>5651</v>
      </c>
      <c r="B458" s="239" t="s">
        <v>5607</v>
      </c>
      <c r="C458" s="30" t="s">
        <v>5608</v>
      </c>
      <c r="D458" s="30" t="s">
        <v>5652</v>
      </c>
      <c r="E458" s="20" t="s">
        <v>1332</v>
      </c>
      <c r="F458" s="30" t="s">
        <v>114</v>
      </c>
      <c r="G458" s="239" t="s">
        <v>5614</v>
      </c>
      <c r="H458" s="30" t="s">
        <v>751</v>
      </c>
      <c r="I458" s="6" t="s">
        <v>751</v>
      </c>
      <c r="J458" s="30" t="s">
        <v>4400</v>
      </c>
      <c r="K458" s="239"/>
      <c r="L458" s="239"/>
      <c r="M458" s="30" t="s">
        <v>5653</v>
      </c>
      <c r="N458" s="6" t="s">
        <v>5654</v>
      </c>
      <c r="O458" s="6" t="s">
        <v>751</v>
      </c>
      <c r="P458" s="239" t="s">
        <v>1309</v>
      </c>
      <c r="Q458" s="184" t="s">
        <v>751</v>
      </c>
      <c r="R458" s="30" t="s">
        <v>751</v>
      </c>
      <c r="S458" s="44" t="str">
        <f aca="false">IF(ISNUMBER($AF458),INDEX(IDX_SrcStat,$AF458),"—")</f>
        <v>—</v>
      </c>
      <c r="T458" s="44" t="str">
        <f aca="false">IF(ISNUMBER($AF458),INDEX(IDX_SrcGrade,$AF458),"—")</f>
        <v>—</v>
      </c>
      <c r="U458" s="30" t="s">
        <v>751</v>
      </c>
      <c r="V458" s="32" t="n">
        <f aca="false">IF(AND($F458="原始數據",$U458&lt;&gt;"連結 SRC"),1,0)</f>
        <v>0</v>
      </c>
      <c r="W458" s="32" t="n">
        <f aca="false">IF(AND($F458="Analogy",OR($H458="—",$H458="")),1,0)</f>
        <v>0</v>
      </c>
      <c r="X458" s="32" t="n">
        <f aca="false">IF(AND(OR($F458="Analogy",$F458="Assumed"),$G458&lt;&gt;"低",$G458&lt;&gt;"高",NOT(ISNUMBER($K458)),NOT(ISNUMBER($L458)),OR($M458="—",$M458="")),1,0)</f>
        <v>0</v>
      </c>
      <c r="Y458" s="32" t="n">
        <f aca="false">IF(AND(OR($F458="Analogy",$F458="Assumed",$F458="Derived（待改公式）",$F458="Derived（公式）"),OR($N458="—",$N458="",$N458=0)),1,0)</f>
        <v>0</v>
      </c>
      <c r="Z458" s="32" t="n">
        <f aca="false">IF(AND($F458="Decision",OR($J458="—",$J458="")),1,0)</f>
        <v>0</v>
      </c>
      <c r="AA458" s="33" t="n">
        <f aca="false">IF(OR($J458="—",$J458=""),0,IF(COUNTIF(Decisions!$A$5:$A$300,$J458)=0,1,0))</f>
        <v>0</v>
      </c>
      <c r="AB458" s="32" t="n">
        <f aca="false">IF(AND($F458="原始數據",$S458&lt;&gt;"Active"),1,0)</f>
        <v>0</v>
      </c>
      <c r="AC458" s="32" t="n">
        <f aca="false">IF(AND(ISNUMBER($K458),ISNUMBER($L458),ISNUMBER($Q458)),IF(OR($Q458&lt;MIN($K458,$L458),$Q458&gt;MAX($K458,$L458)),1,0),0)</f>
        <v>0</v>
      </c>
      <c r="AD458" s="32" t="n">
        <f aca="false">IF(AND(ISNUMBER($T458),$P458="高"),IF($T458=3,1,0),0)</f>
        <v>0</v>
      </c>
      <c r="AE458" s="32" t="n">
        <f aca="false">IF($S458="不存在",1,0)</f>
        <v>0</v>
      </c>
      <c r="AF458" s="44" t="str">
        <f aca="false">IF(OR($H458="—",$H458=""),"—",MATCH($H458,IDX_SrcID,0))</f>
        <v>—</v>
      </c>
      <c r="AG458" s="32" t="n">
        <f aca="false">IF(AND($P458="高",OR($AD458=1,$X458=1)),1,0)</f>
        <v>0</v>
      </c>
      <c r="AH458" s="32" t="n">
        <f aca="false">IF(AND($P458="高",$AG458=0,OR($F458&lt;&gt;"原始數據",$T458&lt;&gt;1)),1,0)</f>
        <v>1</v>
      </c>
      <c r="AI458" s="44" t="str">
        <f aca="false">IF(AND($P458="高",ISNUMBER($AF458)),INDEX(IDX_SrcDate,$AF458),"—")</f>
        <v>—</v>
      </c>
      <c r="AJ458" s="32" t="n">
        <f aca="false">IF(AND(ISTEXT($AI458),LEN($AI458)=10),IF(ISNUMBER(VALUE(SUBSTITUTE($AI458,"-",""))),VALUE(SUBSTITUTE($AI458,"-","")),0),0)</f>
        <v>0</v>
      </c>
    </row>
    <row r="459" customFormat="false" ht="29.25" hidden="false" customHeight="true" outlineLevel="0" collapsed="false">
      <c r="A459" s="30" t="s">
        <v>5655</v>
      </c>
      <c r="B459" s="239" t="s">
        <v>5607</v>
      </c>
      <c r="C459" s="30" t="s">
        <v>5608</v>
      </c>
      <c r="D459" s="30" t="s">
        <v>4893</v>
      </c>
      <c r="E459" s="20" t="s">
        <v>1335</v>
      </c>
      <c r="F459" s="239" t="s">
        <v>4718</v>
      </c>
      <c r="G459" s="239" t="s">
        <v>97</v>
      </c>
      <c r="H459" s="30" t="s">
        <v>3436</v>
      </c>
      <c r="I459" s="20" t="s">
        <v>5656</v>
      </c>
      <c r="J459" s="30" t="s">
        <v>4400</v>
      </c>
      <c r="K459" s="194" t="n">
        <f aca="false">Cap_In!D29</f>
        <v>0.35</v>
      </c>
      <c r="L459" s="194" t="n">
        <f aca="false">Cap_In!E29</f>
        <v>0.6</v>
      </c>
      <c r="M459" s="30" t="s">
        <v>751</v>
      </c>
      <c r="N459" s="20" t="s">
        <v>5657</v>
      </c>
      <c r="O459" s="6" t="s">
        <v>5658</v>
      </c>
      <c r="P459" s="239" t="s">
        <v>1309</v>
      </c>
      <c r="Q459" s="194" t="n">
        <f aca="false">Cap_In!C29</f>
        <v>0.46</v>
      </c>
      <c r="R459" s="184" t="n">
        <f aca="false">SRC_DEM_005</f>
        <v>3.9</v>
      </c>
      <c r="S459" s="44" t="str">
        <f aca="false">IF(ISNUMBER($AF459),INDEX(IDX_SrcStat,$AF459),"—")</f>
        <v>Active</v>
      </c>
      <c r="T459" s="44" t="n">
        <f aca="false">IF(ISNUMBER($AF459),INDEX(IDX_SrcGrade,$AF459),"—")</f>
        <v>2</v>
      </c>
      <c r="U459" s="44" t="s">
        <v>4531</v>
      </c>
      <c r="V459" s="32" t="n">
        <f aca="false">IF(AND($F459="原始數據",$U459&lt;&gt;"連結 SRC"),1,0)</f>
        <v>0</v>
      </c>
      <c r="W459" s="32" t="n">
        <f aca="false">IF(AND($F459="Analogy",OR($H459="—",$H459="")),1,0)</f>
        <v>0</v>
      </c>
      <c r="X459" s="32" t="n">
        <f aca="false">IF(AND(OR($F459="Analogy",$F459="Assumed"),$G459&lt;&gt;"低",$G459&lt;&gt;"高",NOT(ISNUMBER($K459)),NOT(ISNUMBER($L459)),OR($M459="—",$M459="")),1,0)</f>
        <v>0</v>
      </c>
      <c r="Y459" s="32" t="n">
        <f aca="false">IF(AND(OR($F459="Analogy",$F459="Assumed",$F459="Derived（待改公式）",$F459="Derived（公式）"),OR($N459="—",$N459="",$N459=0)),1,0)</f>
        <v>0</v>
      </c>
      <c r="Z459" s="32" t="n">
        <f aca="false">IF(AND($F459="Decision",OR($J459="—",$J459="")),1,0)</f>
        <v>0</v>
      </c>
      <c r="AA459" s="33" t="n">
        <f aca="false">IF(OR($J459="—",$J459=""),0,IF(COUNTIF(Decisions!$A$5:$A$300,$J459)=0,1,0))</f>
        <v>0</v>
      </c>
      <c r="AB459" s="32" t="n">
        <f aca="false">IF(AND($F459="原始數據",$S459&lt;&gt;"Active"),1,0)</f>
        <v>0</v>
      </c>
      <c r="AC459" s="32" t="n">
        <f aca="false">IF(AND(ISNUMBER($K459),ISNUMBER($L459),ISNUMBER($Q459)),IF(OR($Q459&lt;MIN($K459,$L459),$Q459&gt;MAX($K459,$L459)),1,0),0)</f>
        <v>0</v>
      </c>
      <c r="AD459" s="32" t="n">
        <f aca="false">IF(AND(ISNUMBER($T459),$P459="高"),IF($T459=3,1,0),0)</f>
        <v>0</v>
      </c>
      <c r="AE459" s="32" t="n">
        <f aca="false">IF($S459="不存在",1,0)</f>
        <v>0</v>
      </c>
      <c r="AF459" s="44" t="n">
        <f aca="false">IF(OR($H459="—",$H459=""),"—",MATCH($H459,IDX_SrcID,0))</f>
        <v>658</v>
      </c>
      <c r="AG459" s="32" t="n">
        <f aca="false">IF(AND($P459="高",OR($AD459=1,$X459=1)),1,0)</f>
        <v>0</v>
      </c>
      <c r="AH459" s="32" t="n">
        <f aca="false">IF(AND($P459="高",$AG459=0,OR($F459&lt;&gt;"原始數據",$T459&lt;&gt;1)),1,0)</f>
        <v>1</v>
      </c>
      <c r="AI459" s="44" t="str">
        <f aca="false">IF(AND($P459="高",ISNUMBER($AF459)),INDEX(IDX_SrcDate,$AF459),"—")</f>
        <v>—</v>
      </c>
      <c r="AJ459" s="32" t="n">
        <f aca="false">IF(AND(ISTEXT($AI459),LEN($AI459)=10),IF(ISNUMBER(VALUE(SUBSTITUTE($AI459,"-",""))),VALUE(SUBSTITUTE($AI459,"-","")),0),0)</f>
        <v>0</v>
      </c>
    </row>
    <row r="460" customFormat="false" ht="15" hidden="false" customHeight="true" outlineLevel="0" collapsed="false">
      <c r="A460" s="30" t="s">
        <v>5659</v>
      </c>
      <c r="B460" s="239" t="s">
        <v>5607</v>
      </c>
      <c r="C460" s="30" t="s">
        <v>5608</v>
      </c>
      <c r="D460" s="30" t="s">
        <v>5660</v>
      </c>
      <c r="E460" s="20" t="s">
        <v>1335</v>
      </c>
      <c r="F460" s="30" t="s">
        <v>114</v>
      </c>
      <c r="G460" s="239" t="s">
        <v>5614</v>
      </c>
      <c r="H460" s="30" t="s">
        <v>751</v>
      </c>
      <c r="I460" s="6" t="s">
        <v>751</v>
      </c>
      <c r="J460" s="30" t="s">
        <v>4400</v>
      </c>
      <c r="K460" s="239"/>
      <c r="L460" s="239"/>
      <c r="M460" s="30" t="s">
        <v>5661</v>
      </c>
      <c r="N460" s="6" t="s">
        <v>5662</v>
      </c>
      <c r="O460" s="6" t="s">
        <v>751</v>
      </c>
      <c r="P460" s="239" t="s">
        <v>1309</v>
      </c>
      <c r="Q460" s="184" t="s">
        <v>751</v>
      </c>
      <c r="R460" s="30" t="s">
        <v>751</v>
      </c>
      <c r="S460" s="44" t="str">
        <f aca="false">IF(ISNUMBER($AF460),INDEX(IDX_SrcStat,$AF460),"—")</f>
        <v>—</v>
      </c>
      <c r="T460" s="44" t="str">
        <f aca="false">IF(ISNUMBER($AF460),INDEX(IDX_SrcGrade,$AF460),"—")</f>
        <v>—</v>
      </c>
      <c r="U460" s="30" t="s">
        <v>751</v>
      </c>
      <c r="V460" s="32" t="n">
        <f aca="false">IF(AND($F460="原始數據",$U460&lt;&gt;"連結 SRC"),1,0)</f>
        <v>0</v>
      </c>
      <c r="W460" s="32" t="n">
        <f aca="false">IF(AND($F460="Analogy",OR($H460="—",$H460="")),1,0)</f>
        <v>0</v>
      </c>
      <c r="X460" s="32" t="n">
        <f aca="false">IF(AND(OR($F460="Analogy",$F460="Assumed"),$G460&lt;&gt;"低",$G460&lt;&gt;"高",NOT(ISNUMBER($K460)),NOT(ISNUMBER($L460)),OR($M460="—",$M460="")),1,0)</f>
        <v>0</v>
      </c>
      <c r="Y460" s="32" t="n">
        <f aca="false">IF(AND(OR($F460="Analogy",$F460="Assumed",$F460="Derived（待改公式）",$F460="Derived（公式）"),OR($N460="—",$N460="",$N460=0)),1,0)</f>
        <v>0</v>
      </c>
      <c r="Z460" s="32" t="n">
        <f aca="false">IF(AND($F460="Decision",OR($J460="—",$J460="")),1,0)</f>
        <v>0</v>
      </c>
      <c r="AA460" s="33" t="n">
        <f aca="false">IF(OR($J460="—",$J460=""),0,IF(COUNTIF(Decisions!$A$5:$A$300,$J460)=0,1,0))</f>
        <v>0</v>
      </c>
      <c r="AB460" s="32" t="n">
        <f aca="false">IF(AND($F460="原始數據",$S460&lt;&gt;"Active"),1,0)</f>
        <v>0</v>
      </c>
      <c r="AC460" s="32" t="n">
        <f aca="false">IF(AND(ISNUMBER($K460),ISNUMBER($L460),ISNUMBER($Q460)),IF(OR($Q460&lt;MIN($K460,$L460),$Q460&gt;MAX($K460,$L460)),1,0),0)</f>
        <v>0</v>
      </c>
      <c r="AD460" s="32" t="n">
        <f aca="false">IF(AND(ISNUMBER($T460),$P460="高"),IF($T460=3,1,0),0)</f>
        <v>0</v>
      </c>
      <c r="AE460" s="32" t="n">
        <f aca="false">IF($S460="不存在",1,0)</f>
        <v>0</v>
      </c>
      <c r="AF460" s="44" t="str">
        <f aca="false">IF(OR($H460="—",$H460=""),"—",MATCH($H460,IDX_SrcID,0))</f>
        <v>—</v>
      </c>
      <c r="AG460" s="32" t="n">
        <f aca="false">IF(AND($P460="高",OR($AD460=1,$X460=1)),1,0)</f>
        <v>0</v>
      </c>
      <c r="AH460" s="32" t="n">
        <f aca="false">IF(AND($P460="高",$AG460=0,OR($F460&lt;&gt;"原始數據",$T460&lt;&gt;1)),1,0)</f>
        <v>1</v>
      </c>
      <c r="AI460" s="44" t="str">
        <f aca="false">IF(AND($P460="高",ISNUMBER($AF460)),INDEX(IDX_SrcDate,$AF460),"—")</f>
        <v>—</v>
      </c>
      <c r="AJ460" s="32" t="n">
        <f aca="false">IF(AND(ISTEXT($AI460),LEN($AI460)=10),IF(ISNUMBER(VALUE(SUBSTITUTE($AI460,"-",""))),VALUE(SUBSTITUTE($AI460,"-","")),0),0)</f>
        <v>0</v>
      </c>
    </row>
    <row r="461" customFormat="false" ht="29.25" hidden="false" customHeight="true" outlineLevel="0" collapsed="false">
      <c r="A461" s="30" t="s">
        <v>5663</v>
      </c>
      <c r="B461" s="239" t="s">
        <v>5607</v>
      </c>
      <c r="C461" s="30" t="s">
        <v>5608</v>
      </c>
      <c r="D461" s="30" t="s">
        <v>5664</v>
      </c>
      <c r="E461" s="20" t="s">
        <v>5665</v>
      </c>
      <c r="F461" s="30" t="s">
        <v>114</v>
      </c>
      <c r="G461" s="239" t="s">
        <v>5287</v>
      </c>
      <c r="H461" s="30" t="s">
        <v>751</v>
      </c>
      <c r="I461" s="6" t="s">
        <v>751</v>
      </c>
      <c r="J461" s="30" t="s">
        <v>4400</v>
      </c>
      <c r="K461" s="239"/>
      <c r="L461" s="239"/>
      <c r="M461" s="239" t="s">
        <v>5666</v>
      </c>
      <c r="N461" s="6" t="s">
        <v>5667</v>
      </c>
      <c r="O461" s="6" t="s">
        <v>751</v>
      </c>
      <c r="P461" s="239" t="s">
        <v>4530</v>
      </c>
      <c r="Q461" s="184" t="s">
        <v>751</v>
      </c>
      <c r="R461" s="30" t="s">
        <v>751</v>
      </c>
      <c r="S461" s="44" t="str">
        <f aca="false">IF(ISNUMBER($AF461),INDEX(IDX_SrcStat,$AF461),"—")</f>
        <v>—</v>
      </c>
      <c r="T461" s="44" t="str">
        <f aca="false">IF(ISNUMBER($AF461),INDEX(IDX_SrcGrade,$AF461),"—")</f>
        <v>—</v>
      </c>
      <c r="U461" s="30" t="s">
        <v>751</v>
      </c>
      <c r="V461" s="32" t="n">
        <f aca="false">IF(AND($F461="原始數據",$U461&lt;&gt;"連結 SRC"),1,0)</f>
        <v>0</v>
      </c>
      <c r="W461" s="32" t="n">
        <f aca="false">IF(AND($F461="Analogy",OR($H461="—",$H461="")),1,0)</f>
        <v>0</v>
      </c>
      <c r="X461" s="32" t="n">
        <f aca="false">IF(AND(OR($F461="Analogy",$F461="Assumed"),$G461&lt;&gt;"低",$G461&lt;&gt;"高",NOT(ISNUMBER($K461)),NOT(ISNUMBER($L461)),OR($M461="—",$M461="")),1,0)</f>
        <v>0</v>
      </c>
      <c r="Y461" s="32" t="n">
        <f aca="false">IF(AND(OR($F461="Analogy",$F461="Assumed",$F461="Derived（待改公式）",$F461="Derived（公式）"),OR($N461="—",$N461="",$N461=0)),1,0)</f>
        <v>0</v>
      </c>
      <c r="Z461" s="32" t="n">
        <f aca="false">IF(AND($F461="Decision",OR($J461="—",$J461="")),1,0)</f>
        <v>0</v>
      </c>
      <c r="AA461" s="33" t="n">
        <f aca="false">IF(OR($J461="—",$J461=""),0,IF(COUNTIF(Decisions!$A$5:$A$300,$J461)=0,1,0))</f>
        <v>0</v>
      </c>
      <c r="AB461" s="32" t="n">
        <f aca="false">IF(AND($F461="原始數據",$S461&lt;&gt;"Active"),1,0)</f>
        <v>0</v>
      </c>
      <c r="AC461" s="32" t="n">
        <f aca="false">IF(AND(ISNUMBER($K461),ISNUMBER($L461),ISNUMBER($Q461)),IF(OR($Q461&lt;MIN($K461,$L461),$Q461&gt;MAX($K461,$L461)),1,0),0)</f>
        <v>0</v>
      </c>
      <c r="AD461" s="32" t="n">
        <f aca="false">IF(AND(ISNUMBER($T461),$P461="高"),IF($T461=3,1,0),0)</f>
        <v>0</v>
      </c>
      <c r="AE461" s="32" t="n">
        <f aca="false">IF($S461="不存在",1,0)</f>
        <v>0</v>
      </c>
      <c r="AF461" s="44" t="str">
        <f aca="false">IF(OR($H461="—",$H461=""),"—",MATCH($H461,IDX_SrcID,0))</f>
        <v>—</v>
      </c>
      <c r="AG461" s="32" t="n">
        <f aca="false">IF(AND($P461="高",OR($AD461=1,$X461=1)),1,0)</f>
        <v>0</v>
      </c>
      <c r="AH461" s="32" t="n">
        <f aca="false">IF(AND($P461="高",$AG461=0,OR($F461&lt;&gt;"原始數據",$T461&lt;&gt;1)),1,0)</f>
        <v>0</v>
      </c>
      <c r="AI461" s="44" t="str">
        <f aca="false">IF(AND($P461="高",ISNUMBER($AF461)),INDEX(IDX_SrcDate,$AF461),"—")</f>
        <v>—</v>
      </c>
      <c r="AJ461" s="32" t="n">
        <f aca="false">IF(AND(ISTEXT($AI461),LEN($AI461)=10),IF(ISNUMBER(VALUE(SUBSTITUTE($AI461,"-",""))),VALUE(SUBSTITUTE($AI461,"-","")),0),0)</f>
        <v>0</v>
      </c>
    </row>
    <row r="462" customFormat="false" ht="15" hidden="false" customHeight="true" outlineLevel="0" collapsed="false">
      <c r="A462" s="30" t="s">
        <v>5668</v>
      </c>
      <c r="B462" s="239" t="s">
        <v>5607</v>
      </c>
      <c r="C462" s="30" t="s">
        <v>5608</v>
      </c>
      <c r="D462" s="30" t="s">
        <v>5669</v>
      </c>
      <c r="E462" s="20" t="s">
        <v>5670</v>
      </c>
      <c r="F462" s="30" t="s">
        <v>114</v>
      </c>
      <c r="G462" s="239" t="s">
        <v>5287</v>
      </c>
      <c r="H462" s="30" t="s">
        <v>751</v>
      </c>
      <c r="I462" s="6" t="s">
        <v>751</v>
      </c>
      <c r="J462" s="30" t="s">
        <v>4400</v>
      </c>
      <c r="K462" s="239"/>
      <c r="L462" s="239"/>
      <c r="M462" s="30" t="s">
        <v>5671</v>
      </c>
      <c r="N462" s="6" t="s">
        <v>5672</v>
      </c>
      <c r="O462" s="6" t="s">
        <v>751</v>
      </c>
      <c r="P462" s="239" t="s">
        <v>4530</v>
      </c>
      <c r="Q462" s="184" t="s">
        <v>751</v>
      </c>
      <c r="R462" s="30" t="s">
        <v>751</v>
      </c>
      <c r="S462" s="44" t="str">
        <f aca="false">IF(ISNUMBER($AF462),INDEX(IDX_SrcStat,$AF462),"—")</f>
        <v>—</v>
      </c>
      <c r="T462" s="44" t="str">
        <f aca="false">IF(ISNUMBER($AF462),INDEX(IDX_SrcGrade,$AF462),"—")</f>
        <v>—</v>
      </c>
      <c r="U462" s="30" t="s">
        <v>751</v>
      </c>
      <c r="V462" s="32" t="n">
        <f aca="false">IF(AND($F462="原始數據",$U462&lt;&gt;"連結 SRC"),1,0)</f>
        <v>0</v>
      </c>
      <c r="W462" s="32" t="n">
        <f aca="false">IF(AND($F462="Analogy",OR($H462="—",$H462="")),1,0)</f>
        <v>0</v>
      </c>
      <c r="X462" s="32" t="n">
        <f aca="false">IF(AND(OR($F462="Analogy",$F462="Assumed"),$G462&lt;&gt;"低",$G462&lt;&gt;"高",NOT(ISNUMBER($K462)),NOT(ISNUMBER($L462)),OR($M462="—",$M462="")),1,0)</f>
        <v>0</v>
      </c>
      <c r="Y462" s="32" t="n">
        <f aca="false">IF(AND(OR($F462="Analogy",$F462="Assumed",$F462="Derived（待改公式）",$F462="Derived（公式）"),OR($N462="—",$N462="",$N462=0)),1,0)</f>
        <v>0</v>
      </c>
      <c r="Z462" s="32" t="n">
        <f aca="false">IF(AND($F462="Decision",OR($J462="—",$J462="")),1,0)</f>
        <v>0</v>
      </c>
      <c r="AA462" s="33" t="n">
        <f aca="false">IF(OR($J462="—",$J462=""),0,IF(COUNTIF(Decisions!$A$5:$A$300,$J462)=0,1,0))</f>
        <v>0</v>
      </c>
      <c r="AB462" s="32" t="n">
        <f aca="false">IF(AND($F462="原始數據",$S462&lt;&gt;"Active"),1,0)</f>
        <v>0</v>
      </c>
      <c r="AC462" s="32" t="n">
        <f aca="false">IF(AND(ISNUMBER($K462),ISNUMBER($L462),ISNUMBER($Q462)),IF(OR($Q462&lt;MIN($K462,$L462),$Q462&gt;MAX($K462,$L462)),1,0),0)</f>
        <v>0</v>
      </c>
      <c r="AD462" s="32" t="n">
        <f aca="false">IF(AND(ISNUMBER($T462),$P462="高"),IF($T462=3,1,0),0)</f>
        <v>0</v>
      </c>
      <c r="AE462" s="32" t="n">
        <f aca="false">IF($S462="不存在",1,0)</f>
        <v>0</v>
      </c>
      <c r="AF462" s="44" t="str">
        <f aca="false">IF(OR($H462="—",$H462=""),"—",MATCH($H462,IDX_SrcID,0))</f>
        <v>—</v>
      </c>
      <c r="AG462" s="32" t="n">
        <f aca="false">IF(AND($P462="高",OR($AD462=1,$X462=1)),1,0)</f>
        <v>0</v>
      </c>
      <c r="AH462" s="32" t="n">
        <f aca="false">IF(AND($P462="高",$AG462=0,OR($F462&lt;&gt;"原始數據",$T462&lt;&gt;1)),1,0)</f>
        <v>0</v>
      </c>
      <c r="AI462" s="44" t="str">
        <f aca="false">IF(AND($P462="高",ISNUMBER($AF462)),INDEX(IDX_SrcDate,$AF462),"—")</f>
        <v>—</v>
      </c>
      <c r="AJ462" s="32" t="n">
        <f aca="false">IF(AND(ISTEXT($AI462),LEN($AI462)=10),IF(ISNUMBER(VALUE(SUBSTITUTE($AI462,"-",""))),VALUE(SUBSTITUTE($AI462,"-","")),0),0)</f>
        <v>0</v>
      </c>
    </row>
    <row r="463" customFormat="false" ht="29.25" hidden="false" customHeight="true" outlineLevel="0" collapsed="false">
      <c r="A463" s="30" t="s">
        <v>5673</v>
      </c>
      <c r="B463" s="239" t="s">
        <v>5607</v>
      </c>
      <c r="C463" s="30" t="s">
        <v>5608</v>
      </c>
      <c r="D463" s="30" t="s">
        <v>5674</v>
      </c>
      <c r="E463" s="20" t="s">
        <v>5675</v>
      </c>
      <c r="F463" s="30" t="s">
        <v>114</v>
      </c>
      <c r="G463" s="239" t="s">
        <v>97</v>
      </c>
      <c r="H463" s="30" t="s">
        <v>751</v>
      </c>
      <c r="I463" s="6" t="s">
        <v>751</v>
      </c>
      <c r="J463" s="30" t="s">
        <v>5676</v>
      </c>
      <c r="K463" s="33" t="n">
        <f aca="false">Cap_In!D36</f>
        <v>1</v>
      </c>
      <c r="L463" s="33" t="n">
        <f aca="false">Cap_In!E36</f>
        <v>3</v>
      </c>
      <c r="M463" s="30" t="s">
        <v>751</v>
      </c>
      <c r="N463" s="6" t="s">
        <v>5677</v>
      </c>
      <c r="O463" s="6" t="s">
        <v>751</v>
      </c>
      <c r="P463" s="239" t="s">
        <v>1309</v>
      </c>
      <c r="Q463" s="33" t="n">
        <f aca="false">Cap_In!C36</f>
        <v>2</v>
      </c>
      <c r="R463" s="30" t="s">
        <v>751</v>
      </c>
      <c r="S463" s="44" t="str">
        <f aca="false">IF(ISNUMBER($AF463),INDEX(IDX_SrcStat,$AF463),"—")</f>
        <v>—</v>
      </c>
      <c r="T463" s="44" t="str">
        <f aca="false">IF(ISNUMBER($AF463),INDEX(IDX_SrcGrade,$AF463),"—")</f>
        <v>—</v>
      </c>
      <c r="U463" s="44" t="s">
        <v>4531</v>
      </c>
      <c r="V463" s="32" t="n">
        <f aca="false">IF(AND($F463="原始數據",$U463&lt;&gt;"連結 SRC"),1,0)</f>
        <v>0</v>
      </c>
      <c r="W463" s="32" t="n">
        <f aca="false">IF(AND($F463="Analogy",OR($H463="—",$H463="")),1,0)</f>
        <v>0</v>
      </c>
      <c r="X463" s="32" t="n">
        <f aca="false">IF(AND(OR($F463="Analogy",$F463="Assumed"),$G463&lt;&gt;"低",$G463&lt;&gt;"高",NOT(ISNUMBER($K463)),NOT(ISNUMBER($L463)),OR($M463="—",$M463="")),1,0)</f>
        <v>0</v>
      </c>
      <c r="Y463" s="32" t="n">
        <f aca="false">IF(AND(OR($F463="Analogy",$F463="Assumed",$F463="Derived（待改公式）",$F463="Derived（公式）"),OR($N463="—",$N463="",$N463=0)),1,0)</f>
        <v>0</v>
      </c>
      <c r="Z463" s="32" t="n">
        <f aca="false">IF(AND($F463="Decision",OR($J463="—",$J463="")),1,0)</f>
        <v>0</v>
      </c>
      <c r="AA463" s="33" t="n">
        <f aca="false">IF(OR($J463="—",$J463=""),0,IF(COUNTIF(Decisions!$A$5:$A$300,$J463)=0,1,0))</f>
        <v>0</v>
      </c>
      <c r="AB463" s="32" t="n">
        <f aca="false">IF(AND($F463="原始數據",$S463&lt;&gt;"Active"),1,0)</f>
        <v>0</v>
      </c>
      <c r="AC463" s="32" t="n">
        <f aca="false">IF(AND(ISNUMBER($K463),ISNUMBER($L463),ISNUMBER($Q463)),IF(OR($Q463&lt;MIN($K463,$L463),$Q463&gt;MAX($K463,$L463)),1,0),0)</f>
        <v>0</v>
      </c>
      <c r="AD463" s="32" t="n">
        <f aca="false">IF(AND(ISNUMBER($T463),$P463="高"),IF($T463=3,1,0),0)</f>
        <v>0</v>
      </c>
      <c r="AE463" s="32" t="n">
        <f aca="false">IF($S463="不存在",1,0)</f>
        <v>0</v>
      </c>
      <c r="AF463" s="44" t="str">
        <f aca="false">IF(OR($H463="—",$H463=""),"—",MATCH($H463,IDX_SrcID,0))</f>
        <v>—</v>
      </c>
      <c r="AG463" s="32" t="n">
        <f aca="false">IF(AND($P463="高",OR($AD463=1,$X463=1)),1,0)</f>
        <v>0</v>
      </c>
      <c r="AH463" s="32" t="n">
        <f aca="false">IF(AND($P463="高",$AG463=0,OR($F463&lt;&gt;"原始數據",$T463&lt;&gt;1)),1,0)</f>
        <v>1</v>
      </c>
      <c r="AI463" s="44" t="str">
        <f aca="false">IF(AND($P463="高",ISNUMBER($AF463)),INDEX(IDX_SrcDate,$AF463),"—")</f>
        <v>—</v>
      </c>
      <c r="AJ463" s="32" t="n">
        <f aca="false">IF(AND(ISTEXT($AI463),LEN($AI463)=10),IF(ISNUMBER(VALUE(SUBSTITUTE($AI463,"-",""))),VALUE(SUBSTITUTE($AI463,"-","")),0),0)</f>
        <v>0</v>
      </c>
    </row>
    <row r="464" customFormat="false" ht="29.25" hidden="false" customHeight="true" outlineLevel="0" collapsed="false">
      <c r="A464" s="30" t="s">
        <v>5678</v>
      </c>
      <c r="B464" s="239" t="s">
        <v>5607</v>
      </c>
      <c r="C464" s="30" t="s">
        <v>5608</v>
      </c>
      <c r="D464" s="30" t="s">
        <v>5679</v>
      </c>
      <c r="E464" s="20" t="s">
        <v>5675</v>
      </c>
      <c r="F464" s="30" t="s">
        <v>114</v>
      </c>
      <c r="G464" s="239" t="s">
        <v>5614</v>
      </c>
      <c r="H464" s="30" t="s">
        <v>751</v>
      </c>
      <c r="I464" s="6" t="s">
        <v>751</v>
      </c>
      <c r="J464" s="30" t="s">
        <v>5676</v>
      </c>
      <c r="K464" s="239"/>
      <c r="L464" s="239"/>
      <c r="M464" s="30" t="s">
        <v>5680</v>
      </c>
      <c r="N464" s="6" t="s">
        <v>5681</v>
      </c>
      <c r="O464" s="6" t="s">
        <v>751</v>
      </c>
      <c r="P464" s="239" t="s">
        <v>4530</v>
      </c>
      <c r="Q464" s="184" t="s">
        <v>751</v>
      </c>
      <c r="R464" s="30" t="s">
        <v>751</v>
      </c>
      <c r="S464" s="44" t="str">
        <f aca="false">IF(ISNUMBER($AF464),INDEX(IDX_SrcStat,$AF464),"—")</f>
        <v>—</v>
      </c>
      <c r="T464" s="44" t="str">
        <f aca="false">IF(ISNUMBER($AF464),INDEX(IDX_SrcGrade,$AF464),"—")</f>
        <v>—</v>
      </c>
      <c r="U464" s="30" t="s">
        <v>751</v>
      </c>
      <c r="V464" s="32" t="n">
        <f aca="false">IF(AND($F464="原始數據",$U464&lt;&gt;"連結 SRC"),1,0)</f>
        <v>0</v>
      </c>
      <c r="W464" s="32" t="n">
        <f aca="false">IF(AND($F464="Analogy",OR($H464="—",$H464="")),1,0)</f>
        <v>0</v>
      </c>
      <c r="X464" s="32" t="n">
        <f aca="false">IF(AND(OR($F464="Analogy",$F464="Assumed"),$G464&lt;&gt;"低",$G464&lt;&gt;"高",NOT(ISNUMBER($K464)),NOT(ISNUMBER($L464)),OR($M464="—",$M464="")),1,0)</f>
        <v>0</v>
      </c>
      <c r="Y464" s="32" t="n">
        <f aca="false">IF(AND(OR($F464="Analogy",$F464="Assumed",$F464="Derived（待改公式）",$F464="Derived（公式）"),OR($N464="—",$N464="",$N464=0)),1,0)</f>
        <v>0</v>
      </c>
      <c r="Z464" s="32" t="n">
        <f aca="false">IF(AND($F464="Decision",OR($J464="—",$J464="")),1,0)</f>
        <v>0</v>
      </c>
      <c r="AA464" s="33" t="n">
        <f aca="false">IF(OR($J464="—",$J464=""),0,IF(COUNTIF(Decisions!$A$5:$A$300,$J464)=0,1,0))</f>
        <v>0</v>
      </c>
      <c r="AB464" s="32" t="n">
        <f aca="false">IF(AND($F464="原始數據",$S464&lt;&gt;"Active"),1,0)</f>
        <v>0</v>
      </c>
      <c r="AC464" s="32" t="n">
        <f aca="false">IF(AND(ISNUMBER($K464),ISNUMBER($L464),ISNUMBER($Q464)),IF(OR($Q464&lt;MIN($K464,$L464),$Q464&gt;MAX($K464,$L464)),1,0),0)</f>
        <v>0</v>
      </c>
      <c r="AD464" s="32" t="n">
        <f aca="false">IF(AND(ISNUMBER($T464),$P464="高"),IF($T464=3,1,0),0)</f>
        <v>0</v>
      </c>
      <c r="AE464" s="32" t="n">
        <f aca="false">IF($S464="不存在",1,0)</f>
        <v>0</v>
      </c>
      <c r="AF464" s="44" t="str">
        <f aca="false">IF(OR($H464="—",$H464=""),"—",MATCH($H464,IDX_SrcID,0))</f>
        <v>—</v>
      </c>
      <c r="AG464" s="32" t="n">
        <f aca="false">IF(AND($P464="高",OR($AD464=1,$X464=1)),1,0)</f>
        <v>0</v>
      </c>
      <c r="AH464" s="32" t="n">
        <f aca="false">IF(AND($P464="高",$AG464=0,OR($F464&lt;&gt;"原始數據",$T464&lt;&gt;1)),1,0)</f>
        <v>0</v>
      </c>
      <c r="AI464" s="44" t="str">
        <f aca="false">IF(AND($P464="高",ISNUMBER($AF464)),INDEX(IDX_SrcDate,$AF464),"—")</f>
        <v>—</v>
      </c>
      <c r="AJ464" s="32" t="n">
        <f aca="false">IF(AND(ISTEXT($AI464),LEN($AI464)=10),IF(ISNUMBER(VALUE(SUBSTITUTE($AI464,"-",""))),VALUE(SUBSTITUTE($AI464,"-","")),0),0)</f>
        <v>0</v>
      </c>
    </row>
    <row r="465" customFormat="false" ht="57.75" hidden="false" customHeight="true" outlineLevel="0" collapsed="false">
      <c r="A465" s="30" t="s">
        <v>5682</v>
      </c>
      <c r="B465" s="239" t="s">
        <v>5607</v>
      </c>
      <c r="C465" s="30" t="s">
        <v>5608</v>
      </c>
      <c r="D465" s="30" t="s">
        <v>5683</v>
      </c>
      <c r="E465" s="20" t="s">
        <v>1344</v>
      </c>
      <c r="F465" s="30" t="s">
        <v>114</v>
      </c>
      <c r="G465" s="239" t="s">
        <v>97</v>
      </c>
      <c r="H465" s="30" t="s">
        <v>751</v>
      </c>
      <c r="I465" s="6" t="s">
        <v>751</v>
      </c>
      <c r="J465" s="30" t="s">
        <v>5676</v>
      </c>
      <c r="K465" s="214" t="n">
        <f aca="false">Cap_In!D37</f>
        <v>0.0833333333333333</v>
      </c>
      <c r="L465" s="214" t="n">
        <f aca="false">Cap_In!E37</f>
        <v>1</v>
      </c>
      <c r="M465" s="30" t="s">
        <v>751</v>
      </c>
      <c r="N465" s="6" t="s">
        <v>5684</v>
      </c>
      <c r="O465" s="6" t="s">
        <v>5685</v>
      </c>
      <c r="P465" s="239" t="s">
        <v>1308</v>
      </c>
      <c r="Q465" s="214" t="n">
        <f aca="false">Cap_In!C37</f>
        <v>0.0833333333333333</v>
      </c>
      <c r="R465" s="30" t="s">
        <v>751</v>
      </c>
      <c r="S465" s="44" t="str">
        <f aca="false">IF(ISNUMBER($AF465),INDEX(IDX_SrcStat,$AF465),"—")</f>
        <v>—</v>
      </c>
      <c r="T465" s="44" t="str">
        <f aca="false">IF(ISNUMBER($AF465),INDEX(IDX_SrcGrade,$AF465),"—")</f>
        <v>—</v>
      </c>
      <c r="U465" s="44" t="s">
        <v>4531</v>
      </c>
      <c r="V465" s="32" t="n">
        <f aca="false">IF(AND($F465="原始數據",$U465&lt;&gt;"連結 SRC"),1,0)</f>
        <v>0</v>
      </c>
      <c r="W465" s="32" t="n">
        <f aca="false">IF(AND($F465="Analogy",OR($H465="—",$H465="")),1,0)</f>
        <v>0</v>
      </c>
      <c r="X465" s="32" t="n">
        <f aca="false">IF(AND(OR($F465="Analogy",$F465="Assumed"),$G465&lt;&gt;"低",$G465&lt;&gt;"高",NOT(ISNUMBER($K465)),NOT(ISNUMBER($L465)),OR($M465="—",$M465="")),1,0)</f>
        <v>0</v>
      </c>
      <c r="Y465" s="32" t="n">
        <f aca="false">IF(AND(OR($F465="Analogy",$F465="Assumed",$F465="Derived（待改公式）",$F465="Derived（公式）"),OR($N465="—",$N465="",$N465=0)),1,0)</f>
        <v>0</v>
      </c>
      <c r="Z465" s="32" t="n">
        <f aca="false">IF(AND($F465="Decision",OR($J465="—",$J465="")),1,0)</f>
        <v>0</v>
      </c>
      <c r="AA465" s="33" t="n">
        <f aca="false">IF(OR($J465="—",$J465=""),0,IF(COUNTIF(Decisions!$A$5:$A$300,$J465)=0,1,0))</f>
        <v>0</v>
      </c>
      <c r="AB465" s="32" t="n">
        <f aca="false">IF(AND($F465="原始數據",$S465&lt;&gt;"Active"),1,0)</f>
        <v>0</v>
      </c>
      <c r="AC465" s="32" t="n">
        <f aca="false">IF(AND(ISNUMBER($K465),ISNUMBER($L465),ISNUMBER($Q465)),IF(OR($Q465&lt;MIN($K465,$L465),$Q465&gt;MAX($K465,$L465)),1,0),0)</f>
        <v>0</v>
      </c>
      <c r="AD465" s="32" t="n">
        <f aca="false">IF(AND(ISNUMBER($T465),$P465="高"),IF($T465=3,1,0),0)</f>
        <v>0</v>
      </c>
      <c r="AE465" s="32" t="n">
        <f aca="false">IF($S465="不存在",1,0)</f>
        <v>0</v>
      </c>
      <c r="AF465" s="44" t="str">
        <f aca="false">IF(OR($H465="—",$H465=""),"—",MATCH($H465,IDX_SrcID,0))</f>
        <v>—</v>
      </c>
      <c r="AG465" s="32" t="n">
        <f aca="false">IF(AND($P465="高",OR($AD465=1,$X465=1)),1,0)</f>
        <v>0</v>
      </c>
      <c r="AH465" s="32" t="n">
        <f aca="false">IF(AND($P465="高",$AG465=0,OR($F465&lt;&gt;"原始數據",$T465&lt;&gt;1)),1,0)</f>
        <v>0</v>
      </c>
      <c r="AI465" s="44" t="str">
        <f aca="false">IF(AND($P465="高",ISNUMBER($AF465)),INDEX(IDX_SrcDate,$AF465),"—")</f>
        <v>—</v>
      </c>
      <c r="AJ465" s="32" t="n">
        <f aca="false">IF(AND(ISTEXT($AI465),LEN($AI465)=10),IF(ISNUMBER(VALUE(SUBSTITUTE($AI465,"-",""))),VALUE(SUBSTITUTE($AI465,"-","")),0),0)</f>
        <v>0</v>
      </c>
    </row>
    <row r="466" customFormat="false" ht="57.75" hidden="false" customHeight="true" outlineLevel="0" collapsed="false">
      <c r="A466" s="30" t="s">
        <v>5686</v>
      </c>
      <c r="B466" s="239" t="s">
        <v>5607</v>
      </c>
      <c r="C466" s="30" t="s">
        <v>5608</v>
      </c>
      <c r="D466" s="30" t="s">
        <v>5687</v>
      </c>
      <c r="E466" s="20" t="s">
        <v>1344</v>
      </c>
      <c r="F466" s="30" t="s">
        <v>114</v>
      </c>
      <c r="G466" s="239" t="s">
        <v>5614</v>
      </c>
      <c r="H466" s="30" t="s">
        <v>751</v>
      </c>
      <c r="I466" s="6" t="s">
        <v>751</v>
      </c>
      <c r="J466" s="30" t="s">
        <v>5676</v>
      </c>
      <c r="K466" s="239"/>
      <c r="L466" s="239"/>
      <c r="M466" s="30" t="s">
        <v>5688</v>
      </c>
      <c r="N466" s="6" t="s">
        <v>5689</v>
      </c>
      <c r="O466" s="6" t="s">
        <v>751</v>
      </c>
      <c r="P466" s="239" t="s">
        <v>1308</v>
      </c>
      <c r="Q466" s="184" t="s">
        <v>751</v>
      </c>
      <c r="R466" s="30" t="s">
        <v>751</v>
      </c>
      <c r="S466" s="44" t="str">
        <f aca="false">IF(ISNUMBER($AF466),INDEX(IDX_SrcStat,$AF466),"—")</f>
        <v>—</v>
      </c>
      <c r="T466" s="44" t="str">
        <f aca="false">IF(ISNUMBER($AF466),INDEX(IDX_SrcGrade,$AF466),"—")</f>
        <v>—</v>
      </c>
      <c r="U466" s="30" t="s">
        <v>751</v>
      </c>
      <c r="V466" s="32" t="n">
        <f aca="false">IF(AND($F466="原始數據",$U466&lt;&gt;"連結 SRC"),1,0)</f>
        <v>0</v>
      </c>
      <c r="W466" s="32" t="n">
        <f aca="false">IF(AND($F466="Analogy",OR($H466="—",$H466="")),1,0)</f>
        <v>0</v>
      </c>
      <c r="X466" s="32" t="n">
        <f aca="false">IF(AND(OR($F466="Analogy",$F466="Assumed"),$G466&lt;&gt;"低",$G466&lt;&gt;"高",NOT(ISNUMBER($K466)),NOT(ISNUMBER($L466)),OR($M466="—",$M466="")),1,0)</f>
        <v>0</v>
      </c>
      <c r="Y466" s="32" t="n">
        <f aca="false">IF(AND(OR($F466="Analogy",$F466="Assumed",$F466="Derived（待改公式）",$F466="Derived（公式）"),OR($N466="—",$N466="",$N466=0)),1,0)</f>
        <v>0</v>
      </c>
      <c r="Z466" s="32" t="n">
        <f aca="false">IF(AND($F466="Decision",OR($J466="—",$J466="")),1,0)</f>
        <v>0</v>
      </c>
      <c r="AA466" s="33" t="n">
        <f aca="false">IF(OR($J466="—",$J466=""),0,IF(COUNTIF(Decisions!$A$5:$A$300,$J466)=0,1,0))</f>
        <v>0</v>
      </c>
      <c r="AB466" s="32" t="n">
        <f aca="false">IF(AND($F466="原始數據",$S466&lt;&gt;"Active"),1,0)</f>
        <v>0</v>
      </c>
      <c r="AC466" s="32" t="n">
        <f aca="false">IF(AND(ISNUMBER($K466),ISNUMBER($L466),ISNUMBER($Q466)),IF(OR($Q466&lt;MIN($K466,$L466),$Q466&gt;MAX($K466,$L466)),1,0),0)</f>
        <v>0</v>
      </c>
      <c r="AD466" s="32" t="n">
        <f aca="false">IF(AND(ISNUMBER($T466),$P466="高"),IF($T466=3,1,0),0)</f>
        <v>0</v>
      </c>
      <c r="AE466" s="32" t="n">
        <f aca="false">IF($S466="不存在",1,0)</f>
        <v>0</v>
      </c>
      <c r="AF466" s="44" t="str">
        <f aca="false">IF(OR($H466="—",$H466=""),"—",MATCH($H466,IDX_SrcID,0))</f>
        <v>—</v>
      </c>
      <c r="AG466" s="32" t="n">
        <f aca="false">IF(AND($P466="高",OR($AD466=1,$X466=1)),1,0)</f>
        <v>0</v>
      </c>
      <c r="AH466" s="32" t="n">
        <f aca="false">IF(AND($P466="高",$AG466=0,OR($F466&lt;&gt;"原始數據",$T466&lt;&gt;1)),1,0)</f>
        <v>0</v>
      </c>
      <c r="AI466" s="44" t="str">
        <f aca="false">IF(AND($P466="高",ISNUMBER($AF466)),INDEX(IDX_SrcDate,$AF466),"—")</f>
        <v>—</v>
      </c>
      <c r="AJ466" s="32" t="n">
        <f aca="false">IF(AND(ISTEXT($AI466),LEN($AI466)=10),IF(ISNUMBER(VALUE(SUBSTITUTE($AI466,"-",""))),VALUE(SUBSTITUTE($AI466,"-","")),0),0)</f>
        <v>0</v>
      </c>
    </row>
    <row r="467" customFormat="false" ht="29.25" hidden="false" customHeight="true" outlineLevel="0" collapsed="false">
      <c r="A467" s="30" t="s">
        <v>5690</v>
      </c>
      <c r="B467" s="239" t="s">
        <v>5607</v>
      </c>
      <c r="C467" s="30" t="s">
        <v>5608</v>
      </c>
      <c r="D467" s="30" t="s">
        <v>5691</v>
      </c>
      <c r="E467" s="20" t="s">
        <v>1346</v>
      </c>
      <c r="F467" s="30" t="s">
        <v>114</v>
      </c>
      <c r="G467" s="239" t="s">
        <v>97</v>
      </c>
      <c r="H467" s="30" t="s">
        <v>751</v>
      </c>
      <c r="I467" s="6" t="s">
        <v>751</v>
      </c>
      <c r="J467" s="30" t="s">
        <v>5676</v>
      </c>
      <c r="K467" s="33" t="n">
        <f aca="false">Cap_In!D38</f>
        <v>1</v>
      </c>
      <c r="L467" s="33" t="n">
        <f aca="false">Cap_In!E38</f>
        <v>20</v>
      </c>
      <c r="M467" s="30" t="s">
        <v>751</v>
      </c>
      <c r="N467" s="6" t="s">
        <v>5692</v>
      </c>
      <c r="O467" s="6" t="s">
        <v>751</v>
      </c>
      <c r="P467" s="239" t="s">
        <v>1308</v>
      </c>
      <c r="Q467" s="33" t="n">
        <f aca="false">Cap_In!C38</f>
        <v>5</v>
      </c>
      <c r="R467" s="30" t="s">
        <v>751</v>
      </c>
      <c r="S467" s="44" t="str">
        <f aca="false">IF(ISNUMBER($AF467),INDEX(IDX_SrcStat,$AF467),"—")</f>
        <v>—</v>
      </c>
      <c r="T467" s="44" t="str">
        <f aca="false">IF(ISNUMBER($AF467),INDEX(IDX_SrcGrade,$AF467),"—")</f>
        <v>—</v>
      </c>
      <c r="U467" s="44" t="s">
        <v>4531</v>
      </c>
      <c r="V467" s="32" t="n">
        <f aca="false">IF(AND($F467="原始數據",$U467&lt;&gt;"連結 SRC"),1,0)</f>
        <v>0</v>
      </c>
      <c r="W467" s="32" t="n">
        <f aca="false">IF(AND($F467="Analogy",OR($H467="—",$H467="")),1,0)</f>
        <v>0</v>
      </c>
      <c r="X467" s="32" t="n">
        <f aca="false">IF(AND(OR($F467="Analogy",$F467="Assumed"),$G467&lt;&gt;"低",$G467&lt;&gt;"高",NOT(ISNUMBER($K467)),NOT(ISNUMBER($L467)),OR($M467="—",$M467="")),1,0)</f>
        <v>0</v>
      </c>
      <c r="Y467" s="32" t="n">
        <f aca="false">IF(AND(OR($F467="Analogy",$F467="Assumed",$F467="Derived（待改公式）",$F467="Derived（公式）"),OR($N467="—",$N467="",$N467=0)),1,0)</f>
        <v>0</v>
      </c>
      <c r="Z467" s="32" t="n">
        <f aca="false">IF(AND($F467="Decision",OR($J467="—",$J467="")),1,0)</f>
        <v>0</v>
      </c>
      <c r="AA467" s="33" t="n">
        <f aca="false">IF(OR($J467="—",$J467=""),0,IF(COUNTIF(Decisions!$A$5:$A$300,$J467)=0,1,0))</f>
        <v>0</v>
      </c>
      <c r="AB467" s="32" t="n">
        <f aca="false">IF(AND($F467="原始數據",$S467&lt;&gt;"Active"),1,0)</f>
        <v>0</v>
      </c>
      <c r="AC467" s="32" t="n">
        <f aca="false">IF(AND(ISNUMBER($K467),ISNUMBER($L467),ISNUMBER($Q467)),IF(OR($Q467&lt;MIN($K467,$L467),$Q467&gt;MAX($K467,$L467)),1,0),0)</f>
        <v>0</v>
      </c>
      <c r="AD467" s="32" t="n">
        <f aca="false">IF(AND(ISNUMBER($T467),$P467="高"),IF($T467=3,1,0),0)</f>
        <v>0</v>
      </c>
      <c r="AE467" s="32" t="n">
        <f aca="false">IF($S467="不存在",1,0)</f>
        <v>0</v>
      </c>
      <c r="AF467" s="44" t="str">
        <f aca="false">IF(OR($H467="—",$H467=""),"—",MATCH($H467,IDX_SrcID,0))</f>
        <v>—</v>
      </c>
      <c r="AG467" s="32" t="n">
        <f aca="false">IF(AND($P467="高",OR($AD467=1,$X467=1)),1,0)</f>
        <v>0</v>
      </c>
      <c r="AH467" s="32" t="n">
        <f aca="false">IF(AND($P467="高",$AG467=0,OR($F467&lt;&gt;"原始數據",$T467&lt;&gt;1)),1,0)</f>
        <v>0</v>
      </c>
      <c r="AI467" s="44" t="str">
        <f aca="false">IF(AND($P467="高",ISNUMBER($AF467)),INDEX(IDX_SrcDate,$AF467),"—")</f>
        <v>—</v>
      </c>
      <c r="AJ467" s="32" t="n">
        <f aca="false">IF(AND(ISTEXT($AI467),LEN($AI467)=10),IF(ISNUMBER(VALUE(SUBSTITUTE($AI467,"-",""))),VALUE(SUBSTITUTE($AI467,"-","")),0),0)</f>
        <v>0</v>
      </c>
    </row>
    <row r="468" customFormat="false" ht="29.25" hidden="false" customHeight="true" outlineLevel="0" collapsed="false">
      <c r="A468" s="30" t="s">
        <v>5693</v>
      </c>
      <c r="B468" s="239" t="s">
        <v>5607</v>
      </c>
      <c r="C468" s="30" t="s">
        <v>5608</v>
      </c>
      <c r="D468" s="30" t="s">
        <v>5694</v>
      </c>
      <c r="E468" s="20" t="s">
        <v>1346</v>
      </c>
      <c r="F468" s="30" t="s">
        <v>114</v>
      </c>
      <c r="G468" s="239" t="s">
        <v>5614</v>
      </c>
      <c r="H468" s="30" t="s">
        <v>751</v>
      </c>
      <c r="I468" s="6" t="s">
        <v>751</v>
      </c>
      <c r="J468" s="30" t="s">
        <v>5676</v>
      </c>
      <c r="K468" s="239"/>
      <c r="L468" s="239"/>
      <c r="M468" s="30" t="s">
        <v>5695</v>
      </c>
      <c r="N468" s="6" t="s">
        <v>5696</v>
      </c>
      <c r="O468" s="6" t="s">
        <v>751</v>
      </c>
      <c r="P468" s="239" t="s">
        <v>1308</v>
      </c>
      <c r="Q468" s="184" t="s">
        <v>751</v>
      </c>
      <c r="R468" s="30" t="s">
        <v>751</v>
      </c>
      <c r="S468" s="44" t="str">
        <f aca="false">IF(ISNUMBER($AF468),INDEX(IDX_SrcStat,$AF468),"—")</f>
        <v>—</v>
      </c>
      <c r="T468" s="44" t="str">
        <f aca="false">IF(ISNUMBER($AF468),INDEX(IDX_SrcGrade,$AF468),"—")</f>
        <v>—</v>
      </c>
      <c r="U468" s="30" t="s">
        <v>751</v>
      </c>
      <c r="V468" s="32" t="n">
        <f aca="false">IF(AND($F468="原始數據",$U468&lt;&gt;"連結 SRC"),1,0)</f>
        <v>0</v>
      </c>
      <c r="W468" s="32" t="n">
        <f aca="false">IF(AND($F468="Analogy",OR($H468="—",$H468="")),1,0)</f>
        <v>0</v>
      </c>
      <c r="X468" s="32" t="n">
        <f aca="false">IF(AND(OR($F468="Analogy",$F468="Assumed"),$G468&lt;&gt;"低",$G468&lt;&gt;"高",NOT(ISNUMBER($K468)),NOT(ISNUMBER($L468)),OR($M468="—",$M468="")),1,0)</f>
        <v>0</v>
      </c>
      <c r="Y468" s="32" t="n">
        <f aca="false">IF(AND(OR($F468="Analogy",$F468="Assumed",$F468="Derived（待改公式）",$F468="Derived（公式）"),OR($N468="—",$N468="",$N468=0)),1,0)</f>
        <v>0</v>
      </c>
      <c r="Z468" s="32" t="n">
        <f aca="false">IF(AND($F468="Decision",OR($J468="—",$J468="")),1,0)</f>
        <v>0</v>
      </c>
      <c r="AA468" s="33" t="n">
        <f aca="false">IF(OR($J468="—",$J468=""),0,IF(COUNTIF(Decisions!$A$5:$A$300,$J468)=0,1,0))</f>
        <v>0</v>
      </c>
      <c r="AB468" s="32" t="n">
        <f aca="false">IF(AND($F468="原始數據",$S468&lt;&gt;"Active"),1,0)</f>
        <v>0</v>
      </c>
      <c r="AC468" s="32" t="n">
        <f aca="false">IF(AND(ISNUMBER($K468),ISNUMBER($L468),ISNUMBER($Q468)),IF(OR($Q468&lt;MIN($K468,$L468),$Q468&gt;MAX($K468,$L468)),1,0),0)</f>
        <v>0</v>
      </c>
      <c r="AD468" s="32" t="n">
        <f aca="false">IF(AND(ISNUMBER($T468),$P468="高"),IF($T468=3,1,0),0)</f>
        <v>0</v>
      </c>
      <c r="AE468" s="32" t="n">
        <f aca="false">IF($S468="不存在",1,0)</f>
        <v>0</v>
      </c>
      <c r="AF468" s="44" t="str">
        <f aca="false">IF(OR($H468="—",$H468=""),"—",MATCH($H468,IDX_SrcID,0))</f>
        <v>—</v>
      </c>
      <c r="AG468" s="32" t="n">
        <f aca="false">IF(AND($P468="高",OR($AD468=1,$X468=1)),1,0)</f>
        <v>0</v>
      </c>
      <c r="AH468" s="32" t="n">
        <f aca="false">IF(AND($P468="高",$AG468=0,OR($F468&lt;&gt;"原始數據",$T468&lt;&gt;1)),1,0)</f>
        <v>0</v>
      </c>
      <c r="AI468" s="44" t="str">
        <f aca="false">IF(AND($P468="高",ISNUMBER($AF468)),INDEX(IDX_SrcDate,$AF468),"—")</f>
        <v>—</v>
      </c>
      <c r="AJ468" s="32" t="n">
        <f aca="false">IF(AND(ISTEXT($AI468),LEN($AI468)=10),IF(ISNUMBER(VALUE(SUBSTITUTE($AI468,"-",""))),VALUE(SUBSTITUTE($AI468,"-","")),0),0)</f>
        <v>0</v>
      </c>
    </row>
    <row r="469" customFormat="false" ht="15" hidden="false" customHeight="true" outlineLevel="0" collapsed="false">
      <c r="A469" s="30" t="s">
        <v>5697</v>
      </c>
      <c r="B469" s="239" t="s">
        <v>5607</v>
      </c>
      <c r="C469" s="30" t="s">
        <v>5608</v>
      </c>
      <c r="D469" s="30" t="s">
        <v>4970</v>
      </c>
      <c r="E469" s="6" t="s">
        <v>1349</v>
      </c>
      <c r="F469" s="30" t="s">
        <v>114</v>
      </c>
      <c r="G469" s="239" t="s">
        <v>97</v>
      </c>
      <c r="H469" s="30" t="s">
        <v>751</v>
      </c>
      <c r="I469" s="6" t="s">
        <v>751</v>
      </c>
      <c r="J469" s="30" t="s">
        <v>751</v>
      </c>
      <c r="K469" s="192" t="n">
        <f aca="false">Cap_In!D39</f>
        <v>5</v>
      </c>
      <c r="L469" s="192" t="n">
        <f aca="false">Cap_In!E39</f>
        <v>20</v>
      </c>
      <c r="M469" s="30" t="s">
        <v>751</v>
      </c>
      <c r="N469" s="6" t="s">
        <v>5698</v>
      </c>
      <c r="O469" s="6" t="s">
        <v>751</v>
      </c>
      <c r="P469" s="239" t="s">
        <v>1308</v>
      </c>
      <c r="Q469" s="192" t="n">
        <f aca="false">Cap_In!C39</f>
        <v>10</v>
      </c>
      <c r="R469" s="30" t="s">
        <v>751</v>
      </c>
      <c r="S469" s="44" t="str">
        <f aca="false">IF(ISNUMBER($AF469),INDEX(IDX_SrcStat,$AF469),"—")</f>
        <v>—</v>
      </c>
      <c r="T469" s="44" t="str">
        <f aca="false">IF(ISNUMBER($AF469),INDEX(IDX_SrcGrade,$AF469),"—")</f>
        <v>—</v>
      </c>
      <c r="U469" s="44" t="s">
        <v>4531</v>
      </c>
      <c r="V469" s="32" t="n">
        <f aca="false">IF(AND($F469="原始數據",$U469&lt;&gt;"連結 SRC"),1,0)</f>
        <v>0</v>
      </c>
      <c r="W469" s="32" t="n">
        <f aca="false">IF(AND($F469="Analogy",OR($H469="—",$H469="")),1,0)</f>
        <v>0</v>
      </c>
      <c r="X469" s="32" t="n">
        <f aca="false">IF(AND(OR($F469="Analogy",$F469="Assumed"),$G469&lt;&gt;"低",$G469&lt;&gt;"高",NOT(ISNUMBER($K469)),NOT(ISNUMBER($L469)),OR($M469="—",$M469="")),1,0)</f>
        <v>0</v>
      </c>
      <c r="Y469" s="32" t="n">
        <f aca="false">IF(AND(OR($F469="Analogy",$F469="Assumed",$F469="Derived（待改公式）",$F469="Derived（公式）"),OR($N469="—",$N469="",$N469=0)),1,0)</f>
        <v>0</v>
      </c>
      <c r="Z469" s="32" t="n">
        <f aca="false">IF(AND($F469="Decision",OR($J469="—",$J469="")),1,0)</f>
        <v>0</v>
      </c>
      <c r="AA469" s="33" t="n">
        <f aca="false">IF(OR($J469="—",$J469=""),0,IF(COUNTIF(Decisions!$A$5:$A$300,$J469)=0,1,0))</f>
        <v>0</v>
      </c>
      <c r="AB469" s="32" t="n">
        <f aca="false">IF(AND($F469="原始數據",$S469&lt;&gt;"Active"),1,0)</f>
        <v>0</v>
      </c>
      <c r="AC469" s="32" t="n">
        <f aca="false">IF(AND(ISNUMBER($K469),ISNUMBER($L469),ISNUMBER($Q469)),IF(OR($Q469&lt;MIN($K469,$L469),$Q469&gt;MAX($K469,$L469)),1,0),0)</f>
        <v>0</v>
      </c>
      <c r="AD469" s="32" t="n">
        <f aca="false">IF(AND(ISNUMBER($T469),$P469="高"),IF($T469=3,1,0),0)</f>
        <v>0</v>
      </c>
      <c r="AE469" s="32" t="n">
        <f aca="false">IF($S469="不存在",1,0)</f>
        <v>0</v>
      </c>
      <c r="AF469" s="44" t="str">
        <f aca="false">IF(OR($H469="—",$H469=""),"—",MATCH($H469,IDX_SrcID,0))</f>
        <v>—</v>
      </c>
      <c r="AG469" s="32" t="n">
        <f aca="false">IF(AND($P469="高",OR($AD469=1,$X469=1)),1,0)</f>
        <v>0</v>
      </c>
      <c r="AH469" s="32" t="n">
        <f aca="false">IF(AND($P469="高",$AG469=0,OR($F469&lt;&gt;"原始數據",$T469&lt;&gt;1)),1,0)</f>
        <v>0</v>
      </c>
      <c r="AI469" s="44" t="str">
        <f aca="false">IF(AND($P469="高",ISNUMBER($AF469)),INDEX(IDX_SrcDate,$AF469),"—")</f>
        <v>—</v>
      </c>
      <c r="AJ469" s="32" t="n">
        <f aca="false">IF(AND(ISTEXT($AI469),LEN($AI469)=10),IF(ISNUMBER(VALUE(SUBSTITUTE($AI469,"-",""))),VALUE(SUBSTITUTE($AI469,"-","")),0),0)</f>
        <v>0</v>
      </c>
    </row>
    <row r="470" customFormat="false" ht="15" hidden="false" customHeight="true" outlineLevel="0" collapsed="false">
      <c r="A470" s="30" t="s">
        <v>5699</v>
      </c>
      <c r="B470" s="239" t="s">
        <v>5607</v>
      </c>
      <c r="C470" s="30" t="s">
        <v>5608</v>
      </c>
      <c r="D470" s="30" t="s">
        <v>5700</v>
      </c>
      <c r="E470" s="6" t="s">
        <v>1349</v>
      </c>
      <c r="F470" s="30" t="s">
        <v>114</v>
      </c>
      <c r="G470" s="239" t="s">
        <v>5614</v>
      </c>
      <c r="H470" s="30" t="s">
        <v>751</v>
      </c>
      <c r="I470" s="6" t="s">
        <v>751</v>
      </c>
      <c r="J470" s="30" t="s">
        <v>751</v>
      </c>
      <c r="K470" s="239"/>
      <c r="L470" s="239"/>
      <c r="M470" s="30" t="s">
        <v>5701</v>
      </c>
      <c r="N470" s="6" t="s">
        <v>5702</v>
      </c>
      <c r="O470" s="6" t="s">
        <v>751</v>
      </c>
      <c r="P470" s="239" t="s">
        <v>1308</v>
      </c>
      <c r="Q470" s="184" t="s">
        <v>751</v>
      </c>
      <c r="R470" s="30" t="s">
        <v>751</v>
      </c>
      <c r="S470" s="44" t="str">
        <f aca="false">IF(ISNUMBER($AF470),INDEX(IDX_SrcStat,$AF470),"—")</f>
        <v>—</v>
      </c>
      <c r="T470" s="44" t="str">
        <f aca="false">IF(ISNUMBER($AF470),INDEX(IDX_SrcGrade,$AF470),"—")</f>
        <v>—</v>
      </c>
      <c r="U470" s="30" t="s">
        <v>751</v>
      </c>
      <c r="V470" s="32" t="n">
        <f aca="false">IF(AND($F470="原始數據",$U470&lt;&gt;"連結 SRC"),1,0)</f>
        <v>0</v>
      </c>
      <c r="W470" s="32" t="n">
        <f aca="false">IF(AND($F470="Analogy",OR($H470="—",$H470="")),1,0)</f>
        <v>0</v>
      </c>
      <c r="X470" s="32" t="n">
        <f aca="false">IF(AND(OR($F470="Analogy",$F470="Assumed"),$G470&lt;&gt;"低",$G470&lt;&gt;"高",NOT(ISNUMBER($K470)),NOT(ISNUMBER($L470)),OR($M470="—",$M470="")),1,0)</f>
        <v>0</v>
      </c>
      <c r="Y470" s="32" t="n">
        <f aca="false">IF(AND(OR($F470="Analogy",$F470="Assumed",$F470="Derived（待改公式）",$F470="Derived（公式）"),OR($N470="—",$N470="",$N470=0)),1,0)</f>
        <v>0</v>
      </c>
      <c r="Z470" s="32" t="n">
        <f aca="false">IF(AND($F470="Decision",OR($J470="—",$J470="")),1,0)</f>
        <v>0</v>
      </c>
      <c r="AA470" s="33" t="n">
        <f aca="false">IF(OR($J470="—",$J470=""),0,IF(COUNTIF(Decisions!$A$5:$A$300,$J470)=0,1,0))</f>
        <v>0</v>
      </c>
      <c r="AB470" s="32" t="n">
        <f aca="false">IF(AND($F470="原始數據",$S470&lt;&gt;"Active"),1,0)</f>
        <v>0</v>
      </c>
      <c r="AC470" s="32" t="n">
        <f aca="false">IF(AND(ISNUMBER($K470),ISNUMBER($L470),ISNUMBER($Q470)),IF(OR($Q470&lt;MIN($K470,$L470),$Q470&gt;MAX($K470,$L470)),1,0),0)</f>
        <v>0</v>
      </c>
      <c r="AD470" s="32" t="n">
        <f aca="false">IF(AND(ISNUMBER($T470),$P470="高"),IF($T470=3,1,0),0)</f>
        <v>0</v>
      </c>
      <c r="AE470" s="32" t="n">
        <f aca="false">IF($S470="不存在",1,0)</f>
        <v>0</v>
      </c>
      <c r="AF470" s="44" t="str">
        <f aca="false">IF(OR($H470="—",$H470=""),"—",MATCH($H470,IDX_SrcID,0))</f>
        <v>—</v>
      </c>
      <c r="AG470" s="32" t="n">
        <f aca="false">IF(AND($P470="高",OR($AD470=1,$X470=1)),1,0)</f>
        <v>0</v>
      </c>
      <c r="AH470" s="32" t="n">
        <f aca="false">IF(AND($P470="高",$AG470=0,OR($F470&lt;&gt;"原始數據",$T470&lt;&gt;1)),1,0)</f>
        <v>0</v>
      </c>
      <c r="AI470" s="44" t="str">
        <f aca="false">IF(AND($P470="高",ISNUMBER($AF470)),INDEX(IDX_SrcDate,$AF470),"—")</f>
        <v>—</v>
      </c>
      <c r="AJ470" s="32" t="n">
        <f aca="false">IF(AND(ISTEXT($AI470),LEN($AI470)=10),IF(ISNUMBER(VALUE(SUBSTITUTE($AI470,"-",""))),VALUE(SUBSTITUTE($AI470,"-","")),0),0)</f>
        <v>0</v>
      </c>
    </row>
    <row r="471" customFormat="false" ht="15" hidden="false" customHeight="true" outlineLevel="0" collapsed="false">
      <c r="A471" s="30" t="s">
        <v>5703</v>
      </c>
      <c r="B471" s="239" t="s">
        <v>5607</v>
      </c>
      <c r="C471" s="30" t="s">
        <v>5608</v>
      </c>
      <c r="D471" s="30" t="s">
        <v>4983</v>
      </c>
      <c r="E471" s="6" t="s">
        <v>1352</v>
      </c>
      <c r="F471" s="30" t="s">
        <v>114</v>
      </c>
      <c r="G471" s="239" t="s">
        <v>97</v>
      </c>
      <c r="H471" s="30" t="s">
        <v>751</v>
      </c>
      <c r="I471" s="6" t="s">
        <v>751</v>
      </c>
      <c r="J471" s="30" t="s">
        <v>751</v>
      </c>
      <c r="K471" s="33" t="n">
        <f aca="false">Cap_In!D40</f>
        <v>3</v>
      </c>
      <c r="L471" s="33" t="n">
        <f aca="false">Cap_In!E40</f>
        <v>6</v>
      </c>
      <c r="M471" s="30" t="s">
        <v>751</v>
      </c>
      <c r="N471" s="6" t="s">
        <v>5704</v>
      </c>
      <c r="O471" s="6" t="s">
        <v>751</v>
      </c>
      <c r="P471" s="239" t="s">
        <v>1308</v>
      </c>
      <c r="Q471" s="33" t="n">
        <f aca="false">Cap_In!C40</f>
        <v>4</v>
      </c>
      <c r="R471" s="30" t="s">
        <v>751</v>
      </c>
      <c r="S471" s="44" t="str">
        <f aca="false">IF(ISNUMBER($AF471),INDEX(IDX_SrcStat,$AF471),"—")</f>
        <v>—</v>
      </c>
      <c r="T471" s="44" t="str">
        <f aca="false">IF(ISNUMBER($AF471),INDEX(IDX_SrcGrade,$AF471),"—")</f>
        <v>—</v>
      </c>
      <c r="U471" s="44" t="s">
        <v>4531</v>
      </c>
      <c r="V471" s="32" t="n">
        <f aca="false">IF(AND($F471="原始數據",$U471&lt;&gt;"連結 SRC"),1,0)</f>
        <v>0</v>
      </c>
      <c r="W471" s="32" t="n">
        <f aca="false">IF(AND($F471="Analogy",OR($H471="—",$H471="")),1,0)</f>
        <v>0</v>
      </c>
      <c r="X471" s="32" t="n">
        <f aca="false">IF(AND(OR($F471="Analogy",$F471="Assumed"),$G471&lt;&gt;"低",$G471&lt;&gt;"高",NOT(ISNUMBER($K471)),NOT(ISNUMBER($L471)),OR($M471="—",$M471="")),1,0)</f>
        <v>0</v>
      </c>
      <c r="Y471" s="32" t="n">
        <f aca="false">IF(AND(OR($F471="Analogy",$F471="Assumed",$F471="Derived（待改公式）",$F471="Derived（公式）"),OR($N471="—",$N471="",$N471=0)),1,0)</f>
        <v>0</v>
      </c>
      <c r="Z471" s="32" t="n">
        <f aca="false">IF(AND($F471="Decision",OR($J471="—",$J471="")),1,0)</f>
        <v>0</v>
      </c>
      <c r="AA471" s="33" t="n">
        <f aca="false">IF(OR($J471="—",$J471=""),0,IF(COUNTIF(Decisions!$A$5:$A$300,$J471)=0,1,0))</f>
        <v>0</v>
      </c>
      <c r="AB471" s="32" t="n">
        <f aca="false">IF(AND($F471="原始數據",$S471&lt;&gt;"Active"),1,0)</f>
        <v>0</v>
      </c>
      <c r="AC471" s="32" t="n">
        <f aca="false">IF(AND(ISNUMBER($K471),ISNUMBER($L471),ISNUMBER($Q471)),IF(OR($Q471&lt;MIN($K471,$L471),$Q471&gt;MAX($K471,$L471)),1,0),0)</f>
        <v>0</v>
      </c>
      <c r="AD471" s="32" t="n">
        <f aca="false">IF(AND(ISNUMBER($T471),$P471="高"),IF($T471=3,1,0),0)</f>
        <v>0</v>
      </c>
      <c r="AE471" s="32" t="n">
        <f aca="false">IF($S471="不存在",1,0)</f>
        <v>0</v>
      </c>
      <c r="AF471" s="44" t="str">
        <f aca="false">IF(OR($H471="—",$H471=""),"—",MATCH($H471,IDX_SrcID,0))</f>
        <v>—</v>
      </c>
      <c r="AG471" s="32" t="n">
        <f aca="false">IF(AND($P471="高",OR($AD471=1,$X471=1)),1,0)</f>
        <v>0</v>
      </c>
      <c r="AH471" s="32" t="n">
        <f aca="false">IF(AND($P471="高",$AG471=0,OR($F471&lt;&gt;"原始數據",$T471&lt;&gt;1)),1,0)</f>
        <v>0</v>
      </c>
      <c r="AI471" s="44" t="str">
        <f aca="false">IF(AND($P471="高",ISNUMBER($AF471)),INDEX(IDX_SrcDate,$AF471),"—")</f>
        <v>—</v>
      </c>
      <c r="AJ471" s="32" t="n">
        <f aca="false">IF(AND(ISTEXT($AI471),LEN($AI471)=10),IF(ISNUMBER(VALUE(SUBSTITUTE($AI471,"-",""))),VALUE(SUBSTITUTE($AI471,"-","")),0),0)</f>
        <v>0</v>
      </c>
    </row>
    <row r="472" customFormat="false" ht="15" hidden="false" customHeight="true" outlineLevel="0" collapsed="false">
      <c r="A472" s="30" t="s">
        <v>5705</v>
      </c>
      <c r="B472" s="239" t="s">
        <v>5607</v>
      </c>
      <c r="C472" s="30" t="s">
        <v>5608</v>
      </c>
      <c r="D472" s="30" t="s">
        <v>5706</v>
      </c>
      <c r="E472" s="6" t="s">
        <v>1352</v>
      </c>
      <c r="F472" s="30" t="s">
        <v>114</v>
      </c>
      <c r="G472" s="239" t="s">
        <v>5614</v>
      </c>
      <c r="H472" s="30" t="s">
        <v>751</v>
      </c>
      <c r="I472" s="6" t="s">
        <v>751</v>
      </c>
      <c r="J472" s="30" t="s">
        <v>751</v>
      </c>
      <c r="K472" s="239"/>
      <c r="L472" s="239"/>
      <c r="M472" s="30" t="s">
        <v>5707</v>
      </c>
      <c r="N472" s="6" t="s">
        <v>1352</v>
      </c>
      <c r="O472" s="6" t="s">
        <v>751</v>
      </c>
      <c r="P472" s="239" t="s">
        <v>1308</v>
      </c>
      <c r="Q472" s="184" t="s">
        <v>751</v>
      </c>
      <c r="R472" s="30" t="s">
        <v>751</v>
      </c>
      <c r="S472" s="44" t="str">
        <f aca="false">IF(ISNUMBER($AF472),INDEX(IDX_SrcStat,$AF472),"—")</f>
        <v>—</v>
      </c>
      <c r="T472" s="44" t="str">
        <f aca="false">IF(ISNUMBER($AF472),INDEX(IDX_SrcGrade,$AF472),"—")</f>
        <v>—</v>
      </c>
      <c r="U472" s="30" t="s">
        <v>751</v>
      </c>
      <c r="V472" s="32" t="n">
        <f aca="false">IF(AND($F472="原始數據",$U472&lt;&gt;"連結 SRC"),1,0)</f>
        <v>0</v>
      </c>
      <c r="W472" s="32" t="n">
        <f aca="false">IF(AND($F472="Analogy",OR($H472="—",$H472="")),1,0)</f>
        <v>0</v>
      </c>
      <c r="X472" s="32" t="n">
        <f aca="false">IF(AND(OR($F472="Analogy",$F472="Assumed"),$G472&lt;&gt;"低",$G472&lt;&gt;"高",NOT(ISNUMBER($K472)),NOT(ISNUMBER($L472)),OR($M472="—",$M472="")),1,0)</f>
        <v>0</v>
      </c>
      <c r="Y472" s="32" t="n">
        <f aca="false">IF(AND(OR($F472="Analogy",$F472="Assumed",$F472="Derived（待改公式）",$F472="Derived（公式）"),OR($N472="—",$N472="",$N472=0)),1,0)</f>
        <v>0</v>
      </c>
      <c r="Z472" s="32" t="n">
        <f aca="false">IF(AND($F472="Decision",OR($J472="—",$J472="")),1,0)</f>
        <v>0</v>
      </c>
      <c r="AA472" s="33" t="n">
        <f aca="false">IF(OR($J472="—",$J472=""),0,IF(COUNTIF(Decisions!$A$5:$A$300,$J472)=0,1,0))</f>
        <v>0</v>
      </c>
      <c r="AB472" s="32" t="n">
        <f aca="false">IF(AND($F472="原始數據",$S472&lt;&gt;"Active"),1,0)</f>
        <v>0</v>
      </c>
      <c r="AC472" s="32" t="n">
        <f aca="false">IF(AND(ISNUMBER($K472),ISNUMBER($L472),ISNUMBER($Q472)),IF(OR($Q472&lt;MIN($K472,$L472),$Q472&gt;MAX($K472,$L472)),1,0),0)</f>
        <v>0</v>
      </c>
      <c r="AD472" s="32" t="n">
        <f aca="false">IF(AND(ISNUMBER($T472),$P472="高"),IF($T472=3,1,0),0)</f>
        <v>0</v>
      </c>
      <c r="AE472" s="32" t="n">
        <f aca="false">IF($S472="不存在",1,0)</f>
        <v>0</v>
      </c>
      <c r="AF472" s="44" t="str">
        <f aca="false">IF(OR($H472="—",$H472=""),"—",MATCH($H472,IDX_SrcID,0))</f>
        <v>—</v>
      </c>
      <c r="AG472" s="32" t="n">
        <f aca="false">IF(AND($P472="高",OR($AD472=1,$X472=1)),1,0)</f>
        <v>0</v>
      </c>
      <c r="AH472" s="32" t="n">
        <f aca="false">IF(AND($P472="高",$AG472=0,OR($F472&lt;&gt;"原始數據",$T472&lt;&gt;1)),1,0)</f>
        <v>0</v>
      </c>
      <c r="AI472" s="44" t="str">
        <f aca="false">IF(AND($P472="高",ISNUMBER($AF472)),INDEX(IDX_SrcDate,$AF472),"—")</f>
        <v>—</v>
      </c>
      <c r="AJ472" s="32" t="n">
        <f aca="false">IF(AND(ISTEXT($AI472),LEN($AI472)=10),IF(ISNUMBER(VALUE(SUBSTITUTE($AI472,"-",""))),VALUE(SUBSTITUTE($AI472,"-","")),0),0)</f>
        <v>0</v>
      </c>
    </row>
    <row r="473" customFormat="false" ht="15" hidden="false" customHeight="true" outlineLevel="0" collapsed="false">
      <c r="A473" s="30" t="s">
        <v>5708</v>
      </c>
      <c r="B473" s="239" t="s">
        <v>5607</v>
      </c>
      <c r="C473" s="30" t="s">
        <v>5608</v>
      </c>
      <c r="D473" s="30" t="s">
        <v>4997</v>
      </c>
      <c r="E473" s="6" t="s">
        <v>1353</v>
      </c>
      <c r="F473" s="30" t="s">
        <v>114</v>
      </c>
      <c r="G473" s="239" t="s">
        <v>97</v>
      </c>
      <c r="H473" s="30" t="s">
        <v>751</v>
      </c>
      <c r="I473" s="6" t="s">
        <v>751</v>
      </c>
      <c r="J473" s="30" t="s">
        <v>751</v>
      </c>
      <c r="K473" s="192" t="n">
        <f aca="false">Cap_In!D41</f>
        <v>0.05</v>
      </c>
      <c r="L473" s="192" t="n">
        <f aca="false">Cap_In!E41</f>
        <v>0.3</v>
      </c>
      <c r="M473" s="30" t="s">
        <v>751</v>
      </c>
      <c r="N473" s="20" t="s">
        <v>5709</v>
      </c>
      <c r="O473" s="6" t="s">
        <v>751</v>
      </c>
      <c r="P473" s="239" t="s">
        <v>4530</v>
      </c>
      <c r="Q473" s="192" t="n">
        <f aca="false">Cap_In!C41</f>
        <v>0.1</v>
      </c>
      <c r="R473" s="30" t="s">
        <v>751</v>
      </c>
      <c r="S473" s="44" t="str">
        <f aca="false">IF(ISNUMBER($AF473),INDEX(IDX_SrcStat,$AF473),"—")</f>
        <v>—</v>
      </c>
      <c r="T473" s="44" t="str">
        <f aca="false">IF(ISNUMBER($AF473),INDEX(IDX_SrcGrade,$AF473),"—")</f>
        <v>—</v>
      </c>
      <c r="U473" s="44" t="s">
        <v>4531</v>
      </c>
      <c r="V473" s="32" t="n">
        <f aca="false">IF(AND($F473="原始數據",$U473&lt;&gt;"連結 SRC"),1,0)</f>
        <v>0</v>
      </c>
      <c r="W473" s="32" t="n">
        <f aca="false">IF(AND($F473="Analogy",OR($H473="—",$H473="")),1,0)</f>
        <v>0</v>
      </c>
      <c r="X473" s="32" t="n">
        <f aca="false">IF(AND(OR($F473="Analogy",$F473="Assumed"),$G473&lt;&gt;"低",$G473&lt;&gt;"高",NOT(ISNUMBER($K473)),NOT(ISNUMBER($L473)),OR($M473="—",$M473="")),1,0)</f>
        <v>0</v>
      </c>
      <c r="Y473" s="32" t="n">
        <f aca="false">IF(AND(OR($F473="Analogy",$F473="Assumed",$F473="Derived（待改公式）",$F473="Derived（公式）"),OR($N473="—",$N473="",$N473=0)),1,0)</f>
        <v>0</v>
      </c>
      <c r="Z473" s="32" t="n">
        <f aca="false">IF(AND($F473="Decision",OR($J473="—",$J473="")),1,0)</f>
        <v>0</v>
      </c>
      <c r="AA473" s="33" t="n">
        <f aca="false">IF(OR($J473="—",$J473=""),0,IF(COUNTIF(Decisions!$A$5:$A$300,$J473)=0,1,0))</f>
        <v>0</v>
      </c>
      <c r="AB473" s="32" t="n">
        <f aca="false">IF(AND($F473="原始數據",$S473&lt;&gt;"Active"),1,0)</f>
        <v>0</v>
      </c>
      <c r="AC473" s="32" t="n">
        <f aca="false">IF(AND(ISNUMBER($K473),ISNUMBER($L473),ISNUMBER($Q473)),IF(OR($Q473&lt;MIN($K473,$L473),$Q473&gt;MAX($K473,$L473)),1,0),0)</f>
        <v>0</v>
      </c>
      <c r="AD473" s="32" t="n">
        <f aca="false">IF(AND(ISNUMBER($T473),$P473="高"),IF($T473=3,1,0),0)</f>
        <v>0</v>
      </c>
      <c r="AE473" s="32" t="n">
        <f aca="false">IF($S473="不存在",1,0)</f>
        <v>0</v>
      </c>
      <c r="AF473" s="44" t="str">
        <f aca="false">IF(OR($H473="—",$H473=""),"—",MATCH($H473,IDX_SrcID,0))</f>
        <v>—</v>
      </c>
      <c r="AG473" s="32" t="n">
        <f aca="false">IF(AND($P473="高",OR($AD473=1,$X473=1)),1,0)</f>
        <v>0</v>
      </c>
      <c r="AH473" s="32" t="n">
        <f aca="false">IF(AND($P473="高",$AG473=0,OR($F473&lt;&gt;"原始數據",$T473&lt;&gt;1)),1,0)</f>
        <v>0</v>
      </c>
      <c r="AI473" s="44" t="str">
        <f aca="false">IF(AND($P473="高",ISNUMBER($AF473)),INDEX(IDX_SrcDate,$AF473),"—")</f>
        <v>—</v>
      </c>
      <c r="AJ473" s="32" t="n">
        <f aca="false">IF(AND(ISTEXT($AI473),LEN($AI473)=10),IF(ISNUMBER(VALUE(SUBSTITUTE($AI473,"-",""))),VALUE(SUBSTITUTE($AI473,"-","")),0),0)</f>
        <v>0</v>
      </c>
    </row>
    <row r="474" customFormat="false" ht="15" hidden="false" customHeight="true" outlineLevel="0" collapsed="false">
      <c r="A474" s="30" t="s">
        <v>5710</v>
      </c>
      <c r="B474" s="239" t="s">
        <v>5607</v>
      </c>
      <c r="C474" s="30" t="s">
        <v>5608</v>
      </c>
      <c r="D474" s="30" t="s">
        <v>5711</v>
      </c>
      <c r="E474" s="6" t="s">
        <v>1353</v>
      </c>
      <c r="F474" s="30" t="s">
        <v>114</v>
      </c>
      <c r="G474" s="239" t="s">
        <v>5614</v>
      </c>
      <c r="H474" s="30" t="s">
        <v>751</v>
      </c>
      <c r="I474" s="6" t="s">
        <v>751</v>
      </c>
      <c r="J474" s="30" t="s">
        <v>751</v>
      </c>
      <c r="K474" s="239"/>
      <c r="L474" s="239"/>
      <c r="M474" s="30" t="s">
        <v>5712</v>
      </c>
      <c r="N474" s="20" t="s">
        <v>5709</v>
      </c>
      <c r="O474" s="6" t="s">
        <v>751</v>
      </c>
      <c r="P474" s="239" t="s">
        <v>4530</v>
      </c>
      <c r="Q474" s="184" t="s">
        <v>751</v>
      </c>
      <c r="R474" s="30" t="s">
        <v>751</v>
      </c>
      <c r="S474" s="44" t="str">
        <f aca="false">IF(ISNUMBER($AF474),INDEX(IDX_SrcStat,$AF474),"—")</f>
        <v>—</v>
      </c>
      <c r="T474" s="44" t="str">
        <f aca="false">IF(ISNUMBER($AF474),INDEX(IDX_SrcGrade,$AF474),"—")</f>
        <v>—</v>
      </c>
      <c r="U474" s="30" t="s">
        <v>751</v>
      </c>
      <c r="V474" s="32" t="n">
        <f aca="false">IF(AND($F474="原始數據",$U474&lt;&gt;"連結 SRC"),1,0)</f>
        <v>0</v>
      </c>
      <c r="W474" s="32" t="n">
        <f aca="false">IF(AND($F474="Analogy",OR($H474="—",$H474="")),1,0)</f>
        <v>0</v>
      </c>
      <c r="X474" s="32" t="n">
        <f aca="false">IF(AND(OR($F474="Analogy",$F474="Assumed"),$G474&lt;&gt;"低",$G474&lt;&gt;"高",NOT(ISNUMBER($K474)),NOT(ISNUMBER($L474)),OR($M474="—",$M474="")),1,0)</f>
        <v>0</v>
      </c>
      <c r="Y474" s="32" t="n">
        <f aca="false">IF(AND(OR($F474="Analogy",$F474="Assumed",$F474="Derived（待改公式）",$F474="Derived（公式）"),OR($N474="—",$N474="",$N474=0)),1,0)</f>
        <v>0</v>
      </c>
      <c r="Z474" s="32" t="n">
        <f aca="false">IF(AND($F474="Decision",OR($J474="—",$J474="")),1,0)</f>
        <v>0</v>
      </c>
      <c r="AA474" s="33" t="n">
        <f aca="false">IF(OR($J474="—",$J474=""),0,IF(COUNTIF(Decisions!$A$5:$A$300,$J474)=0,1,0))</f>
        <v>0</v>
      </c>
      <c r="AB474" s="32" t="n">
        <f aca="false">IF(AND($F474="原始數據",$S474&lt;&gt;"Active"),1,0)</f>
        <v>0</v>
      </c>
      <c r="AC474" s="32" t="n">
        <f aca="false">IF(AND(ISNUMBER($K474),ISNUMBER($L474),ISNUMBER($Q474)),IF(OR($Q474&lt;MIN($K474,$L474),$Q474&gt;MAX($K474,$L474)),1,0),0)</f>
        <v>0</v>
      </c>
      <c r="AD474" s="32" t="n">
        <f aca="false">IF(AND(ISNUMBER($T474),$P474="高"),IF($T474=3,1,0),0)</f>
        <v>0</v>
      </c>
      <c r="AE474" s="32" t="n">
        <f aca="false">IF($S474="不存在",1,0)</f>
        <v>0</v>
      </c>
      <c r="AF474" s="44" t="str">
        <f aca="false">IF(OR($H474="—",$H474=""),"—",MATCH($H474,IDX_SrcID,0))</f>
        <v>—</v>
      </c>
      <c r="AG474" s="32" t="n">
        <f aca="false">IF(AND($P474="高",OR($AD474=1,$X474=1)),1,0)</f>
        <v>0</v>
      </c>
      <c r="AH474" s="32" t="n">
        <f aca="false">IF(AND($P474="高",$AG474=0,OR($F474&lt;&gt;"原始數據",$T474&lt;&gt;1)),1,0)</f>
        <v>0</v>
      </c>
      <c r="AI474" s="44" t="str">
        <f aca="false">IF(AND($P474="高",ISNUMBER($AF474)),INDEX(IDX_SrcDate,$AF474),"—")</f>
        <v>—</v>
      </c>
      <c r="AJ474" s="32" t="n">
        <f aca="false">IF(AND(ISTEXT($AI474),LEN($AI474)=10),IF(ISNUMBER(VALUE(SUBSTITUTE($AI474,"-",""))),VALUE(SUBSTITUTE($AI474,"-","")),0),0)</f>
        <v>0</v>
      </c>
    </row>
    <row r="475" customFormat="false" ht="15" hidden="false" customHeight="true" outlineLevel="0" collapsed="false">
      <c r="A475" s="30" t="s">
        <v>5713</v>
      </c>
      <c r="B475" s="239" t="s">
        <v>5607</v>
      </c>
      <c r="C475" s="30" t="s">
        <v>5608</v>
      </c>
      <c r="D475" s="30" t="s">
        <v>5572</v>
      </c>
      <c r="E475" s="6" t="s">
        <v>1355</v>
      </c>
      <c r="F475" s="30" t="s">
        <v>114</v>
      </c>
      <c r="G475" s="239" t="s">
        <v>97</v>
      </c>
      <c r="H475" s="30" t="s">
        <v>751</v>
      </c>
      <c r="I475" s="6" t="s">
        <v>751</v>
      </c>
      <c r="J475" s="30" t="s">
        <v>751</v>
      </c>
      <c r="K475" s="33" t="n">
        <f aca="false">Cap_In!D42</f>
        <v>3</v>
      </c>
      <c r="L475" s="33" t="n">
        <f aca="false">Cap_In!E42</f>
        <v>6</v>
      </c>
      <c r="M475" s="30" t="s">
        <v>751</v>
      </c>
      <c r="N475" s="6" t="s">
        <v>1355</v>
      </c>
      <c r="O475" s="6" t="s">
        <v>751</v>
      </c>
      <c r="P475" s="239" t="s">
        <v>4530</v>
      </c>
      <c r="Q475" s="33" t="n">
        <f aca="false">Cap_In!C42</f>
        <v>5</v>
      </c>
      <c r="R475" s="30" t="s">
        <v>751</v>
      </c>
      <c r="S475" s="44" t="str">
        <f aca="false">IF(ISNUMBER($AF475),INDEX(IDX_SrcStat,$AF475),"—")</f>
        <v>—</v>
      </c>
      <c r="T475" s="44" t="str">
        <f aca="false">IF(ISNUMBER($AF475),INDEX(IDX_SrcGrade,$AF475),"—")</f>
        <v>—</v>
      </c>
      <c r="U475" s="44" t="s">
        <v>4531</v>
      </c>
      <c r="V475" s="32" t="n">
        <f aca="false">IF(AND($F475="原始數據",$U475&lt;&gt;"連結 SRC"),1,0)</f>
        <v>0</v>
      </c>
      <c r="W475" s="32" t="n">
        <f aca="false">IF(AND($F475="Analogy",OR($H475="—",$H475="")),1,0)</f>
        <v>0</v>
      </c>
      <c r="X475" s="32" t="n">
        <f aca="false">IF(AND(OR($F475="Analogy",$F475="Assumed"),$G475&lt;&gt;"低",$G475&lt;&gt;"高",NOT(ISNUMBER($K475)),NOT(ISNUMBER($L475)),OR($M475="—",$M475="")),1,0)</f>
        <v>0</v>
      </c>
      <c r="Y475" s="32" t="n">
        <f aca="false">IF(AND(OR($F475="Analogy",$F475="Assumed",$F475="Derived（待改公式）",$F475="Derived（公式）"),OR($N475="—",$N475="",$N475=0)),1,0)</f>
        <v>0</v>
      </c>
      <c r="Z475" s="32" t="n">
        <f aca="false">IF(AND($F475="Decision",OR($J475="—",$J475="")),1,0)</f>
        <v>0</v>
      </c>
      <c r="AA475" s="33" t="n">
        <f aca="false">IF(OR($J475="—",$J475=""),0,IF(COUNTIF(Decisions!$A$5:$A$300,$J475)=0,1,0))</f>
        <v>0</v>
      </c>
      <c r="AB475" s="32" t="n">
        <f aca="false">IF(AND($F475="原始數據",$S475&lt;&gt;"Active"),1,0)</f>
        <v>0</v>
      </c>
      <c r="AC475" s="32" t="n">
        <f aca="false">IF(AND(ISNUMBER($K475),ISNUMBER($L475),ISNUMBER($Q475)),IF(OR($Q475&lt;MIN($K475,$L475),$Q475&gt;MAX($K475,$L475)),1,0),0)</f>
        <v>0</v>
      </c>
      <c r="AD475" s="32" t="n">
        <f aca="false">IF(AND(ISNUMBER($T475),$P475="高"),IF($T475=3,1,0),0)</f>
        <v>0</v>
      </c>
      <c r="AE475" s="32" t="n">
        <f aca="false">IF($S475="不存在",1,0)</f>
        <v>0</v>
      </c>
      <c r="AF475" s="44" t="str">
        <f aca="false">IF(OR($H475="—",$H475=""),"—",MATCH($H475,IDX_SrcID,0))</f>
        <v>—</v>
      </c>
      <c r="AG475" s="32" t="n">
        <f aca="false">IF(AND($P475="高",OR($AD475=1,$X475=1)),1,0)</f>
        <v>0</v>
      </c>
      <c r="AH475" s="32" t="n">
        <f aca="false">IF(AND($P475="高",$AG475=0,OR($F475&lt;&gt;"原始數據",$T475&lt;&gt;1)),1,0)</f>
        <v>0</v>
      </c>
      <c r="AI475" s="44" t="str">
        <f aca="false">IF(AND($P475="高",ISNUMBER($AF475)),INDEX(IDX_SrcDate,$AF475),"—")</f>
        <v>—</v>
      </c>
      <c r="AJ475" s="32" t="n">
        <f aca="false">IF(AND(ISTEXT($AI475),LEN($AI475)=10),IF(ISNUMBER(VALUE(SUBSTITUTE($AI475,"-",""))),VALUE(SUBSTITUTE($AI475,"-","")),0),0)</f>
        <v>0</v>
      </c>
    </row>
    <row r="476" customFormat="false" ht="15" hidden="false" customHeight="true" outlineLevel="0" collapsed="false">
      <c r="A476" s="30" t="s">
        <v>5714</v>
      </c>
      <c r="B476" s="239" t="s">
        <v>5607</v>
      </c>
      <c r="C476" s="30" t="s">
        <v>5608</v>
      </c>
      <c r="D476" s="30" t="s">
        <v>5715</v>
      </c>
      <c r="E476" s="6" t="s">
        <v>1355</v>
      </c>
      <c r="F476" s="30" t="s">
        <v>114</v>
      </c>
      <c r="G476" s="239" t="s">
        <v>5614</v>
      </c>
      <c r="H476" s="30" t="s">
        <v>751</v>
      </c>
      <c r="I476" s="6" t="s">
        <v>751</v>
      </c>
      <c r="J476" s="30" t="s">
        <v>751</v>
      </c>
      <c r="K476" s="239"/>
      <c r="L476" s="239"/>
      <c r="M476" s="30" t="s">
        <v>5716</v>
      </c>
      <c r="N476" s="6" t="s">
        <v>1355</v>
      </c>
      <c r="O476" s="6" t="s">
        <v>751</v>
      </c>
      <c r="P476" s="239" t="s">
        <v>4530</v>
      </c>
      <c r="Q476" s="184" t="s">
        <v>751</v>
      </c>
      <c r="R476" s="30" t="s">
        <v>751</v>
      </c>
      <c r="S476" s="44" t="str">
        <f aca="false">IF(ISNUMBER($AF476),INDEX(IDX_SrcStat,$AF476),"—")</f>
        <v>—</v>
      </c>
      <c r="T476" s="44" t="str">
        <f aca="false">IF(ISNUMBER($AF476),INDEX(IDX_SrcGrade,$AF476),"—")</f>
        <v>—</v>
      </c>
      <c r="U476" s="30" t="s">
        <v>751</v>
      </c>
      <c r="V476" s="32" t="n">
        <f aca="false">IF(AND($F476="原始數據",$U476&lt;&gt;"連結 SRC"),1,0)</f>
        <v>0</v>
      </c>
      <c r="W476" s="32" t="n">
        <f aca="false">IF(AND($F476="Analogy",OR($H476="—",$H476="")),1,0)</f>
        <v>0</v>
      </c>
      <c r="X476" s="32" t="n">
        <f aca="false">IF(AND(OR($F476="Analogy",$F476="Assumed"),$G476&lt;&gt;"低",$G476&lt;&gt;"高",NOT(ISNUMBER($K476)),NOT(ISNUMBER($L476)),OR($M476="—",$M476="")),1,0)</f>
        <v>0</v>
      </c>
      <c r="Y476" s="32" t="n">
        <f aca="false">IF(AND(OR($F476="Analogy",$F476="Assumed",$F476="Derived（待改公式）",$F476="Derived（公式）"),OR($N476="—",$N476="",$N476=0)),1,0)</f>
        <v>0</v>
      </c>
      <c r="Z476" s="32" t="n">
        <f aca="false">IF(AND($F476="Decision",OR($J476="—",$J476="")),1,0)</f>
        <v>0</v>
      </c>
      <c r="AA476" s="33" t="n">
        <f aca="false">IF(OR($J476="—",$J476=""),0,IF(COUNTIF(Decisions!$A$5:$A$300,$J476)=0,1,0))</f>
        <v>0</v>
      </c>
      <c r="AB476" s="32" t="n">
        <f aca="false">IF(AND($F476="原始數據",$S476&lt;&gt;"Active"),1,0)</f>
        <v>0</v>
      </c>
      <c r="AC476" s="32" t="n">
        <f aca="false">IF(AND(ISNUMBER($K476),ISNUMBER($L476),ISNUMBER($Q476)),IF(OR($Q476&lt;MIN($K476,$L476),$Q476&gt;MAX($K476,$L476)),1,0),0)</f>
        <v>0</v>
      </c>
      <c r="AD476" s="32" t="n">
        <f aca="false">IF(AND(ISNUMBER($T476),$P476="高"),IF($T476=3,1,0),0)</f>
        <v>0</v>
      </c>
      <c r="AE476" s="32" t="n">
        <f aca="false">IF($S476="不存在",1,0)</f>
        <v>0</v>
      </c>
      <c r="AF476" s="44" t="str">
        <f aca="false">IF(OR($H476="—",$H476=""),"—",MATCH($H476,IDX_SrcID,0))</f>
        <v>—</v>
      </c>
      <c r="AG476" s="32" t="n">
        <f aca="false">IF(AND($P476="高",OR($AD476=1,$X476=1)),1,0)</f>
        <v>0</v>
      </c>
      <c r="AH476" s="32" t="n">
        <f aca="false">IF(AND($P476="高",$AG476=0,OR($F476&lt;&gt;"原始數據",$T476&lt;&gt;1)),1,0)</f>
        <v>0</v>
      </c>
      <c r="AI476" s="44" t="str">
        <f aca="false">IF(AND($P476="高",ISNUMBER($AF476)),INDEX(IDX_SrcDate,$AF476),"—")</f>
        <v>—</v>
      </c>
      <c r="AJ476" s="32" t="n">
        <f aca="false">IF(AND(ISTEXT($AI476),LEN($AI476)=10),IF(ISNUMBER(VALUE(SUBSTITUTE($AI476,"-",""))),VALUE(SUBSTITUTE($AI476,"-","")),0),0)</f>
        <v>0</v>
      </c>
    </row>
    <row r="477" customFormat="false" ht="43.5" hidden="false" customHeight="true" outlineLevel="0" collapsed="false">
      <c r="A477" s="30" t="s">
        <v>5717</v>
      </c>
      <c r="B477" s="239" t="s">
        <v>5607</v>
      </c>
      <c r="C477" s="30" t="s">
        <v>5608</v>
      </c>
      <c r="D477" s="30" t="s">
        <v>5718</v>
      </c>
      <c r="E477" s="6" t="s">
        <v>1369</v>
      </c>
      <c r="F477" s="239" t="s">
        <v>5719</v>
      </c>
      <c r="G477" s="239" t="s">
        <v>5287</v>
      </c>
      <c r="H477" s="30" t="s">
        <v>5720</v>
      </c>
      <c r="I477" s="20" t="s">
        <v>5721</v>
      </c>
      <c r="J477" s="30" t="s">
        <v>5637</v>
      </c>
      <c r="K477" s="239"/>
      <c r="L477" s="239"/>
      <c r="M477" s="239" t="s">
        <v>4352</v>
      </c>
      <c r="N477" s="20" t="s">
        <v>5722</v>
      </c>
      <c r="O477" s="6" t="s">
        <v>751</v>
      </c>
      <c r="P477" s="239" t="s">
        <v>4530</v>
      </c>
      <c r="Q477" s="184" t="s">
        <v>751</v>
      </c>
      <c r="R477" s="184" t="n">
        <f aca="false">SRC_PRC_027</f>
        <v>0.5</v>
      </c>
      <c r="S477" s="44" t="str">
        <f aca="false">IF(ISNUMBER($AF477),INDEX(IDX_SrcStat,$AF477),"—")</f>
        <v>Active</v>
      </c>
      <c r="T477" s="44" t="n">
        <f aca="false">IF(ISNUMBER($AF477),INDEX(IDX_SrcGrade,$AF477),"—")</f>
        <v>1</v>
      </c>
      <c r="U477" s="30" t="s">
        <v>751</v>
      </c>
      <c r="V477" s="32" t="n">
        <f aca="false">IF(AND($F477="原始數據",$U477&lt;&gt;"連結 SRC"),1,0)</f>
        <v>0</v>
      </c>
      <c r="W477" s="32" t="n">
        <f aca="false">IF(AND($F477="Analogy",OR($H477="—",$H477="")),1,0)</f>
        <v>0</v>
      </c>
      <c r="X477" s="32" t="n">
        <f aca="false">IF(AND(OR($F477="Analogy",$F477="Assumed"),$G477&lt;&gt;"低",$G477&lt;&gt;"高",NOT(ISNUMBER($K477)),NOT(ISNUMBER($L477)),OR($M477="—",$M477="")),1,0)</f>
        <v>0</v>
      </c>
      <c r="Y477" s="32" t="n">
        <f aca="false">IF(AND(OR($F477="Analogy",$F477="Assumed",$F477="Derived（待改公式）",$F477="Derived（公式）"),OR($N477="—",$N477="",$N477=0)),1,0)</f>
        <v>0</v>
      </c>
      <c r="Z477" s="32" t="n">
        <f aca="false">IF(AND($F477="Decision",OR($J477="—",$J477="")),1,0)</f>
        <v>0</v>
      </c>
      <c r="AA477" s="33" t="n">
        <f aca="false">IF(OR($J477="—",$J477=""),0,IF(COUNTIF(Decisions!$A$5:$A$300,$J477)=0,1,0))</f>
        <v>0</v>
      </c>
      <c r="AB477" s="32" t="n">
        <f aca="false">IF(AND($F477="原始數據",$S477&lt;&gt;"Active"),1,0)</f>
        <v>0</v>
      </c>
      <c r="AC477" s="32" t="n">
        <f aca="false">IF(AND(ISNUMBER($K477),ISNUMBER($L477),ISNUMBER($Q477)),IF(OR($Q477&lt;MIN($K477,$L477),$Q477&gt;MAX($K477,$L477)),1,0),0)</f>
        <v>0</v>
      </c>
      <c r="AD477" s="32" t="n">
        <f aca="false">IF(AND(ISNUMBER($T477),$P477="高"),IF($T477=3,1,0),0)</f>
        <v>0</v>
      </c>
      <c r="AE477" s="32" t="n">
        <f aca="false">IF($S477="不存在",1,0)</f>
        <v>0</v>
      </c>
      <c r="AF477" s="44" t="n">
        <f aca="false">IF(OR($H477="—",$H477=""),"—",MATCH($H477,IDX_SrcID,0))</f>
        <v>449</v>
      </c>
      <c r="AG477" s="32" t="n">
        <f aca="false">IF(AND($P477="高",OR($AD477=1,$X477=1)),1,0)</f>
        <v>0</v>
      </c>
      <c r="AH477" s="32" t="n">
        <f aca="false">IF(AND($P477="高",$AG477=0,OR($F477&lt;&gt;"原始數據",$T477&lt;&gt;1)),1,0)</f>
        <v>0</v>
      </c>
      <c r="AI477" s="44" t="str">
        <f aca="false">IF(AND($P477="高",ISNUMBER($AF477)),INDEX(IDX_SrcDate,$AF477),"—")</f>
        <v>—</v>
      </c>
      <c r="AJ477" s="32" t="n">
        <f aca="false">IF(AND(ISTEXT($AI477),LEN($AI477)=10),IF(ISNUMBER(VALUE(SUBSTITUTE($AI477,"-",""))),VALUE(SUBSTITUTE($AI477,"-","")),0),0)</f>
        <v>0</v>
      </c>
    </row>
    <row r="478" customFormat="false" ht="29.25" hidden="false" customHeight="true" outlineLevel="0" collapsed="false">
      <c r="A478" s="30" t="s">
        <v>5723</v>
      </c>
      <c r="B478" s="239" t="s">
        <v>5607</v>
      </c>
      <c r="C478" s="30" t="s">
        <v>5608</v>
      </c>
      <c r="D478" s="30" t="s">
        <v>5724</v>
      </c>
      <c r="E478" s="6" t="s">
        <v>1369</v>
      </c>
      <c r="F478" s="30" t="s">
        <v>4619</v>
      </c>
      <c r="G478" s="239" t="s">
        <v>5287</v>
      </c>
      <c r="H478" s="30" t="s">
        <v>751</v>
      </c>
      <c r="I478" s="6" t="s">
        <v>751</v>
      </c>
      <c r="J478" s="30" t="s">
        <v>5725</v>
      </c>
      <c r="K478" s="239"/>
      <c r="L478" s="239"/>
      <c r="M478" s="239" t="s">
        <v>4352</v>
      </c>
      <c r="N478" s="20" t="s">
        <v>5726</v>
      </c>
      <c r="O478" s="6" t="s">
        <v>751</v>
      </c>
      <c r="P478" s="239" t="s">
        <v>4530</v>
      </c>
      <c r="Q478" s="184" t="s">
        <v>751</v>
      </c>
      <c r="R478" s="30" t="s">
        <v>751</v>
      </c>
      <c r="S478" s="44" t="str">
        <f aca="false">IF(ISNUMBER($AF478),INDEX(IDX_SrcStat,$AF478),"—")</f>
        <v>—</v>
      </c>
      <c r="T478" s="44" t="str">
        <f aca="false">IF(ISNUMBER($AF478),INDEX(IDX_SrcGrade,$AF478),"—")</f>
        <v>—</v>
      </c>
      <c r="U478" s="30" t="s">
        <v>751</v>
      </c>
      <c r="V478" s="32" t="n">
        <f aca="false">IF(AND($F478="原始數據",$U478&lt;&gt;"連結 SRC"),1,0)</f>
        <v>0</v>
      </c>
      <c r="W478" s="32" t="n">
        <f aca="false">IF(AND($F478="Analogy",OR($H478="—",$H478="")),1,0)</f>
        <v>0</v>
      </c>
      <c r="X478" s="32" t="n">
        <f aca="false">IF(AND(OR($F478="Analogy",$F478="Assumed"),$G478&lt;&gt;"低",$G478&lt;&gt;"高",NOT(ISNUMBER($K478)),NOT(ISNUMBER($L478)),OR($M478="—",$M478="")),1,0)</f>
        <v>0</v>
      </c>
      <c r="Y478" s="32" t="n">
        <f aca="false">IF(AND(OR($F478="Analogy",$F478="Assumed",$F478="Derived（待改公式）",$F478="Derived（公式）"),OR($N478="—",$N478="",$N478=0)),1,0)</f>
        <v>0</v>
      </c>
      <c r="Z478" s="32" t="n">
        <f aca="false">IF(AND($F478="Decision",OR($J478="—",$J478="")),1,0)</f>
        <v>0</v>
      </c>
      <c r="AA478" s="33" t="n">
        <f aca="false">IF(OR($J478="—",$J478=""),0,IF(COUNTIF(Decisions!$A$5:$A$300,$J478)=0,1,0))</f>
        <v>0</v>
      </c>
      <c r="AB478" s="32" t="n">
        <f aca="false">IF(AND($F478="原始數據",$S478&lt;&gt;"Active"),1,0)</f>
        <v>0</v>
      </c>
      <c r="AC478" s="32" t="n">
        <f aca="false">IF(AND(ISNUMBER($K478),ISNUMBER($L478),ISNUMBER($Q478)),IF(OR($Q478&lt;MIN($K478,$L478),$Q478&gt;MAX($K478,$L478)),1,0),0)</f>
        <v>0</v>
      </c>
      <c r="AD478" s="32" t="n">
        <f aca="false">IF(AND(ISNUMBER($T478),$P478="高"),IF($T478=3,1,0),0)</f>
        <v>0</v>
      </c>
      <c r="AE478" s="32" t="n">
        <f aca="false">IF($S478="不存在",1,0)</f>
        <v>0</v>
      </c>
      <c r="AF478" s="44" t="str">
        <f aca="false">IF(OR($H478="—",$H478=""),"—",MATCH($H478,IDX_SrcID,0))</f>
        <v>—</v>
      </c>
      <c r="AG478" s="32" t="n">
        <f aca="false">IF(AND($P478="高",OR($AD478=1,$X478=1)),1,0)</f>
        <v>0</v>
      </c>
      <c r="AH478" s="32" t="n">
        <f aca="false">IF(AND($P478="高",$AG478=0,OR($F478&lt;&gt;"原始數據",$T478&lt;&gt;1)),1,0)</f>
        <v>0</v>
      </c>
      <c r="AI478" s="44" t="str">
        <f aca="false">IF(AND($P478="高",ISNUMBER($AF478)),INDEX(IDX_SrcDate,$AF478),"—")</f>
        <v>—</v>
      </c>
      <c r="AJ478" s="32" t="n">
        <f aca="false">IF(AND(ISTEXT($AI478),LEN($AI478)=10),IF(ISNUMBER(VALUE(SUBSTITUTE($AI478,"-",""))),VALUE(SUBSTITUTE($AI478,"-","")),0),0)</f>
        <v>0</v>
      </c>
    </row>
    <row r="479" customFormat="false" ht="40.5" hidden="false" customHeight="true" outlineLevel="0" collapsed="false">
      <c r="A479" s="30" t="s">
        <v>5727</v>
      </c>
      <c r="B479" s="239" t="s">
        <v>5607</v>
      </c>
      <c r="C479" s="30" t="s">
        <v>5608</v>
      </c>
      <c r="D479" s="30" t="s">
        <v>5728</v>
      </c>
      <c r="E479" s="6" t="s">
        <v>1384</v>
      </c>
      <c r="F479" s="30" t="s">
        <v>114</v>
      </c>
      <c r="G479" s="239" t="s">
        <v>4527</v>
      </c>
      <c r="H479" s="30" t="s">
        <v>751</v>
      </c>
      <c r="I479" s="6" t="s">
        <v>751</v>
      </c>
      <c r="J479" s="30" t="s">
        <v>751</v>
      </c>
      <c r="K479" s="241" t="n">
        <v>0.125</v>
      </c>
      <c r="L479" s="241" t="n">
        <v>0.5</v>
      </c>
      <c r="M479" s="30" t="s">
        <v>5729</v>
      </c>
      <c r="N479" s="6" t="s">
        <v>5730</v>
      </c>
      <c r="O479" s="6" t="s">
        <v>5731</v>
      </c>
      <c r="P479" s="239" t="s">
        <v>4530</v>
      </c>
      <c r="Q479" s="46" t="n">
        <f aca="false">Cap_In!F50</f>
        <v>0.5</v>
      </c>
      <c r="R479" s="30" t="s">
        <v>751</v>
      </c>
      <c r="S479" s="44" t="str">
        <f aca="false">IF(ISNUMBER($AF479),INDEX(IDX_SrcStat,$AF479),"—")</f>
        <v>—</v>
      </c>
      <c r="T479" s="44" t="str">
        <f aca="false">IF(ISNUMBER($AF479),INDEX(IDX_SrcGrade,$AF479),"—")</f>
        <v>—</v>
      </c>
      <c r="U479" s="44" t="s">
        <v>4531</v>
      </c>
      <c r="V479" s="32" t="n">
        <f aca="false">IF(AND($F479="原始數據",$U479&lt;&gt;"連結 SRC"),1,0)</f>
        <v>0</v>
      </c>
      <c r="W479" s="32" t="n">
        <f aca="false">IF(AND($F479="Analogy",OR($H479="—",$H479="")),1,0)</f>
        <v>0</v>
      </c>
      <c r="X479" s="32" t="n">
        <f aca="false">IF(AND(OR($F479="Analogy",$F479="Assumed"),$G479&lt;&gt;"低",$G479&lt;&gt;"高",NOT(ISNUMBER($K479)),NOT(ISNUMBER($L479)),OR($M479="—",$M479="")),1,0)</f>
        <v>0</v>
      </c>
      <c r="Y479" s="32" t="n">
        <f aca="false">IF(AND(OR($F479="Analogy",$F479="Assumed",$F479="Derived（待改公式）",$F479="Derived（公式）"),OR($N479="—",$N479="",$N479=0)),1,0)</f>
        <v>0</v>
      </c>
      <c r="Z479" s="32" t="n">
        <f aca="false">IF(AND($F479="Decision",OR($J479="—",$J479="")),1,0)</f>
        <v>0</v>
      </c>
      <c r="AA479" s="33" t="n">
        <f aca="false">IF(OR($J479="—",$J479=""),0,IF(COUNTIF(Decisions!$A$5:$A$300,$J479)=0,1,0))</f>
        <v>0</v>
      </c>
      <c r="AB479" s="32" t="n">
        <f aca="false">IF(AND($F479="原始數據",$S479&lt;&gt;"Active"),1,0)</f>
        <v>0</v>
      </c>
      <c r="AC479" s="32" t="n">
        <f aca="false">IF(AND(ISNUMBER($K479),ISNUMBER($L479),ISNUMBER($Q479)),IF(OR($Q479&lt;MIN($K479,$L479),$Q479&gt;MAX($K479,$L479)),1,0),0)</f>
        <v>0</v>
      </c>
      <c r="AD479" s="32" t="n">
        <f aca="false">IF(AND(ISNUMBER($T479),$P479="高"),IF($T479=3,1,0),0)</f>
        <v>0</v>
      </c>
      <c r="AE479" s="32" t="n">
        <f aca="false">IF($S479="不存在",1,0)</f>
        <v>0</v>
      </c>
      <c r="AF479" s="44" t="str">
        <f aca="false">IF(OR($H479="—",$H479=""),"—",MATCH($H479,IDX_SrcID,0))</f>
        <v>—</v>
      </c>
      <c r="AG479" s="32" t="n">
        <f aca="false">IF(AND($P479="高",OR($AD479=1,$X479=1)),1,0)</f>
        <v>0</v>
      </c>
      <c r="AH479" s="32" t="n">
        <f aca="false">IF(AND($P479="高",$AG479=0,OR($F479&lt;&gt;"原始數據",$T479&lt;&gt;1)),1,0)</f>
        <v>0</v>
      </c>
      <c r="AI479" s="44" t="str">
        <f aca="false">IF(AND($P479="高",ISNUMBER($AF479)),INDEX(IDX_SrcDate,$AF479),"—")</f>
        <v>—</v>
      </c>
      <c r="AJ479" s="32" t="n">
        <f aca="false">IF(AND(ISTEXT($AI479),LEN($AI479)=10),IF(ISNUMBER(VALUE(SUBSTITUTE($AI479,"-",""))),VALUE(SUBSTITUTE($AI479,"-","")),0),0)</f>
        <v>0</v>
      </c>
    </row>
    <row r="480" customFormat="false" ht="40.5" hidden="false" customHeight="true" outlineLevel="0" collapsed="false">
      <c r="A480" s="30" t="s">
        <v>5732</v>
      </c>
      <c r="B480" s="239" t="s">
        <v>5607</v>
      </c>
      <c r="C480" s="30" t="s">
        <v>5608</v>
      </c>
      <c r="D480" s="30" t="s">
        <v>5733</v>
      </c>
      <c r="E480" s="6" t="s">
        <v>1387</v>
      </c>
      <c r="F480" s="30" t="s">
        <v>114</v>
      </c>
      <c r="G480" s="239" t="s">
        <v>4527</v>
      </c>
      <c r="H480" s="30" t="s">
        <v>751</v>
      </c>
      <c r="I480" s="6" t="s">
        <v>751</v>
      </c>
      <c r="J480" s="30" t="s">
        <v>751</v>
      </c>
      <c r="K480" s="241" t="n">
        <v>0.1</v>
      </c>
      <c r="L480" s="241" t="n">
        <v>0.4</v>
      </c>
      <c r="M480" s="30" t="s">
        <v>5734</v>
      </c>
      <c r="N480" s="6" t="s">
        <v>5735</v>
      </c>
      <c r="O480" s="6" t="s">
        <v>5731</v>
      </c>
      <c r="P480" s="239" t="s">
        <v>4530</v>
      </c>
      <c r="Q480" s="46" t="n">
        <f aca="false">Cap_In!F51</f>
        <v>0.2</v>
      </c>
      <c r="R480" s="30" t="s">
        <v>751</v>
      </c>
      <c r="S480" s="44" t="str">
        <f aca="false">IF(ISNUMBER($AF480),INDEX(IDX_SrcStat,$AF480),"—")</f>
        <v>—</v>
      </c>
      <c r="T480" s="44" t="str">
        <f aca="false">IF(ISNUMBER($AF480),INDEX(IDX_SrcGrade,$AF480),"—")</f>
        <v>—</v>
      </c>
      <c r="U480" s="44" t="s">
        <v>4531</v>
      </c>
      <c r="V480" s="32" t="n">
        <f aca="false">IF(AND($F480="原始數據",$U480&lt;&gt;"連結 SRC"),1,0)</f>
        <v>0</v>
      </c>
      <c r="W480" s="32" t="n">
        <f aca="false">IF(AND($F480="Analogy",OR($H480="—",$H480="")),1,0)</f>
        <v>0</v>
      </c>
      <c r="X480" s="32" t="n">
        <f aca="false">IF(AND(OR($F480="Analogy",$F480="Assumed"),$G480&lt;&gt;"低",$G480&lt;&gt;"高",NOT(ISNUMBER($K480)),NOT(ISNUMBER($L480)),OR($M480="—",$M480="")),1,0)</f>
        <v>0</v>
      </c>
      <c r="Y480" s="32" t="n">
        <f aca="false">IF(AND(OR($F480="Analogy",$F480="Assumed",$F480="Derived（待改公式）",$F480="Derived（公式）"),OR($N480="—",$N480="",$N480=0)),1,0)</f>
        <v>0</v>
      </c>
      <c r="Z480" s="32" t="n">
        <f aca="false">IF(AND($F480="Decision",OR($J480="—",$J480="")),1,0)</f>
        <v>0</v>
      </c>
      <c r="AA480" s="33" t="n">
        <f aca="false">IF(OR($J480="—",$J480=""),0,IF(COUNTIF(Decisions!$A$5:$A$300,$J480)=0,1,0))</f>
        <v>0</v>
      </c>
      <c r="AB480" s="32" t="n">
        <f aca="false">IF(AND($F480="原始數據",$S480&lt;&gt;"Active"),1,0)</f>
        <v>0</v>
      </c>
      <c r="AC480" s="32" t="n">
        <f aca="false">IF(AND(ISNUMBER($K480),ISNUMBER($L480),ISNUMBER($Q480)),IF(OR($Q480&lt;MIN($K480,$L480),$Q480&gt;MAX($K480,$L480)),1,0),0)</f>
        <v>0</v>
      </c>
      <c r="AD480" s="32" t="n">
        <f aca="false">IF(AND(ISNUMBER($T480),$P480="高"),IF($T480=3,1,0),0)</f>
        <v>0</v>
      </c>
      <c r="AE480" s="32" t="n">
        <f aca="false">IF($S480="不存在",1,0)</f>
        <v>0</v>
      </c>
      <c r="AF480" s="44" t="str">
        <f aca="false">IF(OR($H480="—",$H480=""),"—",MATCH($H480,IDX_SrcID,0))</f>
        <v>—</v>
      </c>
      <c r="AG480" s="32" t="n">
        <f aca="false">IF(AND($P480="高",OR($AD480=1,$X480=1)),1,0)</f>
        <v>0</v>
      </c>
      <c r="AH480" s="32" t="n">
        <f aca="false">IF(AND($P480="高",$AG480=0,OR($F480&lt;&gt;"原始數據",$T480&lt;&gt;1)),1,0)</f>
        <v>0</v>
      </c>
      <c r="AI480" s="44" t="str">
        <f aca="false">IF(AND($P480="高",ISNUMBER($AF480)),INDEX(IDX_SrcDate,$AF480),"—")</f>
        <v>—</v>
      </c>
      <c r="AJ480" s="32" t="n">
        <f aca="false">IF(AND(ISTEXT($AI480),LEN($AI480)=10),IF(ISNUMBER(VALUE(SUBSTITUTE($AI480,"-",""))),VALUE(SUBSTITUTE($AI480,"-","")),0),0)</f>
        <v>0</v>
      </c>
    </row>
    <row r="481" customFormat="false" ht="57.75" hidden="false" customHeight="true" outlineLevel="0" collapsed="false">
      <c r="A481" s="30" t="s">
        <v>5736</v>
      </c>
      <c r="B481" s="239" t="s">
        <v>5607</v>
      </c>
      <c r="C481" s="30" t="s">
        <v>5608</v>
      </c>
      <c r="D481" s="30" t="s">
        <v>5737</v>
      </c>
      <c r="E481" s="6" t="s">
        <v>1396</v>
      </c>
      <c r="F481" s="30" t="s">
        <v>119</v>
      </c>
      <c r="G481" s="239" t="s">
        <v>4527</v>
      </c>
      <c r="H481" s="30" t="s">
        <v>5738</v>
      </c>
      <c r="I481" s="20" t="s">
        <v>5739</v>
      </c>
      <c r="J481" s="30" t="s">
        <v>751</v>
      </c>
      <c r="K481" s="241" t="n">
        <v>33</v>
      </c>
      <c r="L481" s="241" t="n">
        <v>39</v>
      </c>
      <c r="M481" s="30" t="s">
        <v>5740</v>
      </c>
      <c r="N481" s="20" t="s">
        <v>5741</v>
      </c>
      <c r="O481" s="6" t="s">
        <v>5742</v>
      </c>
      <c r="P481" s="239" t="s">
        <v>4530</v>
      </c>
      <c r="Q481" s="33" t="n">
        <f aca="false">Cap_In!I53</f>
        <v>36</v>
      </c>
      <c r="R481" s="184" t="n">
        <f aca="false">SRC_CAP_007</f>
        <v>36</v>
      </c>
      <c r="S481" s="44" t="str">
        <f aca="false">IF(ISNUMBER($AF481),INDEX(IDX_SrcStat,$AF481),"—")</f>
        <v>Active</v>
      </c>
      <c r="T481" s="44" t="n">
        <f aca="false">IF(ISNUMBER($AF481),INDEX(IDX_SrcGrade,$AF481),"—")</f>
        <v>2</v>
      </c>
      <c r="U481" s="44" t="s">
        <v>4531</v>
      </c>
      <c r="V481" s="32" t="n">
        <f aca="false">IF(AND($F481="原始數據",$U481&lt;&gt;"連結 SRC"),1,0)</f>
        <v>0</v>
      </c>
      <c r="W481" s="32" t="n">
        <f aca="false">IF(AND($F481="Analogy",OR($H481="—",$H481="")),1,0)</f>
        <v>0</v>
      </c>
      <c r="X481" s="32" t="n">
        <f aca="false">IF(AND(OR($F481="Analogy",$F481="Assumed"),$G481&lt;&gt;"低",$G481&lt;&gt;"高",NOT(ISNUMBER($K481)),NOT(ISNUMBER($L481)),OR($M481="—",$M481="")),1,0)</f>
        <v>0</v>
      </c>
      <c r="Y481" s="32" t="n">
        <f aca="false">IF(AND(OR($F481="Analogy",$F481="Assumed",$F481="Derived（待改公式）",$F481="Derived（公式）"),OR($N481="—",$N481="",$N481=0)),1,0)</f>
        <v>0</v>
      </c>
      <c r="Z481" s="32" t="n">
        <f aca="false">IF(AND($F481="Decision",OR($J481="—",$J481="")),1,0)</f>
        <v>0</v>
      </c>
      <c r="AA481" s="33" t="n">
        <f aca="false">IF(OR($J481="—",$J481=""),0,IF(COUNTIF(Decisions!$A$5:$A$300,$J481)=0,1,0))</f>
        <v>0</v>
      </c>
      <c r="AB481" s="32" t="n">
        <f aca="false">IF(AND($F481="原始數據",$S481&lt;&gt;"Active"),1,0)</f>
        <v>0</v>
      </c>
      <c r="AC481" s="32" t="n">
        <f aca="false">IF(AND(ISNUMBER($K481),ISNUMBER($L481),ISNUMBER($Q481)),IF(OR($Q481&lt;MIN($K481,$L481),$Q481&gt;MAX($K481,$L481)),1,0),0)</f>
        <v>0</v>
      </c>
      <c r="AD481" s="32" t="n">
        <f aca="false">IF(AND(ISNUMBER($T481),$P481="高"),IF($T481=3,1,0),0)</f>
        <v>0</v>
      </c>
      <c r="AE481" s="32" t="n">
        <f aca="false">IF($S481="不存在",1,0)</f>
        <v>0</v>
      </c>
      <c r="AF481" s="44" t="n">
        <f aca="false">IF(OR($H481="—",$H481=""),"—",MATCH($H481,IDX_SrcID,0))</f>
        <v>523</v>
      </c>
      <c r="AG481" s="32" t="n">
        <f aca="false">IF(AND($P481="高",OR($AD481=1,$X481=1)),1,0)</f>
        <v>0</v>
      </c>
      <c r="AH481" s="32" t="n">
        <f aca="false">IF(AND($P481="高",$AG481=0,OR($F481&lt;&gt;"原始數據",$T481&lt;&gt;1)),1,0)</f>
        <v>0</v>
      </c>
      <c r="AI481" s="44" t="str">
        <f aca="false">IF(AND($P481="高",ISNUMBER($AF481)),INDEX(IDX_SrcDate,$AF481),"—")</f>
        <v>—</v>
      </c>
      <c r="AJ481" s="32" t="n">
        <f aca="false">IF(AND(ISTEXT($AI481),LEN($AI481)=10),IF(ISNUMBER(VALUE(SUBSTITUTE($AI481,"-",""))),VALUE(SUBSTITUTE($AI481,"-","")),0),0)</f>
        <v>0</v>
      </c>
    </row>
    <row r="482" customFormat="false" ht="57.75" hidden="false" customHeight="true" outlineLevel="0" collapsed="false">
      <c r="A482" s="30" t="s">
        <v>5743</v>
      </c>
      <c r="B482" s="239" t="s">
        <v>5607</v>
      </c>
      <c r="C482" s="30" t="s">
        <v>5608</v>
      </c>
      <c r="D482" s="30" t="s">
        <v>5744</v>
      </c>
      <c r="E482" s="6" t="s">
        <v>1404</v>
      </c>
      <c r="F482" s="30" t="s">
        <v>119</v>
      </c>
      <c r="G482" s="239" t="s">
        <v>4527</v>
      </c>
      <c r="H482" s="30" t="s">
        <v>5745</v>
      </c>
      <c r="I482" s="20" t="s">
        <v>5746</v>
      </c>
      <c r="J482" s="30" t="s">
        <v>751</v>
      </c>
      <c r="K482" s="241" t="n">
        <v>37</v>
      </c>
      <c r="L482" s="241" t="n">
        <v>43</v>
      </c>
      <c r="M482" s="30" t="s">
        <v>5747</v>
      </c>
      <c r="N482" s="20" t="s">
        <v>5748</v>
      </c>
      <c r="O482" s="6" t="s">
        <v>5749</v>
      </c>
      <c r="P482" s="239" t="s">
        <v>4530</v>
      </c>
      <c r="Q482" s="33" t="n">
        <f aca="false">Cap_In!I56</f>
        <v>40</v>
      </c>
      <c r="R482" s="184" t="n">
        <f aca="false">SRC_CAP_006</f>
        <v>40</v>
      </c>
      <c r="S482" s="44" t="str">
        <f aca="false">IF(ISNUMBER($AF482),INDEX(IDX_SrcStat,$AF482),"—")</f>
        <v>Active</v>
      </c>
      <c r="T482" s="44" t="n">
        <f aca="false">IF(ISNUMBER($AF482),INDEX(IDX_SrcGrade,$AF482),"—")</f>
        <v>2</v>
      </c>
      <c r="U482" s="44" t="s">
        <v>4531</v>
      </c>
      <c r="V482" s="32" t="n">
        <f aca="false">IF(AND($F482="原始數據",$U482&lt;&gt;"連結 SRC"),1,0)</f>
        <v>0</v>
      </c>
      <c r="W482" s="32" t="n">
        <f aca="false">IF(AND($F482="Analogy",OR($H482="—",$H482="")),1,0)</f>
        <v>0</v>
      </c>
      <c r="X482" s="32" t="n">
        <f aca="false">IF(AND(OR($F482="Analogy",$F482="Assumed"),$G482&lt;&gt;"低",$G482&lt;&gt;"高",NOT(ISNUMBER($K482)),NOT(ISNUMBER($L482)),OR($M482="—",$M482="")),1,0)</f>
        <v>0</v>
      </c>
      <c r="Y482" s="32" t="n">
        <f aca="false">IF(AND(OR($F482="Analogy",$F482="Assumed",$F482="Derived（待改公式）",$F482="Derived（公式）"),OR($N482="—",$N482="",$N482=0)),1,0)</f>
        <v>0</v>
      </c>
      <c r="Z482" s="32" t="n">
        <f aca="false">IF(AND($F482="Decision",OR($J482="—",$J482="")),1,0)</f>
        <v>0</v>
      </c>
      <c r="AA482" s="33" t="n">
        <f aca="false">IF(OR($J482="—",$J482=""),0,IF(COUNTIF(Decisions!$A$5:$A$300,$J482)=0,1,0))</f>
        <v>0</v>
      </c>
      <c r="AB482" s="32" t="n">
        <f aca="false">IF(AND($F482="原始數據",$S482&lt;&gt;"Active"),1,0)</f>
        <v>0</v>
      </c>
      <c r="AC482" s="32" t="n">
        <f aca="false">IF(AND(ISNUMBER($K482),ISNUMBER($L482),ISNUMBER($Q482)),IF(OR($Q482&lt;MIN($K482,$L482),$Q482&gt;MAX($K482,$L482)),1,0),0)</f>
        <v>0</v>
      </c>
      <c r="AD482" s="32" t="n">
        <f aca="false">IF(AND(ISNUMBER($T482),$P482="高"),IF($T482=3,1,0),0)</f>
        <v>0</v>
      </c>
      <c r="AE482" s="32" t="n">
        <f aca="false">IF($S482="不存在",1,0)</f>
        <v>0</v>
      </c>
      <c r="AF482" s="44" t="n">
        <f aca="false">IF(OR($H482="—",$H482=""),"—",MATCH($H482,IDX_SrcID,0))</f>
        <v>522</v>
      </c>
      <c r="AG482" s="32" t="n">
        <f aca="false">IF(AND($P482="高",OR($AD482=1,$X482=1)),1,0)</f>
        <v>0</v>
      </c>
      <c r="AH482" s="32" t="n">
        <f aca="false">IF(AND($P482="高",$AG482=0,OR($F482&lt;&gt;"原始數據",$T482&lt;&gt;1)),1,0)</f>
        <v>0</v>
      </c>
      <c r="AI482" s="44" t="str">
        <f aca="false">IF(AND($P482="高",ISNUMBER($AF482)),INDEX(IDX_SrcDate,$AF482),"—")</f>
        <v>—</v>
      </c>
      <c r="AJ482" s="32" t="n">
        <f aca="false">IF(AND(ISTEXT($AI482),LEN($AI482)=10),IF(ISNUMBER(VALUE(SUBSTITUTE($AI482,"-",""))),VALUE(SUBSTITUTE($AI482,"-","")),0),0)</f>
        <v>0</v>
      </c>
    </row>
    <row r="483" customFormat="false" ht="43.5" hidden="false" customHeight="true" outlineLevel="0" collapsed="false">
      <c r="A483" s="30" t="s">
        <v>5750</v>
      </c>
      <c r="B483" s="239" t="s">
        <v>5607</v>
      </c>
      <c r="C483" s="30" t="s">
        <v>5751</v>
      </c>
      <c r="D483" s="30" t="s">
        <v>5192</v>
      </c>
      <c r="E483" s="20" t="s">
        <v>5752</v>
      </c>
      <c r="F483" s="30" t="s">
        <v>104</v>
      </c>
      <c r="G483" s="239" t="s">
        <v>4527</v>
      </c>
      <c r="H483" s="30" t="s">
        <v>751</v>
      </c>
      <c r="I483" s="6" t="s">
        <v>751</v>
      </c>
      <c r="J483" s="30" t="s">
        <v>5259</v>
      </c>
      <c r="K483" s="239"/>
      <c r="L483" s="239"/>
      <c r="M483" s="239" t="s">
        <v>4352</v>
      </c>
      <c r="N483" s="6" t="s">
        <v>5753</v>
      </c>
      <c r="O483" s="6" t="s">
        <v>751</v>
      </c>
      <c r="P483" s="239" t="s">
        <v>4530</v>
      </c>
      <c r="Q483" s="33" t="n">
        <f aca="false">Har_In!C5</f>
        <v>2</v>
      </c>
      <c r="R483" s="30" t="s">
        <v>751</v>
      </c>
      <c r="S483" s="44" t="str">
        <f aca="false">IF(ISNUMBER($AF483),INDEX(IDX_SrcStat,$AF483),"—")</f>
        <v>—</v>
      </c>
      <c r="T483" s="44" t="str">
        <f aca="false">IF(ISNUMBER($AF483),INDEX(IDX_SrcGrade,$AF483),"—")</f>
        <v>—</v>
      </c>
      <c r="U483" s="44" t="s">
        <v>4531</v>
      </c>
      <c r="V483" s="32" t="n">
        <f aca="false">IF(AND($F483="原始數據",$U483&lt;&gt;"連結 SRC"),1,0)</f>
        <v>0</v>
      </c>
      <c r="W483" s="32" t="n">
        <f aca="false">IF(AND($F483="Analogy",OR($H483="—",$H483="")),1,0)</f>
        <v>0</v>
      </c>
      <c r="X483" s="32" t="n">
        <f aca="false">IF(AND(OR($F483="Analogy",$F483="Assumed"),$G483&lt;&gt;"低",$G483&lt;&gt;"高",NOT(ISNUMBER($K483)),NOT(ISNUMBER($L483)),OR($M483="—",$M483="")),1,0)</f>
        <v>0</v>
      </c>
      <c r="Y483" s="32" t="n">
        <f aca="false">IF(AND(OR($F483="Analogy",$F483="Assumed",$F483="Derived（待改公式）",$F483="Derived（公式）"),OR($N483="—",$N483="",$N483=0)),1,0)</f>
        <v>0</v>
      </c>
      <c r="Z483" s="32" t="n">
        <f aca="false">IF(AND($F483="Decision",OR($J483="—",$J483="")),1,0)</f>
        <v>0</v>
      </c>
      <c r="AA483" s="33" t="n">
        <f aca="false">IF(OR($J483="—",$J483=""),0,IF(COUNTIF(Decisions!$A$5:$A$300,$J483)=0,1,0))</f>
        <v>0</v>
      </c>
      <c r="AB483" s="32" t="n">
        <f aca="false">IF(AND($F483="原始數據",$S483&lt;&gt;"Active"),1,0)</f>
        <v>0</v>
      </c>
      <c r="AC483" s="32" t="n">
        <f aca="false">IF(AND(ISNUMBER($K483),ISNUMBER($L483),ISNUMBER($Q483)),IF(OR($Q483&lt;MIN($K483,$L483),$Q483&gt;MAX($K483,$L483)),1,0),0)</f>
        <v>0</v>
      </c>
      <c r="AD483" s="32" t="n">
        <f aca="false">IF(AND(ISNUMBER($T483),$P483="高"),IF($T483=3,1,0),0)</f>
        <v>0</v>
      </c>
      <c r="AE483" s="32" t="n">
        <f aca="false">IF($S483="不存在",1,0)</f>
        <v>0</v>
      </c>
      <c r="AF483" s="44" t="str">
        <f aca="false">IF(OR($H483="—",$H483=""),"—",MATCH($H483,IDX_SrcID,0))</f>
        <v>—</v>
      </c>
      <c r="AG483" s="32" t="n">
        <f aca="false">IF(AND($P483="高",OR($AD483=1,$X483=1)),1,0)</f>
        <v>0</v>
      </c>
      <c r="AH483" s="32" t="n">
        <f aca="false">IF(AND($P483="高",$AG483=0,OR($F483&lt;&gt;"原始數據",$T483&lt;&gt;1)),1,0)</f>
        <v>0</v>
      </c>
      <c r="AI483" s="44" t="str">
        <f aca="false">IF(AND($P483="高",ISNUMBER($AF483)),INDEX(IDX_SrcDate,$AF483),"—")</f>
        <v>—</v>
      </c>
      <c r="AJ483" s="32" t="n">
        <f aca="false">IF(AND(ISTEXT($AI483),LEN($AI483)=10),IF(ISNUMBER(VALUE(SUBSTITUTE($AI483,"-",""))),VALUE(SUBSTITUTE($AI483,"-","")),0),0)</f>
        <v>0</v>
      </c>
    </row>
    <row r="484" customFormat="false" ht="29.25" hidden="false" customHeight="true" outlineLevel="0" collapsed="false">
      <c r="A484" s="30" t="s">
        <v>5754</v>
      </c>
      <c r="B484" s="239" t="s">
        <v>5607</v>
      </c>
      <c r="C484" s="30" t="s">
        <v>5751</v>
      </c>
      <c r="D484" s="30" t="s">
        <v>4703</v>
      </c>
      <c r="E484" s="20" t="s">
        <v>5755</v>
      </c>
      <c r="F484" s="30" t="s">
        <v>104</v>
      </c>
      <c r="G484" s="239" t="s">
        <v>4527</v>
      </c>
      <c r="H484" s="30" t="s">
        <v>751</v>
      </c>
      <c r="I484" s="6" t="s">
        <v>751</v>
      </c>
      <c r="J484" s="30" t="s">
        <v>4404</v>
      </c>
      <c r="K484" s="241" t="n">
        <v>0</v>
      </c>
      <c r="L484" s="241" t="n">
        <v>0.8</v>
      </c>
      <c r="M484" s="30" t="s">
        <v>5756</v>
      </c>
      <c r="N484" s="6" t="s">
        <v>5757</v>
      </c>
      <c r="O484" s="6" t="s">
        <v>751</v>
      </c>
      <c r="P484" s="239" t="s">
        <v>4530</v>
      </c>
      <c r="Q484" s="194" t="n">
        <f aca="false">Har_In!C8</f>
        <v>0.5</v>
      </c>
      <c r="R484" s="30" t="s">
        <v>751</v>
      </c>
      <c r="S484" s="44" t="str">
        <f aca="false">IF(ISNUMBER($AF484),INDEX(IDX_SrcStat,$AF484),"—")</f>
        <v>—</v>
      </c>
      <c r="T484" s="44" t="str">
        <f aca="false">IF(ISNUMBER($AF484),INDEX(IDX_SrcGrade,$AF484),"—")</f>
        <v>—</v>
      </c>
      <c r="U484" s="44" t="s">
        <v>4531</v>
      </c>
      <c r="V484" s="32" t="n">
        <f aca="false">IF(AND($F484="原始數據",$U484&lt;&gt;"連結 SRC"),1,0)</f>
        <v>0</v>
      </c>
      <c r="W484" s="32" t="n">
        <f aca="false">IF(AND($F484="Analogy",OR($H484="—",$H484="")),1,0)</f>
        <v>0</v>
      </c>
      <c r="X484" s="32" t="n">
        <f aca="false">IF(AND(OR($F484="Analogy",$F484="Assumed"),$G484&lt;&gt;"低",$G484&lt;&gt;"高",NOT(ISNUMBER($K484)),NOT(ISNUMBER($L484)),OR($M484="—",$M484="")),1,0)</f>
        <v>0</v>
      </c>
      <c r="Y484" s="32" t="n">
        <f aca="false">IF(AND(OR($F484="Analogy",$F484="Assumed",$F484="Derived（待改公式）",$F484="Derived（公式）"),OR($N484="—",$N484="",$N484=0)),1,0)</f>
        <v>0</v>
      </c>
      <c r="Z484" s="32" t="n">
        <f aca="false">IF(AND($F484="Decision",OR($J484="—",$J484="")),1,0)</f>
        <v>0</v>
      </c>
      <c r="AA484" s="33" t="n">
        <f aca="false">IF(OR($J484="—",$J484=""),0,IF(COUNTIF(Decisions!$A$5:$A$300,$J484)=0,1,0))</f>
        <v>0</v>
      </c>
      <c r="AB484" s="32" t="n">
        <f aca="false">IF(AND($F484="原始數據",$S484&lt;&gt;"Active"),1,0)</f>
        <v>0</v>
      </c>
      <c r="AC484" s="32" t="n">
        <f aca="false">IF(AND(ISNUMBER($K484),ISNUMBER($L484),ISNUMBER($Q484)),IF(OR($Q484&lt;MIN($K484,$L484),$Q484&gt;MAX($K484,$L484)),1,0),0)</f>
        <v>0</v>
      </c>
      <c r="AD484" s="32" t="n">
        <f aca="false">IF(AND(ISNUMBER($T484),$P484="高"),IF($T484=3,1,0),0)</f>
        <v>0</v>
      </c>
      <c r="AE484" s="32" t="n">
        <f aca="false">IF($S484="不存在",1,0)</f>
        <v>0</v>
      </c>
      <c r="AF484" s="44" t="str">
        <f aca="false">IF(OR($H484="—",$H484=""),"—",MATCH($H484,IDX_SrcID,0))</f>
        <v>—</v>
      </c>
      <c r="AG484" s="32" t="n">
        <f aca="false">IF(AND($P484="高",OR($AD484=1,$X484=1)),1,0)</f>
        <v>0</v>
      </c>
      <c r="AH484" s="32" t="n">
        <f aca="false">IF(AND($P484="高",$AG484=0,OR($F484&lt;&gt;"原始數據",$T484&lt;&gt;1)),1,0)</f>
        <v>0</v>
      </c>
      <c r="AI484" s="44" t="str">
        <f aca="false">IF(AND($P484="高",ISNUMBER($AF484)),INDEX(IDX_SrcDate,$AF484),"—")</f>
        <v>—</v>
      </c>
      <c r="AJ484" s="32" t="n">
        <f aca="false">IF(AND(ISTEXT($AI484),LEN($AI484)=10),IF(ISNUMBER(VALUE(SUBSTITUTE($AI484,"-",""))),VALUE(SUBSTITUTE($AI484,"-","")),0),0)</f>
        <v>0</v>
      </c>
    </row>
    <row r="485" customFormat="false" ht="57.75" hidden="false" customHeight="true" outlineLevel="0" collapsed="false">
      <c r="A485" s="30" t="s">
        <v>5758</v>
      </c>
      <c r="B485" s="239" t="s">
        <v>5607</v>
      </c>
      <c r="C485" s="30" t="s">
        <v>5751</v>
      </c>
      <c r="D485" s="30" t="s">
        <v>5759</v>
      </c>
      <c r="E485" s="20" t="s">
        <v>2164</v>
      </c>
      <c r="F485" s="30" t="s">
        <v>114</v>
      </c>
      <c r="G485" s="239" t="s">
        <v>5287</v>
      </c>
      <c r="H485" s="30" t="s">
        <v>751</v>
      </c>
      <c r="I485" s="6" t="s">
        <v>751</v>
      </c>
      <c r="J485" s="30" t="s">
        <v>751</v>
      </c>
      <c r="K485" s="239"/>
      <c r="L485" s="239"/>
      <c r="M485" s="30" t="s">
        <v>5760</v>
      </c>
      <c r="N485" s="20" t="s">
        <v>5761</v>
      </c>
      <c r="O485" s="6" t="s">
        <v>751</v>
      </c>
      <c r="P485" s="239" t="s">
        <v>4530</v>
      </c>
      <c r="Q485" s="184" t="s">
        <v>751</v>
      </c>
      <c r="R485" s="30" t="s">
        <v>751</v>
      </c>
      <c r="S485" s="44" t="str">
        <f aca="false">IF(ISNUMBER($AF485),INDEX(IDX_SrcStat,$AF485),"—")</f>
        <v>—</v>
      </c>
      <c r="T485" s="44" t="str">
        <f aca="false">IF(ISNUMBER($AF485),INDEX(IDX_SrcGrade,$AF485),"—")</f>
        <v>—</v>
      </c>
      <c r="U485" s="30" t="s">
        <v>751</v>
      </c>
      <c r="V485" s="32" t="n">
        <f aca="false">IF(AND($F485="原始數據",$U485&lt;&gt;"連結 SRC"),1,0)</f>
        <v>0</v>
      </c>
      <c r="W485" s="32" t="n">
        <f aca="false">IF(AND($F485="Analogy",OR($H485="—",$H485="")),1,0)</f>
        <v>0</v>
      </c>
      <c r="X485" s="32" t="n">
        <f aca="false">IF(AND(OR($F485="Analogy",$F485="Assumed"),$G485&lt;&gt;"低",$G485&lt;&gt;"高",NOT(ISNUMBER($K485)),NOT(ISNUMBER($L485)),OR($M485="—",$M485="")),1,0)</f>
        <v>0</v>
      </c>
      <c r="Y485" s="32" t="n">
        <f aca="false">IF(AND(OR($F485="Analogy",$F485="Assumed",$F485="Derived（待改公式）",$F485="Derived（公式）"),OR($N485="—",$N485="",$N485=0)),1,0)</f>
        <v>0</v>
      </c>
      <c r="Z485" s="32" t="n">
        <f aca="false">IF(AND($F485="Decision",OR($J485="—",$J485="")),1,0)</f>
        <v>0</v>
      </c>
      <c r="AA485" s="33" t="n">
        <f aca="false">IF(OR($J485="—",$J485=""),0,IF(COUNTIF(Decisions!$A$5:$A$300,$J485)=0,1,0))</f>
        <v>0</v>
      </c>
      <c r="AB485" s="32" t="n">
        <f aca="false">IF(AND($F485="原始數據",$S485&lt;&gt;"Active"),1,0)</f>
        <v>0</v>
      </c>
      <c r="AC485" s="32" t="n">
        <f aca="false">IF(AND(ISNUMBER($K485),ISNUMBER($L485),ISNUMBER($Q485)),IF(OR($Q485&lt;MIN($K485,$L485),$Q485&gt;MAX($K485,$L485)),1,0),0)</f>
        <v>0</v>
      </c>
      <c r="AD485" s="32" t="n">
        <f aca="false">IF(AND(ISNUMBER($T485),$P485="高"),IF($T485=3,1,0),0)</f>
        <v>0</v>
      </c>
      <c r="AE485" s="32" t="n">
        <f aca="false">IF($S485="不存在",1,0)</f>
        <v>0</v>
      </c>
      <c r="AF485" s="44" t="str">
        <f aca="false">IF(OR($H485="—",$H485=""),"—",MATCH($H485,IDX_SrcID,0))</f>
        <v>—</v>
      </c>
      <c r="AG485" s="32" t="n">
        <f aca="false">IF(AND($P485="高",OR($AD485=1,$X485=1)),1,0)</f>
        <v>0</v>
      </c>
      <c r="AH485" s="32" t="n">
        <f aca="false">IF(AND($P485="高",$AG485=0,OR($F485&lt;&gt;"原始數據",$T485&lt;&gt;1)),1,0)</f>
        <v>0</v>
      </c>
      <c r="AI485" s="44" t="str">
        <f aca="false">IF(AND($P485="高",ISNUMBER($AF485)),INDEX(IDX_SrcDate,$AF485),"—")</f>
        <v>—</v>
      </c>
      <c r="AJ485" s="32" t="n">
        <f aca="false">IF(AND(ISTEXT($AI485),LEN($AI485)=10),IF(ISNUMBER(VALUE(SUBSTITUTE($AI485,"-",""))),VALUE(SUBSTITUTE($AI485,"-","")),0),0)</f>
        <v>0</v>
      </c>
    </row>
    <row r="486" customFormat="false" ht="43.5" hidden="false" customHeight="true" outlineLevel="0" collapsed="false">
      <c r="A486" s="30" t="s">
        <v>5762</v>
      </c>
      <c r="B486" s="239" t="s">
        <v>5607</v>
      </c>
      <c r="C486" s="30" t="s">
        <v>5751</v>
      </c>
      <c r="D486" s="30" t="s">
        <v>5763</v>
      </c>
      <c r="E486" s="20" t="s">
        <v>5764</v>
      </c>
      <c r="F486" s="30" t="s">
        <v>114</v>
      </c>
      <c r="G486" s="239" t="s">
        <v>5287</v>
      </c>
      <c r="H486" s="30" t="s">
        <v>751</v>
      </c>
      <c r="I486" s="6" t="s">
        <v>751</v>
      </c>
      <c r="J486" s="30" t="s">
        <v>751</v>
      </c>
      <c r="K486" s="239"/>
      <c r="L486" s="239"/>
      <c r="M486" s="30" t="s">
        <v>5765</v>
      </c>
      <c r="N486" s="20" t="s">
        <v>5766</v>
      </c>
      <c r="O486" s="6" t="s">
        <v>5767</v>
      </c>
      <c r="P486" s="239" t="s">
        <v>4530</v>
      </c>
      <c r="Q486" s="184" t="s">
        <v>751</v>
      </c>
      <c r="R486" s="30" t="s">
        <v>751</v>
      </c>
      <c r="S486" s="44" t="str">
        <f aca="false">IF(ISNUMBER($AF486),INDEX(IDX_SrcStat,$AF486),"—")</f>
        <v>—</v>
      </c>
      <c r="T486" s="44" t="str">
        <f aca="false">IF(ISNUMBER($AF486),INDEX(IDX_SrcGrade,$AF486),"—")</f>
        <v>—</v>
      </c>
      <c r="U486" s="30" t="s">
        <v>751</v>
      </c>
      <c r="V486" s="32" t="n">
        <f aca="false">IF(AND($F486="原始數據",$U486&lt;&gt;"連結 SRC"),1,0)</f>
        <v>0</v>
      </c>
      <c r="W486" s="32" t="n">
        <f aca="false">IF(AND($F486="Analogy",OR($H486="—",$H486="")),1,0)</f>
        <v>0</v>
      </c>
      <c r="X486" s="32" t="n">
        <f aca="false">IF(AND(OR($F486="Analogy",$F486="Assumed"),$G486&lt;&gt;"低",$G486&lt;&gt;"高",NOT(ISNUMBER($K486)),NOT(ISNUMBER($L486)),OR($M486="—",$M486="")),1,0)</f>
        <v>0</v>
      </c>
      <c r="Y486" s="32" t="n">
        <f aca="false">IF(AND(OR($F486="Analogy",$F486="Assumed",$F486="Derived（待改公式）",$F486="Derived（公式）"),OR($N486="—",$N486="",$N486=0)),1,0)</f>
        <v>0</v>
      </c>
      <c r="Z486" s="32" t="n">
        <f aca="false">IF(AND($F486="Decision",OR($J486="—",$J486="")),1,0)</f>
        <v>0</v>
      </c>
      <c r="AA486" s="33" t="n">
        <f aca="false">IF(OR($J486="—",$J486=""),0,IF(COUNTIF(Decisions!$A$5:$A$300,$J486)=0,1,0))</f>
        <v>0</v>
      </c>
      <c r="AB486" s="32" t="n">
        <f aca="false">IF(AND($F486="原始數據",$S486&lt;&gt;"Active"),1,0)</f>
        <v>0</v>
      </c>
      <c r="AC486" s="32" t="n">
        <f aca="false">IF(AND(ISNUMBER($K486),ISNUMBER($L486),ISNUMBER($Q486)),IF(OR($Q486&lt;MIN($K486,$L486),$Q486&gt;MAX($K486,$L486)),1,0),0)</f>
        <v>0</v>
      </c>
      <c r="AD486" s="32" t="n">
        <f aca="false">IF(AND(ISNUMBER($T486),$P486="高"),IF($T486=3,1,0),0)</f>
        <v>0</v>
      </c>
      <c r="AE486" s="32" t="n">
        <f aca="false">IF($S486="不存在",1,0)</f>
        <v>0</v>
      </c>
      <c r="AF486" s="44" t="str">
        <f aca="false">IF(OR($H486="—",$H486=""),"—",MATCH($H486,IDX_SrcID,0))</f>
        <v>—</v>
      </c>
      <c r="AG486" s="32" t="n">
        <f aca="false">IF(AND($P486="高",OR($AD486=1,$X486=1)),1,0)</f>
        <v>0</v>
      </c>
      <c r="AH486" s="32" t="n">
        <f aca="false">IF(AND($P486="高",$AG486=0,OR($F486&lt;&gt;"原始數據",$T486&lt;&gt;1)),1,0)</f>
        <v>0</v>
      </c>
      <c r="AI486" s="44" t="str">
        <f aca="false">IF(AND($P486="高",ISNUMBER($AF486)),INDEX(IDX_SrcDate,$AF486),"—")</f>
        <v>—</v>
      </c>
      <c r="AJ486" s="32" t="n">
        <f aca="false">IF(AND(ISTEXT($AI486),LEN($AI486)=10),IF(ISNUMBER(VALUE(SUBSTITUTE($AI486,"-",""))),VALUE(SUBSTITUTE($AI486,"-","")),0),0)</f>
        <v>0</v>
      </c>
    </row>
    <row r="487" customFormat="false" ht="29.25" hidden="false" customHeight="true" outlineLevel="0" collapsed="false">
      <c r="A487" s="30" t="s">
        <v>5768</v>
      </c>
      <c r="B487" s="239" t="s">
        <v>5607</v>
      </c>
      <c r="C487" s="30" t="s">
        <v>5751</v>
      </c>
      <c r="D487" s="30" t="s">
        <v>5769</v>
      </c>
      <c r="E487" s="20" t="s">
        <v>2169</v>
      </c>
      <c r="F487" s="30" t="s">
        <v>114</v>
      </c>
      <c r="G487" s="239" t="s">
        <v>5287</v>
      </c>
      <c r="H487" s="30" t="s">
        <v>751</v>
      </c>
      <c r="I487" s="6" t="s">
        <v>751</v>
      </c>
      <c r="J487" s="30" t="s">
        <v>751</v>
      </c>
      <c r="K487" s="239"/>
      <c r="L487" s="239"/>
      <c r="M487" s="30" t="s">
        <v>5770</v>
      </c>
      <c r="N487" s="20" t="s">
        <v>5771</v>
      </c>
      <c r="O487" s="6" t="s">
        <v>751</v>
      </c>
      <c r="P487" s="239" t="s">
        <v>4530</v>
      </c>
      <c r="Q487" s="184" t="s">
        <v>751</v>
      </c>
      <c r="R487" s="30" t="s">
        <v>751</v>
      </c>
      <c r="S487" s="44" t="str">
        <f aca="false">IF(ISNUMBER($AF487),INDEX(IDX_SrcStat,$AF487),"—")</f>
        <v>—</v>
      </c>
      <c r="T487" s="44" t="str">
        <f aca="false">IF(ISNUMBER($AF487),INDEX(IDX_SrcGrade,$AF487),"—")</f>
        <v>—</v>
      </c>
      <c r="U487" s="30" t="s">
        <v>751</v>
      </c>
      <c r="V487" s="32" t="n">
        <f aca="false">IF(AND($F487="原始數據",$U487&lt;&gt;"連結 SRC"),1,0)</f>
        <v>0</v>
      </c>
      <c r="W487" s="32" t="n">
        <f aca="false">IF(AND($F487="Analogy",OR($H487="—",$H487="")),1,0)</f>
        <v>0</v>
      </c>
      <c r="X487" s="32" t="n">
        <f aca="false">IF(AND(OR($F487="Analogy",$F487="Assumed"),$G487&lt;&gt;"低",$G487&lt;&gt;"高",NOT(ISNUMBER($K487)),NOT(ISNUMBER($L487)),OR($M487="—",$M487="")),1,0)</f>
        <v>0</v>
      </c>
      <c r="Y487" s="32" t="n">
        <f aca="false">IF(AND(OR($F487="Analogy",$F487="Assumed",$F487="Derived（待改公式）",$F487="Derived（公式）"),OR($N487="—",$N487="",$N487=0)),1,0)</f>
        <v>0</v>
      </c>
      <c r="Z487" s="32" t="n">
        <f aca="false">IF(AND($F487="Decision",OR($J487="—",$J487="")),1,0)</f>
        <v>0</v>
      </c>
      <c r="AA487" s="33" t="n">
        <f aca="false">IF(OR($J487="—",$J487=""),0,IF(COUNTIF(Decisions!$A$5:$A$300,$J487)=0,1,0))</f>
        <v>0</v>
      </c>
      <c r="AB487" s="32" t="n">
        <f aca="false">IF(AND($F487="原始數據",$S487&lt;&gt;"Active"),1,0)</f>
        <v>0</v>
      </c>
      <c r="AC487" s="32" t="n">
        <f aca="false">IF(AND(ISNUMBER($K487),ISNUMBER($L487),ISNUMBER($Q487)),IF(OR($Q487&lt;MIN($K487,$L487),$Q487&gt;MAX($K487,$L487)),1,0),0)</f>
        <v>0</v>
      </c>
      <c r="AD487" s="32" t="n">
        <f aca="false">IF(AND(ISNUMBER($T487),$P487="高"),IF($T487=3,1,0),0)</f>
        <v>0</v>
      </c>
      <c r="AE487" s="32" t="n">
        <f aca="false">IF($S487="不存在",1,0)</f>
        <v>0</v>
      </c>
      <c r="AF487" s="44" t="str">
        <f aca="false">IF(OR($H487="—",$H487=""),"—",MATCH($H487,IDX_SrcID,0))</f>
        <v>—</v>
      </c>
      <c r="AG487" s="32" t="n">
        <f aca="false">IF(AND($P487="高",OR($AD487=1,$X487=1)),1,0)</f>
        <v>0</v>
      </c>
      <c r="AH487" s="32" t="n">
        <f aca="false">IF(AND($P487="高",$AG487=0,OR($F487&lt;&gt;"原始數據",$T487&lt;&gt;1)),1,0)</f>
        <v>0</v>
      </c>
      <c r="AI487" s="44" t="str">
        <f aca="false">IF(AND($P487="高",ISNUMBER($AF487)),INDEX(IDX_SrcDate,$AF487),"—")</f>
        <v>—</v>
      </c>
      <c r="AJ487" s="32" t="n">
        <f aca="false">IF(AND(ISTEXT($AI487),LEN($AI487)=10),IF(ISNUMBER(VALUE(SUBSTITUTE($AI487,"-",""))),VALUE(SUBSTITUTE($AI487,"-","")),0),0)</f>
        <v>0</v>
      </c>
    </row>
    <row r="488" customFormat="false" ht="29.25" hidden="false" customHeight="true" outlineLevel="0" collapsed="false">
      <c r="A488" s="30" t="s">
        <v>5772</v>
      </c>
      <c r="B488" s="239" t="s">
        <v>5607</v>
      </c>
      <c r="C488" s="30" t="s">
        <v>5751</v>
      </c>
      <c r="D488" s="30" t="s">
        <v>5773</v>
      </c>
      <c r="E488" s="20" t="s">
        <v>5774</v>
      </c>
      <c r="F488" s="30" t="s">
        <v>114</v>
      </c>
      <c r="G488" s="239" t="s">
        <v>5287</v>
      </c>
      <c r="H488" s="30" t="s">
        <v>751</v>
      </c>
      <c r="I488" s="6" t="s">
        <v>751</v>
      </c>
      <c r="J488" s="30" t="s">
        <v>751</v>
      </c>
      <c r="K488" s="239"/>
      <c r="L488" s="239"/>
      <c r="M488" s="30" t="s">
        <v>5775</v>
      </c>
      <c r="N488" s="20" t="s">
        <v>5776</v>
      </c>
      <c r="O488" s="6" t="s">
        <v>751</v>
      </c>
      <c r="P488" s="239" t="s">
        <v>4530</v>
      </c>
      <c r="Q488" s="184" t="s">
        <v>751</v>
      </c>
      <c r="R488" s="30" t="s">
        <v>751</v>
      </c>
      <c r="S488" s="44" t="str">
        <f aca="false">IF(ISNUMBER($AF488),INDEX(IDX_SrcStat,$AF488),"—")</f>
        <v>—</v>
      </c>
      <c r="T488" s="44" t="str">
        <f aca="false">IF(ISNUMBER($AF488),INDEX(IDX_SrcGrade,$AF488),"—")</f>
        <v>—</v>
      </c>
      <c r="U488" s="30" t="s">
        <v>751</v>
      </c>
      <c r="V488" s="32" t="n">
        <f aca="false">IF(AND($F488="原始數據",$U488&lt;&gt;"連結 SRC"),1,0)</f>
        <v>0</v>
      </c>
      <c r="W488" s="32" t="n">
        <f aca="false">IF(AND($F488="Analogy",OR($H488="—",$H488="")),1,0)</f>
        <v>0</v>
      </c>
      <c r="X488" s="32" t="n">
        <f aca="false">IF(AND(OR($F488="Analogy",$F488="Assumed"),$G488&lt;&gt;"低",$G488&lt;&gt;"高",NOT(ISNUMBER($K488)),NOT(ISNUMBER($L488)),OR($M488="—",$M488="")),1,0)</f>
        <v>0</v>
      </c>
      <c r="Y488" s="32" t="n">
        <f aca="false">IF(AND(OR($F488="Analogy",$F488="Assumed",$F488="Derived（待改公式）",$F488="Derived（公式）"),OR($N488="—",$N488="",$N488=0)),1,0)</f>
        <v>0</v>
      </c>
      <c r="Z488" s="32" t="n">
        <f aca="false">IF(AND($F488="Decision",OR($J488="—",$J488="")),1,0)</f>
        <v>0</v>
      </c>
      <c r="AA488" s="33" t="n">
        <f aca="false">IF(OR($J488="—",$J488=""),0,IF(COUNTIF(Decisions!$A$5:$A$300,$J488)=0,1,0))</f>
        <v>0</v>
      </c>
      <c r="AB488" s="32" t="n">
        <f aca="false">IF(AND($F488="原始數據",$S488&lt;&gt;"Active"),1,0)</f>
        <v>0</v>
      </c>
      <c r="AC488" s="32" t="n">
        <f aca="false">IF(AND(ISNUMBER($K488),ISNUMBER($L488),ISNUMBER($Q488)),IF(OR($Q488&lt;MIN($K488,$L488),$Q488&gt;MAX($K488,$L488)),1,0),0)</f>
        <v>0</v>
      </c>
      <c r="AD488" s="32" t="n">
        <f aca="false">IF(AND(ISNUMBER($T488),$P488="高"),IF($T488=3,1,0),0)</f>
        <v>0</v>
      </c>
      <c r="AE488" s="32" t="n">
        <f aca="false">IF($S488="不存在",1,0)</f>
        <v>0</v>
      </c>
      <c r="AF488" s="44" t="str">
        <f aca="false">IF(OR($H488="—",$H488=""),"—",MATCH($H488,IDX_SrcID,0))</f>
        <v>—</v>
      </c>
      <c r="AG488" s="32" t="n">
        <f aca="false">IF(AND($P488="高",OR($AD488=1,$X488=1)),1,0)</f>
        <v>0</v>
      </c>
      <c r="AH488" s="32" t="n">
        <f aca="false">IF(AND($P488="高",$AG488=0,OR($F488&lt;&gt;"原始數據",$T488&lt;&gt;1)),1,0)</f>
        <v>0</v>
      </c>
      <c r="AI488" s="44" t="str">
        <f aca="false">IF(AND($P488="高",ISNUMBER($AF488)),INDEX(IDX_SrcDate,$AF488),"—")</f>
        <v>—</v>
      </c>
      <c r="AJ488" s="32" t="n">
        <f aca="false">IF(AND(ISTEXT($AI488),LEN($AI488)=10),IF(ISNUMBER(VALUE(SUBSTITUTE($AI488,"-",""))),VALUE(SUBSTITUTE($AI488,"-","")),0),0)</f>
        <v>0</v>
      </c>
    </row>
    <row r="489" customFormat="false" ht="29.25" hidden="false" customHeight="true" outlineLevel="0" collapsed="false">
      <c r="A489" s="30" t="s">
        <v>5777</v>
      </c>
      <c r="B489" s="239" t="s">
        <v>5607</v>
      </c>
      <c r="C489" s="30" t="s">
        <v>5751</v>
      </c>
      <c r="D489" s="30" t="s">
        <v>5778</v>
      </c>
      <c r="E489" s="20" t="s">
        <v>2173</v>
      </c>
      <c r="F489" s="30" t="s">
        <v>114</v>
      </c>
      <c r="G489" s="239" t="s">
        <v>5287</v>
      </c>
      <c r="H489" s="30" t="s">
        <v>751</v>
      </c>
      <c r="I489" s="6" t="s">
        <v>751</v>
      </c>
      <c r="J489" s="30" t="s">
        <v>751</v>
      </c>
      <c r="K489" s="239"/>
      <c r="L489" s="239"/>
      <c r="M489" s="30" t="s">
        <v>5779</v>
      </c>
      <c r="N489" s="20" t="s">
        <v>5780</v>
      </c>
      <c r="O489" s="6" t="s">
        <v>751</v>
      </c>
      <c r="P489" s="239" t="s">
        <v>4530</v>
      </c>
      <c r="Q489" s="184" t="s">
        <v>751</v>
      </c>
      <c r="R489" s="30" t="s">
        <v>751</v>
      </c>
      <c r="S489" s="44" t="str">
        <f aca="false">IF(ISNUMBER($AF489),INDEX(IDX_SrcStat,$AF489),"—")</f>
        <v>—</v>
      </c>
      <c r="T489" s="44" t="str">
        <f aca="false">IF(ISNUMBER($AF489),INDEX(IDX_SrcGrade,$AF489),"—")</f>
        <v>—</v>
      </c>
      <c r="U489" s="30" t="s">
        <v>751</v>
      </c>
      <c r="V489" s="32" t="n">
        <f aca="false">IF(AND($F489="原始數據",$U489&lt;&gt;"連結 SRC"),1,0)</f>
        <v>0</v>
      </c>
      <c r="W489" s="32" t="n">
        <f aca="false">IF(AND($F489="Analogy",OR($H489="—",$H489="")),1,0)</f>
        <v>0</v>
      </c>
      <c r="X489" s="32" t="n">
        <f aca="false">IF(AND(OR($F489="Analogy",$F489="Assumed"),$G489&lt;&gt;"低",$G489&lt;&gt;"高",NOT(ISNUMBER($K489)),NOT(ISNUMBER($L489)),OR($M489="—",$M489="")),1,0)</f>
        <v>0</v>
      </c>
      <c r="Y489" s="32" t="n">
        <f aca="false">IF(AND(OR($F489="Analogy",$F489="Assumed",$F489="Derived（待改公式）",$F489="Derived（公式）"),OR($N489="—",$N489="",$N489=0)),1,0)</f>
        <v>0</v>
      </c>
      <c r="Z489" s="32" t="n">
        <f aca="false">IF(AND($F489="Decision",OR($J489="—",$J489="")),1,0)</f>
        <v>0</v>
      </c>
      <c r="AA489" s="33" t="n">
        <f aca="false">IF(OR($J489="—",$J489=""),0,IF(COUNTIF(Decisions!$A$5:$A$300,$J489)=0,1,0))</f>
        <v>0</v>
      </c>
      <c r="AB489" s="32" t="n">
        <f aca="false">IF(AND($F489="原始數據",$S489&lt;&gt;"Active"),1,0)</f>
        <v>0</v>
      </c>
      <c r="AC489" s="32" t="n">
        <f aca="false">IF(AND(ISNUMBER($K489),ISNUMBER($L489),ISNUMBER($Q489)),IF(OR($Q489&lt;MIN($K489,$L489),$Q489&gt;MAX($K489,$L489)),1,0),0)</f>
        <v>0</v>
      </c>
      <c r="AD489" s="32" t="n">
        <f aca="false">IF(AND(ISNUMBER($T489),$P489="高"),IF($T489=3,1,0),0)</f>
        <v>0</v>
      </c>
      <c r="AE489" s="32" t="n">
        <f aca="false">IF($S489="不存在",1,0)</f>
        <v>0</v>
      </c>
      <c r="AF489" s="44" t="str">
        <f aca="false">IF(OR($H489="—",$H489=""),"—",MATCH($H489,IDX_SrcID,0))</f>
        <v>—</v>
      </c>
      <c r="AG489" s="32" t="n">
        <f aca="false">IF(AND($P489="高",OR($AD489=1,$X489=1)),1,0)</f>
        <v>0</v>
      </c>
      <c r="AH489" s="32" t="n">
        <f aca="false">IF(AND($P489="高",$AG489=0,OR($F489&lt;&gt;"原始數據",$T489&lt;&gt;1)),1,0)</f>
        <v>0</v>
      </c>
      <c r="AI489" s="44" t="str">
        <f aca="false">IF(AND($P489="高",ISNUMBER($AF489)),INDEX(IDX_SrcDate,$AF489),"—")</f>
        <v>—</v>
      </c>
      <c r="AJ489" s="32" t="n">
        <f aca="false">IF(AND(ISTEXT($AI489),LEN($AI489)=10),IF(ISNUMBER(VALUE(SUBSTITUTE($AI489,"-",""))),VALUE(SUBSTITUTE($AI489,"-","")),0),0)</f>
        <v>0</v>
      </c>
    </row>
    <row r="490" customFormat="false" ht="29.25" hidden="false" customHeight="true" outlineLevel="0" collapsed="false">
      <c r="A490" s="30" t="s">
        <v>5781</v>
      </c>
      <c r="B490" s="239" t="s">
        <v>5607</v>
      </c>
      <c r="C490" s="30" t="s">
        <v>5751</v>
      </c>
      <c r="D490" s="30" t="s">
        <v>5782</v>
      </c>
      <c r="E490" s="20" t="s">
        <v>2176</v>
      </c>
      <c r="F490" s="30" t="s">
        <v>114</v>
      </c>
      <c r="G490" s="239" t="s">
        <v>5287</v>
      </c>
      <c r="H490" s="30" t="s">
        <v>751</v>
      </c>
      <c r="I490" s="6" t="s">
        <v>751</v>
      </c>
      <c r="J490" s="30" t="s">
        <v>751</v>
      </c>
      <c r="K490" s="239"/>
      <c r="L490" s="239"/>
      <c r="M490" s="30" t="s">
        <v>5783</v>
      </c>
      <c r="N490" s="20" t="s">
        <v>5784</v>
      </c>
      <c r="O490" s="6" t="s">
        <v>751</v>
      </c>
      <c r="P490" s="239" t="s">
        <v>4530</v>
      </c>
      <c r="Q490" s="184" t="s">
        <v>751</v>
      </c>
      <c r="R490" s="30" t="s">
        <v>751</v>
      </c>
      <c r="S490" s="44" t="str">
        <f aca="false">IF(ISNUMBER($AF490),INDEX(IDX_SrcStat,$AF490),"—")</f>
        <v>—</v>
      </c>
      <c r="T490" s="44" t="str">
        <f aca="false">IF(ISNUMBER($AF490),INDEX(IDX_SrcGrade,$AF490),"—")</f>
        <v>—</v>
      </c>
      <c r="U490" s="30" t="s">
        <v>751</v>
      </c>
      <c r="V490" s="32" t="n">
        <f aca="false">IF(AND($F490="原始數據",$U490&lt;&gt;"連結 SRC"),1,0)</f>
        <v>0</v>
      </c>
      <c r="W490" s="32" t="n">
        <f aca="false">IF(AND($F490="Analogy",OR($H490="—",$H490="")),1,0)</f>
        <v>0</v>
      </c>
      <c r="X490" s="32" t="n">
        <f aca="false">IF(AND(OR($F490="Analogy",$F490="Assumed"),$G490&lt;&gt;"低",$G490&lt;&gt;"高",NOT(ISNUMBER($K490)),NOT(ISNUMBER($L490)),OR($M490="—",$M490="")),1,0)</f>
        <v>0</v>
      </c>
      <c r="Y490" s="32" t="n">
        <f aca="false">IF(AND(OR($F490="Analogy",$F490="Assumed",$F490="Derived（待改公式）",$F490="Derived（公式）"),OR($N490="—",$N490="",$N490=0)),1,0)</f>
        <v>0</v>
      </c>
      <c r="Z490" s="32" t="n">
        <f aca="false">IF(AND($F490="Decision",OR($J490="—",$J490="")),1,0)</f>
        <v>0</v>
      </c>
      <c r="AA490" s="33" t="n">
        <f aca="false">IF(OR($J490="—",$J490=""),0,IF(COUNTIF(Decisions!$A$5:$A$300,$J490)=0,1,0))</f>
        <v>0</v>
      </c>
      <c r="AB490" s="32" t="n">
        <f aca="false">IF(AND($F490="原始數據",$S490&lt;&gt;"Active"),1,0)</f>
        <v>0</v>
      </c>
      <c r="AC490" s="32" t="n">
        <f aca="false">IF(AND(ISNUMBER($K490),ISNUMBER($L490),ISNUMBER($Q490)),IF(OR($Q490&lt;MIN($K490,$L490),$Q490&gt;MAX($K490,$L490)),1,0),0)</f>
        <v>0</v>
      </c>
      <c r="AD490" s="32" t="n">
        <f aca="false">IF(AND(ISNUMBER($T490),$P490="高"),IF($T490=3,1,0),0)</f>
        <v>0</v>
      </c>
      <c r="AE490" s="32" t="n">
        <f aca="false">IF($S490="不存在",1,0)</f>
        <v>0</v>
      </c>
      <c r="AF490" s="44" t="str">
        <f aca="false">IF(OR($H490="—",$H490=""),"—",MATCH($H490,IDX_SrcID,0))</f>
        <v>—</v>
      </c>
      <c r="AG490" s="32" t="n">
        <f aca="false">IF(AND($P490="高",OR($AD490=1,$X490=1)),1,0)</f>
        <v>0</v>
      </c>
      <c r="AH490" s="32" t="n">
        <f aca="false">IF(AND($P490="高",$AG490=0,OR($F490&lt;&gt;"原始數據",$T490&lt;&gt;1)),1,0)</f>
        <v>0</v>
      </c>
      <c r="AI490" s="44" t="str">
        <f aca="false">IF(AND($P490="高",ISNUMBER($AF490)),INDEX(IDX_SrcDate,$AF490),"—")</f>
        <v>—</v>
      </c>
      <c r="AJ490" s="32" t="n">
        <f aca="false">IF(AND(ISTEXT($AI490),LEN($AI490)=10),IF(ISNUMBER(VALUE(SUBSTITUTE($AI490,"-",""))),VALUE(SUBSTITUTE($AI490,"-","")),0),0)</f>
        <v>0</v>
      </c>
    </row>
    <row r="491" customFormat="false" ht="43.5" hidden="false" customHeight="true" outlineLevel="0" collapsed="false">
      <c r="A491" s="30" t="s">
        <v>5785</v>
      </c>
      <c r="B491" s="239" t="s">
        <v>5607</v>
      </c>
      <c r="C491" s="30" t="s">
        <v>5751</v>
      </c>
      <c r="D491" s="30" t="s">
        <v>5786</v>
      </c>
      <c r="E491" s="20" t="s">
        <v>2180</v>
      </c>
      <c r="F491" s="30" t="s">
        <v>114</v>
      </c>
      <c r="G491" s="239" t="s">
        <v>5287</v>
      </c>
      <c r="H491" s="30" t="s">
        <v>751</v>
      </c>
      <c r="I491" s="6" t="s">
        <v>751</v>
      </c>
      <c r="J491" s="30" t="s">
        <v>751</v>
      </c>
      <c r="K491" s="239"/>
      <c r="L491" s="239"/>
      <c r="M491" s="30" t="s">
        <v>5787</v>
      </c>
      <c r="N491" s="20" t="s">
        <v>5788</v>
      </c>
      <c r="O491" s="6" t="s">
        <v>751</v>
      </c>
      <c r="P491" s="239" t="s">
        <v>4530</v>
      </c>
      <c r="Q491" s="184" t="s">
        <v>751</v>
      </c>
      <c r="R491" s="30" t="s">
        <v>751</v>
      </c>
      <c r="S491" s="44" t="str">
        <f aca="false">IF(ISNUMBER($AF491),INDEX(IDX_SrcStat,$AF491),"—")</f>
        <v>—</v>
      </c>
      <c r="T491" s="44" t="str">
        <f aca="false">IF(ISNUMBER($AF491),INDEX(IDX_SrcGrade,$AF491),"—")</f>
        <v>—</v>
      </c>
      <c r="U491" s="30" t="s">
        <v>751</v>
      </c>
      <c r="V491" s="32" t="n">
        <f aca="false">IF(AND($F491="原始數據",$U491&lt;&gt;"連結 SRC"),1,0)</f>
        <v>0</v>
      </c>
      <c r="W491" s="32" t="n">
        <f aca="false">IF(AND($F491="Analogy",OR($H491="—",$H491="")),1,0)</f>
        <v>0</v>
      </c>
      <c r="X491" s="32" t="n">
        <f aca="false">IF(AND(OR($F491="Analogy",$F491="Assumed"),$G491&lt;&gt;"低",$G491&lt;&gt;"高",NOT(ISNUMBER($K491)),NOT(ISNUMBER($L491)),OR($M491="—",$M491="")),1,0)</f>
        <v>0</v>
      </c>
      <c r="Y491" s="32" t="n">
        <f aca="false">IF(AND(OR($F491="Analogy",$F491="Assumed",$F491="Derived（待改公式）",$F491="Derived（公式）"),OR($N491="—",$N491="",$N491=0)),1,0)</f>
        <v>0</v>
      </c>
      <c r="Z491" s="32" t="n">
        <f aca="false">IF(AND($F491="Decision",OR($J491="—",$J491="")),1,0)</f>
        <v>0</v>
      </c>
      <c r="AA491" s="33" t="n">
        <f aca="false">IF(OR($J491="—",$J491=""),0,IF(COUNTIF(Decisions!$A$5:$A$300,$J491)=0,1,0))</f>
        <v>0</v>
      </c>
      <c r="AB491" s="32" t="n">
        <f aca="false">IF(AND($F491="原始數據",$S491&lt;&gt;"Active"),1,0)</f>
        <v>0</v>
      </c>
      <c r="AC491" s="32" t="n">
        <f aca="false">IF(AND(ISNUMBER($K491),ISNUMBER($L491),ISNUMBER($Q491)),IF(OR($Q491&lt;MIN($K491,$L491),$Q491&gt;MAX($K491,$L491)),1,0),0)</f>
        <v>0</v>
      </c>
      <c r="AD491" s="32" t="n">
        <f aca="false">IF(AND(ISNUMBER($T491),$P491="高"),IF($T491=3,1,0),0)</f>
        <v>0</v>
      </c>
      <c r="AE491" s="32" t="n">
        <f aca="false">IF($S491="不存在",1,0)</f>
        <v>0</v>
      </c>
      <c r="AF491" s="44" t="str">
        <f aca="false">IF(OR($H491="—",$H491=""),"—",MATCH($H491,IDX_SrcID,0))</f>
        <v>—</v>
      </c>
      <c r="AG491" s="32" t="n">
        <f aca="false">IF(AND($P491="高",OR($AD491=1,$X491=1)),1,0)</f>
        <v>0</v>
      </c>
      <c r="AH491" s="32" t="n">
        <f aca="false">IF(AND($P491="高",$AG491=0,OR($F491&lt;&gt;"原始數據",$T491&lt;&gt;1)),1,0)</f>
        <v>0</v>
      </c>
      <c r="AI491" s="44" t="str">
        <f aca="false">IF(AND($P491="高",ISNUMBER($AF491)),INDEX(IDX_SrcDate,$AF491),"—")</f>
        <v>—</v>
      </c>
      <c r="AJ491" s="32" t="n">
        <f aca="false">IF(AND(ISTEXT($AI491),LEN($AI491)=10),IF(ISNUMBER(VALUE(SUBSTITUTE($AI491,"-",""))),VALUE(SUBSTITUTE($AI491,"-","")),0),0)</f>
        <v>0</v>
      </c>
    </row>
    <row r="492" customFormat="false" ht="43.5" hidden="false" customHeight="true" outlineLevel="0" collapsed="false">
      <c r="A492" s="30" t="s">
        <v>5789</v>
      </c>
      <c r="B492" s="239" t="s">
        <v>5607</v>
      </c>
      <c r="C492" s="30" t="s">
        <v>5751</v>
      </c>
      <c r="D492" s="30" t="s">
        <v>5790</v>
      </c>
      <c r="E492" s="20" t="s">
        <v>2178</v>
      </c>
      <c r="F492" s="30" t="s">
        <v>119</v>
      </c>
      <c r="G492" s="239" t="s">
        <v>5287</v>
      </c>
      <c r="H492" s="30" t="s">
        <v>5791</v>
      </c>
      <c r="I492" s="20" t="s">
        <v>5792</v>
      </c>
      <c r="J492" s="30" t="s">
        <v>751</v>
      </c>
      <c r="K492" s="239"/>
      <c r="L492" s="239"/>
      <c r="M492" s="30" t="s">
        <v>5793</v>
      </c>
      <c r="N492" s="20" t="s">
        <v>5794</v>
      </c>
      <c r="O492" s="6" t="s">
        <v>751</v>
      </c>
      <c r="P492" s="239" t="s">
        <v>4530</v>
      </c>
      <c r="Q492" s="184" t="s">
        <v>751</v>
      </c>
      <c r="R492" s="184" t="n">
        <f aca="false">SRC_HAR_003</f>
        <v>0.627</v>
      </c>
      <c r="S492" s="44" t="str">
        <f aca="false">IF(ISNUMBER($AF492),INDEX(IDX_SrcStat,$AF492),"—")</f>
        <v>Active</v>
      </c>
      <c r="T492" s="44" t="n">
        <f aca="false">IF(ISNUMBER($AF492),INDEX(IDX_SrcGrade,$AF492),"—")</f>
        <v>2</v>
      </c>
      <c r="U492" s="30" t="s">
        <v>751</v>
      </c>
      <c r="V492" s="32" t="n">
        <f aca="false">IF(AND($F492="原始數據",$U492&lt;&gt;"連結 SRC"),1,0)</f>
        <v>0</v>
      </c>
      <c r="W492" s="32" t="n">
        <f aca="false">IF(AND($F492="Analogy",OR($H492="—",$H492="")),1,0)</f>
        <v>0</v>
      </c>
      <c r="X492" s="32" t="n">
        <f aca="false">IF(AND(OR($F492="Analogy",$F492="Assumed"),$G492&lt;&gt;"低",$G492&lt;&gt;"高",NOT(ISNUMBER($K492)),NOT(ISNUMBER($L492)),OR($M492="—",$M492="")),1,0)</f>
        <v>0</v>
      </c>
      <c r="Y492" s="32" t="n">
        <f aca="false">IF(AND(OR($F492="Analogy",$F492="Assumed",$F492="Derived（待改公式）",$F492="Derived（公式）"),OR($N492="—",$N492="",$N492=0)),1,0)</f>
        <v>0</v>
      </c>
      <c r="Z492" s="32" t="n">
        <f aca="false">IF(AND($F492="Decision",OR($J492="—",$J492="")),1,0)</f>
        <v>0</v>
      </c>
      <c r="AA492" s="33" t="n">
        <f aca="false">IF(OR($J492="—",$J492=""),0,IF(COUNTIF(Decisions!$A$5:$A$300,$J492)=0,1,0))</f>
        <v>0</v>
      </c>
      <c r="AB492" s="32" t="n">
        <f aca="false">IF(AND($F492="原始數據",$S492&lt;&gt;"Active"),1,0)</f>
        <v>0</v>
      </c>
      <c r="AC492" s="32" t="n">
        <f aca="false">IF(AND(ISNUMBER($K492),ISNUMBER($L492),ISNUMBER($Q492)),IF(OR($Q492&lt;MIN($K492,$L492),$Q492&gt;MAX($K492,$L492)),1,0),0)</f>
        <v>0</v>
      </c>
      <c r="AD492" s="32" t="n">
        <f aca="false">IF(AND(ISNUMBER($T492),$P492="高"),IF($T492=3,1,0),0)</f>
        <v>0</v>
      </c>
      <c r="AE492" s="32" t="n">
        <f aca="false">IF($S492="不存在",1,0)</f>
        <v>0</v>
      </c>
      <c r="AF492" s="44" t="n">
        <f aca="false">IF(OR($H492="—",$H492=""),"—",MATCH($H492,IDX_SrcID,0))</f>
        <v>590</v>
      </c>
      <c r="AG492" s="32" t="n">
        <f aca="false">IF(AND($P492="高",OR($AD492=1,$X492=1)),1,0)</f>
        <v>0</v>
      </c>
      <c r="AH492" s="32" t="n">
        <f aca="false">IF(AND($P492="高",$AG492=0,OR($F492&lt;&gt;"原始數據",$T492&lt;&gt;1)),1,0)</f>
        <v>0</v>
      </c>
      <c r="AI492" s="44" t="str">
        <f aca="false">IF(AND($P492="高",ISNUMBER($AF492)),INDEX(IDX_SrcDate,$AF492),"—")</f>
        <v>—</v>
      </c>
      <c r="AJ492" s="32" t="n">
        <f aca="false">IF(AND(ISTEXT($AI492),LEN($AI492)=10),IF(ISNUMBER(VALUE(SUBSTITUTE($AI492,"-",""))),VALUE(SUBSTITUTE($AI492,"-","")),0),0)</f>
        <v>0</v>
      </c>
    </row>
    <row r="493" customFormat="false" ht="43.5" hidden="false" customHeight="true" outlineLevel="0" collapsed="false">
      <c r="A493" s="30" t="s">
        <v>5795</v>
      </c>
      <c r="B493" s="239" t="s">
        <v>5607</v>
      </c>
      <c r="C493" s="30" t="s">
        <v>5751</v>
      </c>
      <c r="D493" s="30" t="s">
        <v>5796</v>
      </c>
      <c r="E493" s="20" t="s">
        <v>5797</v>
      </c>
      <c r="F493" s="30" t="s">
        <v>114</v>
      </c>
      <c r="G493" s="239" t="s">
        <v>5287</v>
      </c>
      <c r="H493" s="30" t="s">
        <v>751</v>
      </c>
      <c r="I493" s="6" t="s">
        <v>751</v>
      </c>
      <c r="J493" s="30" t="s">
        <v>751</v>
      </c>
      <c r="K493" s="239"/>
      <c r="L493" s="239"/>
      <c r="M493" s="239" t="s">
        <v>4352</v>
      </c>
      <c r="N493" s="20" t="s">
        <v>5798</v>
      </c>
      <c r="O493" s="6" t="s">
        <v>5799</v>
      </c>
      <c r="P493" s="239" t="s">
        <v>4530</v>
      </c>
      <c r="Q493" s="184" t="s">
        <v>751</v>
      </c>
      <c r="R493" s="30" t="s">
        <v>751</v>
      </c>
      <c r="S493" s="44" t="str">
        <f aca="false">IF(ISNUMBER($AF493),INDEX(IDX_SrcStat,$AF493),"—")</f>
        <v>—</v>
      </c>
      <c r="T493" s="44" t="str">
        <f aca="false">IF(ISNUMBER($AF493),INDEX(IDX_SrcGrade,$AF493),"—")</f>
        <v>—</v>
      </c>
      <c r="U493" s="30" t="s">
        <v>751</v>
      </c>
      <c r="V493" s="32" t="n">
        <f aca="false">IF(AND($F493="原始數據",$U493&lt;&gt;"連結 SRC"),1,0)</f>
        <v>0</v>
      </c>
      <c r="W493" s="32" t="n">
        <f aca="false">IF(AND($F493="Analogy",OR($H493="—",$H493="")),1,0)</f>
        <v>0</v>
      </c>
      <c r="X493" s="32" t="n">
        <f aca="false">IF(AND(OR($F493="Analogy",$F493="Assumed"),$G493&lt;&gt;"低",$G493&lt;&gt;"高",NOT(ISNUMBER($K493)),NOT(ISNUMBER($L493)),OR($M493="—",$M493="")),1,0)</f>
        <v>0</v>
      </c>
      <c r="Y493" s="32" t="n">
        <f aca="false">IF(AND(OR($F493="Analogy",$F493="Assumed",$F493="Derived（待改公式）",$F493="Derived（公式）"),OR($N493="—",$N493="",$N493=0)),1,0)</f>
        <v>0</v>
      </c>
      <c r="Z493" s="32" t="n">
        <f aca="false">IF(AND($F493="Decision",OR($J493="—",$J493="")),1,0)</f>
        <v>0</v>
      </c>
      <c r="AA493" s="33" t="n">
        <f aca="false">IF(OR($J493="—",$J493=""),0,IF(COUNTIF(Decisions!$A$5:$A$300,$J493)=0,1,0))</f>
        <v>0</v>
      </c>
      <c r="AB493" s="32" t="n">
        <f aca="false">IF(AND($F493="原始數據",$S493&lt;&gt;"Active"),1,0)</f>
        <v>0</v>
      </c>
      <c r="AC493" s="32" t="n">
        <f aca="false">IF(AND(ISNUMBER($K493),ISNUMBER($L493),ISNUMBER($Q493)),IF(OR($Q493&lt;MIN($K493,$L493),$Q493&gt;MAX($K493,$L493)),1,0),0)</f>
        <v>0</v>
      </c>
      <c r="AD493" s="32" t="n">
        <f aca="false">IF(AND(ISNUMBER($T493),$P493="高"),IF($T493=3,1,0),0)</f>
        <v>0</v>
      </c>
      <c r="AE493" s="32" t="n">
        <f aca="false">IF($S493="不存在",1,0)</f>
        <v>0</v>
      </c>
      <c r="AF493" s="44" t="str">
        <f aca="false">IF(OR($H493="—",$H493=""),"—",MATCH($H493,IDX_SrcID,0))</f>
        <v>—</v>
      </c>
      <c r="AG493" s="32" t="n">
        <f aca="false">IF(AND($P493="高",OR($AD493=1,$X493=1)),1,0)</f>
        <v>0</v>
      </c>
      <c r="AH493" s="32" t="n">
        <f aca="false">IF(AND($P493="高",$AG493=0,OR($F493&lt;&gt;"原始數據",$T493&lt;&gt;1)),1,0)</f>
        <v>0</v>
      </c>
      <c r="AI493" s="44" t="str">
        <f aca="false">IF(AND($P493="高",ISNUMBER($AF493)),INDEX(IDX_SrcDate,$AF493),"—")</f>
        <v>—</v>
      </c>
      <c r="AJ493" s="32" t="n">
        <f aca="false">IF(AND(ISTEXT($AI493),LEN($AI493)=10),IF(ISNUMBER(VALUE(SUBSTITUTE($AI493,"-",""))),VALUE(SUBSTITUTE($AI493,"-","")),0),0)</f>
        <v>0</v>
      </c>
    </row>
    <row r="494" customFormat="false" ht="29.25" hidden="false" customHeight="true" outlineLevel="0" collapsed="false">
      <c r="A494" s="30" t="s">
        <v>5800</v>
      </c>
      <c r="B494" s="239" t="s">
        <v>5607</v>
      </c>
      <c r="C494" s="30" t="s">
        <v>5751</v>
      </c>
      <c r="D494" s="30" t="s">
        <v>5801</v>
      </c>
      <c r="E494" s="20" t="s">
        <v>2164</v>
      </c>
      <c r="F494" s="30" t="s">
        <v>114</v>
      </c>
      <c r="G494" s="239" t="s">
        <v>5287</v>
      </c>
      <c r="H494" s="30" t="s">
        <v>751</v>
      </c>
      <c r="I494" s="6" t="s">
        <v>751</v>
      </c>
      <c r="J494" s="30" t="s">
        <v>751</v>
      </c>
      <c r="K494" s="239"/>
      <c r="L494" s="239"/>
      <c r="M494" s="30" t="s">
        <v>5802</v>
      </c>
      <c r="N494" s="20" t="s">
        <v>5803</v>
      </c>
      <c r="O494" s="6" t="s">
        <v>751</v>
      </c>
      <c r="P494" s="239" t="s">
        <v>4530</v>
      </c>
      <c r="Q494" s="184" t="s">
        <v>751</v>
      </c>
      <c r="R494" s="30" t="s">
        <v>751</v>
      </c>
      <c r="S494" s="44" t="str">
        <f aca="false">IF(ISNUMBER($AF494),INDEX(IDX_SrcStat,$AF494),"—")</f>
        <v>—</v>
      </c>
      <c r="T494" s="44" t="str">
        <f aca="false">IF(ISNUMBER($AF494),INDEX(IDX_SrcGrade,$AF494),"—")</f>
        <v>—</v>
      </c>
      <c r="U494" s="30" t="s">
        <v>751</v>
      </c>
      <c r="V494" s="32" t="n">
        <f aca="false">IF(AND($F494="原始數據",$U494&lt;&gt;"連結 SRC"),1,0)</f>
        <v>0</v>
      </c>
      <c r="W494" s="32" t="n">
        <f aca="false">IF(AND($F494="Analogy",OR($H494="—",$H494="")),1,0)</f>
        <v>0</v>
      </c>
      <c r="X494" s="32" t="n">
        <f aca="false">IF(AND(OR($F494="Analogy",$F494="Assumed"),$G494&lt;&gt;"低",$G494&lt;&gt;"高",NOT(ISNUMBER($K494)),NOT(ISNUMBER($L494)),OR($M494="—",$M494="")),1,0)</f>
        <v>0</v>
      </c>
      <c r="Y494" s="32" t="n">
        <f aca="false">IF(AND(OR($F494="Analogy",$F494="Assumed",$F494="Derived（待改公式）",$F494="Derived（公式）"),OR($N494="—",$N494="",$N494=0)),1,0)</f>
        <v>0</v>
      </c>
      <c r="Z494" s="32" t="n">
        <f aca="false">IF(AND($F494="Decision",OR($J494="—",$J494="")),1,0)</f>
        <v>0</v>
      </c>
      <c r="AA494" s="33" t="n">
        <f aca="false">IF(OR($J494="—",$J494=""),0,IF(COUNTIF(Decisions!$A$5:$A$300,$J494)=0,1,0))</f>
        <v>0</v>
      </c>
      <c r="AB494" s="32" t="n">
        <f aca="false">IF(AND($F494="原始數據",$S494&lt;&gt;"Active"),1,0)</f>
        <v>0</v>
      </c>
      <c r="AC494" s="32" t="n">
        <f aca="false">IF(AND(ISNUMBER($K494),ISNUMBER($L494),ISNUMBER($Q494)),IF(OR($Q494&lt;MIN($K494,$L494),$Q494&gt;MAX($K494,$L494)),1,0),0)</f>
        <v>0</v>
      </c>
      <c r="AD494" s="32" t="n">
        <f aca="false">IF(AND(ISNUMBER($T494),$P494="高"),IF($T494=3,1,0),0)</f>
        <v>0</v>
      </c>
      <c r="AE494" s="32" t="n">
        <f aca="false">IF($S494="不存在",1,0)</f>
        <v>0</v>
      </c>
      <c r="AF494" s="44" t="str">
        <f aca="false">IF(OR($H494="—",$H494=""),"—",MATCH($H494,IDX_SrcID,0))</f>
        <v>—</v>
      </c>
      <c r="AG494" s="32" t="n">
        <f aca="false">IF(AND($P494="高",OR($AD494=1,$X494=1)),1,0)</f>
        <v>0</v>
      </c>
      <c r="AH494" s="32" t="n">
        <f aca="false">IF(AND($P494="高",$AG494=0,OR($F494&lt;&gt;"原始數據",$T494&lt;&gt;1)),1,0)</f>
        <v>0</v>
      </c>
      <c r="AI494" s="44" t="str">
        <f aca="false">IF(AND($P494="高",ISNUMBER($AF494)),INDEX(IDX_SrcDate,$AF494),"—")</f>
        <v>—</v>
      </c>
      <c r="AJ494" s="32" t="n">
        <f aca="false">IF(AND(ISTEXT($AI494),LEN($AI494)=10),IF(ISNUMBER(VALUE(SUBSTITUTE($AI494,"-",""))),VALUE(SUBSTITUTE($AI494,"-","")),0),0)</f>
        <v>0</v>
      </c>
    </row>
    <row r="495" customFormat="false" ht="15" hidden="false" customHeight="true" outlineLevel="0" collapsed="false">
      <c r="A495" s="30" t="s">
        <v>5804</v>
      </c>
      <c r="B495" s="239" t="s">
        <v>5607</v>
      </c>
      <c r="C495" s="30" t="s">
        <v>5751</v>
      </c>
      <c r="D495" s="30" t="s">
        <v>5805</v>
      </c>
      <c r="E495" s="20" t="s">
        <v>5764</v>
      </c>
      <c r="F495" s="30" t="s">
        <v>114</v>
      </c>
      <c r="G495" s="239" t="s">
        <v>5287</v>
      </c>
      <c r="H495" s="30" t="s">
        <v>751</v>
      </c>
      <c r="I495" s="6" t="s">
        <v>751</v>
      </c>
      <c r="J495" s="30" t="s">
        <v>751</v>
      </c>
      <c r="K495" s="239"/>
      <c r="L495" s="239"/>
      <c r="M495" s="30" t="s">
        <v>5765</v>
      </c>
      <c r="N495" s="20" t="s">
        <v>5806</v>
      </c>
      <c r="O495" s="6" t="s">
        <v>751</v>
      </c>
      <c r="P495" s="239" t="s">
        <v>4530</v>
      </c>
      <c r="Q495" s="184" t="s">
        <v>751</v>
      </c>
      <c r="R495" s="30" t="s">
        <v>751</v>
      </c>
      <c r="S495" s="44" t="str">
        <f aca="false">IF(ISNUMBER($AF495),INDEX(IDX_SrcStat,$AF495),"—")</f>
        <v>—</v>
      </c>
      <c r="T495" s="44" t="str">
        <f aca="false">IF(ISNUMBER($AF495),INDEX(IDX_SrcGrade,$AF495),"—")</f>
        <v>—</v>
      </c>
      <c r="U495" s="30" t="s">
        <v>751</v>
      </c>
      <c r="V495" s="32" t="n">
        <f aca="false">IF(AND($F495="原始數據",$U495&lt;&gt;"連結 SRC"),1,0)</f>
        <v>0</v>
      </c>
      <c r="W495" s="32" t="n">
        <f aca="false">IF(AND($F495="Analogy",OR($H495="—",$H495="")),1,0)</f>
        <v>0</v>
      </c>
      <c r="X495" s="32" t="n">
        <f aca="false">IF(AND(OR($F495="Analogy",$F495="Assumed"),$G495&lt;&gt;"低",$G495&lt;&gt;"高",NOT(ISNUMBER($K495)),NOT(ISNUMBER($L495)),OR($M495="—",$M495="")),1,0)</f>
        <v>0</v>
      </c>
      <c r="Y495" s="32" t="n">
        <f aca="false">IF(AND(OR($F495="Analogy",$F495="Assumed",$F495="Derived（待改公式）",$F495="Derived（公式）"),OR($N495="—",$N495="",$N495=0)),1,0)</f>
        <v>0</v>
      </c>
      <c r="Z495" s="32" t="n">
        <f aca="false">IF(AND($F495="Decision",OR($J495="—",$J495="")),1,0)</f>
        <v>0</v>
      </c>
      <c r="AA495" s="33" t="n">
        <f aca="false">IF(OR($J495="—",$J495=""),0,IF(COUNTIF(Decisions!$A$5:$A$300,$J495)=0,1,0))</f>
        <v>0</v>
      </c>
      <c r="AB495" s="32" t="n">
        <f aca="false">IF(AND($F495="原始數據",$S495&lt;&gt;"Active"),1,0)</f>
        <v>0</v>
      </c>
      <c r="AC495" s="32" t="n">
        <f aca="false">IF(AND(ISNUMBER($K495),ISNUMBER($L495),ISNUMBER($Q495)),IF(OR($Q495&lt;MIN($K495,$L495),$Q495&gt;MAX($K495,$L495)),1,0),0)</f>
        <v>0</v>
      </c>
      <c r="AD495" s="32" t="n">
        <f aca="false">IF(AND(ISNUMBER($T495),$P495="高"),IF($T495=3,1,0),0)</f>
        <v>0</v>
      </c>
      <c r="AE495" s="32" t="n">
        <f aca="false">IF($S495="不存在",1,0)</f>
        <v>0</v>
      </c>
      <c r="AF495" s="44" t="str">
        <f aca="false">IF(OR($H495="—",$H495=""),"—",MATCH($H495,IDX_SrcID,0))</f>
        <v>—</v>
      </c>
      <c r="AG495" s="32" t="n">
        <f aca="false">IF(AND($P495="高",OR($AD495=1,$X495=1)),1,0)</f>
        <v>0</v>
      </c>
      <c r="AH495" s="32" t="n">
        <f aca="false">IF(AND($P495="高",$AG495=0,OR($F495&lt;&gt;"原始數據",$T495&lt;&gt;1)),1,0)</f>
        <v>0</v>
      </c>
      <c r="AI495" s="44" t="str">
        <f aca="false">IF(AND($P495="高",ISNUMBER($AF495)),INDEX(IDX_SrcDate,$AF495),"—")</f>
        <v>—</v>
      </c>
      <c r="AJ495" s="32" t="n">
        <f aca="false">IF(AND(ISTEXT($AI495),LEN($AI495)=10),IF(ISNUMBER(VALUE(SUBSTITUTE($AI495,"-",""))),VALUE(SUBSTITUTE($AI495,"-","")),0),0)</f>
        <v>0</v>
      </c>
    </row>
    <row r="496" customFormat="false" ht="15" hidden="false" customHeight="true" outlineLevel="0" collapsed="false">
      <c r="A496" s="30" t="s">
        <v>5807</v>
      </c>
      <c r="B496" s="239" t="s">
        <v>5607</v>
      </c>
      <c r="C496" s="30" t="s">
        <v>5751</v>
      </c>
      <c r="D496" s="30" t="s">
        <v>5808</v>
      </c>
      <c r="E496" s="20" t="s">
        <v>2169</v>
      </c>
      <c r="F496" s="30" t="s">
        <v>114</v>
      </c>
      <c r="G496" s="239" t="s">
        <v>5287</v>
      </c>
      <c r="H496" s="30" t="s">
        <v>751</v>
      </c>
      <c r="I496" s="6" t="s">
        <v>751</v>
      </c>
      <c r="J496" s="30" t="s">
        <v>751</v>
      </c>
      <c r="K496" s="239"/>
      <c r="L496" s="239"/>
      <c r="M496" s="30" t="s">
        <v>5809</v>
      </c>
      <c r="N496" s="20" t="s">
        <v>5810</v>
      </c>
      <c r="O496" s="6" t="s">
        <v>751</v>
      </c>
      <c r="P496" s="239" t="s">
        <v>4530</v>
      </c>
      <c r="Q496" s="184" t="s">
        <v>751</v>
      </c>
      <c r="R496" s="30" t="s">
        <v>751</v>
      </c>
      <c r="S496" s="44" t="str">
        <f aca="false">IF(ISNUMBER($AF496),INDEX(IDX_SrcStat,$AF496),"—")</f>
        <v>—</v>
      </c>
      <c r="T496" s="44" t="str">
        <f aca="false">IF(ISNUMBER($AF496),INDEX(IDX_SrcGrade,$AF496),"—")</f>
        <v>—</v>
      </c>
      <c r="U496" s="30" t="s">
        <v>751</v>
      </c>
      <c r="V496" s="32" t="n">
        <f aca="false">IF(AND($F496="原始數據",$U496&lt;&gt;"連結 SRC"),1,0)</f>
        <v>0</v>
      </c>
      <c r="W496" s="32" t="n">
        <f aca="false">IF(AND($F496="Analogy",OR($H496="—",$H496="")),1,0)</f>
        <v>0</v>
      </c>
      <c r="X496" s="32" t="n">
        <f aca="false">IF(AND(OR($F496="Analogy",$F496="Assumed"),$G496&lt;&gt;"低",$G496&lt;&gt;"高",NOT(ISNUMBER($K496)),NOT(ISNUMBER($L496)),OR($M496="—",$M496="")),1,0)</f>
        <v>0</v>
      </c>
      <c r="Y496" s="32" t="n">
        <f aca="false">IF(AND(OR($F496="Analogy",$F496="Assumed",$F496="Derived（待改公式）",$F496="Derived（公式）"),OR($N496="—",$N496="",$N496=0)),1,0)</f>
        <v>0</v>
      </c>
      <c r="Z496" s="32" t="n">
        <f aca="false">IF(AND($F496="Decision",OR($J496="—",$J496="")),1,0)</f>
        <v>0</v>
      </c>
      <c r="AA496" s="33" t="n">
        <f aca="false">IF(OR($J496="—",$J496=""),0,IF(COUNTIF(Decisions!$A$5:$A$300,$J496)=0,1,0))</f>
        <v>0</v>
      </c>
      <c r="AB496" s="32" t="n">
        <f aca="false">IF(AND($F496="原始數據",$S496&lt;&gt;"Active"),1,0)</f>
        <v>0</v>
      </c>
      <c r="AC496" s="32" t="n">
        <f aca="false">IF(AND(ISNUMBER($K496),ISNUMBER($L496),ISNUMBER($Q496)),IF(OR($Q496&lt;MIN($K496,$L496),$Q496&gt;MAX($K496,$L496)),1,0),0)</f>
        <v>0</v>
      </c>
      <c r="AD496" s="32" t="n">
        <f aca="false">IF(AND(ISNUMBER($T496),$P496="高"),IF($T496=3,1,0),0)</f>
        <v>0</v>
      </c>
      <c r="AE496" s="32" t="n">
        <f aca="false">IF($S496="不存在",1,0)</f>
        <v>0</v>
      </c>
      <c r="AF496" s="44" t="str">
        <f aca="false">IF(OR($H496="—",$H496=""),"—",MATCH($H496,IDX_SrcID,0))</f>
        <v>—</v>
      </c>
      <c r="AG496" s="32" t="n">
        <f aca="false">IF(AND($P496="高",OR($AD496=1,$X496=1)),1,0)</f>
        <v>0</v>
      </c>
      <c r="AH496" s="32" t="n">
        <f aca="false">IF(AND($P496="高",$AG496=0,OR($F496&lt;&gt;"原始數據",$T496&lt;&gt;1)),1,0)</f>
        <v>0</v>
      </c>
      <c r="AI496" s="44" t="str">
        <f aca="false">IF(AND($P496="高",ISNUMBER($AF496)),INDEX(IDX_SrcDate,$AF496),"—")</f>
        <v>—</v>
      </c>
      <c r="AJ496" s="32" t="n">
        <f aca="false">IF(AND(ISTEXT($AI496),LEN($AI496)=10),IF(ISNUMBER(VALUE(SUBSTITUTE($AI496,"-",""))),VALUE(SUBSTITUTE($AI496,"-","")),0),0)</f>
        <v>0</v>
      </c>
    </row>
    <row r="497" customFormat="false" ht="15" hidden="false" customHeight="true" outlineLevel="0" collapsed="false">
      <c r="A497" s="30" t="s">
        <v>5811</v>
      </c>
      <c r="B497" s="239" t="s">
        <v>5607</v>
      </c>
      <c r="C497" s="30" t="s">
        <v>5751</v>
      </c>
      <c r="D497" s="30" t="s">
        <v>5812</v>
      </c>
      <c r="E497" s="20" t="s">
        <v>5774</v>
      </c>
      <c r="F497" s="30" t="s">
        <v>114</v>
      </c>
      <c r="G497" s="239" t="s">
        <v>5287</v>
      </c>
      <c r="H497" s="30" t="s">
        <v>751</v>
      </c>
      <c r="I497" s="6" t="s">
        <v>751</v>
      </c>
      <c r="J497" s="30" t="s">
        <v>751</v>
      </c>
      <c r="K497" s="239"/>
      <c r="L497" s="239"/>
      <c r="M497" s="30" t="s">
        <v>5813</v>
      </c>
      <c r="N497" s="20" t="s">
        <v>5814</v>
      </c>
      <c r="O497" s="6" t="s">
        <v>751</v>
      </c>
      <c r="P497" s="239" t="s">
        <v>4530</v>
      </c>
      <c r="Q497" s="184" t="s">
        <v>751</v>
      </c>
      <c r="R497" s="30" t="s">
        <v>751</v>
      </c>
      <c r="S497" s="44" t="str">
        <f aca="false">IF(ISNUMBER($AF497),INDEX(IDX_SrcStat,$AF497),"—")</f>
        <v>—</v>
      </c>
      <c r="T497" s="44" t="str">
        <f aca="false">IF(ISNUMBER($AF497),INDEX(IDX_SrcGrade,$AF497),"—")</f>
        <v>—</v>
      </c>
      <c r="U497" s="30" t="s">
        <v>751</v>
      </c>
      <c r="V497" s="32" t="n">
        <f aca="false">IF(AND($F497="原始數據",$U497&lt;&gt;"連結 SRC"),1,0)</f>
        <v>0</v>
      </c>
      <c r="W497" s="32" t="n">
        <f aca="false">IF(AND($F497="Analogy",OR($H497="—",$H497="")),1,0)</f>
        <v>0</v>
      </c>
      <c r="X497" s="32" t="n">
        <f aca="false">IF(AND(OR($F497="Analogy",$F497="Assumed"),$G497&lt;&gt;"低",$G497&lt;&gt;"高",NOT(ISNUMBER($K497)),NOT(ISNUMBER($L497)),OR($M497="—",$M497="")),1,0)</f>
        <v>0</v>
      </c>
      <c r="Y497" s="32" t="n">
        <f aca="false">IF(AND(OR($F497="Analogy",$F497="Assumed",$F497="Derived（待改公式）",$F497="Derived（公式）"),OR($N497="—",$N497="",$N497=0)),1,0)</f>
        <v>0</v>
      </c>
      <c r="Z497" s="32" t="n">
        <f aca="false">IF(AND($F497="Decision",OR($J497="—",$J497="")),1,0)</f>
        <v>0</v>
      </c>
      <c r="AA497" s="33" t="n">
        <f aca="false">IF(OR($J497="—",$J497=""),0,IF(COUNTIF(Decisions!$A$5:$A$300,$J497)=0,1,0))</f>
        <v>0</v>
      </c>
      <c r="AB497" s="32" t="n">
        <f aca="false">IF(AND($F497="原始數據",$S497&lt;&gt;"Active"),1,0)</f>
        <v>0</v>
      </c>
      <c r="AC497" s="32" t="n">
        <f aca="false">IF(AND(ISNUMBER($K497),ISNUMBER($L497),ISNUMBER($Q497)),IF(OR($Q497&lt;MIN($K497,$L497),$Q497&gt;MAX($K497,$L497)),1,0),0)</f>
        <v>0</v>
      </c>
      <c r="AD497" s="32" t="n">
        <f aca="false">IF(AND(ISNUMBER($T497),$P497="高"),IF($T497=3,1,0),0)</f>
        <v>0</v>
      </c>
      <c r="AE497" s="32" t="n">
        <f aca="false">IF($S497="不存在",1,0)</f>
        <v>0</v>
      </c>
      <c r="AF497" s="44" t="str">
        <f aca="false">IF(OR($H497="—",$H497=""),"—",MATCH($H497,IDX_SrcID,0))</f>
        <v>—</v>
      </c>
      <c r="AG497" s="32" t="n">
        <f aca="false">IF(AND($P497="高",OR($AD497=1,$X497=1)),1,0)</f>
        <v>0</v>
      </c>
      <c r="AH497" s="32" t="n">
        <f aca="false">IF(AND($P497="高",$AG497=0,OR($F497&lt;&gt;"原始數據",$T497&lt;&gt;1)),1,0)</f>
        <v>0</v>
      </c>
      <c r="AI497" s="44" t="str">
        <f aca="false">IF(AND($P497="高",ISNUMBER($AF497)),INDEX(IDX_SrcDate,$AF497),"—")</f>
        <v>—</v>
      </c>
      <c r="AJ497" s="32" t="n">
        <f aca="false">IF(AND(ISTEXT($AI497),LEN($AI497)=10),IF(ISNUMBER(VALUE(SUBSTITUTE($AI497,"-",""))),VALUE(SUBSTITUTE($AI497,"-","")),0),0)</f>
        <v>0</v>
      </c>
    </row>
    <row r="498" customFormat="false" ht="29.25" hidden="false" customHeight="true" outlineLevel="0" collapsed="false">
      <c r="A498" s="30" t="s">
        <v>5815</v>
      </c>
      <c r="B498" s="239" t="s">
        <v>5607</v>
      </c>
      <c r="C498" s="30" t="s">
        <v>5751</v>
      </c>
      <c r="D498" s="30" t="s">
        <v>5816</v>
      </c>
      <c r="E498" s="20" t="s">
        <v>2173</v>
      </c>
      <c r="F498" s="30" t="s">
        <v>114</v>
      </c>
      <c r="G498" s="239" t="s">
        <v>5287</v>
      </c>
      <c r="H498" s="30" t="s">
        <v>751</v>
      </c>
      <c r="I498" s="6" t="s">
        <v>751</v>
      </c>
      <c r="J498" s="30" t="s">
        <v>751</v>
      </c>
      <c r="K498" s="239"/>
      <c r="L498" s="239"/>
      <c r="M498" s="30" t="s">
        <v>5779</v>
      </c>
      <c r="N498" s="20" t="s">
        <v>5817</v>
      </c>
      <c r="O498" s="6" t="s">
        <v>751</v>
      </c>
      <c r="P498" s="239" t="s">
        <v>4530</v>
      </c>
      <c r="Q498" s="184" t="s">
        <v>751</v>
      </c>
      <c r="R498" s="30" t="s">
        <v>751</v>
      </c>
      <c r="S498" s="44" t="str">
        <f aca="false">IF(ISNUMBER($AF498),INDEX(IDX_SrcStat,$AF498),"—")</f>
        <v>—</v>
      </c>
      <c r="T498" s="44" t="str">
        <f aca="false">IF(ISNUMBER($AF498),INDEX(IDX_SrcGrade,$AF498),"—")</f>
        <v>—</v>
      </c>
      <c r="U498" s="30" t="s">
        <v>751</v>
      </c>
      <c r="V498" s="32" t="n">
        <f aca="false">IF(AND($F498="原始數據",$U498&lt;&gt;"連結 SRC"),1,0)</f>
        <v>0</v>
      </c>
      <c r="W498" s="32" t="n">
        <f aca="false">IF(AND($F498="Analogy",OR($H498="—",$H498="")),1,0)</f>
        <v>0</v>
      </c>
      <c r="X498" s="32" t="n">
        <f aca="false">IF(AND(OR($F498="Analogy",$F498="Assumed"),$G498&lt;&gt;"低",$G498&lt;&gt;"高",NOT(ISNUMBER($K498)),NOT(ISNUMBER($L498)),OR($M498="—",$M498="")),1,0)</f>
        <v>0</v>
      </c>
      <c r="Y498" s="32" t="n">
        <f aca="false">IF(AND(OR($F498="Analogy",$F498="Assumed",$F498="Derived（待改公式）",$F498="Derived（公式）"),OR($N498="—",$N498="",$N498=0)),1,0)</f>
        <v>0</v>
      </c>
      <c r="Z498" s="32" t="n">
        <f aca="false">IF(AND($F498="Decision",OR($J498="—",$J498="")),1,0)</f>
        <v>0</v>
      </c>
      <c r="AA498" s="33" t="n">
        <f aca="false">IF(OR($J498="—",$J498=""),0,IF(COUNTIF(Decisions!$A$5:$A$300,$J498)=0,1,0))</f>
        <v>0</v>
      </c>
      <c r="AB498" s="32" t="n">
        <f aca="false">IF(AND($F498="原始數據",$S498&lt;&gt;"Active"),1,0)</f>
        <v>0</v>
      </c>
      <c r="AC498" s="32" t="n">
        <f aca="false">IF(AND(ISNUMBER($K498),ISNUMBER($L498),ISNUMBER($Q498)),IF(OR($Q498&lt;MIN($K498,$L498),$Q498&gt;MAX($K498,$L498)),1,0),0)</f>
        <v>0</v>
      </c>
      <c r="AD498" s="32" t="n">
        <f aca="false">IF(AND(ISNUMBER($T498),$P498="高"),IF($T498=3,1,0),0)</f>
        <v>0</v>
      </c>
      <c r="AE498" s="32" t="n">
        <f aca="false">IF($S498="不存在",1,0)</f>
        <v>0</v>
      </c>
      <c r="AF498" s="44" t="str">
        <f aca="false">IF(OR($H498="—",$H498=""),"—",MATCH($H498,IDX_SrcID,0))</f>
        <v>—</v>
      </c>
      <c r="AG498" s="32" t="n">
        <f aca="false">IF(AND($P498="高",OR($AD498=1,$X498=1)),1,0)</f>
        <v>0</v>
      </c>
      <c r="AH498" s="32" t="n">
        <f aca="false">IF(AND($P498="高",$AG498=0,OR($F498&lt;&gt;"原始數據",$T498&lt;&gt;1)),1,0)</f>
        <v>0</v>
      </c>
      <c r="AI498" s="44" t="str">
        <f aca="false">IF(AND($P498="高",ISNUMBER($AF498)),INDEX(IDX_SrcDate,$AF498),"—")</f>
        <v>—</v>
      </c>
      <c r="AJ498" s="32" t="n">
        <f aca="false">IF(AND(ISTEXT($AI498),LEN($AI498)=10),IF(ISNUMBER(VALUE(SUBSTITUTE($AI498,"-",""))),VALUE(SUBSTITUTE($AI498,"-","")),0),0)</f>
        <v>0</v>
      </c>
    </row>
    <row r="499" customFormat="false" ht="15" hidden="false" customHeight="true" outlineLevel="0" collapsed="false">
      <c r="A499" s="30" t="s">
        <v>5818</v>
      </c>
      <c r="B499" s="239" t="s">
        <v>5607</v>
      </c>
      <c r="C499" s="30" t="s">
        <v>5751</v>
      </c>
      <c r="D499" s="30" t="s">
        <v>5819</v>
      </c>
      <c r="E499" s="20" t="s">
        <v>2178</v>
      </c>
      <c r="F499" s="30" t="s">
        <v>114</v>
      </c>
      <c r="G499" s="239" t="s">
        <v>5287</v>
      </c>
      <c r="H499" s="30" t="s">
        <v>751</v>
      </c>
      <c r="I499" s="6" t="s">
        <v>751</v>
      </c>
      <c r="J499" s="30" t="s">
        <v>751</v>
      </c>
      <c r="K499" s="239"/>
      <c r="L499" s="239"/>
      <c r="M499" s="30" t="s">
        <v>5820</v>
      </c>
      <c r="N499" s="20" t="s">
        <v>5821</v>
      </c>
      <c r="O499" s="6" t="s">
        <v>751</v>
      </c>
      <c r="P499" s="239" t="s">
        <v>4530</v>
      </c>
      <c r="Q499" s="184" t="s">
        <v>751</v>
      </c>
      <c r="R499" s="30" t="s">
        <v>751</v>
      </c>
      <c r="S499" s="44" t="str">
        <f aca="false">IF(ISNUMBER($AF499),INDEX(IDX_SrcStat,$AF499),"—")</f>
        <v>—</v>
      </c>
      <c r="T499" s="44" t="str">
        <f aca="false">IF(ISNUMBER($AF499),INDEX(IDX_SrcGrade,$AF499),"—")</f>
        <v>—</v>
      </c>
      <c r="U499" s="30" t="s">
        <v>751</v>
      </c>
      <c r="V499" s="32" t="n">
        <f aca="false">IF(AND($F499="原始數據",$U499&lt;&gt;"連結 SRC"),1,0)</f>
        <v>0</v>
      </c>
      <c r="W499" s="32" t="n">
        <f aca="false">IF(AND($F499="Analogy",OR($H499="—",$H499="")),1,0)</f>
        <v>0</v>
      </c>
      <c r="X499" s="32" t="n">
        <f aca="false">IF(AND(OR($F499="Analogy",$F499="Assumed"),$G499&lt;&gt;"低",$G499&lt;&gt;"高",NOT(ISNUMBER($K499)),NOT(ISNUMBER($L499)),OR($M499="—",$M499="")),1,0)</f>
        <v>0</v>
      </c>
      <c r="Y499" s="32" t="n">
        <f aca="false">IF(AND(OR($F499="Analogy",$F499="Assumed",$F499="Derived（待改公式）",$F499="Derived（公式）"),OR($N499="—",$N499="",$N499=0)),1,0)</f>
        <v>0</v>
      </c>
      <c r="Z499" s="32" t="n">
        <f aca="false">IF(AND($F499="Decision",OR($J499="—",$J499="")),1,0)</f>
        <v>0</v>
      </c>
      <c r="AA499" s="33" t="n">
        <f aca="false">IF(OR($J499="—",$J499=""),0,IF(COUNTIF(Decisions!$A$5:$A$300,$J499)=0,1,0))</f>
        <v>0</v>
      </c>
      <c r="AB499" s="32" t="n">
        <f aca="false">IF(AND($F499="原始數據",$S499&lt;&gt;"Active"),1,0)</f>
        <v>0</v>
      </c>
      <c r="AC499" s="32" t="n">
        <f aca="false">IF(AND(ISNUMBER($K499),ISNUMBER($L499),ISNUMBER($Q499)),IF(OR($Q499&lt;MIN($K499,$L499),$Q499&gt;MAX($K499,$L499)),1,0),0)</f>
        <v>0</v>
      </c>
      <c r="AD499" s="32" t="n">
        <f aca="false">IF(AND(ISNUMBER($T499),$P499="高"),IF($T499=3,1,0),0)</f>
        <v>0</v>
      </c>
      <c r="AE499" s="32" t="n">
        <f aca="false">IF($S499="不存在",1,0)</f>
        <v>0</v>
      </c>
      <c r="AF499" s="44" t="str">
        <f aca="false">IF(OR($H499="—",$H499=""),"—",MATCH($H499,IDX_SrcID,0))</f>
        <v>—</v>
      </c>
      <c r="AG499" s="32" t="n">
        <f aca="false">IF(AND($P499="高",OR($AD499=1,$X499=1)),1,0)</f>
        <v>0</v>
      </c>
      <c r="AH499" s="32" t="n">
        <f aca="false">IF(AND($P499="高",$AG499=0,OR($F499&lt;&gt;"原始數據",$T499&lt;&gt;1)),1,0)</f>
        <v>0</v>
      </c>
      <c r="AI499" s="44" t="str">
        <f aca="false">IF(AND($P499="高",ISNUMBER($AF499)),INDEX(IDX_SrcDate,$AF499),"—")</f>
        <v>—</v>
      </c>
      <c r="AJ499" s="32" t="n">
        <f aca="false">IF(AND(ISTEXT($AI499),LEN($AI499)=10),IF(ISNUMBER(VALUE(SUBSTITUTE($AI499,"-",""))),VALUE(SUBSTITUTE($AI499,"-","")),0),0)</f>
        <v>0</v>
      </c>
    </row>
    <row r="500" customFormat="false" ht="29.25" hidden="false" customHeight="true" outlineLevel="0" collapsed="false">
      <c r="A500" s="30" t="s">
        <v>5822</v>
      </c>
      <c r="B500" s="239" t="s">
        <v>5607</v>
      </c>
      <c r="C500" s="30" t="s">
        <v>5751</v>
      </c>
      <c r="D500" s="30" t="s">
        <v>5823</v>
      </c>
      <c r="E500" s="20" t="s">
        <v>2180</v>
      </c>
      <c r="F500" s="30" t="s">
        <v>114</v>
      </c>
      <c r="G500" s="239" t="s">
        <v>5287</v>
      </c>
      <c r="H500" s="30" t="s">
        <v>751</v>
      </c>
      <c r="I500" s="6" t="s">
        <v>751</v>
      </c>
      <c r="J500" s="30" t="s">
        <v>751</v>
      </c>
      <c r="K500" s="239"/>
      <c r="L500" s="239"/>
      <c r="M500" s="30" t="s">
        <v>5824</v>
      </c>
      <c r="N500" s="20" t="s">
        <v>5825</v>
      </c>
      <c r="O500" s="6" t="s">
        <v>751</v>
      </c>
      <c r="P500" s="239" t="s">
        <v>4530</v>
      </c>
      <c r="Q500" s="184" t="s">
        <v>751</v>
      </c>
      <c r="R500" s="30" t="s">
        <v>751</v>
      </c>
      <c r="S500" s="44" t="str">
        <f aca="false">IF(ISNUMBER($AF500),INDEX(IDX_SrcStat,$AF500),"—")</f>
        <v>—</v>
      </c>
      <c r="T500" s="44" t="str">
        <f aca="false">IF(ISNUMBER($AF500),INDEX(IDX_SrcGrade,$AF500),"—")</f>
        <v>—</v>
      </c>
      <c r="U500" s="30" t="s">
        <v>751</v>
      </c>
      <c r="V500" s="32" t="n">
        <f aca="false">IF(AND($F500="原始數據",$U500&lt;&gt;"連結 SRC"),1,0)</f>
        <v>0</v>
      </c>
      <c r="W500" s="32" t="n">
        <f aca="false">IF(AND($F500="Analogy",OR($H500="—",$H500="")),1,0)</f>
        <v>0</v>
      </c>
      <c r="X500" s="32" t="n">
        <f aca="false">IF(AND(OR($F500="Analogy",$F500="Assumed"),$G500&lt;&gt;"低",$G500&lt;&gt;"高",NOT(ISNUMBER($K500)),NOT(ISNUMBER($L500)),OR($M500="—",$M500="")),1,0)</f>
        <v>0</v>
      </c>
      <c r="Y500" s="32" t="n">
        <f aca="false">IF(AND(OR($F500="Analogy",$F500="Assumed",$F500="Derived（待改公式）",$F500="Derived（公式）"),OR($N500="—",$N500="",$N500=0)),1,0)</f>
        <v>0</v>
      </c>
      <c r="Z500" s="32" t="n">
        <f aca="false">IF(AND($F500="Decision",OR($J500="—",$J500="")),1,0)</f>
        <v>0</v>
      </c>
      <c r="AA500" s="33" t="n">
        <f aca="false">IF(OR($J500="—",$J500=""),0,IF(COUNTIF(Decisions!$A$5:$A$300,$J500)=0,1,0))</f>
        <v>0</v>
      </c>
      <c r="AB500" s="32" t="n">
        <f aca="false">IF(AND($F500="原始數據",$S500&lt;&gt;"Active"),1,0)</f>
        <v>0</v>
      </c>
      <c r="AC500" s="32" t="n">
        <f aca="false">IF(AND(ISNUMBER($K500),ISNUMBER($L500),ISNUMBER($Q500)),IF(OR($Q500&lt;MIN($K500,$L500),$Q500&gt;MAX($K500,$L500)),1,0),0)</f>
        <v>0</v>
      </c>
      <c r="AD500" s="32" t="n">
        <f aca="false">IF(AND(ISNUMBER($T500),$P500="高"),IF($T500=3,1,0),0)</f>
        <v>0</v>
      </c>
      <c r="AE500" s="32" t="n">
        <f aca="false">IF($S500="不存在",1,0)</f>
        <v>0</v>
      </c>
      <c r="AF500" s="44" t="str">
        <f aca="false">IF(OR($H500="—",$H500=""),"—",MATCH($H500,IDX_SrcID,0))</f>
        <v>—</v>
      </c>
      <c r="AG500" s="32" t="n">
        <f aca="false">IF(AND($P500="高",OR($AD500=1,$X500=1)),1,0)</f>
        <v>0</v>
      </c>
      <c r="AH500" s="32" t="n">
        <f aca="false">IF(AND($P500="高",$AG500=0,OR($F500&lt;&gt;"原始數據",$T500&lt;&gt;1)),1,0)</f>
        <v>0</v>
      </c>
      <c r="AI500" s="44" t="str">
        <f aca="false">IF(AND($P500="高",ISNUMBER($AF500)),INDEX(IDX_SrcDate,$AF500),"—")</f>
        <v>—</v>
      </c>
      <c r="AJ500" s="32" t="n">
        <f aca="false">IF(AND(ISTEXT($AI500),LEN($AI500)=10),IF(ISNUMBER(VALUE(SUBSTITUTE($AI500,"-",""))),VALUE(SUBSTITUTE($AI500,"-","")),0),0)</f>
        <v>0</v>
      </c>
    </row>
    <row r="501" customFormat="false" ht="29.25" hidden="false" customHeight="true" outlineLevel="0" collapsed="false">
      <c r="A501" s="30" t="s">
        <v>5826</v>
      </c>
      <c r="B501" s="239" t="s">
        <v>5607</v>
      </c>
      <c r="C501" s="30" t="s">
        <v>5751</v>
      </c>
      <c r="D501" s="30" t="s">
        <v>5827</v>
      </c>
      <c r="E501" s="20" t="s">
        <v>5797</v>
      </c>
      <c r="F501" s="30" t="s">
        <v>114</v>
      </c>
      <c r="G501" s="239" t="s">
        <v>5287</v>
      </c>
      <c r="H501" s="30" t="s">
        <v>751</v>
      </c>
      <c r="I501" s="6" t="s">
        <v>751</v>
      </c>
      <c r="J501" s="30" t="s">
        <v>751</v>
      </c>
      <c r="K501" s="239"/>
      <c r="L501" s="239"/>
      <c r="M501" s="239" t="s">
        <v>4352</v>
      </c>
      <c r="N501" s="20" t="s">
        <v>5828</v>
      </c>
      <c r="O501" s="6" t="s">
        <v>751</v>
      </c>
      <c r="P501" s="239" t="s">
        <v>4530</v>
      </c>
      <c r="Q501" s="184" t="s">
        <v>751</v>
      </c>
      <c r="R501" s="30" t="s">
        <v>751</v>
      </c>
      <c r="S501" s="44" t="str">
        <f aca="false">IF(ISNUMBER($AF501),INDEX(IDX_SrcStat,$AF501),"—")</f>
        <v>—</v>
      </c>
      <c r="T501" s="44" t="str">
        <f aca="false">IF(ISNUMBER($AF501),INDEX(IDX_SrcGrade,$AF501),"—")</f>
        <v>—</v>
      </c>
      <c r="U501" s="30" t="s">
        <v>751</v>
      </c>
      <c r="V501" s="32" t="n">
        <f aca="false">IF(AND($F501="原始數據",$U501&lt;&gt;"連結 SRC"),1,0)</f>
        <v>0</v>
      </c>
      <c r="W501" s="32" t="n">
        <f aca="false">IF(AND($F501="Analogy",OR($H501="—",$H501="")),1,0)</f>
        <v>0</v>
      </c>
      <c r="X501" s="32" t="n">
        <f aca="false">IF(AND(OR($F501="Analogy",$F501="Assumed"),$G501&lt;&gt;"低",$G501&lt;&gt;"高",NOT(ISNUMBER($K501)),NOT(ISNUMBER($L501)),OR($M501="—",$M501="")),1,0)</f>
        <v>0</v>
      </c>
      <c r="Y501" s="32" t="n">
        <f aca="false">IF(AND(OR($F501="Analogy",$F501="Assumed",$F501="Derived（待改公式）",$F501="Derived（公式）"),OR($N501="—",$N501="",$N501=0)),1,0)</f>
        <v>0</v>
      </c>
      <c r="Z501" s="32" t="n">
        <f aca="false">IF(AND($F501="Decision",OR($J501="—",$J501="")),1,0)</f>
        <v>0</v>
      </c>
      <c r="AA501" s="33" t="n">
        <f aca="false">IF(OR($J501="—",$J501=""),0,IF(COUNTIF(Decisions!$A$5:$A$300,$J501)=0,1,0))</f>
        <v>0</v>
      </c>
      <c r="AB501" s="32" t="n">
        <f aca="false">IF(AND($F501="原始數據",$S501&lt;&gt;"Active"),1,0)</f>
        <v>0</v>
      </c>
      <c r="AC501" s="32" t="n">
        <f aca="false">IF(AND(ISNUMBER($K501),ISNUMBER($L501),ISNUMBER($Q501)),IF(OR($Q501&lt;MIN($K501,$L501),$Q501&gt;MAX($K501,$L501)),1,0),0)</f>
        <v>0</v>
      </c>
      <c r="AD501" s="32" t="n">
        <f aca="false">IF(AND(ISNUMBER($T501),$P501="高"),IF($T501=3,1,0),0)</f>
        <v>0</v>
      </c>
      <c r="AE501" s="32" t="n">
        <f aca="false">IF($S501="不存在",1,0)</f>
        <v>0</v>
      </c>
      <c r="AF501" s="44" t="str">
        <f aca="false">IF(OR($H501="—",$H501=""),"—",MATCH($H501,IDX_SrcID,0))</f>
        <v>—</v>
      </c>
      <c r="AG501" s="32" t="n">
        <f aca="false">IF(AND($P501="高",OR($AD501=1,$X501=1)),1,0)</f>
        <v>0</v>
      </c>
      <c r="AH501" s="32" t="n">
        <f aca="false">IF(AND($P501="高",$AG501=0,OR($F501&lt;&gt;"原始數據",$T501&lt;&gt;1)),1,0)</f>
        <v>0</v>
      </c>
      <c r="AI501" s="44" t="str">
        <f aca="false">IF(AND($P501="高",ISNUMBER($AF501)),INDEX(IDX_SrcDate,$AF501),"—")</f>
        <v>—</v>
      </c>
      <c r="AJ501" s="32" t="n">
        <f aca="false">IF(AND(ISTEXT($AI501),LEN($AI501)=10),IF(ISNUMBER(VALUE(SUBSTITUTE($AI501,"-",""))),VALUE(SUBSTITUTE($AI501,"-","")),0),0)</f>
        <v>0</v>
      </c>
    </row>
    <row r="502" customFormat="false" ht="43.5" hidden="false" customHeight="true" outlineLevel="0" collapsed="false">
      <c r="A502" s="30" t="s">
        <v>5829</v>
      </c>
      <c r="B502" s="239" t="s">
        <v>5607</v>
      </c>
      <c r="C502" s="30" t="s">
        <v>5751</v>
      </c>
      <c r="D502" s="30" t="s">
        <v>5830</v>
      </c>
      <c r="E502" s="20" t="s">
        <v>2176</v>
      </c>
      <c r="F502" s="30" t="s">
        <v>119</v>
      </c>
      <c r="G502" s="239" t="s">
        <v>5287</v>
      </c>
      <c r="H502" s="30" t="s">
        <v>5278</v>
      </c>
      <c r="I502" s="20" t="s">
        <v>5831</v>
      </c>
      <c r="J502" s="30" t="s">
        <v>751</v>
      </c>
      <c r="K502" s="239"/>
      <c r="L502" s="239"/>
      <c r="M502" s="30" t="s">
        <v>5832</v>
      </c>
      <c r="N502" s="20" t="s">
        <v>5833</v>
      </c>
      <c r="O502" s="6" t="s">
        <v>751</v>
      </c>
      <c r="P502" s="239" t="s">
        <v>4530</v>
      </c>
      <c r="Q502" s="184" t="s">
        <v>751</v>
      </c>
      <c r="R502" s="184" t="n">
        <f aca="false">SRC_HAR_002</f>
        <v>15</v>
      </c>
      <c r="S502" s="44" t="str">
        <f aca="false">IF(ISNUMBER($AF502),INDEX(IDX_SrcStat,$AF502),"—")</f>
        <v>Active</v>
      </c>
      <c r="T502" s="44" t="n">
        <f aca="false">IF(ISNUMBER($AF502),INDEX(IDX_SrcGrade,$AF502),"—")</f>
        <v>2</v>
      </c>
      <c r="U502" s="30" t="s">
        <v>751</v>
      </c>
      <c r="V502" s="32" t="n">
        <f aca="false">IF(AND($F502="原始數據",$U502&lt;&gt;"連結 SRC"),1,0)</f>
        <v>0</v>
      </c>
      <c r="W502" s="32" t="n">
        <f aca="false">IF(AND($F502="Analogy",OR($H502="—",$H502="")),1,0)</f>
        <v>0</v>
      </c>
      <c r="X502" s="32" t="n">
        <f aca="false">IF(AND(OR($F502="Analogy",$F502="Assumed"),$G502&lt;&gt;"低",$G502&lt;&gt;"高",NOT(ISNUMBER($K502)),NOT(ISNUMBER($L502)),OR($M502="—",$M502="")),1,0)</f>
        <v>0</v>
      </c>
      <c r="Y502" s="32" t="n">
        <f aca="false">IF(AND(OR($F502="Analogy",$F502="Assumed",$F502="Derived（待改公式）",$F502="Derived（公式）"),OR($N502="—",$N502="",$N502=0)),1,0)</f>
        <v>0</v>
      </c>
      <c r="Z502" s="32" t="n">
        <f aca="false">IF(AND($F502="Decision",OR($J502="—",$J502="")),1,0)</f>
        <v>0</v>
      </c>
      <c r="AA502" s="33" t="n">
        <f aca="false">IF(OR($J502="—",$J502=""),0,IF(COUNTIF(Decisions!$A$5:$A$300,$J502)=0,1,0))</f>
        <v>0</v>
      </c>
      <c r="AB502" s="32" t="n">
        <f aca="false">IF(AND($F502="原始數據",$S502&lt;&gt;"Active"),1,0)</f>
        <v>0</v>
      </c>
      <c r="AC502" s="32" t="n">
        <f aca="false">IF(AND(ISNUMBER($K502),ISNUMBER($L502),ISNUMBER($Q502)),IF(OR($Q502&lt;MIN($K502,$L502),$Q502&gt;MAX($K502,$L502)),1,0),0)</f>
        <v>0</v>
      </c>
      <c r="AD502" s="32" t="n">
        <f aca="false">IF(AND(ISNUMBER($T502),$P502="高"),IF($T502=3,1,0),0)</f>
        <v>0</v>
      </c>
      <c r="AE502" s="32" t="n">
        <f aca="false">IF($S502="不存在",1,0)</f>
        <v>0</v>
      </c>
      <c r="AF502" s="44" t="n">
        <f aca="false">IF(OR($H502="—",$H502=""),"—",MATCH($H502,IDX_SrcID,0))</f>
        <v>589</v>
      </c>
      <c r="AG502" s="32" t="n">
        <f aca="false">IF(AND($P502="高",OR($AD502=1,$X502=1)),1,0)</f>
        <v>0</v>
      </c>
      <c r="AH502" s="32" t="n">
        <f aca="false">IF(AND($P502="高",$AG502=0,OR($F502&lt;&gt;"原始數據",$T502&lt;&gt;1)),1,0)</f>
        <v>0</v>
      </c>
      <c r="AI502" s="44" t="str">
        <f aca="false">IF(AND($P502="高",ISNUMBER($AF502)),INDEX(IDX_SrcDate,$AF502),"—")</f>
        <v>—</v>
      </c>
      <c r="AJ502" s="32" t="n">
        <f aca="false">IF(AND(ISTEXT($AI502),LEN($AI502)=10),IF(ISNUMBER(VALUE(SUBSTITUTE($AI502,"-",""))),VALUE(SUBSTITUTE($AI502,"-","")),0),0)</f>
        <v>0</v>
      </c>
    </row>
    <row r="503" customFormat="false" ht="57.75" hidden="false" customHeight="true" outlineLevel="0" collapsed="false">
      <c r="A503" s="30" t="s">
        <v>5834</v>
      </c>
      <c r="B503" s="239" t="s">
        <v>5607</v>
      </c>
      <c r="C503" s="30" t="s">
        <v>5751</v>
      </c>
      <c r="D503" s="30" t="s">
        <v>5835</v>
      </c>
      <c r="E503" s="6" t="s">
        <v>2192</v>
      </c>
      <c r="F503" s="30" t="s">
        <v>119</v>
      </c>
      <c r="G503" s="239" t="s">
        <v>5287</v>
      </c>
      <c r="H503" s="30" t="s">
        <v>5836</v>
      </c>
      <c r="I503" s="20" t="s">
        <v>5837</v>
      </c>
      <c r="J503" s="30" t="s">
        <v>751</v>
      </c>
      <c r="K503" s="239"/>
      <c r="L503" s="239"/>
      <c r="M503" s="239" t="s">
        <v>5838</v>
      </c>
      <c r="N503" s="20" t="s">
        <v>5839</v>
      </c>
      <c r="O503" s="6" t="s">
        <v>751</v>
      </c>
      <c r="P503" s="239" t="s">
        <v>4586</v>
      </c>
      <c r="Q503" s="184" t="s">
        <v>751</v>
      </c>
      <c r="R503" s="184" t="n">
        <f aca="false">SRC_CAP_020</f>
        <v>11.3</v>
      </c>
      <c r="S503" s="44" t="str">
        <f aca="false">IF(ISNUMBER($AF503),INDEX(IDX_SrcStat,$AF503),"—")</f>
        <v>Active</v>
      </c>
      <c r="T503" s="44" t="n">
        <f aca="false">IF(ISNUMBER($AF503),INDEX(IDX_SrcGrade,$AF503),"—")</f>
        <v>2</v>
      </c>
      <c r="U503" s="30" t="s">
        <v>751</v>
      </c>
      <c r="V503" s="32" t="n">
        <f aca="false">IF(AND($F503="原始數據",$U503&lt;&gt;"連結 SRC"),1,0)</f>
        <v>0</v>
      </c>
      <c r="W503" s="32" t="n">
        <f aca="false">IF(AND($F503="Analogy",OR($H503="—",$H503="")),1,0)</f>
        <v>0</v>
      </c>
      <c r="X503" s="32" t="n">
        <f aca="false">IF(AND(OR($F503="Analogy",$F503="Assumed"),$G503&lt;&gt;"低",$G503&lt;&gt;"高",NOT(ISNUMBER($K503)),NOT(ISNUMBER($L503)),OR($M503="—",$M503="")),1,0)</f>
        <v>0</v>
      </c>
      <c r="Y503" s="32" t="n">
        <f aca="false">IF(AND(OR($F503="Analogy",$F503="Assumed",$F503="Derived（待改公式）",$F503="Derived（公式）"),OR($N503="—",$N503="",$N503=0)),1,0)</f>
        <v>0</v>
      </c>
      <c r="Z503" s="32" t="n">
        <f aca="false">IF(AND($F503="Decision",OR($J503="—",$J503="")),1,0)</f>
        <v>0</v>
      </c>
      <c r="AA503" s="33" t="n">
        <f aca="false">IF(OR($J503="—",$J503=""),0,IF(COUNTIF(Decisions!$A$5:$A$300,$J503)=0,1,0))</f>
        <v>0</v>
      </c>
      <c r="AB503" s="32" t="n">
        <f aca="false">IF(AND($F503="原始數據",$S503&lt;&gt;"Active"),1,0)</f>
        <v>0</v>
      </c>
      <c r="AC503" s="32" t="n">
        <f aca="false">IF(AND(ISNUMBER($K503),ISNUMBER($L503),ISNUMBER($Q503)),IF(OR($Q503&lt;MIN($K503,$L503),$Q503&gt;MAX($K503,$L503)),1,0),0)</f>
        <v>0</v>
      </c>
      <c r="AD503" s="32" t="n">
        <f aca="false">IF(AND(ISNUMBER($T503),$P503="高"),IF($T503=3,1,0),0)</f>
        <v>0</v>
      </c>
      <c r="AE503" s="32" t="n">
        <f aca="false">IF($S503="不存在",1,0)</f>
        <v>0</v>
      </c>
      <c r="AF503" s="44" t="n">
        <f aca="false">IF(OR($H503="—",$H503=""),"—",MATCH($H503,IDX_SrcID,0))</f>
        <v>536</v>
      </c>
      <c r="AG503" s="32" t="n">
        <f aca="false">IF(AND($P503="高",OR($AD503=1,$X503=1)),1,0)</f>
        <v>0</v>
      </c>
      <c r="AH503" s="32" t="n">
        <f aca="false">IF(AND($P503="高",$AG503=0,OR($F503&lt;&gt;"原始數據",$T503&lt;&gt;1)),1,0)</f>
        <v>0</v>
      </c>
      <c r="AI503" s="44" t="str">
        <f aca="false">IF(AND($P503="高",ISNUMBER($AF503)),INDEX(IDX_SrcDate,$AF503),"—")</f>
        <v>—</v>
      </c>
      <c r="AJ503" s="32" t="n">
        <f aca="false">IF(AND(ISTEXT($AI503),LEN($AI503)=10),IF(ISNUMBER(VALUE(SUBSTITUTE($AI503,"-",""))),VALUE(SUBSTITUTE($AI503,"-","")),0),0)</f>
        <v>0</v>
      </c>
    </row>
    <row r="504" customFormat="false" ht="15" hidden="false" customHeight="true" outlineLevel="0" collapsed="false">
      <c r="A504" s="30" t="s">
        <v>5840</v>
      </c>
      <c r="B504" s="239" t="s">
        <v>5607</v>
      </c>
      <c r="C504" s="30" t="s">
        <v>5751</v>
      </c>
      <c r="D504" s="30" t="s">
        <v>5841</v>
      </c>
      <c r="E504" s="6" t="s">
        <v>2194</v>
      </c>
      <c r="F504" s="30" t="s">
        <v>119</v>
      </c>
      <c r="G504" s="239" t="s">
        <v>1308</v>
      </c>
      <c r="H504" s="30" t="s">
        <v>5836</v>
      </c>
      <c r="I504" s="20" t="s">
        <v>4550</v>
      </c>
      <c r="J504" s="30" t="s">
        <v>751</v>
      </c>
      <c r="K504" s="239"/>
      <c r="L504" s="239"/>
      <c r="M504" s="30" t="s">
        <v>751</v>
      </c>
      <c r="N504" s="20" t="s">
        <v>5842</v>
      </c>
      <c r="O504" s="6" t="s">
        <v>751</v>
      </c>
      <c r="P504" s="239" t="s">
        <v>4530</v>
      </c>
      <c r="Q504" s="184" t="s">
        <v>751</v>
      </c>
      <c r="R504" s="184" t="n">
        <f aca="false">SRC_CAP_020</f>
        <v>11.3</v>
      </c>
      <c r="S504" s="44" t="str">
        <f aca="false">IF(ISNUMBER($AF504),INDEX(IDX_SrcStat,$AF504),"—")</f>
        <v>Active</v>
      </c>
      <c r="T504" s="44" t="n">
        <f aca="false">IF(ISNUMBER($AF504),INDEX(IDX_SrcGrade,$AF504),"—")</f>
        <v>2</v>
      </c>
      <c r="U504" s="30" t="s">
        <v>751</v>
      </c>
      <c r="V504" s="32" t="n">
        <f aca="false">IF(AND($F504="原始數據",$U504&lt;&gt;"連結 SRC"),1,0)</f>
        <v>0</v>
      </c>
      <c r="W504" s="32" t="n">
        <f aca="false">IF(AND($F504="Analogy",OR($H504="—",$H504="")),1,0)</f>
        <v>0</v>
      </c>
      <c r="X504" s="32" t="n">
        <f aca="false">IF(AND(OR($F504="Analogy",$F504="Assumed"),$G504&lt;&gt;"低",$G504&lt;&gt;"高",NOT(ISNUMBER($K504)),NOT(ISNUMBER($L504)),OR($M504="—",$M504="")),1,0)</f>
        <v>0</v>
      </c>
      <c r="Y504" s="32" t="n">
        <f aca="false">IF(AND(OR($F504="Analogy",$F504="Assumed",$F504="Derived（待改公式）",$F504="Derived（公式）"),OR($N504="—",$N504="",$N504=0)),1,0)</f>
        <v>0</v>
      </c>
      <c r="Z504" s="32" t="n">
        <f aca="false">IF(AND($F504="Decision",OR($J504="—",$J504="")),1,0)</f>
        <v>0</v>
      </c>
      <c r="AA504" s="33" t="n">
        <f aca="false">IF(OR($J504="—",$J504=""),0,IF(COUNTIF(Decisions!$A$5:$A$300,$J504)=0,1,0))</f>
        <v>0</v>
      </c>
      <c r="AB504" s="32" t="n">
        <f aca="false">IF(AND($F504="原始數據",$S504&lt;&gt;"Active"),1,0)</f>
        <v>0</v>
      </c>
      <c r="AC504" s="32" t="n">
        <f aca="false">IF(AND(ISNUMBER($K504),ISNUMBER($L504),ISNUMBER($Q504)),IF(OR($Q504&lt;MIN($K504,$L504),$Q504&gt;MAX($K504,$L504)),1,0),0)</f>
        <v>0</v>
      </c>
      <c r="AD504" s="32" t="n">
        <f aca="false">IF(AND(ISNUMBER($T504),$P504="高"),IF($T504=3,1,0),0)</f>
        <v>0</v>
      </c>
      <c r="AE504" s="32" t="n">
        <f aca="false">IF($S504="不存在",1,0)</f>
        <v>0</v>
      </c>
      <c r="AF504" s="44" t="n">
        <f aca="false">IF(OR($H504="—",$H504=""),"—",MATCH($H504,IDX_SrcID,0))</f>
        <v>536</v>
      </c>
      <c r="AG504" s="32" t="n">
        <f aca="false">IF(AND($P504="高",OR($AD504=1,$X504=1)),1,0)</f>
        <v>0</v>
      </c>
      <c r="AH504" s="32" t="n">
        <f aca="false">IF(AND($P504="高",$AG504=0,OR($F504&lt;&gt;"原始數據",$T504&lt;&gt;1)),1,0)</f>
        <v>0</v>
      </c>
      <c r="AI504" s="44" t="str">
        <f aca="false">IF(AND($P504="高",ISNUMBER($AF504)),INDEX(IDX_SrcDate,$AF504),"—")</f>
        <v>—</v>
      </c>
      <c r="AJ504" s="32" t="n">
        <f aca="false">IF(AND(ISTEXT($AI504),LEN($AI504)=10),IF(ISNUMBER(VALUE(SUBSTITUTE($AI504,"-",""))),VALUE(SUBSTITUTE($AI504,"-","")),0),0)</f>
        <v>0</v>
      </c>
    </row>
    <row r="505" customFormat="false" ht="43.5" hidden="false" customHeight="true" outlineLevel="0" collapsed="false">
      <c r="A505" s="30" t="s">
        <v>5843</v>
      </c>
      <c r="B505" s="239" t="s">
        <v>5607</v>
      </c>
      <c r="C505" s="30" t="s">
        <v>5751</v>
      </c>
      <c r="D505" s="30" t="s">
        <v>5844</v>
      </c>
      <c r="E505" s="6" t="s">
        <v>2195</v>
      </c>
      <c r="F505" s="30" t="s">
        <v>119</v>
      </c>
      <c r="G505" s="239" t="s">
        <v>1309</v>
      </c>
      <c r="H505" s="30" t="s">
        <v>5845</v>
      </c>
      <c r="I505" s="20" t="s">
        <v>5846</v>
      </c>
      <c r="J505" s="30" t="s">
        <v>751</v>
      </c>
      <c r="K505" s="239"/>
      <c r="L505" s="239"/>
      <c r="M505" s="30" t="s">
        <v>751</v>
      </c>
      <c r="N505" s="20" t="s">
        <v>5847</v>
      </c>
      <c r="O505" s="6" t="s">
        <v>751</v>
      </c>
      <c r="P505" s="239" t="s">
        <v>4530</v>
      </c>
      <c r="Q505" s="184" t="s">
        <v>751</v>
      </c>
      <c r="R505" s="184" t="n">
        <f aca="false">SRC_CAP_021</f>
        <v>17.4</v>
      </c>
      <c r="S505" s="44" t="str">
        <f aca="false">IF(ISNUMBER($AF505),INDEX(IDX_SrcStat,$AF505),"—")</f>
        <v>Active</v>
      </c>
      <c r="T505" s="44" t="n">
        <f aca="false">IF(ISNUMBER($AF505),INDEX(IDX_SrcGrade,$AF505),"—")</f>
        <v>2</v>
      </c>
      <c r="U505" s="30" t="s">
        <v>751</v>
      </c>
      <c r="V505" s="32" t="n">
        <f aca="false">IF(AND($F505="原始數據",$U505&lt;&gt;"連結 SRC"),1,0)</f>
        <v>0</v>
      </c>
      <c r="W505" s="32" t="n">
        <f aca="false">IF(AND($F505="Analogy",OR($H505="—",$H505="")),1,0)</f>
        <v>0</v>
      </c>
      <c r="X505" s="32" t="n">
        <f aca="false">IF(AND(OR($F505="Analogy",$F505="Assumed"),$G505&lt;&gt;"低",$G505&lt;&gt;"高",NOT(ISNUMBER($K505)),NOT(ISNUMBER($L505)),OR($M505="—",$M505="")),1,0)</f>
        <v>0</v>
      </c>
      <c r="Y505" s="32" t="n">
        <f aca="false">IF(AND(OR($F505="Analogy",$F505="Assumed",$F505="Derived（待改公式）",$F505="Derived（公式）"),OR($N505="—",$N505="",$N505=0)),1,0)</f>
        <v>0</v>
      </c>
      <c r="Z505" s="32" t="n">
        <f aca="false">IF(AND($F505="Decision",OR($J505="—",$J505="")),1,0)</f>
        <v>0</v>
      </c>
      <c r="AA505" s="33" t="n">
        <f aca="false">IF(OR($J505="—",$J505=""),0,IF(COUNTIF(Decisions!$A$5:$A$300,$J505)=0,1,0))</f>
        <v>0</v>
      </c>
      <c r="AB505" s="32" t="n">
        <f aca="false">IF(AND($F505="原始數據",$S505&lt;&gt;"Active"),1,0)</f>
        <v>0</v>
      </c>
      <c r="AC505" s="32" t="n">
        <f aca="false">IF(AND(ISNUMBER($K505),ISNUMBER($L505),ISNUMBER($Q505)),IF(OR($Q505&lt;MIN($K505,$L505),$Q505&gt;MAX($K505,$L505)),1,0),0)</f>
        <v>0</v>
      </c>
      <c r="AD505" s="32" t="n">
        <f aca="false">IF(AND(ISNUMBER($T505),$P505="高"),IF($T505=3,1,0),0)</f>
        <v>0</v>
      </c>
      <c r="AE505" s="32" t="n">
        <f aca="false">IF($S505="不存在",1,0)</f>
        <v>0</v>
      </c>
      <c r="AF505" s="44" t="n">
        <f aca="false">IF(OR($H505="—",$H505=""),"—",MATCH($H505,IDX_SrcID,0))</f>
        <v>537</v>
      </c>
      <c r="AG505" s="32" t="n">
        <f aca="false">IF(AND($P505="高",OR($AD505=1,$X505=1)),1,0)</f>
        <v>0</v>
      </c>
      <c r="AH505" s="32" t="n">
        <f aca="false">IF(AND($P505="高",$AG505=0,OR($F505&lt;&gt;"原始數據",$T505&lt;&gt;1)),1,0)</f>
        <v>0</v>
      </c>
      <c r="AI505" s="44" t="str">
        <f aca="false">IF(AND($P505="高",ISNUMBER($AF505)),INDEX(IDX_SrcDate,$AF505),"—")</f>
        <v>—</v>
      </c>
      <c r="AJ505" s="32" t="n">
        <f aca="false">IF(AND(ISTEXT($AI505),LEN($AI505)=10),IF(ISNUMBER(VALUE(SUBSTITUTE($AI505,"-",""))),VALUE(SUBSTITUTE($AI505,"-","")),0),0)</f>
        <v>0</v>
      </c>
    </row>
    <row r="506" customFormat="false" ht="43.5" hidden="false" customHeight="true" outlineLevel="0" collapsed="false">
      <c r="A506" s="30" t="s">
        <v>5848</v>
      </c>
      <c r="B506" s="239" t="s">
        <v>5607</v>
      </c>
      <c r="C506" s="30" t="s">
        <v>5751</v>
      </c>
      <c r="D506" s="30" t="s">
        <v>5849</v>
      </c>
      <c r="E506" s="20" t="s">
        <v>5850</v>
      </c>
      <c r="F506" s="30" t="s">
        <v>119</v>
      </c>
      <c r="G506" s="239" t="s">
        <v>97</v>
      </c>
      <c r="H506" s="30" t="s">
        <v>5851</v>
      </c>
      <c r="I506" s="20" t="s">
        <v>5852</v>
      </c>
      <c r="J506" s="30" t="s">
        <v>751</v>
      </c>
      <c r="K506" s="192" t="n">
        <f aca="false">Har_In!D51</f>
        <v>0.65</v>
      </c>
      <c r="L506" s="192" t="n">
        <f aca="false">Har_In!E51</f>
        <v>1</v>
      </c>
      <c r="M506" s="30" t="s">
        <v>751</v>
      </c>
      <c r="N506" s="6" t="s">
        <v>5853</v>
      </c>
      <c r="O506" s="6" t="s">
        <v>5854</v>
      </c>
      <c r="P506" s="239" t="s">
        <v>4586</v>
      </c>
      <c r="Q506" s="192" t="n">
        <f aca="false">Har_In!C51</f>
        <v>0.75</v>
      </c>
      <c r="R506" s="184" t="n">
        <f aca="false">SRC_CAP_012</f>
        <v>3.5667</v>
      </c>
      <c r="S506" s="44" t="str">
        <f aca="false">IF(ISNUMBER($AF506),INDEX(IDX_SrcStat,$AF506),"—")</f>
        <v>Active</v>
      </c>
      <c r="T506" s="44" t="n">
        <f aca="false">IF(ISNUMBER($AF506),INDEX(IDX_SrcGrade,$AF506),"—")</f>
        <v>2</v>
      </c>
      <c r="U506" s="44" t="s">
        <v>4531</v>
      </c>
      <c r="V506" s="32" t="n">
        <f aca="false">IF(AND($F506="原始數據",$U506&lt;&gt;"連結 SRC"),1,0)</f>
        <v>0</v>
      </c>
      <c r="W506" s="32" t="n">
        <f aca="false">IF(AND($F506="Analogy",OR($H506="—",$H506="")),1,0)</f>
        <v>0</v>
      </c>
      <c r="X506" s="32" t="n">
        <f aca="false">IF(AND(OR($F506="Analogy",$F506="Assumed"),$G506&lt;&gt;"低",$G506&lt;&gt;"高",NOT(ISNUMBER($K506)),NOT(ISNUMBER($L506)),OR($M506="—",$M506="")),1,0)</f>
        <v>0</v>
      </c>
      <c r="Y506" s="32" t="n">
        <f aca="false">IF(AND(OR($F506="Analogy",$F506="Assumed",$F506="Derived（待改公式）",$F506="Derived（公式）"),OR($N506="—",$N506="",$N506=0)),1,0)</f>
        <v>0</v>
      </c>
      <c r="Z506" s="32" t="n">
        <f aca="false">IF(AND($F506="Decision",OR($J506="—",$J506="")),1,0)</f>
        <v>0</v>
      </c>
      <c r="AA506" s="33" t="n">
        <f aca="false">IF(OR($J506="—",$J506=""),0,IF(COUNTIF(Decisions!$A$5:$A$300,$J506)=0,1,0))</f>
        <v>0</v>
      </c>
      <c r="AB506" s="32" t="n">
        <f aca="false">IF(AND($F506="原始數據",$S506&lt;&gt;"Active"),1,0)</f>
        <v>0</v>
      </c>
      <c r="AC506" s="32" t="n">
        <f aca="false">IF(AND(ISNUMBER($K506),ISNUMBER($L506),ISNUMBER($Q506)),IF(OR($Q506&lt;MIN($K506,$L506),$Q506&gt;MAX($K506,$L506)),1,0),0)</f>
        <v>0</v>
      </c>
      <c r="AD506" s="32" t="n">
        <f aca="false">IF(AND(ISNUMBER($T506),$P506="高"),IF($T506=3,1,0),0)</f>
        <v>0</v>
      </c>
      <c r="AE506" s="32" t="n">
        <f aca="false">IF($S506="不存在",1,0)</f>
        <v>0</v>
      </c>
      <c r="AF506" s="44" t="n">
        <f aca="false">IF(OR($H506="—",$H506=""),"—",MATCH($H506,IDX_SrcID,0))</f>
        <v>528</v>
      </c>
      <c r="AG506" s="32" t="n">
        <f aca="false">IF(AND($P506="高",OR($AD506=1,$X506=1)),1,0)</f>
        <v>0</v>
      </c>
      <c r="AH506" s="32" t="n">
        <f aca="false">IF(AND($P506="高",$AG506=0,OR($F506&lt;&gt;"原始數據",$T506&lt;&gt;1)),1,0)</f>
        <v>0</v>
      </c>
      <c r="AI506" s="44" t="str">
        <f aca="false">IF(AND($P506="高",ISNUMBER($AF506)),INDEX(IDX_SrcDate,$AF506),"—")</f>
        <v>—</v>
      </c>
      <c r="AJ506" s="32" t="n">
        <f aca="false">IF(AND(ISTEXT($AI506),LEN($AI506)=10),IF(ISNUMBER(VALUE(SUBSTITUTE($AI506,"-",""))),VALUE(SUBSTITUTE($AI506,"-","")),0),0)</f>
        <v>0</v>
      </c>
    </row>
    <row r="507" customFormat="false" ht="43.5" hidden="false" customHeight="true" outlineLevel="0" collapsed="false">
      <c r="A507" s="30" t="s">
        <v>5855</v>
      </c>
      <c r="B507" s="239" t="s">
        <v>5607</v>
      </c>
      <c r="C507" s="30" t="s">
        <v>5751</v>
      </c>
      <c r="D507" s="30" t="s">
        <v>5856</v>
      </c>
      <c r="E507" s="20" t="s">
        <v>5850</v>
      </c>
      <c r="F507" s="30" t="s">
        <v>119</v>
      </c>
      <c r="G507" s="239" t="s">
        <v>5614</v>
      </c>
      <c r="H507" s="30" t="s">
        <v>5851</v>
      </c>
      <c r="I507" s="20" t="s">
        <v>5852</v>
      </c>
      <c r="J507" s="30" t="s">
        <v>751</v>
      </c>
      <c r="K507" s="239"/>
      <c r="L507" s="239"/>
      <c r="M507" s="30" t="s">
        <v>5857</v>
      </c>
      <c r="N507" s="6" t="s">
        <v>5858</v>
      </c>
      <c r="O507" s="6" t="s">
        <v>751</v>
      </c>
      <c r="P507" s="239" t="s">
        <v>4530</v>
      </c>
      <c r="Q507" s="184" t="s">
        <v>751</v>
      </c>
      <c r="R507" s="184" t="n">
        <f aca="false">SRC_CAP_012</f>
        <v>3.5667</v>
      </c>
      <c r="S507" s="44" t="str">
        <f aca="false">IF(ISNUMBER($AF507),INDEX(IDX_SrcStat,$AF507),"—")</f>
        <v>Active</v>
      </c>
      <c r="T507" s="44" t="n">
        <f aca="false">IF(ISNUMBER($AF507),INDEX(IDX_SrcGrade,$AF507),"—")</f>
        <v>2</v>
      </c>
      <c r="U507" s="30" t="s">
        <v>751</v>
      </c>
      <c r="V507" s="32" t="n">
        <f aca="false">IF(AND($F507="原始數據",$U507&lt;&gt;"連結 SRC"),1,0)</f>
        <v>0</v>
      </c>
      <c r="W507" s="32" t="n">
        <f aca="false">IF(AND($F507="Analogy",OR($H507="—",$H507="")),1,0)</f>
        <v>0</v>
      </c>
      <c r="X507" s="32" t="n">
        <f aca="false">IF(AND(OR($F507="Analogy",$F507="Assumed"),$G507&lt;&gt;"低",$G507&lt;&gt;"高",NOT(ISNUMBER($K507)),NOT(ISNUMBER($L507)),OR($M507="—",$M507="")),1,0)</f>
        <v>0</v>
      </c>
      <c r="Y507" s="32" t="n">
        <f aca="false">IF(AND(OR($F507="Analogy",$F507="Assumed",$F507="Derived（待改公式）",$F507="Derived（公式）"),OR($N507="—",$N507="",$N507=0)),1,0)</f>
        <v>0</v>
      </c>
      <c r="Z507" s="32" t="n">
        <f aca="false">IF(AND($F507="Decision",OR($J507="—",$J507="")),1,0)</f>
        <v>0</v>
      </c>
      <c r="AA507" s="33" t="n">
        <f aca="false">IF(OR($J507="—",$J507=""),0,IF(COUNTIF(Decisions!$A$5:$A$300,$J507)=0,1,0))</f>
        <v>0</v>
      </c>
      <c r="AB507" s="32" t="n">
        <f aca="false">IF(AND($F507="原始數據",$S507&lt;&gt;"Active"),1,0)</f>
        <v>0</v>
      </c>
      <c r="AC507" s="32" t="n">
        <f aca="false">IF(AND(ISNUMBER($K507),ISNUMBER($L507),ISNUMBER($Q507)),IF(OR($Q507&lt;MIN($K507,$L507),$Q507&gt;MAX($K507,$L507)),1,0),0)</f>
        <v>0</v>
      </c>
      <c r="AD507" s="32" t="n">
        <f aca="false">IF(AND(ISNUMBER($T507),$P507="高"),IF($T507=3,1,0),0)</f>
        <v>0</v>
      </c>
      <c r="AE507" s="32" t="n">
        <f aca="false">IF($S507="不存在",1,0)</f>
        <v>0</v>
      </c>
      <c r="AF507" s="44" t="n">
        <f aca="false">IF(OR($H507="—",$H507=""),"—",MATCH($H507,IDX_SrcID,0))</f>
        <v>528</v>
      </c>
      <c r="AG507" s="32" t="n">
        <f aca="false">IF(AND($P507="高",OR($AD507=1,$X507=1)),1,0)</f>
        <v>0</v>
      </c>
      <c r="AH507" s="32" t="n">
        <f aca="false">IF(AND($P507="高",$AG507=0,OR($F507&lt;&gt;"原始數據",$T507&lt;&gt;1)),1,0)</f>
        <v>0</v>
      </c>
      <c r="AI507" s="44" t="str">
        <f aca="false">IF(AND($P507="高",ISNUMBER($AF507)),INDEX(IDX_SrcDate,$AF507),"—")</f>
        <v>—</v>
      </c>
      <c r="AJ507" s="32" t="n">
        <f aca="false">IF(AND(ISTEXT($AI507),LEN($AI507)=10),IF(ISNUMBER(VALUE(SUBSTITUTE($AI507,"-",""))),VALUE(SUBSTITUTE($AI507,"-","")),0),0)</f>
        <v>0</v>
      </c>
    </row>
    <row r="508" customFormat="false" ht="29.25" hidden="false" customHeight="true" outlineLevel="0" collapsed="false">
      <c r="A508" s="30" t="s">
        <v>5859</v>
      </c>
      <c r="B508" s="239" t="s">
        <v>5607</v>
      </c>
      <c r="C508" s="30" t="s">
        <v>5751</v>
      </c>
      <c r="D508" s="30" t="s">
        <v>5860</v>
      </c>
      <c r="E508" s="20" t="s">
        <v>2200</v>
      </c>
      <c r="F508" s="30" t="s">
        <v>114</v>
      </c>
      <c r="G508" s="239" t="s">
        <v>5287</v>
      </c>
      <c r="H508" s="30" t="s">
        <v>751</v>
      </c>
      <c r="I508" s="6" t="s">
        <v>751</v>
      </c>
      <c r="J508" s="30" t="s">
        <v>751</v>
      </c>
      <c r="K508" s="239"/>
      <c r="L508" s="239"/>
      <c r="M508" s="239" t="s">
        <v>5861</v>
      </c>
      <c r="N508" s="6" t="s">
        <v>5862</v>
      </c>
      <c r="O508" s="6" t="s">
        <v>751</v>
      </c>
      <c r="P508" s="239" t="s">
        <v>4586</v>
      </c>
      <c r="Q508" s="184" t="s">
        <v>751</v>
      </c>
      <c r="R508" s="30" t="s">
        <v>751</v>
      </c>
      <c r="S508" s="44" t="str">
        <f aca="false">IF(ISNUMBER($AF508),INDEX(IDX_SrcStat,$AF508),"—")</f>
        <v>—</v>
      </c>
      <c r="T508" s="44" t="str">
        <f aca="false">IF(ISNUMBER($AF508),INDEX(IDX_SrcGrade,$AF508),"—")</f>
        <v>—</v>
      </c>
      <c r="U508" s="30" t="s">
        <v>751</v>
      </c>
      <c r="V508" s="32" t="n">
        <f aca="false">IF(AND($F508="原始數據",$U508&lt;&gt;"連結 SRC"),1,0)</f>
        <v>0</v>
      </c>
      <c r="W508" s="32" t="n">
        <f aca="false">IF(AND($F508="Analogy",OR($H508="—",$H508="")),1,0)</f>
        <v>0</v>
      </c>
      <c r="X508" s="32" t="n">
        <f aca="false">IF(AND(OR($F508="Analogy",$F508="Assumed"),$G508&lt;&gt;"低",$G508&lt;&gt;"高",NOT(ISNUMBER($K508)),NOT(ISNUMBER($L508)),OR($M508="—",$M508="")),1,0)</f>
        <v>0</v>
      </c>
      <c r="Y508" s="32" t="n">
        <f aca="false">IF(AND(OR($F508="Analogy",$F508="Assumed",$F508="Derived（待改公式）",$F508="Derived（公式）"),OR($N508="—",$N508="",$N508=0)),1,0)</f>
        <v>0</v>
      </c>
      <c r="Z508" s="32" t="n">
        <f aca="false">IF(AND($F508="Decision",OR($J508="—",$J508="")),1,0)</f>
        <v>0</v>
      </c>
      <c r="AA508" s="33" t="n">
        <f aca="false">IF(OR($J508="—",$J508=""),0,IF(COUNTIF(Decisions!$A$5:$A$300,$J508)=0,1,0))</f>
        <v>0</v>
      </c>
      <c r="AB508" s="32" t="n">
        <f aca="false">IF(AND($F508="原始數據",$S508&lt;&gt;"Active"),1,0)</f>
        <v>0</v>
      </c>
      <c r="AC508" s="32" t="n">
        <f aca="false">IF(AND(ISNUMBER($K508),ISNUMBER($L508),ISNUMBER($Q508)),IF(OR($Q508&lt;MIN($K508,$L508),$Q508&gt;MAX($K508,$L508)),1,0),0)</f>
        <v>0</v>
      </c>
      <c r="AD508" s="32" t="n">
        <f aca="false">IF(AND(ISNUMBER($T508),$P508="高"),IF($T508=3,1,0),0)</f>
        <v>0</v>
      </c>
      <c r="AE508" s="32" t="n">
        <f aca="false">IF($S508="不存在",1,0)</f>
        <v>0</v>
      </c>
      <c r="AF508" s="44" t="str">
        <f aca="false">IF(OR($H508="—",$H508=""),"—",MATCH($H508,IDX_SrcID,0))</f>
        <v>—</v>
      </c>
      <c r="AG508" s="32" t="n">
        <f aca="false">IF(AND($P508="高",OR($AD508=1,$X508=1)),1,0)</f>
        <v>0</v>
      </c>
      <c r="AH508" s="32" t="n">
        <f aca="false">IF(AND($P508="高",$AG508=0,OR($F508&lt;&gt;"原始數據",$T508&lt;&gt;1)),1,0)</f>
        <v>0</v>
      </c>
      <c r="AI508" s="44" t="str">
        <f aca="false">IF(AND($P508="高",ISNUMBER($AF508)),INDEX(IDX_SrcDate,$AF508),"—")</f>
        <v>—</v>
      </c>
      <c r="AJ508" s="32" t="n">
        <f aca="false">IF(AND(ISTEXT($AI508),LEN($AI508)=10),IF(ISNUMBER(VALUE(SUBSTITUTE($AI508,"-",""))),VALUE(SUBSTITUTE($AI508,"-","")),0),0)</f>
        <v>0</v>
      </c>
    </row>
    <row r="509" customFormat="false" ht="29.25" hidden="false" customHeight="true" outlineLevel="0" collapsed="false">
      <c r="A509" s="30" t="s">
        <v>5863</v>
      </c>
      <c r="B509" s="239" t="s">
        <v>5607</v>
      </c>
      <c r="C509" s="30" t="s">
        <v>5751</v>
      </c>
      <c r="D509" s="30" t="s">
        <v>5864</v>
      </c>
      <c r="E509" s="20" t="s">
        <v>2164</v>
      </c>
      <c r="F509" s="239" t="s">
        <v>5398</v>
      </c>
      <c r="G509" s="239" t="s">
        <v>5287</v>
      </c>
      <c r="H509" s="30" t="s">
        <v>751</v>
      </c>
      <c r="I509" s="6" t="s">
        <v>751</v>
      </c>
      <c r="J509" s="30" t="s">
        <v>751</v>
      </c>
      <c r="K509" s="239"/>
      <c r="L509" s="239"/>
      <c r="M509" s="239" t="s">
        <v>4352</v>
      </c>
      <c r="N509" s="6" t="s">
        <v>5865</v>
      </c>
      <c r="O509" s="6" t="s">
        <v>751</v>
      </c>
      <c r="P509" s="239" t="s">
        <v>4530</v>
      </c>
      <c r="Q509" s="184" t="s">
        <v>751</v>
      </c>
      <c r="R509" s="30" t="s">
        <v>751</v>
      </c>
      <c r="S509" s="44" t="str">
        <f aca="false">IF(ISNUMBER($AF509),INDEX(IDX_SrcStat,$AF509),"—")</f>
        <v>—</v>
      </c>
      <c r="T509" s="44" t="str">
        <f aca="false">IF(ISNUMBER($AF509),INDEX(IDX_SrcGrade,$AF509),"—")</f>
        <v>—</v>
      </c>
      <c r="U509" s="30" t="s">
        <v>751</v>
      </c>
      <c r="V509" s="32" t="n">
        <f aca="false">IF(AND($F509="原始數據",$U509&lt;&gt;"連結 SRC"),1,0)</f>
        <v>0</v>
      </c>
      <c r="W509" s="32" t="n">
        <f aca="false">IF(AND($F509="Analogy",OR($H509="—",$H509="")),1,0)</f>
        <v>0</v>
      </c>
      <c r="X509" s="32" t="n">
        <f aca="false">IF(AND(OR($F509="Analogy",$F509="Assumed"),$G509&lt;&gt;"低",$G509&lt;&gt;"高",NOT(ISNUMBER($K509)),NOT(ISNUMBER($L509)),OR($M509="—",$M509="")),1,0)</f>
        <v>0</v>
      </c>
      <c r="Y509" s="32" t="n">
        <f aca="false">IF(AND(OR($F509="Analogy",$F509="Assumed",$F509="Derived（待改公式）",$F509="Derived（公式）"),OR($N509="—",$N509="",$N509=0)),1,0)</f>
        <v>0</v>
      </c>
      <c r="Z509" s="32" t="n">
        <f aca="false">IF(AND($F509="Decision",OR($J509="—",$J509="")),1,0)</f>
        <v>0</v>
      </c>
      <c r="AA509" s="33" t="n">
        <f aca="false">IF(OR($J509="—",$J509=""),0,IF(COUNTIF(Decisions!$A$5:$A$300,$J509)=0,1,0))</f>
        <v>0</v>
      </c>
      <c r="AB509" s="32" t="n">
        <f aca="false">IF(AND($F509="原始數據",$S509&lt;&gt;"Active"),1,0)</f>
        <v>0</v>
      </c>
      <c r="AC509" s="32" t="n">
        <f aca="false">IF(AND(ISNUMBER($K509),ISNUMBER($L509),ISNUMBER($Q509)),IF(OR($Q509&lt;MIN($K509,$L509),$Q509&gt;MAX($K509,$L509)),1,0),0)</f>
        <v>0</v>
      </c>
      <c r="AD509" s="32" t="n">
        <f aca="false">IF(AND(ISNUMBER($T509),$P509="高"),IF($T509=3,1,0),0)</f>
        <v>0</v>
      </c>
      <c r="AE509" s="32" t="n">
        <f aca="false">IF($S509="不存在",1,0)</f>
        <v>0</v>
      </c>
      <c r="AF509" s="44" t="str">
        <f aca="false">IF(OR($H509="—",$H509=""),"—",MATCH($H509,IDX_SrcID,0))</f>
        <v>—</v>
      </c>
      <c r="AG509" s="32" t="n">
        <f aca="false">IF(AND($P509="高",OR($AD509=1,$X509=1)),1,0)</f>
        <v>0</v>
      </c>
      <c r="AH509" s="32" t="n">
        <f aca="false">IF(AND($P509="高",$AG509=0,OR($F509&lt;&gt;"原始數據",$T509&lt;&gt;1)),1,0)</f>
        <v>0</v>
      </c>
      <c r="AI509" s="44" t="str">
        <f aca="false">IF(AND($P509="高",ISNUMBER($AF509)),INDEX(IDX_SrcDate,$AF509),"—")</f>
        <v>—</v>
      </c>
      <c r="AJ509" s="32" t="n">
        <f aca="false">IF(AND(ISTEXT($AI509),LEN($AI509)=10),IF(ISNUMBER(VALUE(SUBSTITUTE($AI509,"-",""))),VALUE(SUBSTITUTE($AI509,"-","")),0),0)</f>
        <v>0</v>
      </c>
    </row>
    <row r="510" customFormat="false" ht="29.25" hidden="false" customHeight="true" outlineLevel="0" collapsed="false">
      <c r="A510" s="30" t="s">
        <v>5866</v>
      </c>
      <c r="B510" s="239" t="s">
        <v>5607</v>
      </c>
      <c r="C510" s="30" t="s">
        <v>24</v>
      </c>
      <c r="D510" s="30" t="s">
        <v>5867</v>
      </c>
      <c r="E510" s="6" t="s">
        <v>749</v>
      </c>
      <c r="F510" s="30" t="s">
        <v>114</v>
      </c>
      <c r="G510" s="239" t="s">
        <v>5287</v>
      </c>
      <c r="H510" s="30" t="s">
        <v>751</v>
      </c>
      <c r="I510" s="6" t="s">
        <v>751</v>
      </c>
      <c r="J510" s="30" t="s">
        <v>751</v>
      </c>
      <c r="K510" s="239"/>
      <c r="L510" s="239"/>
      <c r="M510" s="239" t="s">
        <v>4352</v>
      </c>
      <c r="N510" s="6" t="s">
        <v>5868</v>
      </c>
      <c r="O510" s="6" t="s">
        <v>751</v>
      </c>
      <c r="P510" s="239" t="s">
        <v>4530</v>
      </c>
      <c r="Q510" s="184" t="s">
        <v>751</v>
      </c>
      <c r="R510" s="30" t="s">
        <v>751</v>
      </c>
      <c r="S510" s="44" t="str">
        <f aca="false">IF(ISNUMBER($AF510),INDEX(IDX_SrcStat,$AF510),"—")</f>
        <v>—</v>
      </c>
      <c r="T510" s="44" t="str">
        <f aca="false">IF(ISNUMBER($AF510),INDEX(IDX_SrcGrade,$AF510),"—")</f>
        <v>—</v>
      </c>
      <c r="U510" s="30" t="s">
        <v>751</v>
      </c>
      <c r="V510" s="32" t="n">
        <f aca="false">IF(AND($F510="原始數據",$U510&lt;&gt;"連結 SRC"),1,0)</f>
        <v>0</v>
      </c>
      <c r="W510" s="32" t="n">
        <f aca="false">IF(AND($F510="Analogy",OR($H510="—",$H510="")),1,0)</f>
        <v>0</v>
      </c>
      <c r="X510" s="32" t="n">
        <f aca="false">IF(AND(OR($F510="Analogy",$F510="Assumed"),$G510&lt;&gt;"低",$G510&lt;&gt;"高",NOT(ISNUMBER($K510)),NOT(ISNUMBER($L510)),OR($M510="—",$M510="")),1,0)</f>
        <v>0</v>
      </c>
      <c r="Y510" s="32" t="n">
        <f aca="false">IF(AND(OR($F510="Analogy",$F510="Assumed",$F510="Derived（待改公式）",$F510="Derived（公式）"),OR($N510="—",$N510="",$N510=0)),1,0)</f>
        <v>0</v>
      </c>
      <c r="Z510" s="32" t="n">
        <f aca="false">IF(AND($F510="Decision",OR($J510="—",$J510="")),1,0)</f>
        <v>0</v>
      </c>
      <c r="AA510" s="33" t="n">
        <f aca="false">IF(OR($J510="—",$J510=""),0,IF(COUNTIF(Decisions!$A$5:$A$300,$J510)=0,1,0))</f>
        <v>0</v>
      </c>
      <c r="AB510" s="32" t="n">
        <f aca="false">IF(AND($F510="原始數據",$S510&lt;&gt;"Active"),1,0)</f>
        <v>0</v>
      </c>
      <c r="AC510" s="32" t="n">
        <f aca="false">IF(AND(ISNUMBER($K510),ISNUMBER($L510),ISNUMBER($Q510)),IF(OR($Q510&lt;MIN($K510,$L510),$Q510&gt;MAX($K510,$L510)),1,0),0)</f>
        <v>0</v>
      </c>
      <c r="AD510" s="32" t="n">
        <f aca="false">IF(AND(ISNUMBER($T510),$P510="高"),IF($T510=3,1,0),0)</f>
        <v>0</v>
      </c>
      <c r="AE510" s="32" t="n">
        <f aca="false">IF($S510="不存在",1,0)</f>
        <v>0</v>
      </c>
      <c r="AF510" s="44" t="str">
        <f aca="false">IF(OR($H510="—",$H510=""),"—",MATCH($H510,IDX_SrcID,0))</f>
        <v>—</v>
      </c>
      <c r="AG510" s="32" t="n">
        <f aca="false">IF(AND($P510="高",OR($AD510=1,$X510=1)),1,0)</f>
        <v>0</v>
      </c>
      <c r="AH510" s="32" t="n">
        <f aca="false">IF(AND($P510="高",$AG510=0,OR($F510&lt;&gt;"原始數據",$T510&lt;&gt;1)),1,0)</f>
        <v>0</v>
      </c>
      <c r="AI510" s="44" t="str">
        <f aca="false">IF(AND($P510="高",ISNUMBER($AF510)),INDEX(IDX_SrcDate,$AF510),"—")</f>
        <v>—</v>
      </c>
      <c r="AJ510" s="32" t="n">
        <f aca="false">IF(AND(ISTEXT($AI510),LEN($AI510)=10),IF(ISNUMBER(VALUE(SUBSTITUTE($AI510,"-",""))),VALUE(SUBSTITUTE($AI510,"-","")),0),0)</f>
        <v>0</v>
      </c>
    </row>
    <row r="511" customFormat="false" ht="29.25" hidden="false" customHeight="true" outlineLevel="0" collapsed="false">
      <c r="A511" s="30" t="s">
        <v>5869</v>
      </c>
      <c r="B511" s="239" t="s">
        <v>5607</v>
      </c>
      <c r="C511" s="30" t="s">
        <v>24</v>
      </c>
      <c r="D511" s="30" t="s">
        <v>5870</v>
      </c>
      <c r="E511" s="6" t="s">
        <v>771</v>
      </c>
      <c r="F511" s="30" t="s">
        <v>114</v>
      </c>
      <c r="G511" s="239" t="s">
        <v>5287</v>
      </c>
      <c r="H511" s="30" t="s">
        <v>751</v>
      </c>
      <c r="I511" s="6" t="s">
        <v>751</v>
      </c>
      <c r="J511" s="30" t="s">
        <v>751</v>
      </c>
      <c r="K511" s="239"/>
      <c r="L511" s="239"/>
      <c r="M511" s="30" t="s">
        <v>5871</v>
      </c>
      <c r="N511" s="6" t="s">
        <v>5872</v>
      </c>
      <c r="O511" s="6" t="s">
        <v>751</v>
      </c>
      <c r="P511" s="239" t="s">
        <v>4530</v>
      </c>
      <c r="Q511" s="184" t="s">
        <v>751</v>
      </c>
      <c r="R511" s="30" t="s">
        <v>751</v>
      </c>
      <c r="S511" s="44" t="str">
        <f aca="false">IF(ISNUMBER($AF511),INDEX(IDX_SrcStat,$AF511),"—")</f>
        <v>—</v>
      </c>
      <c r="T511" s="44" t="str">
        <f aca="false">IF(ISNUMBER($AF511),INDEX(IDX_SrcGrade,$AF511),"—")</f>
        <v>—</v>
      </c>
      <c r="U511" s="30" t="s">
        <v>751</v>
      </c>
      <c r="V511" s="32" t="n">
        <f aca="false">IF(AND($F511="原始數據",$U511&lt;&gt;"連結 SRC"),1,0)</f>
        <v>0</v>
      </c>
      <c r="W511" s="32" t="n">
        <f aca="false">IF(AND($F511="Analogy",OR($H511="—",$H511="")),1,0)</f>
        <v>0</v>
      </c>
      <c r="X511" s="32" t="n">
        <f aca="false">IF(AND(OR($F511="Analogy",$F511="Assumed"),$G511&lt;&gt;"低",$G511&lt;&gt;"高",NOT(ISNUMBER($K511)),NOT(ISNUMBER($L511)),OR($M511="—",$M511="")),1,0)</f>
        <v>0</v>
      </c>
      <c r="Y511" s="32" t="n">
        <f aca="false">IF(AND(OR($F511="Analogy",$F511="Assumed",$F511="Derived（待改公式）",$F511="Derived（公式）"),OR($N511="—",$N511="",$N511=0)),1,0)</f>
        <v>0</v>
      </c>
      <c r="Z511" s="32" t="n">
        <f aca="false">IF(AND($F511="Decision",OR($J511="—",$J511="")),1,0)</f>
        <v>0</v>
      </c>
      <c r="AA511" s="33" t="n">
        <f aca="false">IF(OR($J511="—",$J511=""),0,IF(COUNTIF(Decisions!$A$5:$A$300,$J511)=0,1,0))</f>
        <v>0</v>
      </c>
      <c r="AB511" s="32" t="n">
        <f aca="false">IF(AND($F511="原始數據",$S511&lt;&gt;"Active"),1,0)</f>
        <v>0</v>
      </c>
      <c r="AC511" s="32" t="n">
        <f aca="false">IF(AND(ISNUMBER($K511),ISNUMBER($L511),ISNUMBER($Q511)),IF(OR($Q511&lt;MIN($K511,$L511),$Q511&gt;MAX($K511,$L511)),1,0),0)</f>
        <v>0</v>
      </c>
      <c r="AD511" s="32" t="n">
        <f aca="false">IF(AND(ISNUMBER($T511),$P511="高"),IF($T511=3,1,0),0)</f>
        <v>0</v>
      </c>
      <c r="AE511" s="32" t="n">
        <f aca="false">IF($S511="不存在",1,0)</f>
        <v>0</v>
      </c>
      <c r="AF511" s="44" t="str">
        <f aca="false">IF(OR($H511="—",$H511=""),"—",MATCH($H511,IDX_SrcID,0))</f>
        <v>—</v>
      </c>
      <c r="AG511" s="32" t="n">
        <f aca="false">IF(AND($P511="高",OR($AD511=1,$X511=1)),1,0)</f>
        <v>0</v>
      </c>
      <c r="AH511" s="32" t="n">
        <f aca="false">IF(AND($P511="高",$AG511=0,OR($F511&lt;&gt;"原始數據",$T511&lt;&gt;1)),1,0)</f>
        <v>0</v>
      </c>
      <c r="AI511" s="44" t="str">
        <f aca="false">IF(AND($P511="高",ISNUMBER($AF511)),INDEX(IDX_SrcDate,$AF511),"—")</f>
        <v>—</v>
      </c>
      <c r="AJ511" s="32" t="n">
        <f aca="false">IF(AND(ISTEXT($AI511),LEN($AI511)=10),IF(ISNUMBER(VALUE(SUBSTITUTE($AI511,"-",""))),VALUE(SUBSTITUTE($AI511,"-","")),0),0)</f>
        <v>0</v>
      </c>
    </row>
    <row r="512" customFormat="false" ht="54.75" hidden="false" customHeight="true" outlineLevel="0" collapsed="false">
      <c r="A512" s="30" t="s">
        <v>5873</v>
      </c>
      <c r="B512" s="239" t="s">
        <v>5607</v>
      </c>
      <c r="C512" s="30" t="s">
        <v>24</v>
      </c>
      <c r="D512" s="30" t="s">
        <v>5874</v>
      </c>
      <c r="E512" s="6" t="s">
        <v>778</v>
      </c>
      <c r="F512" s="30" t="s">
        <v>119</v>
      </c>
      <c r="G512" s="239" t="s">
        <v>5287</v>
      </c>
      <c r="H512" s="30" t="s">
        <v>5001</v>
      </c>
      <c r="I512" s="20" t="s">
        <v>5875</v>
      </c>
      <c r="J512" s="30" t="s">
        <v>751</v>
      </c>
      <c r="K512" s="239"/>
      <c r="L512" s="239"/>
      <c r="M512" s="30" t="s">
        <v>5871</v>
      </c>
      <c r="N512" s="6" t="s">
        <v>5876</v>
      </c>
      <c r="O512" s="6" t="s">
        <v>5877</v>
      </c>
      <c r="P512" s="239" t="s">
        <v>4530</v>
      </c>
      <c r="Q512" s="184" t="s">
        <v>751</v>
      </c>
      <c r="R512" s="184" t="n">
        <f aca="false">SRC_HW_037</f>
        <v>2520</v>
      </c>
      <c r="S512" s="44" t="str">
        <f aca="false">IF(ISNUMBER($AF512),INDEX(IDX_SrcStat,$AF512),"—")</f>
        <v>Active</v>
      </c>
      <c r="T512" s="44" t="n">
        <f aca="false">IF(ISNUMBER($AF512),INDEX(IDX_SrcGrade,$AF512),"—")</f>
        <v>2</v>
      </c>
      <c r="U512" s="30" t="s">
        <v>751</v>
      </c>
      <c r="V512" s="32" t="n">
        <f aca="false">IF(AND($F512="原始數據",$U512&lt;&gt;"連結 SRC"),1,0)</f>
        <v>0</v>
      </c>
      <c r="W512" s="32" t="n">
        <f aca="false">IF(AND($F512="Analogy",OR($H512="—",$H512="")),1,0)</f>
        <v>0</v>
      </c>
      <c r="X512" s="32" t="n">
        <f aca="false">IF(AND(OR($F512="Analogy",$F512="Assumed"),$G512&lt;&gt;"低",$G512&lt;&gt;"高",NOT(ISNUMBER($K512)),NOT(ISNUMBER($L512)),OR($M512="—",$M512="")),1,0)</f>
        <v>0</v>
      </c>
      <c r="Y512" s="32" t="n">
        <f aca="false">IF(AND(OR($F512="Analogy",$F512="Assumed",$F512="Derived（待改公式）",$F512="Derived（公式）"),OR($N512="—",$N512="",$N512=0)),1,0)</f>
        <v>0</v>
      </c>
      <c r="Z512" s="32" t="n">
        <f aca="false">IF(AND($F512="Decision",OR($J512="—",$J512="")),1,0)</f>
        <v>0</v>
      </c>
      <c r="AA512" s="33" t="n">
        <f aca="false">IF(OR($J512="—",$J512=""),0,IF(COUNTIF(Decisions!$A$5:$A$300,$J512)=0,1,0))</f>
        <v>0</v>
      </c>
      <c r="AB512" s="32" t="n">
        <f aca="false">IF(AND($F512="原始數據",$S512&lt;&gt;"Active"),1,0)</f>
        <v>0</v>
      </c>
      <c r="AC512" s="32" t="n">
        <f aca="false">IF(AND(ISNUMBER($K512),ISNUMBER($L512),ISNUMBER($Q512)),IF(OR($Q512&lt;MIN($K512,$L512),$Q512&gt;MAX($K512,$L512)),1,0),0)</f>
        <v>0</v>
      </c>
      <c r="AD512" s="32" t="n">
        <f aca="false">IF(AND(ISNUMBER($T512),$P512="高"),IF($T512=3,1,0),0)</f>
        <v>0</v>
      </c>
      <c r="AE512" s="32" t="n">
        <f aca="false">IF($S512="不存在",1,0)</f>
        <v>0</v>
      </c>
      <c r="AF512" s="44" t="n">
        <f aca="false">IF(OR($H512="—",$H512=""),"—",MATCH($H512,IDX_SrcID,0))</f>
        <v>37</v>
      </c>
      <c r="AG512" s="32" t="n">
        <f aca="false">IF(AND($P512="高",OR($AD512=1,$X512=1)),1,0)</f>
        <v>0</v>
      </c>
      <c r="AH512" s="32" t="n">
        <f aca="false">IF(AND($P512="高",$AG512=0,OR($F512&lt;&gt;"原始數據",$T512&lt;&gt;1)),1,0)</f>
        <v>0</v>
      </c>
      <c r="AI512" s="44" t="str">
        <f aca="false">IF(AND($P512="高",ISNUMBER($AF512)),INDEX(IDX_SrcDate,$AF512),"—")</f>
        <v>—</v>
      </c>
      <c r="AJ512" s="32" t="n">
        <f aca="false">IF(AND(ISTEXT($AI512),LEN($AI512)=10),IF(ISNUMBER(VALUE(SUBSTITUTE($AI512,"-",""))),VALUE(SUBSTITUTE($AI512,"-","")),0),0)</f>
        <v>0</v>
      </c>
    </row>
    <row r="513" customFormat="false" ht="29.25" hidden="false" customHeight="true" outlineLevel="0" collapsed="false">
      <c r="A513" s="30" t="s">
        <v>5878</v>
      </c>
      <c r="B513" s="239" t="s">
        <v>5607</v>
      </c>
      <c r="C513" s="30" t="s">
        <v>24</v>
      </c>
      <c r="D513" s="30" t="s">
        <v>5879</v>
      </c>
      <c r="E513" s="6" t="s">
        <v>785</v>
      </c>
      <c r="F513" s="30" t="s">
        <v>114</v>
      </c>
      <c r="G513" s="239" t="s">
        <v>5287</v>
      </c>
      <c r="H513" s="30" t="s">
        <v>751</v>
      </c>
      <c r="I513" s="6" t="s">
        <v>751</v>
      </c>
      <c r="J513" s="30" t="s">
        <v>751</v>
      </c>
      <c r="K513" s="239"/>
      <c r="L513" s="239"/>
      <c r="M513" s="30" t="s">
        <v>5871</v>
      </c>
      <c r="N513" s="6" t="s">
        <v>5880</v>
      </c>
      <c r="O513" s="6" t="s">
        <v>751</v>
      </c>
      <c r="P513" s="239" t="s">
        <v>4530</v>
      </c>
      <c r="Q513" s="184" t="s">
        <v>751</v>
      </c>
      <c r="R513" s="30" t="s">
        <v>751</v>
      </c>
      <c r="S513" s="44" t="str">
        <f aca="false">IF(ISNUMBER($AF513),INDEX(IDX_SrcStat,$AF513),"—")</f>
        <v>—</v>
      </c>
      <c r="T513" s="44" t="str">
        <f aca="false">IF(ISNUMBER($AF513),INDEX(IDX_SrcGrade,$AF513),"—")</f>
        <v>—</v>
      </c>
      <c r="U513" s="30" t="s">
        <v>751</v>
      </c>
      <c r="V513" s="32" t="n">
        <f aca="false">IF(AND($F513="原始數據",$U513&lt;&gt;"連結 SRC"),1,0)</f>
        <v>0</v>
      </c>
      <c r="W513" s="32" t="n">
        <f aca="false">IF(AND($F513="Analogy",OR($H513="—",$H513="")),1,0)</f>
        <v>0</v>
      </c>
      <c r="X513" s="32" t="n">
        <f aca="false">IF(AND(OR($F513="Analogy",$F513="Assumed"),$G513&lt;&gt;"低",$G513&lt;&gt;"高",NOT(ISNUMBER($K513)),NOT(ISNUMBER($L513)),OR($M513="—",$M513="")),1,0)</f>
        <v>0</v>
      </c>
      <c r="Y513" s="32" t="n">
        <f aca="false">IF(AND(OR($F513="Analogy",$F513="Assumed",$F513="Derived（待改公式）",$F513="Derived（公式）"),OR($N513="—",$N513="",$N513=0)),1,0)</f>
        <v>0</v>
      </c>
      <c r="Z513" s="32" t="n">
        <f aca="false">IF(AND($F513="Decision",OR($J513="—",$J513="")),1,0)</f>
        <v>0</v>
      </c>
      <c r="AA513" s="33" t="n">
        <f aca="false">IF(OR($J513="—",$J513=""),0,IF(COUNTIF(Decisions!$A$5:$A$300,$J513)=0,1,0))</f>
        <v>0</v>
      </c>
      <c r="AB513" s="32" t="n">
        <f aca="false">IF(AND($F513="原始數據",$S513&lt;&gt;"Active"),1,0)</f>
        <v>0</v>
      </c>
      <c r="AC513" s="32" t="n">
        <f aca="false">IF(AND(ISNUMBER($K513),ISNUMBER($L513),ISNUMBER($Q513)),IF(OR($Q513&lt;MIN($K513,$L513),$Q513&gt;MAX($K513,$L513)),1,0),0)</f>
        <v>0</v>
      </c>
      <c r="AD513" s="32" t="n">
        <f aca="false">IF(AND(ISNUMBER($T513),$P513="高"),IF($T513=3,1,0),0)</f>
        <v>0</v>
      </c>
      <c r="AE513" s="32" t="n">
        <f aca="false">IF($S513="不存在",1,0)</f>
        <v>0</v>
      </c>
      <c r="AF513" s="44" t="str">
        <f aca="false">IF(OR($H513="—",$H513=""),"—",MATCH($H513,IDX_SrcID,0))</f>
        <v>—</v>
      </c>
      <c r="AG513" s="32" t="n">
        <f aca="false">IF(AND($P513="高",OR($AD513=1,$X513=1)),1,0)</f>
        <v>0</v>
      </c>
      <c r="AH513" s="32" t="n">
        <f aca="false">IF(AND($P513="高",$AG513=0,OR($F513&lt;&gt;"原始數據",$T513&lt;&gt;1)),1,0)</f>
        <v>0</v>
      </c>
      <c r="AI513" s="44" t="str">
        <f aca="false">IF(AND($P513="高",ISNUMBER($AF513)),INDEX(IDX_SrcDate,$AF513),"—")</f>
        <v>—</v>
      </c>
      <c r="AJ513" s="32" t="n">
        <f aca="false">IF(AND(ISTEXT($AI513),LEN($AI513)=10),IF(ISNUMBER(VALUE(SUBSTITUTE($AI513,"-",""))),VALUE(SUBSTITUTE($AI513,"-","")),0),0)</f>
        <v>0</v>
      </c>
    </row>
    <row r="514" customFormat="false" ht="29.25" hidden="false" customHeight="true" outlineLevel="0" collapsed="false">
      <c r="A514" s="30" t="s">
        <v>5881</v>
      </c>
      <c r="B514" s="239" t="s">
        <v>5607</v>
      </c>
      <c r="C514" s="30" t="s">
        <v>24</v>
      </c>
      <c r="D514" s="30" t="s">
        <v>5882</v>
      </c>
      <c r="E514" s="6" t="s">
        <v>792</v>
      </c>
      <c r="F514" s="30" t="s">
        <v>114</v>
      </c>
      <c r="G514" s="239" t="s">
        <v>5287</v>
      </c>
      <c r="H514" s="30" t="s">
        <v>751</v>
      </c>
      <c r="I514" s="6" t="s">
        <v>751</v>
      </c>
      <c r="J514" s="30" t="s">
        <v>751</v>
      </c>
      <c r="K514" s="239"/>
      <c r="L514" s="239"/>
      <c r="M514" s="30" t="s">
        <v>5871</v>
      </c>
      <c r="N514" s="6" t="s">
        <v>5883</v>
      </c>
      <c r="O514" s="6" t="s">
        <v>751</v>
      </c>
      <c r="P514" s="239" t="s">
        <v>4530</v>
      </c>
      <c r="Q514" s="184" t="s">
        <v>751</v>
      </c>
      <c r="R514" s="30" t="s">
        <v>751</v>
      </c>
      <c r="S514" s="44" t="str">
        <f aca="false">IF(ISNUMBER($AF514),INDEX(IDX_SrcStat,$AF514),"—")</f>
        <v>—</v>
      </c>
      <c r="T514" s="44" t="str">
        <f aca="false">IF(ISNUMBER($AF514),INDEX(IDX_SrcGrade,$AF514),"—")</f>
        <v>—</v>
      </c>
      <c r="U514" s="30" t="s">
        <v>751</v>
      </c>
      <c r="V514" s="32" t="n">
        <f aca="false">IF(AND($F514="原始數據",$U514&lt;&gt;"連結 SRC"),1,0)</f>
        <v>0</v>
      </c>
      <c r="W514" s="32" t="n">
        <f aca="false">IF(AND($F514="Analogy",OR($H514="—",$H514="")),1,0)</f>
        <v>0</v>
      </c>
      <c r="X514" s="32" t="n">
        <f aca="false">IF(AND(OR($F514="Analogy",$F514="Assumed"),$G514&lt;&gt;"低",$G514&lt;&gt;"高",NOT(ISNUMBER($K514)),NOT(ISNUMBER($L514)),OR($M514="—",$M514="")),1,0)</f>
        <v>0</v>
      </c>
      <c r="Y514" s="32" t="n">
        <f aca="false">IF(AND(OR($F514="Analogy",$F514="Assumed",$F514="Derived（待改公式）",$F514="Derived（公式）"),OR($N514="—",$N514="",$N514=0)),1,0)</f>
        <v>0</v>
      </c>
      <c r="Z514" s="32" t="n">
        <f aca="false">IF(AND($F514="Decision",OR($J514="—",$J514="")),1,0)</f>
        <v>0</v>
      </c>
      <c r="AA514" s="33" t="n">
        <f aca="false">IF(OR($J514="—",$J514=""),0,IF(COUNTIF(Decisions!$A$5:$A$300,$J514)=0,1,0))</f>
        <v>0</v>
      </c>
      <c r="AB514" s="32" t="n">
        <f aca="false">IF(AND($F514="原始數據",$S514&lt;&gt;"Active"),1,0)</f>
        <v>0</v>
      </c>
      <c r="AC514" s="32" t="n">
        <f aca="false">IF(AND(ISNUMBER($K514),ISNUMBER($L514),ISNUMBER($Q514)),IF(OR($Q514&lt;MIN($K514,$L514),$Q514&gt;MAX($K514,$L514)),1,0),0)</f>
        <v>0</v>
      </c>
      <c r="AD514" s="32" t="n">
        <f aca="false">IF(AND(ISNUMBER($T514),$P514="高"),IF($T514=3,1,0),0)</f>
        <v>0</v>
      </c>
      <c r="AE514" s="32" t="n">
        <f aca="false">IF($S514="不存在",1,0)</f>
        <v>0</v>
      </c>
      <c r="AF514" s="44" t="str">
        <f aca="false">IF(OR($H514="—",$H514=""),"—",MATCH($H514,IDX_SrcID,0))</f>
        <v>—</v>
      </c>
      <c r="AG514" s="32" t="n">
        <f aca="false">IF(AND($P514="高",OR($AD514=1,$X514=1)),1,0)</f>
        <v>0</v>
      </c>
      <c r="AH514" s="32" t="n">
        <f aca="false">IF(AND($P514="高",$AG514=0,OR($F514&lt;&gt;"原始數據",$T514&lt;&gt;1)),1,0)</f>
        <v>0</v>
      </c>
      <c r="AI514" s="44" t="str">
        <f aca="false">IF(AND($P514="高",ISNUMBER($AF514)),INDEX(IDX_SrcDate,$AF514),"—")</f>
        <v>—</v>
      </c>
      <c r="AJ514" s="32" t="n">
        <f aca="false">IF(AND(ISTEXT($AI514),LEN($AI514)=10),IF(ISNUMBER(VALUE(SUBSTITUTE($AI514,"-",""))),VALUE(SUBSTITUTE($AI514,"-","")),0),0)</f>
        <v>0</v>
      </c>
    </row>
    <row r="515" customFormat="false" ht="72" hidden="false" customHeight="true" outlineLevel="0" collapsed="false">
      <c r="A515" s="30" t="s">
        <v>5884</v>
      </c>
      <c r="B515" s="239" t="s">
        <v>5607</v>
      </c>
      <c r="C515" s="30" t="s">
        <v>24</v>
      </c>
      <c r="D515" s="30" t="s">
        <v>5885</v>
      </c>
      <c r="E515" s="6" t="s">
        <v>798</v>
      </c>
      <c r="F515" s="30" t="s">
        <v>119</v>
      </c>
      <c r="G515" s="239" t="s">
        <v>5287</v>
      </c>
      <c r="H515" s="30" t="s">
        <v>5886</v>
      </c>
      <c r="I515" s="20" t="s">
        <v>5887</v>
      </c>
      <c r="J515" s="30" t="s">
        <v>751</v>
      </c>
      <c r="K515" s="239"/>
      <c r="L515" s="239"/>
      <c r="M515" s="30" t="s">
        <v>5871</v>
      </c>
      <c r="N515" s="6" t="s">
        <v>5888</v>
      </c>
      <c r="O515" s="6" t="s">
        <v>5889</v>
      </c>
      <c r="P515" s="239" t="s">
        <v>4530</v>
      </c>
      <c r="Q515" s="184" t="s">
        <v>751</v>
      </c>
      <c r="R515" s="184" t="n">
        <f aca="false">SRC_MOD_046</f>
        <v>1.5</v>
      </c>
      <c r="S515" s="44" t="str">
        <f aca="false">IF(ISNUMBER($AF515),INDEX(IDX_SrcStat,$AF515),"—")</f>
        <v>Active</v>
      </c>
      <c r="T515" s="44" t="n">
        <f aca="false">IF(ISNUMBER($AF515),INDEX(IDX_SrcGrade,$AF515),"—")</f>
        <v>2</v>
      </c>
      <c r="U515" s="30" t="s">
        <v>751</v>
      </c>
      <c r="V515" s="32" t="n">
        <f aca="false">IF(AND($F515="原始數據",$U515&lt;&gt;"連結 SRC"),1,0)</f>
        <v>0</v>
      </c>
      <c r="W515" s="32" t="n">
        <f aca="false">IF(AND($F515="Analogy",OR($H515="—",$H515="")),1,0)</f>
        <v>0</v>
      </c>
      <c r="X515" s="32" t="n">
        <f aca="false">IF(AND(OR($F515="Analogy",$F515="Assumed"),$G515&lt;&gt;"低",$G515&lt;&gt;"高",NOT(ISNUMBER($K515)),NOT(ISNUMBER($L515)),OR($M515="—",$M515="")),1,0)</f>
        <v>0</v>
      </c>
      <c r="Y515" s="32" t="n">
        <f aca="false">IF(AND(OR($F515="Analogy",$F515="Assumed",$F515="Derived（待改公式）",$F515="Derived（公式）"),OR($N515="—",$N515="",$N515=0)),1,0)</f>
        <v>0</v>
      </c>
      <c r="Z515" s="32" t="n">
        <f aca="false">IF(AND($F515="Decision",OR($J515="—",$J515="")),1,0)</f>
        <v>0</v>
      </c>
      <c r="AA515" s="33" t="n">
        <f aca="false">IF(OR($J515="—",$J515=""),0,IF(COUNTIF(Decisions!$A$5:$A$300,$J515)=0,1,0))</f>
        <v>0</v>
      </c>
      <c r="AB515" s="32" t="n">
        <f aca="false">IF(AND($F515="原始數據",$S515&lt;&gt;"Active"),1,0)</f>
        <v>0</v>
      </c>
      <c r="AC515" s="32" t="n">
        <f aca="false">IF(AND(ISNUMBER($K515),ISNUMBER($L515),ISNUMBER($Q515)),IF(OR($Q515&lt;MIN($K515,$L515),$Q515&gt;MAX($K515,$L515)),1,0),0)</f>
        <v>0</v>
      </c>
      <c r="AD515" s="32" t="n">
        <f aca="false">IF(AND(ISNUMBER($T515),$P515="高"),IF($T515=3,1,0),0)</f>
        <v>0</v>
      </c>
      <c r="AE515" s="32" t="n">
        <f aca="false">IF($S515="不存在",1,0)</f>
        <v>0</v>
      </c>
      <c r="AF515" s="44" t="n">
        <f aca="false">IF(OR($H515="—",$H515=""),"—",MATCH($H515,IDX_SrcID,0))</f>
        <v>229</v>
      </c>
      <c r="AG515" s="32" t="n">
        <f aca="false">IF(AND($P515="高",OR($AD515=1,$X515=1)),1,0)</f>
        <v>0</v>
      </c>
      <c r="AH515" s="32" t="n">
        <f aca="false">IF(AND($P515="高",$AG515=0,OR($F515&lt;&gt;"原始數據",$T515&lt;&gt;1)),1,0)</f>
        <v>0</v>
      </c>
      <c r="AI515" s="44" t="str">
        <f aca="false">IF(AND($P515="高",ISNUMBER($AF515)),INDEX(IDX_SrcDate,$AF515),"—")</f>
        <v>—</v>
      </c>
      <c r="AJ515" s="32" t="n">
        <f aca="false">IF(AND(ISTEXT($AI515),LEN($AI515)=10),IF(ISNUMBER(VALUE(SUBSTITUTE($AI515,"-",""))),VALUE(SUBSTITUTE($AI515,"-","")),0),0)</f>
        <v>0</v>
      </c>
    </row>
    <row r="516" customFormat="false" ht="29.25" hidden="false" customHeight="true" outlineLevel="0" collapsed="false">
      <c r="A516" s="30" t="s">
        <v>5890</v>
      </c>
      <c r="B516" s="239" t="s">
        <v>5607</v>
      </c>
      <c r="C516" s="30" t="s">
        <v>24</v>
      </c>
      <c r="D516" s="30" t="s">
        <v>5891</v>
      </c>
      <c r="E516" s="6" t="s">
        <v>804</v>
      </c>
      <c r="F516" s="30" t="s">
        <v>114</v>
      </c>
      <c r="G516" s="239" t="s">
        <v>5287</v>
      </c>
      <c r="H516" s="30" t="s">
        <v>751</v>
      </c>
      <c r="I516" s="6" t="s">
        <v>751</v>
      </c>
      <c r="J516" s="30" t="s">
        <v>751</v>
      </c>
      <c r="K516" s="239"/>
      <c r="L516" s="239"/>
      <c r="M516" s="30" t="s">
        <v>5871</v>
      </c>
      <c r="N516" s="6" t="s">
        <v>5892</v>
      </c>
      <c r="O516" s="6" t="s">
        <v>751</v>
      </c>
      <c r="P516" s="239" t="s">
        <v>4530</v>
      </c>
      <c r="Q516" s="184" t="s">
        <v>751</v>
      </c>
      <c r="R516" s="30" t="s">
        <v>751</v>
      </c>
      <c r="S516" s="44" t="str">
        <f aca="false">IF(ISNUMBER($AF516),INDEX(IDX_SrcStat,$AF516),"—")</f>
        <v>—</v>
      </c>
      <c r="T516" s="44" t="str">
        <f aca="false">IF(ISNUMBER($AF516),INDEX(IDX_SrcGrade,$AF516),"—")</f>
        <v>—</v>
      </c>
      <c r="U516" s="30" t="s">
        <v>751</v>
      </c>
      <c r="V516" s="32" t="n">
        <f aca="false">IF(AND($F516="原始數據",$U516&lt;&gt;"連結 SRC"),1,0)</f>
        <v>0</v>
      </c>
      <c r="W516" s="32" t="n">
        <f aca="false">IF(AND($F516="Analogy",OR($H516="—",$H516="")),1,0)</f>
        <v>0</v>
      </c>
      <c r="X516" s="32" t="n">
        <f aca="false">IF(AND(OR($F516="Analogy",$F516="Assumed"),$G516&lt;&gt;"低",$G516&lt;&gt;"高",NOT(ISNUMBER($K516)),NOT(ISNUMBER($L516)),OR($M516="—",$M516="")),1,0)</f>
        <v>0</v>
      </c>
      <c r="Y516" s="32" t="n">
        <f aca="false">IF(AND(OR($F516="Analogy",$F516="Assumed",$F516="Derived（待改公式）",$F516="Derived（公式）"),OR($N516="—",$N516="",$N516=0)),1,0)</f>
        <v>0</v>
      </c>
      <c r="Z516" s="32" t="n">
        <f aca="false">IF(AND($F516="Decision",OR($J516="—",$J516="")),1,0)</f>
        <v>0</v>
      </c>
      <c r="AA516" s="33" t="n">
        <f aca="false">IF(OR($J516="—",$J516=""),0,IF(COUNTIF(Decisions!$A$5:$A$300,$J516)=0,1,0))</f>
        <v>0</v>
      </c>
      <c r="AB516" s="32" t="n">
        <f aca="false">IF(AND($F516="原始數據",$S516&lt;&gt;"Active"),1,0)</f>
        <v>0</v>
      </c>
      <c r="AC516" s="32" t="n">
        <f aca="false">IF(AND(ISNUMBER($K516),ISNUMBER($L516),ISNUMBER($Q516)),IF(OR($Q516&lt;MIN($K516,$L516),$Q516&gt;MAX($K516,$L516)),1,0),0)</f>
        <v>0</v>
      </c>
      <c r="AD516" s="32" t="n">
        <f aca="false">IF(AND(ISNUMBER($T516),$P516="高"),IF($T516=3,1,0),0)</f>
        <v>0</v>
      </c>
      <c r="AE516" s="32" t="n">
        <f aca="false">IF($S516="不存在",1,0)</f>
        <v>0</v>
      </c>
      <c r="AF516" s="44" t="str">
        <f aca="false">IF(OR($H516="—",$H516=""),"—",MATCH($H516,IDX_SrcID,0))</f>
        <v>—</v>
      </c>
      <c r="AG516" s="32" t="n">
        <f aca="false">IF(AND($P516="高",OR($AD516=1,$X516=1)),1,0)</f>
        <v>0</v>
      </c>
      <c r="AH516" s="32" t="n">
        <f aca="false">IF(AND($P516="高",$AG516=0,OR($F516&lt;&gt;"原始數據",$T516&lt;&gt;1)),1,0)</f>
        <v>0</v>
      </c>
      <c r="AI516" s="44" t="str">
        <f aca="false">IF(AND($P516="高",ISNUMBER($AF516)),INDEX(IDX_SrcDate,$AF516),"—")</f>
        <v>—</v>
      </c>
      <c r="AJ516" s="32" t="n">
        <f aca="false">IF(AND(ISTEXT($AI516),LEN($AI516)=10),IF(ISNUMBER(VALUE(SUBSTITUTE($AI516,"-",""))),VALUE(SUBSTITUTE($AI516,"-","")),0),0)</f>
        <v>0</v>
      </c>
    </row>
    <row r="517" customFormat="false" ht="29.25" hidden="false" customHeight="true" outlineLevel="0" collapsed="false">
      <c r="A517" s="30" t="s">
        <v>5893</v>
      </c>
      <c r="B517" s="239" t="s">
        <v>5607</v>
      </c>
      <c r="C517" s="30" t="s">
        <v>24</v>
      </c>
      <c r="D517" s="30" t="s">
        <v>5894</v>
      </c>
      <c r="E517" s="6" t="s">
        <v>809</v>
      </c>
      <c r="F517" s="30" t="s">
        <v>114</v>
      </c>
      <c r="G517" s="239" t="s">
        <v>5287</v>
      </c>
      <c r="H517" s="30" t="s">
        <v>751</v>
      </c>
      <c r="I517" s="6" t="s">
        <v>751</v>
      </c>
      <c r="J517" s="30" t="s">
        <v>751</v>
      </c>
      <c r="K517" s="239"/>
      <c r="L517" s="239"/>
      <c r="M517" s="239" t="s">
        <v>4352</v>
      </c>
      <c r="N517" s="6" t="s">
        <v>5895</v>
      </c>
      <c r="O517" s="6" t="s">
        <v>751</v>
      </c>
      <c r="P517" s="239" t="s">
        <v>4530</v>
      </c>
      <c r="Q517" s="184" t="s">
        <v>751</v>
      </c>
      <c r="R517" s="30" t="s">
        <v>751</v>
      </c>
      <c r="S517" s="44" t="str">
        <f aca="false">IF(ISNUMBER($AF517),INDEX(IDX_SrcStat,$AF517),"—")</f>
        <v>—</v>
      </c>
      <c r="T517" s="44" t="str">
        <f aca="false">IF(ISNUMBER($AF517),INDEX(IDX_SrcGrade,$AF517),"—")</f>
        <v>—</v>
      </c>
      <c r="U517" s="30" t="s">
        <v>751</v>
      </c>
      <c r="V517" s="32" t="n">
        <f aca="false">IF(AND($F517="原始數據",$U517&lt;&gt;"連結 SRC"),1,0)</f>
        <v>0</v>
      </c>
      <c r="W517" s="32" t="n">
        <f aca="false">IF(AND($F517="Analogy",OR($H517="—",$H517="")),1,0)</f>
        <v>0</v>
      </c>
      <c r="X517" s="32" t="n">
        <f aca="false">IF(AND(OR($F517="Analogy",$F517="Assumed"),$G517&lt;&gt;"低",$G517&lt;&gt;"高",NOT(ISNUMBER($K517)),NOT(ISNUMBER($L517)),OR($M517="—",$M517="")),1,0)</f>
        <v>0</v>
      </c>
      <c r="Y517" s="32" t="n">
        <f aca="false">IF(AND(OR($F517="Analogy",$F517="Assumed",$F517="Derived（待改公式）",$F517="Derived（公式）"),OR($N517="—",$N517="",$N517=0)),1,0)</f>
        <v>0</v>
      </c>
      <c r="Z517" s="32" t="n">
        <f aca="false">IF(AND($F517="Decision",OR($J517="—",$J517="")),1,0)</f>
        <v>0</v>
      </c>
      <c r="AA517" s="33" t="n">
        <f aca="false">IF(OR($J517="—",$J517=""),0,IF(COUNTIF(Decisions!$A$5:$A$300,$J517)=0,1,0))</f>
        <v>0</v>
      </c>
      <c r="AB517" s="32" t="n">
        <f aca="false">IF(AND($F517="原始數據",$S517&lt;&gt;"Active"),1,0)</f>
        <v>0</v>
      </c>
      <c r="AC517" s="32" t="n">
        <f aca="false">IF(AND(ISNUMBER($K517),ISNUMBER($L517),ISNUMBER($Q517)),IF(OR($Q517&lt;MIN($K517,$L517),$Q517&gt;MAX($K517,$L517)),1,0),0)</f>
        <v>0</v>
      </c>
      <c r="AD517" s="32" t="n">
        <f aca="false">IF(AND(ISNUMBER($T517),$P517="高"),IF($T517=3,1,0),0)</f>
        <v>0</v>
      </c>
      <c r="AE517" s="32" t="n">
        <f aca="false">IF($S517="不存在",1,0)</f>
        <v>0</v>
      </c>
      <c r="AF517" s="44" t="str">
        <f aca="false">IF(OR($H517="—",$H517=""),"—",MATCH($H517,IDX_SrcID,0))</f>
        <v>—</v>
      </c>
      <c r="AG517" s="32" t="n">
        <f aca="false">IF(AND($P517="高",OR($AD517=1,$X517=1)),1,0)</f>
        <v>0</v>
      </c>
      <c r="AH517" s="32" t="n">
        <f aca="false">IF(AND($P517="高",$AG517=0,OR($F517&lt;&gt;"原始數據",$T517&lt;&gt;1)),1,0)</f>
        <v>0</v>
      </c>
      <c r="AI517" s="44" t="str">
        <f aca="false">IF(AND($P517="高",ISNUMBER($AF517)),INDEX(IDX_SrcDate,$AF517),"—")</f>
        <v>—</v>
      </c>
      <c r="AJ517" s="32" t="n">
        <f aca="false">IF(AND(ISTEXT($AI517),LEN($AI517)=10),IF(ISNUMBER(VALUE(SUBSTITUTE($AI517,"-",""))),VALUE(SUBSTITUTE($AI517,"-","")),0),0)</f>
        <v>0</v>
      </c>
    </row>
    <row r="518" customFormat="false" ht="29.25" hidden="false" customHeight="true" outlineLevel="0" collapsed="false">
      <c r="A518" s="30" t="s">
        <v>5896</v>
      </c>
      <c r="B518" s="239" t="s">
        <v>5607</v>
      </c>
      <c r="C518" s="30" t="s">
        <v>24</v>
      </c>
      <c r="D518" s="30" t="s">
        <v>5897</v>
      </c>
      <c r="E518" s="6" t="s">
        <v>749</v>
      </c>
      <c r="F518" s="239" t="s">
        <v>5286</v>
      </c>
      <c r="G518" s="239" t="s">
        <v>5287</v>
      </c>
      <c r="H518" s="30" t="s">
        <v>751</v>
      </c>
      <c r="I518" s="6" t="s">
        <v>751</v>
      </c>
      <c r="J518" s="30" t="s">
        <v>751</v>
      </c>
      <c r="K518" s="239"/>
      <c r="L518" s="239"/>
      <c r="M518" s="30" t="s">
        <v>751</v>
      </c>
      <c r="N518" s="20" t="s">
        <v>5898</v>
      </c>
      <c r="O518" s="6" t="s">
        <v>751</v>
      </c>
      <c r="P518" s="239" t="s">
        <v>4530</v>
      </c>
      <c r="Q518" s="184" t="s">
        <v>751</v>
      </c>
      <c r="R518" s="30" t="s">
        <v>751</v>
      </c>
      <c r="S518" s="44" t="str">
        <f aca="false">IF(ISNUMBER($AF518),INDEX(IDX_SrcStat,$AF518),"—")</f>
        <v>—</v>
      </c>
      <c r="T518" s="44" t="str">
        <f aca="false">IF(ISNUMBER($AF518),INDEX(IDX_SrcGrade,$AF518),"—")</f>
        <v>—</v>
      </c>
      <c r="U518" s="30" t="s">
        <v>751</v>
      </c>
      <c r="V518" s="32" t="n">
        <f aca="false">IF(AND($F518="原始數據",$U518&lt;&gt;"連結 SRC"),1,0)</f>
        <v>0</v>
      </c>
      <c r="W518" s="32" t="n">
        <f aca="false">IF(AND($F518="Analogy",OR($H518="—",$H518="")),1,0)</f>
        <v>0</v>
      </c>
      <c r="X518" s="32" t="n">
        <f aca="false">IF(AND(OR($F518="Analogy",$F518="Assumed"),$G518&lt;&gt;"低",$G518&lt;&gt;"高",NOT(ISNUMBER($K518)),NOT(ISNUMBER($L518)),OR($M518="—",$M518="")),1,0)</f>
        <v>0</v>
      </c>
      <c r="Y518" s="32" t="n">
        <f aca="false">IF(AND(OR($F518="Analogy",$F518="Assumed",$F518="Derived（待改公式）",$F518="Derived（公式）"),OR($N518="—",$N518="",$N518=0)),1,0)</f>
        <v>0</v>
      </c>
      <c r="Z518" s="32" t="n">
        <f aca="false">IF(AND($F518="Decision",OR($J518="—",$J518="")),1,0)</f>
        <v>0</v>
      </c>
      <c r="AA518" s="33" t="n">
        <f aca="false">IF(OR($J518="—",$J518=""),0,IF(COUNTIF(Decisions!$A$5:$A$300,$J518)=0,1,0))</f>
        <v>0</v>
      </c>
      <c r="AB518" s="32" t="n">
        <f aca="false">IF(AND($F518="原始數據",$S518&lt;&gt;"Active"),1,0)</f>
        <v>0</v>
      </c>
      <c r="AC518" s="32" t="n">
        <f aca="false">IF(AND(ISNUMBER($K518),ISNUMBER($L518),ISNUMBER($Q518)),IF(OR($Q518&lt;MIN($K518,$L518),$Q518&gt;MAX($K518,$L518)),1,0),0)</f>
        <v>0</v>
      </c>
      <c r="AD518" s="32" t="n">
        <f aca="false">IF(AND(ISNUMBER($T518),$P518="高"),IF($T518=3,1,0),0)</f>
        <v>0</v>
      </c>
      <c r="AE518" s="32" t="n">
        <f aca="false">IF($S518="不存在",1,0)</f>
        <v>0</v>
      </c>
      <c r="AF518" s="44" t="str">
        <f aca="false">IF(OR($H518="—",$H518=""),"—",MATCH($H518,IDX_SrcID,0))</f>
        <v>—</v>
      </c>
      <c r="AG518" s="32" t="n">
        <f aca="false">IF(AND($P518="高",OR($AD518=1,$X518=1)),1,0)</f>
        <v>0</v>
      </c>
      <c r="AH518" s="32" t="n">
        <f aca="false">IF(AND($P518="高",$AG518=0,OR($F518&lt;&gt;"原始數據",$T518&lt;&gt;1)),1,0)</f>
        <v>0</v>
      </c>
      <c r="AI518" s="44" t="str">
        <f aca="false">IF(AND($P518="高",ISNUMBER($AF518)),INDEX(IDX_SrcDate,$AF518),"—")</f>
        <v>—</v>
      </c>
      <c r="AJ518" s="32" t="n">
        <f aca="false">IF(AND(ISTEXT($AI518),LEN($AI518)=10),IF(ISNUMBER(VALUE(SUBSTITUTE($AI518,"-",""))),VALUE(SUBSTITUTE($AI518,"-","")),0),0)</f>
        <v>0</v>
      </c>
    </row>
    <row r="519" customFormat="false" ht="43.5" hidden="false" customHeight="true" outlineLevel="0" collapsed="false">
      <c r="A519" s="30" t="s">
        <v>5899</v>
      </c>
      <c r="B519" s="239" t="s">
        <v>5607</v>
      </c>
      <c r="C519" s="30" t="s">
        <v>24</v>
      </c>
      <c r="D519" s="30" t="s">
        <v>5900</v>
      </c>
      <c r="E519" s="6" t="s">
        <v>749</v>
      </c>
      <c r="F519" s="239" t="s">
        <v>5719</v>
      </c>
      <c r="G519" s="239" t="s">
        <v>5287</v>
      </c>
      <c r="H519" s="30" t="s">
        <v>751</v>
      </c>
      <c r="I519" s="20" t="s">
        <v>5901</v>
      </c>
      <c r="J519" s="30" t="s">
        <v>5902</v>
      </c>
      <c r="K519" s="239"/>
      <c r="L519" s="239"/>
      <c r="M519" s="239" t="s">
        <v>4352</v>
      </c>
      <c r="N519" s="20" t="s">
        <v>5903</v>
      </c>
      <c r="O519" s="6" t="s">
        <v>751</v>
      </c>
      <c r="P519" s="239" t="s">
        <v>4530</v>
      </c>
      <c r="Q519" s="184" t="s">
        <v>751</v>
      </c>
      <c r="R519" s="30" t="s">
        <v>751</v>
      </c>
      <c r="S519" s="44" t="str">
        <f aca="false">IF(ISNUMBER($AF519),INDEX(IDX_SrcStat,$AF519),"—")</f>
        <v>—</v>
      </c>
      <c r="T519" s="44" t="str">
        <f aca="false">IF(ISNUMBER($AF519),INDEX(IDX_SrcGrade,$AF519),"—")</f>
        <v>—</v>
      </c>
      <c r="U519" s="30" t="s">
        <v>751</v>
      </c>
      <c r="V519" s="32" t="n">
        <f aca="false">IF(AND($F519="原始數據",$U519&lt;&gt;"連結 SRC"),1,0)</f>
        <v>0</v>
      </c>
      <c r="W519" s="32" t="n">
        <f aca="false">IF(AND($F519="Analogy",OR($H519="—",$H519="")),1,0)</f>
        <v>0</v>
      </c>
      <c r="X519" s="32" t="n">
        <f aca="false">IF(AND(OR($F519="Analogy",$F519="Assumed"),$G519&lt;&gt;"低",$G519&lt;&gt;"高",NOT(ISNUMBER($K519)),NOT(ISNUMBER($L519)),OR($M519="—",$M519="")),1,0)</f>
        <v>0</v>
      </c>
      <c r="Y519" s="32" t="n">
        <f aca="false">IF(AND(OR($F519="Analogy",$F519="Assumed",$F519="Derived（待改公式）",$F519="Derived（公式）"),OR($N519="—",$N519="",$N519=0)),1,0)</f>
        <v>0</v>
      </c>
      <c r="Z519" s="32" t="n">
        <f aca="false">IF(AND($F519="Decision",OR($J519="—",$J519="")),1,0)</f>
        <v>0</v>
      </c>
      <c r="AA519" s="33" t="n">
        <f aca="false">IF(OR($J519="—",$J519=""),0,IF(COUNTIF(Decisions!$A$5:$A$300,$J519)=0,1,0))</f>
        <v>0</v>
      </c>
      <c r="AB519" s="32" t="n">
        <f aca="false">IF(AND($F519="原始數據",$S519&lt;&gt;"Active"),1,0)</f>
        <v>0</v>
      </c>
      <c r="AC519" s="32" t="n">
        <f aca="false">IF(AND(ISNUMBER($K519),ISNUMBER($L519),ISNUMBER($Q519)),IF(OR($Q519&lt;MIN($K519,$L519),$Q519&gt;MAX($K519,$L519)),1,0),0)</f>
        <v>0</v>
      </c>
      <c r="AD519" s="32" t="n">
        <f aca="false">IF(AND(ISNUMBER($T519),$P519="高"),IF($T519=3,1,0),0)</f>
        <v>0</v>
      </c>
      <c r="AE519" s="32" t="n">
        <f aca="false">IF($S519="不存在",1,0)</f>
        <v>0</v>
      </c>
      <c r="AF519" s="44" t="str">
        <f aca="false">IF(OR($H519="—",$H519=""),"—",MATCH($H519,IDX_SrcID,0))</f>
        <v>—</v>
      </c>
      <c r="AG519" s="32" t="n">
        <f aca="false">IF(AND($P519="高",OR($AD519=1,$X519=1)),1,0)</f>
        <v>0</v>
      </c>
      <c r="AH519" s="32" t="n">
        <f aca="false">IF(AND($P519="高",$AG519=0,OR($F519&lt;&gt;"原始數據",$T519&lt;&gt;1)),1,0)</f>
        <v>0</v>
      </c>
      <c r="AI519" s="44" t="str">
        <f aca="false">IF(AND($P519="高",ISNUMBER($AF519)),INDEX(IDX_SrcDate,$AF519),"—")</f>
        <v>—</v>
      </c>
      <c r="AJ519" s="32" t="n">
        <f aca="false">IF(AND(ISTEXT($AI519),LEN($AI519)=10),IF(ISNUMBER(VALUE(SUBSTITUTE($AI519,"-",""))),VALUE(SUBSTITUTE($AI519,"-","")),0),0)</f>
        <v>0</v>
      </c>
    </row>
    <row r="520" customFormat="false" ht="29.25" hidden="false" customHeight="true" outlineLevel="0" collapsed="false">
      <c r="A520" s="30" t="s">
        <v>5904</v>
      </c>
      <c r="B520" s="239" t="s">
        <v>5607</v>
      </c>
      <c r="C520" s="30" t="s">
        <v>24</v>
      </c>
      <c r="D520" s="30" t="s">
        <v>5905</v>
      </c>
      <c r="E520" s="6" t="s">
        <v>804</v>
      </c>
      <c r="F520" s="239" t="s">
        <v>5719</v>
      </c>
      <c r="G520" s="239" t="s">
        <v>5287</v>
      </c>
      <c r="H520" s="30" t="s">
        <v>751</v>
      </c>
      <c r="I520" s="20" t="s">
        <v>5901</v>
      </c>
      <c r="J520" s="30" t="s">
        <v>5902</v>
      </c>
      <c r="K520" s="239"/>
      <c r="L520" s="239"/>
      <c r="M520" s="239" t="s">
        <v>4352</v>
      </c>
      <c r="N520" s="20" t="s">
        <v>5906</v>
      </c>
      <c r="O520" s="6" t="s">
        <v>751</v>
      </c>
      <c r="P520" s="239" t="s">
        <v>4530</v>
      </c>
      <c r="Q520" s="184" t="s">
        <v>751</v>
      </c>
      <c r="R520" s="30" t="s">
        <v>751</v>
      </c>
      <c r="S520" s="44" t="str">
        <f aca="false">IF(ISNUMBER($AF520),INDEX(IDX_SrcStat,$AF520),"—")</f>
        <v>—</v>
      </c>
      <c r="T520" s="44" t="str">
        <f aca="false">IF(ISNUMBER($AF520),INDEX(IDX_SrcGrade,$AF520),"—")</f>
        <v>—</v>
      </c>
      <c r="U520" s="30" t="s">
        <v>751</v>
      </c>
      <c r="V520" s="32" t="n">
        <f aca="false">IF(AND($F520="原始數據",$U520&lt;&gt;"連結 SRC"),1,0)</f>
        <v>0</v>
      </c>
      <c r="W520" s="32" t="n">
        <f aca="false">IF(AND($F520="Analogy",OR($H520="—",$H520="")),1,0)</f>
        <v>0</v>
      </c>
      <c r="X520" s="32" t="n">
        <f aca="false">IF(AND(OR($F520="Analogy",$F520="Assumed"),$G520&lt;&gt;"低",$G520&lt;&gt;"高",NOT(ISNUMBER($K520)),NOT(ISNUMBER($L520)),OR($M520="—",$M520="")),1,0)</f>
        <v>0</v>
      </c>
      <c r="Y520" s="32" t="n">
        <f aca="false">IF(AND(OR($F520="Analogy",$F520="Assumed",$F520="Derived（待改公式）",$F520="Derived（公式）"),OR($N520="—",$N520="",$N520=0)),1,0)</f>
        <v>0</v>
      </c>
      <c r="Z520" s="32" t="n">
        <f aca="false">IF(AND($F520="Decision",OR($J520="—",$J520="")),1,0)</f>
        <v>0</v>
      </c>
      <c r="AA520" s="33" t="n">
        <f aca="false">IF(OR($J520="—",$J520=""),0,IF(COUNTIF(Decisions!$A$5:$A$300,$J520)=0,1,0))</f>
        <v>0</v>
      </c>
      <c r="AB520" s="32" t="n">
        <f aca="false">IF(AND($F520="原始數據",$S520&lt;&gt;"Active"),1,0)</f>
        <v>0</v>
      </c>
      <c r="AC520" s="32" t="n">
        <f aca="false">IF(AND(ISNUMBER($K520),ISNUMBER($L520),ISNUMBER($Q520)),IF(OR($Q520&lt;MIN($K520,$L520),$Q520&gt;MAX($K520,$L520)),1,0),0)</f>
        <v>0</v>
      </c>
      <c r="AD520" s="32" t="n">
        <f aca="false">IF(AND(ISNUMBER($T520),$P520="高"),IF($T520=3,1,0),0)</f>
        <v>0</v>
      </c>
      <c r="AE520" s="32" t="n">
        <f aca="false">IF($S520="不存在",1,0)</f>
        <v>0</v>
      </c>
      <c r="AF520" s="44" t="str">
        <f aca="false">IF(OR($H520="—",$H520=""),"—",MATCH($H520,IDX_SrcID,0))</f>
        <v>—</v>
      </c>
      <c r="AG520" s="32" t="n">
        <f aca="false">IF(AND($P520="高",OR($AD520=1,$X520=1)),1,0)</f>
        <v>0</v>
      </c>
      <c r="AH520" s="32" t="n">
        <f aca="false">IF(AND($P520="高",$AG520=0,OR($F520&lt;&gt;"原始數據",$T520&lt;&gt;1)),1,0)</f>
        <v>0</v>
      </c>
      <c r="AI520" s="44" t="str">
        <f aca="false">IF(AND($P520="高",ISNUMBER($AF520)),INDEX(IDX_SrcDate,$AF520),"—")</f>
        <v>—</v>
      </c>
      <c r="AJ520" s="32" t="n">
        <f aca="false">IF(AND(ISTEXT($AI520),LEN($AI520)=10),IF(ISNUMBER(VALUE(SUBSTITUTE($AI520,"-",""))),VALUE(SUBSTITUTE($AI520,"-","")),0),0)</f>
        <v>0</v>
      </c>
    </row>
    <row r="521" customFormat="false" ht="15" hidden="false" customHeight="true" outlineLevel="0" collapsed="false">
      <c r="A521" s="30" t="s">
        <v>5907</v>
      </c>
      <c r="B521" s="239" t="s">
        <v>5607</v>
      </c>
      <c r="C521" s="30" t="s">
        <v>24</v>
      </c>
      <c r="D521" s="30" t="s">
        <v>5908</v>
      </c>
      <c r="E521" s="6" t="s">
        <v>749</v>
      </c>
      <c r="F521" s="30" t="s">
        <v>114</v>
      </c>
      <c r="G521" s="239" t="s">
        <v>5287</v>
      </c>
      <c r="H521" s="30" t="s">
        <v>751</v>
      </c>
      <c r="I521" s="6" t="s">
        <v>751</v>
      </c>
      <c r="J521" s="30" t="s">
        <v>751</v>
      </c>
      <c r="K521" s="239"/>
      <c r="L521" s="239"/>
      <c r="M521" s="30" t="s">
        <v>5909</v>
      </c>
      <c r="N521" s="20" t="s">
        <v>5910</v>
      </c>
      <c r="O521" s="6" t="s">
        <v>751</v>
      </c>
      <c r="P521" s="239" t="s">
        <v>4530</v>
      </c>
      <c r="Q521" s="184" t="s">
        <v>751</v>
      </c>
      <c r="R521" s="30" t="s">
        <v>751</v>
      </c>
      <c r="S521" s="44" t="str">
        <f aca="false">IF(ISNUMBER($AF521),INDEX(IDX_SrcStat,$AF521),"—")</f>
        <v>—</v>
      </c>
      <c r="T521" s="44" t="str">
        <f aca="false">IF(ISNUMBER($AF521),INDEX(IDX_SrcGrade,$AF521),"—")</f>
        <v>—</v>
      </c>
      <c r="U521" s="30" t="s">
        <v>751</v>
      </c>
      <c r="V521" s="32" t="n">
        <f aca="false">IF(AND($F521="原始數據",$U521&lt;&gt;"連結 SRC"),1,0)</f>
        <v>0</v>
      </c>
      <c r="W521" s="32" t="n">
        <f aca="false">IF(AND($F521="Analogy",OR($H521="—",$H521="")),1,0)</f>
        <v>0</v>
      </c>
      <c r="X521" s="32" t="n">
        <f aca="false">IF(AND(OR($F521="Analogy",$F521="Assumed"),$G521&lt;&gt;"低",$G521&lt;&gt;"高",NOT(ISNUMBER($K521)),NOT(ISNUMBER($L521)),OR($M521="—",$M521="")),1,0)</f>
        <v>0</v>
      </c>
      <c r="Y521" s="32" t="n">
        <f aca="false">IF(AND(OR($F521="Analogy",$F521="Assumed",$F521="Derived（待改公式）",$F521="Derived（公式）"),OR($N521="—",$N521="",$N521=0)),1,0)</f>
        <v>0</v>
      </c>
      <c r="Z521" s="32" t="n">
        <f aca="false">IF(AND($F521="Decision",OR($J521="—",$J521="")),1,0)</f>
        <v>0</v>
      </c>
      <c r="AA521" s="33" t="n">
        <f aca="false">IF(OR($J521="—",$J521=""),0,IF(COUNTIF(Decisions!$A$5:$A$300,$J521)=0,1,0))</f>
        <v>0</v>
      </c>
      <c r="AB521" s="32" t="n">
        <f aca="false">IF(AND($F521="原始數據",$S521&lt;&gt;"Active"),1,0)</f>
        <v>0</v>
      </c>
      <c r="AC521" s="32" t="n">
        <f aca="false">IF(AND(ISNUMBER($K521),ISNUMBER($L521),ISNUMBER($Q521)),IF(OR($Q521&lt;MIN($K521,$L521),$Q521&gt;MAX($K521,$L521)),1,0),0)</f>
        <v>0</v>
      </c>
      <c r="AD521" s="32" t="n">
        <f aca="false">IF(AND(ISNUMBER($T521),$P521="高"),IF($T521=3,1,0),0)</f>
        <v>0</v>
      </c>
      <c r="AE521" s="32" t="n">
        <f aca="false">IF($S521="不存在",1,0)</f>
        <v>0</v>
      </c>
      <c r="AF521" s="44" t="str">
        <f aca="false">IF(OR($H521="—",$H521=""),"—",MATCH($H521,IDX_SrcID,0))</f>
        <v>—</v>
      </c>
      <c r="AG521" s="32" t="n">
        <f aca="false">IF(AND($P521="高",OR($AD521=1,$X521=1)),1,0)</f>
        <v>0</v>
      </c>
      <c r="AH521" s="32" t="n">
        <f aca="false">IF(AND($P521="高",$AG521=0,OR($F521&lt;&gt;"原始數據",$T521&lt;&gt;1)),1,0)</f>
        <v>0</v>
      </c>
      <c r="AI521" s="44" t="str">
        <f aca="false">IF(AND($P521="高",ISNUMBER($AF521)),INDEX(IDX_SrcDate,$AF521),"—")</f>
        <v>—</v>
      </c>
      <c r="AJ521" s="32" t="n">
        <f aca="false">IF(AND(ISTEXT($AI521),LEN($AI521)=10),IF(ISNUMBER(VALUE(SUBSTITUTE($AI521,"-",""))),VALUE(SUBSTITUTE($AI521,"-","")),0),0)</f>
        <v>0</v>
      </c>
    </row>
    <row r="522" customFormat="false" ht="43.5" hidden="false" customHeight="true" outlineLevel="0" collapsed="false">
      <c r="A522" s="30" t="s">
        <v>5911</v>
      </c>
      <c r="B522" s="239" t="s">
        <v>5607</v>
      </c>
      <c r="C522" s="30" t="s">
        <v>24</v>
      </c>
      <c r="D522" s="30" t="s">
        <v>5912</v>
      </c>
      <c r="E522" s="6" t="s">
        <v>749</v>
      </c>
      <c r="F522" s="30" t="s">
        <v>104</v>
      </c>
      <c r="G522" s="239" t="s">
        <v>5287</v>
      </c>
      <c r="H522" s="30" t="s">
        <v>751</v>
      </c>
      <c r="I522" s="6" t="s">
        <v>751</v>
      </c>
      <c r="J522" s="30" t="s">
        <v>5580</v>
      </c>
      <c r="K522" s="239"/>
      <c r="L522" s="239"/>
      <c r="M522" s="239" t="s">
        <v>4352</v>
      </c>
      <c r="N522" s="20" t="s">
        <v>5913</v>
      </c>
      <c r="O522" s="6" t="s">
        <v>751</v>
      </c>
      <c r="P522" s="239" t="s">
        <v>4530</v>
      </c>
      <c r="Q522" s="184" t="s">
        <v>751</v>
      </c>
      <c r="R522" s="30" t="s">
        <v>751</v>
      </c>
      <c r="S522" s="44" t="str">
        <f aca="false">IF(ISNUMBER($AF522),INDEX(IDX_SrcStat,$AF522),"—")</f>
        <v>—</v>
      </c>
      <c r="T522" s="44" t="str">
        <f aca="false">IF(ISNUMBER($AF522),INDEX(IDX_SrcGrade,$AF522),"—")</f>
        <v>—</v>
      </c>
      <c r="U522" s="30" t="s">
        <v>751</v>
      </c>
      <c r="V522" s="32" t="n">
        <f aca="false">IF(AND($F522="原始數據",$U522&lt;&gt;"連結 SRC"),1,0)</f>
        <v>0</v>
      </c>
      <c r="W522" s="32" t="n">
        <f aca="false">IF(AND($F522="Analogy",OR($H522="—",$H522="")),1,0)</f>
        <v>0</v>
      </c>
      <c r="X522" s="32" t="n">
        <f aca="false">IF(AND(OR($F522="Analogy",$F522="Assumed"),$G522&lt;&gt;"低",$G522&lt;&gt;"高",NOT(ISNUMBER($K522)),NOT(ISNUMBER($L522)),OR($M522="—",$M522="")),1,0)</f>
        <v>0</v>
      </c>
      <c r="Y522" s="32" t="n">
        <f aca="false">IF(AND(OR($F522="Analogy",$F522="Assumed",$F522="Derived（待改公式）",$F522="Derived（公式）"),OR($N522="—",$N522="",$N522=0)),1,0)</f>
        <v>0</v>
      </c>
      <c r="Z522" s="32" t="n">
        <f aca="false">IF(AND($F522="Decision",OR($J522="—",$J522="")),1,0)</f>
        <v>0</v>
      </c>
      <c r="AA522" s="33" t="n">
        <f aca="false">IF(OR($J522="—",$J522=""),0,IF(COUNTIF(Decisions!$A$5:$A$300,$J522)=0,1,0))</f>
        <v>0</v>
      </c>
      <c r="AB522" s="32" t="n">
        <f aca="false">IF(AND($F522="原始數據",$S522&lt;&gt;"Active"),1,0)</f>
        <v>0</v>
      </c>
      <c r="AC522" s="32" t="n">
        <f aca="false">IF(AND(ISNUMBER($K522),ISNUMBER($L522),ISNUMBER($Q522)),IF(OR($Q522&lt;MIN($K522,$L522),$Q522&gt;MAX($K522,$L522)),1,0),0)</f>
        <v>0</v>
      </c>
      <c r="AD522" s="32" t="n">
        <f aca="false">IF(AND(ISNUMBER($T522),$P522="高"),IF($T522=3,1,0),0)</f>
        <v>0</v>
      </c>
      <c r="AE522" s="32" t="n">
        <f aca="false">IF($S522="不存在",1,0)</f>
        <v>0</v>
      </c>
      <c r="AF522" s="44" t="str">
        <f aca="false">IF(OR($H522="—",$H522=""),"—",MATCH($H522,IDX_SrcID,0))</f>
        <v>—</v>
      </c>
      <c r="AG522" s="32" t="n">
        <f aca="false">IF(AND($P522="高",OR($AD522=1,$X522=1)),1,0)</f>
        <v>0</v>
      </c>
      <c r="AH522" s="32" t="n">
        <f aca="false">IF(AND($P522="高",$AG522=0,OR($F522&lt;&gt;"原始數據",$T522&lt;&gt;1)),1,0)</f>
        <v>0</v>
      </c>
      <c r="AI522" s="44" t="str">
        <f aca="false">IF(AND($P522="高",ISNUMBER($AF522)),INDEX(IDX_SrcDate,$AF522),"—")</f>
        <v>—</v>
      </c>
      <c r="AJ522" s="32" t="n">
        <f aca="false">IF(AND(ISTEXT($AI522),LEN($AI522)=10),IF(ISNUMBER(VALUE(SUBSTITUTE($AI522,"-",""))),VALUE(SUBSTITUTE($AI522,"-","")),0),0)</f>
        <v>0</v>
      </c>
    </row>
    <row r="523" customFormat="false" ht="57.75" hidden="false" customHeight="true" outlineLevel="0" collapsed="false">
      <c r="A523" s="30" t="s">
        <v>5914</v>
      </c>
      <c r="B523" s="239" t="s">
        <v>5607</v>
      </c>
      <c r="C523" s="30" t="s">
        <v>5560</v>
      </c>
      <c r="D523" s="30" t="s">
        <v>4690</v>
      </c>
      <c r="E523" s="20" t="s">
        <v>5915</v>
      </c>
      <c r="F523" s="30" t="s">
        <v>119</v>
      </c>
      <c r="G523" s="239" t="s">
        <v>4527</v>
      </c>
      <c r="H523" s="30" t="s">
        <v>5916</v>
      </c>
      <c r="I523" s="20" t="s">
        <v>5917</v>
      </c>
      <c r="J523" s="30" t="s">
        <v>751</v>
      </c>
      <c r="K523" s="241" t="n">
        <v>0.18</v>
      </c>
      <c r="L523" s="241" t="n">
        <v>0.35</v>
      </c>
      <c r="M523" s="30" t="s">
        <v>5918</v>
      </c>
      <c r="N523" s="20" t="s">
        <v>5919</v>
      </c>
      <c r="O523" s="6" t="s">
        <v>751</v>
      </c>
      <c r="P523" s="239" t="s">
        <v>1309</v>
      </c>
      <c r="Q523" s="194" t="n">
        <f aca="false">Train_In!C6</f>
        <v>0.25</v>
      </c>
      <c r="R523" s="184" t="n">
        <f aca="false">SRC_PERF_036_Lo</f>
        <v>0.38</v>
      </c>
      <c r="S523" s="44" t="str">
        <f aca="false">IF(ISNUMBER($AF523),INDEX(IDX_SrcStat,$AF523),"—")</f>
        <v>Active</v>
      </c>
      <c r="T523" s="44" t="n">
        <f aca="false">IF(ISNUMBER($AF523),INDEX(IDX_SrcGrade,$AF523),"—")</f>
        <v>1</v>
      </c>
      <c r="U523" s="44" t="s">
        <v>4531</v>
      </c>
      <c r="V523" s="32" t="n">
        <f aca="false">IF(AND($F523="原始數據",$U523&lt;&gt;"連結 SRC"),1,0)</f>
        <v>0</v>
      </c>
      <c r="W523" s="32" t="n">
        <f aca="false">IF(AND($F523="Analogy",OR($H523="—",$H523="")),1,0)</f>
        <v>0</v>
      </c>
      <c r="X523" s="32" t="n">
        <f aca="false">IF(AND(OR($F523="Analogy",$F523="Assumed"),$G523&lt;&gt;"低",$G523&lt;&gt;"高",NOT(ISNUMBER($K523)),NOT(ISNUMBER($L523)),OR($M523="—",$M523="")),1,0)</f>
        <v>0</v>
      </c>
      <c r="Y523" s="32" t="n">
        <f aca="false">IF(AND(OR($F523="Analogy",$F523="Assumed",$F523="Derived（待改公式）",$F523="Derived（公式）"),OR($N523="—",$N523="",$N523=0)),1,0)</f>
        <v>0</v>
      </c>
      <c r="Z523" s="32" t="n">
        <f aca="false">IF(AND($F523="Decision",OR($J523="—",$J523="")),1,0)</f>
        <v>0</v>
      </c>
      <c r="AA523" s="33" t="n">
        <f aca="false">IF(OR($J523="—",$J523=""),0,IF(COUNTIF(Decisions!$A$5:$A$300,$J523)=0,1,0))</f>
        <v>0</v>
      </c>
      <c r="AB523" s="32" t="n">
        <f aca="false">IF(AND($F523="原始數據",$S523&lt;&gt;"Active"),1,0)</f>
        <v>0</v>
      </c>
      <c r="AC523" s="32" t="n">
        <f aca="false">IF(AND(ISNUMBER($K523),ISNUMBER($L523),ISNUMBER($Q523)),IF(OR($Q523&lt;MIN($K523,$L523),$Q523&gt;MAX($K523,$L523)),1,0),0)</f>
        <v>0</v>
      </c>
      <c r="AD523" s="32" t="n">
        <f aca="false">IF(AND(ISNUMBER($T523),$P523="高"),IF($T523=3,1,0),0)</f>
        <v>0</v>
      </c>
      <c r="AE523" s="32" t="n">
        <f aca="false">IF($S523="不存在",1,0)</f>
        <v>0</v>
      </c>
      <c r="AF523" s="44" t="n">
        <f aca="false">IF(OR($H523="—",$H523=""),"—",MATCH($H523,IDX_SrcID,0))</f>
        <v>330</v>
      </c>
      <c r="AG523" s="32" t="n">
        <f aca="false">IF(AND($P523="高",OR($AD523=1,$X523=1)),1,0)</f>
        <v>0</v>
      </c>
      <c r="AH523" s="32" t="n">
        <f aca="false">IF(AND($P523="高",$AG523=0,OR($F523&lt;&gt;"原始數據",$T523&lt;&gt;1)),1,0)</f>
        <v>1</v>
      </c>
      <c r="AI523" s="44" t="str">
        <f aca="false">IF(AND($P523="高",ISNUMBER($AF523)),INDEX(IDX_SrcDate,$AF523),"—")</f>
        <v>2026-10-05</v>
      </c>
      <c r="AJ523" s="32" t="n">
        <f aca="false">IF(AND(ISTEXT($AI523),LEN($AI523)=10),IF(ISNUMBER(VALUE(SUBSTITUTE($AI523,"-",""))),VALUE(SUBSTITUTE($AI523,"-","")),0),0)</f>
        <v>20261005</v>
      </c>
    </row>
    <row r="524" customFormat="false" ht="57.75" hidden="false" customHeight="true" outlineLevel="0" collapsed="false">
      <c r="A524" s="30" t="s">
        <v>5920</v>
      </c>
      <c r="B524" s="239" t="s">
        <v>5607</v>
      </c>
      <c r="C524" s="30" t="s">
        <v>5560</v>
      </c>
      <c r="D524" s="30" t="s">
        <v>5017</v>
      </c>
      <c r="E524" s="6" t="s">
        <v>1070</v>
      </c>
      <c r="F524" s="30" t="s">
        <v>119</v>
      </c>
      <c r="G524" s="239" t="s">
        <v>4527</v>
      </c>
      <c r="H524" s="30" t="s">
        <v>5921</v>
      </c>
      <c r="I524" s="20" t="s">
        <v>5922</v>
      </c>
      <c r="J524" s="30" t="s">
        <v>751</v>
      </c>
      <c r="K524" s="241" t="n">
        <v>0.8</v>
      </c>
      <c r="L524" s="241" t="n">
        <v>0.95</v>
      </c>
      <c r="M524" s="30" t="s">
        <v>5923</v>
      </c>
      <c r="N524" s="6" t="s">
        <v>5924</v>
      </c>
      <c r="O524" s="6" t="s">
        <v>751</v>
      </c>
      <c r="P524" s="239" t="s">
        <v>1309</v>
      </c>
      <c r="Q524" s="194" t="n">
        <f aca="false">Train_In!C7</f>
        <v>0.9</v>
      </c>
      <c r="R524" s="184" t="n">
        <f aca="false">SRC_PERF_037</f>
        <v>0.9</v>
      </c>
      <c r="S524" s="44" t="str">
        <f aca="false">IF(ISNUMBER($AF524),INDEX(IDX_SrcStat,$AF524),"—")</f>
        <v>Active</v>
      </c>
      <c r="T524" s="44" t="n">
        <f aca="false">IF(ISNUMBER($AF524),INDEX(IDX_SrcGrade,$AF524),"—")</f>
        <v>1</v>
      </c>
      <c r="U524" s="44" t="s">
        <v>4531</v>
      </c>
      <c r="V524" s="32" t="n">
        <f aca="false">IF(AND($F524="原始數據",$U524&lt;&gt;"連結 SRC"),1,0)</f>
        <v>0</v>
      </c>
      <c r="W524" s="32" t="n">
        <f aca="false">IF(AND($F524="Analogy",OR($H524="—",$H524="")),1,0)</f>
        <v>0</v>
      </c>
      <c r="X524" s="32" t="n">
        <f aca="false">IF(AND(OR($F524="Analogy",$F524="Assumed"),$G524&lt;&gt;"低",$G524&lt;&gt;"高",NOT(ISNUMBER($K524)),NOT(ISNUMBER($L524)),OR($M524="—",$M524="")),1,0)</f>
        <v>0</v>
      </c>
      <c r="Y524" s="32" t="n">
        <f aca="false">IF(AND(OR($F524="Analogy",$F524="Assumed",$F524="Derived（待改公式）",$F524="Derived（公式）"),OR($N524="—",$N524="",$N524=0)),1,0)</f>
        <v>0</v>
      </c>
      <c r="Z524" s="32" t="n">
        <f aca="false">IF(AND($F524="Decision",OR($J524="—",$J524="")),1,0)</f>
        <v>0</v>
      </c>
      <c r="AA524" s="33" t="n">
        <f aca="false">IF(OR($J524="—",$J524=""),0,IF(COUNTIF(Decisions!$A$5:$A$300,$J524)=0,1,0))</f>
        <v>0</v>
      </c>
      <c r="AB524" s="32" t="n">
        <f aca="false">IF(AND($F524="原始數據",$S524&lt;&gt;"Active"),1,0)</f>
        <v>0</v>
      </c>
      <c r="AC524" s="32" t="n">
        <f aca="false">IF(AND(ISNUMBER($K524),ISNUMBER($L524),ISNUMBER($Q524)),IF(OR($Q524&lt;MIN($K524,$L524),$Q524&gt;MAX($K524,$L524)),1,0),0)</f>
        <v>0</v>
      </c>
      <c r="AD524" s="32" t="n">
        <f aca="false">IF(AND(ISNUMBER($T524),$P524="高"),IF($T524=3,1,0),0)</f>
        <v>0</v>
      </c>
      <c r="AE524" s="32" t="n">
        <f aca="false">IF($S524="不存在",1,0)</f>
        <v>0</v>
      </c>
      <c r="AF524" s="44" t="n">
        <f aca="false">IF(OR($H524="—",$H524=""),"—",MATCH($H524,IDX_SrcID,0))</f>
        <v>331</v>
      </c>
      <c r="AG524" s="32" t="n">
        <f aca="false">IF(AND($P524="高",OR($AD524=1,$X524=1)),1,0)</f>
        <v>0</v>
      </c>
      <c r="AH524" s="32" t="n">
        <f aca="false">IF(AND($P524="高",$AG524=0,OR($F524&lt;&gt;"原始數據",$T524&lt;&gt;1)),1,0)</f>
        <v>1</v>
      </c>
      <c r="AI524" s="44" t="str">
        <f aca="false">IF(AND($P524="高",ISNUMBER($AF524)),INDEX(IDX_SrcDate,$AF524),"—")</f>
        <v>2026-10-05</v>
      </c>
      <c r="AJ524" s="32" t="n">
        <f aca="false">IF(AND(ISTEXT($AI524),LEN($AI524)=10),IF(ISNUMBER(VALUE(SUBSTITUTE($AI524,"-",""))),VALUE(SUBSTITUTE($AI524,"-","")),0),0)</f>
        <v>20261005</v>
      </c>
    </row>
    <row r="525" customFormat="false" ht="29.25" hidden="false" customHeight="true" outlineLevel="0" collapsed="false">
      <c r="A525" s="30" t="s">
        <v>5925</v>
      </c>
      <c r="B525" s="239" t="s">
        <v>5607</v>
      </c>
      <c r="C525" s="30" t="s">
        <v>5560</v>
      </c>
      <c r="D525" s="30" t="s">
        <v>4703</v>
      </c>
      <c r="E525" s="6" t="s">
        <v>1072</v>
      </c>
      <c r="F525" s="30" t="s">
        <v>114</v>
      </c>
      <c r="G525" s="239" t="s">
        <v>4527</v>
      </c>
      <c r="H525" s="30" t="s">
        <v>751</v>
      </c>
      <c r="I525" s="6" t="s">
        <v>751</v>
      </c>
      <c r="J525" s="30" t="s">
        <v>751</v>
      </c>
      <c r="K525" s="241" t="n">
        <v>0.6</v>
      </c>
      <c r="L525" s="241" t="n">
        <v>1</v>
      </c>
      <c r="M525" s="30" t="s">
        <v>5926</v>
      </c>
      <c r="N525" s="6" t="s">
        <v>5927</v>
      </c>
      <c r="O525" s="6" t="s">
        <v>751</v>
      </c>
      <c r="P525" s="239" t="s">
        <v>1308</v>
      </c>
      <c r="Q525" s="192" t="n">
        <f aca="false">Train_In!C8</f>
        <v>0.8</v>
      </c>
      <c r="R525" s="30" t="s">
        <v>751</v>
      </c>
      <c r="S525" s="44" t="str">
        <f aca="false">IF(ISNUMBER($AF525),INDEX(IDX_SrcStat,$AF525),"—")</f>
        <v>—</v>
      </c>
      <c r="T525" s="44" t="str">
        <f aca="false">IF(ISNUMBER($AF525),INDEX(IDX_SrcGrade,$AF525),"—")</f>
        <v>—</v>
      </c>
      <c r="U525" s="44" t="s">
        <v>4531</v>
      </c>
      <c r="V525" s="32" t="n">
        <f aca="false">IF(AND($F525="原始數據",$U525&lt;&gt;"連結 SRC"),1,0)</f>
        <v>0</v>
      </c>
      <c r="W525" s="32" t="n">
        <f aca="false">IF(AND($F525="Analogy",OR($H525="—",$H525="")),1,0)</f>
        <v>0</v>
      </c>
      <c r="X525" s="32" t="n">
        <f aca="false">IF(AND(OR($F525="Analogy",$F525="Assumed"),$G525&lt;&gt;"低",$G525&lt;&gt;"高",NOT(ISNUMBER($K525)),NOT(ISNUMBER($L525)),OR($M525="—",$M525="")),1,0)</f>
        <v>0</v>
      </c>
      <c r="Y525" s="32" t="n">
        <f aca="false">IF(AND(OR($F525="Analogy",$F525="Assumed",$F525="Derived（待改公式）",$F525="Derived（公式）"),OR($N525="—",$N525="",$N525=0)),1,0)</f>
        <v>0</v>
      </c>
      <c r="Z525" s="32" t="n">
        <f aca="false">IF(AND($F525="Decision",OR($J525="—",$J525="")),1,0)</f>
        <v>0</v>
      </c>
      <c r="AA525" s="33" t="n">
        <f aca="false">IF(OR($J525="—",$J525=""),0,IF(COUNTIF(Decisions!$A$5:$A$300,$J525)=0,1,0))</f>
        <v>0</v>
      </c>
      <c r="AB525" s="32" t="n">
        <f aca="false">IF(AND($F525="原始數據",$S525&lt;&gt;"Active"),1,0)</f>
        <v>0</v>
      </c>
      <c r="AC525" s="32" t="n">
        <f aca="false">IF(AND(ISNUMBER($K525),ISNUMBER($L525),ISNUMBER($Q525)),IF(OR($Q525&lt;MIN($K525,$L525),$Q525&gt;MAX($K525,$L525)),1,0),0)</f>
        <v>0</v>
      </c>
      <c r="AD525" s="32" t="n">
        <f aca="false">IF(AND(ISNUMBER($T525),$P525="高"),IF($T525=3,1,0),0)</f>
        <v>0</v>
      </c>
      <c r="AE525" s="32" t="n">
        <f aca="false">IF($S525="不存在",1,0)</f>
        <v>0</v>
      </c>
      <c r="AF525" s="44" t="str">
        <f aca="false">IF(OR($H525="—",$H525=""),"—",MATCH($H525,IDX_SrcID,0))</f>
        <v>—</v>
      </c>
      <c r="AG525" s="32" t="n">
        <f aca="false">IF(AND($P525="高",OR($AD525=1,$X525=1)),1,0)</f>
        <v>0</v>
      </c>
      <c r="AH525" s="32" t="n">
        <f aca="false">IF(AND($P525="高",$AG525=0,OR($F525&lt;&gt;"原始數據",$T525&lt;&gt;1)),1,0)</f>
        <v>0</v>
      </c>
      <c r="AI525" s="44" t="str">
        <f aca="false">IF(AND($P525="高",ISNUMBER($AF525)),INDEX(IDX_SrcDate,$AF525),"—")</f>
        <v>—</v>
      </c>
      <c r="AJ525" s="32" t="n">
        <f aca="false">IF(AND(ISTEXT($AI525),LEN($AI525)=10),IF(ISNUMBER(VALUE(SUBSTITUTE($AI525,"-",""))),VALUE(SUBSTITUTE($AI525,"-","")),0),0)</f>
        <v>0</v>
      </c>
    </row>
    <row r="526" customFormat="false" ht="29.25" hidden="false" customHeight="true" outlineLevel="0" collapsed="false">
      <c r="A526" s="30" t="s">
        <v>5928</v>
      </c>
      <c r="B526" s="239" t="s">
        <v>5607</v>
      </c>
      <c r="C526" s="30" t="s">
        <v>5560</v>
      </c>
      <c r="D526" s="30" t="s">
        <v>4717</v>
      </c>
      <c r="E526" s="6" t="s">
        <v>1074</v>
      </c>
      <c r="F526" s="30" t="s">
        <v>114</v>
      </c>
      <c r="G526" s="239" t="s">
        <v>4527</v>
      </c>
      <c r="H526" s="30" t="s">
        <v>751</v>
      </c>
      <c r="I526" s="6" t="s">
        <v>751</v>
      </c>
      <c r="J526" s="30" t="s">
        <v>751</v>
      </c>
      <c r="K526" s="241" t="n">
        <v>0.4</v>
      </c>
      <c r="L526" s="241" t="n">
        <v>0.9</v>
      </c>
      <c r="M526" s="30" t="s">
        <v>5929</v>
      </c>
      <c r="N526" s="6" t="s">
        <v>5930</v>
      </c>
      <c r="O526" s="6" t="s">
        <v>751</v>
      </c>
      <c r="P526" s="239" t="s">
        <v>4586</v>
      </c>
      <c r="Q526" s="192" t="n">
        <f aca="false">Train_In!C9</f>
        <v>0.6</v>
      </c>
      <c r="R526" s="30" t="s">
        <v>751</v>
      </c>
      <c r="S526" s="44" t="str">
        <f aca="false">IF(ISNUMBER($AF526),INDEX(IDX_SrcStat,$AF526),"—")</f>
        <v>—</v>
      </c>
      <c r="T526" s="44" t="str">
        <f aca="false">IF(ISNUMBER($AF526),INDEX(IDX_SrcGrade,$AF526),"—")</f>
        <v>—</v>
      </c>
      <c r="U526" s="44" t="s">
        <v>4531</v>
      </c>
      <c r="V526" s="32" t="n">
        <f aca="false">IF(AND($F526="原始數據",$U526&lt;&gt;"連結 SRC"),1,0)</f>
        <v>0</v>
      </c>
      <c r="W526" s="32" t="n">
        <f aca="false">IF(AND($F526="Analogy",OR($H526="—",$H526="")),1,0)</f>
        <v>0</v>
      </c>
      <c r="X526" s="32" t="n">
        <f aca="false">IF(AND(OR($F526="Analogy",$F526="Assumed"),$G526&lt;&gt;"低",$G526&lt;&gt;"高",NOT(ISNUMBER($K526)),NOT(ISNUMBER($L526)),OR($M526="—",$M526="")),1,0)</f>
        <v>0</v>
      </c>
      <c r="Y526" s="32" t="n">
        <f aca="false">IF(AND(OR($F526="Analogy",$F526="Assumed",$F526="Derived（待改公式）",$F526="Derived（公式）"),OR($N526="—",$N526="",$N526=0)),1,0)</f>
        <v>0</v>
      </c>
      <c r="Z526" s="32" t="n">
        <f aca="false">IF(AND($F526="Decision",OR($J526="—",$J526="")),1,0)</f>
        <v>0</v>
      </c>
      <c r="AA526" s="33" t="n">
        <f aca="false">IF(OR($J526="—",$J526=""),0,IF(COUNTIF(Decisions!$A$5:$A$300,$J526)=0,1,0))</f>
        <v>0</v>
      </c>
      <c r="AB526" s="32" t="n">
        <f aca="false">IF(AND($F526="原始數據",$S526&lt;&gt;"Active"),1,0)</f>
        <v>0</v>
      </c>
      <c r="AC526" s="32" t="n">
        <f aca="false">IF(AND(ISNUMBER($K526),ISNUMBER($L526),ISNUMBER($Q526)),IF(OR($Q526&lt;MIN($K526,$L526),$Q526&gt;MAX($K526,$L526)),1,0),0)</f>
        <v>0</v>
      </c>
      <c r="AD526" s="32" t="n">
        <f aca="false">IF(AND(ISNUMBER($T526),$P526="高"),IF($T526=3,1,0),0)</f>
        <v>0</v>
      </c>
      <c r="AE526" s="32" t="n">
        <f aca="false">IF($S526="不存在",1,0)</f>
        <v>0</v>
      </c>
      <c r="AF526" s="44" t="str">
        <f aca="false">IF(OR($H526="—",$H526=""),"—",MATCH($H526,IDX_SrcID,0))</f>
        <v>—</v>
      </c>
      <c r="AG526" s="32" t="n">
        <f aca="false">IF(AND($P526="高",OR($AD526=1,$X526=1)),1,0)</f>
        <v>0</v>
      </c>
      <c r="AH526" s="32" t="n">
        <f aca="false">IF(AND($P526="高",$AG526=0,OR($F526&lt;&gt;"原始數據",$T526&lt;&gt;1)),1,0)</f>
        <v>0</v>
      </c>
      <c r="AI526" s="44" t="str">
        <f aca="false">IF(AND($P526="高",ISNUMBER($AF526)),INDEX(IDX_SrcDate,$AF526),"—")</f>
        <v>—</v>
      </c>
      <c r="AJ526" s="32" t="n">
        <f aca="false">IF(AND(ISTEXT($AI526),LEN($AI526)=10),IF(ISNUMBER(VALUE(SUBSTITUTE($AI526,"-",""))),VALUE(SUBSTITUTE($AI526,"-","")),0),0)</f>
        <v>0</v>
      </c>
    </row>
    <row r="527" customFormat="false" ht="29.25" hidden="false" customHeight="true" outlineLevel="0" collapsed="false">
      <c r="A527" s="30" t="s">
        <v>5931</v>
      </c>
      <c r="B527" s="239" t="s">
        <v>5607</v>
      </c>
      <c r="C527" s="30" t="s">
        <v>5560</v>
      </c>
      <c r="D527" s="30" t="s">
        <v>4737</v>
      </c>
      <c r="E527" s="20" t="s">
        <v>5932</v>
      </c>
      <c r="F527" s="30" t="s">
        <v>114</v>
      </c>
      <c r="G527" s="239" t="s">
        <v>4527</v>
      </c>
      <c r="H527" s="30" t="s">
        <v>751</v>
      </c>
      <c r="I527" s="6" t="s">
        <v>751</v>
      </c>
      <c r="J527" s="30" t="s">
        <v>751</v>
      </c>
      <c r="K527" s="241" t="n">
        <v>0</v>
      </c>
      <c r="L527" s="241" t="n">
        <v>1</v>
      </c>
      <c r="M527" s="30" t="s">
        <v>5933</v>
      </c>
      <c r="N527" s="6" t="s">
        <v>5934</v>
      </c>
      <c r="O527" s="6" t="s">
        <v>751</v>
      </c>
      <c r="P527" s="239" t="s">
        <v>4530</v>
      </c>
      <c r="Q527" s="33" t="n">
        <f aca="false">Train_In!C10</f>
        <v>0</v>
      </c>
      <c r="R527" s="30" t="s">
        <v>751</v>
      </c>
      <c r="S527" s="44" t="str">
        <f aca="false">IF(ISNUMBER($AF527),INDEX(IDX_SrcStat,$AF527),"—")</f>
        <v>—</v>
      </c>
      <c r="T527" s="44" t="str">
        <f aca="false">IF(ISNUMBER($AF527),INDEX(IDX_SrcGrade,$AF527),"—")</f>
        <v>—</v>
      </c>
      <c r="U527" s="44" t="s">
        <v>4531</v>
      </c>
      <c r="V527" s="32" t="n">
        <f aca="false">IF(AND($F527="原始數據",$U527&lt;&gt;"連結 SRC"),1,0)</f>
        <v>0</v>
      </c>
      <c r="W527" s="32" t="n">
        <f aca="false">IF(AND($F527="Analogy",OR($H527="—",$H527="")),1,0)</f>
        <v>0</v>
      </c>
      <c r="X527" s="32" t="n">
        <f aca="false">IF(AND(OR($F527="Analogy",$F527="Assumed"),$G527&lt;&gt;"低",$G527&lt;&gt;"高",NOT(ISNUMBER($K527)),NOT(ISNUMBER($L527)),OR($M527="—",$M527="")),1,0)</f>
        <v>0</v>
      </c>
      <c r="Y527" s="32" t="n">
        <f aca="false">IF(AND(OR($F527="Analogy",$F527="Assumed",$F527="Derived（待改公式）",$F527="Derived（公式）"),OR($N527="—",$N527="",$N527=0)),1,0)</f>
        <v>0</v>
      </c>
      <c r="Z527" s="32" t="n">
        <f aca="false">IF(AND($F527="Decision",OR($J527="—",$J527="")),1,0)</f>
        <v>0</v>
      </c>
      <c r="AA527" s="33" t="n">
        <f aca="false">IF(OR($J527="—",$J527=""),0,IF(COUNTIF(Decisions!$A$5:$A$300,$J527)=0,1,0))</f>
        <v>0</v>
      </c>
      <c r="AB527" s="32" t="n">
        <f aca="false">IF(AND($F527="原始數據",$S527&lt;&gt;"Active"),1,0)</f>
        <v>0</v>
      </c>
      <c r="AC527" s="32" t="n">
        <f aca="false">IF(AND(ISNUMBER($K527),ISNUMBER($L527),ISNUMBER($Q527)),IF(OR($Q527&lt;MIN($K527,$L527),$Q527&gt;MAX($K527,$L527)),1,0),0)</f>
        <v>0</v>
      </c>
      <c r="AD527" s="32" t="n">
        <f aca="false">IF(AND(ISNUMBER($T527),$P527="高"),IF($T527=3,1,0),0)</f>
        <v>0</v>
      </c>
      <c r="AE527" s="32" t="n">
        <f aca="false">IF($S527="不存在",1,0)</f>
        <v>0</v>
      </c>
      <c r="AF527" s="44" t="str">
        <f aca="false">IF(OR($H527="—",$H527=""),"—",MATCH($H527,IDX_SrcID,0))</f>
        <v>—</v>
      </c>
      <c r="AG527" s="32" t="n">
        <f aca="false">IF(AND($P527="高",OR($AD527=1,$X527=1)),1,0)</f>
        <v>0</v>
      </c>
      <c r="AH527" s="32" t="n">
        <f aca="false">IF(AND($P527="高",$AG527=0,OR($F527&lt;&gt;"原始數據",$T527&lt;&gt;1)),1,0)</f>
        <v>0</v>
      </c>
      <c r="AI527" s="44" t="str">
        <f aca="false">IF(AND($P527="高",ISNUMBER($AF527)),INDEX(IDX_SrcDate,$AF527),"—")</f>
        <v>—</v>
      </c>
      <c r="AJ527" s="32" t="n">
        <f aca="false">IF(AND(ISTEXT($AI527),LEN($AI527)=10),IF(ISNUMBER(VALUE(SUBSTITUTE($AI527,"-",""))),VALUE(SUBSTITUTE($AI527,"-","")),0),0)</f>
        <v>0</v>
      </c>
    </row>
    <row r="528" customFormat="false" ht="43.5" hidden="false" customHeight="true" outlineLevel="0" collapsed="false">
      <c r="A528" s="30" t="s">
        <v>5935</v>
      </c>
      <c r="B528" s="239" t="s">
        <v>5607</v>
      </c>
      <c r="C528" s="30" t="s">
        <v>5560</v>
      </c>
      <c r="D528" s="30" t="s">
        <v>4748</v>
      </c>
      <c r="E528" s="6" t="s">
        <v>1078</v>
      </c>
      <c r="F528" s="30" t="s">
        <v>119</v>
      </c>
      <c r="G528" s="239" t="s">
        <v>4527</v>
      </c>
      <c r="H528" s="30" t="s">
        <v>5886</v>
      </c>
      <c r="I528" s="20" t="s">
        <v>5936</v>
      </c>
      <c r="J528" s="30" t="s">
        <v>751</v>
      </c>
      <c r="K528" s="194" t="n">
        <f aca="false">Sens_Train!S64</f>
        <v>0.6</v>
      </c>
      <c r="L528" s="194" t="n">
        <f aca="false">Sens_Train!U64</f>
        <v>0.95</v>
      </c>
      <c r="M528" s="30" t="s">
        <v>751</v>
      </c>
      <c r="N528" s="6" t="s">
        <v>5937</v>
      </c>
      <c r="O528" s="6" t="s">
        <v>751</v>
      </c>
      <c r="P528" s="239" t="s">
        <v>4586</v>
      </c>
      <c r="Q528" s="194" t="n">
        <f aca="false">Train_In!C11</f>
        <v>0.85</v>
      </c>
      <c r="R528" s="184" t="n">
        <f aca="false">SRC_MOD_046</f>
        <v>1.5</v>
      </c>
      <c r="S528" s="44" t="str">
        <f aca="false">IF(ISNUMBER($AF528),INDEX(IDX_SrcStat,$AF528),"—")</f>
        <v>Active</v>
      </c>
      <c r="T528" s="44" t="n">
        <f aca="false">IF(ISNUMBER($AF528),INDEX(IDX_SrcGrade,$AF528),"—")</f>
        <v>2</v>
      </c>
      <c r="U528" s="44" t="s">
        <v>4531</v>
      </c>
      <c r="V528" s="32" t="n">
        <f aca="false">IF(AND($F528="原始數據",$U528&lt;&gt;"連結 SRC"),1,0)</f>
        <v>0</v>
      </c>
      <c r="W528" s="32" t="n">
        <f aca="false">IF(AND($F528="Analogy",OR($H528="—",$H528="")),1,0)</f>
        <v>0</v>
      </c>
      <c r="X528" s="32" t="n">
        <f aca="false">IF(AND(OR($F528="Analogy",$F528="Assumed"),$G528&lt;&gt;"低",$G528&lt;&gt;"高",NOT(ISNUMBER($K528)),NOT(ISNUMBER($L528)),OR($M528="—",$M528="")),1,0)</f>
        <v>0</v>
      </c>
      <c r="Y528" s="32" t="n">
        <f aca="false">IF(AND(OR($F528="Analogy",$F528="Assumed",$F528="Derived（待改公式）",$F528="Derived（公式）"),OR($N528="—",$N528="",$N528=0)),1,0)</f>
        <v>0</v>
      </c>
      <c r="Z528" s="32" t="n">
        <f aca="false">IF(AND($F528="Decision",OR($J528="—",$J528="")),1,0)</f>
        <v>0</v>
      </c>
      <c r="AA528" s="33" t="n">
        <f aca="false">IF(OR($J528="—",$J528=""),0,IF(COUNTIF(Decisions!$A$5:$A$300,$J528)=0,1,0))</f>
        <v>0</v>
      </c>
      <c r="AB528" s="32" t="n">
        <f aca="false">IF(AND($F528="原始數據",$S528&lt;&gt;"Active"),1,0)</f>
        <v>0</v>
      </c>
      <c r="AC528" s="32" t="n">
        <f aca="false">IF(AND(ISNUMBER($K528),ISNUMBER($L528),ISNUMBER($Q528)),IF(OR($Q528&lt;MIN($K528,$L528),$Q528&gt;MAX($K528,$L528)),1,0),0)</f>
        <v>0</v>
      </c>
      <c r="AD528" s="32" t="n">
        <f aca="false">IF(AND(ISNUMBER($T528),$P528="高"),IF($T528=3,1,0),0)</f>
        <v>0</v>
      </c>
      <c r="AE528" s="32" t="n">
        <f aca="false">IF($S528="不存在",1,0)</f>
        <v>0</v>
      </c>
      <c r="AF528" s="44" t="n">
        <f aca="false">IF(OR($H528="—",$H528=""),"—",MATCH($H528,IDX_SrcID,0))</f>
        <v>229</v>
      </c>
      <c r="AG528" s="32" t="n">
        <f aca="false">IF(AND($P528="高",OR($AD528=1,$X528=1)),1,0)</f>
        <v>0</v>
      </c>
      <c r="AH528" s="32" t="n">
        <f aca="false">IF(AND($P528="高",$AG528=0,OR($F528&lt;&gt;"原始數據",$T528&lt;&gt;1)),1,0)</f>
        <v>0</v>
      </c>
      <c r="AI528" s="44" t="str">
        <f aca="false">IF(AND($P528="高",ISNUMBER($AF528)),INDEX(IDX_SrcDate,$AF528),"—")</f>
        <v>—</v>
      </c>
      <c r="AJ528" s="32" t="n">
        <f aca="false">IF(AND(ISTEXT($AI528),LEN($AI528)=10),IF(ISNUMBER(VALUE(SUBSTITUTE($AI528,"-",""))),VALUE(SUBSTITUTE($AI528,"-","")),0),0)</f>
        <v>0</v>
      </c>
    </row>
    <row r="529" customFormat="false" ht="29.25" hidden="false" customHeight="true" outlineLevel="0" collapsed="false">
      <c r="A529" s="30" t="s">
        <v>5938</v>
      </c>
      <c r="B529" s="239" t="s">
        <v>5607</v>
      </c>
      <c r="C529" s="30" t="s">
        <v>5560</v>
      </c>
      <c r="D529" s="30" t="s">
        <v>4769</v>
      </c>
      <c r="E529" s="6" t="s">
        <v>1080</v>
      </c>
      <c r="F529" s="30" t="s">
        <v>114</v>
      </c>
      <c r="G529" s="239" t="s">
        <v>4527</v>
      </c>
      <c r="H529" s="30" t="s">
        <v>751</v>
      </c>
      <c r="I529" s="6" t="s">
        <v>751</v>
      </c>
      <c r="J529" s="30" t="s">
        <v>751</v>
      </c>
      <c r="K529" s="241" t="n">
        <v>8</v>
      </c>
      <c r="L529" s="241" t="n">
        <v>64</v>
      </c>
      <c r="M529" s="30" t="s">
        <v>5939</v>
      </c>
      <c r="N529" s="6" t="s">
        <v>5940</v>
      </c>
      <c r="O529" s="6" t="s">
        <v>5685</v>
      </c>
      <c r="P529" s="239" t="s">
        <v>1308</v>
      </c>
      <c r="Q529" s="33" t="n">
        <f aca="false">Train_In!C12</f>
        <v>16</v>
      </c>
      <c r="R529" s="30" t="s">
        <v>751</v>
      </c>
      <c r="S529" s="44" t="str">
        <f aca="false">IF(ISNUMBER($AF529),INDEX(IDX_SrcStat,$AF529),"—")</f>
        <v>—</v>
      </c>
      <c r="T529" s="44" t="str">
        <f aca="false">IF(ISNUMBER($AF529),INDEX(IDX_SrcGrade,$AF529),"—")</f>
        <v>—</v>
      </c>
      <c r="U529" s="44" t="s">
        <v>4531</v>
      </c>
      <c r="V529" s="32" t="n">
        <f aca="false">IF(AND($F529="原始數據",$U529&lt;&gt;"連結 SRC"),1,0)</f>
        <v>0</v>
      </c>
      <c r="W529" s="32" t="n">
        <f aca="false">IF(AND($F529="Analogy",OR($H529="—",$H529="")),1,0)</f>
        <v>0</v>
      </c>
      <c r="X529" s="32" t="n">
        <f aca="false">IF(AND(OR($F529="Analogy",$F529="Assumed"),$G529&lt;&gt;"低",$G529&lt;&gt;"高",NOT(ISNUMBER($K529)),NOT(ISNUMBER($L529)),OR($M529="—",$M529="")),1,0)</f>
        <v>0</v>
      </c>
      <c r="Y529" s="32" t="n">
        <f aca="false">IF(AND(OR($F529="Analogy",$F529="Assumed",$F529="Derived（待改公式）",$F529="Derived（公式）"),OR($N529="—",$N529="",$N529=0)),1,0)</f>
        <v>0</v>
      </c>
      <c r="Z529" s="32" t="n">
        <f aca="false">IF(AND($F529="Decision",OR($J529="—",$J529="")),1,0)</f>
        <v>0</v>
      </c>
      <c r="AA529" s="33" t="n">
        <f aca="false">IF(OR($J529="—",$J529=""),0,IF(COUNTIF(Decisions!$A$5:$A$300,$J529)=0,1,0))</f>
        <v>0</v>
      </c>
      <c r="AB529" s="32" t="n">
        <f aca="false">IF(AND($F529="原始數據",$S529&lt;&gt;"Active"),1,0)</f>
        <v>0</v>
      </c>
      <c r="AC529" s="32" t="n">
        <f aca="false">IF(AND(ISNUMBER($K529),ISNUMBER($L529),ISNUMBER($Q529)),IF(OR($Q529&lt;MIN($K529,$L529),$Q529&gt;MAX($K529,$L529)),1,0),0)</f>
        <v>0</v>
      </c>
      <c r="AD529" s="32" t="n">
        <f aca="false">IF(AND(ISNUMBER($T529),$P529="高"),IF($T529=3,1,0),0)</f>
        <v>0</v>
      </c>
      <c r="AE529" s="32" t="n">
        <f aca="false">IF($S529="不存在",1,0)</f>
        <v>0</v>
      </c>
      <c r="AF529" s="44" t="str">
        <f aca="false">IF(OR($H529="—",$H529=""),"—",MATCH($H529,IDX_SrcID,0))</f>
        <v>—</v>
      </c>
      <c r="AG529" s="32" t="n">
        <f aca="false">IF(AND($P529="高",OR($AD529=1,$X529=1)),1,0)</f>
        <v>0</v>
      </c>
      <c r="AH529" s="32" t="n">
        <f aca="false">IF(AND($P529="高",$AG529=0,OR($F529&lt;&gt;"原始數據",$T529&lt;&gt;1)),1,0)</f>
        <v>0</v>
      </c>
      <c r="AI529" s="44" t="str">
        <f aca="false">IF(AND($P529="高",ISNUMBER($AF529)),INDEX(IDX_SrcDate,$AF529),"—")</f>
        <v>—</v>
      </c>
      <c r="AJ529" s="32" t="n">
        <f aca="false">IF(AND(ISTEXT($AI529),LEN($AI529)=10),IF(ISNUMBER(VALUE(SUBSTITUTE($AI529,"-",""))),VALUE(SUBSTITUTE($AI529,"-","")),0),0)</f>
        <v>0</v>
      </c>
    </row>
    <row r="530" customFormat="false" ht="57.75" hidden="false" customHeight="true" outlineLevel="0" collapsed="false">
      <c r="A530" s="30" t="s">
        <v>5941</v>
      </c>
      <c r="B530" s="239" t="s">
        <v>5607</v>
      </c>
      <c r="C530" s="30" t="s">
        <v>5560</v>
      </c>
      <c r="D530" s="30" t="s">
        <v>4789</v>
      </c>
      <c r="E530" s="20" t="s">
        <v>5942</v>
      </c>
      <c r="F530" s="30" t="s">
        <v>119</v>
      </c>
      <c r="G530" s="239" t="s">
        <v>4527</v>
      </c>
      <c r="H530" s="30" t="s">
        <v>3319</v>
      </c>
      <c r="I530" s="20" t="s">
        <v>5943</v>
      </c>
      <c r="J530" s="30" t="s">
        <v>5944</v>
      </c>
      <c r="K530" s="199" t="n">
        <f aca="false">Sens_Train!AC119</f>
        <v>4.4</v>
      </c>
      <c r="L530" s="199" t="n">
        <f aca="false">Sens_Train!AE119</f>
        <v>10.4</v>
      </c>
      <c r="M530" s="30" t="s">
        <v>751</v>
      </c>
      <c r="N530" s="6" t="s">
        <v>5945</v>
      </c>
      <c r="O530" s="6" t="s">
        <v>751</v>
      </c>
      <c r="P530" s="239" t="s">
        <v>1309</v>
      </c>
      <c r="Q530" s="199" t="n">
        <f aca="false">Train_In!C13</f>
        <v>8</v>
      </c>
      <c r="R530" s="184" t="n">
        <f aca="false">SRC_DEM_001</f>
        <v>0.096</v>
      </c>
      <c r="S530" s="44" t="str">
        <f aca="false">IF(ISNUMBER($AF530),INDEX(IDX_SrcStat,$AF530),"—")</f>
        <v>Active</v>
      </c>
      <c r="T530" s="44" t="n">
        <f aca="false">IF(ISNUMBER($AF530),INDEX(IDX_SrcGrade,$AF530),"—")</f>
        <v>1</v>
      </c>
      <c r="U530" s="44" t="s">
        <v>4531</v>
      </c>
      <c r="V530" s="32" t="n">
        <f aca="false">IF(AND($F530="原始數據",$U530&lt;&gt;"連結 SRC"),1,0)</f>
        <v>0</v>
      </c>
      <c r="W530" s="32" t="n">
        <f aca="false">IF(AND($F530="Analogy",OR($H530="—",$H530="")),1,0)</f>
        <v>0</v>
      </c>
      <c r="X530" s="32" t="n">
        <f aca="false">IF(AND(OR($F530="Analogy",$F530="Assumed"),$G530&lt;&gt;"低",$G530&lt;&gt;"高",NOT(ISNUMBER($K530)),NOT(ISNUMBER($L530)),OR($M530="—",$M530="")),1,0)</f>
        <v>0</v>
      </c>
      <c r="Y530" s="32" t="n">
        <f aca="false">IF(AND(OR($F530="Analogy",$F530="Assumed",$F530="Derived（待改公式）",$F530="Derived（公式）"),OR($N530="—",$N530="",$N530=0)),1,0)</f>
        <v>0</v>
      </c>
      <c r="Z530" s="32" t="n">
        <f aca="false">IF(AND($F530="Decision",OR($J530="—",$J530="")),1,0)</f>
        <v>0</v>
      </c>
      <c r="AA530" s="33" t="n">
        <f aca="false">IF(OR($J530="—",$J530=""),0,IF(COUNTIF(Decisions!$A$5:$A$300,$J530)=0,1,0))</f>
        <v>0</v>
      </c>
      <c r="AB530" s="32" t="n">
        <f aca="false">IF(AND($F530="原始數據",$S530&lt;&gt;"Active"),1,0)</f>
        <v>0</v>
      </c>
      <c r="AC530" s="32" t="n">
        <f aca="false">IF(AND(ISNUMBER($K530),ISNUMBER($L530),ISNUMBER($Q530)),IF(OR($Q530&lt;MIN($K530,$L530),$Q530&gt;MAX($K530,$L530)),1,0),0)</f>
        <v>0</v>
      </c>
      <c r="AD530" s="32" t="n">
        <f aca="false">IF(AND(ISNUMBER($T530),$P530="高"),IF($T530=3,1,0),0)</f>
        <v>0</v>
      </c>
      <c r="AE530" s="32" t="n">
        <f aca="false">IF($S530="不存在",1,0)</f>
        <v>0</v>
      </c>
      <c r="AF530" s="44" t="n">
        <f aca="false">IF(OR($H530="—",$H530=""),"—",MATCH($H530,IDX_SrcID,0))</f>
        <v>654</v>
      </c>
      <c r="AG530" s="32" t="n">
        <f aca="false">IF(AND($P530="高",OR($AD530=1,$X530=1)),1,0)</f>
        <v>0</v>
      </c>
      <c r="AH530" s="32" t="n">
        <f aca="false">IF(AND($P530="高",$AG530=0,OR($F530&lt;&gt;"原始數據",$T530&lt;&gt;1)),1,0)</f>
        <v>1</v>
      </c>
      <c r="AI530" s="44" t="str">
        <f aca="false">IF(AND($P530="高",ISNUMBER($AF530)),INDEX(IDX_SrcDate,$AF530),"—")</f>
        <v>—</v>
      </c>
      <c r="AJ530" s="32" t="n">
        <f aca="false">IF(AND(ISTEXT($AI530),LEN($AI530)=10),IF(ISNUMBER(VALUE(SUBSTITUTE($AI530,"-",""))),VALUE(SUBSTITUTE($AI530,"-","")),0),0)</f>
        <v>0</v>
      </c>
    </row>
    <row r="531" customFormat="false" ht="29.25" hidden="false" customHeight="true" outlineLevel="0" collapsed="false">
      <c r="A531" s="30" t="s">
        <v>5946</v>
      </c>
      <c r="B531" s="239" t="s">
        <v>5607</v>
      </c>
      <c r="C531" s="30" t="s">
        <v>5560</v>
      </c>
      <c r="D531" s="30" t="s">
        <v>5042</v>
      </c>
      <c r="E531" s="20" t="s">
        <v>5947</v>
      </c>
      <c r="F531" s="30" t="s">
        <v>114</v>
      </c>
      <c r="G531" s="239" t="s">
        <v>4527</v>
      </c>
      <c r="H531" s="30" t="s">
        <v>751</v>
      </c>
      <c r="I531" s="6" t="s">
        <v>751</v>
      </c>
      <c r="J531" s="30" t="s">
        <v>751</v>
      </c>
      <c r="K531" s="241" t="n">
        <v>2</v>
      </c>
      <c r="L531" s="241" t="n">
        <v>3</v>
      </c>
      <c r="M531" s="30" t="s">
        <v>5948</v>
      </c>
      <c r="N531" s="20" t="s">
        <v>5949</v>
      </c>
      <c r="O531" s="6" t="s">
        <v>751</v>
      </c>
      <c r="P531" s="239" t="s">
        <v>4530</v>
      </c>
      <c r="Q531" s="33" t="n">
        <f aca="false">Train_In!C15</f>
        <v>3</v>
      </c>
      <c r="R531" s="30" t="s">
        <v>751</v>
      </c>
      <c r="S531" s="44" t="str">
        <f aca="false">IF(ISNUMBER($AF531),INDEX(IDX_SrcStat,$AF531),"—")</f>
        <v>—</v>
      </c>
      <c r="T531" s="44" t="str">
        <f aca="false">IF(ISNUMBER($AF531),INDEX(IDX_SrcGrade,$AF531),"—")</f>
        <v>—</v>
      </c>
      <c r="U531" s="44" t="s">
        <v>4531</v>
      </c>
      <c r="V531" s="32" t="n">
        <f aca="false">IF(AND($F531="原始數據",$U531&lt;&gt;"連結 SRC"),1,0)</f>
        <v>0</v>
      </c>
      <c r="W531" s="32" t="n">
        <f aca="false">IF(AND($F531="Analogy",OR($H531="—",$H531="")),1,0)</f>
        <v>0</v>
      </c>
      <c r="X531" s="32" t="n">
        <f aca="false">IF(AND(OR($F531="Analogy",$F531="Assumed"),$G531&lt;&gt;"低",$G531&lt;&gt;"高",NOT(ISNUMBER($K531)),NOT(ISNUMBER($L531)),OR($M531="—",$M531="")),1,0)</f>
        <v>0</v>
      </c>
      <c r="Y531" s="32" t="n">
        <f aca="false">IF(AND(OR($F531="Analogy",$F531="Assumed",$F531="Derived（待改公式）",$F531="Derived（公式）"),OR($N531="—",$N531="",$N531=0)),1,0)</f>
        <v>0</v>
      </c>
      <c r="Z531" s="32" t="n">
        <f aca="false">IF(AND($F531="Decision",OR($J531="—",$J531="")),1,0)</f>
        <v>0</v>
      </c>
      <c r="AA531" s="33" t="n">
        <f aca="false">IF(OR($J531="—",$J531=""),0,IF(COUNTIF(Decisions!$A$5:$A$300,$J531)=0,1,0))</f>
        <v>0</v>
      </c>
      <c r="AB531" s="32" t="n">
        <f aca="false">IF(AND($F531="原始數據",$S531&lt;&gt;"Active"),1,0)</f>
        <v>0</v>
      </c>
      <c r="AC531" s="32" t="n">
        <f aca="false">IF(AND(ISNUMBER($K531),ISNUMBER($L531),ISNUMBER($Q531)),IF(OR($Q531&lt;MIN($K531,$L531),$Q531&gt;MAX($K531,$L531)),1,0),0)</f>
        <v>0</v>
      </c>
      <c r="AD531" s="32" t="n">
        <f aca="false">IF(AND(ISNUMBER($T531),$P531="高"),IF($T531=3,1,0),0)</f>
        <v>0</v>
      </c>
      <c r="AE531" s="32" t="n">
        <f aca="false">IF($S531="不存在",1,0)</f>
        <v>0</v>
      </c>
      <c r="AF531" s="44" t="str">
        <f aca="false">IF(OR($H531="—",$H531=""),"—",MATCH($H531,IDX_SrcID,0))</f>
        <v>—</v>
      </c>
      <c r="AG531" s="32" t="n">
        <f aca="false">IF(AND($P531="高",OR($AD531=1,$X531=1)),1,0)</f>
        <v>0</v>
      </c>
      <c r="AH531" s="32" t="n">
        <f aca="false">IF(AND($P531="高",$AG531=0,OR($F531&lt;&gt;"原始數據",$T531&lt;&gt;1)),1,0)</f>
        <v>0</v>
      </c>
      <c r="AI531" s="44" t="str">
        <f aca="false">IF(AND($P531="高",ISNUMBER($AF531)),INDEX(IDX_SrcDate,$AF531),"—")</f>
        <v>—</v>
      </c>
      <c r="AJ531" s="32" t="n">
        <f aca="false">IF(AND(ISTEXT($AI531),LEN($AI531)=10),IF(ISNUMBER(VALUE(SUBSTITUTE($AI531,"-",""))),VALUE(SUBSTITUTE($AI531,"-","")),0),0)</f>
        <v>0</v>
      </c>
    </row>
    <row r="532" customFormat="false" ht="15" hidden="false" customHeight="true" outlineLevel="0" collapsed="false">
      <c r="A532" s="30" t="s">
        <v>5950</v>
      </c>
      <c r="B532" s="239" t="s">
        <v>5607</v>
      </c>
      <c r="C532" s="30" t="s">
        <v>5560</v>
      </c>
      <c r="D532" s="30" t="s">
        <v>5047</v>
      </c>
      <c r="E532" s="20" t="s">
        <v>1089</v>
      </c>
      <c r="F532" s="30" t="s">
        <v>104</v>
      </c>
      <c r="G532" s="239" t="s">
        <v>4527</v>
      </c>
      <c r="H532" s="30" t="s">
        <v>751</v>
      </c>
      <c r="I532" s="6" t="s">
        <v>751</v>
      </c>
      <c r="J532" s="30" t="s">
        <v>5951</v>
      </c>
      <c r="K532" s="239"/>
      <c r="L532" s="239"/>
      <c r="M532" s="239" t="s">
        <v>4352</v>
      </c>
      <c r="N532" s="6" t="s">
        <v>5952</v>
      </c>
      <c r="O532" s="6" t="s">
        <v>751</v>
      </c>
      <c r="P532" s="239" t="s">
        <v>4530</v>
      </c>
      <c r="Q532" s="33" t="n">
        <f aca="false">Train_In!C16</f>
        <v>4</v>
      </c>
      <c r="R532" s="30" t="s">
        <v>751</v>
      </c>
      <c r="S532" s="44" t="str">
        <f aca="false">IF(ISNUMBER($AF532),INDEX(IDX_SrcStat,$AF532),"—")</f>
        <v>—</v>
      </c>
      <c r="T532" s="44" t="str">
        <f aca="false">IF(ISNUMBER($AF532),INDEX(IDX_SrcGrade,$AF532),"—")</f>
        <v>—</v>
      </c>
      <c r="U532" s="44" t="s">
        <v>4531</v>
      </c>
      <c r="V532" s="32" t="n">
        <f aca="false">IF(AND($F532="原始數據",$U532&lt;&gt;"連結 SRC"),1,0)</f>
        <v>0</v>
      </c>
      <c r="W532" s="32" t="n">
        <f aca="false">IF(AND($F532="Analogy",OR($H532="—",$H532="")),1,0)</f>
        <v>0</v>
      </c>
      <c r="X532" s="32" t="n">
        <f aca="false">IF(AND(OR($F532="Analogy",$F532="Assumed"),$G532&lt;&gt;"低",$G532&lt;&gt;"高",NOT(ISNUMBER($K532)),NOT(ISNUMBER($L532)),OR($M532="—",$M532="")),1,0)</f>
        <v>0</v>
      </c>
      <c r="Y532" s="32" t="n">
        <f aca="false">IF(AND(OR($F532="Analogy",$F532="Assumed",$F532="Derived（待改公式）",$F532="Derived（公式）"),OR($N532="—",$N532="",$N532=0)),1,0)</f>
        <v>0</v>
      </c>
      <c r="Z532" s="32" t="n">
        <f aca="false">IF(AND($F532="Decision",OR($J532="—",$J532="")),1,0)</f>
        <v>0</v>
      </c>
      <c r="AA532" s="33" t="n">
        <f aca="false">IF(OR($J532="—",$J532=""),0,IF(COUNTIF(Decisions!$A$5:$A$300,$J532)=0,1,0))</f>
        <v>0</v>
      </c>
      <c r="AB532" s="32" t="n">
        <f aca="false">IF(AND($F532="原始數據",$S532&lt;&gt;"Active"),1,0)</f>
        <v>0</v>
      </c>
      <c r="AC532" s="32" t="n">
        <f aca="false">IF(AND(ISNUMBER($K532),ISNUMBER($L532),ISNUMBER($Q532)),IF(OR($Q532&lt;MIN($K532,$L532),$Q532&gt;MAX($K532,$L532)),1,0),0)</f>
        <v>0</v>
      </c>
      <c r="AD532" s="32" t="n">
        <f aca="false">IF(AND(ISNUMBER($T532),$P532="高"),IF($T532=3,1,0),0)</f>
        <v>0</v>
      </c>
      <c r="AE532" s="32" t="n">
        <f aca="false">IF($S532="不存在",1,0)</f>
        <v>0</v>
      </c>
      <c r="AF532" s="44" t="str">
        <f aca="false">IF(OR($H532="—",$H532=""),"—",MATCH($H532,IDX_SrcID,0))</f>
        <v>—</v>
      </c>
      <c r="AG532" s="32" t="n">
        <f aca="false">IF(AND($P532="高",OR($AD532=1,$X532=1)),1,0)</f>
        <v>0</v>
      </c>
      <c r="AH532" s="32" t="n">
        <f aca="false">IF(AND($P532="高",$AG532=0,OR($F532&lt;&gt;"原始數據",$T532&lt;&gt;1)),1,0)</f>
        <v>0</v>
      </c>
      <c r="AI532" s="44" t="str">
        <f aca="false">IF(AND($P532="高",ISNUMBER($AF532)),INDEX(IDX_SrcDate,$AF532),"—")</f>
        <v>—</v>
      </c>
      <c r="AJ532" s="32" t="n">
        <f aca="false">IF(AND(ISTEXT($AI532),LEN($AI532)=10),IF(ISNUMBER(VALUE(SUBSTITUTE($AI532,"-",""))),VALUE(SUBSTITUTE($AI532,"-","")),0),0)</f>
        <v>0</v>
      </c>
    </row>
    <row r="533" customFormat="false" ht="15" hidden="false" customHeight="true" outlineLevel="0" collapsed="false">
      <c r="A533" s="30" t="s">
        <v>5953</v>
      </c>
      <c r="B533" s="239" t="s">
        <v>5607</v>
      </c>
      <c r="C533" s="30" t="s">
        <v>5560</v>
      </c>
      <c r="D533" s="30" t="s">
        <v>5069</v>
      </c>
      <c r="E533" s="20" t="s">
        <v>1093</v>
      </c>
      <c r="F533" s="30" t="s">
        <v>104</v>
      </c>
      <c r="G533" s="239" t="s">
        <v>4527</v>
      </c>
      <c r="H533" s="30" t="s">
        <v>751</v>
      </c>
      <c r="I533" s="6" t="s">
        <v>751</v>
      </c>
      <c r="J533" s="30" t="s">
        <v>5951</v>
      </c>
      <c r="K533" s="239"/>
      <c r="L533" s="239"/>
      <c r="M533" s="239" t="s">
        <v>4352</v>
      </c>
      <c r="N533" s="6" t="s">
        <v>5954</v>
      </c>
      <c r="O533" s="6" t="s">
        <v>751</v>
      </c>
      <c r="P533" s="239" t="s">
        <v>4530</v>
      </c>
      <c r="Q533" s="33" t="n">
        <f aca="false">Train_In!C17</f>
        <v>3</v>
      </c>
      <c r="R533" s="30" t="s">
        <v>751</v>
      </c>
      <c r="S533" s="44" t="str">
        <f aca="false">IF(ISNUMBER($AF533),INDEX(IDX_SrcStat,$AF533),"—")</f>
        <v>—</v>
      </c>
      <c r="T533" s="44" t="str">
        <f aca="false">IF(ISNUMBER($AF533),INDEX(IDX_SrcGrade,$AF533),"—")</f>
        <v>—</v>
      </c>
      <c r="U533" s="44" t="s">
        <v>4531</v>
      </c>
      <c r="V533" s="32" t="n">
        <f aca="false">IF(AND($F533="原始數據",$U533&lt;&gt;"連結 SRC"),1,0)</f>
        <v>0</v>
      </c>
      <c r="W533" s="32" t="n">
        <f aca="false">IF(AND($F533="Analogy",OR($H533="—",$H533="")),1,0)</f>
        <v>0</v>
      </c>
      <c r="X533" s="32" t="n">
        <f aca="false">IF(AND(OR($F533="Analogy",$F533="Assumed"),$G533&lt;&gt;"低",$G533&lt;&gt;"高",NOT(ISNUMBER($K533)),NOT(ISNUMBER($L533)),OR($M533="—",$M533="")),1,0)</f>
        <v>0</v>
      </c>
      <c r="Y533" s="32" t="n">
        <f aca="false">IF(AND(OR($F533="Analogy",$F533="Assumed",$F533="Derived（待改公式）",$F533="Derived（公式）"),OR($N533="—",$N533="",$N533=0)),1,0)</f>
        <v>0</v>
      </c>
      <c r="Z533" s="32" t="n">
        <f aca="false">IF(AND($F533="Decision",OR($J533="—",$J533="")),1,0)</f>
        <v>0</v>
      </c>
      <c r="AA533" s="33" t="n">
        <f aca="false">IF(OR($J533="—",$J533=""),0,IF(COUNTIF(Decisions!$A$5:$A$300,$J533)=0,1,0))</f>
        <v>0</v>
      </c>
      <c r="AB533" s="32" t="n">
        <f aca="false">IF(AND($F533="原始數據",$S533&lt;&gt;"Active"),1,0)</f>
        <v>0</v>
      </c>
      <c r="AC533" s="32" t="n">
        <f aca="false">IF(AND(ISNUMBER($K533),ISNUMBER($L533),ISNUMBER($Q533)),IF(OR($Q533&lt;MIN($K533,$L533),$Q533&gt;MAX($K533,$L533)),1,0),0)</f>
        <v>0</v>
      </c>
      <c r="AD533" s="32" t="n">
        <f aca="false">IF(AND(ISNUMBER($T533),$P533="高"),IF($T533=3,1,0),0)</f>
        <v>0</v>
      </c>
      <c r="AE533" s="32" t="n">
        <f aca="false">IF($S533="不存在",1,0)</f>
        <v>0</v>
      </c>
      <c r="AF533" s="44" t="str">
        <f aca="false">IF(OR($H533="—",$H533=""),"—",MATCH($H533,IDX_SrcID,0))</f>
        <v>—</v>
      </c>
      <c r="AG533" s="32" t="n">
        <f aca="false">IF(AND($P533="高",OR($AD533=1,$X533=1)),1,0)</f>
        <v>0</v>
      </c>
      <c r="AH533" s="32" t="n">
        <f aca="false">IF(AND($P533="高",$AG533=0,OR($F533&lt;&gt;"原始數據",$T533&lt;&gt;1)),1,0)</f>
        <v>0</v>
      </c>
      <c r="AI533" s="44" t="str">
        <f aca="false">IF(AND($P533="高",ISNUMBER($AF533)),INDEX(IDX_SrcDate,$AF533),"—")</f>
        <v>—</v>
      </c>
      <c r="AJ533" s="32" t="n">
        <f aca="false">IF(AND(ISTEXT($AI533),LEN($AI533)=10),IF(ISNUMBER(VALUE(SUBSTITUTE($AI533,"-",""))),VALUE(SUBSTITUTE($AI533,"-","")),0),0)</f>
        <v>0</v>
      </c>
    </row>
    <row r="534" customFormat="false" ht="57.75" hidden="false" customHeight="true" outlineLevel="0" collapsed="false">
      <c r="A534" s="30" t="s">
        <v>5955</v>
      </c>
      <c r="B534" s="239" t="s">
        <v>5607</v>
      </c>
      <c r="C534" s="30" t="s">
        <v>5560</v>
      </c>
      <c r="D534" s="30" t="s">
        <v>5956</v>
      </c>
      <c r="E534" s="20" t="s">
        <v>5957</v>
      </c>
      <c r="F534" s="30" t="s">
        <v>114</v>
      </c>
      <c r="G534" s="239" t="s">
        <v>5287</v>
      </c>
      <c r="H534" s="30" t="s">
        <v>751</v>
      </c>
      <c r="I534" s="6" t="s">
        <v>751</v>
      </c>
      <c r="J534" s="30" t="s">
        <v>751</v>
      </c>
      <c r="K534" s="239"/>
      <c r="L534" s="239"/>
      <c r="M534" s="239" t="s">
        <v>5958</v>
      </c>
      <c r="N534" s="20" t="s">
        <v>5959</v>
      </c>
      <c r="O534" s="6" t="s">
        <v>751</v>
      </c>
      <c r="P534" s="239" t="s">
        <v>1309</v>
      </c>
      <c r="Q534" s="184" t="s">
        <v>751</v>
      </c>
      <c r="R534" s="30" t="s">
        <v>751</v>
      </c>
      <c r="S534" s="44" t="str">
        <f aca="false">IF(ISNUMBER($AF534),INDEX(IDX_SrcStat,$AF534),"—")</f>
        <v>—</v>
      </c>
      <c r="T534" s="44" t="str">
        <f aca="false">IF(ISNUMBER($AF534),INDEX(IDX_SrcGrade,$AF534),"—")</f>
        <v>—</v>
      </c>
      <c r="U534" s="30" t="s">
        <v>751</v>
      </c>
      <c r="V534" s="32" t="n">
        <f aca="false">IF(AND($F534="原始數據",$U534&lt;&gt;"連結 SRC"),1,0)</f>
        <v>0</v>
      </c>
      <c r="W534" s="32" t="n">
        <f aca="false">IF(AND($F534="Analogy",OR($H534="—",$H534="")),1,0)</f>
        <v>0</v>
      </c>
      <c r="X534" s="32" t="n">
        <f aca="false">IF(AND(OR($F534="Analogy",$F534="Assumed"),$G534&lt;&gt;"低",$G534&lt;&gt;"高",NOT(ISNUMBER($K534)),NOT(ISNUMBER($L534)),OR($M534="—",$M534="")),1,0)</f>
        <v>0</v>
      </c>
      <c r="Y534" s="32" t="n">
        <f aca="false">IF(AND(OR($F534="Analogy",$F534="Assumed",$F534="Derived（待改公式）",$F534="Derived（公式）"),OR($N534="—",$N534="",$N534=0)),1,0)</f>
        <v>0</v>
      </c>
      <c r="Z534" s="32" t="n">
        <f aca="false">IF(AND($F534="Decision",OR($J534="—",$J534="")),1,0)</f>
        <v>0</v>
      </c>
      <c r="AA534" s="33" t="n">
        <f aca="false">IF(OR($J534="—",$J534=""),0,IF(COUNTIF(Decisions!$A$5:$A$300,$J534)=0,1,0))</f>
        <v>0</v>
      </c>
      <c r="AB534" s="32" t="n">
        <f aca="false">IF(AND($F534="原始數據",$S534&lt;&gt;"Active"),1,0)</f>
        <v>0</v>
      </c>
      <c r="AC534" s="32" t="n">
        <f aca="false">IF(AND(ISNUMBER($K534),ISNUMBER($L534),ISNUMBER($Q534)),IF(OR($Q534&lt;MIN($K534,$L534),$Q534&gt;MAX($K534,$L534)),1,0),0)</f>
        <v>0</v>
      </c>
      <c r="AD534" s="32" t="n">
        <f aca="false">IF(AND(ISNUMBER($T534),$P534="高"),IF($T534=3,1,0),0)</f>
        <v>0</v>
      </c>
      <c r="AE534" s="32" t="n">
        <f aca="false">IF($S534="不存在",1,0)</f>
        <v>0</v>
      </c>
      <c r="AF534" s="44" t="str">
        <f aca="false">IF(OR($H534="—",$H534=""),"—",MATCH($H534,IDX_SrcID,0))</f>
        <v>—</v>
      </c>
      <c r="AG534" s="32" t="n">
        <f aca="false">IF(AND($P534="高",OR($AD534=1,$X534=1)),1,0)</f>
        <v>0</v>
      </c>
      <c r="AH534" s="32" t="n">
        <f aca="false">IF(AND($P534="高",$AG534=0,OR($F534&lt;&gt;"原始數據",$T534&lt;&gt;1)),1,0)</f>
        <v>1</v>
      </c>
      <c r="AI534" s="44" t="str">
        <f aca="false">IF(AND($P534="高",ISNUMBER($AF534)),INDEX(IDX_SrcDate,$AF534),"—")</f>
        <v>—</v>
      </c>
      <c r="AJ534" s="32" t="n">
        <f aca="false">IF(AND(ISTEXT($AI534),LEN($AI534)=10),IF(ISNUMBER(VALUE(SUBSTITUTE($AI534,"-",""))),VALUE(SUBSTITUTE($AI534,"-","")),0),0)</f>
        <v>0</v>
      </c>
    </row>
    <row r="535" customFormat="false" ht="29.25" hidden="false" customHeight="true" outlineLevel="0" collapsed="false">
      <c r="A535" s="30" t="s">
        <v>5960</v>
      </c>
      <c r="B535" s="239" t="s">
        <v>5607</v>
      </c>
      <c r="C535" s="30" t="s">
        <v>5560</v>
      </c>
      <c r="D535" s="30" t="s">
        <v>4677</v>
      </c>
      <c r="E535" s="20" t="s">
        <v>5561</v>
      </c>
      <c r="F535" s="30" t="s">
        <v>114</v>
      </c>
      <c r="G535" s="239" t="s">
        <v>4527</v>
      </c>
      <c r="H535" s="30" t="s">
        <v>751</v>
      </c>
      <c r="I535" s="6" t="s">
        <v>751</v>
      </c>
      <c r="J535" s="30" t="s">
        <v>5961</v>
      </c>
      <c r="K535" s="241" t="n">
        <v>30</v>
      </c>
      <c r="L535" s="241" t="n">
        <v>100</v>
      </c>
      <c r="M535" s="30" t="s">
        <v>5962</v>
      </c>
      <c r="N535" s="6" t="s">
        <v>5963</v>
      </c>
      <c r="O535" s="6" t="s">
        <v>751</v>
      </c>
      <c r="P535" s="239" t="s">
        <v>1309</v>
      </c>
      <c r="Q535" s="195" t="n">
        <f aca="false">Train_In!E25</f>
        <v>60</v>
      </c>
      <c r="R535" s="30" t="s">
        <v>751</v>
      </c>
      <c r="S535" s="44" t="str">
        <f aca="false">IF(ISNUMBER($AF535),INDEX(IDX_SrcStat,$AF535),"—")</f>
        <v>—</v>
      </c>
      <c r="T535" s="44" t="str">
        <f aca="false">IF(ISNUMBER($AF535),INDEX(IDX_SrcGrade,$AF535),"—")</f>
        <v>—</v>
      </c>
      <c r="U535" s="44" t="s">
        <v>4531</v>
      </c>
      <c r="V535" s="32" t="n">
        <f aca="false">IF(AND($F535="原始數據",$U535&lt;&gt;"連結 SRC"),1,0)</f>
        <v>0</v>
      </c>
      <c r="W535" s="32" t="n">
        <f aca="false">IF(AND($F535="Analogy",OR($H535="—",$H535="")),1,0)</f>
        <v>0</v>
      </c>
      <c r="X535" s="32" t="n">
        <f aca="false">IF(AND(OR($F535="Analogy",$F535="Assumed"),$G535&lt;&gt;"低",$G535&lt;&gt;"高",NOT(ISNUMBER($K535)),NOT(ISNUMBER($L535)),OR($M535="—",$M535="")),1,0)</f>
        <v>0</v>
      </c>
      <c r="Y535" s="32" t="n">
        <f aca="false">IF(AND(OR($F535="Analogy",$F535="Assumed",$F535="Derived（待改公式）",$F535="Derived（公式）"),OR($N535="—",$N535="",$N535=0)),1,0)</f>
        <v>0</v>
      </c>
      <c r="Z535" s="32" t="n">
        <f aca="false">IF(AND($F535="Decision",OR($J535="—",$J535="")),1,0)</f>
        <v>0</v>
      </c>
      <c r="AA535" s="33" t="n">
        <f aca="false">IF(OR($J535="—",$J535=""),0,IF(COUNTIF(Decisions!$A$5:$A$300,$J535)=0,1,0))</f>
        <v>0</v>
      </c>
      <c r="AB535" s="32" t="n">
        <f aca="false">IF(AND($F535="原始數據",$S535&lt;&gt;"Active"),1,0)</f>
        <v>0</v>
      </c>
      <c r="AC535" s="32" t="n">
        <f aca="false">IF(AND(ISNUMBER($K535),ISNUMBER($L535),ISNUMBER($Q535)),IF(OR($Q535&lt;MIN($K535,$L535),$Q535&gt;MAX($K535,$L535)),1,0),0)</f>
        <v>0</v>
      </c>
      <c r="AD535" s="32" t="n">
        <f aca="false">IF(AND(ISNUMBER($T535),$P535="高"),IF($T535=3,1,0),0)</f>
        <v>0</v>
      </c>
      <c r="AE535" s="32" t="n">
        <f aca="false">IF($S535="不存在",1,0)</f>
        <v>0</v>
      </c>
      <c r="AF535" s="44" t="str">
        <f aca="false">IF(OR($H535="—",$H535=""),"—",MATCH($H535,IDX_SrcID,0))</f>
        <v>—</v>
      </c>
      <c r="AG535" s="32" t="n">
        <f aca="false">IF(AND($P535="高",OR($AD535=1,$X535=1)),1,0)</f>
        <v>0</v>
      </c>
      <c r="AH535" s="32" t="n">
        <f aca="false">IF(AND($P535="高",$AG535=0,OR($F535&lt;&gt;"原始數據",$T535&lt;&gt;1)),1,0)</f>
        <v>1</v>
      </c>
      <c r="AI535" s="44" t="str">
        <f aca="false">IF(AND($P535="高",ISNUMBER($AF535)),INDEX(IDX_SrcDate,$AF535),"—")</f>
        <v>—</v>
      </c>
      <c r="AJ535" s="32" t="n">
        <f aca="false">IF(AND(ISTEXT($AI535),LEN($AI535)=10),IF(ISNUMBER(VALUE(SUBSTITUTE($AI535,"-",""))),VALUE(SUBSTITUTE($AI535,"-","")),0),0)</f>
        <v>0</v>
      </c>
    </row>
    <row r="536" customFormat="false" ht="15" hidden="false" customHeight="true" outlineLevel="0" collapsed="false">
      <c r="A536" s="30" t="s">
        <v>5964</v>
      </c>
      <c r="B536" s="239" t="s">
        <v>5607</v>
      </c>
      <c r="C536" s="30" t="s">
        <v>5560</v>
      </c>
      <c r="D536" s="30" t="s">
        <v>4681</v>
      </c>
      <c r="E536" s="20" t="s">
        <v>5566</v>
      </c>
      <c r="F536" s="30" t="s">
        <v>114</v>
      </c>
      <c r="G536" s="239" t="s">
        <v>4527</v>
      </c>
      <c r="H536" s="30" t="s">
        <v>5567</v>
      </c>
      <c r="I536" s="6" t="s">
        <v>751</v>
      </c>
      <c r="J536" s="30" t="s">
        <v>751</v>
      </c>
      <c r="K536" s="241" t="n">
        <v>4096</v>
      </c>
      <c r="L536" s="241" t="n">
        <v>16384</v>
      </c>
      <c r="M536" s="30" t="s">
        <v>5965</v>
      </c>
      <c r="N536" s="6" t="s">
        <v>5966</v>
      </c>
      <c r="O536" s="6" t="s">
        <v>751</v>
      </c>
      <c r="P536" s="239" t="s">
        <v>4586</v>
      </c>
      <c r="Q536" s="49" t="n">
        <f aca="false">Train_In!E26</f>
        <v>8192</v>
      </c>
      <c r="R536" s="184" t="n">
        <f aca="false">SRC_MOD_031</f>
        <v>4096</v>
      </c>
      <c r="S536" s="44" t="str">
        <f aca="false">IF(ISNUMBER($AF536),INDEX(IDX_SrcStat,$AF536),"—")</f>
        <v>Active</v>
      </c>
      <c r="T536" s="44" t="n">
        <f aca="false">IF(ISNUMBER($AF536),INDEX(IDX_SrcGrade,$AF536),"—")</f>
        <v>1</v>
      </c>
      <c r="U536" s="44" t="s">
        <v>4531</v>
      </c>
      <c r="V536" s="32" t="n">
        <f aca="false">IF(AND($F536="原始數據",$U536&lt;&gt;"連結 SRC"),1,0)</f>
        <v>0</v>
      </c>
      <c r="W536" s="32" t="n">
        <f aca="false">IF(AND($F536="Analogy",OR($H536="—",$H536="")),1,0)</f>
        <v>0</v>
      </c>
      <c r="X536" s="32" t="n">
        <f aca="false">IF(AND(OR($F536="Analogy",$F536="Assumed"),$G536&lt;&gt;"低",$G536&lt;&gt;"高",NOT(ISNUMBER($K536)),NOT(ISNUMBER($L536)),OR($M536="—",$M536="")),1,0)</f>
        <v>0</v>
      </c>
      <c r="Y536" s="32" t="n">
        <f aca="false">IF(AND(OR($F536="Analogy",$F536="Assumed",$F536="Derived（待改公式）",$F536="Derived（公式）"),OR($N536="—",$N536="",$N536=0)),1,0)</f>
        <v>0</v>
      </c>
      <c r="Z536" s="32" t="n">
        <f aca="false">IF(AND($F536="Decision",OR($J536="—",$J536="")),1,0)</f>
        <v>0</v>
      </c>
      <c r="AA536" s="33" t="n">
        <f aca="false">IF(OR($J536="—",$J536=""),0,IF(COUNTIF(Decisions!$A$5:$A$300,$J536)=0,1,0))</f>
        <v>0</v>
      </c>
      <c r="AB536" s="32" t="n">
        <f aca="false">IF(AND($F536="原始數據",$S536&lt;&gt;"Active"),1,0)</f>
        <v>0</v>
      </c>
      <c r="AC536" s="32" t="n">
        <f aca="false">IF(AND(ISNUMBER($K536),ISNUMBER($L536),ISNUMBER($Q536)),IF(OR($Q536&lt;MIN($K536,$L536),$Q536&gt;MAX($K536,$L536)),1,0),0)</f>
        <v>0</v>
      </c>
      <c r="AD536" s="32" t="n">
        <f aca="false">IF(AND(ISNUMBER($T536),$P536="高"),IF($T536=3,1,0),0)</f>
        <v>0</v>
      </c>
      <c r="AE536" s="32" t="n">
        <f aca="false">IF($S536="不存在",1,0)</f>
        <v>0</v>
      </c>
      <c r="AF536" s="44" t="n">
        <f aca="false">IF(OR($H536="—",$H536=""),"—",MATCH($H536,IDX_SrcID,0))</f>
        <v>214</v>
      </c>
      <c r="AG536" s="32" t="n">
        <f aca="false">IF(AND($P536="高",OR($AD536=1,$X536=1)),1,0)</f>
        <v>0</v>
      </c>
      <c r="AH536" s="32" t="n">
        <f aca="false">IF(AND($P536="高",$AG536=0,OR($F536&lt;&gt;"原始數據",$T536&lt;&gt;1)),1,0)</f>
        <v>0</v>
      </c>
      <c r="AI536" s="44" t="str">
        <f aca="false">IF(AND($P536="高",ISNUMBER($AF536)),INDEX(IDX_SrcDate,$AF536),"—")</f>
        <v>—</v>
      </c>
      <c r="AJ536" s="32" t="n">
        <f aca="false">IF(AND(ISTEXT($AI536),LEN($AI536)=10),IF(ISNUMBER(VALUE(SUBSTITUTE($AI536,"-",""))),VALUE(SUBSTITUTE($AI536,"-","")),0),0)</f>
        <v>0</v>
      </c>
    </row>
    <row r="537" customFormat="false" ht="15" hidden="false" customHeight="true" outlineLevel="0" collapsed="false">
      <c r="A537" s="30" t="s">
        <v>5967</v>
      </c>
      <c r="B537" s="239" t="s">
        <v>5607</v>
      </c>
      <c r="C537" s="30" t="s">
        <v>5560</v>
      </c>
      <c r="D537" s="30" t="s">
        <v>5968</v>
      </c>
      <c r="E537" s="20" t="s">
        <v>5969</v>
      </c>
      <c r="F537" s="30" t="s">
        <v>114</v>
      </c>
      <c r="G537" s="239" t="s">
        <v>5287</v>
      </c>
      <c r="H537" s="30" t="s">
        <v>751</v>
      </c>
      <c r="I537" s="6" t="s">
        <v>751</v>
      </c>
      <c r="J537" s="30" t="s">
        <v>751</v>
      </c>
      <c r="K537" s="239"/>
      <c r="L537" s="239"/>
      <c r="M537" s="30" t="s">
        <v>5970</v>
      </c>
      <c r="N537" s="20" t="s">
        <v>5971</v>
      </c>
      <c r="O537" s="6" t="s">
        <v>751</v>
      </c>
      <c r="P537" s="239" t="s">
        <v>1308</v>
      </c>
      <c r="Q537" s="184" t="s">
        <v>751</v>
      </c>
      <c r="R537" s="30" t="s">
        <v>751</v>
      </c>
      <c r="S537" s="44" t="str">
        <f aca="false">IF(ISNUMBER($AF537),INDEX(IDX_SrcStat,$AF537),"—")</f>
        <v>—</v>
      </c>
      <c r="T537" s="44" t="str">
        <f aca="false">IF(ISNUMBER($AF537),INDEX(IDX_SrcGrade,$AF537),"—")</f>
        <v>—</v>
      </c>
      <c r="U537" s="30" t="s">
        <v>751</v>
      </c>
      <c r="V537" s="32" t="n">
        <f aca="false">IF(AND($F537="原始數據",$U537&lt;&gt;"連結 SRC"),1,0)</f>
        <v>0</v>
      </c>
      <c r="W537" s="32" t="n">
        <f aca="false">IF(AND($F537="Analogy",OR($H537="—",$H537="")),1,0)</f>
        <v>0</v>
      </c>
      <c r="X537" s="32" t="n">
        <f aca="false">IF(AND(OR($F537="Analogy",$F537="Assumed"),$G537&lt;&gt;"低",$G537&lt;&gt;"高",NOT(ISNUMBER($K537)),NOT(ISNUMBER($L537)),OR($M537="—",$M537="")),1,0)</f>
        <v>0</v>
      </c>
      <c r="Y537" s="32" t="n">
        <f aca="false">IF(AND(OR($F537="Analogy",$F537="Assumed",$F537="Derived（待改公式）",$F537="Derived（公式）"),OR($N537="—",$N537="",$N537=0)),1,0)</f>
        <v>0</v>
      </c>
      <c r="Z537" s="32" t="n">
        <f aca="false">IF(AND($F537="Decision",OR($J537="—",$J537="")),1,0)</f>
        <v>0</v>
      </c>
      <c r="AA537" s="33" t="n">
        <f aca="false">IF(OR($J537="—",$J537=""),0,IF(COUNTIF(Decisions!$A$5:$A$300,$J537)=0,1,0))</f>
        <v>0</v>
      </c>
      <c r="AB537" s="32" t="n">
        <f aca="false">IF(AND($F537="原始數據",$S537&lt;&gt;"Active"),1,0)</f>
        <v>0</v>
      </c>
      <c r="AC537" s="32" t="n">
        <f aca="false">IF(AND(ISNUMBER($K537),ISNUMBER($L537),ISNUMBER($Q537)),IF(OR($Q537&lt;MIN($K537,$L537),$Q537&gt;MAX($K537,$L537)),1,0),0)</f>
        <v>0</v>
      </c>
      <c r="AD537" s="32" t="n">
        <f aca="false">IF(AND(ISNUMBER($T537),$P537="高"),IF($T537=3,1,0),0)</f>
        <v>0</v>
      </c>
      <c r="AE537" s="32" t="n">
        <f aca="false">IF($S537="不存在",1,0)</f>
        <v>0</v>
      </c>
      <c r="AF537" s="44" t="str">
        <f aca="false">IF(OR($H537="—",$H537=""),"—",MATCH($H537,IDX_SrcID,0))</f>
        <v>—</v>
      </c>
      <c r="AG537" s="32" t="n">
        <f aca="false">IF(AND($P537="高",OR($AD537=1,$X537=1)),1,0)</f>
        <v>0</v>
      </c>
      <c r="AH537" s="32" t="n">
        <f aca="false">IF(AND($P537="高",$AG537=0,OR($F537&lt;&gt;"原始數據",$T537&lt;&gt;1)),1,0)</f>
        <v>0</v>
      </c>
      <c r="AI537" s="44" t="str">
        <f aca="false">IF(AND($P537="高",ISNUMBER($AF537)),INDEX(IDX_SrcDate,$AF537),"—")</f>
        <v>—</v>
      </c>
      <c r="AJ537" s="32" t="n">
        <f aca="false">IF(AND(ISTEXT($AI537),LEN($AI537)=10),IF(ISNUMBER(VALUE(SUBSTITUTE($AI537,"-",""))),VALUE(SUBSTITUTE($AI537,"-","")),0),0)</f>
        <v>0</v>
      </c>
    </row>
    <row r="538" customFormat="false" ht="29.25" hidden="false" customHeight="true" outlineLevel="0" collapsed="false">
      <c r="A538" s="30" t="s">
        <v>5972</v>
      </c>
      <c r="B538" s="239" t="s">
        <v>5607</v>
      </c>
      <c r="C538" s="30" t="s">
        <v>5560</v>
      </c>
      <c r="D538" s="30" t="s">
        <v>5973</v>
      </c>
      <c r="E538" s="20" t="s">
        <v>1109</v>
      </c>
      <c r="F538" s="30" t="s">
        <v>114</v>
      </c>
      <c r="G538" s="239" t="s">
        <v>5287</v>
      </c>
      <c r="H538" s="30" t="s">
        <v>751</v>
      </c>
      <c r="I538" s="6" t="s">
        <v>751</v>
      </c>
      <c r="J538" s="30" t="s">
        <v>751</v>
      </c>
      <c r="K538" s="239"/>
      <c r="L538" s="239"/>
      <c r="M538" s="239" t="s">
        <v>4352</v>
      </c>
      <c r="N538" s="20" t="s">
        <v>5974</v>
      </c>
      <c r="O538" s="6" t="s">
        <v>751</v>
      </c>
      <c r="P538" s="239" t="s">
        <v>1308</v>
      </c>
      <c r="Q538" s="184" t="s">
        <v>751</v>
      </c>
      <c r="R538" s="30" t="s">
        <v>751</v>
      </c>
      <c r="S538" s="44" t="str">
        <f aca="false">IF(ISNUMBER($AF538),INDEX(IDX_SrcStat,$AF538),"—")</f>
        <v>—</v>
      </c>
      <c r="T538" s="44" t="str">
        <f aca="false">IF(ISNUMBER($AF538),INDEX(IDX_SrcGrade,$AF538),"—")</f>
        <v>—</v>
      </c>
      <c r="U538" s="30" t="s">
        <v>751</v>
      </c>
      <c r="V538" s="32" t="n">
        <f aca="false">IF(AND($F538="原始數據",$U538&lt;&gt;"連結 SRC"),1,0)</f>
        <v>0</v>
      </c>
      <c r="W538" s="32" t="n">
        <f aca="false">IF(AND($F538="Analogy",OR($H538="—",$H538="")),1,0)</f>
        <v>0</v>
      </c>
      <c r="X538" s="32" t="n">
        <f aca="false">IF(AND(OR($F538="Analogy",$F538="Assumed"),$G538&lt;&gt;"低",$G538&lt;&gt;"高",NOT(ISNUMBER($K538)),NOT(ISNUMBER($L538)),OR($M538="—",$M538="")),1,0)</f>
        <v>0</v>
      </c>
      <c r="Y538" s="32" t="n">
        <f aca="false">IF(AND(OR($F538="Analogy",$F538="Assumed",$F538="Derived（待改公式）",$F538="Derived（公式）"),OR($N538="—",$N538="",$N538=0)),1,0)</f>
        <v>0</v>
      </c>
      <c r="Z538" s="32" t="n">
        <f aca="false">IF(AND($F538="Decision",OR($J538="—",$J538="")),1,0)</f>
        <v>0</v>
      </c>
      <c r="AA538" s="33" t="n">
        <f aca="false">IF(OR($J538="—",$J538=""),0,IF(COUNTIF(Decisions!$A$5:$A$300,$J538)=0,1,0))</f>
        <v>0</v>
      </c>
      <c r="AB538" s="32" t="n">
        <f aca="false">IF(AND($F538="原始數據",$S538&lt;&gt;"Active"),1,0)</f>
        <v>0</v>
      </c>
      <c r="AC538" s="32" t="n">
        <f aca="false">IF(AND(ISNUMBER($K538),ISNUMBER($L538),ISNUMBER($Q538)),IF(OR($Q538&lt;MIN($K538,$L538),$Q538&gt;MAX($K538,$L538)),1,0),0)</f>
        <v>0</v>
      </c>
      <c r="AD538" s="32" t="n">
        <f aca="false">IF(AND(ISNUMBER($T538),$P538="高"),IF($T538=3,1,0),0)</f>
        <v>0</v>
      </c>
      <c r="AE538" s="32" t="n">
        <f aca="false">IF($S538="不存在",1,0)</f>
        <v>0</v>
      </c>
      <c r="AF538" s="44" t="str">
        <f aca="false">IF(OR($H538="—",$H538=""),"—",MATCH($H538,IDX_SrcID,0))</f>
        <v>—</v>
      </c>
      <c r="AG538" s="32" t="n">
        <f aca="false">IF(AND($P538="高",OR($AD538=1,$X538=1)),1,0)</f>
        <v>0</v>
      </c>
      <c r="AH538" s="32" t="n">
        <f aca="false">IF(AND($P538="高",$AG538=0,OR($F538&lt;&gt;"原始數據",$T538&lt;&gt;1)),1,0)</f>
        <v>0</v>
      </c>
      <c r="AI538" s="44" t="str">
        <f aca="false">IF(AND($P538="高",ISNUMBER($AF538)),INDEX(IDX_SrcDate,$AF538),"—")</f>
        <v>—</v>
      </c>
      <c r="AJ538" s="32" t="n">
        <f aca="false">IF(AND(ISTEXT($AI538),LEN($AI538)=10),IF(ISNUMBER(VALUE(SUBSTITUTE($AI538,"-",""))),VALUE(SUBSTITUTE($AI538,"-","")),0),0)</f>
        <v>0</v>
      </c>
    </row>
    <row r="539" customFormat="false" ht="15" hidden="false" customHeight="true" outlineLevel="0" collapsed="false">
      <c r="A539" s="30" t="s">
        <v>5975</v>
      </c>
      <c r="B539" s="239" t="s">
        <v>5607</v>
      </c>
      <c r="C539" s="30" t="s">
        <v>5560</v>
      </c>
      <c r="D539" s="30" t="s">
        <v>5976</v>
      </c>
      <c r="E539" s="6" t="s">
        <v>1110</v>
      </c>
      <c r="F539" s="30" t="s">
        <v>114</v>
      </c>
      <c r="G539" s="239" t="s">
        <v>5287</v>
      </c>
      <c r="H539" s="30" t="s">
        <v>751</v>
      </c>
      <c r="I539" s="6" t="s">
        <v>751</v>
      </c>
      <c r="J539" s="30" t="s">
        <v>751</v>
      </c>
      <c r="K539" s="239"/>
      <c r="L539" s="239"/>
      <c r="M539" s="30" t="s">
        <v>5977</v>
      </c>
      <c r="N539" s="6" t="s">
        <v>1110</v>
      </c>
      <c r="O539" s="6" t="s">
        <v>751</v>
      </c>
      <c r="P539" s="239" t="s">
        <v>1308</v>
      </c>
      <c r="Q539" s="184" t="s">
        <v>751</v>
      </c>
      <c r="R539" s="30" t="s">
        <v>751</v>
      </c>
      <c r="S539" s="44" t="str">
        <f aca="false">IF(ISNUMBER($AF539),INDEX(IDX_SrcStat,$AF539),"—")</f>
        <v>—</v>
      </c>
      <c r="T539" s="44" t="str">
        <f aca="false">IF(ISNUMBER($AF539),INDEX(IDX_SrcGrade,$AF539),"—")</f>
        <v>—</v>
      </c>
      <c r="U539" s="30" t="s">
        <v>751</v>
      </c>
      <c r="V539" s="32" t="n">
        <f aca="false">IF(AND($F539="原始數據",$U539&lt;&gt;"連結 SRC"),1,0)</f>
        <v>0</v>
      </c>
      <c r="W539" s="32" t="n">
        <f aca="false">IF(AND($F539="Analogy",OR($H539="—",$H539="")),1,0)</f>
        <v>0</v>
      </c>
      <c r="X539" s="32" t="n">
        <f aca="false">IF(AND(OR($F539="Analogy",$F539="Assumed"),$G539&lt;&gt;"低",$G539&lt;&gt;"高",NOT(ISNUMBER($K539)),NOT(ISNUMBER($L539)),OR($M539="—",$M539="")),1,0)</f>
        <v>0</v>
      </c>
      <c r="Y539" s="32" t="n">
        <f aca="false">IF(AND(OR($F539="Analogy",$F539="Assumed",$F539="Derived（待改公式）",$F539="Derived（公式）"),OR($N539="—",$N539="",$N539=0)),1,0)</f>
        <v>0</v>
      </c>
      <c r="Z539" s="32" t="n">
        <f aca="false">IF(AND($F539="Decision",OR($J539="—",$J539="")),1,0)</f>
        <v>0</v>
      </c>
      <c r="AA539" s="33" t="n">
        <f aca="false">IF(OR($J539="—",$J539=""),0,IF(COUNTIF(Decisions!$A$5:$A$300,$J539)=0,1,0))</f>
        <v>0</v>
      </c>
      <c r="AB539" s="32" t="n">
        <f aca="false">IF(AND($F539="原始數據",$S539&lt;&gt;"Active"),1,0)</f>
        <v>0</v>
      </c>
      <c r="AC539" s="32" t="n">
        <f aca="false">IF(AND(ISNUMBER($K539),ISNUMBER($L539),ISNUMBER($Q539)),IF(OR($Q539&lt;MIN($K539,$L539),$Q539&gt;MAX($K539,$L539)),1,0),0)</f>
        <v>0</v>
      </c>
      <c r="AD539" s="32" t="n">
        <f aca="false">IF(AND(ISNUMBER($T539),$P539="高"),IF($T539=3,1,0),0)</f>
        <v>0</v>
      </c>
      <c r="AE539" s="32" t="n">
        <f aca="false">IF($S539="不存在",1,0)</f>
        <v>0</v>
      </c>
      <c r="AF539" s="44" t="str">
        <f aca="false">IF(OR($H539="—",$H539=""),"—",MATCH($H539,IDX_SrcID,0))</f>
        <v>—</v>
      </c>
      <c r="AG539" s="32" t="n">
        <f aca="false">IF(AND($P539="高",OR($AD539=1,$X539=1)),1,0)</f>
        <v>0</v>
      </c>
      <c r="AH539" s="32" t="n">
        <f aca="false">IF(AND($P539="高",$AG539=0,OR($F539&lt;&gt;"原始數據",$T539&lt;&gt;1)),1,0)</f>
        <v>0</v>
      </c>
      <c r="AI539" s="44" t="str">
        <f aca="false">IF(AND($P539="高",ISNUMBER($AF539)),INDEX(IDX_SrcDate,$AF539),"—")</f>
        <v>—</v>
      </c>
      <c r="AJ539" s="32" t="n">
        <f aca="false">IF(AND(ISTEXT($AI539),LEN($AI539)=10),IF(ISNUMBER(VALUE(SUBSTITUTE($AI539,"-",""))),VALUE(SUBSTITUTE($AI539,"-","")),0),0)</f>
        <v>0</v>
      </c>
    </row>
    <row r="540" customFormat="false" ht="15" hidden="false" customHeight="true" outlineLevel="0" collapsed="false">
      <c r="A540" s="30" t="s">
        <v>5978</v>
      </c>
      <c r="B540" s="239" t="s">
        <v>5607</v>
      </c>
      <c r="C540" s="30" t="s">
        <v>5560</v>
      </c>
      <c r="D540" s="30" t="s">
        <v>5979</v>
      </c>
      <c r="E540" s="6" t="s">
        <v>1112</v>
      </c>
      <c r="F540" s="30" t="s">
        <v>114</v>
      </c>
      <c r="G540" s="239" t="s">
        <v>5287</v>
      </c>
      <c r="H540" s="30" t="s">
        <v>751</v>
      </c>
      <c r="I540" s="6" t="s">
        <v>751</v>
      </c>
      <c r="J540" s="30" t="s">
        <v>751</v>
      </c>
      <c r="K540" s="239"/>
      <c r="L540" s="239"/>
      <c r="M540" s="239" t="s">
        <v>4352</v>
      </c>
      <c r="N540" s="6" t="s">
        <v>5980</v>
      </c>
      <c r="O540" s="6" t="s">
        <v>751</v>
      </c>
      <c r="P540" s="239" t="s">
        <v>1308</v>
      </c>
      <c r="Q540" s="184" t="s">
        <v>751</v>
      </c>
      <c r="R540" s="30" t="s">
        <v>751</v>
      </c>
      <c r="S540" s="44" t="str">
        <f aca="false">IF(ISNUMBER($AF540),INDEX(IDX_SrcStat,$AF540),"—")</f>
        <v>—</v>
      </c>
      <c r="T540" s="44" t="str">
        <f aca="false">IF(ISNUMBER($AF540),INDEX(IDX_SrcGrade,$AF540),"—")</f>
        <v>—</v>
      </c>
      <c r="U540" s="30" t="s">
        <v>751</v>
      </c>
      <c r="V540" s="32" t="n">
        <f aca="false">IF(AND($F540="原始數據",$U540&lt;&gt;"連結 SRC"),1,0)</f>
        <v>0</v>
      </c>
      <c r="W540" s="32" t="n">
        <f aca="false">IF(AND($F540="Analogy",OR($H540="—",$H540="")),1,0)</f>
        <v>0</v>
      </c>
      <c r="X540" s="32" t="n">
        <f aca="false">IF(AND(OR($F540="Analogy",$F540="Assumed"),$G540&lt;&gt;"低",$G540&lt;&gt;"高",NOT(ISNUMBER($K540)),NOT(ISNUMBER($L540)),OR($M540="—",$M540="")),1,0)</f>
        <v>0</v>
      </c>
      <c r="Y540" s="32" t="n">
        <f aca="false">IF(AND(OR($F540="Analogy",$F540="Assumed",$F540="Derived（待改公式）",$F540="Derived（公式）"),OR($N540="—",$N540="",$N540=0)),1,0)</f>
        <v>0</v>
      </c>
      <c r="Z540" s="32" t="n">
        <f aca="false">IF(AND($F540="Decision",OR($J540="—",$J540="")),1,0)</f>
        <v>0</v>
      </c>
      <c r="AA540" s="33" t="n">
        <f aca="false">IF(OR($J540="—",$J540=""),0,IF(COUNTIF(Decisions!$A$5:$A$300,$J540)=0,1,0))</f>
        <v>0</v>
      </c>
      <c r="AB540" s="32" t="n">
        <f aca="false">IF(AND($F540="原始數據",$S540&lt;&gt;"Active"),1,0)</f>
        <v>0</v>
      </c>
      <c r="AC540" s="32" t="n">
        <f aca="false">IF(AND(ISNUMBER($K540),ISNUMBER($L540),ISNUMBER($Q540)),IF(OR($Q540&lt;MIN($K540,$L540),$Q540&gt;MAX($K540,$L540)),1,0),0)</f>
        <v>0</v>
      </c>
      <c r="AD540" s="32" t="n">
        <f aca="false">IF(AND(ISNUMBER($T540),$P540="高"),IF($T540=3,1,0),0)</f>
        <v>0</v>
      </c>
      <c r="AE540" s="32" t="n">
        <f aca="false">IF($S540="不存在",1,0)</f>
        <v>0</v>
      </c>
      <c r="AF540" s="44" t="str">
        <f aca="false">IF(OR($H540="—",$H540=""),"—",MATCH($H540,IDX_SrcID,0))</f>
        <v>—</v>
      </c>
      <c r="AG540" s="32" t="n">
        <f aca="false">IF(AND($P540="高",OR($AD540=1,$X540=1)),1,0)</f>
        <v>0</v>
      </c>
      <c r="AH540" s="32" t="n">
        <f aca="false">IF(AND($P540="高",$AG540=0,OR($F540&lt;&gt;"原始數據",$T540&lt;&gt;1)),1,0)</f>
        <v>0</v>
      </c>
      <c r="AI540" s="44" t="str">
        <f aca="false">IF(AND($P540="高",ISNUMBER($AF540)),INDEX(IDX_SrcDate,$AF540),"—")</f>
        <v>—</v>
      </c>
      <c r="AJ540" s="32" t="n">
        <f aca="false">IF(AND(ISTEXT($AI540),LEN($AI540)=10),IF(ISNUMBER(VALUE(SUBSTITUTE($AI540,"-",""))),VALUE(SUBSTITUTE($AI540,"-","")),0),0)</f>
        <v>0</v>
      </c>
    </row>
    <row r="541" customFormat="false" ht="29.25" hidden="false" customHeight="true" outlineLevel="0" collapsed="false">
      <c r="A541" s="30" t="s">
        <v>5981</v>
      </c>
      <c r="B541" s="239" t="s">
        <v>5607</v>
      </c>
      <c r="C541" s="30" t="s">
        <v>5560</v>
      </c>
      <c r="D541" s="30" t="s">
        <v>5664</v>
      </c>
      <c r="E541" s="20" t="s">
        <v>5982</v>
      </c>
      <c r="F541" s="30" t="s">
        <v>114</v>
      </c>
      <c r="G541" s="239" t="s">
        <v>5287</v>
      </c>
      <c r="H541" s="30" t="s">
        <v>751</v>
      </c>
      <c r="I541" s="6" t="s">
        <v>751</v>
      </c>
      <c r="J541" s="30" t="s">
        <v>751</v>
      </c>
      <c r="K541" s="239"/>
      <c r="L541" s="239"/>
      <c r="M541" s="30" t="s">
        <v>5983</v>
      </c>
      <c r="N541" s="20" t="s">
        <v>5984</v>
      </c>
      <c r="O541" s="6" t="s">
        <v>751</v>
      </c>
      <c r="P541" s="239" t="s">
        <v>1308</v>
      </c>
      <c r="Q541" s="184" t="s">
        <v>751</v>
      </c>
      <c r="R541" s="30" t="s">
        <v>751</v>
      </c>
      <c r="S541" s="44" t="str">
        <f aca="false">IF(ISNUMBER($AF541),INDEX(IDX_SrcStat,$AF541),"—")</f>
        <v>—</v>
      </c>
      <c r="T541" s="44" t="str">
        <f aca="false">IF(ISNUMBER($AF541),INDEX(IDX_SrcGrade,$AF541),"—")</f>
        <v>—</v>
      </c>
      <c r="U541" s="30" t="s">
        <v>751</v>
      </c>
      <c r="V541" s="32" t="n">
        <f aca="false">IF(AND($F541="原始數據",$U541&lt;&gt;"連結 SRC"),1,0)</f>
        <v>0</v>
      </c>
      <c r="W541" s="32" t="n">
        <f aca="false">IF(AND($F541="Analogy",OR($H541="—",$H541="")),1,0)</f>
        <v>0</v>
      </c>
      <c r="X541" s="32" t="n">
        <f aca="false">IF(AND(OR($F541="Analogy",$F541="Assumed"),$G541&lt;&gt;"低",$G541&lt;&gt;"高",NOT(ISNUMBER($K541)),NOT(ISNUMBER($L541)),OR($M541="—",$M541="")),1,0)</f>
        <v>0</v>
      </c>
      <c r="Y541" s="32" t="n">
        <f aca="false">IF(AND(OR($F541="Analogy",$F541="Assumed",$F541="Derived（待改公式）",$F541="Derived（公式）"),OR($N541="—",$N541="",$N541=0)),1,0)</f>
        <v>0</v>
      </c>
      <c r="Z541" s="32" t="n">
        <f aca="false">IF(AND($F541="Decision",OR($J541="—",$J541="")),1,0)</f>
        <v>0</v>
      </c>
      <c r="AA541" s="33" t="n">
        <f aca="false">IF(OR($J541="—",$J541=""),0,IF(COUNTIF(Decisions!$A$5:$A$300,$J541)=0,1,0))</f>
        <v>0</v>
      </c>
      <c r="AB541" s="32" t="n">
        <f aca="false">IF(AND($F541="原始數據",$S541&lt;&gt;"Active"),1,0)</f>
        <v>0</v>
      </c>
      <c r="AC541" s="32" t="n">
        <f aca="false">IF(AND(ISNUMBER($K541),ISNUMBER($L541),ISNUMBER($Q541)),IF(OR($Q541&lt;MIN($K541,$L541),$Q541&gt;MAX($K541,$L541)),1,0),0)</f>
        <v>0</v>
      </c>
      <c r="AD541" s="32" t="n">
        <f aca="false">IF(AND(ISNUMBER($T541),$P541="高"),IF($T541=3,1,0),0)</f>
        <v>0</v>
      </c>
      <c r="AE541" s="32" t="n">
        <f aca="false">IF($S541="不存在",1,0)</f>
        <v>0</v>
      </c>
      <c r="AF541" s="44" t="str">
        <f aca="false">IF(OR($H541="—",$H541=""),"—",MATCH($H541,IDX_SrcID,0))</f>
        <v>—</v>
      </c>
      <c r="AG541" s="32" t="n">
        <f aca="false">IF(AND($P541="高",OR($AD541=1,$X541=1)),1,0)</f>
        <v>0</v>
      </c>
      <c r="AH541" s="32" t="n">
        <f aca="false">IF(AND($P541="高",$AG541=0,OR($F541&lt;&gt;"原始數據",$T541&lt;&gt;1)),1,0)</f>
        <v>0</v>
      </c>
      <c r="AI541" s="44" t="str">
        <f aca="false">IF(AND($P541="高",ISNUMBER($AF541)),INDEX(IDX_SrcDate,$AF541),"—")</f>
        <v>—</v>
      </c>
      <c r="AJ541" s="32" t="n">
        <f aca="false">IF(AND(ISTEXT($AI541),LEN($AI541)=10),IF(ISNUMBER(VALUE(SUBSTITUTE($AI541,"-",""))),VALUE(SUBSTITUTE($AI541,"-","")),0),0)</f>
        <v>0</v>
      </c>
    </row>
    <row r="542" customFormat="false" ht="29.25" hidden="false" customHeight="true" outlineLevel="0" collapsed="false">
      <c r="A542" s="30" t="s">
        <v>5985</v>
      </c>
      <c r="B542" s="239" t="s">
        <v>5607</v>
      </c>
      <c r="C542" s="30" t="s">
        <v>5560</v>
      </c>
      <c r="D542" s="30" t="s">
        <v>5669</v>
      </c>
      <c r="E542" s="6" t="s">
        <v>1115</v>
      </c>
      <c r="F542" s="30" t="s">
        <v>114</v>
      </c>
      <c r="G542" s="239" t="s">
        <v>5287</v>
      </c>
      <c r="H542" s="30" t="s">
        <v>751</v>
      </c>
      <c r="I542" s="6" t="s">
        <v>751</v>
      </c>
      <c r="J542" s="30" t="s">
        <v>751</v>
      </c>
      <c r="K542" s="239"/>
      <c r="L542" s="239"/>
      <c r="M542" s="239" t="s">
        <v>5986</v>
      </c>
      <c r="N542" s="6" t="s">
        <v>1115</v>
      </c>
      <c r="O542" s="6" t="s">
        <v>751</v>
      </c>
      <c r="P542" s="239" t="s">
        <v>4586</v>
      </c>
      <c r="Q542" s="184" t="s">
        <v>751</v>
      </c>
      <c r="R542" s="30" t="s">
        <v>751</v>
      </c>
      <c r="S542" s="44" t="str">
        <f aca="false">IF(ISNUMBER($AF542),INDEX(IDX_SrcStat,$AF542),"—")</f>
        <v>—</v>
      </c>
      <c r="T542" s="44" t="str">
        <f aca="false">IF(ISNUMBER($AF542),INDEX(IDX_SrcGrade,$AF542),"—")</f>
        <v>—</v>
      </c>
      <c r="U542" s="30" t="s">
        <v>751</v>
      </c>
      <c r="V542" s="32" t="n">
        <f aca="false">IF(AND($F542="原始數據",$U542&lt;&gt;"連結 SRC"),1,0)</f>
        <v>0</v>
      </c>
      <c r="W542" s="32" t="n">
        <f aca="false">IF(AND($F542="Analogy",OR($H542="—",$H542="")),1,0)</f>
        <v>0</v>
      </c>
      <c r="X542" s="32" t="n">
        <f aca="false">IF(AND(OR($F542="Analogy",$F542="Assumed"),$G542&lt;&gt;"低",$G542&lt;&gt;"高",NOT(ISNUMBER($K542)),NOT(ISNUMBER($L542)),OR($M542="—",$M542="")),1,0)</f>
        <v>0</v>
      </c>
      <c r="Y542" s="32" t="n">
        <f aca="false">IF(AND(OR($F542="Analogy",$F542="Assumed",$F542="Derived（待改公式）",$F542="Derived（公式）"),OR($N542="—",$N542="",$N542=0)),1,0)</f>
        <v>0</v>
      </c>
      <c r="Z542" s="32" t="n">
        <f aca="false">IF(AND($F542="Decision",OR($J542="—",$J542="")),1,0)</f>
        <v>0</v>
      </c>
      <c r="AA542" s="33" t="n">
        <f aca="false">IF(OR($J542="—",$J542=""),0,IF(COUNTIF(Decisions!$A$5:$A$300,$J542)=0,1,0))</f>
        <v>0</v>
      </c>
      <c r="AB542" s="32" t="n">
        <f aca="false">IF(AND($F542="原始數據",$S542&lt;&gt;"Active"),1,0)</f>
        <v>0</v>
      </c>
      <c r="AC542" s="32" t="n">
        <f aca="false">IF(AND(ISNUMBER($K542),ISNUMBER($L542),ISNUMBER($Q542)),IF(OR($Q542&lt;MIN($K542,$L542),$Q542&gt;MAX($K542,$L542)),1,0),0)</f>
        <v>0</v>
      </c>
      <c r="AD542" s="32" t="n">
        <f aca="false">IF(AND(ISNUMBER($T542),$P542="高"),IF($T542=3,1,0),0)</f>
        <v>0</v>
      </c>
      <c r="AE542" s="32" t="n">
        <f aca="false">IF($S542="不存在",1,0)</f>
        <v>0</v>
      </c>
      <c r="AF542" s="44" t="str">
        <f aca="false">IF(OR($H542="—",$H542=""),"—",MATCH($H542,IDX_SrcID,0))</f>
        <v>—</v>
      </c>
      <c r="AG542" s="32" t="n">
        <f aca="false">IF(AND($P542="高",OR($AD542=1,$X542=1)),1,0)</f>
        <v>0</v>
      </c>
      <c r="AH542" s="32" t="n">
        <f aca="false">IF(AND($P542="高",$AG542=0,OR($F542&lt;&gt;"原始數據",$T542&lt;&gt;1)),1,0)</f>
        <v>0</v>
      </c>
      <c r="AI542" s="44" t="str">
        <f aca="false">IF(AND($P542="高",ISNUMBER($AF542)),INDEX(IDX_SrcDate,$AF542),"—")</f>
        <v>—</v>
      </c>
      <c r="AJ542" s="32" t="n">
        <f aca="false">IF(AND(ISTEXT($AI542),LEN($AI542)=10),IF(ISNUMBER(VALUE(SUBSTITUTE($AI542,"-",""))),VALUE(SUBSTITUTE($AI542,"-","")),0),0)</f>
        <v>0</v>
      </c>
    </row>
    <row r="543" customFormat="false" ht="15" hidden="false" customHeight="true" outlineLevel="0" collapsed="false">
      <c r="A543" s="30" t="s">
        <v>5987</v>
      </c>
      <c r="B543" s="239" t="s">
        <v>5607</v>
      </c>
      <c r="C543" s="30" t="s">
        <v>5560</v>
      </c>
      <c r="D543" s="30" t="s">
        <v>5988</v>
      </c>
      <c r="E543" s="6" t="s">
        <v>1116</v>
      </c>
      <c r="F543" s="30" t="s">
        <v>114</v>
      </c>
      <c r="G543" s="239" t="s">
        <v>5287</v>
      </c>
      <c r="H543" s="30" t="s">
        <v>751</v>
      </c>
      <c r="I543" s="6" t="s">
        <v>751</v>
      </c>
      <c r="J543" s="30" t="s">
        <v>751</v>
      </c>
      <c r="K543" s="239"/>
      <c r="L543" s="239"/>
      <c r="M543" s="239" t="s">
        <v>5986</v>
      </c>
      <c r="N543" s="6" t="s">
        <v>1116</v>
      </c>
      <c r="O543" s="6" t="s">
        <v>751</v>
      </c>
      <c r="P543" s="239" t="s">
        <v>4586</v>
      </c>
      <c r="Q543" s="184" t="s">
        <v>751</v>
      </c>
      <c r="R543" s="30" t="s">
        <v>751</v>
      </c>
      <c r="S543" s="44" t="str">
        <f aca="false">IF(ISNUMBER($AF543),INDEX(IDX_SrcStat,$AF543),"—")</f>
        <v>—</v>
      </c>
      <c r="T543" s="44" t="str">
        <f aca="false">IF(ISNUMBER($AF543),INDEX(IDX_SrcGrade,$AF543),"—")</f>
        <v>—</v>
      </c>
      <c r="U543" s="30" t="s">
        <v>751</v>
      </c>
      <c r="V543" s="32" t="n">
        <f aca="false">IF(AND($F543="原始數據",$U543&lt;&gt;"連結 SRC"),1,0)</f>
        <v>0</v>
      </c>
      <c r="W543" s="32" t="n">
        <f aca="false">IF(AND($F543="Analogy",OR($H543="—",$H543="")),1,0)</f>
        <v>0</v>
      </c>
      <c r="X543" s="32" t="n">
        <f aca="false">IF(AND(OR($F543="Analogy",$F543="Assumed"),$G543&lt;&gt;"低",$G543&lt;&gt;"高",NOT(ISNUMBER($K543)),NOT(ISNUMBER($L543)),OR($M543="—",$M543="")),1,0)</f>
        <v>0</v>
      </c>
      <c r="Y543" s="32" t="n">
        <f aca="false">IF(AND(OR($F543="Analogy",$F543="Assumed",$F543="Derived（待改公式）",$F543="Derived（公式）"),OR($N543="—",$N543="",$N543=0)),1,0)</f>
        <v>0</v>
      </c>
      <c r="Z543" s="32" t="n">
        <f aca="false">IF(AND($F543="Decision",OR($J543="—",$J543="")),1,0)</f>
        <v>0</v>
      </c>
      <c r="AA543" s="33" t="n">
        <f aca="false">IF(OR($J543="—",$J543=""),0,IF(COUNTIF(Decisions!$A$5:$A$300,$J543)=0,1,0))</f>
        <v>0</v>
      </c>
      <c r="AB543" s="32" t="n">
        <f aca="false">IF(AND($F543="原始數據",$S543&lt;&gt;"Active"),1,0)</f>
        <v>0</v>
      </c>
      <c r="AC543" s="32" t="n">
        <f aca="false">IF(AND(ISNUMBER($K543),ISNUMBER($L543),ISNUMBER($Q543)),IF(OR($Q543&lt;MIN($K543,$L543),$Q543&gt;MAX($K543,$L543)),1,0),0)</f>
        <v>0</v>
      </c>
      <c r="AD543" s="32" t="n">
        <f aca="false">IF(AND(ISNUMBER($T543),$P543="高"),IF($T543=3,1,0),0)</f>
        <v>0</v>
      </c>
      <c r="AE543" s="32" t="n">
        <f aca="false">IF($S543="不存在",1,0)</f>
        <v>0</v>
      </c>
      <c r="AF543" s="44" t="str">
        <f aca="false">IF(OR($H543="—",$H543=""),"—",MATCH($H543,IDX_SrcID,0))</f>
        <v>—</v>
      </c>
      <c r="AG543" s="32" t="n">
        <f aca="false">IF(AND($P543="高",OR($AD543=1,$X543=1)),1,0)</f>
        <v>0</v>
      </c>
      <c r="AH543" s="32" t="n">
        <f aca="false">IF(AND($P543="高",$AG543=0,OR($F543&lt;&gt;"原始數據",$T543&lt;&gt;1)),1,0)</f>
        <v>0</v>
      </c>
      <c r="AI543" s="44" t="str">
        <f aca="false">IF(AND($P543="高",ISNUMBER($AF543)),INDEX(IDX_SrcDate,$AF543),"—")</f>
        <v>—</v>
      </c>
      <c r="AJ543" s="32" t="n">
        <f aca="false">IF(AND(ISTEXT($AI543),LEN($AI543)=10),IF(ISNUMBER(VALUE(SUBSTITUTE($AI543,"-",""))),VALUE(SUBSTITUTE($AI543,"-","")),0),0)</f>
        <v>0</v>
      </c>
    </row>
    <row r="544" customFormat="false" ht="43.5" hidden="false" customHeight="true" outlineLevel="0" collapsed="false">
      <c r="A544" s="30" t="s">
        <v>5989</v>
      </c>
      <c r="B544" s="239" t="s">
        <v>5607</v>
      </c>
      <c r="C544" s="30" t="s">
        <v>5560</v>
      </c>
      <c r="D544" s="205" t="s">
        <v>5990</v>
      </c>
      <c r="E544" s="6" t="s">
        <v>1118</v>
      </c>
      <c r="F544" s="30" t="s">
        <v>114</v>
      </c>
      <c r="G544" s="239" t="s">
        <v>5287</v>
      </c>
      <c r="H544" s="30" t="s">
        <v>751</v>
      </c>
      <c r="I544" s="6" t="s">
        <v>751</v>
      </c>
      <c r="J544" s="30" t="s">
        <v>5991</v>
      </c>
      <c r="K544" s="239"/>
      <c r="L544" s="239"/>
      <c r="M544" s="30" t="s">
        <v>5992</v>
      </c>
      <c r="N544" s="6" t="s">
        <v>5993</v>
      </c>
      <c r="O544" s="6" t="s">
        <v>751</v>
      </c>
      <c r="P544" s="239" t="s">
        <v>1309</v>
      </c>
      <c r="Q544" s="184" t="s">
        <v>751</v>
      </c>
      <c r="R544" s="30" t="s">
        <v>751</v>
      </c>
      <c r="S544" s="44" t="str">
        <f aca="false">IF(ISNUMBER($AF544),INDEX(IDX_SrcStat,$AF544),"—")</f>
        <v>—</v>
      </c>
      <c r="T544" s="44" t="str">
        <f aca="false">IF(ISNUMBER($AF544),INDEX(IDX_SrcGrade,$AF544),"—")</f>
        <v>—</v>
      </c>
      <c r="U544" s="30" t="s">
        <v>751</v>
      </c>
      <c r="V544" s="32" t="n">
        <f aca="false">IF(AND($F544="原始數據",$U544&lt;&gt;"連結 SRC"),1,0)</f>
        <v>0</v>
      </c>
      <c r="W544" s="32" t="n">
        <f aca="false">IF(AND($F544="Analogy",OR($H544="—",$H544="")),1,0)</f>
        <v>0</v>
      </c>
      <c r="X544" s="32" t="n">
        <f aca="false">IF(AND(OR($F544="Analogy",$F544="Assumed"),$G544&lt;&gt;"低",$G544&lt;&gt;"高",NOT(ISNUMBER($K544)),NOT(ISNUMBER($L544)),OR($M544="—",$M544="")),1,0)</f>
        <v>0</v>
      </c>
      <c r="Y544" s="32" t="n">
        <f aca="false">IF(AND(OR($F544="Analogy",$F544="Assumed",$F544="Derived（待改公式）",$F544="Derived（公式）"),OR($N544="—",$N544="",$N544=0)),1,0)</f>
        <v>0</v>
      </c>
      <c r="Z544" s="32" t="n">
        <f aca="false">IF(AND($F544="Decision",OR($J544="—",$J544="")),1,0)</f>
        <v>0</v>
      </c>
      <c r="AA544" s="33" t="n">
        <f aca="false">IF(OR($J544="—",$J544=""),0,IF(COUNTIF(Decisions!$A$5:$A$300,$J544)=0,1,0))</f>
        <v>0</v>
      </c>
      <c r="AB544" s="32" t="n">
        <f aca="false">IF(AND($F544="原始數據",$S544&lt;&gt;"Active"),1,0)</f>
        <v>0</v>
      </c>
      <c r="AC544" s="32" t="n">
        <f aca="false">IF(AND(ISNUMBER($K544),ISNUMBER($L544),ISNUMBER($Q544)),IF(OR($Q544&lt;MIN($K544,$L544),$Q544&gt;MAX($K544,$L544)),1,0),0)</f>
        <v>0</v>
      </c>
      <c r="AD544" s="32" t="n">
        <f aca="false">IF(AND(ISNUMBER($T544),$P544="高"),IF($T544=3,1,0),0)</f>
        <v>0</v>
      </c>
      <c r="AE544" s="32" t="n">
        <f aca="false">IF($S544="不存在",1,0)</f>
        <v>0</v>
      </c>
      <c r="AF544" s="44" t="str">
        <f aca="false">IF(OR($H544="—",$H544=""),"—",MATCH($H544,IDX_SrcID,0))</f>
        <v>—</v>
      </c>
      <c r="AG544" s="32" t="n">
        <f aca="false">IF(AND($P544="高",OR($AD544=1,$X544=1)),1,0)</f>
        <v>0</v>
      </c>
      <c r="AH544" s="32" t="n">
        <f aca="false">IF(AND($P544="高",$AG544=0,OR($F544&lt;&gt;"原始數據",$T544&lt;&gt;1)),1,0)</f>
        <v>1</v>
      </c>
      <c r="AI544" s="44" t="str">
        <f aca="false">IF(AND($P544="高",ISNUMBER($AF544)),INDEX(IDX_SrcDate,$AF544),"—")</f>
        <v>—</v>
      </c>
      <c r="AJ544" s="32" t="n">
        <f aca="false">IF(AND(ISTEXT($AI544),LEN($AI544)=10),IF(ISNUMBER(VALUE(SUBSTITUTE($AI544,"-",""))),VALUE(SUBSTITUTE($AI544,"-","")),0),0)</f>
        <v>0</v>
      </c>
    </row>
    <row r="545" customFormat="false" ht="29.25" hidden="false" customHeight="true" outlineLevel="0" collapsed="false">
      <c r="A545" s="30" t="s">
        <v>5994</v>
      </c>
      <c r="B545" s="239" t="s">
        <v>5607</v>
      </c>
      <c r="C545" s="30" t="s">
        <v>5560</v>
      </c>
      <c r="D545" s="30" t="s">
        <v>5995</v>
      </c>
      <c r="E545" s="6" t="s">
        <v>1120</v>
      </c>
      <c r="F545" s="30" t="s">
        <v>114</v>
      </c>
      <c r="G545" s="239" t="s">
        <v>5287</v>
      </c>
      <c r="H545" s="30" t="s">
        <v>751</v>
      </c>
      <c r="I545" s="6" t="s">
        <v>751</v>
      </c>
      <c r="J545" s="30" t="s">
        <v>751</v>
      </c>
      <c r="K545" s="239"/>
      <c r="L545" s="239"/>
      <c r="M545" s="30" t="s">
        <v>5996</v>
      </c>
      <c r="N545" s="6" t="s">
        <v>5997</v>
      </c>
      <c r="O545" s="6" t="s">
        <v>751</v>
      </c>
      <c r="P545" s="239" t="s">
        <v>1308</v>
      </c>
      <c r="Q545" s="184" t="s">
        <v>751</v>
      </c>
      <c r="R545" s="30" t="s">
        <v>751</v>
      </c>
      <c r="S545" s="44" t="str">
        <f aca="false">IF(ISNUMBER($AF545),INDEX(IDX_SrcStat,$AF545),"—")</f>
        <v>—</v>
      </c>
      <c r="T545" s="44" t="str">
        <f aca="false">IF(ISNUMBER($AF545),INDEX(IDX_SrcGrade,$AF545),"—")</f>
        <v>—</v>
      </c>
      <c r="U545" s="30" t="s">
        <v>751</v>
      </c>
      <c r="V545" s="32" t="n">
        <f aca="false">IF(AND($F545="原始數據",$U545&lt;&gt;"連結 SRC"),1,0)</f>
        <v>0</v>
      </c>
      <c r="W545" s="32" t="n">
        <f aca="false">IF(AND($F545="Analogy",OR($H545="—",$H545="")),1,0)</f>
        <v>0</v>
      </c>
      <c r="X545" s="32" t="n">
        <f aca="false">IF(AND(OR($F545="Analogy",$F545="Assumed"),$G545&lt;&gt;"低",$G545&lt;&gt;"高",NOT(ISNUMBER($K545)),NOT(ISNUMBER($L545)),OR($M545="—",$M545="")),1,0)</f>
        <v>0</v>
      </c>
      <c r="Y545" s="32" t="n">
        <f aca="false">IF(AND(OR($F545="Analogy",$F545="Assumed",$F545="Derived（待改公式）",$F545="Derived（公式）"),OR($N545="—",$N545="",$N545=0)),1,0)</f>
        <v>0</v>
      </c>
      <c r="Z545" s="32" t="n">
        <f aca="false">IF(AND($F545="Decision",OR($J545="—",$J545="")),1,0)</f>
        <v>0</v>
      </c>
      <c r="AA545" s="33" t="n">
        <f aca="false">IF(OR($J545="—",$J545=""),0,IF(COUNTIF(Decisions!$A$5:$A$300,$J545)=0,1,0))</f>
        <v>0</v>
      </c>
      <c r="AB545" s="32" t="n">
        <f aca="false">IF(AND($F545="原始數據",$S545&lt;&gt;"Active"),1,0)</f>
        <v>0</v>
      </c>
      <c r="AC545" s="32" t="n">
        <f aca="false">IF(AND(ISNUMBER($K545),ISNUMBER($L545),ISNUMBER($Q545)),IF(OR($Q545&lt;MIN($K545,$L545),$Q545&gt;MAX($K545,$L545)),1,0),0)</f>
        <v>0</v>
      </c>
      <c r="AD545" s="32" t="n">
        <f aca="false">IF(AND(ISNUMBER($T545),$P545="高"),IF($T545=3,1,0),0)</f>
        <v>0</v>
      </c>
      <c r="AE545" s="32" t="n">
        <f aca="false">IF($S545="不存在",1,0)</f>
        <v>0</v>
      </c>
      <c r="AF545" s="44" t="str">
        <f aca="false">IF(OR($H545="—",$H545=""),"—",MATCH($H545,IDX_SrcID,0))</f>
        <v>—</v>
      </c>
      <c r="AG545" s="32" t="n">
        <f aca="false">IF(AND($P545="高",OR($AD545=1,$X545=1)),1,0)</f>
        <v>0</v>
      </c>
      <c r="AH545" s="32" t="n">
        <f aca="false">IF(AND($P545="高",$AG545=0,OR($F545&lt;&gt;"原始數據",$T545&lt;&gt;1)),1,0)</f>
        <v>0</v>
      </c>
      <c r="AI545" s="44" t="str">
        <f aca="false">IF(AND($P545="高",ISNUMBER($AF545)),INDEX(IDX_SrcDate,$AF545),"—")</f>
        <v>—</v>
      </c>
      <c r="AJ545" s="32" t="n">
        <f aca="false">IF(AND(ISTEXT($AI545),LEN($AI545)=10),IF(ISNUMBER(VALUE(SUBSTITUTE($AI545,"-",""))),VALUE(SUBSTITUTE($AI545,"-","")),0),0)</f>
        <v>0</v>
      </c>
    </row>
    <row r="546" customFormat="false" ht="40.5" hidden="false" customHeight="true" outlineLevel="0" collapsed="false">
      <c r="A546" s="30" t="s">
        <v>5998</v>
      </c>
      <c r="B546" s="239" t="s">
        <v>5607</v>
      </c>
      <c r="C546" s="30" t="s">
        <v>5560</v>
      </c>
      <c r="D546" s="30" t="s">
        <v>5999</v>
      </c>
      <c r="E546" s="20" t="s">
        <v>6000</v>
      </c>
      <c r="F546" s="30" t="s">
        <v>114</v>
      </c>
      <c r="G546" s="239" t="s">
        <v>5287</v>
      </c>
      <c r="H546" s="30" t="s">
        <v>751</v>
      </c>
      <c r="I546" s="6" t="s">
        <v>751</v>
      </c>
      <c r="J546" s="30" t="s">
        <v>751</v>
      </c>
      <c r="K546" s="239"/>
      <c r="L546" s="239"/>
      <c r="M546" s="239" t="s">
        <v>4352</v>
      </c>
      <c r="N546" s="20" t="s">
        <v>6001</v>
      </c>
      <c r="O546" s="6" t="s">
        <v>6002</v>
      </c>
      <c r="P546" s="239" t="s">
        <v>4530</v>
      </c>
      <c r="Q546" s="184" t="s">
        <v>751</v>
      </c>
      <c r="R546" s="30" t="s">
        <v>751</v>
      </c>
      <c r="S546" s="44" t="str">
        <f aca="false">IF(ISNUMBER($AF546),INDEX(IDX_SrcStat,$AF546),"—")</f>
        <v>—</v>
      </c>
      <c r="T546" s="44" t="str">
        <f aca="false">IF(ISNUMBER($AF546),INDEX(IDX_SrcGrade,$AF546),"—")</f>
        <v>—</v>
      </c>
      <c r="U546" s="30" t="s">
        <v>751</v>
      </c>
      <c r="V546" s="32" t="n">
        <f aca="false">IF(AND($F546="原始數據",$U546&lt;&gt;"連結 SRC"),1,0)</f>
        <v>0</v>
      </c>
      <c r="W546" s="32" t="n">
        <f aca="false">IF(AND($F546="Analogy",OR($H546="—",$H546="")),1,0)</f>
        <v>0</v>
      </c>
      <c r="X546" s="32" t="n">
        <f aca="false">IF(AND(OR($F546="Analogy",$F546="Assumed"),$G546&lt;&gt;"低",$G546&lt;&gt;"高",NOT(ISNUMBER($K546)),NOT(ISNUMBER($L546)),OR($M546="—",$M546="")),1,0)</f>
        <v>0</v>
      </c>
      <c r="Y546" s="32" t="n">
        <f aca="false">IF(AND(OR($F546="Analogy",$F546="Assumed",$F546="Derived（待改公式）",$F546="Derived（公式）"),OR($N546="—",$N546="",$N546=0)),1,0)</f>
        <v>0</v>
      </c>
      <c r="Z546" s="32" t="n">
        <f aca="false">IF(AND($F546="Decision",OR($J546="—",$J546="")),1,0)</f>
        <v>0</v>
      </c>
      <c r="AA546" s="33" t="n">
        <f aca="false">IF(OR($J546="—",$J546=""),0,IF(COUNTIF(Decisions!$A$5:$A$300,$J546)=0,1,0))</f>
        <v>0</v>
      </c>
      <c r="AB546" s="32" t="n">
        <f aca="false">IF(AND($F546="原始數據",$S546&lt;&gt;"Active"),1,0)</f>
        <v>0</v>
      </c>
      <c r="AC546" s="32" t="n">
        <f aca="false">IF(AND(ISNUMBER($K546),ISNUMBER($L546),ISNUMBER($Q546)),IF(OR($Q546&lt;MIN($K546,$L546),$Q546&gt;MAX($K546,$L546)),1,0),0)</f>
        <v>0</v>
      </c>
      <c r="AD546" s="32" t="n">
        <f aca="false">IF(AND(ISNUMBER($T546),$P546="高"),IF($T546=3,1,0),0)</f>
        <v>0</v>
      </c>
      <c r="AE546" s="32" t="n">
        <f aca="false">IF($S546="不存在",1,0)</f>
        <v>0</v>
      </c>
      <c r="AF546" s="44" t="str">
        <f aca="false">IF(OR($H546="—",$H546=""),"—",MATCH($H546,IDX_SrcID,0))</f>
        <v>—</v>
      </c>
      <c r="AG546" s="32" t="n">
        <f aca="false">IF(AND($P546="高",OR($AD546=1,$X546=1)),1,0)</f>
        <v>0</v>
      </c>
      <c r="AH546" s="32" t="n">
        <f aca="false">IF(AND($P546="高",$AG546=0,OR($F546&lt;&gt;"原始數據",$T546&lt;&gt;1)),1,0)</f>
        <v>0</v>
      </c>
      <c r="AI546" s="44" t="str">
        <f aca="false">IF(AND($P546="高",ISNUMBER($AF546)),INDEX(IDX_SrcDate,$AF546),"—")</f>
        <v>—</v>
      </c>
      <c r="AJ546" s="32" t="n">
        <f aca="false">IF(AND(ISTEXT($AI546),LEN($AI546)=10),IF(ISNUMBER(VALUE(SUBSTITUTE($AI546,"-",""))),VALUE(SUBSTITUTE($AI546,"-","")),0),0)</f>
        <v>0</v>
      </c>
    </row>
    <row r="547" customFormat="false" ht="15" hidden="false" customHeight="true" outlineLevel="0" collapsed="false">
      <c r="A547" s="30" t="s">
        <v>6003</v>
      </c>
      <c r="B547" s="239" t="s">
        <v>5607</v>
      </c>
      <c r="C547" s="30" t="s">
        <v>5560</v>
      </c>
      <c r="D547" s="30" t="s">
        <v>6004</v>
      </c>
      <c r="E547" s="20" t="s">
        <v>6005</v>
      </c>
      <c r="F547" s="30" t="s">
        <v>114</v>
      </c>
      <c r="G547" s="239" t="s">
        <v>5287</v>
      </c>
      <c r="H547" s="30" t="s">
        <v>751</v>
      </c>
      <c r="I547" s="6" t="s">
        <v>751</v>
      </c>
      <c r="J547" s="30" t="s">
        <v>751</v>
      </c>
      <c r="K547" s="239"/>
      <c r="L547" s="239"/>
      <c r="M547" s="30" t="s">
        <v>6006</v>
      </c>
      <c r="N547" s="20" t="s">
        <v>6005</v>
      </c>
      <c r="O547" s="6" t="s">
        <v>751</v>
      </c>
      <c r="P547" s="239" t="s">
        <v>1308</v>
      </c>
      <c r="Q547" s="184" t="s">
        <v>751</v>
      </c>
      <c r="R547" s="30" t="s">
        <v>751</v>
      </c>
      <c r="S547" s="44" t="str">
        <f aca="false">IF(ISNUMBER($AF547),INDEX(IDX_SrcStat,$AF547),"—")</f>
        <v>—</v>
      </c>
      <c r="T547" s="44" t="str">
        <f aca="false">IF(ISNUMBER($AF547),INDEX(IDX_SrcGrade,$AF547),"—")</f>
        <v>—</v>
      </c>
      <c r="U547" s="30" t="s">
        <v>751</v>
      </c>
      <c r="V547" s="32" t="n">
        <f aca="false">IF(AND($F547="原始數據",$U547&lt;&gt;"連結 SRC"),1,0)</f>
        <v>0</v>
      </c>
      <c r="W547" s="32" t="n">
        <f aca="false">IF(AND($F547="Analogy",OR($H547="—",$H547="")),1,0)</f>
        <v>0</v>
      </c>
      <c r="X547" s="32" t="n">
        <f aca="false">IF(AND(OR($F547="Analogy",$F547="Assumed"),$G547&lt;&gt;"低",$G547&lt;&gt;"高",NOT(ISNUMBER($K547)),NOT(ISNUMBER($L547)),OR($M547="—",$M547="")),1,0)</f>
        <v>0</v>
      </c>
      <c r="Y547" s="32" t="n">
        <f aca="false">IF(AND(OR($F547="Analogy",$F547="Assumed",$F547="Derived（待改公式）",$F547="Derived（公式）"),OR($N547="—",$N547="",$N547=0)),1,0)</f>
        <v>0</v>
      </c>
      <c r="Z547" s="32" t="n">
        <f aca="false">IF(AND($F547="Decision",OR($J547="—",$J547="")),1,0)</f>
        <v>0</v>
      </c>
      <c r="AA547" s="33" t="n">
        <f aca="false">IF(OR($J547="—",$J547=""),0,IF(COUNTIF(Decisions!$A$5:$A$300,$J547)=0,1,0))</f>
        <v>0</v>
      </c>
      <c r="AB547" s="32" t="n">
        <f aca="false">IF(AND($F547="原始數據",$S547&lt;&gt;"Active"),1,0)</f>
        <v>0</v>
      </c>
      <c r="AC547" s="32" t="n">
        <f aca="false">IF(AND(ISNUMBER($K547),ISNUMBER($L547),ISNUMBER($Q547)),IF(OR($Q547&lt;MIN($K547,$L547),$Q547&gt;MAX($K547,$L547)),1,0),0)</f>
        <v>0</v>
      </c>
      <c r="AD547" s="32" t="n">
        <f aca="false">IF(AND(ISNUMBER($T547),$P547="高"),IF($T547=3,1,0),0)</f>
        <v>0</v>
      </c>
      <c r="AE547" s="32" t="n">
        <f aca="false">IF($S547="不存在",1,0)</f>
        <v>0</v>
      </c>
      <c r="AF547" s="44" t="str">
        <f aca="false">IF(OR($H547="—",$H547=""),"—",MATCH($H547,IDX_SrcID,0))</f>
        <v>—</v>
      </c>
      <c r="AG547" s="32" t="n">
        <f aca="false">IF(AND($P547="高",OR($AD547=1,$X547=1)),1,0)</f>
        <v>0</v>
      </c>
      <c r="AH547" s="32" t="n">
        <f aca="false">IF(AND($P547="高",$AG547=0,OR($F547&lt;&gt;"原始數據",$T547&lt;&gt;1)),1,0)</f>
        <v>0</v>
      </c>
      <c r="AI547" s="44" t="str">
        <f aca="false">IF(AND($P547="高",ISNUMBER($AF547)),INDEX(IDX_SrcDate,$AF547),"—")</f>
        <v>—</v>
      </c>
      <c r="AJ547" s="32" t="n">
        <f aca="false">IF(AND(ISTEXT($AI547),LEN($AI547)=10),IF(ISNUMBER(VALUE(SUBSTITUTE($AI547,"-",""))),VALUE(SUBSTITUTE($AI547,"-","")),0),0)</f>
        <v>0</v>
      </c>
    </row>
    <row r="548" customFormat="false" ht="15" hidden="false" customHeight="true" outlineLevel="0" collapsed="false">
      <c r="A548" s="30" t="s">
        <v>6007</v>
      </c>
      <c r="B548" s="239" t="s">
        <v>5607</v>
      </c>
      <c r="C548" s="30" t="s">
        <v>5560</v>
      </c>
      <c r="D548" s="30" t="s">
        <v>6008</v>
      </c>
      <c r="E548" s="20" t="s">
        <v>6009</v>
      </c>
      <c r="F548" s="30" t="s">
        <v>114</v>
      </c>
      <c r="G548" s="239" t="s">
        <v>5287</v>
      </c>
      <c r="H548" s="30" t="s">
        <v>751</v>
      </c>
      <c r="I548" s="6" t="s">
        <v>751</v>
      </c>
      <c r="J548" s="30" t="s">
        <v>751</v>
      </c>
      <c r="K548" s="239"/>
      <c r="L548" s="239"/>
      <c r="M548" s="239" t="s">
        <v>5986</v>
      </c>
      <c r="N548" s="20" t="s">
        <v>6009</v>
      </c>
      <c r="O548" s="6" t="s">
        <v>751</v>
      </c>
      <c r="P548" s="239" t="s">
        <v>1308</v>
      </c>
      <c r="Q548" s="184" t="s">
        <v>751</v>
      </c>
      <c r="R548" s="30" t="s">
        <v>751</v>
      </c>
      <c r="S548" s="44" t="str">
        <f aca="false">IF(ISNUMBER($AF548),INDEX(IDX_SrcStat,$AF548),"—")</f>
        <v>—</v>
      </c>
      <c r="T548" s="44" t="str">
        <f aca="false">IF(ISNUMBER($AF548),INDEX(IDX_SrcGrade,$AF548),"—")</f>
        <v>—</v>
      </c>
      <c r="U548" s="30" t="s">
        <v>751</v>
      </c>
      <c r="V548" s="32" t="n">
        <f aca="false">IF(AND($F548="原始數據",$U548&lt;&gt;"連結 SRC"),1,0)</f>
        <v>0</v>
      </c>
      <c r="W548" s="32" t="n">
        <f aca="false">IF(AND($F548="Analogy",OR($H548="—",$H548="")),1,0)</f>
        <v>0</v>
      </c>
      <c r="X548" s="32" t="n">
        <f aca="false">IF(AND(OR($F548="Analogy",$F548="Assumed"),$G548&lt;&gt;"低",$G548&lt;&gt;"高",NOT(ISNUMBER($K548)),NOT(ISNUMBER($L548)),OR($M548="—",$M548="")),1,0)</f>
        <v>0</v>
      </c>
      <c r="Y548" s="32" t="n">
        <f aca="false">IF(AND(OR($F548="Analogy",$F548="Assumed",$F548="Derived（待改公式）",$F548="Derived（公式）"),OR($N548="—",$N548="",$N548=0)),1,0)</f>
        <v>0</v>
      </c>
      <c r="Z548" s="32" t="n">
        <f aca="false">IF(AND($F548="Decision",OR($J548="—",$J548="")),1,0)</f>
        <v>0</v>
      </c>
      <c r="AA548" s="33" t="n">
        <f aca="false">IF(OR($J548="—",$J548=""),0,IF(COUNTIF(Decisions!$A$5:$A$300,$J548)=0,1,0))</f>
        <v>0</v>
      </c>
      <c r="AB548" s="32" t="n">
        <f aca="false">IF(AND($F548="原始數據",$S548&lt;&gt;"Active"),1,0)</f>
        <v>0</v>
      </c>
      <c r="AC548" s="32" t="n">
        <f aca="false">IF(AND(ISNUMBER($K548),ISNUMBER($L548),ISNUMBER($Q548)),IF(OR($Q548&lt;MIN($K548,$L548),$Q548&gt;MAX($K548,$L548)),1,0),0)</f>
        <v>0</v>
      </c>
      <c r="AD548" s="32" t="n">
        <f aca="false">IF(AND(ISNUMBER($T548),$P548="高"),IF($T548=3,1,0),0)</f>
        <v>0</v>
      </c>
      <c r="AE548" s="32" t="n">
        <f aca="false">IF($S548="不存在",1,0)</f>
        <v>0</v>
      </c>
      <c r="AF548" s="44" t="str">
        <f aca="false">IF(OR($H548="—",$H548=""),"—",MATCH($H548,IDX_SrcID,0))</f>
        <v>—</v>
      </c>
      <c r="AG548" s="32" t="n">
        <f aca="false">IF(AND($P548="高",OR($AD548=1,$X548=1)),1,0)</f>
        <v>0</v>
      </c>
      <c r="AH548" s="32" t="n">
        <f aca="false">IF(AND($P548="高",$AG548=0,OR($F548&lt;&gt;"原始數據",$T548&lt;&gt;1)),1,0)</f>
        <v>0</v>
      </c>
      <c r="AI548" s="44" t="str">
        <f aca="false">IF(AND($P548="高",ISNUMBER($AF548)),INDEX(IDX_SrcDate,$AF548),"—")</f>
        <v>—</v>
      </c>
      <c r="AJ548" s="32" t="n">
        <f aca="false">IF(AND(ISTEXT($AI548),LEN($AI548)=10),IF(ISNUMBER(VALUE(SUBSTITUTE($AI548,"-",""))),VALUE(SUBSTITUTE($AI548,"-","")),0),0)</f>
        <v>0</v>
      </c>
    </row>
    <row r="549" customFormat="false" ht="43.5" hidden="false" customHeight="true" outlineLevel="0" collapsed="false">
      <c r="A549" s="30" t="s">
        <v>6010</v>
      </c>
      <c r="B549" s="239" t="s">
        <v>5607</v>
      </c>
      <c r="C549" s="30" t="s">
        <v>5560</v>
      </c>
      <c r="D549" s="30" t="s">
        <v>6011</v>
      </c>
      <c r="E549" s="6" t="s">
        <v>1135</v>
      </c>
      <c r="F549" s="30" t="s">
        <v>4619</v>
      </c>
      <c r="G549" s="239" t="s">
        <v>4527</v>
      </c>
      <c r="H549" s="30" t="s">
        <v>3299</v>
      </c>
      <c r="I549" s="20" t="s">
        <v>6012</v>
      </c>
      <c r="J549" s="30" t="s">
        <v>751</v>
      </c>
      <c r="K549" s="239"/>
      <c r="L549" s="239"/>
      <c r="M549" s="30" t="s">
        <v>751</v>
      </c>
      <c r="N549" s="20" t="s">
        <v>6013</v>
      </c>
      <c r="O549" s="6" t="s">
        <v>751</v>
      </c>
      <c r="P549" s="239" t="s">
        <v>4530</v>
      </c>
      <c r="Q549" s="196" t="n">
        <f aca="false">Train_In!C44</f>
        <v>0.0551801801801802</v>
      </c>
      <c r="R549" s="184" t="n">
        <f aca="false">SRC_MOD_034</f>
        <v>0.147</v>
      </c>
      <c r="S549" s="44" t="str">
        <f aca="false">IF(ISNUMBER($AF549),INDEX(IDX_SrcStat,$AF549),"—")</f>
        <v>Active</v>
      </c>
      <c r="T549" s="44" t="n">
        <f aca="false">IF(ISNUMBER($AF549),INDEX(IDX_SrcGrade,$AF549),"—")</f>
        <v>2</v>
      </c>
      <c r="U549" s="44" t="s">
        <v>4564</v>
      </c>
      <c r="V549" s="32" t="n">
        <f aca="false">IF(AND($F549="原始數據",$U549&lt;&gt;"連結 SRC"),1,0)</f>
        <v>0</v>
      </c>
      <c r="W549" s="32" t="n">
        <f aca="false">IF(AND($F549="Analogy",OR($H549="—",$H549="")),1,0)</f>
        <v>0</v>
      </c>
      <c r="X549" s="32" t="n">
        <f aca="false">IF(AND(OR($F549="Analogy",$F549="Assumed"),$G549&lt;&gt;"低",$G549&lt;&gt;"高",NOT(ISNUMBER($K549)),NOT(ISNUMBER($L549)),OR($M549="—",$M549="")),1,0)</f>
        <v>0</v>
      </c>
      <c r="Y549" s="32" t="n">
        <f aca="false">IF(AND(OR($F549="Analogy",$F549="Assumed",$F549="Derived（待改公式）",$F549="Derived（公式）"),OR($N549="—",$N549="",$N549=0)),1,0)</f>
        <v>0</v>
      </c>
      <c r="Z549" s="32" t="n">
        <f aca="false">IF(AND($F549="Decision",OR($J549="—",$J549="")),1,0)</f>
        <v>0</v>
      </c>
      <c r="AA549" s="33" t="n">
        <f aca="false">IF(OR($J549="—",$J549=""),0,IF(COUNTIF(Decisions!$A$5:$A$300,$J549)=0,1,0))</f>
        <v>0</v>
      </c>
      <c r="AB549" s="32" t="n">
        <f aca="false">IF(AND($F549="原始數據",$S549&lt;&gt;"Active"),1,0)</f>
        <v>0</v>
      </c>
      <c r="AC549" s="32" t="n">
        <f aca="false">IF(AND(ISNUMBER($K549),ISNUMBER($L549),ISNUMBER($Q549)),IF(OR($Q549&lt;MIN($K549,$L549),$Q549&gt;MAX($K549,$L549)),1,0),0)</f>
        <v>0</v>
      </c>
      <c r="AD549" s="32" t="n">
        <f aca="false">IF(AND(ISNUMBER($T549),$P549="高"),IF($T549=3,1,0),0)</f>
        <v>0</v>
      </c>
      <c r="AE549" s="32" t="n">
        <f aca="false">IF($S549="不存在",1,0)</f>
        <v>0</v>
      </c>
      <c r="AF549" s="44" t="n">
        <f aca="false">IF(OR($H549="—",$H549=""),"—",MATCH($H549,IDX_SrcID,0))</f>
        <v>217</v>
      </c>
      <c r="AG549" s="32" t="n">
        <f aca="false">IF(AND($P549="高",OR($AD549=1,$X549=1)),1,0)</f>
        <v>0</v>
      </c>
      <c r="AH549" s="32" t="n">
        <f aca="false">IF(AND($P549="高",$AG549=0,OR($F549&lt;&gt;"原始數據",$T549&lt;&gt;1)),1,0)</f>
        <v>0</v>
      </c>
      <c r="AI549" s="44" t="str">
        <f aca="false">IF(AND($P549="高",ISNUMBER($AF549)),INDEX(IDX_SrcDate,$AF549),"—")</f>
        <v>—</v>
      </c>
      <c r="AJ549" s="32" t="n">
        <f aca="false">IF(AND(ISTEXT($AI549),LEN($AI549)=10),IF(ISNUMBER(VALUE(SUBSTITUTE($AI549,"-",""))),VALUE(SUBSTITUTE($AI549,"-","")),0),0)</f>
        <v>0</v>
      </c>
    </row>
    <row r="550" customFormat="false" ht="29.25" hidden="false" customHeight="true" outlineLevel="0" collapsed="false">
      <c r="A550" s="30" t="s">
        <v>6014</v>
      </c>
      <c r="B550" s="239" t="s">
        <v>5607</v>
      </c>
      <c r="C550" s="30" t="s">
        <v>5560</v>
      </c>
      <c r="D550" s="30" t="s">
        <v>6015</v>
      </c>
      <c r="E550" s="20" t="s">
        <v>1141</v>
      </c>
      <c r="F550" s="30" t="s">
        <v>119</v>
      </c>
      <c r="G550" s="239" t="s">
        <v>97</v>
      </c>
      <c r="H550" s="30" t="s">
        <v>6016</v>
      </c>
      <c r="I550" s="20" t="s">
        <v>6017</v>
      </c>
      <c r="J550" s="30" t="s">
        <v>5961</v>
      </c>
      <c r="K550" s="246" t="n">
        <f aca="false">Train_In!C46</f>
        <v>2E+026</v>
      </c>
      <c r="L550" s="246" t="n">
        <f aca="false">Train_In!C48</f>
        <v>2E+027</v>
      </c>
      <c r="M550" s="30" t="s">
        <v>751</v>
      </c>
      <c r="N550" s="6" t="s">
        <v>6018</v>
      </c>
      <c r="O550" s="6" t="s">
        <v>751</v>
      </c>
      <c r="P550" s="239" t="s">
        <v>4530</v>
      </c>
      <c r="Q550" s="246" t="n">
        <f aca="false">Train_In!C47</f>
        <v>5E+026</v>
      </c>
      <c r="R550" s="184" t="n">
        <f aca="false">SRC_MOD_033</f>
        <v>4.6E+026</v>
      </c>
      <c r="S550" s="44" t="str">
        <f aca="false">IF(ISNUMBER($AF550),INDEX(IDX_SrcStat,$AF550),"—")</f>
        <v>Active</v>
      </c>
      <c r="T550" s="44" t="n">
        <f aca="false">IF(ISNUMBER($AF550),INDEX(IDX_SrcGrade,$AF550),"—")</f>
        <v>1</v>
      </c>
      <c r="U550" s="44" t="s">
        <v>4531</v>
      </c>
      <c r="V550" s="32" t="n">
        <f aca="false">IF(AND($F550="原始數據",$U550&lt;&gt;"連結 SRC"),1,0)</f>
        <v>0</v>
      </c>
      <c r="W550" s="32" t="n">
        <f aca="false">IF(AND($F550="Analogy",OR($H550="—",$H550="")),1,0)</f>
        <v>0</v>
      </c>
      <c r="X550" s="32" t="n">
        <f aca="false">IF(AND(OR($F550="Analogy",$F550="Assumed"),$G550&lt;&gt;"低",$G550&lt;&gt;"高",NOT(ISNUMBER($K550)),NOT(ISNUMBER($L550)),OR($M550="—",$M550="")),1,0)</f>
        <v>0</v>
      </c>
      <c r="Y550" s="32" t="n">
        <f aca="false">IF(AND(OR($F550="Analogy",$F550="Assumed",$F550="Derived（待改公式）",$F550="Derived（公式）"),OR($N550="—",$N550="",$N550=0)),1,0)</f>
        <v>0</v>
      </c>
      <c r="Z550" s="32" t="n">
        <f aca="false">IF(AND($F550="Decision",OR($J550="—",$J550="")),1,0)</f>
        <v>0</v>
      </c>
      <c r="AA550" s="33" t="n">
        <f aca="false">IF(OR($J550="—",$J550=""),0,IF(COUNTIF(Decisions!$A$5:$A$300,$J550)=0,1,0))</f>
        <v>0</v>
      </c>
      <c r="AB550" s="32" t="n">
        <f aca="false">IF(AND($F550="原始數據",$S550&lt;&gt;"Active"),1,0)</f>
        <v>0</v>
      </c>
      <c r="AC550" s="32" t="n">
        <f aca="false">IF(AND(ISNUMBER($K550),ISNUMBER($L550),ISNUMBER($Q550)),IF(OR($Q550&lt;MIN($K550,$L550),$Q550&gt;MAX($K550,$L550)),1,0),0)</f>
        <v>0</v>
      </c>
      <c r="AD550" s="32" t="n">
        <f aca="false">IF(AND(ISNUMBER($T550),$P550="高"),IF($T550=3,1,0),0)</f>
        <v>0</v>
      </c>
      <c r="AE550" s="32" t="n">
        <f aca="false">IF($S550="不存在",1,0)</f>
        <v>0</v>
      </c>
      <c r="AF550" s="44" t="n">
        <f aca="false">IF(OR($H550="—",$H550=""),"—",MATCH($H550,IDX_SrcID,0))</f>
        <v>216</v>
      </c>
      <c r="AG550" s="32" t="n">
        <f aca="false">IF(AND($P550="高",OR($AD550=1,$X550=1)),1,0)</f>
        <v>0</v>
      </c>
      <c r="AH550" s="32" t="n">
        <f aca="false">IF(AND($P550="高",$AG550=0,OR($F550&lt;&gt;"原始數據",$T550&lt;&gt;1)),1,0)</f>
        <v>0</v>
      </c>
      <c r="AI550" s="44" t="str">
        <f aca="false">IF(AND($P550="高",ISNUMBER($AF550)),INDEX(IDX_SrcDate,$AF550),"—")</f>
        <v>—</v>
      </c>
      <c r="AJ550" s="32" t="n">
        <f aca="false">IF(AND(ISTEXT($AI550),LEN($AI550)=10),IF(ISNUMBER(VALUE(SUBSTITUTE($AI550,"-",""))),VALUE(SUBSTITUTE($AI550,"-","")),0),0)</f>
        <v>0</v>
      </c>
    </row>
    <row r="551" customFormat="false" ht="15" hidden="false" customHeight="true" outlineLevel="0" collapsed="false">
      <c r="A551" s="30" t="s">
        <v>6019</v>
      </c>
      <c r="B551" s="239" t="s">
        <v>5607</v>
      </c>
      <c r="C551" s="30" t="s">
        <v>5560</v>
      </c>
      <c r="D551" s="30" t="s">
        <v>6020</v>
      </c>
      <c r="E551" s="20" t="s">
        <v>1139</v>
      </c>
      <c r="F551" s="30" t="s">
        <v>119</v>
      </c>
      <c r="G551" s="239" t="s">
        <v>1308</v>
      </c>
      <c r="H551" s="30" t="s">
        <v>6016</v>
      </c>
      <c r="I551" s="20" t="s">
        <v>4550</v>
      </c>
      <c r="J551" s="30" t="s">
        <v>5961</v>
      </c>
      <c r="K551" s="239"/>
      <c r="L551" s="239"/>
      <c r="M551" s="30" t="s">
        <v>751</v>
      </c>
      <c r="N551" s="20" t="s">
        <v>6021</v>
      </c>
      <c r="O551" s="6" t="s">
        <v>751</v>
      </c>
      <c r="P551" s="239" t="s">
        <v>4530</v>
      </c>
      <c r="Q551" s="246" t="n">
        <f aca="false">Train_In!C46</f>
        <v>2E+026</v>
      </c>
      <c r="R551" s="184" t="n">
        <f aca="false">SRC_MOD_033</f>
        <v>4.6E+026</v>
      </c>
      <c r="S551" s="44" t="str">
        <f aca="false">IF(ISNUMBER($AF551),INDEX(IDX_SrcStat,$AF551),"—")</f>
        <v>Active</v>
      </c>
      <c r="T551" s="44" t="n">
        <f aca="false">IF(ISNUMBER($AF551),INDEX(IDX_SrcGrade,$AF551),"—")</f>
        <v>1</v>
      </c>
      <c r="U551" s="44" t="s">
        <v>4531</v>
      </c>
      <c r="V551" s="32" t="n">
        <f aca="false">IF(AND($F551="原始數據",$U551&lt;&gt;"連結 SRC"),1,0)</f>
        <v>0</v>
      </c>
      <c r="W551" s="32" t="n">
        <f aca="false">IF(AND($F551="Analogy",OR($H551="—",$H551="")),1,0)</f>
        <v>0</v>
      </c>
      <c r="X551" s="32" t="n">
        <f aca="false">IF(AND(OR($F551="Analogy",$F551="Assumed"),$G551&lt;&gt;"低",$G551&lt;&gt;"高",NOT(ISNUMBER($K551)),NOT(ISNUMBER($L551)),OR($M551="—",$M551="")),1,0)</f>
        <v>0</v>
      </c>
      <c r="Y551" s="32" t="n">
        <f aca="false">IF(AND(OR($F551="Analogy",$F551="Assumed",$F551="Derived（待改公式）",$F551="Derived（公式）"),OR($N551="—",$N551="",$N551=0)),1,0)</f>
        <v>0</v>
      </c>
      <c r="Z551" s="32" t="n">
        <f aca="false">IF(AND($F551="Decision",OR($J551="—",$J551="")),1,0)</f>
        <v>0</v>
      </c>
      <c r="AA551" s="33" t="n">
        <f aca="false">IF(OR($J551="—",$J551=""),0,IF(COUNTIF(Decisions!$A$5:$A$300,$J551)=0,1,0))</f>
        <v>0</v>
      </c>
      <c r="AB551" s="32" t="n">
        <f aca="false">IF(AND($F551="原始數據",$S551&lt;&gt;"Active"),1,0)</f>
        <v>0</v>
      </c>
      <c r="AC551" s="32" t="n">
        <f aca="false">IF(AND(ISNUMBER($K551),ISNUMBER($L551),ISNUMBER($Q551)),IF(OR($Q551&lt;MIN($K551,$L551),$Q551&gt;MAX($K551,$L551)),1,0),0)</f>
        <v>0</v>
      </c>
      <c r="AD551" s="32" t="n">
        <f aca="false">IF(AND(ISNUMBER($T551),$P551="高"),IF($T551=3,1,0),0)</f>
        <v>0</v>
      </c>
      <c r="AE551" s="32" t="n">
        <f aca="false">IF($S551="不存在",1,0)</f>
        <v>0</v>
      </c>
      <c r="AF551" s="44" t="n">
        <f aca="false">IF(OR($H551="—",$H551=""),"—",MATCH($H551,IDX_SrcID,0))</f>
        <v>216</v>
      </c>
      <c r="AG551" s="32" t="n">
        <f aca="false">IF(AND($P551="高",OR($AD551=1,$X551=1)),1,0)</f>
        <v>0</v>
      </c>
      <c r="AH551" s="32" t="n">
        <f aca="false">IF(AND($P551="高",$AG551=0,OR($F551&lt;&gt;"原始數據",$T551&lt;&gt;1)),1,0)</f>
        <v>0</v>
      </c>
      <c r="AI551" s="44" t="str">
        <f aca="false">IF(AND($P551="高",ISNUMBER($AF551)),INDEX(IDX_SrcDate,$AF551),"—")</f>
        <v>—</v>
      </c>
      <c r="AJ551" s="32" t="n">
        <f aca="false">IF(AND(ISTEXT($AI551),LEN($AI551)=10),IF(ISNUMBER(VALUE(SUBSTITUTE($AI551,"-",""))),VALUE(SUBSTITUTE($AI551,"-","")),0),0)</f>
        <v>0</v>
      </c>
    </row>
    <row r="552" customFormat="false" ht="15" hidden="false" customHeight="true" outlineLevel="0" collapsed="false">
      <c r="A552" s="30" t="s">
        <v>6022</v>
      </c>
      <c r="B552" s="239" t="s">
        <v>5607</v>
      </c>
      <c r="C552" s="30" t="s">
        <v>5560</v>
      </c>
      <c r="D552" s="30" t="s">
        <v>6023</v>
      </c>
      <c r="E552" s="20" t="s">
        <v>1142</v>
      </c>
      <c r="F552" s="30" t="s">
        <v>119</v>
      </c>
      <c r="G552" s="239" t="s">
        <v>1309</v>
      </c>
      <c r="H552" s="30" t="s">
        <v>6016</v>
      </c>
      <c r="I552" s="20" t="s">
        <v>4550</v>
      </c>
      <c r="J552" s="30" t="s">
        <v>5961</v>
      </c>
      <c r="K552" s="239"/>
      <c r="L552" s="239"/>
      <c r="M552" s="30" t="s">
        <v>751</v>
      </c>
      <c r="N552" s="20" t="s">
        <v>6024</v>
      </c>
      <c r="O552" s="6" t="s">
        <v>751</v>
      </c>
      <c r="P552" s="239" t="s">
        <v>4530</v>
      </c>
      <c r="Q552" s="246" t="n">
        <f aca="false">Train_In!C48</f>
        <v>2E+027</v>
      </c>
      <c r="R552" s="184" t="n">
        <f aca="false">SRC_MOD_033</f>
        <v>4.6E+026</v>
      </c>
      <c r="S552" s="44" t="str">
        <f aca="false">IF(ISNUMBER($AF552),INDEX(IDX_SrcStat,$AF552),"—")</f>
        <v>Active</v>
      </c>
      <c r="T552" s="44" t="n">
        <f aca="false">IF(ISNUMBER($AF552),INDEX(IDX_SrcGrade,$AF552),"—")</f>
        <v>1</v>
      </c>
      <c r="U552" s="44" t="s">
        <v>4531</v>
      </c>
      <c r="V552" s="32" t="n">
        <f aca="false">IF(AND($F552="原始數據",$U552&lt;&gt;"連結 SRC"),1,0)</f>
        <v>0</v>
      </c>
      <c r="W552" s="32" t="n">
        <f aca="false">IF(AND($F552="Analogy",OR($H552="—",$H552="")),1,0)</f>
        <v>0</v>
      </c>
      <c r="X552" s="32" t="n">
        <f aca="false">IF(AND(OR($F552="Analogy",$F552="Assumed"),$G552&lt;&gt;"低",$G552&lt;&gt;"高",NOT(ISNUMBER($K552)),NOT(ISNUMBER($L552)),OR($M552="—",$M552="")),1,0)</f>
        <v>0</v>
      </c>
      <c r="Y552" s="32" t="n">
        <f aca="false">IF(AND(OR($F552="Analogy",$F552="Assumed",$F552="Derived（待改公式）",$F552="Derived（公式）"),OR($N552="—",$N552="",$N552=0)),1,0)</f>
        <v>0</v>
      </c>
      <c r="Z552" s="32" t="n">
        <f aca="false">IF(AND($F552="Decision",OR($J552="—",$J552="")),1,0)</f>
        <v>0</v>
      </c>
      <c r="AA552" s="33" t="n">
        <f aca="false">IF(OR($J552="—",$J552=""),0,IF(COUNTIF(Decisions!$A$5:$A$300,$J552)=0,1,0))</f>
        <v>0</v>
      </c>
      <c r="AB552" s="32" t="n">
        <f aca="false">IF(AND($F552="原始數據",$S552&lt;&gt;"Active"),1,0)</f>
        <v>0</v>
      </c>
      <c r="AC552" s="32" t="n">
        <f aca="false">IF(AND(ISNUMBER($K552),ISNUMBER($L552),ISNUMBER($Q552)),IF(OR($Q552&lt;MIN($K552,$L552),$Q552&gt;MAX($K552,$L552)),1,0),0)</f>
        <v>0</v>
      </c>
      <c r="AD552" s="32" t="n">
        <f aca="false">IF(AND(ISNUMBER($T552),$P552="高"),IF($T552=3,1,0),0)</f>
        <v>0</v>
      </c>
      <c r="AE552" s="32" t="n">
        <f aca="false">IF($S552="不存在",1,0)</f>
        <v>0</v>
      </c>
      <c r="AF552" s="44" t="n">
        <f aca="false">IF(OR($H552="—",$H552=""),"—",MATCH($H552,IDX_SrcID,0))</f>
        <v>216</v>
      </c>
      <c r="AG552" s="32" t="n">
        <f aca="false">IF(AND($P552="高",OR($AD552=1,$X552=1)),1,0)</f>
        <v>0</v>
      </c>
      <c r="AH552" s="32" t="n">
        <f aca="false">IF(AND($P552="高",$AG552=0,OR($F552&lt;&gt;"原始數據",$T552&lt;&gt;1)),1,0)</f>
        <v>0</v>
      </c>
      <c r="AI552" s="44" t="str">
        <f aca="false">IF(AND($P552="高",ISNUMBER($AF552)),INDEX(IDX_SrcDate,$AF552),"—")</f>
        <v>—</v>
      </c>
      <c r="AJ552" s="32" t="n">
        <f aca="false">IF(AND(ISTEXT($AI552),LEN($AI552)=10),IF(ISNUMBER(VALUE(SUBSTITUTE($AI552,"-",""))),VALUE(SUBSTITUTE($AI552,"-","")),0),0)</f>
        <v>0</v>
      </c>
    </row>
    <row r="553" customFormat="false" ht="15" hidden="false" customHeight="true" outlineLevel="0" collapsed="false">
      <c r="A553" s="30" t="s">
        <v>6025</v>
      </c>
      <c r="B553" s="239" t="s">
        <v>5607</v>
      </c>
      <c r="C553" s="30" t="s">
        <v>5589</v>
      </c>
      <c r="D553" s="30" t="s">
        <v>5533</v>
      </c>
      <c r="E553" s="20" t="s">
        <v>469</v>
      </c>
      <c r="F553" s="239" t="s">
        <v>5286</v>
      </c>
      <c r="G553" s="239" t="s">
        <v>5287</v>
      </c>
      <c r="H553" s="30" t="s">
        <v>751</v>
      </c>
      <c r="I553" s="6" t="s">
        <v>751</v>
      </c>
      <c r="J553" s="30" t="s">
        <v>751</v>
      </c>
      <c r="K553" s="239"/>
      <c r="L553" s="239"/>
      <c r="M553" s="30" t="s">
        <v>751</v>
      </c>
      <c r="N553" s="20" t="s">
        <v>469</v>
      </c>
      <c r="O553" s="6" t="s">
        <v>751</v>
      </c>
      <c r="P553" s="239" t="s">
        <v>4530</v>
      </c>
      <c r="Q553" s="184" t="s">
        <v>751</v>
      </c>
      <c r="R553" s="30" t="s">
        <v>751</v>
      </c>
      <c r="S553" s="44" t="str">
        <f aca="false">IF(ISNUMBER($AF553),INDEX(IDX_SrcStat,$AF553),"—")</f>
        <v>—</v>
      </c>
      <c r="T553" s="44" t="str">
        <f aca="false">IF(ISNUMBER($AF553),INDEX(IDX_SrcGrade,$AF553),"—")</f>
        <v>—</v>
      </c>
      <c r="U553" s="30" t="s">
        <v>751</v>
      </c>
      <c r="V553" s="32" t="n">
        <f aca="false">IF(AND($F553="原始數據",$U553&lt;&gt;"連結 SRC"),1,0)</f>
        <v>0</v>
      </c>
      <c r="W553" s="32" t="n">
        <f aca="false">IF(AND($F553="Analogy",OR($H553="—",$H553="")),1,0)</f>
        <v>0</v>
      </c>
      <c r="X553" s="32" t="n">
        <f aca="false">IF(AND(OR($F553="Analogy",$F553="Assumed"),$G553&lt;&gt;"低",$G553&lt;&gt;"高",NOT(ISNUMBER($K553)),NOT(ISNUMBER($L553)),OR($M553="—",$M553="")),1,0)</f>
        <v>0</v>
      </c>
      <c r="Y553" s="32" t="n">
        <f aca="false">IF(AND(OR($F553="Analogy",$F553="Assumed",$F553="Derived（待改公式）",$F553="Derived（公式）"),OR($N553="—",$N553="",$N553=0)),1,0)</f>
        <v>0</v>
      </c>
      <c r="Z553" s="32" t="n">
        <f aca="false">IF(AND($F553="Decision",OR($J553="—",$J553="")),1,0)</f>
        <v>0</v>
      </c>
      <c r="AA553" s="33" t="n">
        <f aca="false">IF(OR($J553="—",$J553=""),0,IF(COUNTIF(Decisions!$A$5:$A$300,$J553)=0,1,0))</f>
        <v>0</v>
      </c>
      <c r="AB553" s="32" t="n">
        <f aca="false">IF(AND($F553="原始數據",$S553&lt;&gt;"Active"),1,0)</f>
        <v>0</v>
      </c>
      <c r="AC553" s="32" t="n">
        <f aca="false">IF(AND(ISNUMBER($K553),ISNUMBER($L553),ISNUMBER($Q553)),IF(OR($Q553&lt;MIN($K553,$L553),$Q553&gt;MAX($K553,$L553)),1,0),0)</f>
        <v>0</v>
      </c>
      <c r="AD553" s="32" t="n">
        <f aca="false">IF(AND(ISNUMBER($T553),$P553="高"),IF($T553=3,1,0),0)</f>
        <v>0</v>
      </c>
      <c r="AE553" s="32" t="n">
        <f aca="false">IF($S553="不存在",1,0)</f>
        <v>0</v>
      </c>
      <c r="AF553" s="44" t="str">
        <f aca="false">IF(OR($H553="—",$H553=""),"—",MATCH($H553,IDX_SrcID,0))</f>
        <v>—</v>
      </c>
      <c r="AG553" s="32" t="n">
        <f aca="false">IF(AND($P553="高",OR($AD553=1,$X553=1)),1,0)</f>
        <v>0</v>
      </c>
      <c r="AH553" s="32" t="n">
        <f aca="false">IF(AND($P553="高",$AG553=0,OR($F553&lt;&gt;"原始數據",$T553&lt;&gt;1)),1,0)</f>
        <v>0</v>
      </c>
      <c r="AI553" s="44" t="str">
        <f aca="false">IF(AND($P553="高",ISNUMBER($AF553)),INDEX(IDX_SrcDate,$AF553),"—")</f>
        <v>—</v>
      </c>
      <c r="AJ553" s="32" t="n">
        <f aca="false">IF(AND(ISTEXT($AI553),LEN($AI553)=10),IF(ISNUMBER(VALUE(SUBSTITUTE($AI553,"-",""))),VALUE(SUBSTITUTE($AI553,"-","")),0),0)</f>
        <v>0</v>
      </c>
    </row>
    <row r="554" customFormat="false" ht="15" hidden="false" customHeight="true" outlineLevel="0" collapsed="false">
      <c r="A554" s="30" t="s">
        <v>6026</v>
      </c>
      <c r="B554" s="239" t="s">
        <v>5607</v>
      </c>
      <c r="C554" s="30" t="s">
        <v>5589</v>
      </c>
      <c r="D554" s="30" t="s">
        <v>5535</v>
      </c>
      <c r="E554" s="20" t="s">
        <v>856</v>
      </c>
      <c r="F554" s="239" t="s">
        <v>5286</v>
      </c>
      <c r="G554" s="239" t="s">
        <v>5287</v>
      </c>
      <c r="H554" s="30" t="s">
        <v>751</v>
      </c>
      <c r="I554" s="6" t="s">
        <v>751</v>
      </c>
      <c r="J554" s="30" t="s">
        <v>751</v>
      </c>
      <c r="K554" s="239"/>
      <c r="L554" s="239"/>
      <c r="M554" s="30" t="s">
        <v>751</v>
      </c>
      <c r="N554" s="20" t="s">
        <v>856</v>
      </c>
      <c r="O554" s="6" t="s">
        <v>751</v>
      </c>
      <c r="P554" s="239" t="s">
        <v>4530</v>
      </c>
      <c r="Q554" s="184" t="s">
        <v>751</v>
      </c>
      <c r="R554" s="30" t="s">
        <v>751</v>
      </c>
      <c r="S554" s="44" t="str">
        <f aca="false">IF(ISNUMBER($AF554),INDEX(IDX_SrcStat,$AF554),"—")</f>
        <v>—</v>
      </c>
      <c r="T554" s="44" t="str">
        <f aca="false">IF(ISNUMBER($AF554),INDEX(IDX_SrcGrade,$AF554),"—")</f>
        <v>—</v>
      </c>
      <c r="U554" s="30" t="s">
        <v>751</v>
      </c>
      <c r="V554" s="32" t="n">
        <f aca="false">IF(AND($F554="原始數據",$U554&lt;&gt;"連結 SRC"),1,0)</f>
        <v>0</v>
      </c>
      <c r="W554" s="32" t="n">
        <f aca="false">IF(AND($F554="Analogy",OR($H554="—",$H554="")),1,0)</f>
        <v>0</v>
      </c>
      <c r="X554" s="32" t="n">
        <f aca="false">IF(AND(OR($F554="Analogy",$F554="Assumed"),$G554&lt;&gt;"低",$G554&lt;&gt;"高",NOT(ISNUMBER($K554)),NOT(ISNUMBER($L554)),OR($M554="—",$M554="")),1,0)</f>
        <v>0</v>
      </c>
      <c r="Y554" s="32" t="n">
        <f aca="false">IF(AND(OR($F554="Analogy",$F554="Assumed",$F554="Derived（待改公式）",$F554="Derived（公式）"),OR($N554="—",$N554="",$N554=0)),1,0)</f>
        <v>0</v>
      </c>
      <c r="Z554" s="32" t="n">
        <f aca="false">IF(AND($F554="Decision",OR($J554="—",$J554="")),1,0)</f>
        <v>0</v>
      </c>
      <c r="AA554" s="33" t="n">
        <f aca="false">IF(OR($J554="—",$J554=""),0,IF(COUNTIF(Decisions!$A$5:$A$300,$J554)=0,1,0))</f>
        <v>0</v>
      </c>
      <c r="AB554" s="32" t="n">
        <f aca="false">IF(AND($F554="原始數據",$S554&lt;&gt;"Active"),1,0)</f>
        <v>0</v>
      </c>
      <c r="AC554" s="32" t="n">
        <f aca="false">IF(AND(ISNUMBER($K554),ISNUMBER($L554),ISNUMBER($Q554)),IF(OR($Q554&lt;MIN($K554,$L554),$Q554&gt;MAX($K554,$L554)),1,0),0)</f>
        <v>0</v>
      </c>
      <c r="AD554" s="32" t="n">
        <f aca="false">IF(AND(ISNUMBER($T554),$P554="高"),IF($T554=3,1,0),0)</f>
        <v>0</v>
      </c>
      <c r="AE554" s="32" t="n">
        <f aca="false">IF($S554="不存在",1,0)</f>
        <v>0</v>
      </c>
      <c r="AF554" s="44" t="str">
        <f aca="false">IF(OR($H554="—",$H554=""),"—",MATCH($H554,IDX_SrcID,0))</f>
        <v>—</v>
      </c>
      <c r="AG554" s="32" t="n">
        <f aca="false">IF(AND($P554="高",OR($AD554=1,$X554=1)),1,0)</f>
        <v>0</v>
      </c>
      <c r="AH554" s="32" t="n">
        <f aca="false">IF(AND($P554="高",$AG554=0,OR($F554&lt;&gt;"原始數據",$T554&lt;&gt;1)),1,0)</f>
        <v>0</v>
      </c>
      <c r="AI554" s="44" t="str">
        <f aca="false">IF(AND($P554="高",ISNUMBER($AF554)),INDEX(IDX_SrcDate,$AF554),"—")</f>
        <v>—</v>
      </c>
      <c r="AJ554" s="32" t="n">
        <f aca="false">IF(AND(ISTEXT($AI554),LEN($AI554)=10),IF(ISNUMBER(VALUE(SUBSTITUTE($AI554,"-",""))),VALUE(SUBSTITUTE($AI554,"-","")),0),0)</f>
        <v>0</v>
      </c>
    </row>
    <row r="555" customFormat="false" ht="15" hidden="false" customHeight="true" outlineLevel="0" collapsed="false">
      <c r="A555" s="30" t="s">
        <v>6027</v>
      </c>
      <c r="B555" s="239" t="s">
        <v>5607</v>
      </c>
      <c r="C555" s="30" t="s">
        <v>5589</v>
      </c>
      <c r="D555" s="30" t="s">
        <v>6028</v>
      </c>
      <c r="E555" s="20" t="s">
        <v>6029</v>
      </c>
      <c r="F555" s="239" t="s">
        <v>5398</v>
      </c>
      <c r="G555" s="239" t="s">
        <v>5287</v>
      </c>
      <c r="H555" s="30" t="s">
        <v>751</v>
      </c>
      <c r="I555" s="6" t="s">
        <v>751</v>
      </c>
      <c r="J555" s="30" t="s">
        <v>751</v>
      </c>
      <c r="K555" s="239"/>
      <c r="L555" s="239"/>
      <c r="M555" s="30" t="s">
        <v>751</v>
      </c>
      <c r="N555" s="6" t="s">
        <v>6030</v>
      </c>
      <c r="O555" s="6" t="s">
        <v>751</v>
      </c>
      <c r="P555" s="239" t="s">
        <v>4530</v>
      </c>
      <c r="Q555" s="184" t="s">
        <v>751</v>
      </c>
      <c r="R555" s="30" t="s">
        <v>751</v>
      </c>
      <c r="S555" s="44" t="str">
        <f aca="false">IF(ISNUMBER($AF555),INDEX(IDX_SrcStat,$AF555),"—")</f>
        <v>—</v>
      </c>
      <c r="T555" s="44" t="str">
        <f aca="false">IF(ISNUMBER($AF555),INDEX(IDX_SrcGrade,$AF555),"—")</f>
        <v>—</v>
      </c>
      <c r="U555" s="30" t="s">
        <v>751</v>
      </c>
      <c r="V555" s="32" t="n">
        <f aca="false">IF(AND($F555="原始數據",$U555&lt;&gt;"連結 SRC"),1,0)</f>
        <v>0</v>
      </c>
      <c r="W555" s="32" t="n">
        <f aca="false">IF(AND($F555="Analogy",OR($H555="—",$H555="")),1,0)</f>
        <v>0</v>
      </c>
      <c r="X555" s="32" t="n">
        <f aca="false">IF(AND(OR($F555="Analogy",$F555="Assumed"),$G555&lt;&gt;"低",$G555&lt;&gt;"高",NOT(ISNUMBER($K555)),NOT(ISNUMBER($L555)),OR($M555="—",$M555="")),1,0)</f>
        <v>0</v>
      </c>
      <c r="Y555" s="32" t="n">
        <f aca="false">IF(AND(OR($F555="Analogy",$F555="Assumed",$F555="Derived（待改公式）",$F555="Derived（公式）"),OR($N555="—",$N555="",$N555=0)),1,0)</f>
        <v>0</v>
      </c>
      <c r="Z555" s="32" t="n">
        <f aca="false">IF(AND($F555="Decision",OR($J555="—",$J555="")),1,0)</f>
        <v>0</v>
      </c>
      <c r="AA555" s="33" t="n">
        <f aca="false">IF(OR($J555="—",$J555=""),0,IF(COUNTIF(Decisions!$A$5:$A$300,$J555)=0,1,0))</f>
        <v>0</v>
      </c>
      <c r="AB555" s="32" t="n">
        <f aca="false">IF(AND($F555="原始數據",$S555&lt;&gt;"Active"),1,0)</f>
        <v>0</v>
      </c>
      <c r="AC555" s="32" t="n">
        <f aca="false">IF(AND(ISNUMBER($K555),ISNUMBER($L555),ISNUMBER($Q555)),IF(OR($Q555&lt;MIN($K555,$L555),$Q555&gt;MAX($K555,$L555)),1,0),0)</f>
        <v>0</v>
      </c>
      <c r="AD555" s="32" t="n">
        <f aca="false">IF(AND(ISNUMBER($T555),$P555="高"),IF($T555=3,1,0),0)</f>
        <v>0</v>
      </c>
      <c r="AE555" s="32" t="n">
        <f aca="false">IF($S555="不存在",1,0)</f>
        <v>0</v>
      </c>
      <c r="AF555" s="44" t="str">
        <f aca="false">IF(OR($H555="—",$H555=""),"—",MATCH($H555,IDX_SrcID,0))</f>
        <v>—</v>
      </c>
      <c r="AG555" s="32" t="n">
        <f aca="false">IF(AND($P555="高",OR($AD555=1,$X555=1)),1,0)</f>
        <v>0</v>
      </c>
      <c r="AH555" s="32" t="n">
        <f aca="false">IF(AND($P555="高",$AG555=0,OR($F555&lt;&gt;"原始數據",$T555&lt;&gt;1)),1,0)</f>
        <v>0</v>
      </c>
      <c r="AI555" s="44" t="str">
        <f aca="false">IF(AND($P555="高",ISNUMBER($AF555)),INDEX(IDX_SrcDate,$AF555),"—")</f>
        <v>—</v>
      </c>
      <c r="AJ555" s="32" t="n">
        <f aca="false">IF(AND(ISTEXT($AI555),LEN($AI555)=10),IF(ISNUMBER(VALUE(SUBSTITUTE($AI555,"-",""))),VALUE(SUBSTITUTE($AI555,"-","")),0),0)</f>
        <v>0</v>
      </c>
    </row>
    <row r="556" customFormat="false" ht="15" hidden="false" customHeight="true" outlineLevel="0" collapsed="false">
      <c r="A556" s="30" t="s">
        <v>6031</v>
      </c>
      <c r="B556" s="239" t="s">
        <v>5607</v>
      </c>
      <c r="C556" s="30" t="s">
        <v>5589</v>
      </c>
      <c r="D556" s="30" t="s">
        <v>6032</v>
      </c>
      <c r="E556" s="6" t="s">
        <v>1168</v>
      </c>
      <c r="F556" s="239" t="s">
        <v>5398</v>
      </c>
      <c r="G556" s="239" t="s">
        <v>5287</v>
      </c>
      <c r="H556" s="30" t="s">
        <v>751</v>
      </c>
      <c r="I556" s="6" t="s">
        <v>751</v>
      </c>
      <c r="J556" s="30" t="s">
        <v>751</v>
      </c>
      <c r="K556" s="239"/>
      <c r="L556" s="239"/>
      <c r="M556" s="30" t="s">
        <v>751</v>
      </c>
      <c r="N556" s="6" t="s">
        <v>6033</v>
      </c>
      <c r="O556" s="6" t="s">
        <v>751</v>
      </c>
      <c r="P556" s="239" t="s">
        <v>4530</v>
      </c>
      <c r="Q556" s="184" t="s">
        <v>751</v>
      </c>
      <c r="R556" s="30" t="s">
        <v>751</v>
      </c>
      <c r="S556" s="44" t="str">
        <f aca="false">IF(ISNUMBER($AF556),INDEX(IDX_SrcStat,$AF556),"—")</f>
        <v>—</v>
      </c>
      <c r="T556" s="44" t="str">
        <f aca="false">IF(ISNUMBER($AF556),INDEX(IDX_SrcGrade,$AF556),"—")</f>
        <v>—</v>
      </c>
      <c r="U556" s="30" t="s">
        <v>751</v>
      </c>
      <c r="V556" s="32" t="n">
        <f aca="false">IF(AND($F556="原始數據",$U556&lt;&gt;"連結 SRC"),1,0)</f>
        <v>0</v>
      </c>
      <c r="W556" s="32" t="n">
        <f aca="false">IF(AND($F556="Analogy",OR($H556="—",$H556="")),1,0)</f>
        <v>0</v>
      </c>
      <c r="X556" s="32" t="n">
        <f aca="false">IF(AND(OR($F556="Analogy",$F556="Assumed"),$G556&lt;&gt;"低",$G556&lt;&gt;"高",NOT(ISNUMBER($K556)),NOT(ISNUMBER($L556)),OR($M556="—",$M556="")),1,0)</f>
        <v>0</v>
      </c>
      <c r="Y556" s="32" t="n">
        <f aca="false">IF(AND(OR($F556="Analogy",$F556="Assumed",$F556="Derived（待改公式）",$F556="Derived（公式）"),OR($N556="—",$N556="",$N556=0)),1,0)</f>
        <v>0</v>
      </c>
      <c r="Z556" s="32" t="n">
        <f aca="false">IF(AND($F556="Decision",OR($J556="—",$J556="")),1,0)</f>
        <v>0</v>
      </c>
      <c r="AA556" s="33" t="n">
        <f aca="false">IF(OR($J556="—",$J556=""),0,IF(COUNTIF(Decisions!$A$5:$A$300,$J556)=0,1,0))</f>
        <v>0</v>
      </c>
      <c r="AB556" s="32" t="n">
        <f aca="false">IF(AND($F556="原始數據",$S556&lt;&gt;"Active"),1,0)</f>
        <v>0</v>
      </c>
      <c r="AC556" s="32" t="n">
        <f aca="false">IF(AND(ISNUMBER($K556),ISNUMBER($L556),ISNUMBER($Q556)),IF(OR($Q556&lt;MIN($K556,$L556),$Q556&gt;MAX($K556,$L556)),1,0),0)</f>
        <v>0</v>
      </c>
      <c r="AD556" s="32" t="n">
        <f aca="false">IF(AND(ISNUMBER($T556),$P556="高"),IF($T556=3,1,0),0)</f>
        <v>0</v>
      </c>
      <c r="AE556" s="32" t="n">
        <f aca="false">IF($S556="不存在",1,0)</f>
        <v>0</v>
      </c>
      <c r="AF556" s="44" t="str">
        <f aca="false">IF(OR($H556="—",$H556=""),"—",MATCH($H556,IDX_SrcID,0))</f>
        <v>—</v>
      </c>
      <c r="AG556" s="32" t="n">
        <f aca="false">IF(AND($P556="高",OR($AD556=1,$X556=1)),1,0)</f>
        <v>0</v>
      </c>
      <c r="AH556" s="32" t="n">
        <f aca="false">IF(AND($P556="高",$AG556=0,OR($F556&lt;&gt;"原始數據",$T556&lt;&gt;1)),1,0)</f>
        <v>0</v>
      </c>
      <c r="AI556" s="44" t="str">
        <f aca="false">IF(AND($P556="高",ISNUMBER($AF556)),INDEX(IDX_SrcDate,$AF556),"—")</f>
        <v>—</v>
      </c>
      <c r="AJ556" s="32" t="n">
        <f aca="false">IF(AND(ISTEXT($AI556),LEN($AI556)=10),IF(ISNUMBER(VALUE(SUBSTITUTE($AI556,"-",""))),VALUE(SUBSTITUTE($AI556,"-","")),0),0)</f>
        <v>0</v>
      </c>
    </row>
    <row r="557" customFormat="false" ht="29.25" hidden="false" customHeight="true" outlineLevel="0" collapsed="false">
      <c r="A557" s="30" t="s">
        <v>6034</v>
      </c>
      <c r="B557" s="239" t="s">
        <v>5607</v>
      </c>
      <c r="C557" s="30" t="s">
        <v>5589</v>
      </c>
      <c r="D557" s="30" t="s">
        <v>6035</v>
      </c>
      <c r="E557" s="20" t="s">
        <v>6036</v>
      </c>
      <c r="F557" s="239" t="s">
        <v>5398</v>
      </c>
      <c r="G557" s="239" t="s">
        <v>5287</v>
      </c>
      <c r="H557" s="30" t="s">
        <v>751</v>
      </c>
      <c r="I557" s="6" t="s">
        <v>751</v>
      </c>
      <c r="J557" s="30" t="s">
        <v>751</v>
      </c>
      <c r="K557" s="239"/>
      <c r="L557" s="239"/>
      <c r="M557" s="30" t="s">
        <v>751</v>
      </c>
      <c r="N557" s="6" t="s">
        <v>6037</v>
      </c>
      <c r="O557" s="6" t="s">
        <v>751</v>
      </c>
      <c r="P557" s="239" t="s">
        <v>4530</v>
      </c>
      <c r="Q557" s="184" t="s">
        <v>751</v>
      </c>
      <c r="R557" s="30" t="s">
        <v>751</v>
      </c>
      <c r="S557" s="44" t="str">
        <f aca="false">IF(ISNUMBER($AF557),INDEX(IDX_SrcStat,$AF557),"—")</f>
        <v>—</v>
      </c>
      <c r="T557" s="44" t="str">
        <f aca="false">IF(ISNUMBER($AF557),INDEX(IDX_SrcGrade,$AF557),"—")</f>
        <v>—</v>
      </c>
      <c r="U557" s="30" t="s">
        <v>751</v>
      </c>
      <c r="V557" s="32" t="n">
        <f aca="false">IF(AND($F557="原始數據",$U557&lt;&gt;"連結 SRC"),1,0)</f>
        <v>0</v>
      </c>
      <c r="W557" s="32" t="n">
        <f aca="false">IF(AND($F557="Analogy",OR($H557="—",$H557="")),1,0)</f>
        <v>0</v>
      </c>
      <c r="X557" s="32" t="n">
        <f aca="false">IF(AND(OR($F557="Analogy",$F557="Assumed"),$G557&lt;&gt;"低",$G557&lt;&gt;"高",NOT(ISNUMBER($K557)),NOT(ISNUMBER($L557)),OR($M557="—",$M557="")),1,0)</f>
        <v>0</v>
      </c>
      <c r="Y557" s="32" t="n">
        <f aca="false">IF(AND(OR($F557="Analogy",$F557="Assumed",$F557="Derived（待改公式）",$F557="Derived（公式）"),OR($N557="—",$N557="",$N557=0)),1,0)</f>
        <v>0</v>
      </c>
      <c r="Z557" s="32" t="n">
        <f aca="false">IF(AND($F557="Decision",OR($J557="—",$J557="")),1,0)</f>
        <v>0</v>
      </c>
      <c r="AA557" s="33" t="n">
        <f aca="false">IF(OR($J557="—",$J557=""),0,IF(COUNTIF(Decisions!$A$5:$A$300,$J557)=0,1,0))</f>
        <v>0</v>
      </c>
      <c r="AB557" s="32" t="n">
        <f aca="false">IF(AND($F557="原始數據",$S557&lt;&gt;"Active"),1,0)</f>
        <v>0</v>
      </c>
      <c r="AC557" s="32" t="n">
        <f aca="false">IF(AND(ISNUMBER($K557),ISNUMBER($L557),ISNUMBER($Q557)),IF(OR($Q557&lt;MIN($K557,$L557),$Q557&gt;MAX($K557,$L557)),1,0),0)</f>
        <v>0</v>
      </c>
      <c r="AD557" s="32" t="n">
        <f aca="false">IF(AND(ISNUMBER($T557),$P557="高"),IF($T557=3,1,0),0)</f>
        <v>0</v>
      </c>
      <c r="AE557" s="32" t="n">
        <f aca="false">IF($S557="不存在",1,0)</f>
        <v>0</v>
      </c>
      <c r="AF557" s="44" t="str">
        <f aca="false">IF(OR($H557="—",$H557=""),"—",MATCH($H557,IDX_SrcID,0))</f>
        <v>—</v>
      </c>
      <c r="AG557" s="32" t="n">
        <f aca="false">IF(AND($P557="高",OR($AD557=1,$X557=1)),1,0)</f>
        <v>0</v>
      </c>
      <c r="AH557" s="32" t="n">
        <f aca="false">IF(AND($P557="高",$AG557=0,OR($F557&lt;&gt;"原始數據",$T557&lt;&gt;1)),1,0)</f>
        <v>0</v>
      </c>
      <c r="AI557" s="44" t="str">
        <f aca="false">IF(AND($P557="高",ISNUMBER($AF557)),INDEX(IDX_SrcDate,$AF557),"—")</f>
        <v>—</v>
      </c>
      <c r="AJ557" s="32" t="n">
        <f aca="false">IF(AND(ISTEXT($AI557),LEN($AI557)=10),IF(ISNUMBER(VALUE(SUBSTITUTE($AI557,"-",""))),VALUE(SUBSTITUTE($AI557,"-","")),0),0)</f>
        <v>0</v>
      </c>
    </row>
    <row r="558" customFormat="false" ht="15" hidden="false" customHeight="true" outlineLevel="0" collapsed="false">
      <c r="A558" s="30" t="s">
        <v>6038</v>
      </c>
      <c r="B558" s="239" t="s">
        <v>5607</v>
      </c>
      <c r="C558" s="30" t="s">
        <v>5589</v>
      </c>
      <c r="D558" s="30" t="s">
        <v>6039</v>
      </c>
      <c r="E558" s="6" t="s">
        <v>1202</v>
      </c>
      <c r="F558" s="239" t="s">
        <v>5398</v>
      </c>
      <c r="G558" s="239" t="s">
        <v>5287</v>
      </c>
      <c r="H558" s="30" t="s">
        <v>751</v>
      </c>
      <c r="I558" s="6" t="s">
        <v>751</v>
      </c>
      <c r="J558" s="30" t="s">
        <v>751</v>
      </c>
      <c r="K558" s="239"/>
      <c r="L558" s="239"/>
      <c r="M558" s="30" t="s">
        <v>751</v>
      </c>
      <c r="N558" s="6" t="s">
        <v>6040</v>
      </c>
      <c r="O558" s="6" t="s">
        <v>751</v>
      </c>
      <c r="P558" s="239" t="s">
        <v>4530</v>
      </c>
      <c r="Q558" s="184" t="s">
        <v>751</v>
      </c>
      <c r="R558" s="30" t="s">
        <v>751</v>
      </c>
      <c r="S558" s="44" t="str">
        <f aca="false">IF(ISNUMBER($AF558),INDEX(IDX_SrcStat,$AF558),"—")</f>
        <v>—</v>
      </c>
      <c r="T558" s="44" t="str">
        <f aca="false">IF(ISNUMBER($AF558),INDEX(IDX_SrcGrade,$AF558),"—")</f>
        <v>—</v>
      </c>
      <c r="U558" s="30" t="s">
        <v>751</v>
      </c>
      <c r="V558" s="32" t="n">
        <f aca="false">IF(AND($F558="原始數據",$U558&lt;&gt;"連結 SRC"),1,0)</f>
        <v>0</v>
      </c>
      <c r="W558" s="32" t="n">
        <f aca="false">IF(AND($F558="Analogy",OR($H558="—",$H558="")),1,0)</f>
        <v>0</v>
      </c>
      <c r="X558" s="32" t="n">
        <f aca="false">IF(AND(OR($F558="Analogy",$F558="Assumed"),$G558&lt;&gt;"低",$G558&lt;&gt;"高",NOT(ISNUMBER($K558)),NOT(ISNUMBER($L558)),OR($M558="—",$M558="")),1,0)</f>
        <v>0</v>
      </c>
      <c r="Y558" s="32" t="n">
        <f aca="false">IF(AND(OR($F558="Analogy",$F558="Assumed",$F558="Derived（待改公式）",$F558="Derived（公式）"),OR($N558="—",$N558="",$N558=0)),1,0)</f>
        <v>0</v>
      </c>
      <c r="Z558" s="32" t="n">
        <f aca="false">IF(AND($F558="Decision",OR($J558="—",$J558="")),1,0)</f>
        <v>0</v>
      </c>
      <c r="AA558" s="33" t="n">
        <f aca="false">IF(OR($J558="—",$J558=""),0,IF(COUNTIF(Decisions!$A$5:$A$300,$J558)=0,1,0))</f>
        <v>0</v>
      </c>
      <c r="AB558" s="32" t="n">
        <f aca="false">IF(AND($F558="原始數據",$S558&lt;&gt;"Active"),1,0)</f>
        <v>0</v>
      </c>
      <c r="AC558" s="32" t="n">
        <f aca="false">IF(AND(ISNUMBER($K558),ISNUMBER($L558),ISNUMBER($Q558)),IF(OR($Q558&lt;MIN($K558,$L558),$Q558&gt;MAX($K558,$L558)),1,0),0)</f>
        <v>0</v>
      </c>
      <c r="AD558" s="32" t="n">
        <f aca="false">IF(AND(ISNUMBER($T558),$P558="高"),IF($T558=3,1,0),0)</f>
        <v>0</v>
      </c>
      <c r="AE558" s="32" t="n">
        <f aca="false">IF($S558="不存在",1,0)</f>
        <v>0</v>
      </c>
      <c r="AF558" s="44" t="str">
        <f aca="false">IF(OR($H558="—",$H558=""),"—",MATCH($H558,IDX_SrcID,0))</f>
        <v>—</v>
      </c>
      <c r="AG558" s="32" t="n">
        <f aca="false">IF(AND($P558="高",OR($AD558=1,$X558=1)),1,0)</f>
        <v>0</v>
      </c>
      <c r="AH558" s="32" t="n">
        <f aca="false">IF(AND($P558="高",$AG558=0,OR($F558&lt;&gt;"原始數據",$T558&lt;&gt;1)),1,0)</f>
        <v>0</v>
      </c>
      <c r="AI558" s="44" t="str">
        <f aca="false">IF(AND($P558="高",ISNUMBER($AF558)),INDEX(IDX_SrcDate,$AF558),"—")</f>
        <v>—</v>
      </c>
      <c r="AJ558" s="32" t="n">
        <f aca="false">IF(AND(ISTEXT($AI558),LEN($AI558)=10),IF(ISNUMBER(VALUE(SUBSTITUTE($AI558,"-",""))),VALUE(SUBSTITUTE($AI558,"-","")),0),0)</f>
        <v>0</v>
      </c>
    </row>
    <row r="559" customFormat="false" ht="29.25" hidden="false" customHeight="true" outlineLevel="0" collapsed="false">
      <c r="A559" s="30" t="s">
        <v>6041</v>
      </c>
      <c r="B559" s="239" t="s">
        <v>5607</v>
      </c>
      <c r="C559" s="30" t="s">
        <v>5589</v>
      </c>
      <c r="D559" s="30" t="s">
        <v>6042</v>
      </c>
      <c r="E559" s="20" t="s">
        <v>1257</v>
      </c>
      <c r="F559" s="239" t="s">
        <v>5398</v>
      </c>
      <c r="G559" s="239" t="s">
        <v>5287</v>
      </c>
      <c r="H559" s="30" t="s">
        <v>751</v>
      </c>
      <c r="I559" s="6" t="s">
        <v>751</v>
      </c>
      <c r="J559" s="30" t="s">
        <v>751</v>
      </c>
      <c r="K559" s="239"/>
      <c r="L559" s="239"/>
      <c r="M559" s="30" t="s">
        <v>751</v>
      </c>
      <c r="N559" s="6" t="s">
        <v>6043</v>
      </c>
      <c r="O559" s="6" t="s">
        <v>751</v>
      </c>
      <c r="P559" s="239" t="s">
        <v>4530</v>
      </c>
      <c r="Q559" s="184" t="s">
        <v>751</v>
      </c>
      <c r="R559" s="30" t="s">
        <v>751</v>
      </c>
      <c r="S559" s="44" t="str">
        <f aca="false">IF(ISNUMBER($AF559),INDEX(IDX_SrcStat,$AF559),"—")</f>
        <v>—</v>
      </c>
      <c r="T559" s="44" t="str">
        <f aca="false">IF(ISNUMBER($AF559),INDEX(IDX_SrcGrade,$AF559),"—")</f>
        <v>—</v>
      </c>
      <c r="U559" s="30" t="s">
        <v>751</v>
      </c>
      <c r="V559" s="32" t="n">
        <f aca="false">IF(AND($F559="原始數據",$U559&lt;&gt;"連結 SRC"),1,0)</f>
        <v>0</v>
      </c>
      <c r="W559" s="32" t="n">
        <f aca="false">IF(AND($F559="Analogy",OR($H559="—",$H559="")),1,0)</f>
        <v>0</v>
      </c>
      <c r="X559" s="32" t="n">
        <f aca="false">IF(AND(OR($F559="Analogy",$F559="Assumed"),$G559&lt;&gt;"低",$G559&lt;&gt;"高",NOT(ISNUMBER($K559)),NOT(ISNUMBER($L559)),OR($M559="—",$M559="")),1,0)</f>
        <v>0</v>
      </c>
      <c r="Y559" s="32" t="n">
        <f aca="false">IF(AND(OR($F559="Analogy",$F559="Assumed",$F559="Derived（待改公式）",$F559="Derived（公式）"),OR($N559="—",$N559="",$N559=0)),1,0)</f>
        <v>0</v>
      </c>
      <c r="Z559" s="32" t="n">
        <f aca="false">IF(AND($F559="Decision",OR($J559="—",$J559="")),1,0)</f>
        <v>0</v>
      </c>
      <c r="AA559" s="33" t="n">
        <f aca="false">IF(OR($J559="—",$J559=""),0,IF(COUNTIF(Decisions!$A$5:$A$300,$J559)=0,1,0))</f>
        <v>0</v>
      </c>
      <c r="AB559" s="32" t="n">
        <f aca="false">IF(AND($F559="原始數據",$S559&lt;&gt;"Active"),1,0)</f>
        <v>0</v>
      </c>
      <c r="AC559" s="32" t="n">
        <f aca="false">IF(AND(ISNUMBER($K559),ISNUMBER($L559),ISNUMBER($Q559)),IF(OR($Q559&lt;MIN($K559,$L559),$Q559&gt;MAX($K559,$L559)),1,0),0)</f>
        <v>0</v>
      </c>
      <c r="AD559" s="32" t="n">
        <f aca="false">IF(AND(ISNUMBER($T559),$P559="高"),IF($T559=3,1,0),0)</f>
        <v>0</v>
      </c>
      <c r="AE559" s="32" t="n">
        <f aca="false">IF($S559="不存在",1,0)</f>
        <v>0</v>
      </c>
      <c r="AF559" s="44" t="str">
        <f aca="false">IF(OR($H559="—",$H559=""),"—",MATCH($H559,IDX_SrcID,0))</f>
        <v>—</v>
      </c>
      <c r="AG559" s="32" t="n">
        <f aca="false">IF(AND($P559="高",OR($AD559=1,$X559=1)),1,0)</f>
        <v>0</v>
      </c>
      <c r="AH559" s="32" t="n">
        <f aca="false">IF(AND($P559="高",$AG559=0,OR($F559&lt;&gt;"原始數據",$T559&lt;&gt;1)),1,0)</f>
        <v>0</v>
      </c>
      <c r="AI559" s="44" t="str">
        <f aca="false">IF(AND($P559="高",ISNUMBER($AF559)),INDEX(IDX_SrcDate,$AF559),"—")</f>
        <v>—</v>
      </c>
      <c r="AJ559" s="32" t="n">
        <f aca="false">IF(AND(ISTEXT($AI559),LEN($AI559)=10),IF(ISNUMBER(VALUE(SUBSTITUTE($AI559,"-",""))),VALUE(SUBSTITUTE($AI559,"-","")),0),0)</f>
        <v>0</v>
      </c>
    </row>
    <row r="560" customFormat="false" ht="15" hidden="false" customHeight="true" outlineLevel="0" collapsed="false">
      <c r="A560" s="30" t="s">
        <v>6044</v>
      </c>
      <c r="B560" s="239" t="s">
        <v>5607</v>
      </c>
      <c r="C560" s="30" t="s">
        <v>6045</v>
      </c>
      <c r="D560" s="30" t="s">
        <v>6046</v>
      </c>
      <c r="E560" s="20" t="s">
        <v>469</v>
      </c>
      <c r="F560" s="239" t="s">
        <v>5286</v>
      </c>
      <c r="G560" s="239" t="s">
        <v>5287</v>
      </c>
      <c r="H560" s="30" t="s">
        <v>751</v>
      </c>
      <c r="I560" s="6" t="s">
        <v>751</v>
      </c>
      <c r="J560" s="30" t="s">
        <v>751</v>
      </c>
      <c r="K560" s="239"/>
      <c r="L560" s="239"/>
      <c r="M560" s="30" t="s">
        <v>751</v>
      </c>
      <c r="N560" s="20" t="s">
        <v>469</v>
      </c>
      <c r="O560" s="6" t="s">
        <v>751</v>
      </c>
      <c r="P560" s="239" t="s">
        <v>4530</v>
      </c>
      <c r="Q560" s="184" t="s">
        <v>751</v>
      </c>
      <c r="R560" s="30" t="s">
        <v>751</v>
      </c>
      <c r="S560" s="44" t="str">
        <f aca="false">IF(ISNUMBER($AF560),INDEX(IDX_SrcStat,$AF560),"—")</f>
        <v>—</v>
      </c>
      <c r="T560" s="44" t="str">
        <f aca="false">IF(ISNUMBER($AF560),INDEX(IDX_SrcGrade,$AF560),"—")</f>
        <v>—</v>
      </c>
      <c r="U560" s="30" t="s">
        <v>751</v>
      </c>
      <c r="V560" s="32" t="n">
        <f aca="false">IF(AND($F560="原始數據",$U560&lt;&gt;"連結 SRC"),1,0)</f>
        <v>0</v>
      </c>
      <c r="W560" s="32" t="n">
        <f aca="false">IF(AND($F560="Analogy",OR($H560="—",$H560="")),1,0)</f>
        <v>0</v>
      </c>
      <c r="X560" s="32" t="n">
        <f aca="false">IF(AND(OR($F560="Analogy",$F560="Assumed"),$G560&lt;&gt;"低",$G560&lt;&gt;"高",NOT(ISNUMBER($K560)),NOT(ISNUMBER($L560)),OR($M560="—",$M560="")),1,0)</f>
        <v>0</v>
      </c>
      <c r="Y560" s="32" t="n">
        <f aca="false">IF(AND(OR($F560="Analogy",$F560="Assumed",$F560="Derived（待改公式）",$F560="Derived（公式）"),OR($N560="—",$N560="",$N560=0)),1,0)</f>
        <v>0</v>
      </c>
      <c r="Z560" s="32" t="n">
        <f aca="false">IF(AND($F560="Decision",OR($J560="—",$J560="")),1,0)</f>
        <v>0</v>
      </c>
      <c r="AA560" s="33" t="n">
        <f aca="false">IF(OR($J560="—",$J560=""),0,IF(COUNTIF(Decisions!$A$5:$A$300,$J560)=0,1,0))</f>
        <v>0</v>
      </c>
      <c r="AB560" s="32" t="n">
        <f aca="false">IF(AND($F560="原始數據",$S560&lt;&gt;"Active"),1,0)</f>
        <v>0</v>
      </c>
      <c r="AC560" s="32" t="n">
        <f aca="false">IF(AND(ISNUMBER($K560),ISNUMBER($L560),ISNUMBER($Q560)),IF(OR($Q560&lt;MIN($K560,$L560),$Q560&gt;MAX($K560,$L560)),1,0),0)</f>
        <v>0</v>
      </c>
      <c r="AD560" s="32" t="n">
        <f aca="false">IF(AND(ISNUMBER($T560),$P560="高"),IF($T560=3,1,0),0)</f>
        <v>0</v>
      </c>
      <c r="AE560" s="32" t="n">
        <f aca="false">IF($S560="不存在",1,0)</f>
        <v>0</v>
      </c>
      <c r="AF560" s="44" t="str">
        <f aca="false">IF(OR($H560="—",$H560=""),"—",MATCH($H560,IDX_SrcID,0))</f>
        <v>—</v>
      </c>
      <c r="AG560" s="32" t="n">
        <f aca="false">IF(AND($P560="高",OR($AD560=1,$X560=1)),1,0)</f>
        <v>0</v>
      </c>
      <c r="AH560" s="32" t="n">
        <f aca="false">IF(AND($P560="高",$AG560=0,OR($F560&lt;&gt;"原始數據",$T560&lt;&gt;1)),1,0)</f>
        <v>0</v>
      </c>
      <c r="AI560" s="44" t="str">
        <f aca="false">IF(AND($P560="高",ISNUMBER($AF560)),INDEX(IDX_SrcDate,$AF560),"—")</f>
        <v>—</v>
      </c>
      <c r="AJ560" s="32" t="n">
        <f aca="false">IF(AND(ISTEXT($AI560),LEN($AI560)=10),IF(ISNUMBER(VALUE(SUBSTITUTE($AI560,"-",""))),VALUE(SUBSTITUTE($AI560,"-","")),0),0)</f>
        <v>0</v>
      </c>
    </row>
    <row r="561" customFormat="false" ht="15" hidden="false" customHeight="true" outlineLevel="0" collapsed="false">
      <c r="A561" s="30" t="s">
        <v>6047</v>
      </c>
      <c r="B561" s="239" t="s">
        <v>5607</v>
      </c>
      <c r="C561" s="30" t="s">
        <v>6045</v>
      </c>
      <c r="D561" s="30" t="s">
        <v>6048</v>
      </c>
      <c r="E561" s="20" t="s">
        <v>856</v>
      </c>
      <c r="F561" s="239" t="s">
        <v>5286</v>
      </c>
      <c r="G561" s="239" t="s">
        <v>5287</v>
      </c>
      <c r="H561" s="30" t="s">
        <v>751</v>
      </c>
      <c r="I561" s="6" t="s">
        <v>751</v>
      </c>
      <c r="J561" s="30" t="s">
        <v>751</v>
      </c>
      <c r="K561" s="239"/>
      <c r="L561" s="239"/>
      <c r="M561" s="30" t="s">
        <v>751</v>
      </c>
      <c r="N561" s="20" t="s">
        <v>856</v>
      </c>
      <c r="O561" s="6" t="s">
        <v>751</v>
      </c>
      <c r="P561" s="239" t="s">
        <v>4530</v>
      </c>
      <c r="Q561" s="184" t="s">
        <v>751</v>
      </c>
      <c r="R561" s="30" t="s">
        <v>751</v>
      </c>
      <c r="S561" s="44" t="str">
        <f aca="false">IF(ISNUMBER($AF561),INDEX(IDX_SrcStat,$AF561),"—")</f>
        <v>—</v>
      </c>
      <c r="T561" s="44" t="str">
        <f aca="false">IF(ISNUMBER($AF561),INDEX(IDX_SrcGrade,$AF561),"—")</f>
        <v>—</v>
      </c>
      <c r="U561" s="30" t="s">
        <v>751</v>
      </c>
      <c r="V561" s="32" t="n">
        <f aca="false">IF(AND($F561="原始數據",$U561&lt;&gt;"連結 SRC"),1,0)</f>
        <v>0</v>
      </c>
      <c r="W561" s="32" t="n">
        <f aca="false">IF(AND($F561="Analogy",OR($H561="—",$H561="")),1,0)</f>
        <v>0</v>
      </c>
      <c r="X561" s="32" t="n">
        <f aca="false">IF(AND(OR($F561="Analogy",$F561="Assumed"),$G561&lt;&gt;"低",$G561&lt;&gt;"高",NOT(ISNUMBER($K561)),NOT(ISNUMBER($L561)),OR($M561="—",$M561="")),1,0)</f>
        <v>0</v>
      </c>
      <c r="Y561" s="32" t="n">
        <f aca="false">IF(AND(OR($F561="Analogy",$F561="Assumed",$F561="Derived（待改公式）",$F561="Derived（公式）"),OR($N561="—",$N561="",$N561=0)),1,0)</f>
        <v>0</v>
      </c>
      <c r="Z561" s="32" t="n">
        <f aca="false">IF(AND($F561="Decision",OR($J561="—",$J561="")),1,0)</f>
        <v>0</v>
      </c>
      <c r="AA561" s="33" t="n">
        <f aca="false">IF(OR($J561="—",$J561=""),0,IF(COUNTIF(Decisions!$A$5:$A$300,$J561)=0,1,0))</f>
        <v>0</v>
      </c>
      <c r="AB561" s="32" t="n">
        <f aca="false">IF(AND($F561="原始數據",$S561&lt;&gt;"Active"),1,0)</f>
        <v>0</v>
      </c>
      <c r="AC561" s="32" t="n">
        <f aca="false">IF(AND(ISNUMBER($K561),ISNUMBER($L561),ISNUMBER($Q561)),IF(OR($Q561&lt;MIN($K561,$L561),$Q561&gt;MAX($K561,$L561)),1,0),0)</f>
        <v>0</v>
      </c>
      <c r="AD561" s="32" t="n">
        <f aca="false">IF(AND(ISNUMBER($T561),$P561="高"),IF($T561=3,1,0),0)</f>
        <v>0</v>
      </c>
      <c r="AE561" s="32" t="n">
        <f aca="false">IF($S561="不存在",1,0)</f>
        <v>0</v>
      </c>
      <c r="AF561" s="44" t="str">
        <f aca="false">IF(OR($H561="—",$H561=""),"—",MATCH($H561,IDX_SrcID,0))</f>
        <v>—</v>
      </c>
      <c r="AG561" s="32" t="n">
        <f aca="false">IF(AND($P561="高",OR($AD561=1,$X561=1)),1,0)</f>
        <v>0</v>
      </c>
      <c r="AH561" s="32" t="n">
        <f aca="false">IF(AND($P561="高",$AG561=0,OR($F561&lt;&gt;"原始數據",$T561&lt;&gt;1)),1,0)</f>
        <v>0</v>
      </c>
      <c r="AI561" s="44" t="str">
        <f aca="false">IF(AND($P561="高",ISNUMBER($AF561)),INDEX(IDX_SrcDate,$AF561),"—")</f>
        <v>—</v>
      </c>
      <c r="AJ561" s="32" t="n">
        <f aca="false">IF(AND(ISTEXT($AI561),LEN($AI561)=10),IF(ISNUMBER(VALUE(SUBSTITUTE($AI561,"-",""))),VALUE(SUBSTITUTE($AI561,"-","")),0),0)</f>
        <v>0</v>
      </c>
    </row>
    <row r="562" customFormat="false" ht="29.25" hidden="false" customHeight="true" outlineLevel="0" collapsed="false">
      <c r="A562" s="30" t="s">
        <v>6049</v>
      </c>
      <c r="B562" s="239" t="s">
        <v>5607</v>
      </c>
      <c r="C562" s="30" t="s">
        <v>6045</v>
      </c>
      <c r="D562" s="30" t="s">
        <v>6050</v>
      </c>
      <c r="E562" s="20" t="s">
        <v>6051</v>
      </c>
      <c r="F562" s="239" t="s">
        <v>5398</v>
      </c>
      <c r="G562" s="239" t="s">
        <v>5287</v>
      </c>
      <c r="H562" s="30" t="s">
        <v>751</v>
      </c>
      <c r="I562" s="6" t="s">
        <v>751</v>
      </c>
      <c r="J562" s="30" t="s">
        <v>6052</v>
      </c>
      <c r="K562" s="239"/>
      <c r="L562" s="239"/>
      <c r="M562" s="30" t="s">
        <v>751</v>
      </c>
      <c r="N562" s="6" t="s">
        <v>6053</v>
      </c>
      <c r="O562" s="6" t="s">
        <v>751</v>
      </c>
      <c r="P562" s="239" t="s">
        <v>4530</v>
      </c>
      <c r="Q562" s="184" t="s">
        <v>751</v>
      </c>
      <c r="R562" s="30" t="s">
        <v>751</v>
      </c>
      <c r="S562" s="44" t="str">
        <f aca="false">IF(ISNUMBER($AF562),INDEX(IDX_SrcStat,$AF562),"—")</f>
        <v>—</v>
      </c>
      <c r="T562" s="44" t="str">
        <f aca="false">IF(ISNUMBER($AF562),INDEX(IDX_SrcGrade,$AF562),"—")</f>
        <v>—</v>
      </c>
      <c r="U562" s="30" t="s">
        <v>751</v>
      </c>
      <c r="V562" s="32" t="n">
        <f aca="false">IF(AND($F562="原始數據",$U562&lt;&gt;"連結 SRC"),1,0)</f>
        <v>0</v>
      </c>
      <c r="W562" s="32" t="n">
        <f aca="false">IF(AND($F562="Analogy",OR($H562="—",$H562="")),1,0)</f>
        <v>0</v>
      </c>
      <c r="X562" s="32" t="n">
        <f aca="false">IF(AND(OR($F562="Analogy",$F562="Assumed"),$G562&lt;&gt;"低",$G562&lt;&gt;"高",NOT(ISNUMBER($K562)),NOT(ISNUMBER($L562)),OR($M562="—",$M562="")),1,0)</f>
        <v>0</v>
      </c>
      <c r="Y562" s="32" t="n">
        <f aca="false">IF(AND(OR($F562="Analogy",$F562="Assumed",$F562="Derived（待改公式）",$F562="Derived（公式）"),OR($N562="—",$N562="",$N562=0)),1,0)</f>
        <v>0</v>
      </c>
      <c r="Z562" s="32" t="n">
        <f aca="false">IF(AND($F562="Decision",OR($J562="—",$J562="")),1,0)</f>
        <v>0</v>
      </c>
      <c r="AA562" s="33" t="n">
        <f aca="false">IF(OR($J562="—",$J562=""),0,IF(COUNTIF(Decisions!$A$5:$A$300,$J562)=0,1,0))</f>
        <v>0</v>
      </c>
      <c r="AB562" s="32" t="n">
        <f aca="false">IF(AND($F562="原始數據",$S562&lt;&gt;"Active"),1,0)</f>
        <v>0</v>
      </c>
      <c r="AC562" s="32" t="n">
        <f aca="false">IF(AND(ISNUMBER($K562),ISNUMBER($L562),ISNUMBER($Q562)),IF(OR($Q562&lt;MIN($K562,$L562),$Q562&gt;MAX($K562,$L562)),1,0),0)</f>
        <v>0</v>
      </c>
      <c r="AD562" s="32" t="n">
        <f aca="false">IF(AND(ISNUMBER($T562),$P562="高"),IF($T562=3,1,0),0)</f>
        <v>0</v>
      </c>
      <c r="AE562" s="32" t="n">
        <f aca="false">IF($S562="不存在",1,0)</f>
        <v>0</v>
      </c>
      <c r="AF562" s="44" t="str">
        <f aca="false">IF(OR($H562="—",$H562=""),"—",MATCH($H562,IDX_SrcID,0))</f>
        <v>—</v>
      </c>
      <c r="AG562" s="32" t="n">
        <f aca="false">IF(AND($P562="高",OR($AD562=1,$X562=1)),1,0)</f>
        <v>0</v>
      </c>
      <c r="AH562" s="32" t="n">
        <f aca="false">IF(AND($P562="高",$AG562=0,OR($F562&lt;&gt;"原始數據",$T562&lt;&gt;1)),1,0)</f>
        <v>0</v>
      </c>
      <c r="AI562" s="44" t="str">
        <f aca="false">IF(AND($P562="高",ISNUMBER($AF562)),INDEX(IDX_SrcDate,$AF562),"—")</f>
        <v>—</v>
      </c>
      <c r="AJ562" s="32" t="n">
        <f aca="false">IF(AND(ISTEXT($AI562),LEN($AI562)=10),IF(ISNUMBER(VALUE(SUBSTITUTE($AI562,"-",""))),VALUE(SUBSTITUTE($AI562,"-","")),0),0)</f>
        <v>0</v>
      </c>
    </row>
    <row r="563" customFormat="false" ht="15" hidden="false" customHeight="true" outlineLevel="0" collapsed="false">
      <c r="A563" s="30" t="s">
        <v>6054</v>
      </c>
      <c r="B563" s="239" t="s">
        <v>5607</v>
      </c>
      <c r="C563" s="30" t="s">
        <v>4209</v>
      </c>
      <c r="D563" s="30" t="s">
        <v>5528</v>
      </c>
      <c r="E563" s="20" t="s">
        <v>469</v>
      </c>
      <c r="F563" s="239" t="s">
        <v>5286</v>
      </c>
      <c r="G563" s="239" t="s">
        <v>5287</v>
      </c>
      <c r="H563" s="30" t="s">
        <v>751</v>
      </c>
      <c r="I563" s="6" t="s">
        <v>751</v>
      </c>
      <c r="J563" s="30" t="s">
        <v>751</v>
      </c>
      <c r="K563" s="239"/>
      <c r="L563" s="239"/>
      <c r="M563" s="30" t="s">
        <v>751</v>
      </c>
      <c r="N563" s="20" t="s">
        <v>469</v>
      </c>
      <c r="O563" s="6" t="s">
        <v>751</v>
      </c>
      <c r="P563" s="239" t="s">
        <v>4530</v>
      </c>
      <c r="Q563" s="184" t="s">
        <v>751</v>
      </c>
      <c r="R563" s="30" t="s">
        <v>751</v>
      </c>
      <c r="S563" s="44" t="str">
        <f aca="false">IF(ISNUMBER($AF563),INDEX(IDX_SrcStat,$AF563),"—")</f>
        <v>—</v>
      </c>
      <c r="T563" s="44" t="str">
        <f aca="false">IF(ISNUMBER($AF563),INDEX(IDX_SrcGrade,$AF563),"—")</f>
        <v>—</v>
      </c>
      <c r="U563" s="30" t="s">
        <v>751</v>
      </c>
      <c r="V563" s="32" t="n">
        <f aca="false">IF(AND($F563="原始數據",$U563&lt;&gt;"連結 SRC"),1,0)</f>
        <v>0</v>
      </c>
      <c r="W563" s="32" t="n">
        <f aca="false">IF(AND($F563="Analogy",OR($H563="—",$H563="")),1,0)</f>
        <v>0</v>
      </c>
      <c r="X563" s="32" t="n">
        <f aca="false">IF(AND(OR($F563="Analogy",$F563="Assumed"),$G563&lt;&gt;"低",$G563&lt;&gt;"高",NOT(ISNUMBER($K563)),NOT(ISNUMBER($L563)),OR($M563="—",$M563="")),1,0)</f>
        <v>0</v>
      </c>
      <c r="Y563" s="32" t="n">
        <f aca="false">IF(AND(OR($F563="Analogy",$F563="Assumed",$F563="Derived（待改公式）",$F563="Derived（公式）"),OR($N563="—",$N563="",$N563=0)),1,0)</f>
        <v>0</v>
      </c>
      <c r="Z563" s="32" t="n">
        <f aca="false">IF(AND($F563="Decision",OR($J563="—",$J563="")),1,0)</f>
        <v>0</v>
      </c>
      <c r="AA563" s="33" t="n">
        <f aca="false">IF(OR($J563="—",$J563=""),0,IF(COUNTIF(Decisions!$A$5:$A$300,$J563)=0,1,0))</f>
        <v>0</v>
      </c>
      <c r="AB563" s="32" t="n">
        <f aca="false">IF(AND($F563="原始數據",$S563&lt;&gt;"Active"),1,0)</f>
        <v>0</v>
      </c>
      <c r="AC563" s="32" t="n">
        <f aca="false">IF(AND(ISNUMBER($K563),ISNUMBER($L563),ISNUMBER($Q563)),IF(OR($Q563&lt;MIN($K563,$L563),$Q563&gt;MAX($K563,$L563)),1,0),0)</f>
        <v>0</v>
      </c>
      <c r="AD563" s="32" t="n">
        <f aca="false">IF(AND(ISNUMBER($T563),$P563="高"),IF($T563=3,1,0),0)</f>
        <v>0</v>
      </c>
      <c r="AE563" s="32" t="n">
        <f aca="false">IF($S563="不存在",1,0)</f>
        <v>0</v>
      </c>
      <c r="AF563" s="44" t="str">
        <f aca="false">IF(OR($H563="—",$H563=""),"—",MATCH($H563,IDX_SrcID,0))</f>
        <v>—</v>
      </c>
      <c r="AG563" s="32" t="n">
        <f aca="false">IF(AND($P563="高",OR($AD563=1,$X563=1)),1,0)</f>
        <v>0</v>
      </c>
      <c r="AH563" s="32" t="n">
        <f aca="false">IF(AND($P563="高",$AG563=0,OR($F563&lt;&gt;"原始數據",$T563&lt;&gt;1)),1,0)</f>
        <v>0</v>
      </c>
      <c r="AI563" s="44" t="str">
        <f aca="false">IF(AND($P563="高",ISNUMBER($AF563)),INDEX(IDX_SrcDate,$AF563),"—")</f>
        <v>—</v>
      </c>
      <c r="AJ563" s="32" t="n">
        <f aca="false">IF(AND(ISTEXT($AI563),LEN($AI563)=10),IF(ISNUMBER(VALUE(SUBSTITUTE($AI563,"-",""))),VALUE(SUBSTITUTE($AI563,"-","")),0),0)</f>
        <v>0</v>
      </c>
    </row>
    <row r="564" customFormat="false" ht="15" hidden="false" customHeight="true" outlineLevel="0" collapsed="false">
      <c r="A564" s="30" t="s">
        <v>6055</v>
      </c>
      <c r="B564" s="239" t="s">
        <v>5607</v>
      </c>
      <c r="C564" s="30" t="s">
        <v>4209</v>
      </c>
      <c r="D564" s="30" t="s">
        <v>5531</v>
      </c>
      <c r="E564" s="20" t="s">
        <v>856</v>
      </c>
      <c r="F564" s="239" t="s">
        <v>5286</v>
      </c>
      <c r="G564" s="239" t="s">
        <v>5287</v>
      </c>
      <c r="H564" s="30" t="s">
        <v>751</v>
      </c>
      <c r="I564" s="6" t="s">
        <v>751</v>
      </c>
      <c r="J564" s="30" t="s">
        <v>751</v>
      </c>
      <c r="K564" s="239"/>
      <c r="L564" s="239"/>
      <c r="M564" s="30" t="s">
        <v>751</v>
      </c>
      <c r="N564" s="20" t="s">
        <v>856</v>
      </c>
      <c r="O564" s="6" t="s">
        <v>751</v>
      </c>
      <c r="P564" s="239" t="s">
        <v>4530</v>
      </c>
      <c r="Q564" s="184" t="s">
        <v>751</v>
      </c>
      <c r="R564" s="30" t="s">
        <v>751</v>
      </c>
      <c r="S564" s="44" t="str">
        <f aca="false">IF(ISNUMBER($AF564),INDEX(IDX_SrcStat,$AF564),"—")</f>
        <v>—</v>
      </c>
      <c r="T564" s="44" t="str">
        <f aca="false">IF(ISNUMBER($AF564),INDEX(IDX_SrcGrade,$AF564),"—")</f>
        <v>—</v>
      </c>
      <c r="U564" s="30" t="s">
        <v>751</v>
      </c>
      <c r="V564" s="32" t="n">
        <f aca="false">IF(AND($F564="原始數據",$U564&lt;&gt;"連結 SRC"),1,0)</f>
        <v>0</v>
      </c>
      <c r="W564" s="32" t="n">
        <f aca="false">IF(AND($F564="Analogy",OR($H564="—",$H564="")),1,0)</f>
        <v>0</v>
      </c>
      <c r="X564" s="32" t="n">
        <f aca="false">IF(AND(OR($F564="Analogy",$F564="Assumed"),$G564&lt;&gt;"低",$G564&lt;&gt;"高",NOT(ISNUMBER($K564)),NOT(ISNUMBER($L564)),OR($M564="—",$M564="")),1,0)</f>
        <v>0</v>
      </c>
      <c r="Y564" s="32" t="n">
        <f aca="false">IF(AND(OR($F564="Analogy",$F564="Assumed",$F564="Derived（待改公式）",$F564="Derived（公式）"),OR($N564="—",$N564="",$N564=0)),1,0)</f>
        <v>0</v>
      </c>
      <c r="Z564" s="32" t="n">
        <f aca="false">IF(AND($F564="Decision",OR($J564="—",$J564="")),1,0)</f>
        <v>0</v>
      </c>
      <c r="AA564" s="33" t="n">
        <f aca="false">IF(OR($J564="—",$J564=""),0,IF(COUNTIF(Decisions!$A$5:$A$300,$J564)=0,1,0))</f>
        <v>0</v>
      </c>
      <c r="AB564" s="32" t="n">
        <f aca="false">IF(AND($F564="原始數據",$S564&lt;&gt;"Active"),1,0)</f>
        <v>0</v>
      </c>
      <c r="AC564" s="32" t="n">
        <f aca="false">IF(AND(ISNUMBER($K564),ISNUMBER($L564),ISNUMBER($Q564)),IF(OR($Q564&lt;MIN($K564,$L564),$Q564&gt;MAX($K564,$L564)),1,0),0)</f>
        <v>0</v>
      </c>
      <c r="AD564" s="32" t="n">
        <f aca="false">IF(AND(ISNUMBER($T564),$P564="高"),IF($T564=3,1,0),0)</f>
        <v>0</v>
      </c>
      <c r="AE564" s="32" t="n">
        <f aca="false">IF($S564="不存在",1,0)</f>
        <v>0</v>
      </c>
      <c r="AF564" s="44" t="str">
        <f aca="false">IF(OR($H564="—",$H564=""),"—",MATCH($H564,IDX_SrcID,0))</f>
        <v>—</v>
      </c>
      <c r="AG564" s="32" t="n">
        <f aca="false">IF(AND($P564="高",OR($AD564=1,$X564=1)),1,0)</f>
        <v>0</v>
      </c>
      <c r="AH564" s="32" t="n">
        <f aca="false">IF(AND($P564="高",$AG564=0,OR($F564&lt;&gt;"原始數據",$T564&lt;&gt;1)),1,0)</f>
        <v>0</v>
      </c>
      <c r="AI564" s="44" t="str">
        <f aca="false">IF(AND($P564="高",ISNUMBER($AF564)),INDEX(IDX_SrcDate,$AF564),"—")</f>
        <v>—</v>
      </c>
      <c r="AJ564" s="32" t="n">
        <f aca="false">IF(AND(ISTEXT($AI564),LEN($AI564)=10),IF(ISNUMBER(VALUE(SUBSTITUTE($AI564,"-",""))),VALUE(SUBSTITUTE($AI564,"-","")),0),0)</f>
        <v>0</v>
      </c>
    </row>
    <row r="565" customFormat="false" ht="29.25" hidden="false" customHeight="true" outlineLevel="0" collapsed="false">
      <c r="A565" s="30" t="s">
        <v>6056</v>
      </c>
      <c r="B565" s="239" t="s">
        <v>5607</v>
      </c>
      <c r="C565" s="30" t="s">
        <v>5598</v>
      </c>
      <c r="D565" s="30" t="s">
        <v>6057</v>
      </c>
      <c r="E565" s="20" t="s">
        <v>6058</v>
      </c>
      <c r="F565" s="239" t="s">
        <v>5398</v>
      </c>
      <c r="G565" s="239" t="s">
        <v>5287</v>
      </c>
      <c r="H565" s="30" t="s">
        <v>751</v>
      </c>
      <c r="I565" s="6" t="s">
        <v>751</v>
      </c>
      <c r="J565" s="30" t="s">
        <v>751</v>
      </c>
      <c r="K565" s="239"/>
      <c r="L565" s="239"/>
      <c r="M565" s="30" t="s">
        <v>751</v>
      </c>
      <c r="N565" s="6" t="s">
        <v>6059</v>
      </c>
      <c r="O565" s="6" t="s">
        <v>751</v>
      </c>
      <c r="P565" s="239" t="s">
        <v>4530</v>
      </c>
      <c r="Q565" s="184" t="s">
        <v>751</v>
      </c>
      <c r="R565" s="30" t="s">
        <v>751</v>
      </c>
      <c r="S565" s="44" t="str">
        <f aca="false">IF(ISNUMBER($AF565),INDEX(IDX_SrcStat,$AF565),"—")</f>
        <v>—</v>
      </c>
      <c r="T565" s="44" t="str">
        <f aca="false">IF(ISNUMBER($AF565),INDEX(IDX_SrcGrade,$AF565),"—")</f>
        <v>—</v>
      </c>
      <c r="U565" s="30" t="s">
        <v>751</v>
      </c>
      <c r="V565" s="32" t="n">
        <f aca="false">IF(AND($F565="原始數據",$U565&lt;&gt;"連結 SRC"),1,0)</f>
        <v>0</v>
      </c>
      <c r="W565" s="32" t="n">
        <f aca="false">IF(AND($F565="Analogy",OR($H565="—",$H565="")),1,0)</f>
        <v>0</v>
      </c>
      <c r="X565" s="32" t="n">
        <f aca="false">IF(AND(OR($F565="Analogy",$F565="Assumed"),$G565&lt;&gt;"低",$G565&lt;&gt;"高",NOT(ISNUMBER($K565)),NOT(ISNUMBER($L565)),OR($M565="—",$M565="")),1,0)</f>
        <v>0</v>
      </c>
      <c r="Y565" s="32" t="n">
        <f aca="false">IF(AND(OR($F565="Analogy",$F565="Assumed",$F565="Derived（待改公式）",$F565="Derived（公式）"),OR($N565="—",$N565="",$N565=0)),1,0)</f>
        <v>0</v>
      </c>
      <c r="Z565" s="32" t="n">
        <f aca="false">IF(AND($F565="Decision",OR($J565="—",$J565="")),1,0)</f>
        <v>0</v>
      </c>
      <c r="AA565" s="33" t="n">
        <f aca="false">IF(OR($J565="—",$J565=""),0,IF(COUNTIF(Decisions!$A$5:$A$300,$J565)=0,1,0))</f>
        <v>0</v>
      </c>
      <c r="AB565" s="32" t="n">
        <f aca="false">IF(AND($F565="原始數據",$S565&lt;&gt;"Active"),1,0)</f>
        <v>0</v>
      </c>
      <c r="AC565" s="32" t="n">
        <f aca="false">IF(AND(ISNUMBER($K565),ISNUMBER($L565),ISNUMBER($Q565)),IF(OR($Q565&lt;MIN($K565,$L565),$Q565&gt;MAX($K565,$L565)),1,0),0)</f>
        <v>0</v>
      </c>
      <c r="AD565" s="32" t="n">
        <f aca="false">IF(AND(ISNUMBER($T565),$P565="高"),IF($T565=3,1,0),0)</f>
        <v>0</v>
      </c>
      <c r="AE565" s="32" t="n">
        <f aca="false">IF($S565="不存在",1,0)</f>
        <v>0</v>
      </c>
      <c r="AF565" s="44" t="str">
        <f aca="false">IF(OR($H565="—",$H565=""),"—",MATCH($H565,IDX_SrcID,0))</f>
        <v>—</v>
      </c>
      <c r="AG565" s="32" t="n">
        <f aca="false">IF(AND($P565="高",OR($AD565=1,$X565=1)),1,0)</f>
        <v>0</v>
      </c>
      <c r="AH565" s="32" t="n">
        <f aca="false">IF(AND($P565="高",$AG565=0,OR($F565&lt;&gt;"原始數據",$T565&lt;&gt;1)),1,0)</f>
        <v>0</v>
      </c>
      <c r="AI565" s="44" t="str">
        <f aca="false">IF(AND($P565="高",ISNUMBER($AF565)),INDEX(IDX_SrcDate,$AF565),"—")</f>
        <v>—</v>
      </c>
      <c r="AJ565" s="32" t="n">
        <f aca="false">IF(AND(ISTEXT($AI565),LEN($AI565)=10),IF(ISNUMBER(VALUE(SUBSTITUTE($AI565,"-",""))),VALUE(SUBSTITUTE($AI565,"-","")),0),0)</f>
        <v>0</v>
      </c>
    </row>
    <row r="566" customFormat="false" ht="15" hidden="false" customHeight="true" outlineLevel="0" collapsed="false">
      <c r="A566" s="30" t="s">
        <v>6060</v>
      </c>
      <c r="B566" s="239" t="s">
        <v>5607</v>
      </c>
      <c r="C566" s="30" t="s">
        <v>5598</v>
      </c>
      <c r="D566" s="30" t="s">
        <v>6061</v>
      </c>
      <c r="E566" s="20" t="s">
        <v>6062</v>
      </c>
      <c r="F566" s="239" t="s">
        <v>5398</v>
      </c>
      <c r="G566" s="239" t="s">
        <v>5287</v>
      </c>
      <c r="H566" s="30" t="s">
        <v>751</v>
      </c>
      <c r="I566" s="6" t="s">
        <v>751</v>
      </c>
      <c r="J566" s="30" t="s">
        <v>751</v>
      </c>
      <c r="K566" s="239"/>
      <c r="L566" s="239"/>
      <c r="M566" s="30" t="s">
        <v>751</v>
      </c>
      <c r="N566" s="6" t="s">
        <v>6063</v>
      </c>
      <c r="O566" s="6" t="s">
        <v>751</v>
      </c>
      <c r="P566" s="239" t="s">
        <v>4530</v>
      </c>
      <c r="Q566" s="184" t="s">
        <v>751</v>
      </c>
      <c r="R566" s="30" t="s">
        <v>751</v>
      </c>
      <c r="S566" s="44" t="str">
        <f aca="false">IF(ISNUMBER($AF566),INDEX(IDX_SrcStat,$AF566),"—")</f>
        <v>—</v>
      </c>
      <c r="T566" s="44" t="str">
        <f aca="false">IF(ISNUMBER($AF566),INDEX(IDX_SrcGrade,$AF566),"—")</f>
        <v>—</v>
      </c>
      <c r="U566" s="30" t="s">
        <v>751</v>
      </c>
      <c r="V566" s="32" t="n">
        <f aca="false">IF(AND($F566="原始數據",$U566&lt;&gt;"連結 SRC"),1,0)</f>
        <v>0</v>
      </c>
      <c r="W566" s="32" t="n">
        <f aca="false">IF(AND($F566="Analogy",OR($H566="—",$H566="")),1,0)</f>
        <v>0</v>
      </c>
      <c r="X566" s="32" t="n">
        <f aca="false">IF(AND(OR($F566="Analogy",$F566="Assumed"),$G566&lt;&gt;"低",$G566&lt;&gt;"高",NOT(ISNUMBER($K566)),NOT(ISNUMBER($L566)),OR($M566="—",$M566="")),1,0)</f>
        <v>0</v>
      </c>
      <c r="Y566" s="32" t="n">
        <f aca="false">IF(AND(OR($F566="Analogy",$F566="Assumed",$F566="Derived（待改公式）",$F566="Derived（公式）"),OR($N566="—",$N566="",$N566=0)),1,0)</f>
        <v>0</v>
      </c>
      <c r="Z566" s="32" t="n">
        <f aca="false">IF(AND($F566="Decision",OR($J566="—",$J566="")),1,0)</f>
        <v>0</v>
      </c>
      <c r="AA566" s="33" t="n">
        <f aca="false">IF(OR($J566="—",$J566=""),0,IF(COUNTIF(Decisions!$A$5:$A$300,$J566)=0,1,0))</f>
        <v>0</v>
      </c>
      <c r="AB566" s="32" t="n">
        <f aca="false">IF(AND($F566="原始數據",$S566&lt;&gt;"Active"),1,0)</f>
        <v>0</v>
      </c>
      <c r="AC566" s="32" t="n">
        <f aca="false">IF(AND(ISNUMBER($K566),ISNUMBER($L566),ISNUMBER($Q566)),IF(OR($Q566&lt;MIN($K566,$L566),$Q566&gt;MAX($K566,$L566)),1,0),0)</f>
        <v>0</v>
      </c>
      <c r="AD566" s="32" t="n">
        <f aca="false">IF(AND(ISNUMBER($T566),$P566="高"),IF($T566=3,1,0),0)</f>
        <v>0</v>
      </c>
      <c r="AE566" s="32" t="n">
        <f aca="false">IF($S566="不存在",1,0)</f>
        <v>0</v>
      </c>
      <c r="AF566" s="44" t="str">
        <f aca="false">IF(OR($H566="—",$H566=""),"—",MATCH($H566,IDX_SrcID,0))</f>
        <v>—</v>
      </c>
      <c r="AG566" s="32" t="n">
        <f aca="false">IF(AND($P566="高",OR($AD566=1,$X566=1)),1,0)</f>
        <v>0</v>
      </c>
      <c r="AH566" s="32" t="n">
        <f aca="false">IF(AND($P566="高",$AG566=0,OR($F566&lt;&gt;"原始數據",$T566&lt;&gt;1)),1,0)</f>
        <v>0</v>
      </c>
      <c r="AI566" s="44" t="str">
        <f aca="false">IF(AND($P566="高",ISNUMBER($AF566)),INDEX(IDX_SrcDate,$AF566),"—")</f>
        <v>—</v>
      </c>
      <c r="AJ566" s="32" t="n">
        <f aca="false">IF(AND(ISTEXT($AI566),LEN($AI566)=10),IF(ISNUMBER(VALUE(SUBSTITUTE($AI566,"-",""))),VALUE(SUBSTITUTE($AI566,"-","")),0),0)</f>
        <v>0</v>
      </c>
    </row>
    <row r="567" customFormat="false" ht="15" hidden="false" customHeight="true" outlineLevel="0" collapsed="false">
      <c r="A567" s="30" t="s">
        <v>6064</v>
      </c>
      <c r="B567" s="239" t="s">
        <v>5607</v>
      </c>
      <c r="C567" s="30" t="s">
        <v>5598</v>
      </c>
      <c r="D567" s="30" t="s">
        <v>6065</v>
      </c>
      <c r="E567" s="20" t="s">
        <v>6066</v>
      </c>
      <c r="F567" s="239" t="s">
        <v>5398</v>
      </c>
      <c r="G567" s="239" t="s">
        <v>5287</v>
      </c>
      <c r="H567" s="30" t="s">
        <v>751</v>
      </c>
      <c r="I567" s="6" t="s">
        <v>751</v>
      </c>
      <c r="J567" s="30" t="s">
        <v>751</v>
      </c>
      <c r="K567" s="239"/>
      <c r="L567" s="239"/>
      <c r="M567" s="30" t="s">
        <v>751</v>
      </c>
      <c r="N567" s="6" t="s">
        <v>6067</v>
      </c>
      <c r="O567" s="6" t="s">
        <v>751</v>
      </c>
      <c r="P567" s="239" t="s">
        <v>4530</v>
      </c>
      <c r="Q567" s="184" t="s">
        <v>751</v>
      </c>
      <c r="R567" s="30" t="s">
        <v>751</v>
      </c>
      <c r="S567" s="44" t="str">
        <f aca="false">IF(ISNUMBER($AF567),INDEX(IDX_SrcStat,$AF567),"—")</f>
        <v>—</v>
      </c>
      <c r="T567" s="44" t="str">
        <f aca="false">IF(ISNUMBER($AF567),INDEX(IDX_SrcGrade,$AF567),"—")</f>
        <v>—</v>
      </c>
      <c r="U567" s="30" t="s">
        <v>751</v>
      </c>
      <c r="V567" s="32" t="n">
        <f aca="false">IF(AND($F567="原始數據",$U567&lt;&gt;"連結 SRC"),1,0)</f>
        <v>0</v>
      </c>
      <c r="W567" s="32" t="n">
        <f aca="false">IF(AND($F567="Analogy",OR($H567="—",$H567="")),1,0)</f>
        <v>0</v>
      </c>
      <c r="X567" s="32" t="n">
        <f aca="false">IF(AND(OR($F567="Analogy",$F567="Assumed"),$G567&lt;&gt;"低",$G567&lt;&gt;"高",NOT(ISNUMBER($K567)),NOT(ISNUMBER($L567)),OR($M567="—",$M567="")),1,0)</f>
        <v>0</v>
      </c>
      <c r="Y567" s="32" t="n">
        <f aca="false">IF(AND(OR($F567="Analogy",$F567="Assumed",$F567="Derived（待改公式）",$F567="Derived（公式）"),OR($N567="—",$N567="",$N567=0)),1,0)</f>
        <v>0</v>
      </c>
      <c r="Z567" s="32" t="n">
        <f aca="false">IF(AND($F567="Decision",OR($J567="—",$J567="")),1,0)</f>
        <v>0</v>
      </c>
      <c r="AA567" s="33" t="n">
        <f aca="false">IF(OR($J567="—",$J567=""),0,IF(COUNTIF(Decisions!$A$5:$A$300,$J567)=0,1,0))</f>
        <v>0</v>
      </c>
      <c r="AB567" s="32" t="n">
        <f aca="false">IF(AND($F567="原始數據",$S567&lt;&gt;"Active"),1,0)</f>
        <v>0</v>
      </c>
      <c r="AC567" s="32" t="n">
        <f aca="false">IF(AND(ISNUMBER($K567),ISNUMBER($L567),ISNUMBER($Q567)),IF(OR($Q567&lt;MIN($K567,$L567),$Q567&gt;MAX($K567,$L567)),1,0),0)</f>
        <v>0</v>
      </c>
      <c r="AD567" s="32" t="n">
        <f aca="false">IF(AND(ISNUMBER($T567),$P567="高"),IF($T567=3,1,0),0)</f>
        <v>0</v>
      </c>
      <c r="AE567" s="32" t="n">
        <f aca="false">IF($S567="不存在",1,0)</f>
        <v>0</v>
      </c>
      <c r="AF567" s="44" t="str">
        <f aca="false">IF(OR($H567="—",$H567=""),"—",MATCH($H567,IDX_SrcID,0))</f>
        <v>—</v>
      </c>
      <c r="AG567" s="32" t="n">
        <f aca="false">IF(AND($P567="高",OR($AD567=1,$X567=1)),1,0)</f>
        <v>0</v>
      </c>
      <c r="AH567" s="32" t="n">
        <f aca="false">IF(AND($P567="高",$AG567=0,OR($F567&lt;&gt;"原始數據",$T567&lt;&gt;1)),1,0)</f>
        <v>0</v>
      </c>
      <c r="AI567" s="44" t="str">
        <f aca="false">IF(AND($P567="高",ISNUMBER($AF567)),INDEX(IDX_SrcDate,$AF567),"—")</f>
        <v>—</v>
      </c>
      <c r="AJ567" s="32" t="n">
        <f aca="false">IF(AND(ISTEXT($AI567),LEN($AI567)=10),IF(ISNUMBER(VALUE(SUBSTITUTE($AI567,"-",""))),VALUE(SUBSTITUTE($AI567,"-","")),0),0)</f>
        <v>0</v>
      </c>
    </row>
    <row r="568" customFormat="false" ht="29.25" hidden="false" customHeight="true" outlineLevel="0" collapsed="false">
      <c r="A568" s="30" t="s">
        <v>6068</v>
      </c>
      <c r="B568" s="239" t="s">
        <v>5607</v>
      </c>
      <c r="C568" s="30" t="s">
        <v>5598</v>
      </c>
      <c r="D568" s="30" t="s">
        <v>6069</v>
      </c>
      <c r="E568" s="20" t="s">
        <v>6070</v>
      </c>
      <c r="F568" s="239" t="s">
        <v>5398</v>
      </c>
      <c r="G568" s="239" t="s">
        <v>5287</v>
      </c>
      <c r="H568" s="30" t="s">
        <v>751</v>
      </c>
      <c r="I568" s="6" t="s">
        <v>751</v>
      </c>
      <c r="J568" s="30" t="s">
        <v>751</v>
      </c>
      <c r="K568" s="239"/>
      <c r="L568" s="239"/>
      <c r="M568" s="30" t="s">
        <v>751</v>
      </c>
      <c r="N568" s="6" t="s">
        <v>6071</v>
      </c>
      <c r="O568" s="6" t="s">
        <v>751</v>
      </c>
      <c r="P568" s="239" t="s">
        <v>4530</v>
      </c>
      <c r="Q568" s="184" t="s">
        <v>751</v>
      </c>
      <c r="R568" s="30" t="s">
        <v>751</v>
      </c>
      <c r="S568" s="44" t="str">
        <f aca="false">IF(ISNUMBER($AF568),INDEX(IDX_SrcStat,$AF568),"—")</f>
        <v>—</v>
      </c>
      <c r="T568" s="44" t="str">
        <f aca="false">IF(ISNUMBER($AF568),INDEX(IDX_SrcGrade,$AF568),"—")</f>
        <v>—</v>
      </c>
      <c r="U568" s="30" t="s">
        <v>751</v>
      </c>
      <c r="V568" s="32" t="n">
        <f aca="false">IF(AND($F568="原始數據",$U568&lt;&gt;"連結 SRC"),1,0)</f>
        <v>0</v>
      </c>
      <c r="W568" s="32" t="n">
        <f aca="false">IF(AND($F568="Analogy",OR($H568="—",$H568="")),1,0)</f>
        <v>0</v>
      </c>
      <c r="X568" s="32" t="n">
        <f aca="false">IF(AND(OR($F568="Analogy",$F568="Assumed"),$G568&lt;&gt;"低",$G568&lt;&gt;"高",NOT(ISNUMBER($K568)),NOT(ISNUMBER($L568)),OR($M568="—",$M568="")),1,0)</f>
        <v>0</v>
      </c>
      <c r="Y568" s="32" t="n">
        <f aca="false">IF(AND(OR($F568="Analogy",$F568="Assumed",$F568="Derived（待改公式）",$F568="Derived（公式）"),OR($N568="—",$N568="",$N568=0)),1,0)</f>
        <v>0</v>
      </c>
      <c r="Z568" s="32" t="n">
        <f aca="false">IF(AND($F568="Decision",OR($J568="—",$J568="")),1,0)</f>
        <v>0</v>
      </c>
      <c r="AA568" s="33" t="n">
        <f aca="false">IF(OR($J568="—",$J568=""),0,IF(COUNTIF(Decisions!$A$5:$A$300,$J568)=0,1,0))</f>
        <v>0</v>
      </c>
      <c r="AB568" s="32" t="n">
        <f aca="false">IF(AND($F568="原始數據",$S568&lt;&gt;"Active"),1,0)</f>
        <v>0</v>
      </c>
      <c r="AC568" s="32" t="n">
        <f aca="false">IF(AND(ISNUMBER($K568),ISNUMBER($L568),ISNUMBER($Q568)),IF(OR($Q568&lt;MIN($K568,$L568),$Q568&gt;MAX($K568,$L568)),1,0),0)</f>
        <v>0</v>
      </c>
      <c r="AD568" s="32" t="n">
        <f aca="false">IF(AND(ISNUMBER($T568),$P568="高"),IF($T568=3,1,0),0)</f>
        <v>0</v>
      </c>
      <c r="AE568" s="32" t="n">
        <f aca="false">IF($S568="不存在",1,0)</f>
        <v>0</v>
      </c>
      <c r="AF568" s="44" t="str">
        <f aca="false">IF(OR($H568="—",$H568=""),"—",MATCH($H568,IDX_SrcID,0))</f>
        <v>—</v>
      </c>
      <c r="AG568" s="32" t="n">
        <f aca="false">IF(AND($P568="高",OR($AD568=1,$X568=1)),1,0)</f>
        <v>0</v>
      </c>
      <c r="AH568" s="32" t="n">
        <f aca="false">IF(AND($P568="高",$AG568=0,OR($F568&lt;&gt;"原始數據",$T568&lt;&gt;1)),1,0)</f>
        <v>0</v>
      </c>
      <c r="AI568" s="44" t="str">
        <f aca="false">IF(AND($P568="高",ISNUMBER($AF568)),INDEX(IDX_SrcDate,$AF568),"—")</f>
        <v>—</v>
      </c>
      <c r="AJ568" s="32" t="n">
        <f aca="false">IF(AND(ISTEXT($AI568),LEN($AI568)=10),IF(ISNUMBER(VALUE(SUBSTITUTE($AI568,"-",""))),VALUE(SUBSTITUTE($AI568,"-","")),0),0)</f>
        <v>0</v>
      </c>
    </row>
    <row r="569" customFormat="false" ht="29.25" hidden="false" customHeight="true" outlineLevel="0" collapsed="false">
      <c r="A569" s="30" t="s">
        <v>6072</v>
      </c>
      <c r="B569" s="239" t="s">
        <v>5607</v>
      </c>
      <c r="C569" s="30" t="s">
        <v>5598</v>
      </c>
      <c r="D569" s="30" t="s">
        <v>6073</v>
      </c>
      <c r="E569" s="20" t="s">
        <v>6074</v>
      </c>
      <c r="F569" s="239" t="s">
        <v>5398</v>
      </c>
      <c r="G569" s="239" t="s">
        <v>5287</v>
      </c>
      <c r="H569" s="30" t="s">
        <v>751</v>
      </c>
      <c r="I569" s="6" t="s">
        <v>751</v>
      </c>
      <c r="J569" s="30" t="s">
        <v>751</v>
      </c>
      <c r="K569" s="239"/>
      <c r="L569" s="239"/>
      <c r="M569" s="30" t="s">
        <v>751</v>
      </c>
      <c r="N569" s="6" t="s">
        <v>6075</v>
      </c>
      <c r="O569" s="6" t="s">
        <v>751</v>
      </c>
      <c r="P569" s="239" t="s">
        <v>4530</v>
      </c>
      <c r="Q569" s="184" t="s">
        <v>751</v>
      </c>
      <c r="R569" s="30" t="s">
        <v>751</v>
      </c>
      <c r="S569" s="44" t="str">
        <f aca="false">IF(ISNUMBER($AF569),INDEX(IDX_SrcStat,$AF569),"—")</f>
        <v>—</v>
      </c>
      <c r="T569" s="44" t="str">
        <f aca="false">IF(ISNUMBER($AF569),INDEX(IDX_SrcGrade,$AF569),"—")</f>
        <v>—</v>
      </c>
      <c r="U569" s="30" t="s">
        <v>751</v>
      </c>
      <c r="V569" s="32" t="n">
        <f aca="false">IF(AND($F569="原始數據",$U569&lt;&gt;"連結 SRC"),1,0)</f>
        <v>0</v>
      </c>
      <c r="W569" s="32" t="n">
        <f aca="false">IF(AND($F569="Analogy",OR($H569="—",$H569="")),1,0)</f>
        <v>0</v>
      </c>
      <c r="X569" s="32" t="n">
        <f aca="false">IF(AND(OR($F569="Analogy",$F569="Assumed"),$G569&lt;&gt;"低",$G569&lt;&gt;"高",NOT(ISNUMBER($K569)),NOT(ISNUMBER($L569)),OR($M569="—",$M569="")),1,0)</f>
        <v>0</v>
      </c>
      <c r="Y569" s="32" t="n">
        <f aca="false">IF(AND(OR($F569="Analogy",$F569="Assumed",$F569="Derived（待改公式）",$F569="Derived（公式）"),OR($N569="—",$N569="",$N569=0)),1,0)</f>
        <v>0</v>
      </c>
      <c r="Z569" s="32" t="n">
        <f aca="false">IF(AND($F569="Decision",OR($J569="—",$J569="")),1,0)</f>
        <v>0</v>
      </c>
      <c r="AA569" s="33" t="n">
        <f aca="false">IF(OR($J569="—",$J569=""),0,IF(COUNTIF(Decisions!$A$5:$A$300,$J569)=0,1,0))</f>
        <v>0</v>
      </c>
      <c r="AB569" s="32" t="n">
        <f aca="false">IF(AND($F569="原始數據",$S569&lt;&gt;"Active"),1,0)</f>
        <v>0</v>
      </c>
      <c r="AC569" s="32" t="n">
        <f aca="false">IF(AND(ISNUMBER($K569),ISNUMBER($L569),ISNUMBER($Q569)),IF(OR($Q569&lt;MIN($K569,$L569),$Q569&gt;MAX($K569,$L569)),1,0),0)</f>
        <v>0</v>
      </c>
      <c r="AD569" s="32" t="n">
        <f aca="false">IF(AND(ISNUMBER($T569),$P569="高"),IF($T569=3,1,0),0)</f>
        <v>0</v>
      </c>
      <c r="AE569" s="32" t="n">
        <f aca="false">IF($S569="不存在",1,0)</f>
        <v>0</v>
      </c>
      <c r="AF569" s="44" t="str">
        <f aca="false">IF(OR($H569="—",$H569=""),"—",MATCH($H569,IDX_SrcID,0))</f>
        <v>—</v>
      </c>
      <c r="AG569" s="32" t="n">
        <f aca="false">IF(AND($P569="高",OR($AD569=1,$X569=1)),1,0)</f>
        <v>0</v>
      </c>
      <c r="AH569" s="32" t="n">
        <f aca="false">IF(AND($P569="高",$AG569=0,OR($F569&lt;&gt;"原始數據",$T569&lt;&gt;1)),1,0)</f>
        <v>0</v>
      </c>
      <c r="AI569" s="44" t="str">
        <f aca="false">IF(AND($P569="高",ISNUMBER($AF569)),INDEX(IDX_SrcDate,$AF569),"—")</f>
        <v>—</v>
      </c>
      <c r="AJ569" s="32" t="n">
        <f aca="false">IF(AND(ISTEXT($AI569),LEN($AI569)=10),IF(ISNUMBER(VALUE(SUBSTITUTE($AI569,"-",""))),VALUE(SUBSTITUTE($AI569,"-","")),0),0)</f>
        <v>0</v>
      </c>
    </row>
    <row r="570" customFormat="false" ht="29.25" hidden="false" customHeight="true" outlineLevel="0" collapsed="false">
      <c r="A570" s="30" t="s">
        <v>6076</v>
      </c>
      <c r="B570" s="239" t="s">
        <v>5607</v>
      </c>
      <c r="C570" s="30" t="s">
        <v>5598</v>
      </c>
      <c r="D570" s="30" t="s">
        <v>6077</v>
      </c>
      <c r="E570" s="6" t="s">
        <v>2142</v>
      </c>
      <c r="F570" s="239" t="s">
        <v>5398</v>
      </c>
      <c r="G570" s="239" t="s">
        <v>5287</v>
      </c>
      <c r="H570" s="30" t="s">
        <v>751</v>
      </c>
      <c r="I570" s="6" t="s">
        <v>751</v>
      </c>
      <c r="J570" s="30" t="s">
        <v>751</v>
      </c>
      <c r="K570" s="239"/>
      <c r="L570" s="239"/>
      <c r="M570" s="30" t="s">
        <v>751</v>
      </c>
      <c r="N570" s="6" t="s">
        <v>6078</v>
      </c>
      <c r="O570" s="6" t="s">
        <v>751</v>
      </c>
      <c r="P570" s="239" t="s">
        <v>4530</v>
      </c>
      <c r="Q570" s="33" t="n">
        <f aca="false">Sens_Rev!B17</f>
        <v>7</v>
      </c>
      <c r="R570" s="30" t="s">
        <v>751</v>
      </c>
      <c r="S570" s="44" t="str">
        <f aca="false">IF(ISNUMBER($AF570),INDEX(IDX_SrcStat,$AF570),"—")</f>
        <v>—</v>
      </c>
      <c r="T570" s="44" t="str">
        <f aca="false">IF(ISNUMBER($AF570),INDEX(IDX_SrcGrade,$AF570),"—")</f>
        <v>—</v>
      </c>
      <c r="U570" s="44" t="s">
        <v>4531</v>
      </c>
      <c r="V570" s="32" t="n">
        <f aca="false">IF(AND($F570="原始數據",$U570&lt;&gt;"連結 SRC"),1,0)</f>
        <v>0</v>
      </c>
      <c r="W570" s="32" t="n">
        <f aca="false">IF(AND($F570="Analogy",OR($H570="—",$H570="")),1,0)</f>
        <v>0</v>
      </c>
      <c r="X570" s="32" t="n">
        <f aca="false">IF(AND(OR($F570="Analogy",$F570="Assumed"),$G570&lt;&gt;"低",$G570&lt;&gt;"高",NOT(ISNUMBER($K570)),NOT(ISNUMBER($L570)),OR($M570="—",$M570="")),1,0)</f>
        <v>0</v>
      </c>
      <c r="Y570" s="32" t="n">
        <f aca="false">IF(AND(OR($F570="Analogy",$F570="Assumed",$F570="Derived（待改公式）",$F570="Derived（公式）"),OR($N570="—",$N570="",$N570=0)),1,0)</f>
        <v>0</v>
      </c>
      <c r="Z570" s="32" t="n">
        <f aca="false">IF(AND($F570="Decision",OR($J570="—",$J570="")),1,0)</f>
        <v>0</v>
      </c>
      <c r="AA570" s="33" t="n">
        <f aca="false">IF(OR($J570="—",$J570=""),0,IF(COUNTIF(Decisions!$A$5:$A$300,$J570)=0,1,0))</f>
        <v>0</v>
      </c>
      <c r="AB570" s="32" t="n">
        <f aca="false">IF(AND($F570="原始數據",$S570&lt;&gt;"Active"),1,0)</f>
        <v>0</v>
      </c>
      <c r="AC570" s="32" t="n">
        <f aca="false">IF(AND(ISNUMBER($K570),ISNUMBER($L570),ISNUMBER($Q570)),IF(OR($Q570&lt;MIN($K570,$L570),$Q570&gt;MAX($K570,$L570)),1,0),0)</f>
        <v>0</v>
      </c>
      <c r="AD570" s="32" t="n">
        <f aca="false">IF(AND(ISNUMBER($T570),$P570="高"),IF($T570=3,1,0),0)</f>
        <v>0</v>
      </c>
      <c r="AE570" s="32" t="n">
        <f aca="false">IF($S570="不存在",1,0)</f>
        <v>0</v>
      </c>
      <c r="AF570" s="44" t="str">
        <f aca="false">IF(OR($H570="—",$H570=""),"—",MATCH($H570,IDX_SrcID,0))</f>
        <v>—</v>
      </c>
      <c r="AG570" s="32" t="n">
        <f aca="false">IF(AND($P570="高",OR($AD570=1,$X570=1)),1,0)</f>
        <v>0</v>
      </c>
      <c r="AH570" s="32" t="n">
        <f aca="false">IF(AND($P570="高",$AG570=0,OR($F570&lt;&gt;"原始數據",$T570&lt;&gt;1)),1,0)</f>
        <v>0</v>
      </c>
      <c r="AI570" s="44" t="str">
        <f aca="false">IF(AND($P570="高",ISNUMBER($AF570)),INDEX(IDX_SrcDate,$AF570),"—")</f>
        <v>—</v>
      </c>
      <c r="AJ570" s="32" t="n">
        <f aca="false">IF(AND(ISTEXT($AI570),LEN($AI570)=10),IF(ISNUMBER(VALUE(SUBSTITUTE($AI570,"-",""))),VALUE(SUBSTITUTE($AI570,"-","")),0),0)</f>
        <v>0</v>
      </c>
    </row>
    <row r="571" customFormat="false" ht="29.25" hidden="false" customHeight="true" outlineLevel="0" collapsed="false">
      <c r="A571" s="30" t="s">
        <v>6079</v>
      </c>
      <c r="B571" s="239" t="s">
        <v>5607</v>
      </c>
      <c r="C571" s="30" t="s">
        <v>5598</v>
      </c>
      <c r="D571" s="30" t="s">
        <v>6080</v>
      </c>
      <c r="E571" s="20" t="s">
        <v>6081</v>
      </c>
      <c r="F571" s="239" t="s">
        <v>5398</v>
      </c>
      <c r="G571" s="239" t="s">
        <v>5287</v>
      </c>
      <c r="H571" s="30" t="s">
        <v>751</v>
      </c>
      <c r="I571" s="6" t="s">
        <v>751</v>
      </c>
      <c r="J571" s="30" t="s">
        <v>751</v>
      </c>
      <c r="K571" s="239"/>
      <c r="L571" s="239"/>
      <c r="M571" s="30" t="s">
        <v>751</v>
      </c>
      <c r="N571" s="6" t="s">
        <v>6082</v>
      </c>
      <c r="O571" s="6" t="s">
        <v>751</v>
      </c>
      <c r="P571" s="239" t="s">
        <v>4530</v>
      </c>
      <c r="Q571" s="184" t="s">
        <v>751</v>
      </c>
      <c r="R571" s="30" t="s">
        <v>751</v>
      </c>
      <c r="S571" s="44" t="str">
        <f aca="false">IF(ISNUMBER($AF571),INDEX(IDX_SrcStat,$AF571),"—")</f>
        <v>—</v>
      </c>
      <c r="T571" s="44" t="str">
        <f aca="false">IF(ISNUMBER($AF571),INDEX(IDX_SrcGrade,$AF571),"—")</f>
        <v>—</v>
      </c>
      <c r="U571" s="30" t="s">
        <v>751</v>
      </c>
      <c r="V571" s="32" t="n">
        <f aca="false">IF(AND($F571="原始數據",$U571&lt;&gt;"連結 SRC"),1,0)</f>
        <v>0</v>
      </c>
      <c r="W571" s="32" t="n">
        <f aca="false">IF(AND($F571="Analogy",OR($H571="—",$H571="")),1,0)</f>
        <v>0</v>
      </c>
      <c r="X571" s="32" t="n">
        <f aca="false">IF(AND(OR($F571="Analogy",$F571="Assumed"),$G571&lt;&gt;"低",$G571&lt;&gt;"高",NOT(ISNUMBER($K571)),NOT(ISNUMBER($L571)),OR($M571="—",$M571="")),1,0)</f>
        <v>0</v>
      </c>
      <c r="Y571" s="32" t="n">
        <f aca="false">IF(AND(OR($F571="Analogy",$F571="Assumed",$F571="Derived（待改公式）",$F571="Derived（公式）"),OR($N571="—",$N571="",$N571=0)),1,0)</f>
        <v>0</v>
      </c>
      <c r="Z571" s="32" t="n">
        <f aca="false">IF(AND($F571="Decision",OR($J571="—",$J571="")),1,0)</f>
        <v>0</v>
      </c>
      <c r="AA571" s="33" t="n">
        <f aca="false">IF(OR($J571="—",$J571=""),0,IF(COUNTIF(Decisions!$A$5:$A$300,$J571)=0,1,0))</f>
        <v>0</v>
      </c>
      <c r="AB571" s="32" t="n">
        <f aca="false">IF(AND($F571="原始數據",$S571&lt;&gt;"Active"),1,0)</f>
        <v>0</v>
      </c>
      <c r="AC571" s="32" t="n">
        <f aca="false">IF(AND(ISNUMBER($K571),ISNUMBER($L571),ISNUMBER($Q571)),IF(OR($Q571&lt;MIN($K571,$L571),$Q571&gt;MAX($K571,$L571)),1,0),0)</f>
        <v>0</v>
      </c>
      <c r="AD571" s="32" t="n">
        <f aca="false">IF(AND(ISNUMBER($T571),$P571="高"),IF($T571=3,1,0),0)</f>
        <v>0</v>
      </c>
      <c r="AE571" s="32" t="n">
        <f aca="false">IF($S571="不存在",1,0)</f>
        <v>0</v>
      </c>
      <c r="AF571" s="44" t="str">
        <f aca="false">IF(OR($H571="—",$H571=""),"—",MATCH($H571,IDX_SrcID,0))</f>
        <v>—</v>
      </c>
      <c r="AG571" s="32" t="n">
        <f aca="false">IF(AND($P571="高",OR($AD571=1,$X571=1)),1,0)</f>
        <v>0</v>
      </c>
      <c r="AH571" s="32" t="n">
        <f aca="false">IF(AND($P571="高",$AG571=0,OR($F571&lt;&gt;"原始數據",$T571&lt;&gt;1)),1,0)</f>
        <v>0</v>
      </c>
      <c r="AI571" s="44" t="str">
        <f aca="false">IF(AND($P571="高",ISNUMBER($AF571)),INDEX(IDX_SrcDate,$AF571),"—")</f>
        <v>—</v>
      </c>
      <c r="AJ571" s="32" t="n">
        <f aca="false">IF(AND(ISTEXT($AI571),LEN($AI571)=10),IF(ISNUMBER(VALUE(SUBSTITUTE($AI571,"-",""))),VALUE(SUBSTITUTE($AI571,"-","")),0),0)</f>
        <v>0</v>
      </c>
    </row>
    <row r="572" customFormat="false" ht="29.25" hidden="false" customHeight="true" outlineLevel="0" collapsed="false">
      <c r="A572" s="30" t="s">
        <v>6083</v>
      </c>
      <c r="B572" s="239" t="s">
        <v>5607</v>
      </c>
      <c r="C572" s="30" t="s">
        <v>6084</v>
      </c>
      <c r="D572" s="30" t="s">
        <v>6085</v>
      </c>
      <c r="E572" s="20" t="s">
        <v>112</v>
      </c>
      <c r="F572" s="239" t="s">
        <v>5398</v>
      </c>
      <c r="G572" s="239" t="s">
        <v>5287</v>
      </c>
      <c r="H572" s="30" t="s">
        <v>751</v>
      </c>
      <c r="I572" s="6" t="s">
        <v>751</v>
      </c>
      <c r="J572" s="30" t="s">
        <v>751</v>
      </c>
      <c r="K572" s="239"/>
      <c r="L572" s="239"/>
      <c r="M572" s="30" t="s">
        <v>751</v>
      </c>
      <c r="N572" s="20" t="s">
        <v>6086</v>
      </c>
      <c r="O572" s="6" t="s">
        <v>751</v>
      </c>
      <c r="P572" s="30" t="s">
        <v>751</v>
      </c>
      <c r="Q572" s="184" t="s">
        <v>751</v>
      </c>
      <c r="R572" s="30" t="s">
        <v>751</v>
      </c>
      <c r="S572" s="44" t="str">
        <f aca="false">IF(ISNUMBER($AF572),INDEX(IDX_SrcStat,$AF572),"—")</f>
        <v>—</v>
      </c>
      <c r="T572" s="44" t="str">
        <f aca="false">IF(ISNUMBER($AF572),INDEX(IDX_SrcGrade,$AF572),"—")</f>
        <v>—</v>
      </c>
      <c r="U572" s="30" t="s">
        <v>751</v>
      </c>
      <c r="V572" s="32" t="n">
        <f aca="false">IF(AND($F572="原始數據",$U572&lt;&gt;"連結 SRC"),1,0)</f>
        <v>0</v>
      </c>
      <c r="W572" s="32" t="n">
        <f aca="false">IF(AND($F572="Analogy",OR($H572="—",$H572="")),1,0)</f>
        <v>0</v>
      </c>
      <c r="X572" s="32" t="n">
        <f aca="false">IF(AND(OR($F572="Analogy",$F572="Assumed"),$G572&lt;&gt;"低",$G572&lt;&gt;"高",NOT(ISNUMBER($K572)),NOT(ISNUMBER($L572)),OR($M572="—",$M572="")),1,0)</f>
        <v>0</v>
      </c>
      <c r="Y572" s="32" t="n">
        <f aca="false">IF(AND(OR($F572="Analogy",$F572="Assumed",$F572="Derived（待改公式）",$F572="Derived（公式）"),OR($N572="—",$N572="",$N572=0)),1,0)</f>
        <v>0</v>
      </c>
      <c r="Z572" s="32" t="n">
        <f aca="false">IF(AND($F572="Decision",OR($J572="—",$J572="")),1,0)</f>
        <v>0</v>
      </c>
      <c r="AA572" s="33" t="n">
        <f aca="false">IF(OR($J572="—",$J572=""),0,IF(COUNTIF(Decisions!$A$5:$A$300,$J572)=0,1,0))</f>
        <v>0</v>
      </c>
      <c r="AB572" s="32" t="n">
        <f aca="false">IF(AND($F572="原始數據",$S572&lt;&gt;"Active"),1,0)</f>
        <v>0</v>
      </c>
      <c r="AC572" s="32" t="n">
        <f aca="false">IF(AND(ISNUMBER($K572),ISNUMBER($L572),ISNUMBER($Q572)),IF(OR($Q572&lt;MIN($K572,$L572),$Q572&gt;MAX($K572,$L572)),1,0),0)</f>
        <v>0</v>
      </c>
      <c r="AD572" s="32" t="n">
        <f aca="false">IF(AND(ISNUMBER($T572),$P572="高"),IF($T572=3,1,0),0)</f>
        <v>0</v>
      </c>
      <c r="AE572" s="32" t="n">
        <f aca="false">IF($S572="不存在",1,0)</f>
        <v>0</v>
      </c>
      <c r="AF572" s="44" t="str">
        <f aca="false">IF(OR($H572="—",$H572=""),"—",MATCH($H572,IDX_SrcID,0))</f>
        <v>—</v>
      </c>
      <c r="AG572" s="32" t="n">
        <f aca="false">IF(AND($P572="高",OR($AD572=1,$X572=1)),1,0)</f>
        <v>0</v>
      </c>
      <c r="AH572" s="32" t="n">
        <f aca="false">IF(AND($P572="高",$AG572=0,OR($F572&lt;&gt;"原始數據",$T572&lt;&gt;1)),1,0)</f>
        <v>0</v>
      </c>
      <c r="AI572" s="44" t="str">
        <f aca="false">IF(AND($P572="高",ISNUMBER($AF572)),INDEX(IDX_SrcDate,$AF572),"—")</f>
        <v>—</v>
      </c>
      <c r="AJ572" s="32" t="n">
        <f aca="false">IF(AND(ISTEXT($AI572),LEN($AI572)=10),IF(ISNUMBER(VALUE(SUBSTITUTE($AI572,"-",""))),VALUE(SUBSTITUTE($AI572,"-","")),0),0)</f>
        <v>0</v>
      </c>
    </row>
    <row r="573" customFormat="false" ht="15" hidden="false" customHeight="true" outlineLevel="0" collapsed="false">
      <c r="A573" s="30" t="s">
        <v>6087</v>
      </c>
      <c r="B573" s="239" t="s">
        <v>5607</v>
      </c>
      <c r="C573" s="30" t="s">
        <v>6084</v>
      </c>
      <c r="D573" s="30" t="s">
        <v>6088</v>
      </c>
      <c r="E573" s="6" t="s">
        <v>1040</v>
      </c>
      <c r="F573" s="239" t="s">
        <v>5398</v>
      </c>
      <c r="G573" s="239" t="s">
        <v>5287</v>
      </c>
      <c r="H573" s="30" t="s">
        <v>751</v>
      </c>
      <c r="I573" s="6" t="s">
        <v>751</v>
      </c>
      <c r="J573" s="30" t="s">
        <v>751</v>
      </c>
      <c r="K573" s="239"/>
      <c r="L573" s="239"/>
      <c r="M573" s="30" t="s">
        <v>751</v>
      </c>
      <c r="N573" s="6" t="s">
        <v>6089</v>
      </c>
      <c r="O573" s="6" t="s">
        <v>751</v>
      </c>
      <c r="P573" s="239" t="s">
        <v>4530</v>
      </c>
      <c r="Q573" s="33" t="n">
        <f aca="false">Sensitivity!N37</f>
        <v>7</v>
      </c>
      <c r="R573" s="30" t="s">
        <v>751</v>
      </c>
      <c r="S573" s="44" t="str">
        <f aca="false">IF(ISNUMBER($AF573),INDEX(IDX_SrcStat,$AF573),"—")</f>
        <v>—</v>
      </c>
      <c r="T573" s="44" t="str">
        <f aca="false">IF(ISNUMBER($AF573),INDEX(IDX_SrcGrade,$AF573),"—")</f>
        <v>—</v>
      </c>
      <c r="U573" s="44" t="s">
        <v>4531</v>
      </c>
      <c r="V573" s="32" t="n">
        <f aca="false">IF(AND($F573="原始數據",$U573&lt;&gt;"連結 SRC"),1,0)</f>
        <v>0</v>
      </c>
      <c r="W573" s="32" t="n">
        <f aca="false">IF(AND($F573="Analogy",OR($H573="—",$H573="")),1,0)</f>
        <v>0</v>
      </c>
      <c r="X573" s="32" t="n">
        <f aca="false">IF(AND(OR($F573="Analogy",$F573="Assumed"),$G573&lt;&gt;"低",$G573&lt;&gt;"高",NOT(ISNUMBER($K573)),NOT(ISNUMBER($L573)),OR($M573="—",$M573="")),1,0)</f>
        <v>0</v>
      </c>
      <c r="Y573" s="32" t="n">
        <f aca="false">IF(AND(OR($F573="Analogy",$F573="Assumed",$F573="Derived（待改公式）",$F573="Derived（公式）"),OR($N573="—",$N573="",$N573=0)),1,0)</f>
        <v>0</v>
      </c>
      <c r="Z573" s="32" t="n">
        <f aca="false">IF(AND($F573="Decision",OR($J573="—",$J573="")),1,0)</f>
        <v>0</v>
      </c>
      <c r="AA573" s="33" t="n">
        <f aca="false">IF(OR($J573="—",$J573=""),0,IF(COUNTIF(Decisions!$A$5:$A$300,$J573)=0,1,0))</f>
        <v>0</v>
      </c>
      <c r="AB573" s="32" t="n">
        <f aca="false">IF(AND($F573="原始數據",$S573&lt;&gt;"Active"),1,0)</f>
        <v>0</v>
      </c>
      <c r="AC573" s="32" t="n">
        <f aca="false">IF(AND(ISNUMBER($K573),ISNUMBER($L573),ISNUMBER($Q573)),IF(OR($Q573&lt;MIN($K573,$L573),$Q573&gt;MAX($K573,$L573)),1,0),0)</f>
        <v>0</v>
      </c>
      <c r="AD573" s="32" t="n">
        <f aca="false">IF(AND(ISNUMBER($T573),$P573="高"),IF($T573=3,1,0),0)</f>
        <v>0</v>
      </c>
      <c r="AE573" s="32" t="n">
        <f aca="false">IF($S573="不存在",1,0)</f>
        <v>0</v>
      </c>
      <c r="AF573" s="44" t="str">
        <f aca="false">IF(OR($H573="—",$H573=""),"—",MATCH($H573,IDX_SrcID,0))</f>
        <v>—</v>
      </c>
      <c r="AG573" s="32" t="n">
        <f aca="false">IF(AND($P573="高",OR($AD573=1,$X573=1)),1,0)</f>
        <v>0</v>
      </c>
      <c r="AH573" s="32" t="n">
        <f aca="false">IF(AND($P573="高",$AG573=0,OR($F573&lt;&gt;"原始數據",$T573&lt;&gt;1)),1,0)</f>
        <v>0</v>
      </c>
      <c r="AI573" s="44" t="str">
        <f aca="false">IF(AND($P573="高",ISNUMBER($AF573)),INDEX(IDX_SrcDate,$AF573),"—")</f>
        <v>—</v>
      </c>
      <c r="AJ573" s="32" t="n">
        <f aca="false">IF(AND(ISTEXT($AI573),LEN($AI573)=10),IF(ISNUMBER(VALUE(SUBSTITUTE($AI573,"-",""))),VALUE(SUBSTITUTE($AI573,"-","")),0),0)</f>
        <v>0</v>
      </c>
    </row>
    <row r="574" customFormat="false" ht="57.75" hidden="false" customHeight="true" outlineLevel="0" collapsed="false">
      <c r="A574" s="30" t="s">
        <v>6090</v>
      </c>
      <c r="B574" s="239" t="s">
        <v>6091</v>
      </c>
      <c r="C574" s="30" t="s">
        <v>5012</v>
      </c>
      <c r="D574" s="30" t="s">
        <v>6092</v>
      </c>
      <c r="E574" s="20" t="s">
        <v>6093</v>
      </c>
      <c r="F574" s="30" t="s">
        <v>114</v>
      </c>
      <c r="G574" s="239" t="s">
        <v>5287</v>
      </c>
      <c r="H574" s="30" t="s">
        <v>751</v>
      </c>
      <c r="I574" s="6" t="s">
        <v>751</v>
      </c>
      <c r="J574" s="30" t="s">
        <v>751</v>
      </c>
      <c r="K574" s="239" t="n">
        <v>4</v>
      </c>
      <c r="L574" s="239" t="n">
        <v>130</v>
      </c>
      <c r="M574" s="30" t="s">
        <v>6094</v>
      </c>
      <c r="N574" s="6" t="s">
        <v>6095</v>
      </c>
      <c r="O574" s="6" t="s">
        <v>751</v>
      </c>
      <c r="P574" s="30" t="s">
        <v>751</v>
      </c>
      <c r="Q574" s="184" t="s">
        <v>751</v>
      </c>
      <c r="R574" s="30" t="s">
        <v>751</v>
      </c>
      <c r="S574" s="44" t="str">
        <f aca="false">IF(ISNUMBER($AF574),INDEX(IDX_SrcStat,$AF574),"—")</f>
        <v>—</v>
      </c>
      <c r="T574" s="44" t="str">
        <f aca="false">IF(ISNUMBER($AF574),INDEX(IDX_SrcGrade,$AF574),"—")</f>
        <v>—</v>
      </c>
      <c r="U574" s="30" t="s">
        <v>751</v>
      </c>
      <c r="V574" s="32" t="n">
        <f aca="false">IF(AND($F574="原始數據",$U574&lt;&gt;"連結 SRC"),1,0)</f>
        <v>0</v>
      </c>
      <c r="W574" s="32" t="n">
        <f aca="false">IF(AND($F574="Analogy",OR($H574="—",$H574="")),1,0)</f>
        <v>0</v>
      </c>
      <c r="X574" s="32" t="n">
        <f aca="false">IF(AND(OR($F574="Analogy",$F574="Assumed"),$G574&lt;&gt;"低",$G574&lt;&gt;"高",NOT(ISNUMBER($K574)),NOT(ISNUMBER($L574)),OR($M574="—",$M574="")),1,0)</f>
        <v>0</v>
      </c>
      <c r="Y574" s="32" t="n">
        <f aca="false">IF(AND(OR($F574="Analogy",$F574="Assumed",$F574="Derived（待改公式）",$F574="Derived（公式）"),OR($N574="—",$N574="",$N574=0)),1,0)</f>
        <v>0</v>
      </c>
      <c r="Z574" s="32" t="n">
        <f aca="false">IF(AND($F574="Decision",OR($J574="—",$J574="")),1,0)</f>
        <v>0</v>
      </c>
      <c r="AA574" s="33" t="n">
        <f aca="false">IF(OR($J574="—",$J574=""),0,IF(COUNTIF(Decisions!$A$5:$A$300,$J574)=0,1,0))</f>
        <v>0</v>
      </c>
      <c r="AB574" s="32" t="n">
        <f aca="false">IF(AND($F574="原始數據",$S574&lt;&gt;"Active"),1,0)</f>
        <v>0</v>
      </c>
      <c r="AC574" s="32" t="n">
        <f aca="false">IF(AND(ISNUMBER($K574),ISNUMBER($L574),ISNUMBER($Q574)),IF(OR($Q574&lt;MIN($K574,$L574),$Q574&gt;MAX($K574,$L574)),1,0),0)</f>
        <v>0</v>
      </c>
      <c r="AD574" s="32" t="n">
        <f aca="false">IF(AND(ISNUMBER($T574),$P574="高"),IF($T574=3,1,0),0)</f>
        <v>0</v>
      </c>
      <c r="AE574" s="32" t="n">
        <f aca="false">IF($S574="不存在",1,0)</f>
        <v>0</v>
      </c>
      <c r="AF574" s="44" t="str">
        <f aca="false">IF(OR($H574="—",$H574=""),"—",MATCH($H574,IDX_SrcID,0))</f>
        <v>—</v>
      </c>
      <c r="AG574" s="32" t="n">
        <f aca="false">IF(AND($P574="高",OR($AD574=1,$X574=1)),1,0)</f>
        <v>0</v>
      </c>
      <c r="AH574" s="32" t="n">
        <f aca="false">IF(AND($P574="高",$AG574=0,OR($F574&lt;&gt;"原始數據",$T574&lt;&gt;1)),1,0)</f>
        <v>0</v>
      </c>
      <c r="AI574" s="44" t="str">
        <f aca="false">IF(AND($P574="高",ISNUMBER($AF574)),INDEX(IDX_SrcDate,$AF574),"—")</f>
        <v>—</v>
      </c>
      <c r="AJ574" s="32" t="n">
        <f aca="false">IF(AND(ISTEXT($AI574),LEN($AI574)=10),IF(ISNUMBER(VALUE(SUBSTITUTE($AI574,"-",""))),VALUE(SUBSTITUTE($AI574,"-","")),0),0)</f>
        <v>0</v>
      </c>
    </row>
    <row r="575" customFormat="false" ht="43.5" hidden="false" customHeight="true" outlineLevel="0" collapsed="false">
      <c r="A575" s="30" t="s">
        <v>6096</v>
      </c>
      <c r="B575" s="239" t="s">
        <v>6091</v>
      </c>
      <c r="C575" s="30" t="s">
        <v>5012</v>
      </c>
      <c r="D575" s="30" t="s">
        <v>4656</v>
      </c>
      <c r="E575" s="6" t="s">
        <v>339</v>
      </c>
      <c r="F575" s="30" t="s">
        <v>119</v>
      </c>
      <c r="G575" s="239" t="s">
        <v>4527</v>
      </c>
      <c r="H575" s="30" t="s">
        <v>5427</v>
      </c>
      <c r="I575" s="20" t="s">
        <v>6097</v>
      </c>
      <c r="J575" s="30" t="s">
        <v>751</v>
      </c>
      <c r="K575" s="239"/>
      <c r="L575" s="239"/>
      <c r="M575" s="239" t="s">
        <v>4352</v>
      </c>
      <c r="N575" s="6" t="s">
        <v>6098</v>
      </c>
      <c r="O575" s="6" t="s">
        <v>751</v>
      </c>
      <c r="P575" s="239" t="s">
        <v>1308</v>
      </c>
      <c r="Q575" s="49" t="n">
        <f aca="false">Arch!E35</f>
        <v>576</v>
      </c>
      <c r="R575" s="184" t="n">
        <f aca="false">SRC_MOD_028</f>
        <v>576</v>
      </c>
      <c r="S575" s="44" t="str">
        <f aca="false">IF(ISNUMBER($AF575),INDEX(IDX_SrcStat,$AF575),"—")</f>
        <v>Active</v>
      </c>
      <c r="T575" s="44" t="n">
        <f aca="false">IF(ISNUMBER($AF575),INDEX(IDX_SrcGrade,$AF575),"—")</f>
        <v>3</v>
      </c>
      <c r="U575" s="44" t="s">
        <v>4531</v>
      </c>
      <c r="V575" s="32" t="n">
        <f aca="false">IF(AND($F575="原始數據",$U575&lt;&gt;"連結 SRC"),1,0)</f>
        <v>0</v>
      </c>
      <c r="W575" s="32" t="n">
        <f aca="false">IF(AND($F575="Analogy",OR($H575="—",$H575="")),1,0)</f>
        <v>0</v>
      </c>
      <c r="X575" s="32" t="n">
        <f aca="false">IF(AND(OR($F575="Analogy",$F575="Assumed"),$G575&lt;&gt;"低",$G575&lt;&gt;"高",NOT(ISNUMBER($K575)),NOT(ISNUMBER($L575)),OR($M575="—",$M575="")),1,0)</f>
        <v>0</v>
      </c>
      <c r="Y575" s="32" t="n">
        <f aca="false">IF(AND(OR($F575="Analogy",$F575="Assumed",$F575="Derived（待改公式）",$F575="Derived（公式）"),OR($N575="—",$N575="",$N575=0)),1,0)</f>
        <v>0</v>
      </c>
      <c r="Z575" s="32" t="n">
        <f aca="false">IF(AND($F575="Decision",OR($J575="—",$J575="")),1,0)</f>
        <v>0</v>
      </c>
      <c r="AA575" s="33" t="n">
        <f aca="false">IF(OR($J575="—",$J575=""),0,IF(COUNTIF(Decisions!$A$5:$A$300,$J575)=0,1,0))</f>
        <v>0</v>
      </c>
      <c r="AB575" s="32" t="n">
        <f aca="false">IF(AND($F575="原始數據",$S575&lt;&gt;"Active"),1,0)</f>
        <v>0</v>
      </c>
      <c r="AC575" s="32" t="n">
        <f aca="false">IF(AND(ISNUMBER($K575),ISNUMBER($L575),ISNUMBER($Q575)),IF(OR($Q575&lt;MIN($K575,$L575),$Q575&gt;MAX($K575,$L575)),1,0),0)</f>
        <v>0</v>
      </c>
      <c r="AD575" s="32" t="n">
        <f aca="false">IF(AND(ISNUMBER($T575),$P575="高"),IF($T575=3,1,0),0)</f>
        <v>0</v>
      </c>
      <c r="AE575" s="32" t="n">
        <f aca="false">IF($S575="不存在",1,0)</f>
        <v>0</v>
      </c>
      <c r="AF575" s="44" t="n">
        <f aca="false">IF(OR($H575="—",$H575=""),"—",MATCH($H575,IDX_SrcID,0))</f>
        <v>211</v>
      </c>
      <c r="AG575" s="32" t="n">
        <f aca="false">IF(AND($P575="高",OR($AD575=1,$X575=1)),1,0)</f>
        <v>0</v>
      </c>
      <c r="AH575" s="32" t="n">
        <f aca="false">IF(AND($P575="高",$AG575=0,OR($F575&lt;&gt;"原始數據",$T575&lt;&gt;1)),1,0)</f>
        <v>0</v>
      </c>
      <c r="AI575" s="44" t="str">
        <f aca="false">IF(AND($P575="高",ISNUMBER($AF575)),INDEX(IDX_SrcDate,$AF575),"—")</f>
        <v>—</v>
      </c>
      <c r="AJ575" s="32" t="n">
        <f aca="false">IF(AND(ISTEXT($AI575),LEN($AI575)=10),IF(ISNUMBER(VALUE(SUBSTITUTE($AI575,"-",""))),VALUE(SUBSTITUTE($AI575,"-","")),0),0)</f>
        <v>0</v>
      </c>
    </row>
    <row r="576" customFormat="false" ht="29.25" hidden="false" customHeight="true" outlineLevel="0" collapsed="false">
      <c r="A576" s="30" t="s">
        <v>6099</v>
      </c>
      <c r="B576" s="239" t="s">
        <v>6091</v>
      </c>
      <c r="C576" s="30" t="s">
        <v>5012</v>
      </c>
      <c r="D576" s="30" t="s">
        <v>6100</v>
      </c>
      <c r="E576" s="6" t="s">
        <v>342</v>
      </c>
      <c r="F576" s="30" t="s">
        <v>114</v>
      </c>
      <c r="G576" s="239" t="s">
        <v>4527</v>
      </c>
      <c r="H576" s="30" t="s">
        <v>751</v>
      </c>
      <c r="I576" s="6" t="s">
        <v>751</v>
      </c>
      <c r="J576" s="30" t="s">
        <v>751</v>
      </c>
      <c r="K576" s="241" t="n">
        <v>0.15</v>
      </c>
      <c r="L576" s="241" t="n">
        <v>0.5</v>
      </c>
      <c r="M576" s="30" t="s">
        <v>6101</v>
      </c>
      <c r="N576" s="6" t="s">
        <v>6102</v>
      </c>
      <c r="O576" s="6" t="s">
        <v>751</v>
      </c>
      <c r="P576" s="239" t="s">
        <v>4530</v>
      </c>
      <c r="Q576" s="194" t="n">
        <f aca="false">Arch!E36</f>
        <v>0.26</v>
      </c>
      <c r="R576" s="30" t="s">
        <v>751</v>
      </c>
      <c r="S576" s="44" t="str">
        <f aca="false">IF(ISNUMBER($AF576),INDEX(IDX_SrcStat,$AF576),"—")</f>
        <v>—</v>
      </c>
      <c r="T576" s="44" t="str">
        <f aca="false">IF(ISNUMBER($AF576),INDEX(IDX_SrcGrade,$AF576),"—")</f>
        <v>—</v>
      </c>
      <c r="U576" s="44" t="s">
        <v>4531</v>
      </c>
      <c r="V576" s="32" t="n">
        <f aca="false">IF(AND($F576="原始數據",$U576&lt;&gt;"連結 SRC"),1,0)</f>
        <v>0</v>
      </c>
      <c r="W576" s="32" t="n">
        <f aca="false">IF(AND($F576="Analogy",OR($H576="—",$H576="")),1,0)</f>
        <v>0</v>
      </c>
      <c r="X576" s="32" t="n">
        <f aca="false">IF(AND(OR($F576="Analogy",$F576="Assumed"),$G576&lt;&gt;"低",$G576&lt;&gt;"高",NOT(ISNUMBER($K576)),NOT(ISNUMBER($L576)),OR($M576="—",$M576="")),1,0)</f>
        <v>0</v>
      </c>
      <c r="Y576" s="32" t="n">
        <f aca="false">IF(AND(OR($F576="Analogy",$F576="Assumed",$F576="Derived（待改公式）",$F576="Derived（公式）"),OR($N576="—",$N576="",$N576=0)),1,0)</f>
        <v>0</v>
      </c>
      <c r="Z576" s="32" t="n">
        <f aca="false">IF(AND($F576="Decision",OR($J576="—",$J576="")),1,0)</f>
        <v>0</v>
      </c>
      <c r="AA576" s="33" t="n">
        <f aca="false">IF(OR($J576="—",$J576=""),0,IF(COUNTIF(Decisions!$A$5:$A$300,$J576)=0,1,0))</f>
        <v>0</v>
      </c>
      <c r="AB576" s="32" t="n">
        <f aca="false">IF(AND($F576="原始數據",$S576&lt;&gt;"Active"),1,0)</f>
        <v>0</v>
      </c>
      <c r="AC576" s="32" t="n">
        <f aca="false">IF(AND(ISNUMBER($K576),ISNUMBER($L576),ISNUMBER($Q576)),IF(OR($Q576&lt;MIN($K576,$L576),$Q576&gt;MAX($K576,$L576)),1,0),0)</f>
        <v>0</v>
      </c>
      <c r="AD576" s="32" t="n">
        <f aca="false">IF(AND(ISNUMBER($T576),$P576="高"),IF($T576=3,1,0),0)</f>
        <v>0</v>
      </c>
      <c r="AE576" s="32" t="n">
        <f aca="false">IF($S576="不存在",1,0)</f>
        <v>0</v>
      </c>
      <c r="AF576" s="44" t="str">
        <f aca="false">IF(OR($H576="—",$H576=""),"—",MATCH($H576,IDX_SrcID,0))</f>
        <v>—</v>
      </c>
      <c r="AG576" s="32" t="n">
        <f aca="false">IF(AND($P576="高",OR($AD576=1,$X576=1)),1,0)</f>
        <v>0</v>
      </c>
      <c r="AH576" s="32" t="n">
        <f aca="false">IF(AND($P576="高",$AG576=0,OR($F576&lt;&gt;"原始數據",$T576&lt;&gt;1)),1,0)</f>
        <v>0</v>
      </c>
      <c r="AI576" s="44" t="str">
        <f aca="false">IF(AND($P576="高",ISNUMBER($AF576)),INDEX(IDX_SrcDate,$AF576),"—")</f>
        <v>—</v>
      </c>
      <c r="AJ576" s="32" t="n">
        <f aca="false">IF(AND(ISTEXT($AI576),LEN($AI576)=10),IF(ISNUMBER(VALUE(SUBSTITUTE($AI576,"-",""))),VALUE(SUBSTITUTE($AI576,"-","")),0),0)</f>
        <v>0</v>
      </c>
    </row>
    <row r="577" customFormat="false" ht="29.25" hidden="false" customHeight="true" outlineLevel="0" collapsed="false">
      <c r="A577" s="30" t="s">
        <v>6103</v>
      </c>
      <c r="B577" s="239" t="s">
        <v>6091</v>
      </c>
      <c r="C577" s="30" t="s">
        <v>5012</v>
      </c>
      <c r="D577" s="30" t="s">
        <v>6104</v>
      </c>
      <c r="E577" s="6" t="s">
        <v>344</v>
      </c>
      <c r="F577" s="30" t="s">
        <v>114</v>
      </c>
      <c r="G577" s="239" t="s">
        <v>4527</v>
      </c>
      <c r="H577" s="30" t="s">
        <v>751</v>
      </c>
      <c r="I577" s="6" t="s">
        <v>751</v>
      </c>
      <c r="J577" s="30" t="s">
        <v>751</v>
      </c>
      <c r="K577" s="239"/>
      <c r="L577" s="239"/>
      <c r="M577" s="239" t="s">
        <v>4352</v>
      </c>
      <c r="N577" s="6" t="s">
        <v>6105</v>
      </c>
      <c r="O577" s="6" t="s">
        <v>751</v>
      </c>
      <c r="P577" s="239" t="s">
        <v>4530</v>
      </c>
      <c r="Q577" s="49" t="n">
        <f aca="false">Arch!E37</f>
        <v>8</v>
      </c>
      <c r="R577" s="30" t="s">
        <v>751</v>
      </c>
      <c r="S577" s="44" t="str">
        <f aca="false">IF(ISNUMBER($AF577),INDEX(IDX_SrcStat,$AF577),"—")</f>
        <v>—</v>
      </c>
      <c r="T577" s="44" t="str">
        <f aca="false">IF(ISNUMBER($AF577),INDEX(IDX_SrcGrade,$AF577),"—")</f>
        <v>—</v>
      </c>
      <c r="U577" s="44" t="s">
        <v>4531</v>
      </c>
      <c r="V577" s="32" t="n">
        <f aca="false">IF(AND($F577="原始數據",$U577&lt;&gt;"連結 SRC"),1,0)</f>
        <v>0</v>
      </c>
      <c r="W577" s="32" t="n">
        <f aca="false">IF(AND($F577="Analogy",OR($H577="—",$H577="")),1,0)</f>
        <v>0</v>
      </c>
      <c r="X577" s="32" t="n">
        <f aca="false">IF(AND(OR($F577="Analogy",$F577="Assumed"),$G577&lt;&gt;"低",$G577&lt;&gt;"高",NOT(ISNUMBER($K577)),NOT(ISNUMBER($L577)),OR($M577="—",$M577="")),1,0)</f>
        <v>0</v>
      </c>
      <c r="Y577" s="32" t="n">
        <f aca="false">IF(AND(OR($F577="Analogy",$F577="Assumed",$F577="Derived（待改公式）",$F577="Derived（公式）"),OR($N577="—",$N577="",$N577=0)),1,0)</f>
        <v>0</v>
      </c>
      <c r="Z577" s="32" t="n">
        <f aca="false">IF(AND($F577="Decision",OR($J577="—",$J577="")),1,0)</f>
        <v>0</v>
      </c>
      <c r="AA577" s="33" t="n">
        <f aca="false">IF(OR($J577="—",$J577=""),0,IF(COUNTIF(Decisions!$A$5:$A$300,$J577)=0,1,0))</f>
        <v>0</v>
      </c>
      <c r="AB577" s="32" t="n">
        <f aca="false">IF(AND($F577="原始數據",$S577&lt;&gt;"Active"),1,0)</f>
        <v>0</v>
      </c>
      <c r="AC577" s="32" t="n">
        <f aca="false">IF(AND(ISNUMBER($K577),ISNUMBER($L577),ISNUMBER($Q577)),IF(OR($Q577&lt;MIN($K577,$L577),$Q577&gt;MAX($K577,$L577)),1,0),0)</f>
        <v>0</v>
      </c>
      <c r="AD577" s="32" t="n">
        <f aca="false">IF(AND(ISNUMBER($T577),$P577="高"),IF($T577=3,1,0),0)</f>
        <v>0</v>
      </c>
      <c r="AE577" s="32" t="n">
        <f aca="false">IF($S577="不存在",1,0)</f>
        <v>0</v>
      </c>
      <c r="AF577" s="44" t="str">
        <f aca="false">IF(OR($H577="—",$H577=""),"—",MATCH($H577,IDX_SrcID,0))</f>
        <v>—</v>
      </c>
      <c r="AG577" s="32" t="n">
        <f aca="false">IF(AND($P577="高",OR($AD577=1,$X577=1)),1,0)</f>
        <v>0</v>
      </c>
      <c r="AH577" s="32" t="n">
        <f aca="false">IF(AND($P577="高",$AG577=0,OR($F577&lt;&gt;"原始數據",$T577&lt;&gt;1)),1,0)</f>
        <v>0</v>
      </c>
      <c r="AI577" s="44" t="str">
        <f aca="false">IF(AND($P577="高",ISNUMBER($AF577)),INDEX(IDX_SrcDate,$AF577),"—")</f>
        <v>—</v>
      </c>
      <c r="AJ577" s="32" t="n">
        <f aca="false">IF(AND(ISTEXT($AI577),LEN($AI577)=10),IF(ISNUMBER(VALUE(SUBSTITUTE($AI577,"-",""))),VALUE(SUBSTITUTE($AI577,"-","")),0),0)</f>
        <v>0</v>
      </c>
    </row>
    <row r="578" customFormat="false" ht="29.25" hidden="false" customHeight="true" outlineLevel="0" collapsed="false">
      <c r="A578" s="30" t="s">
        <v>6106</v>
      </c>
      <c r="B578" s="239" t="s">
        <v>6091</v>
      </c>
      <c r="C578" s="30" t="s">
        <v>5012</v>
      </c>
      <c r="D578" s="30" t="s">
        <v>5691</v>
      </c>
      <c r="E578" s="6" t="s">
        <v>347</v>
      </c>
      <c r="F578" s="239" t="s">
        <v>348</v>
      </c>
      <c r="G578" s="239" t="s">
        <v>4527</v>
      </c>
      <c r="H578" s="30" t="s">
        <v>4913</v>
      </c>
      <c r="I578" s="20" t="s">
        <v>4562</v>
      </c>
      <c r="J578" s="30" t="s">
        <v>751</v>
      </c>
      <c r="K578" s="239"/>
      <c r="L578" s="239"/>
      <c r="M578" s="30" t="s">
        <v>751</v>
      </c>
      <c r="N578" s="6" t="s">
        <v>6107</v>
      </c>
      <c r="O578" s="6" t="s">
        <v>751</v>
      </c>
      <c r="P578" s="239" t="s">
        <v>1308</v>
      </c>
      <c r="Q578" s="49" t="n">
        <f aca="false">Arch!C38</f>
        <v>1</v>
      </c>
      <c r="R578" s="184" t="n">
        <f aca="false">SRC_HW_055</f>
        <v>1</v>
      </c>
      <c r="S578" s="44" t="str">
        <f aca="false">IF(ISNUMBER($AF578),INDEX(IDX_SrcStat,$AF578),"—")</f>
        <v>Active</v>
      </c>
      <c r="T578" s="44" t="n">
        <f aca="false">IF(ISNUMBER($AF578),INDEX(IDX_SrcGrade,$AF578),"—")</f>
        <v>3</v>
      </c>
      <c r="U578" s="44" t="s">
        <v>4564</v>
      </c>
      <c r="V578" s="32" t="n">
        <f aca="false">IF(AND($F578="原始數據",$U578&lt;&gt;"連結 SRC"),1,0)</f>
        <v>0</v>
      </c>
      <c r="W578" s="32" t="n">
        <f aca="false">IF(AND($F578="Analogy",OR($H578="—",$H578="")),1,0)</f>
        <v>0</v>
      </c>
      <c r="X578" s="32" t="n">
        <f aca="false">IF(AND(OR($F578="Analogy",$F578="Assumed"),$G578&lt;&gt;"低",$G578&lt;&gt;"高",NOT(ISNUMBER($K578)),NOT(ISNUMBER($L578)),OR($M578="—",$M578="")),1,0)</f>
        <v>0</v>
      </c>
      <c r="Y578" s="32" t="n">
        <f aca="false">IF(AND(OR($F578="Analogy",$F578="Assumed",$F578="Derived（待改公式）",$F578="Derived（公式）"),OR($N578="—",$N578="",$N578=0)),1,0)</f>
        <v>0</v>
      </c>
      <c r="Z578" s="32" t="n">
        <f aca="false">IF(AND($F578="Decision",OR($J578="—",$J578="")),1,0)</f>
        <v>0</v>
      </c>
      <c r="AA578" s="33" t="n">
        <f aca="false">IF(OR($J578="—",$J578=""),0,IF(COUNTIF(Decisions!$A$5:$A$300,$J578)=0,1,0))</f>
        <v>0</v>
      </c>
      <c r="AB578" s="32" t="n">
        <f aca="false">IF(AND($F578="原始數據",$S578&lt;&gt;"Active"),1,0)</f>
        <v>0</v>
      </c>
      <c r="AC578" s="32" t="n">
        <f aca="false">IF(AND(ISNUMBER($K578),ISNUMBER($L578),ISNUMBER($Q578)),IF(OR($Q578&lt;MIN($K578,$L578),$Q578&gt;MAX($K578,$L578)),1,0),0)</f>
        <v>0</v>
      </c>
      <c r="AD578" s="32" t="n">
        <f aca="false">IF(AND(ISNUMBER($T578),$P578="高"),IF($T578=3,1,0),0)</f>
        <v>0</v>
      </c>
      <c r="AE578" s="32" t="n">
        <f aca="false">IF($S578="不存在",1,0)</f>
        <v>0</v>
      </c>
      <c r="AF578" s="44" t="n">
        <f aca="false">IF(OR($H578="—",$H578=""),"—",MATCH($H578,IDX_SrcID,0))</f>
        <v>55</v>
      </c>
      <c r="AG578" s="32" t="n">
        <f aca="false">IF(AND($P578="高",OR($AD578=1,$X578=1)),1,0)</f>
        <v>0</v>
      </c>
      <c r="AH578" s="32" t="n">
        <f aca="false">IF(AND($P578="高",$AG578=0,OR($F578&lt;&gt;"原始數據",$T578&lt;&gt;1)),1,0)</f>
        <v>0</v>
      </c>
      <c r="AI578" s="44" t="str">
        <f aca="false">IF(AND($P578="高",ISNUMBER($AF578)),INDEX(IDX_SrcDate,$AF578),"—")</f>
        <v>—</v>
      </c>
      <c r="AJ578" s="32" t="n">
        <f aca="false">IF(AND(ISTEXT($AI578),LEN($AI578)=10),IF(ISNUMBER(VALUE(SUBSTITUTE($AI578,"-",""))),VALUE(SUBSTITUTE($AI578,"-","")),0),0)</f>
        <v>0</v>
      </c>
    </row>
    <row r="579" customFormat="false" ht="26.25" hidden="false" customHeight="true" outlineLevel="0" collapsed="false">
      <c r="A579" s="30" t="s">
        <v>6108</v>
      </c>
      <c r="B579" s="239" t="s">
        <v>6109</v>
      </c>
      <c r="C579" s="30" t="s">
        <v>6110</v>
      </c>
      <c r="D579" s="30" t="s">
        <v>5192</v>
      </c>
      <c r="E579" s="20" t="s">
        <v>2423</v>
      </c>
      <c r="F579" s="30" t="s">
        <v>104</v>
      </c>
      <c r="G579" s="239" t="s">
        <v>4527</v>
      </c>
      <c r="H579" s="30" t="s">
        <v>751</v>
      </c>
      <c r="I579" s="6" t="s">
        <v>751</v>
      </c>
      <c r="J579" s="30" t="s">
        <v>6111</v>
      </c>
      <c r="K579" s="239"/>
      <c r="L579" s="239"/>
      <c r="M579" s="239" t="s">
        <v>4352</v>
      </c>
      <c r="N579" s="6" t="s">
        <v>6112</v>
      </c>
      <c r="O579" s="6" t="s">
        <v>751</v>
      </c>
      <c r="P579" s="239" t="s">
        <v>4530</v>
      </c>
      <c r="Q579" s="184" t="str">
        <f aca="false">Alloc_In!C5</f>
        <v>OpenAI</v>
      </c>
      <c r="R579" s="30" t="s">
        <v>751</v>
      </c>
      <c r="S579" s="44" t="str">
        <f aca="false">IF(ISNUMBER($AF579),INDEX(IDX_SrcStat,$AF579),"—")</f>
        <v>—</v>
      </c>
      <c r="T579" s="44" t="str">
        <f aca="false">IF(ISNUMBER($AF579),INDEX(IDX_SrcGrade,$AF579),"—")</f>
        <v>—</v>
      </c>
      <c r="U579" s="44" t="s">
        <v>4531</v>
      </c>
      <c r="V579" s="32" t="n">
        <f aca="false">IF(AND($F579="原始數據",$U579&lt;&gt;"連結 SRC"),1,0)</f>
        <v>0</v>
      </c>
      <c r="W579" s="32" t="n">
        <f aca="false">IF(AND($F579="Analogy",OR($H579="—",$H579="")),1,0)</f>
        <v>0</v>
      </c>
      <c r="X579" s="32" t="n">
        <f aca="false">IF(AND(OR($F579="Analogy",$F579="Assumed"),$G579&lt;&gt;"低",$G579&lt;&gt;"高",NOT(ISNUMBER($K579)),NOT(ISNUMBER($L579)),OR($M579="—",$M579="")),1,0)</f>
        <v>0</v>
      </c>
      <c r="Y579" s="32" t="n">
        <f aca="false">IF(AND(OR($F579="Analogy",$F579="Assumed",$F579="Derived（待改公式）",$F579="Derived（公式）"),OR($N579="—",$N579="",$N579=0)),1,0)</f>
        <v>0</v>
      </c>
      <c r="Z579" s="32" t="n">
        <f aca="false">IF(AND($F579="Decision",OR($J579="—",$J579="")),1,0)</f>
        <v>0</v>
      </c>
      <c r="AA579" s="33" t="n">
        <f aca="false">IF(OR($J579="—",$J579=""),0,IF(COUNTIF(Decisions!$A$5:$A$300,$J579)=0,1,0))</f>
        <v>0</v>
      </c>
      <c r="AB579" s="32" t="n">
        <f aca="false">IF(AND($F579="原始數據",$S579&lt;&gt;"Active"),1,0)</f>
        <v>0</v>
      </c>
      <c r="AC579" s="32" t="n">
        <f aca="false">IF(AND(ISNUMBER($K579),ISNUMBER($L579),ISNUMBER($Q579)),IF(OR($Q579&lt;MIN($K579,$L579),$Q579&gt;MAX($K579,$L579)),1,0),0)</f>
        <v>0</v>
      </c>
      <c r="AD579" s="32" t="n">
        <f aca="false">IF(AND(ISNUMBER($T579),$P579="高"),IF($T579=3,1,0),0)</f>
        <v>0</v>
      </c>
      <c r="AE579" s="32" t="n">
        <f aca="false">IF($S579="不存在",1,0)</f>
        <v>0</v>
      </c>
      <c r="AF579" s="44" t="str">
        <f aca="false">IF(OR($H579="—",$H579=""),"—",MATCH($H579,IDX_SrcID,0))</f>
        <v>—</v>
      </c>
      <c r="AG579" s="32" t="n">
        <f aca="false">IF(AND($P579="高",OR($AD579=1,$X579=1)),1,0)</f>
        <v>0</v>
      </c>
      <c r="AH579" s="32" t="n">
        <f aca="false">IF(AND($P579="高",$AG579=0,OR($F579&lt;&gt;"原始數據",$T579&lt;&gt;1)),1,0)</f>
        <v>0</v>
      </c>
      <c r="AI579" s="44" t="str">
        <f aca="false">IF(AND($P579="高",ISNUMBER($AF579)),INDEX(IDX_SrcDate,$AF579),"—")</f>
        <v>—</v>
      </c>
      <c r="AJ579" s="32" t="n">
        <f aca="false">IF(AND(ISTEXT($AI579),LEN($AI579)=10),IF(ISNUMBER(VALUE(SUBSTITUTE($AI579,"-",""))),VALUE(SUBSTITUTE($AI579,"-","")),0),0)</f>
        <v>0</v>
      </c>
    </row>
    <row r="580" customFormat="false" ht="26.25" hidden="false" customHeight="true" outlineLevel="0" collapsed="false">
      <c r="A580" s="30" t="s">
        <v>6113</v>
      </c>
      <c r="B580" s="239" t="s">
        <v>6109</v>
      </c>
      <c r="C580" s="30" t="s">
        <v>6110</v>
      </c>
      <c r="D580" s="30" t="s">
        <v>4690</v>
      </c>
      <c r="E580" s="20" t="s">
        <v>6114</v>
      </c>
      <c r="F580" s="30" t="s">
        <v>114</v>
      </c>
      <c r="G580" s="239" t="s">
        <v>97</v>
      </c>
      <c r="H580" s="30" t="s">
        <v>751</v>
      </c>
      <c r="I580" s="6" t="s">
        <v>751</v>
      </c>
      <c r="J580" s="30" t="s">
        <v>751</v>
      </c>
      <c r="K580" s="199" t="n">
        <f aca="false">Alloc_In!D6</f>
        <v>1</v>
      </c>
      <c r="L580" s="199" t="n">
        <f aca="false">Alloc_In!E6</f>
        <v>2</v>
      </c>
      <c r="M580" s="30" t="s">
        <v>751</v>
      </c>
      <c r="N580" s="6" t="s">
        <v>6115</v>
      </c>
      <c r="O580" s="6" t="s">
        <v>751</v>
      </c>
      <c r="P580" s="239" t="s">
        <v>1309</v>
      </c>
      <c r="Q580" s="199" t="n">
        <f aca="false">Alloc_In!C6</f>
        <v>1</v>
      </c>
      <c r="R580" s="30" t="s">
        <v>751</v>
      </c>
      <c r="S580" s="44" t="str">
        <f aca="false">IF(ISNUMBER($AF580),INDEX(IDX_SrcStat,$AF580),"—")</f>
        <v>—</v>
      </c>
      <c r="T580" s="44" t="str">
        <f aca="false">IF(ISNUMBER($AF580),INDEX(IDX_SrcGrade,$AF580),"—")</f>
        <v>—</v>
      </c>
      <c r="U580" s="44" t="s">
        <v>4531</v>
      </c>
      <c r="V580" s="32" t="n">
        <f aca="false">IF(AND($F580="原始數據",$U580&lt;&gt;"連結 SRC"),1,0)</f>
        <v>0</v>
      </c>
      <c r="W580" s="32" t="n">
        <f aca="false">IF(AND($F580="Analogy",OR($H580="—",$H580="")),1,0)</f>
        <v>0</v>
      </c>
      <c r="X580" s="32" t="n">
        <f aca="false">IF(AND(OR($F580="Analogy",$F580="Assumed"),$G580&lt;&gt;"低",$G580&lt;&gt;"高",NOT(ISNUMBER($K580)),NOT(ISNUMBER($L580)),OR($M580="—",$M580="")),1,0)</f>
        <v>0</v>
      </c>
      <c r="Y580" s="32" t="n">
        <f aca="false">IF(AND(OR($F580="Analogy",$F580="Assumed",$F580="Derived（待改公式）",$F580="Derived（公式）"),OR($N580="—",$N580="",$N580=0)),1,0)</f>
        <v>0</v>
      </c>
      <c r="Z580" s="32" t="n">
        <f aca="false">IF(AND($F580="Decision",OR($J580="—",$J580="")),1,0)</f>
        <v>0</v>
      </c>
      <c r="AA580" s="33" t="n">
        <f aca="false">IF(OR($J580="—",$J580=""),0,IF(COUNTIF(Decisions!$A$5:$A$300,$J580)=0,1,0))</f>
        <v>0</v>
      </c>
      <c r="AB580" s="32" t="n">
        <f aca="false">IF(AND($F580="原始數據",$S580&lt;&gt;"Active"),1,0)</f>
        <v>0</v>
      </c>
      <c r="AC580" s="32" t="n">
        <f aca="false">IF(AND(ISNUMBER($K580),ISNUMBER($L580),ISNUMBER($Q580)),IF(OR($Q580&lt;MIN($K580,$L580),$Q580&gt;MAX($K580,$L580)),1,0),0)</f>
        <v>0</v>
      </c>
      <c r="AD580" s="32" t="n">
        <f aca="false">IF(AND(ISNUMBER($T580),$P580="高"),IF($T580=3,1,0),0)</f>
        <v>0</v>
      </c>
      <c r="AE580" s="32" t="n">
        <f aca="false">IF($S580="不存在",1,0)</f>
        <v>0</v>
      </c>
      <c r="AF580" s="44" t="str">
        <f aca="false">IF(OR($H580="—",$H580=""),"—",MATCH($H580,IDX_SrcID,0))</f>
        <v>—</v>
      </c>
      <c r="AG580" s="32" t="n">
        <f aca="false">IF(AND($P580="高",OR($AD580=1,$X580=1)),1,0)</f>
        <v>0</v>
      </c>
      <c r="AH580" s="32" t="n">
        <f aca="false">IF(AND($P580="高",$AG580=0,OR($F580&lt;&gt;"原始數據",$T580&lt;&gt;1)),1,0)</f>
        <v>1</v>
      </c>
      <c r="AI580" s="44" t="str">
        <f aca="false">IF(AND($P580="高",ISNUMBER($AF580)),INDEX(IDX_SrcDate,$AF580),"—")</f>
        <v>—</v>
      </c>
      <c r="AJ580" s="32" t="n">
        <f aca="false">IF(AND(ISTEXT($AI580),LEN($AI580)=10),IF(ISNUMBER(VALUE(SUBSTITUTE($AI580,"-",""))),VALUE(SUBSTITUTE($AI580,"-","")),0),0)</f>
        <v>0</v>
      </c>
    </row>
    <row r="581" customFormat="false" ht="26.25" hidden="false" customHeight="true" outlineLevel="0" collapsed="false">
      <c r="A581" s="30" t="s">
        <v>6116</v>
      </c>
      <c r="B581" s="239" t="s">
        <v>6109</v>
      </c>
      <c r="C581" s="30" t="s">
        <v>6110</v>
      </c>
      <c r="D581" s="30" t="s">
        <v>6117</v>
      </c>
      <c r="E581" s="20" t="s">
        <v>6114</v>
      </c>
      <c r="F581" s="30" t="s">
        <v>114</v>
      </c>
      <c r="G581" s="239" t="s">
        <v>5614</v>
      </c>
      <c r="H581" s="30" t="s">
        <v>751</v>
      </c>
      <c r="I581" s="6" t="s">
        <v>751</v>
      </c>
      <c r="J581" s="30" t="s">
        <v>751</v>
      </c>
      <c r="K581" s="239"/>
      <c r="L581" s="239"/>
      <c r="M581" s="30" t="s">
        <v>6118</v>
      </c>
      <c r="N581" s="6" t="s">
        <v>6119</v>
      </c>
      <c r="O581" s="6" t="s">
        <v>751</v>
      </c>
      <c r="P581" s="30" t="s">
        <v>751</v>
      </c>
      <c r="Q581" s="184" t="s">
        <v>751</v>
      </c>
      <c r="R581" s="30" t="s">
        <v>751</v>
      </c>
      <c r="S581" s="44" t="str">
        <f aca="false">IF(ISNUMBER($AF581),INDEX(IDX_SrcStat,$AF581),"—")</f>
        <v>—</v>
      </c>
      <c r="T581" s="44" t="str">
        <f aca="false">IF(ISNUMBER($AF581),INDEX(IDX_SrcGrade,$AF581),"—")</f>
        <v>—</v>
      </c>
      <c r="U581" s="30" t="s">
        <v>751</v>
      </c>
      <c r="V581" s="32" t="n">
        <f aca="false">IF(AND($F581="原始數據",$U581&lt;&gt;"連結 SRC"),1,0)</f>
        <v>0</v>
      </c>
      <c r="W581" s="32" t="n">
        <f aca="false">IF(AND($F581="Analogy",OR($H581="—",$H581="")),1,0)</f>
        <v>0</v>
      </c>
      <c r="X581" s="32" t="n">
        <f aca="false">IF(AND(OR($F581="Analogy",$F581="Assumed"),$G581&lt;&gt;"低",$G581&lt;&gt;"高",NOT(ISNUMBER($K581)),NOT(ISNUMBER($L581)),OR($M581="—",$M581="")),1,0)</f>
        <v>0</v>
      </c>
      <c r="Y581" s="32" t="n">
        <f aca="false">IF(AND(OR($F581="Analogy",$F581="Assumed",$F581="Derived（待改公式）",$F581="Derived（公式）"),OR($N581="—",$N581="",$N581=0)),1,0)</f>
        <v>0</v>
      </c>
      <c r="Z581" s="32" t="n">
        <f aca="false">IF(AND($F581="Decision",OR($J581="—",$J581="")),1,0)</f>
        <v>0</v>
      </c>
      <c r="AA581" s="33" t="n">
        <f aca="false">IF(OR($J581="—",$J581=""),0,IF(COUNTIF(Decisions!$A$5:$A$300,$J581)=0,1,0))</f>
        <v>0</v>
      </c>
      <c r="AB581" s="32" t="n">
        <f aca="false">IF(AND($F581="原始數據",$S581&lt;&gt;"Active"),1,0)</f>
        <v>0</v>
      </c>
      <c r="AC581" s="32" t="n">
        <f aca="false">IF(AND(ISNUMBER($K581),ISNUMBER($L581),ISNUMBER($Q581)),IF(OR($Q581&lt;MIN($K581,$L581),$Q581&gt;MAX($K581,$L581)),1,0),0)</f>
        <v>0</v>
      </c>
      <c r="AD581" s="32" t="n">
        <f aca="false">IF(AND(ISNUMBER($T581),$P581="高"),IF($T581=3,1,0),0)</f>
        <v>0</v>
      </c>
      <c r="AE581" s="32" t="n">
        <f aca="false">IF($S581="不存在",1,0)</f>
        <v>0</v>
      </c>
      <c r="AF581" s="44" t="str">
        <f aca="false">IF(OR($H581="—",$H581=""),"—",MATCH($H581,IDX_SrcID,0))</f>
        <v>—</v>
      </c>
      <c r="AG581" s="32" t="n">
        <f aca="false">IF(AND($P581="高",OR($AD581=1,$X581=1)),1,0)</f>
        <v>0</v>
      </c>
      <c r="AH581" s="32" t="n">
        <f aca="false">IF(AND($P581="高",$AG581=0,OR($F581&lt;&gt;"原始數據",$T581&lt;&gt;1)),1,0)</f>
        <v>0</v>
      </c>
      <c r="AI581" s="44" t="str">
        <f aca="false">IF(AND($P581="高",ISNUMBER($AF581)),INDEX(IDX_SrcDate,$AF581),"—")</f>
        <v>—</v>
      </c>
      <c r="AJ581" s="32" t="n">
        <f aca="false">IF(AND(ISTEXT($AI581),LEN($AI581)=10),IF(ISNUMBER(VALUE(SUBSTITUTE($AI581,"-",""))),VALUE(SUBSTITUTE($AI581,"-","")),0),0)</f>
        <v>0</v>
      </c>
    </row>
    <row r="582" customFormat="false" ht="15" hidden="false" customHeight="true" outlineLevel="0" collapsed="false">
      <c r="A582" s="30" t="s">
        <v>6120</v>
      </c>
      <c r="B582" s="239" t="s">
        <v>6109</v>
      </c>
      <c r="C582" s="30" t="s">
        <v>6110</v>
      </c>
      <c r="D582" s="30" t="s">
        <v>5017</v>
      </c>
      <c r="E582" s="20" t="s">
        <v>6121</v>
      </c>
      <c r="F582" s="30" t="s">
        <v>114</v>
      </c>
      <c r="G582" s="239" t="s">
        <v>97</v>
      </c>
      <c r="H582" s="30" t="s">
        <v>751</v>
      </c>
      <c r="I582" s="6" t="s">
        <v>751</v>
      </c>
      <c r="J582" s="30" t="s">
        <v>751</v>
      </c>
      <c r="K582" s="199" t="n">
        <f aca="false">Alloc_In!D7</f>
        <v>0</v>
      </c>
      <c r="L582" s="199" t="n">
        <f aca="false">Alloc_In!E7</f>
        <v>6</v>
      </c>
      <c r="M582" s="30" t="s">
        <v>6122</v>
      </c>
      <c r="N582" s="6" t="s">
        <v>6123</v>
      </c>
      <c r="O582" s="6" t="s">
        <v>751</v>
      </c>
      <c r="P582" s="239" t="s">
        <v>1309</v>
      </c>
      <c r="Q582" s="199" t="n">
        <f aca="false">Alloc_In!C7</f>
        <v>2</v>
      </c>
      <c r="R582" s="30" t="s">
        <v>751</v>
      </c>
      <c r="S582" s="44" t="str">
        <f aca="false">IF(ISNUMBER($AF582),INDEX(IDX_SrcStat,$AF582),"—")</f>
        <v>—</v>
      </c>
      <c r="T582" s="44" t="str">
        <f aca="false">IF(ISNUMBER($AF582),INDEX(IDX_SrcGrade,$AF582),"—")</f>
        <v>—</v>
      </c>
      <c r="U582" s="44" t="s">
        <v>4531</v>
      </c>
      <c r="V582" s="32" t="n">
        <f aca="false">IF(AND($F582="原始數據",$U582&lt;&gt;"連結 SRC"),1,0)</f>
        <v>0</v>
      </c>
      <c r="W582" s="32" t="n">
        <f aca="false">IF(AND($F582="Analogy",OR($H582="—",$H582="")),1,0)</f>
        <v>0</v>
      </c>
      <c r="X582" s="32" t="n">
        <f aca="false">IF(AND(OR($F582="Analogy",$F582="Assumed"),$G582&lt;&gt;"低",$G582&lt;&gt;"高",NOT(ISNUMBER($K582)),NOT(ISNUMBER($L582)),OR($M582="—",$M582="")),1,0)</f>
        <v>0</v>
      </c>
      <c r="Y582" s="32" t="n">
        <f aca="false">IF(AND(OR($F582="Analogy",$F582="Assumed",$F582="Derived（待改公式）",$F582="Derived（公式）"),OR($N582="—",$N582="",$N582=0)),1,0)</f>
        <v>0</v>
      </c>
      <c r="Z582" s="32" t="n">
        <f aca="false">IF(AND($F582="Decision",OR($J582="—",$J582="")),1,0)</f>
        <v>0</v>
      </c>
      <c r="AA582" s="33" t="n">
        <f aca="false">IF(OR($J582="—",$J582=""),0,IF(COUNTIF(Decisions!$A$5:$A$300,$J582)=0,1,0))</f>
        <v>0</v>
      </c>
      <c r="AB582" s="32" t="n">
        <f aca="false">IF(AND($F582="原始數據",$S582&lt;&gt;"Active"),1,0)</f>
        <v>0</v>
      </c>
      <c r="AC582" s="32" t="n">
        <f aca="false">IF(AND(ISNUMBER($K582),ISNUMBER($L582),ISNUMBER($Q582)),IF(OR($Q582&lt;MIN($K582,$L582),$Q582&gt;MAX($K582,$L582)),1,0),0)</f>
        <v>0</v>
      </c>
      <c r="AD582" s="32" t="n">
        <f aca="false">IF(AND(ISNUMBER($T582),$P582="高"),IF($T582=3,1,0),0)</f>
        <v>0</v>
      </c>
      <c r="AE582" s="32" t="n">
        <f aca="false">IF($S582="不存在",1,0)</f>
        <v>0</v>
      </c>
      <c r="AF582" s="44" t="str">
        <f aca="false">IF(OR($H582="—",$H582=""),"—",MATCH($H582,IDX_SrcID,0))</f>
        <v>—</v>
      </c>
      <c r="AG582" s="32" t="n">
        <f aca="false">IF(AND($P582="高",OR($AD582=1,$X582=1)),1,0)</f>
        <v>0</v>
      </c>
      <c r="AH582" s="32" t="n">
        <f aca="false">IF(AND($P582="高",$AG582=0,OR($F582&lt;&gt;"原始數據",$T582&lt;&gt;1)),1,0)</f>
        <v>1</v>
      </c>
      <c r="AI582" s="44" t="str">
        <f aca="false">IF(AND($P582="高",ISNUMBER($AF582)),INDEX(IDX_SrcDate,$AF582),"—")</f>
        <v>—</v>
      </c>
      <c r="AJ582" s="32" t="n">
        <f aca="false">IF(AND(ISTEXT($AI582),LEN($AI582)=10),IF(ISNUMBER(VALUE(SUBSTITUTE($AI582,"-",""))),VALUE(SUBSTITUTE($AI582,"-","")),0),0)</f>
        <v>0</v>
      </c>
    </row>
    <row r="583" customFormat="false" ht="15" hidden="false" customHeight="true" outlineLevel="0" collapsed="false">
      <c r="A583" s="30" t="s">
        <v>6124</v>
      </c>
      <c r="B583" s="239" t="s">
        <v>6109</v>
      </c>
      <c r="C583" s="30" t="s">
        <v>6110</v>
      </c>
      <c r="D583" s="30" t="s">
        <v>6125</v>
      </c>
      <c r="E583" s="20" t="s">
        <v>6121</v>
      </c>
      <c r="F583" s="30" t="s">
        <v>114</v>
      </c>
      <c r="G583" s="239" t="s">
        <v>5614</v>
      </c>
      <c r="H583" s="30" t="s">
        <v>751</v>
      </c>
      <c r="I583" s="6" t="s">
        <v>751</v>
      </c>
      <c r="J583" s="30" t="s">
        <v>751</v>
      </c>
      <c r="K583" s="239"/>
      <c r="L583" s="239"/>
      <c r="M583" s="30" t="s">
        <v>6126</v>
      </c>
      <c r="N583" s="6" t="s">
        <v>6127</v>
      </c>
      <c r="O583" s="6" t="s">
        <v>751</v>
      </c>
      <c r="P583" s="30" t="s">
        <v>751</v>
      </c>
      <c r="Q583" s="184" t="s">
        <v>751</v>
      </c>
      <c r="R583" s="30" t="s">
        <v>751</v>
      </c>
      <c r="S583" s="44" t="str">
        <f aca="false">IF(ISNUMBER($AF583),INDEX(IDX_SrcStat,$AF583),"—")</f>
        <v>—</v>
      </c>
      <c r="T583" s="44" t="str">
        <f aca="false">IF(ISNUMBER($AF583),INDEX(IDX_SrcGrade,$AF583),"—")</f>
        <v>—</v>
      </c>
      <c r="U583" s="30" t="s">
        <v>751</v>
      </c>
      <c r="V583" s="32" t="n">
        <f aca="false">IF(AND($F583="原始數據",$U583&lt;&gt;"連結 SRC"),1,0)</f>
        <v>0</v>
      </c>
      <c r="W583" s="32" t="n">
        <f aca="false">IF(AND($F583="Analogy",OR($H583="—",$H583="")),1,0)</f>
        <v>0</v>
      </c>
      <c r="X583" s="32" t="n">
        <f aca="false">IF(AND(OR($F583="Analogy",$F583="Assumed"),$G583&lt;&gt;"低",$G583&lt;&gt;"高",NOT(ISNUMBER($K583)),NOT(ISNUMBER($L583)),OR($M583="—",$M583="")),1,0)</f>
        <v>0</v>
      </c>
      <c r="Y583" s="32" t="n">
        <f aca="false">IF(AND(OR($F583="Analogy",$F583="Assumed",$F583="Derived（待改公式）",$F583="Derived（公式）"),OR($N583="—",$N583="",$N583=0)),1,0)</f>
        <v>0</v>
      </c>
      <c r="Z583" s="32" t="n">
        <f aca="false">IF(AND($F583="Decision",OR($J583="—",$J583="")),1,0)</f>
        <v>0</v>
      </c>
      <c r="AA583" s="33" t="n">
        <f aca="false">IF(OR($J583="—",$J583=""),0,IF(COUNTIF(Decisions!$A$5:$A$300,$J583)=0,1,0))</f>
        <v>0</v>
      </c>
      <c r="AB583" s="32" t="n">
        <f aca="false">IF(AND($F583="原始數據",$S583&lt;&gt;"Active"),1,0)</f>
        <v>0</v>
      </c>
      <c r="AC583" s="32" t="n">
        <f aca="false">IF(AND(ISNUMBER($K583),ISNUMBER($L583),ISNUMBER($Q583)),IF(OR($Q583&lt;MIN($K583,$L583),$Q583&gt;MAX($K583,$L583)),1,0),0)</f>
        <v>0</v>
      </c>
      <c r="AD583" s="32" t="n">
        <f aca="false">IF(AND(ISNUMBER($T583),$P583="高"),IF($T583=3,1,0),0)</f>
        <v>0</v>
      </c>
      <c r="AE583" s="32" t="n">
        <f aca="false">IF($S583="不存在",1,0)</f>
        <v>0</v>
      </c>
      <c r="AF583" s="44" t="str">
        <f aca="false">IF(OR($H583="—",$H583=""),"—",MATCH($H583,IDX_SrcID,0))</f>
        <v>—</v>
      </c>
      <c r="AG583" s="32" t="n">
        <f aca="false">IF(AND($P583="高",OR($AD583=1,$X583=1)),1,0)</f>
        <v>0</v>
      </c>
      <c r="AH583" s="32" t="n">
        <f aca="false">IF(AND($P583="高",$AG583=0,OR($F583&lt;&gt;"原始數據",$T583&lt;&gt;1)),1,0)</f>
        <v>0</v>
      </c>
      <c r="AI583" s="44" t="str">
        <f aca="false">IF(AND($P583="高",ISNUMBER($AF583)),INDEX(IDX_SrcDate,$AF583),"—")</f>
        <v>—</v>
      </c>
      <c r="AJ583" s="32" t="n">
        <f aca="false">IF(AND(ISTEXT($AI583),LEN($AI583)=10),IF(ISNUMBER(VALUE(SUBSTITUTE($AI583,"-",""))),VALUE(SUBSTITUTE($AI583,"-","")),0),0)</f>
        <v>0</v>
      </c>
    </row>
    <row r="584" customFormat="false" ht="26.25" hidden="false" customHeight="true" outlineLevel="0" collapsed="false">
      <c r="A584" s="30" t="s">
        <v>6128</v>
      </c>
      <c r="B584" s="239" t="s">
        <v>6109</v>
      </c>
      <c r="C584" s="30" t="s">
        <v>6110</v>
      </c>
      <c r="D584" s="30" t="s">
        <v>4703</v>
      </c>
      <c r="E584" s="20" t="s">
        <v>6129</v>
      </c>
      <c r="F584" s="30" t="s">
        <v>114</v>
      </c>
      <c r="G584" s="239" t="s">
        <v>97</v>
      </c>
      <c r="H584" s="30" t="s">
        <v>751</v>
      </c>
      <c r="I584" s="6" t="s">
        <v>751</v>
      </c>
      <c r="J584" s="30" t="s">
        <v>751</v>
      </c>
      <c r="K584" s="199" t="n">
        <f aca="false">Alloc_In!D8</f>
        <v>0.5</v>
      </c>
      <c r="L584" s="199" t="n">
        <f aca="false">Alloc_In!E8</f>
        <v>7</v>
      </c>
      <c r="M584" s="30" t="s">
        <v>751</v>
      </c>
      <c r="N584" s="6" t="s">
        <v>6130</v>
      </c>
      <c r="O584" s="6" t="s">
        <v>751</v>
      </c>
      <c r="P584" s="239" t="s">
        <v>1309</v>
      </c>
      <c r="Q584" s="199" t="n">
        <f aca="false">Alloc_In!C8</f>
        <v>1</v>
      </c>
      <c r="R584" s="30" t="s">
        <v>751</v>
      </c>
      <c r="S584" s="44" t="str">
        <f aca="false">IF(ISNUMBER($AF584),INDEX(IDX_SrcStat,$AF584),"—")</f>
        <v>—</v>
      </c>
      <c r="T584" s="44" t="str">
        <f aca="false">IF(ISNUMBER($AF584),INDEX(IDX_SrcGrade,$AF584),"—")</f>
        <v>—</v>
      </c>
      <c r="U584" s="44" t="s">
        <v>4531</v>
      </c>
      <c r="V584" s="32" t="n">
        <f aca="false">IF(AND($F584="原始數據",$U584&lt;&gt;"連結 SRC"),1,0)</f>
        <v>0</v>
      </c>
      <c r="W584" s="32" t="n">
        <f aca="false">IF(AND($F584="Analogy",OR($H584="—",$H584="")),1,0)</f>
        <v>0</v>
      </c>
      <c r="X584" s="32" t="n">
        <f aca="false">IF(AND(OR($F584="Analogy",$F584="Assumed"),$G584&lt;&gt;"低",$G584&lt;&gt;"高",NOT(ISNUMBER($K584)),NOT(ISNUMBER($L584)),OR($M584="—",$M584="")),1,0)</f>
        <v>0</v>
      </c>
      <c r="Y584" s="32" t="n">
        <f aca="false">IF(AND(OR($F584="Analogy",$F584="Assumed",$F584="Derived（待改公式）",$F584="Derived（公式）"),OR($N584="—",$N584="",$N584=0)),1,0)</f>
        <v>0</v>
      </c>
      <c r="Z584" s="32" t="n">
        <f aca="false">IF(AND($F584="Decision",OR($J584="—",$J584="")),1,0)</f>
        <v>0</v>
      </c>
      <c r="AA584" s="33" t="n">
        <f aca="false">IF(OR($J584="—",$J584=""),0,IF(COUNTIF(Decisions!$A$5:$A$300,$J584)=0,1,0))</f>
        <v>0</v>
      </c>
      <c r="AB584" s="32" t="n">
        <f aca="false">IF(AND($F584="原始數據",$S584&lt;&gt;"Active"),1,0)</f>
        <v>0</v>
      </c>
      <c r="AC584" s="32" t="n">
        <f aca="false">IF(AND(ISNUMBER($K584),ISNUMBER($L584),ISNUMBER($Q584)),IF(OR($Q584&lt;MIN($K584,$L584),$Q584&gt;MAX($K584,$L584)),1,0),0)</f>
        <v>0</v>
      </c>
      <c r="AD584" s="32" t="n">
        <f aca="false">IF(AND(ISNUMBER($T584),$P584="高"),IF($T584=3,1,0),0)</f>
        <v>0</v>
      </c>
      <c r="AE584" s="32" t="n">
        <f aca="false">IF($S584="不存在",1,0)</f>
        <v>0</v>
      </c>
      <c r="AF584" s="44" t="str">
        <f aca="false">IF(OR($H584="—",$H584=""),"—",MATCH($H584,IDX_SrcID,0))</f>
        <v>—</v>
      </c>
      <c r="AG584" s="32" t="n">
        <f aca="false">IF(AND($P584="高",OR($AD584=1,$X584=1)),1,0)</f>
        <v>0</v>
      </c>
      <c r="AH584" s="32" t="n">
        <f aca="false">IF(AND($P584="高",$AG584=0,OR($F584&lt;&gt;"原始數據",$T584&lt;&gt;1)),1,0)</f>
        <v>1</v>
      </c>
      <c r="AI584" s="44" t="str">
        <f aca="false">IF(AND($P584="高",ISNUMBER($AF584)),INDEX(IDX_SrcDate,$AF584),"—")</f>
        <v>—</v>
      </c>
      <c r="AJ584" s="32" t="n">
        <f aca="false">IF(AND(ISTEXT($AI584),LEN($AI584)=10),IF(ISNUMBER(VALUE(SUBSTITUTE($AI584,"-",""))),VALUE(SUBSTITUTE($AI584,"-","")),0),0)</f>
        <v>0</v>
      </c>
    </row>
    <row r="585" customFormat="false" ht="26.25" hidden="false" customHeight="true" outlineLevel="0" collapsed="false">
      <c r="A585" s="30" t="s">
        <v>6131</v>
      </c>
      <c r="B585" s="239" t="s">
        <v>6109</v>
      </c>
      <c r="C585" s="30" t="s">
        <v>6110</v>
      </c>
      <c r="D585" s="30" t="s">
        <v>6132</v>
      </c>
      <c r="E585" s="20" t="s">
        <v>6129</v>
      </c>
      <c r="F585" s="30" t="s">
        <v>114</v>
      </c>
      <c r="G585" s="239" t="s">
        <v>5614</v>
      </c>
      <c r="H585" s="30" t="s">
        <v>751</v>
      </c>
      <c r="I585" s="6" t="s">
        <v>751</v>
      </c>
      <c r="J585" s="30" t="s">
        <v>751</v>
      </c>
      <c r="K585" s="239"/>
      <c r="L585" s="239"/>
      <c r="M585" s="30" t="s">
        <v>6133</v>
      </c>
      <c r="N585" s="6" t="s">
        <v>6134</v>
      </c>
      <c r="O585" s="6" t="s">
        <v>751</v>
      </c>
      <c r="P585" s="30" t="s">
        <v>751</v>
      </c>
      <c r="Q585" s="184" t="s">
        <v>751</v>
      </c>
      <c r="R585" s="30" t="s">
        <v>751</v>
      </c>
      <c r="S585" s="44" t="str">
        <f aca="false">IF(ISNUMBER($AF585),INDEX(IDX_SrcStat,$AF585),"—")</f>
        <v>—</v>
      </c>
      <c r="T585" s="44" t="str">
        <f aca="false">IF(ISNUMBER($AF585),INDEX(IDX_SrcGrade,$AF585),"—")</f>
        <v>—</v>
      </c>
      <c r="U585" s="30" t="s">
        <v>751</v>
      </c>
      <c r="V585" s="32" t="n">
        <f aca="false">IF(AND($F585="原始數據",$U585&lt;&gt;"連結 SRC"),1,0)</f>
        <v>0</v>
      </c>
      <c r="W585" s="32" t="n">
        <f aca="false">IF(AND($F585="Analogy",OR($H585="—",$H585="")),1,0)</f>
        <v>0</v>
      </c>
      <c r="X585" s="32" t="n">
        <f aca="false">IF(AND(OR($F585="Analogy",$F585="Assumed"),$G585&lt;&gt;"低",$G585&lt;&gt;"高",NOT(ISNUMBER($K585)),NOT(ISNUMBER($L585)),OR($M585="—",$M585="")),1,0)</f>
        <v>0</v>
      </c>
      <c r="Y585" s="32" t="n">
        <f aca="false">IF(AND(OR($F585="Analogy",$F585="Assumed",$F585="Derived（待改公式）",$F585="Derived（公式）"),OR($N585="—",$N585="",$N585=0)),1,0)</f>
        <v>0</v>
      </c>
      <c r="Z585" s="32" t="n">
        <f aca="false">IF(AND($F585="Decision",OR($J585="—",$J585="")),1,0)</f>
        <v>0</v>
      </c>
      <c r="AA585" s="33" t="n">
        <f aca="false">IF(OR($J585="—",$J585=""),0,IF(COUNTIF(Decisions!$A$5:$A$300,$J585)=0,1,0))</f>
        <v>0</v>
      </c>
      <c r="AB585" s="32" t="n">
        <f aca="false">IF(AND($F585="原始數據",$S585&lt;&gt;"Active"),1,0)</f>
        <v>0</v>
      </c>
      <c r="AC585" s="32" t="n">
        <f aca="false">IF(AND(ISNUMBER($K585),ISNUMBER($L585),ISNUMBER($Q585)),IF(OR($Q585&lt;MIN($K585,$L585),$Q585&gt;MAX($K585,$L585)),1,0),0)</f>
        <v>0</v>
      </c>
      <c r="AD585" s="32" t="n">
        <f aca="false">IF(AND(ISNUMBER($T585),$P585="高"),IF($T585=3,1,0),0)</f>
        <v>0</v>
      </c>
      <c r="AE585" s="32" t="n">
        <f aca="false">IF($S585="不存在",1,0)</f>
        <v>0</v>
      </c>
      <c r="AF585" s="44" t="str">
        <f aca="false">IF(OR($H585="—",$H585=""),"—",MATCH($H585,IDX_SrcID,0))</f>
        <v>—</v>
      </c>
      <c r="AG585" s="32" t="n">
        <f aca="false">IF(AND($P585="高",OR($AD585=1,$X585=1)),1,0)</f>
        <v>0</v>
      </c>
      <c r="AH585" s="32" t="n">
        <f aca="false">IF(AND($P585="高",$AG585=0,OR($F585&lt;&gt;"原始數據",$T585&lt;&gt;1)),1,0)</f>
        <v>0</v>
      </c>
      <c r="AI585" s="44" t="str">
        <f aca="false">IF(AND($P585="高",ISNUMBER($AF585)),INDEX(IDX_SrcDate,$AF585),"—")</f>
        <v>—</v>
      </c>
      <c r="AJ585" s="32" t="n">
        <f aca="false">IF(AND(ISTEXT($AI585),LEN($AI585)=10),IF(ISNUMBER(VALUE(SUBSTITUTE($AI585,"-",""))),VALUE(SUBSTITUTE($AI585,"-","")),0),0)</f>
        <v>0</v>
      </c>
    </row>
    <row r="586" customFormat="false" ht="26.25" hidden="false" customHeight="true" outlineLevel="0" collapsed="false">
      <c r="A586" s="30" t="s">
        <v>6135</v>
      </c>
      <c r="B586" s="239" t="s">
        <v>6109</v>
      </c>
      <c r="C586" s="30" t="s">
        <v>6110</v>
      </c>
      <c r="D586" s="30" t="s">
        <v>4789</v>
      </c>
      <c r="E586" s="20" t="s">
        <v>6136</v>
      </c>
      <c r="F586" s="30" t="s">
        <v>114</v>
      </c>
      <c r="G586" s="239" t="s">
        <v>97</v>
      </c>
      <c r="H586" s="30" t="s">
        <v>751</v>
      </c>
      <c r="I586" s="6" t="s">
        <v>751</v>
      </c>
      <c r="J586" s="30" t="s">
        <v>751</v>
      </c>
      <c r="K586" s="194" t="n">
        <f aca="false">Alloc_In!D13</f>
        <v>0</v>
      </c>
      <c r="L586" s="194" t="n">
        <f aca="false">Alloc_In!E13</f>
        <v>1</v>
      </c>
      <c r="M586" s="30" t="s">
        <v>751</v>
      </c>
      <c r="N586" s="6" t="s">
        <v>6137</v>
      </c>
      <c r="O586" s="6" t="s">
        <v>751</v>
      </c>
      <c r="P586" s="239" t="s">
        <v>4530</v>
      </c>
      <c r="Q586" s="194" t="n">
        <f aca="false">Alloc_In!C13</f>
        <v>0</v>
      </c>
      <c r="R586" s="30" t="s">
        <v>751</v>
      </c>
      <c r="S586" s="44" t="str">
        <f aca="false">IF(ISNUMBER($AF586),INDEX(IDX_SrcStat,$AF586),"—")</f>
        <v>—</v>
      </c>
      <c r="T586" s="44" t="str">
        <f aca="false">IF(ISNUMBER($AF586),INDEX(IDX_SrcGrade,$AF586),"—")</f>
        <v>—</v>
      </c>
      <c r="U586" s="44" t="s">
        <v>4531</v>
      </c>
      <c r="V586" s="32" t="n">
        <f aca="false">IF(AND($F586="原始數據",$U586&lt;&gt;"連結 SRC"),1,0)</f>
        <v>0</v>
      </c>
      <c r="W586" s="32" t="n">
        <f aca="false">IF(AND($F586="Analogy",OR($H586="—",$H586="")),1,0)</f>
        <v>0</v>
      </c>
      <c r="X586" s="32" t="n">
        <f aca="false">IF(AND(OR($F586="Analogy",$F586="Assumed"),$G586&lt;&gt;"低",$G586&lt;&gt;"高",NOT(ISNUMBER($K586)),NOT(ISNUMBER($L586)),OR($M586="—",$M586="")),1,0)</f>
        <v>0</v>
      </c>
      <c r="Y586" s="32" t="n">
        <f aca="false">IF(AND(OR($F586="Analogy",$F586="Assumed",$F586="Derived（待改公式）",$F586="Derived（公式）"),OR($N586="—",$N586="",$N586=0)),1,0)</f>
        <v>0</v>
      </c>
      <c r="Z586" s="32" t="n">
        <f aca="false">IF(AND($F586="Decision",OR($J586="—",$J586="")),1,0)</f>
        <v>0</v>
      </c>
      <c r="AA586" s="33" t="n">
        <f aca="false">IF(OR($J586="—",$J586=""),0,IF(COUNTIF(Decisions!$A$5:$A$300,$J586)=0,1,0))</f>
        <v>0</v>
      </c>
      <c r="AB586" s="32" t="n">
        <f aca="false">IF(AND($F586="原始數據",$S586&lt;&gt;"Active"),1,0)</f>
        <v>0</v>
      </c>
      <c r="AC586" s="32" t="n">
        <f aca="false">IF(AND(ISNUMBER($K586),ISNUMBER($L586),ISNUMBER($Q586)),IF(OR($Q586&lt;MIN($K586,$L586),$Q586&gt;MAX($K586,$L586)),1,0),0)</f>
        <v>0</v>
      </c>
      <c r="AD586" s="32" t="n">
        <f aca="false">IF(AND(ISNUMBER($T586),$P586="高"),IF($T586=3,1,0),0)</f>
        <v>0</v>
      </c>
      <c r="AE586" s="32" t="n">
        <f aca="false">IF($S586="不存在",1,0)</f>
        <v>0</v>
      </c>
      <c r="AF586" s="44" t="str">
        <f aca="false">IF(OR($H586="—",$H586=""),"—",MATCH($H586,IDX_SrcID,0))</f>
        <v>—</v>
      </c>
      <c r="AG586" s="32" t="n">
        <f aca="false">IF(AND($P586="高",OR($AD586=1,$X586=1)),1,0)</f>
        <v>0</v>
      </c>
      <c r="AH586" s="32" t="n">
        <f aca="false">IF(AND($P586="高",$AG586=0,OR($F586&lt;&gt;"原始數據",$T586&lt;&gt;1)),1,0)</f>
        <v>0</v>
      </c>
      <c r="AI586" s="44" t="str">
        <f aca="false">IF(AND($P586="高",ISNUMBER($AF586)),INDEX(IDX_SrcDate,$AF586),"—")</f>
        <v>—</v>
      </c>
      <c r="AJ586" s="32" t="n">
        <f aca="false">IF(AND(ISTEXT($AI586),LEN($AI586)=10),IF(ISNUMBER(VALUE(SUBSTITUTE($AI586,"-",""))),VALUE(SUBSTITUTE($AI586,"-","")),0),0)</f>
        <v>0</v>
      </c>
    </row>
    <row r="587" customFormat="false" ht="26.25" hidden="false" customHeight="true" outlineLevel="0" collapsed="false">
      <c r="A587" s="30" t="s">
        <v>6138</v>
      </c>
      <c r="B587" s="239" t="s">
        <v>6109</v>
      </c>
      <c r="C587" s="30" t="s">
        <v>6110</v>
      </c>
      <c r="D587" s="30" t="s">
        <v>5620</v>
      </c>
      <c r="E587" s="20" t="s">
        <v>6136</v>
      </c>
      <c r="F587" s="30" t="s">
        <v>114</v>
      </c>
      <c r="G587" s="239" t="s">
        <v>5614</v>
      </c>
      <c r="H587" s="30" t="s">
        <v>751</v>
      </c>
      <c r="I587" s="6" t="s">
        <v>751</v>
      </c>
      <c r="J587" s="30" t="s">
        <v>751</v>
      </c>
      <c r="K587" s="239"/>
      <c r="L587" s="239"/>
      <c r="M587" s="30" t="s">
        <v>5621</v>
      </c>
      <c r="N587" s="6" t="s">
        <v>6137</v>
      </c>
      <c r="O587" s="6" t="s">
        <v>751</v>
      </c>
      <c r="P587" s="30" t="s">
        <v>751</v>
      </c>
      <c r="Q587" s="184" t="s">
        <v>751</v>
      </c>
      <c r="R587" s="30" t="s">
        <v>751</v>
      </c>
      <c r="S587" s="44" t="str">
        <f aca="false">IF(ISNUMBER($AF587),INDEX(IDX_SrcStat,$AF587),"—")</f>
        <v>—</v>
      </c>
      <c r="T587" s="44" t="str">
        <f aca="false">IF(ISNUMBER($AF587),INDEX(IDX_SrcGrade,$AF587),"—")</f>
        <v>—</v>
      </c>
      <c r="U587" s="30" t="s">
        <v>751</v>
      </c>
      <c r="V587" s="32" t="n">
        <f aca="false">IF(AND($F587="原始數據",$U587&lt;&gt;"連結 SRC"),1,0)</f>
        <v>0</v>
      </c>
      <c r="W587" s="32" t="n">
        <f aca="false">IF(AND($F587="Analogy",OR($H587="—",$H587="")),1,0)</f>
        <v>0</v>
      </c>
      <c r="X587" s="32" t="n">
        <f aca="false">IF(AND(OR($F587="Analogy",$F587="Assumed"),$G587&lt;&gt;"低",$G587&lt;&gt;"高",NOT(ISNUMBER($K587)),NOT(ISNUMBER($L587)),OR($M587="—",$M587="")),1,0)</f>
        <v>0</v>
      </c>
      <c r="Y587" s="32" t="n">
        <f aca="false">IF(AND(OR($F587="Analogy",$F587="Assumed",$F587="Derived（待改公式）",$F587="Derived（公式）"),OR($N587="—",$N587="",$N587=0)),1,0)</f>
        <v>0</v>
      </c>
      <c r="Z587" s="32" t="n">
        <f aca="false">IF(AND($F587="Decision",OR($J587="—",$J587="")),1,0)</f>
        <v>0</v>
      </c>
      <c r="AA587" s="33" t="n">
        <f aca="false">IF(OR($J587="—",$J587=""),0,IF(COUNTIF(Decisions!$A$5:$A$300,$J587)=0,1,0))</f>
        <v>0</v>
      </c>
      <c r="AB587" s="32" t="n">
        <f aca="false">IF(AND($F587="原始數據",$S587&lt;&gt;"Active"),1,0)</f>
        <v>0</v>
      </c>
      <c r="AC587" s="32" t="n">
        <f aca="false">IF(AND(ISNUMBER($K587),ISNUMBER($L587),ISNUMBER($Q587)),IF(OR($Q587&lt;MIN($K587,$L587),$Q587&gt;MAX($K587,$L587)),1,0),0)</f>
        <v>0</v>
      </c>
      <c r="AD587" s="32" t="n">
        <f aca="false">IF(AND(ISNUMBER($T587),$P587="高"),IF($T587=3,1,0),0)</f>
        <v>0</v>
      </c>
      <c r="AE587" s="32" t="n">
        <f aca="false">IF($S587="不存在",1,0)</f>
        <v>0</v>
      </c>
      <c r="AF587" s="44" t="str">
        <f aca="false">IF(OR($H587="—",$H587=""),"—",MATCH($H587,IDX_SrcID,0))</f>
        <v>—</v>
      </c>
      <c r="AG587" s="32" t="n">
        <f aca="false">IF(AND($P587="高",OR($AD587=1,$X587=1)),1,0)</f>
        <v>0</v>
      </c>
      <c r="AH587" s="32" t="n">
        <f aca="false">IF(AND($P587="高",$AG587=0,OR($F587&lt;&gt;"原始數據",$T587&lt;&gt;1)),1,0)</f>
        <v>0</v>
      </c>
      <c r="AI587" s="44" t="str">
        <f aca="false">IF(AND($P587="高",ISNUMBER($AF587)),INDEX(IDX_SrcDate,$AF587),"—")</f>
        <v>—</v>
      </c>
      <c r="AJ587" s="32" t="n">
        <f aca="false">IF(AND(ISTEXT($AI587),LEN($AI587)=10),IF(ISNUMBER(VALUE(SUBSTITUTE($AI587,"-",""))),VALUE(SUBSTITUTE($AI587,"-","")),0),0)</f>
        <v>0</v>
      </c>
    </row>
    <row r="588" customFormat="false" ht="26.25" hidden="false" customHeight="true" outlineLevel="0" collapsed="false">
      <c r="A588" s="30" t="s">
        <v>6139</v>
      </c>
      <c r="B588" s="239" t="s">
        <v>6109</v>
      </c>
      <c r="C588" s="30" t="s">
        <v>6110</v>
      </c>
      <c r="D588" s="30" t="s">
        <v>5038</v>
      </c>
      <c r="E588" s="6" t="s">
        <v>2447</v>
      </c>
      <c r="F588" s="30" t="s">
        <v>114</v>
      </c>
      <c r="G588" s="239" t="s">
        <v>97</v>
      </c>
      <c r="H588" s="30" t="s">
        <v>6140</v>
      </c>
      <c r="I588" s="20" t="s">
        <v>6141</v>
      </c>
      <c r="J588" s="30" t="s">
        <v>751</v>
      </c>
      <c r="K588" s="199" t="n">
        <f aca="false">Alloc_In!D14</f>
        <v>0.6</v>
      </c>
      <c r="L588" s="199" t="n">
        <f aca="false">Alloc_In!E14</f>
        <v>0.9</v>
      </c>
      <c r="M588" s="30" t="s">
        <v>751</v>
      </c>
      <c r="N588" s="6" t="s">
        <v>6142</v>
      </c>
      <c r="O588" s="6" t="s">
        <v>751</v>
      </c>
      <c r="P588" s="239" t="s">
        <v>4586</v>
      </c>
      <c r="Q588" s="199" t="n">
        <f aca="false">Alloc_In!C14</f>
        <v>0.75</v>
      </c>
      <c r="R588" s="184" t="n">
        <f aca="false">SRC_DEM_010</f>
        <v>6</v>
      </c>
      <c r="S588" s="44" t="str">
        <f aca="false">IF(ISNUMBER($AF588),INDEX(IDX_SrcStat,$AF588),"—")</f>
        <v>Active</v>
      </c>
      <c r="T588" s="44" t="n">
        <f aca="false">IF(ISNUMBER($AF588),INDEX(IDX_SrcGrade,$AF588),"—")</f>
        <v>2</v>
      </c>
      <c r="U588" s="44" t="s">
        <v>4531</v>
      </c>
      <c r="V588" s="32" t="n">
        <f aca="false">IF(AND($F588="原始數據",$U588&lt;&gt;"連結 SRC"),1,0)</f>
        <v>0</v>
      </c>
      <c r="W588" s="32" t="n">
        <f aca="false">IF(AND($F588="Analogy",OR($H588="—",$H588="")),1,0)</f>
        <v>0</v>
      </c>
      <c r="X588" s="32" t="n">
        <f aca="false">IF(AND(OR($F588="Analogy",$F588="Assumed"),$G588&lt;&gt;"低",$G588&lt;&gt;"高",NOT(ISNUMBER($K588)),NOT(ISNUMBER($L588)),OR($M588="—",$M588="")),1,0)</f>
        <v>0</v>
      </c>
      <c r="Y588" s="32" t="n">
        <f aca="false">IF(AND(OR($F588="Analogy",$F588="Assumed",$F588="Derived（待改公式）",$F588="Derived（公式）"),OR($N588="—",$N588="",$N588=0)),1,0)</f>
        <v>0</v>
      </c>
      <c r="Z588" s="32" t="n">
        <f aca="false">IF(AND($F588="Decision",OR($J588="—",$J588="")),1,0)</f>
        <v>0</v>
      </c>
      <c r="AA588" s="33" t="n">
        <f aca="false">IF(OR($J588="—",$J588=""),0,IF(COUNTIF(Decisions!$A$5:$A$300,$J588)=0,1,0))</f>
        <v>0</v>
      </c>
      <c r="AB588" s="32" t="n">
        <f aca="false">IF(AND($F588="原始數據",$S588&lt;&gt;"Active"),1,0)</f>
        <v>0</v>
      </c>
      <c r="AC588" s="32" t="n">
        <f aca="false">IF(AND(ISNUMBER($K588),ISNUMBER($L588),ISNUMBER($Q588)),IF(OR($Q588&lt;MIN($K588,$L588),$Q588&gt;MAX($K588,$L588)),1,0),0)</f>
        <v>0</v>
      </c>
      <c r="AD588" s="32" t="n">
        <f aca="false">IF(AND(ISNUMBER($T588),$P588="高"),IF($T588=3,1,0),0)</f>
        <v>0</v>
      </c>
      <c r="AE588" s="32" t="n">
        <f aca="false">IF($S588="不存在",1,0)</f>
        <v>0</v>
      </c>
      <c r="AF588" s="44" t="n">
        <f aca="false">IF(OR($H588="—",$H588=""),"—",MATCH($H588,IDX_SrcID,0))</f>
        <v>663</v>
      </c>
      <c r="AG588" s="32" t="n">
        <f aca="false">IF(AND($P588="高",OR($AD588=1,$X588=1)),1,0)</f>
        <v>0</v>
      </c>
      <c r="AH588" s="32" t="n">
        <f aca="false">IF(AND($P588="高",$AG588=0,OR($F588&lt;&gt;"原始數據",$T588&lt;&gt;1)),1,0)</f>
        <v>0</v>
      </c>
      <c r="AI588" s="44" t="str">
        <f aca="false">IF(AND($P588="高",ISNUMBER($AF588)),INDEX(IDX_SrcDate,$AF588),"—")</f>
        <v>—</v>
      </c>
      <c r="AJ588" s="32" t="n">
        <f aca="false">IF(AND(ISTEXT($AI588),LEN($AI588)=10),IF(ISNUMBER(VALUE(SUBSTITUTE($AI588,"-",""))),VALUE(SUBSTITUTE($AI588,"-","")),0),0)</f>
        <v>0</v>
      </c>
    </row>
    <row r="589" customFormat="false" ht="26.25" hidden="false" customHeight="true" outlineLevel="0" collapsed="false">
      <c r="A589" s="30" t="s">
        <v>6143</v>
      </c>
      <c r="B589" s="239" t="s">
        <v>6109</v>
      </c>
      <c r="C589" s="30" t="s">
        <v>6110</v>
      </c>
      <c r="D589" s="30" t="s">
        <v>5626</v>
      </c>
      <c r="E589" s="6" t="s">
        <v>2447</v>
      </c>
      <c r="F589" s="30" t="s">
        <v>114</v>
      </c>
      <c r="G589" s="239" t="s">
        <v>5614</v>
      </c>
      <c r="H589" s="30" t="s">
        <v>751</v>
      </c>
      <c r="I589" s="6" t="s">
        <v>751</v>
      </c>
      <c r="J589" s="30" t="s">
        <v>751</v>
      </c>
      <c r="K589" s="239"/>
      <c r="L589" s="239"/>
      <c r="M589" s="30" t="s">
        <v>5627</v>
      </c>
      <c r="N589" s="6" t="s">
        <v>6144</v>
      </c>
      <c r="O589" s="6" t="s">
        <v>751</v>
      </c>
      <c r="P589" s="30" t="s">
        <v>751</v>
      </c>
      <c r="Q589" s="184" t="s">
        <v>751</v>
      </c>
      <c r="R589" s="30" t="s">
        <v>751</v>
      </c>
      <c r="S589" s="44" t="str">
        <f aca="false">IF(ISNUMBER($AF589),INDEX(IDX_SrcStat,$AF589),"—")</f>
        <v>—</v>
      </c>
      <c r="T589" s="44" t="str">
        <f aca="false">IF(ISNUMBER($AF589),INDEX(IDX_SrcGrade,$AF589),"—")</f>
        <v>—</v>
      </c>
      <c r="U589" s="30" t="s">
        <v>751</v>
      </c>
      <c r="V589" s="32" t="n">
        <f aca="false">IF(AND($F589="原始數據",$U589&lt;&gt;"連結 SRC"),1,0)</f>
        <v>0</v>
      </c>
      <c r="W589" s="32" t="n">
        <f aca="false">IF(AND($F589="Analogy",OR($H589="—",$H589="")),1,0)</f>
        <v>0</v>
      </c>
      <c r="X589" s="32" t="n">
        <f aca="false">IF(AND(OR($F589="Analogy",$F589="Assumed"),$G589&lt;&gt;"低",$G589&lt;&gt;"高",NOT(ISNUMBER($K589)),NOT(ISNUMBER($L589)),OR($M589="—",$M589="")),1,0)</f>
        <v>0</v>
      </c>
      <c r="Y589" s="32" t="n">
        <f aca="false">IF(AND(OR($F589="Analogy",$F589="Assumed",$F589="Derived（待改公式）",$F589="Derived（公式）"),OR($N589="—",$N589="",$N589=0)),1,0)</f>
        <v>0</v>
      </c>
      <c r="Z589" s="32" t="n">
        <f aca="false">IF(AND($F589="Decision",OR($J589="—",$J589="")),1,0)</f>
        <v>0</v>
      </c>
      <c r="AA589" s="33" t="n">
        <f aca="false">IF(OR($J589="—",$J589=""),0,IF(COUNTIF(Decisions!$A$5:$A$300,$J589)=0,1,0))</f>
        <v>0</v>
      </c>
      <c r="AB589" s="32" t="n">
        <f aca="false">IF(AND($F589="原始數據",$S589&lt;&gt;"Active"),1,0)</f>
        <v>0</v>
      </c>
      <c r="AC589" s="32" t="n">
        <f aca="false">IF(AND(ISNUMBER($K589),ISNUMBER($L589),ISNUMBER($Q589)),IF(OR($Q589&lt;MIN($K589,$L589),$Q589&gt;MAX($K589,$L589)),1,0),0)</f>
        <v>0</v>
      </c>
      <c r="AD589" s="32" t="n">
        <f aca="false">IF(AND(ISNUMBER($T589),$P589="高"),IF($T589=3,1,0),0)</f>
        <v>0</v>
      </c>
      <c r="AE589" s="32" t="n">
        <f aca="false">IF($S589="不存在",1,0)</f>
        <v>0</v>
      </c>
      <c r="AF589" s="44" t="str">
        <f aca="false">IF(OR($H589="—",$H589=""),"—",MATCH($H589,IDX_SrcID,0))</f>
        <v>—</v>
      </c>
      <c r="AG589" s="32" t="n">
        <f aca="false">IF(AND($P589="高",OR($AD589=1,$X589=1)),1,0)</f>
        <v>0</v>
      </c>
      <c r="AH589" s="32" t="n">
        <f aca="false">IF(AND($P589="高",$AG589=0,OR($F589&lt;&gt;"原始數據",$T589&lt;&gt;1)),1,0)</f>
        <v>0</v>
      </c>
      <c r="AI589" s="44" t="str">
        <f aca="false">IF(AND($P589="高",ISNUMBER($AF589)),INDEX(IDX_SrcDate,$AF589),"—")</f>
        <v>—</v>
      </c>
      <c r="AJ589" s="32" t="n">
        <f aca="false">IF(AND(ISTEXT($AI589),LEN($AI589)=10),IF(ISNUMBER(VALUE(SUBSTITUTE($AI589,"-",""))),VALUE(SUBSTITUTE($AI589,"-","")),0),0)</f>
        <v>0</v>
      </c>
    </row>
    <row r="590" customFormat="false" ht="77.25" hidden="false" customHeight="true" outlineLevel="0" collapsed="false">
      <c r="A590" s="30" t="s">
        <v>6145</v>
      </c>
      <c r="B590" s="239" t="s">
        <v>6109</v>
      </c>
      <c r="C590" s="30" t="s">
        <v>6110</v>
      </c>
      <c r="D590" s="30" t="s">
        <v>5042</v>
      </c>
      <c r="E590" s="20" t="s">
        <v>6146</v>
      </c>
      <c r="F590" s="30" t="s">
        <v>114</v>
      </c>
      <c r="G590" s="239" t="s">
        <v>97</v>
      </c>
      <c r="H590" s="30" t="s">
        <v>6147</v>
      </c>
      <c r="I590" s="20" t="s">
        <v>6148</v>
      </c>
      <c r="J590" s="30" t="s">
        <v>751</v>
      </c>
      <c r="K590" s="49" t="n">
        <f aca="false">Alloc_In!D15</f>
        <v>2000</v>
      </c>
      <c r="L590" s="49" t="n">
        <f aca="false">Alloc_In!E15</f>
        <v>11000</v>
      </c>
      <c r="M590" s="30" t="s">
        <v>6149</v>
      </c>
      <c r="N590" s="6" t="s">
        <v>6150</v>
      </c>
      <c r="O590" s="6" t="s">
        <v>751</v>
      </c>
      <c r="P590" s="239" t="s">
        <v>1309</v>
      </c>
      <c r="Q590" s="49" t="n">
        <f aca="false">Alloc_In!C15</f>
        <v>4000</v>
      </c>
      <c r="R590" s="184" t="n">
        <f aca="false">SRC_DEM_012</f>
        <v>2.5</v>
      </c>
      <c r="S590" s="44" t="str">
        <f aca="false">IF(ISNUMBER($AF590),INDEX(IDX_SrcStat,$AF590),"—")</f>
        <v>Active</v>
      </c>
      <c r="T590" s="44" t="n">
        <f aca="false">IF(ISNUMBER($AF590),INDEX(IDX_SrcGrade,$AF590),"—")</f>
        <v>2</v>
      </c>
      <c r="U590" s="44" t="s">
        <v>4531</v>
      </c>
      <c r="V590" s="32" t="n">
        <f aca="false">IF(AND($F590="原始數據",$U590&lt;&gt;"連結 SRC"),1,0)</f>
        <v>0</v>
      </c>
      <c r="W590" s="32" t="n">
        <f aca="false">IF(AND($F590="Analogy",OR($H590="—",$H590="")),1,0)</f>
        <v>0</v>
      </c>
      <c r="X590" s="32" t="n">
        <f aca="false">IF(AND(OR($F590="Analogy",$F590="Assumed"),$G590&lt;&gt;"低",$G590&lt;&gt;"高",NOT(ISNUMBER($K590)),NOT(ISNUMBER($L590)),OR($M590="—",$M590="")),1,0)</f>
        <v>0</v>
      </c>
      <c r="Y590" s="32" t="n">
        <f aca="false">IF(AND(OR($F590="Analogy",$F590="Assumed",$F590="Derived（待改公式）",$F590="Derived（公式）"),OR($N590="—",$N590="",$N590=0)),1,0)</f>
        <v>0</v>
      </c>
      <c r="Z590" s="32" t="n">
        <f aca="false">IF(AND($F590="Decision",OR($J590="—",$J590="")),1,0)</f>
        <v>0</v>
      </c>
      <c r="AA590" s="33" t="n">
        <f aca="false">IF(OR($J590="—",$J590=""),0,IF(COUNTIF(Decisions!$A$5:$A$300,$J590)=0,1,0))</f>
        <v>0</v>
      </c>
      <c r="AB590" s="32" t="n">
        <f aca="false">IF(AND($F590="原始數據",$S590&lt;&gt;"Active"),1,0)</f>
        <v>0</v>
      </c>
      <c r="AC590" s="32" t="n">
        <f aca="false">IF(AND(ISNUMBER($K590),ISNUMBER($L590),ISNUMBER($Q590)),IF(OR($Q590&lt;MIN($K590,$L590),$Q590&gt;MAX($K590,$L590)),1,0),0)</f>
        <v>0</v>
      </c>
      <c r="AD590" s="32" t="n">
        <f aca="false">IF(AND(ISNUMBER($T590),$P590="高"),IF($T590=3,1,0),0)</f>
        <v>0</v>
      </c>
      <c r="AE590" s="32" t="n">
        <f aca="false">IF($S590="不存在",1,0)</f>
        <v>0</v>
      </c>
      <c r="AF590" s="44" t="n">
        <f aca="false">IF(OR($H590="—",$H590=""),"—",MATCH($H590,IDX_SrcID,0))</f>
        <v>665</v>
      </c>
      <c r="AG590" s="32" t="n">
        <f aca="false">IF(AND($P590="高",OR($AD590=1,$X590=1)),1,0)</f>
        <v>0</v>
      </c>
      <c r="AH590" s="32" t="n">
        <f aca="false">IF(AND($P590="高",$AG590=0,OR($F590&lt;&gt;"原始數據",$T590&lt;&gt;1)),1,0)</f>
        <v>1</v>
      </c>
      <c r="AI590" s="44" t="str">
        <f aca="false">IF(AND($P590="高",ISNUMBER($AF590)),INDEX(IDX_SrcDate,$AF590),"—")</f>
        <v>—</v>
      </c>
      <c r="AJ590" s="32" t="n">
        <f aca="false">IF(AND(ISTEXT($AI590),LEN($AI590)=10),IF(ISNUMBER(VALUE(SUBSTITUTE($AI590,"-",""))),VALUE(SUBSTITUTE($AI590,"-","")),0),0)</f>
        <v>0</v>
      </c>
    </row>
    <row r="591" customFormat="false" ht="77.25" hidden="false" customHeight="true" outlineLevel="0" collapsed="false">
      <c r="A591" s="30" t="s">
        <v>6151</v>
      </c>
      <c r="B591" s="239" t="s">
        <v>6109</v>
      </c>
      <c r="C591" s="30" t="s">
        <v>6110</v>
      </c>
      <c r="D591" s="30" t="s">
        <v>5632</v>
      </c>
      <c r="E591" s="20" t="s">
        <v>6146</v>
      </c>
      <c r="F591" s="30" t="s">
        <v>114</v>
      </c>
      <c r="G591" s="239" t="s">
        <v>5614</v>
      </c>
      <c r="H591" s="30" t="s">
        <v>751</v>
      </c>
      <c r="I591" s="6" t="s">
        <v>751</v>
      </c>
      <c r="J591" s="30" t="s">
        <v>751</v>
      </c>
      <c r="K591" s="239"/>
      <c r="L591" s="239"/>
      <c r="M591" s="30" t="s">
        <v>5633</v>
      </c>
      <c r="N591" s="6" t="s">
        <v>6152</v>
      </c>
      <c r="O591" s="6" t="s">
        <v>751</v>
      </c>
      <c r="P591" s="30" t="s">
        <v>751</v>
      </c>
      <c r="Q591" s="184" t="s">
        <v>751</v>
      </c>
      <c r="R591" s="30" t="s">
        <v>751</v>
      </c>
      <c r="S591" s="44" t="str">
        <f aca="false">IF(ISNUMBER($AF591),INDEX(IDX_SrcStat,$AF591),"—")</f>
        <v>—</v>
      </c>
      <c r="T591" s="44" t="str">
        <f aca="false">IF(ISNUMBER($AF591),INDEX(IDX_SrcGrade,$AF591),"—")</f>
        <v>—</v>
      </c>
      <c r="U591" s="30" t="s">
        <v>751</v>
      </c>
      <c r="V591" s="32" t="n">
        <f aca="false">IF(AND($F591="原始數據",$U591&lt;&gt;"連結 SRC"),1,0)</f>
        <v>0</v>
      </c>
      <c r="W591" s="32" t="n">
        <f aca="false">IF(AND($F591="Analogy",OR($H591="—",$H591="")),1,0)</f>
        <v>0</v>
      </c>
      <c r="X591" s="32" t="n">
        <f aca="false">IF(AND(OR($F591="Analogy",$F591="Assumed"),$G591&lt;&gt;"低",$G591&lt;&gt;"高",NOT(ISNUMBER($K591)),NOT(ISNUMBER($L591)),OR($M591="—",$M591="")),1,0)</f>
        <v>0</v>
      </c>
      <c r="Y591" s="32" t="n">
        <f aca="false">IF(AND(OR($F591="Analogy",$F591="Assumed",$F591="Derived（待改公式）",$F591="Derived（公式）"),OR($N591="—",$N591="",$N591=0)),1,0)</f>
        <v>0</v>
      </c>
      <c r="Z591" s="32" t="n">
        <f aca="false">IF(AND($F591="Decision",OR($J591="—",$J591="")),1,0)</f>
        <v>0</v>
      </c>
      <c r="AA591" s="33" t="n">
        <f aca="false">IF(OR($J591="—",$J591=""),0,IF(COUNTIF(Decisions!$A$5:$A$300,$J591)=0,1,0))</f>
        <v>0</v>
      </c>
      <c r="AB591" s="32" t="n">
        <f aca="false">IF(AND($F591="原始數據",$S591&lt;&gt;"Active"),1,0)</f>
        <v>0</v>
      </c>
      <c r="AC591" s="32" t="n">
        <f aca="false">IF(AND(ISNUMBER($K591),ISNUMBER($L591),ISNUMBER($Q591)),IF(OR($Q591&lt;MIN($K591,$L591),$Q591&gt;MAX($K591,$L591)),1,0),0)</f>
        <v>0</v>
      </c>
      <c r="AD591" s="32" t="n">
        <f aca="false">IF(AND(ISNUMBER($T591),$P591="高"),IF($T591=3,1,0),0)</f>
        <v>0</v>
      </c>
      <c r="AE591" s="32" t="n">
        <f aca="false">IF($S591="不存在",1,0)</f>
        <v>0</v>
      </c>
      <c r="AF591" s="44" t="str">
        <f aca="false">IF(OR($H591="—",$H591=""),"—",MATCH($H591,IDX_SrcID,0))</f>
        <v>—</v>
      </c>
      <c r="AG591" s="32" t="n">
        <f aca="false">IF(AND($P591="高",OR($AD591=1,$X591=1)),1,0)</f>
        <v>0</v>
      </c>
      <c r="AH591" s="32" t="n">
        <f aca="false">IF(AND($P591="高",$AG591=0,OR($F591&lt;&gt;"原始數據",$T591&lt;&gt;1)),1,0)</f>
        <v>0</v>
      </c>
      <c r="AI591" s="44" t="str">
        <f aca="false">IF(AND($P591="高",ISNUMBER($AF591)),INDEX(IDX_SrcDate,$AF591),"—")</f>
        <v>—</v>
      </c>
      <c r="AJ591" s="32" t="n">
        <f aca="false">IF(AND(ISTEXT($AI591),LEN($AI591)=10),IF(ISNUMBER(VALUE(SUBSTITUTE($AI591,"-",""))),VALUE(SUBSTITUTE($AI591,"-","")),0),0)</f>
        <v>0</v>
      </c>
    </row>
    <row r="592" customFormat="false" ht="26.25" hidden="false" customHeight="true" outlineLevel="0" collapsed="false">
      <c r="A592" s="30" t="s">
        <v>6153</v>
      </c>
      <c r="B592" s="239" t="s">
        <v>6109</v>
      </c>
      <c r="C592" s="30" t="s">
        <v>6110</v>
      </c>
      <c r="D592" s="30" t="s">
        <v>5047</v>
      </c>
      <c r="E592" s="6" t="s">
        <v>2451</v>
      </c>
      <c r="F592" s="30" t="s">
        <v>114</v>
      </c>
      <c r="G592" s="239" t="s">
        <v>97</v>
      </c>
      <c r="H592" s="30" t="s">
        <v>3436</v>
      </c>
      <c r="I592" s="20" t="s">
        <v>6154</v>
      </c>
      <c r="J592" s="30" t="s">
        <v>751</v>
      </c>
      <c r="K592" s="194" t="n">
        <f aca="false">Alloc_In!D16</f>
        <v>0.4</v>
      </c>
      <c r="L592" s="194" t="n">
        <f aca="false">Alloc_In!E16</f>
        <v>0.8</v>
      </c>
      <c r="M592" s="30" t="s">
        <v>751</v>
      </c>
      <c r="N592" s="20" t="s">
        <v>6155</v>
      </c>
      <c r="O592" s="6" t="s">
        <v>751</v>
      </c>
      <c r="P592" s="239" t="s">
        <v>1308</v>
      </c>
      <c r="Q592" s="194" t="n">
        <f aca="false">Alloc_In!C16</f>
        <v>0.6</v>
      </c>
      <c r="R592" s="184" t="n">
        <f aca="false">SRC_DEM_005</f>
        <v>3.9</v>
      </c>
      <c r="S592" s="44" t="str">
        <f aca="false">IF(ISNUMBER($AF592),INDEX(IDX_SrcStat,$AF592),"—")</f>
        <v>Active</v>
      </c>
      <c r="T592" s="44" t="n">
        <f aca="false">IF(ISNUMBER($AF592),INDEX(IDX_SrcGrade,$AF592),"—")</f>
        <v>2</v>
      </c>
      <c r="U592" s="44" t="s">
        <v>4531</v>
      </c>
      <c r="V592" s="32" t="n">
        <f aca="false">IF(AND($F592="原始數據",$U592&lt;&gt;"連結 SRC"),1,0)</f>
        <v>0</v>
      </c>
      <c r="W592" s="32" t="n">
        <f aca="false">IF(AND($F592="Analogy",OR($H592="—",$H592="")),1,0)</f>
        <v>0</v>
      </c>
      <c r="X592" s="32" t="n">
        <f aca="false">IF(AND(OR($F592="Analogy",$F592="Assumed"),$G592&lt;&gt;"低",$G592&lt;&gt;"高",NOT(ISNUMBER($K592)),NOT(ISNUMBER($L592)),OR($M592="—",$M592="")),1,0)</f>
        <v>0</v>
      </c>
      <c r="Y592" s="32" t="n">
        <f aca="false">IF(AND(OR($F592="Analogy",$F592="Assumed",$F592="Derived（待改公式）",$F592="Derived（公式）"),OR($N592="—",$N592="",$N592=0)),1,0)</f>
        <v>0</v>
      </c>
      <c r="Z592" s="32" t="n">
        <f aca="false">IF(AND($F592="Decision",OR($J592="—",$J592="")),1,0)</f>
        <v>0</v>
      </c>
      <c r="AA592" s="33" t="n">
        <f aca="false">IF(OR($J592="—",$J592=""),0,IF(COUNTIF(Decisions!$A$5:$A$300,$J592)=0,1,0))</f>
        <v>0</v>
      </c>
      <c r="AB592" s="32" t="n">
        <f aca="false">IF(AND($F592="原始數據",$S592&lt;&gt;"Active"),1,0)</f>
        <v>0</v>
      </c>
      <c r="AC592" s="32" t="n">
        <f aca="false">IF(AND(ISNUMBER($K592),ISNUMBER($L592),ISNUMBER($Q592)),IF(OR($Q592&lt;MIN($K592,$L592),$Q592&gt;MAX($K592,$L592)),1,0),0)</f>
        <v>0</v>
      </c>
      <c r="AD592" s="32" t="n">
        <f aca="false">IF(AND(ISNUMBER($T592),$P592="高"),IF($T592=3,1,0),0)</f>
        <v>0</v>
      </c>
      <c r="AE592" s="32" t="n">
        <f aca="false">IF($S592="不存在",1,0)</f>
        <v>0</v>
      </c>
      <c r="AF592" s="44" t="n">
        <f aca="false">IF(OR($H592="—",$H592=""),"—",MATCH($H592,IDX_SrcID,0))</f>
        <v>658</v>
      </c>
      <c r="AG592" s="32" t="n">
        <f aca="false">IF(AND($P592="高",OR($AD592=1,$X592=1)),1,0)</f>
        <v>0</v>
      </c>
      <c r="AH592" s="32" t="n">
        <f aca="false">IF(AND($P592="高",$AG592=0,OR($F592&lt;&gt;"原始數據",$T592&lt;&gt;1)),1,0)</f>
        <v>0</v>
      </c>
      <c r="AI592" s="44" t="str">
        <f aca="false">IF(AND($P592="高",ISNUMBER($AF592)),INDEX(IDX_SrcDate,$AF592),"—")</f>
        <v>—</v>
      </c>
      <c r="AJ592" s="32" t="n">
        <f aca="false">IF(AND(ISTEXT($AI592),LEN($AI592)=10),IF(ISNUMBER(VALUE(SUBSTITUTE($AI592,"-",""))),VALUE(SUBSTITUTE($AI592,"-","")),0),0)</f>
        <v>0</v>
      </c>
    </row>
    <row r="593" customFormat="false" ht="26.25" hidden="false" customHeight="true" outlineLevel="0" collapsed="false">
      <c r="A593" s="30" t="s">
        <v>6156</v>
      </c>
      <c r="B593" s="239" t="s">
        <v>6109</v>
      </c>
      <c r="C593" s="30" t="s">
        <v>6110</v>
      </c>
      <c r="D593" s="30" t="s">
        <v>6157</v>
      </c>
      <c r="E593" s="6" t="s">
        <v>2451</v>
      </c>
      <c r="F593" s="30" t="s">
        <v>114</v>
      </c>
      <c r="G593" s="239" t="s">
        <v>5614</v>
      </c>
      <c r="H593" s="30" t="s">
        <v>751</v>
      </c>
      <c r="I593" s="6" t="s">
        <v>751</v>
      </c>
      <c r="J593" s="30" t="s">
        <v>751</v>
      </c>
      <c r="K593" s="239"/>
      <c r="L593" s="239"/>
      <c r="M593" s="30" t="s">
        <v>6158</v>
      </c>
      <c r="N593" s="20" t="s">
        <v>6159</v>
      </c>
      <c r="O593" s="6" t="s">
        <v>751</v>
      </c>
      <c r="P593" s="30" t="s">
        <v>751</v>
      </c>
      <c r="Q593" s="184" t="s">
        <v>751</v>
      </c>
      <c r="R593" s="30" t="s">
        <v>751</v>
      </c>
      <c r="S593" s="44" t="str">
        <f aca="false">IF(ISNUMBER($AF593),INDEX(IDX_SrcStat,$AF593),"—")</f>
        <v>—</v>
      </c>
      <c r="T593" s="44" t="str">
        <f aca="false">IF(ISNUMBER($AF593),INDEX(IDX_SrcGrade,$AF593),"—")</f>
        <v>—</v>
      </c>
      <c r="U593" s="30" t="s">
        <v>751</v>
      </c>
      <c r="V593" s="32" t="n">
        <f aca="false">IF(AND($F593="原始數據",$U593&lt;&gt;"連結 SRC"),1,0)</f>
        <v>0</v>
      </c>
      <c r="W593" s="32" t="n">
        <f aca="false">IF(AND($F593="Analogy",OR($H593="—",$H593="")),1,0)</f>
        <v>0</v>
      </c>
      <c r="X593" s="32" t="n">
        <f aca="false">IF(AND(OR($F593="Analogy",$F593="Assumed"),$G593&lt;&gt;"低",$G593&lt;&gt;"高",NOT(ISNUMBER($K593)),NOT(ISNUMBER($L593)),OR($M593="—",$M593="")),1,0)</f>
        <v>0</v>
      </c>
      <c r="Y593" s="32" t="n">
        <f aca="false">IF(AND(OR($F593="Analogy",$F593="Assumed",$F593="Derived（待改公式）",$F593="Derived（公式）"),OR($N593="—",$N593="",$N593=0)),1,0)</f>
        <v>0</v>
      </c>
      <c r="Z593" s="32" t="n">
        <f aca="false">IF(AND($F593="Decision",OR($J593="—",$J593="")),1,0)</f>
        <v>0</v>
      </c>
      <c r="AA593" s="33" t="n">
        <f aca="false">IF(OR($J593="—",$J593=""),0,IF(COUNTIF(Decisions!$A$5:$A$300,$J593)=0,1,0))</f>
        <v>0</v>
      </c>
      <c r="AB593" s="32" t="n">
        <f aca="false">IF(AND($F593="原始數據",$S593&lt;&gt;"Active"),1,0)</f>
        <v>0</v>
      </c>
      <c r="AC593" s="32" t="n">
        <f aca="false">IF(AND(ISNUMBER($K593),ISNUMBER($L593),ISNUMBER($Q593)),IF(OR($Q593&lt;MIN($K593,$L593),$Q593&gt;MAX($K593,$L593)),1,0),0)</f>
        <v>0</v>
      </c>
      <c r="AD593" s="32" t="n">
        <f aca="false">IF(AND(ISNUMBER($T593),$P593="高"),IF($T593=3,1,0),0)</f>
        <v>0</v>
      </c>
      <c r="AE593" s="32" t="n">
        <f aca="false">IF($S593="不存在",1,0)</f>
        <v>0</v>
      </c>
      <c r="AF593" s="44" t="str">
        <f aca="false">IF(OR($H593="—",$H593=""),"—",MATCH($H593,IDX_SrcID,0))</f>
        <v>—</v>
      </c>
      <c r="AG593" s="32" t="n">
        <f aca="false">IF(AND($P593="高",OR($AD593=1,$X593=1)),1,0)</f>
        <v>0</v>
      </c>
      <c r="AH593" s="32" t="n">
        <f aca="false">IF(AND($P593="高",$AG593=0,OR($F593&lt;&gt;"原始數據",$T593&lt;&gt;1)),1,0)</f>
        <v>0</v>
      </c>
      <c r="AI593" s="44" t="str">
        <f aca="false">IF(AND($P593="高",ISNUMBER($AF593)),INDEX(IDX_SrcDate,$AF593),"—")</f>
        <v>—</v>
      </c>
      <c r="AJ593" s="32" t="n">
        <f aca="false">IF(AND(ISTEXT($AI593),LEN($AI593)=10),IF(ISNUMBER(VALUE(SUBSTITUTE($AI593,"-",""))),VALUE(SUBSTITUTE($AI593,"-","")),0),0)</f>
        <v>0</v>
      </c>
    </row>
    <row r="594" customFormat="false" ht="51.75" hidden="false" customHeight="true" outlineLevel="0" collapsed="false">
      <c r="A594" s="30" t="s">
        <v>6160</v>
      </c>
      <c r="B594" s="239" t="s">
        <v>6109</v>
      </c>
      <c r="C594" s="30" t="s">
        <v>6110</v>
      </c>
      <c r="D594" s="30" t="s">
        <v>6161</v>
      </c>
      <c r="E594" s="20" t="s">
        <v>6162</v>
      </c>
      <c r="F594" s="30" t="s">
        <v>162</v>
      </c>
      <c r="G594" s="239" t="s">
        <v>5287</v>
      </c>
      <c r="H594" s="30" t="s">
        <v>751</v>
      </c>
      <c r="I594" s="6" t="s">
        <v>751</v>
      </c>
      <c r="J594" s="30" t="s">
        <v>751</v>
      </c>
      <c r="K594" s="239"/>
      <c r="L594" s="239"/>
      <c r="M594" s="239" t="s">
        <v>6163</v>
      </c>
      <c r="N594" s="6" t="s">
        <v>6164</v>
      </c>
      <c r="O594" s="6" t="s">
        <v>751</v>
      </c>
      <c r="P594" s="30" t="s">
        <v>751</v>
      </c>
      <c r="Q594" s="184" t="s">
        <v>751</v>
      </c>
      <c r="R594" s="30" t="s">
        <v>751</v>
      </c>
      <c r="S594" s="44" t="str">
        <f aca="false">IF(ISNUMBER($AF594),INDEX(IDX_SrcStat,$AF594),"—")</f>
        <v>—</v>
      </c>
      <c r="T594" s="44" t="str">
        <f aca="false">IF(ISNUMBER($AF594),INDEX(IDX_SrcGrade,$AF594),"—")</f>
        <v>—</v>
      </c>
      <c r="U594" s="30" t="s">
        <v>751</v>
      </c>
      <c r="V594" s="32" t="n">
        <f aca="false">IF(AND($F594="原始數據",$U594&lt;&gt;"連結 SRC"),1,0)</f>
        <v>0</v>
      </c>
      <c r="W594" s="32" t="n">
        <f aca="false">IF(AND($F594="Analogy",OR($H594="—",$H594="")),1,0)</f>
        <v>0</v>
      </c>
      <c r="X594" s="32" t="n">
        <f aca="false">IF(AND(OR($F594="Analogy",$F594="Assumed"),$G594&lt;&gt;"低",$G594&lt;&gt;"高",NOT(ISNUMBER($K594)),NOT(ISNUMBER($L594)),OR($M594="—",$M594="")),1,0)</f>
        <v>0</v>
      </c>
      <c r="Y594" s="32" t="n">
        <f aca="false">IF(AND(OR($F594="Analogy",$F594="Assumed",$F594="Derived（待改公式）",$F594="Derived（公式）"),OR($N594="—",$N594="",$N594=0)),1,0)</f>
        <v>0</v>
      </c>
      <c r="Z594" s="32" t="n">
        <f aca="false">IF(AND($F594="Decision",OR($J594="—",$J594="")),1,0)</f>
        <v>0</v>
      </c>
      <c r="AA594" s="33" t="n">
        <f aca="false">IF(OR($J594="—",$J594=""),0,IF(COUNTIF(Decisions!$A$5:$A$300,$J594)=0,1,0))</f>
        <v>0</v>
      </c>
      <c r="AB594" s="32" t="n">
        <f aca="false">IF(AND($F594="原始數據",$S594&lt;&gt;"Active"),1,0)</f>
        <v>0</v>
      </c>
      <c r="AC594" s="32" t="n">
        <f aca="false">IF(AND(ISNUMBER($K594),ISNUMBER($L594),ISNUMBER($Q594)),IF(OR($Q594&lt;MIN($K594,$L594),$Q594&gt;MAX($K594,$L594)),1,0),0)</f>
        <v>0</v>
      </c>
      <c r="AD594" s="32" t="n">
        <f aca="false">IF(AND(ISNUMBER($T594),$P594="高"),IF($T594=3,1,0),0)</f>
        <v>0</v>
      </c>
      <c r="AE594" s="32" t="n">
        <f aca="false">IF($S594="不存在",1,0)</f>
        <v>0</v>
      </c>
      <c r="AF594" s="44" t="str">
        <f aca="false">IF(OR($H594="—",$H594=""),"—",MATCH($H594,IDX_SrcID,0))</f>
        <v>—</v>
      </c>
      <c r="AG594" s="32" t="n">
        <f aca="false">IF(AND($P594="高",OR($AD594=1,$X594=1)),1,0)</f>
        <v>0</v>
      </c>
      <c r="AH594" s="32" t="n">
        <f aca="false">IF(AND($P594="高",$AG594=0,OR($F594&lt;&gt;"原始數據",$T594&lt;&gt;1)),1,0)</f>
        <v>0</v>
      </c>
      <c r="AI594" s="44" t="str">
        <f aca="false">IF(AND($P594="高",ISNUMBER($AF594)),INDEX(IDX_SrcDate,$AF594),"—")</f>
        <v>—</v>
      </c>
      <c r="AJ594" s="32" t="n">
        <f aca="false">IF(AND(ISTEXT($AI594),LEN($AI594)=10),IF(ISNUMBER(VALUE(SUBSTITUTE($AI594,"-",""))),VALUE(SUBSTITUTE($AI594,"-","")),0),0)</f>
        <v>0</v>
      </c>
    </row>
    <row r="595" customFormat="false" ht="26.25" hidden="false" customHeight="true" outlineLevel="0" collapsed="false">
      <c r="A595" s="30" t="s">
        <v>6165</v>
      </c>
      <c r="B595" s="239" t="s">
        <v>6109</v>
      </c>
      <c r="C595" s="30" t="s">
        <v>6110</v>
      </c>
      <c r="D595" s="30" t="s">
        <v>6166</v>
      </c>
      <c r="E595" s="20" t="s">
        <v>6162</v>
      </c>
      <c r="F595" s="30" t="s">
        <v>162</v>
      </c>
      <c r="G595" s="239" t="s">
        <v>5614</v>
      </c>
      <c r="H595" s="30" t="s">
        <v>751</v>
      </c>
      <c r="I595" s="6" t="s">
        <v>751</v>
      </c>
      <c r="J595" s="30" t="s">
        <v>751</v>
      </c>
      <c r="K595" s="239"/>
      <c r="L595" s="239"/>
      <c r="M595" s="30" t="s">
        <v>6167</v>
      </c>
      <c r="N595" s="6" t="s">
        <v>6168</v>
      </c>
      <c r="O595" s="6" t="s">
        <v>751</v>
      </c>
      <c r="P595" s="30" t="s">
        <v>751</v>
      </c>
      <c r="Q595" s="184" t="s">
        <v>751</v>
      </c>
      <c r="R595" s="30" t="s">
        <v>751</v>
      </c>
      <c r="S595" s="44" t="str">
        <f aca="false">IF(ISNUMBER($AF595),INDEX(IDX_SrcStat,$AF595),"—")</f>
        <v>—</v>
      </c>
      <c r="T595" s="44" t="str">
        <f aca="false">IF(ISNUMBER($AF595),INDEX(IDX_SrcGrade,$AF595),"—")</f>
        <v>—</v>
      </c>
      <c r="U595" s="30" t="s">
        <v>751</v>
      </c>
      <c r="V595" s="32" t="n">
        <f aca="false">IF(AND($F595="原始數據",$U595&lt;&gt;"連結 SRC"),1,0)</f>
        <v>0</v>
      </c>
      <c r="W595" s="32" t="n">
        <f aca="false">IF(AND($F595="Analogy",OR($H595="—",$H595="")),1,0)</f>
        <v>0</v>
      </c>
      <c r="X595" s="32" t="n">
        <f aca="false">IF(AND(OR($F595="Analogy",$F595="Assumed"),$G595&lt;&gt;"低",$G595&lt;&gt;"高",NOT(ISNUMBER($K595)),NOT(ISNUMBER($L595)),OR($M595="—",$M595="")),1,0)</f>
        <v>0</v>
      </c>
      <c r="Y595" s="32" t="n">
        <f aca="false">IF(AND(OR($F595="Analogy",$F595="Assumed",$F595="Derived（待改公式）",$F595="Derived（公式）"),OR($N595="—",$N595="",$N595=0)),1,0)</f>
        <v>0</v>
      </c>
      <c r="Z595" s="32" t="n">
        <f aca="false">IF(AND($F595="Decision",OR($J595="—",$J595="")),1,0)</f>
        <v>0</v>
      </c>
      <c r="AA595" s="33" t="n">
        <f aca="false">IF(OR($J595="—",$J595=""),0,IF(COUNTIF(Decisions!$A$5:$A$300,$J595)=0,1,0))</f>
        <v>0</v>
      </c>
      <c r="AB595" s="32" t="n">
        <f aca="false">IF(AND($F595="原始數據",$S595&lt;&gt;"Active"),1,0)</f>
        <v>0</v>
      </c>
      <c r="AC595" s="32" t="n">
        <f aca="false">IF(AND(ISNUMBER($K595),ISNUMBER($L595),ISNUMBER($Q595)),IF(OR($Q595&lt;MIN($K595,$L595),$Q595&gt;MAX($K595,$L595)),1,0),0)</f>
        <v>0</v>
      </c>
      <c r="AD595" s="32" t="n">
        <f aca="false">IF(AND(ISNUMBER($T595),$P595="高"),IF($T595=3,1,0),0)</f>
        <v>0</v>
      </c>
      <c r="AE595" s="32" t="n">
        <f aca="false">IF($S595="不存在",1,0)</f>
        <v>0</v>
      </c>
      <c r="AF595" s="44" t="str">
        <f aca="false">IF(OR($H595="—",$H595=""),"—",MATCH($H595,IDX_SrcID,0))</f>
        <v>—</v>
      </c>
      <c r="AG595" s="32" t="n">
        <f aca="false">IF(AND($P595="高",OR($AD595=1,$X595=1)),1,0)</f>
        <v>0</v>
      </c>
      <c r="AH595" s="32" t="n">
        <f aca="false">IF(AND($P595="高",$AG595=0,OR($F595&lt;&gt;"原始數據",$T595&lt;&gt;1)),1,0)</f>
        <v>0</v>
      </c>
      <c r="AI595" s="44" t="str">
        <f aca="false">IF(AND($P595="高",ISNUMBER($AF595)),INDEX(IDX_SrcDate,$AF595),"—")</f>
        <v>—</v>
      </c>
      <c r="AJ595" s="32" t="n">
        <f aca="false">IF(AND(ISTEXT($AI595),LEN($AI595)=10),IF(ISNUMBER(VALUE(SUBSTITUTE($AI595,"-",""))),VALUE(SUBSTITUTE($AI595,"-","")),0),0)</f>
        <v>0</v>
      </c>
    </row>
    <row r="596" customFormat="false" ht="26.25" hidden="false" customHeight="true" outlineLevel="0" collapsed="false">
      <c r="A596" s="30" t="s">
        <v>6169</v>
      </c>
      <c r="B596" s="239" t="s">
        <v>6170</v>
      </c>
      <c r="C596" s="30" t="s">
        <v>5123</v>
      </c>
      <c r="D596" s="30" t="s">
        <v>4883</v>
      </c>
      <c r="E596" s="20" t="s">
        <v>6171</v>
      </c>
      <c r="F596" s="239" t="s">
        <v>114</v>
      </c>
      <c r="G596" s="239" t="s">
        <v>4527</v>
      </c>
      <c r="H596" s="30" t="s">
        <v>751</v>
      </c>
      <c r="I596" s="6" t="s">
        <v>751</v>
      </c>
      <c r="J596" s="30" t="s">
        <v>4374</v>
      </c>
      <c r="K596" s="241" t="n">
        <v>0.7</v>
      </c>
      <c r="L596" s="241" t="n">
        <v>1</v>
      </c>
      <c r="M596" s="239" t="s">
        <v>6172</v>
      </c>
      <c r="N596" s="6" t="s">
        <v>6173</v>
      </c>
      <c r="O596" s="6" t="s">
        <v>751</v>
      </c>
      <c r="P596" s="239" t="s">
        <v>1309</v>
      </c>
      <c r="Q596" s="192" t="n">
        <f aca="false">Serving!C28</f>
        <v>0.85</v>
      </c>
      <c r="R596" s="30" t="s">
        <v>751</v>
      </c>
      <c r="S596" s="44" t="str">
        <f aca="false">IF(ISNUMBER($AF596),INDEX(IDX_SrcStat,$AF596),"—")</f>
        <v>—</v>
      </c>
      <c r="T596" s="44" t="str">
        <f aca="false">IF(ISNUMBER($AF596),INDEX(IDX_SrcGrade,$AF596),"—")</f>
        <v>—</v>
      </c>
      <c r="U596" s="44" t="s">
        <v>4531</v>
      </c>
      <c r="V596" s="32" t="n">
        <f aca="false">IF(AND($F596="原始數據",$U596&lt;&gt;"連結 SRC"),1,0)</f>
        <v>0</v>
      </c>
      <c r="W596" s="32" t="n">
        <f aca="false">IF(AND($F596="Analogy",OR($H596="—",$H596="")),1,0)</f>
        <v>0</v>
      </c>
      <c r="X596" s="32" t="n">
        <f aca="false">IF(AND(OR($F596="Analogy",$F596="Assumed"),$G596&lt;&gt;"低",$G596&lt;&gt;"高",NOT(ISNUMBER($K596)),NOT(ISNUMBER($L596)),OR($M596="—",$M596="")),1,0)</f>
        <v>0</v>
      </c>
      <c r="Y596" s="32" t="n">
        <f aca="false">IF(AND(OR($F596="Analogy",$F596="Assumed",$F596="Derived（待改公式）",$F596="Derived（公式）"),OR($N596="—",$N596="",$N596=0)),1,0)</f>
        <v>0</v>
      </c>
      <c r="Z596" s="32" t="n">
        <f aca="false">IF(AND($F596="Decision",OR($J596="—",$J596="")),1,0)</f>
        <v>0</v>
      </c>
      <c r="AA596" s="33" t="n">
        <f aca="false">IF(OR($J596="—",$J596=""),0,IF(COUNTIF(Decisions!$A$5:$A$300,$J596)=0,1,0))</f>
        <v>0</v>
      </c>
      <c r="AB596" s="32" t="n">
        <f aca="false">IF(AND($F596="原始數據",$S596&lt;&gt;"Active"),1,0)</f>
        <v>0</v>
      </c>
      <c r="AC596" s="32" t="n">
        <f aca="false">IF(AND(ISNUMBER($K596),ISNUMBER($L596),ISNUMBER($Q596)),IF(OR($Q596&lt;MIN($K596,$L596),$Q596&gt;MAX($K596,$L596)),1,0),0)</f>
        <v>0</v>
      </c>
      <c r="AD596" s="32" t="n">
        <f aca="false">IF(AND(ISNUMBER($T596),$P596="高"),IF($T596=3,1,0),0)</f>
        <v>0</v>
      </c>
      <c r="AE596" s="32" t="n">
        <f aca="false">IF($S596="不存在",1,0)</f>
        <v>0</v>
      </c>
      <c r="AF596" s="44" t="str">
        <f aca="false">IF(OR($H596="—",$H596=""),"—",MATCH($H596,IDX_SrcID,0))</f>
        <v>—</v>
      </c>
      <c r="AG596" s="32" t="n">
        <f aca="false">IF(AND($P596="高",OR($AD596=1,$X596=1)),1,0)</f>
        <v>0</v>
      </c>
      <c r="AH596" s="32" t="n">
        <f aca="false">IF(AND($P596="高",$AG596=0,OR($F596&lt;&gt;"原始數據",$T596&lt;&gt;1)),1,0)</f>
        <v>1</v>
      </c>
      <c r="AI596" s="44" t="str">
        <f aca="false">IF(AND($P596="高",ISNUMBER($AF596)),INDEX(IDX_SrcDate,$AF596),"—")</f>
        <v>—</v>
      </c>
      <c r="AJ596" s="32" t="n">
        <f aca="false">IF(AND(ISTEXT($AI596),LEN($AI596)=10),IF(ISNUMBER(VALUE(SUBSTITUTE($AI596,"-",""))),VALUE(SUBSTITUTE($AI596,"-","")),0),0)</f>
        <v>0</v>
      </c>
    </row>
    <row r="597" customFormat="false" ht="51.75" hidden="false" customHeight="true" outlineLevel="0" collapsed="false">
      <c r="A597" s="30" t="s">
        <v>6174</v>
      </c>
      <c r="B597" s="239" t="s">
        <v>6175</v>
      </c>
      <c r="C597" s="30" t="s">
        <v>5608</v>
      </c>
      <c r="D597" s="30" t="s">
        <v>6176</v>
      </c>
      <c r="E597" s="20" t="s">
        <v>6177</v>
      </c>
      <c r="F597" s="239" t="s">
        <v>5398</v>
      </c>
      <c r="G597" s="239" t="s">
        <v>4527</v>
      </c>
      <c r="H597" s="30" t="s">
        <v>751</v>
      </c>
      <c r="I597" s="6" t="s">
        <v>751</v>
      </c>
      <c r="J597" s="30" t="s">
        <v>4378</v>
      </c>
      <c r="K597" s="241" t="n">
        <v>0.3</v>
      </c>
      <c r="L597" s="241" t="n">
        <v>1</v>
      </c>
      <c r="M597" s="239" t="s">
        <v>6178</v>
      </c>
      <c r="N597" s="6" t="s">
        <v>6179</v>
      </c>
      <c r="O597" s="6" t="s">
        <v>751</v>
      </c>
      <c r="P597" s="239" t="s">
        <v>1309</v>
      </c>
      <c r="Q597" s="192" t="n">
        <f aca="false">Cap_In!C63</f>
        <v>1</v>
      </c>
      <c r="R597" s="30" t="s">
        <v>751</v>
      </c>
      <c r="S597" s="44" t="str">
        <f aca="false">IF(ISNUMBER($AF597),INDEX(IDX_SrcStat,$AF597),"—")</f>
        <v>—</v>
      </c>
      <c r="T597" s="44" t="str">
        <f aca="false">IF(ISNUMBER($AF597),INDEX(IDX_SrcGrade,$AF597),"—")</f>
        <v>—</v>
      </c>
      <c r="U597" s="44" t="s">
        <v>4531</v>
      </c>
      <c r="V597" s="32" t="n">
        <f aca="false">IF(AND($F597="原始數據",$U597&lt;&gt;"連結 SRC"),1,0)</f>
        <v>0</v>
      </c>
      <c r="W597" s="32" t="n">
        <f aca="false">IF(AND($F597="Analogy",OR($H597="—",$H597="")),1,0)</f>
        <v>0</v>
      </c>
      <c r="X597" s="32" t="n">
        <f aca="false">IF(AND(OR($F597="Analogy",$F597="Assumed"),$G597&lt;&gt;"低",$G597&lt;&gt;"高",NOT(ISNUMBER($K597)),NOT(ISNUMBER($L597)),OR($M597="—",$M597="")),1,0)</f>
        <v>0</v>
      </c>
      <c r="Y597" s="32" t="n">
        <f aca="false">IF(AND(OR($F597="Analogy",$F597="Assumed",$F597="Derived（待改公式）",$F597="Derived（公式）"),OR($N597="—",$N597="",$N597=0)),1,0)</f>
        <v>0</v>
      </c>
      <c r="Z597" s="32" t="n">
        <f aca="false">IF(AND($F597="Decision",OR($J597="—",$J597="")),1,0)</f>
        <v>0</v>
      </c>
      <c r="AA597" s="33" t="n">
        <f aca="false">IF(OR($J597="—",$J597=""),0,IF(COUNTIF(Decisions!$A$5:$A$300,$J597)=0,1,0))</f>
        <v>0</v>
      </c>
      <c r="AB597" s="32" t="n">
        <f aca="false">IF(AND($F597="原始數據",$S597&lt;&gt;"Active"),1,0)</f>
        <v>0</v>
      </c>
      <c r="AC597" s="32" t="n">
        <f aca="false">IF(AND(ISNUMBER($K597),ISNUMBER($L597),ISNUMBER($Q597)),IF(OR($Q597&lt;MIN($K597,$L597),$Q597&gt;MAX($K597,$L597)),1,0),0)</f>
        <v>0</v>
      </c>
      <c r="AD597" s="32" t="n">
        <f aca="false">IF(AND(ISNUMBER($T597),$P597="高"),IF($T597=3,1,0),0)</f>
        <v>0</v>
      </c>
      <c r="AE597" s="32" t="n">
        <f aca="false">IF($S597="不存在",1,0)</f>
        <v>0</v>
      </c>
      <c r="AF597" s="44" t="str">
        <f aca="false">IF(OR($H597="—",$H597=""),"—",MATCH($H597,IDX_SrcID,0))</f>
        <v>—</v>
      </c>
      <c r="AG597" s="32" t="n">
        <f aca="false">IF(AND($P597="高",OR($AD597=1,$X597=1)),1,0)</f>
        <v>0</v>
      </c>
      <c r="AH597" s="32" t="n">
        <f aca="false">IF(AND($P597="高",$AG597=0,OR($F597&lt;&gt;"原始數據",$T597&lt;&gt;1)),1,0)</f>
        <v>1</v>
      </c>
      <c r="AI597" s="44" t="str">
        <f aca="false">IF(AND($P597="高",ISNUMBER($AF597)),INDEX(IDX_SrcDate,$AF597),"—")</f>
        <v>—</v>
      </c>
      <c r="AJ597" s="32" t="n">
        <f aca="false">IF(AND(ISTEXT($AI597),LEN($AI597)=10),IF(ISNUMBER(VALUE(SUBSTITUTE($AI597,"-",""))),VALUE(SUBSTITUTE($AI597,"-","")),0),0)</f>
        <v>0</v>
      </c>
    </row>
    <row r="598" customFormat="false" ht="26.25" hidden="false" customHeight="true" outlineLevel="0" collapsed="false">
      <c r="A598" s="30" t="s">
        <v>6180</v>
      </c>
      <c r="B598" s="239" t="s">
        <v>6175</v>
      </c>
      <c r="C598" s="30" t="s">
        <v>5608</v>
      </c>
      <c r="D598" s="30" t="s">
        <v>6181</v>
      </c>
      <c r="E598" s="20" t="s">
        <v>6182</v>
      </c>
      <c r="F598" s="239" t="s">
        <v>5398</v>
      </c>
      <c r="G598" s="239" t="s">
        <v>4527</v>
      </c>
      <c r="H598" s="30" t="s">
        <v>751</v>
      </c>
      <c r="I598" s="6" t="s">
        <v>751</v>
      </c>
      <c r="J598" s="30" t="s">
        <v>4378</v>
      </c>
      <c r="K598" s="241" t="n">
        <v>0.3</v>
      </c>
      <c r="L598" s="241" t="n">
        <v>1</v>
      </c>
      <c r="M598" s="239" t="s">
        <v>6178</v>
      </c>
      <c r="N598" s="6" t="s">
        <v>6183</v>
      </c>
      <c r="O598" s="6" t="s">
        <v>751</v>
      </c>
      <c r="P598" s="239" t="s">
        <v>1309</v>
      </c>
      <c r="Q598" s="192" t="n">
        <f aca="false">Cap_In!C64</f>
        <v>1</v>
      </c>
      <c r="R598" s="30" t="s">
        <v>751</v>
      </c>
      <c r="S598" s="44" t="str">
        <f aca="false">IF(ISNUMBER($AF598),INDEX(IDX_SrcStat,$AF598),"—")</f>
        <v>—</v>
      </c>
      <c r="T598" s="44" t="str">
        <f aca="false">IF(ISNUMBER($AF598),INDEX(IDX_SrcGrade,$AF598),"—")</f>
        <v>—</v>
      </c>
      <c r="U598" s="44" t="s">
        <v>4531</v>
      </c>
      <c r="V598" s="32" t="n">
        <f aca="false">IF(AND($F598="原始數據",$U598&lt;&gt;"連結 SRC"),1,0)</f>
        <v>0</v>
      </c>
      <c r="W598" s="32" t="n">
        <f aca="false">IF(AND($F598="Analogy",OR($H598="—",$H598="")),1,0)</f>
        <v>0</v>
      </c>
      <c r="X598" s="32" t="n">
        <f aca="false">IF(AND(OR($F598="Analogy",$F598="Assumed"),$G598&lt;&gt;"低",$G598&lt;&gt;"高",NOT(ISNUMBER($K598)),NOT(ISNUMBER($L598)),OR($M598="—",$M598="")),1,0)</f>
        <v>0</v>
      </c>
      <c r="Y598" s="32" t="n">
        <f aca="false">IF(AND(OR($F598="Analogy",$F598="Assumed",$F598="Derived（待改公式）",$F598="Derived（公式）"),OR($N598="—",$N598="",$N598=0)),1,0)</f>
        <v>0</v>
      </c>
      <c r="Z598" s="32" t="n">
        <f aca="false">IF(AND($F598="Decision",OR($J598="—",$J598="")),1,0)</f>
        <v>0</v>
      </c>
      <c r="AA598" s="33" t="n">
        <f aca="false">IF(OR($J598="—",$J598=""),0,IF(COUNTIF(Decisions!$A$5:$A$300,$J598)=0,1,0))</f>
        <v>0</v>
      </c>
      <c r="AB598" s="32" t="n">
        <f aca="false">IF(AND($F598="原始數據",$S598&lt;&gt;"Active"),1,0)</f>
        <v>0</v>
      </c>
      <c r="AC598" s="32" t="n">
        <f aca="false">IF(AND(ISNUMBER($K598),ISNUMBER($L598),ISNUMBER($Q598)),IF(OR($Q598&lt;MIN($K598,$L598),$Q598&gt;MAX($K598,$L598)),1,0),0)</f>
        <v>0</v>
      </c>
      <c r="AD598" s="32" t="n">
        <f aca="false">IF(AND(ISNUMBER($T598),$P598="高"),IF($T598=3,1,0),0)</f>
        <v>0</v>
      </c>
      <c r="AE598" s="32" t="n">
        <f aca="false">IF($S598="不存在",1,0)</f>
        <v>0</v>
      </c>
      <c r="AF598" s="44" t="str">
        <f aca="false">IF(OR($H598="—",$H598=""),"—",MATCH($H598,IDX_SrcID,0))</f>
        <v>—</v>
      </c>
      <c r="AG598" s="32" t="n">
        <f aca="false">IF(AND($P598="高",OR($AD598=1,$X598=1)),1,0)</f>
        <v>0</v>
      </c>
      <c r="AH598" s="32" t="n">
        <f aca="false">IF(AND($P598="高",$AG598=0,OR($F598&lt;&gt;"原始數據",$T598&lt;&gt;1)),1,0)</f>
        <v>1</v>
      </c>
      <c r="AI598" s="44" t="str">
        <f aca="false">IF(AND($P598="高",ISNUMBER($AF598)),INDEX(IDX_SrcDate,$AF598),"—")</f>
        <v>—</v>
      </c>
      <c r="AJ598" s="32" t="n">
        <f aca="false">IF(AND(ISTEXT($AI598),LEN($AI598)=10),IF(ISNUMBER(VALUE(SUBSTITUTE($AI598,"-",""))),VALUE(SUBSTITUTE($AI598,"-","")),0),0)</f>
        <v>0</v>
      </c>
    </row>
    <row r="599" customFormat="false" ht="177" hidden="false" customHeight="true" outlineLevel="0" collapsed="false">
      <c r="A599" s="30" t="s">
        <v>6184</v>
      </c>
      <c r="B599" s="239" t="s">
        <v>6185</v>
      </c>
      <c r="C599" s="30" t="s">
        <v>5280</v>
      </c>
      <c r="D599" s="30" t="s">
        <v>6186</v>
      </c>
      <c r="E599" s="20" t="s">
        <v>6187</v>
      </c>
      <c r="F599" s="30" t="s">
        <v>162</v>
      </c>
      <c r="G599" s="239" t="s">
        <v>4527</v>
      </c>
      <c r="H599" s="30" t="s">
        <v>6188</v>
      </c>
      <c r="I599" s="20" t="s">
        <v>6189</v>
      </c>
      <c r="J599" s="30" t="s">
        <v>6190</v>
      </c>
      <c r="K599" s="241" t="n">
        <v>0.7</v>
      </c>
      <c r="L599" s="241" t="n">
        <v>1</v>
      </c>
      <c r="M599" s="239" t="s">
        <v>6191</v>
      </c>
      <c r="N599" s="6" t="s">
        <v>6192</v>
      </c>
      <c r="O599" s="6" t="s">
        <v>751</v>
      </c>
      <c r="P599" s="239" t="s">
        <v>4586</v>
      </c>
      <c r="Q599" s="192" t="n">
        <f aca="false">Calib!F156</f>
        <v>0.75</v>
      </c>
      <c r="R599" s="184" t="n">
        <f aca="false">SRC_PERF_056</f>
        <v>1183326.9</v>
      </c>
      <c r="S599" s="44" t="str">
        <f aca="false">IF(ISNUMBER($AF599),INDEX(IDX_SrcStat,$AF599),"—")</f>
        <v>Active</v>
      </c>
      <c r="T599" s="44" t="n">
        <f aca="false">IF(ISNUMBER($AF599),INDEX(IDX_SrcGrade,$AF599),"—")</f>
        <v>1</v>
      </c>
      <c r="U599" s="44" t="s">
        <v>4531</v>
      </c>
      <c r="V599" s="32" t="n">
        <f aca="false">IF(AND($F599="原始數據",$U599&lt;&gt;"連結 SRC"),1,0)</f>
        <v>0</v>
      </c>
      <c r="W599" s="32" t="n">
        <f aca="false">IF(AND($F599="Analogy",OR($H599="—",$H599="")),1,0)</f>
        <v>0</v>
      </c>
      <c r="X599" s="32" t="n">
        <f aca="false">IF(AND(OR($F599="Analogy",$F599="Assumed"),$G599&lt;&gt;"低",$G599&lt;&gt;"高",NOT(ISNUMBER($K599)),NOT(ISNUMBER($L599)),OR($M599="—",$M599="")),1,0)</f>
        <v>0</v>
      </c>
      <c r="Y599" s="32" t="n">
        <f aca="false">IF(AND(OR($F599="Analogy",$F599="Assumed",$F599="Derived（待改公式）",$F599="Derived（公式）"),OR($N599="—",$N599="",$N599=0)),1,0)</f>
        <v>0</v>
      </c>
      <c r="Z599" s="32" t="n">
        <f aca="false">IF(AND($F599="Decision",OR($J599="—",$J599="")),1,0)</f>
        <v>0</v>
      </c>
      <c r="AA599" s="33" t="n">
        <f aca="false">IF(OR($J599="—",$J599=""),0,IF(COUNTIF(Decisions!$A$5:$A$300,$J599)=0,1,0))</f>
        <v>0</v>
      </c>
      <c r="AB599" s="32" t="n">
        <f aca="false">IF(AND($F599="原始數據",$S599&lt;&gt;"Active"),1,0)</f>
        <v>0</v>
      </c>
      <c r="AC599" s="32" t="n">
        <f aca="false">IF(AND(ISNUMBER($K599),ISNUMBER($L599),ISNUMBER($Q599)),IF(OR($Q599&lt;MIN($K599,$L599),$Q599&gt;MAX($K599,$L599)),1,0),0)</f>
        <v>0</v>
      </c>
      <c r="AD599" s="32" t="n">
        <f aca="false">IF(AND(ISNUMBER($T599),$P599="高"),IF($T599=3,1,0),0)</f>
        <v>0</v>
      </c>
      <c r="AE599" s="32" t="n">
        <f aca="false">IF($S599="不存在",1,0)</f>
        <v>0</v>
      </c>
      <c r="AF599" s="44" t="n">
        <f aca="false">IF(OR($H599="—",$H599=""),"—",MATCH($H599,IDX_SrcID,0))</f>
        <v>350</v>
      </c>
      <c r="AG599" s="32" t="n">
        <f aca="false">IF(AND($P599="高",OR($AD599=1,$X599=1)),1,0)</f>
        <v>0</v>
      </c>
      <c r="AH599" s="32" t="n">
        <f aca="false">IF(AND($P599="高",$AG599=0,OR($F599&lt;&gt;"原始數據",$T599&lt;&gt;1)),1,0)</f>
        <v>0</v>
      </c>
      <c r="AI599" s="44" t="str">
        <f aca="false">IF(AND($P599="高",ISNUMBER($AF599)),INDEX(IDX_SrcDate,$AF599),"—")</f>
        <v>—</v>
      </c>
      <c r="AJ599" s="32" t="n">
        <f aca="false">IF(AND(ISTEXT($AI599),LEN($AI599)=10),IF(ISNUMBER(VALUE(SUBSTITUTE($AI599,"-",""))),VALUE(SUBSTITUTE($AI599,"-","")),0),0)</f>
        <v>0</v>
      </c>
    </row>
    <row r="600" customFormat="false" ht="72" hidden="false" customHeight="true" outlineLevel="0" collapsed="false">
      <c r="A600" s="30" t="s">
        <v>6193</v>
      </c>
      <c r="B600" s="205" t="s">
        <v>6194</v>
      </c>
      <c r="C600" s="30" t="s">
        <v>6110</v>
      </c>
      <c r="D600" s="30" t="s">
        <v>4804</v>
      </c>
      <c r="E600" s="243" t="s">
        <v>6195</v>
      </c>
      <c r="F600" s="30" t="s">
        <v>162</v>
      </c>
      <c r="G600" s="205" t="s">
        <v>97</v>
      </c>
      <c r="H600" s="30" t="s">
        <v>751</v>
      </c>
      <c r="I600" s="6" t="s">
        <v>751</v>
      </c>
      <c r="J600" s="30" t="s">
        <v>6196</v>
      </c>
      <c r="K600" s="192" t="n">
        <f aca="false">Alloc_In!D23</f>
        <v>0.73</v>
      </c>
      <c r="L600" s="192" t="n">
        <f aca="false">Alloc_In!E23</f>
        <v>1.17</v>
      </c>
      <c r="M600" s="30" t="s">
        <v>6197</v>
      </c>
      <c r="N600" s="6" t="s">
        <v>6198</v>
      </c>
      <c r="O600" s="6" t="s">
        <v>751</v>
      </c>
      <c r="P600" s="205" t="s">
        <v>4586</v>
      </c>
      <c r="Q600" s="192" t="n">
        <f aca="false">Alloc_In!C23</f>
        <v>0.85</v>
      </c>
      <c r="R600" s="30" t="s">
        <v>751</v>
      </c>
      <c r="S600" s="44" t="str">
        <f aca="false">IF(ISNUMBER($AF600),INDEX(IDX_SrcStat,$AF600),"—")</f>
        <v>—</v>
      </c>
      <c r="T600" s="44" t="str">
        <f aca="false">IF(ISNUMBER($AF600),INDEX(IDX_SrcGrade,$AF600),"—")</f>
        <v>—</v>
      </c>
      <c r="U600" s="44" t="s">
        <v>4531</v>
      </c>
      <c r="V600" s="32" t="n">
        <f aca="false">IF(AND($F600="原始數據",$U600&lt;&gt;"連結 SRC"),1,0)</f>
        <v>0</v>
      </c>
      <c r="W600" s="32" t="n">
        <f aca="false">IF(AND($F600="Analogy",OR($H600="—",$H600="")),1,0)</f>
        <v>0</v>
      </c>
      <c r="X600" s="32" t="n">
        <f aca="false">IF(AND(OR($F600="Analogy",$F600="Assumed"),$G600&lt;&gt;"低",$G600&lt;&gt;"高",NOT(ISNUMBER($K600)),NOT(ISNUMBER($L600)),OR($M600="—",$M600="")),1,0)</f>
        <v>0</v>
      </c>
      <c r="Y600" s="32" t="n">
        <f aca="false">IF(AND(OR($F600="Analogy",$F600="Assumed",$F600="Derived（待改公式）",$F600="Derived（公式）"),OR($N600="—",$N600="",$N600=0)),1,0)</f>
        <v>0</v>
      </c>
      <c r="Z600" s="32" t="n">
        <f aca="false">IF(AND($F600="Decision",OR($J600="—",$J600="")),1,0)</f>
        <v>0</v>
      </c>
      <c r="AA600" s="33" t="n">
        <f aca="false">IF(OR($J600="—",$J600=""),0,IF(COUNTIF(Decisions!$A$5:$A$300,$J600)=0,1,0))</f>
        <v>0</v>
      </c>
      <c r="AB600" s="32" t="n">
        <f aca="false">IF(AND($F600="原始數據",$S600&lt;&gt;"Active"),1,0)</f>
        <v>0</v>
      </c>
      <c r="AC600" s="32" t="n">
        <f aca="false">IF(AND(ISNUMBER($K600),ISNUMBER($L600),ISNUMBER($Q600)),IF(OR($Q600&lt;MIN($K600,$L600),$Q600&gt;MAX($K600,$L600)),1,0),0)</f>
        <v>0</v>
      </c>
      <c r="AD600" s="32" t="n">
        <f aca="false">IF(AND(ISNUMBER($T600),$P600="高"),IF($T600=3,1,0),0)</f>
        <v>0</v>
      </c>
      <c r="AE600" s="32" t="n">
        <f aca="false">IF($S600="不存在",1,0)</f>
        <v>0</v>
      </c>
      <c r="AF600" s="44" t="str">
        <f aca="false">IF(OR($H600="—",$H600=""),"—",MATCH($H600,IDX_SrcID,0))</f>
        <v>—</v>
      </c>
      <c r="AG600" s="32" t="n">
        <f aca="false">IF(AND($P600="高",OR($AD600=1,$X600=1)),1,0)</f>
        <v>0</v>
      </c>
      <c r="AH600" s="32" t="n">
        <f aca="false">IF(AND($P600="高",$AG600=0,OR($F600&lt;&gt;"原始數據",$T600&lt;&gt;1)),1,0)</f>
        <v>0</v>
      </c>
      <c r="AI600" s="44" t="str">
        <f aca="false">IF(AND($P600="高",ISNUMBER($AF600)),INDEX(IDX_SrcDate,$AF600),"—")</f>
        <v>—</v>
      </c>
      <c r="AJ600" s="32" t="n">
        <f aca="false">IF(AND(ISTEXT($AI600),LEN($AI600)=10),IF(ISNUMBER(VALUE(SUBSTITUTE($AI600,"-",""))),VALUE(SUBSTITUTE($AI600,"-","")),0),0)</f>
        <v>0</v>
      </c>
    </row>
    <row r="601" customFormat="false" ht="57.75" hidden="false" customHeight="true" outlineLevel="0" collapsed="false">
      <c r="A601" s="30" t="s">
        <v>6199</v>
      </c>
      <c r="B601" s="205" t="s">
        <v>6194</v>
      </c>
      <c r="C601" s="30" t="s">
        <v>6110</v>
      </c>
      <c r="D601" s="30" t="s">
        <v>6200</v>
      </c>
      <c r="E601" s="243" t="s">
        <v>6195</v>
      </c>
      <c r="F601" s="30" t="s">
        <v>162</v>
      </c>
      <c r="G601" s="205" t="s">
        <v>5614</v>
      </c>
      <c r="H601" s="30" t="s">
        <v>751</v>
      </c>
      <c r="I601" s="6" t="s">
        <v>751</v>
      </c>
      <c r="J601" s="30" t="s">
        <v>6196</v>
      </c>
      <c r="K601" s="205"/>
      <c r="L601" s="205"/>
      <c r="M601" s="30" t="s">
        <v>6201</v>
      </c>
      <c r="N601" s="6" t="s">
        <v>6202</v>
      </c>
      <c r="O601" s="6" t="s">
        <v>751</v>
      </c>
      <c r="P601" s="30" t="s">
        <v>751</v>
      </c>
      <c r="Q601" s="184" t="s">
        <v>751</v>
      </c>
      <c r="R601" s="30" t="s">
        <v>751</v>
      </c>
      <c r="S601" s="44" t="str">
        <f aca="false">IF(ISNUMBER($AF601),INDEX(IDX_SrcStat,$AF601),"—")</f>
        <v>—</v>
      </c>
      <c r="T601" s="44" t="str">
        <f aca="false">IF(ISNUMBER($AF601),INDEX(IDX_SrcGrade,$AF601),"—")</f>
        <v>—</v>
      </c>
      <c r="U601" s="30" t="s">
        <v>751</v>
      </c>
      <c r="V601" s="32" t="n">
        <f aca="false">IF(AND($F601="原始數據",$U601&lt;&gt;"連結 SRC"),1,0)</f>
        <v>0</v>
      </c>
      <c r="W601" s="32" t="n">
        <f aca="false">IF(AND($F601="Analogy",OR($H601="—",$H601="")),1,0)</f>
        <v>0</v>
      </c>
      <c r="X601" s="32" t="n">
        <f aca="false">IF(AND(OR($F601="Analogy",$F601="Assumed"),$G601&lt;&gt;"低",$G601&lt;&gt;"高",NOT(ISNUMBER($K601)),NOT(ISNUMBER($L601)),OR($M601="—",$M601="")),1,0)</f>
        <v>0</v>
      </c>
      <c r="Y601" s="32" t="n">
        <f aca="false">IF(AND(OR($F601="Analogy",$F601="Assumed",$F601="Derived（待改公式）",$F601="Derived（公式）"),OR($N601="—",$N601="",$N601=0)),1,0)</f>
        <v>0</v>
      </c>
      <c r="Z601" s="32" t="n">
        <f aca="false">IF(AND($F601="Decision",OR($J601="—",$J601="")),1,0)</f>
        <v>0</v>
      </c>
      <c r="AA601" s="33" t="n">
        <f aca="false">IF(OR($J601="—",$J601=""),0,IF(COUNTIF(Decisions!$A$5:$A$300,$J601)=0,1,0))</f>
        <v>0</v>
      </c>
      <c r="AB601" s="32" t="n">
        <f aca="false">IF(AND($F601="原始數據",$S601&lt;&gt;"Active"),1,0)</f>
        <v>0</v>
      </c>
      <c r="AC601" s="32" t="n">
        <f aca="false">IF(AND(ISNUMBER($K601),ISNUMBER($L601),ISNUMBER($Q601)),IF(OR($Q601&lt;MIN($K601,$L601),$Q601&gt;MAX($K601,$L601)),1,0),0)</f>
        <v>0</v>
      </c>
      <c r="AD601" s="32" t="n">
        <f aca="false">IF(AND(ISNUMBER($T601),$P601="高"),IF($T601=3,1,0),0)</f>
        <v>0</v>
      </c>
      <c r="AE601" s="32" t="n">
        <f aca="false">IF($S601="不存在",1,0)</f>
        <v>0</v>
      </c>
      <c r="AF601" s="44" t="str">
        <f aca="false">IF(OR($H601="—",$H601=""),"—",MATCH($H601,IDX_SrcID,0))</f>
        <v>—</v>
      </c>
      <c r="AG601" s="32" t="n">
        <f aca="false">IF(AND($P601="高",OR($AD601=1,$X601=1)),1,0)</f>
        <v>0</v>
      </c>
      <c r="AH601" s="32" t="n">
        <f aca="false">IF(AND($P601="高",$AG601=0,OR($F601&lt;&gt;"原始數據",$T601&lt;&gt;1)),1,0)</f>
        <v>0</v>
      </c>
      <c r="AI601" s="44" t="str">
        <f aca="false">IF(AND($P601="高",ISNUMBER($AF601)),INDEX(IDX_SrcDate,$AF601),"—")</f>
        <v>—</v>
      </c>
      <c r="AJ601" s="32" t="n">
        <f aca="false">IF(AND(ISTEXT($AI601),LEN($AI601)=10),IF(ISNUMBER(VALUE(SUBSTITUTE($AI601,"-",""))),VALUE(SUBSTITUTE($AI601,"-","")),0),0)</f>
        <v>0</v>
      </c>
    </row>
    <row r="602" customFormat="false" ht="72" hidden="false" customHeight="true" outlineLevel="0" collapsed="false">
      <c r="A602" s="30" t="s">
        <v>6203</v>
      </c>
      <c r="B602" s="205" t="s">
        <v>6194</v>
      </c>
      <c r="C602" s="30" t="s">
        <v>6110</v>
      </c>
      <c r="D602" s="30" t="s">
        <v>4821</v>
      </c>
      <c r="E602" s="243" t="s">
        <v>2458</v>
      </c>
      <c r="F602" s="30" t="s">
        <v>114</v>
      </c>
      <c r="G602" s="205" t="s">
        <v>97</v>
      </c>
      <c r="H602" s="30" t="s">
        <v>751</v>
      </c>
      <c r="I602" s="6" t="s">
        <v>751</v>
      </c>
      <c r="J602" s="30" t="s">
        <v>6196</v>
      </c>
      <c r="K602" s="192" t="n">
        <f aca="false">Alloc_In!D24</f>
        <v>0.3</v>
      </c>
      <c r="L602" s="192" t="n">
        <f aca="false">Alloc_In!E24</f>
        <v>0.65</v>
      </c>
      <c r="M602" s="30" t="s">
        <v>6204</v>
      </c>
      <c r="N602" s="6" t="s">
        <v>6205</v>
      </c>
      <c r="O602" s="6" t="s">
        <v>751</v>
      </c>
      <c r="P602" s="205" t="s">
        <v>4586</v>
      </c>
      <c r="Q602" s="192" t="n">
        <f aca="false">Alloc_In!C24</f>
        <v>0.41</v>
      </c>
      <c r="R602" s="30" t="s">
        <v>751</v>
      </c>
      <c r="S602" s="44" t="str">
        <f aca="false">IF(ISNUMBER($AF602),INDEX(IDX_SrcStat,$AF602),"—")</f>
        <v>—</v>
      </c>
      <c r="T602" s="44" t="str">
        <f aca="false">IF(ISNUMBER($AF602),INDEX(IDX_SrcGrade,$AF602),"—")</f>
        <v>—</v>
      </c>
      <c r="U602" s="44" t="s">
        <v>4531</v>
      </c>
      <c r="V602" s="32" t="n">
        <f aca="false">IF(AND($F602="原始數據",$U602&lt;&gt;"連結 SRC"),1,0)</f>
        <v>0</v>
      </c>
      <c r="W602" s="32" t="n">
        <f aca="false">IF(AND($F602="Analogy",OR($H602="—",$H602="")),1,0)</f>
        <v>0</v>
      </c>
      <c r="X602" s="32" t="n">
        <f aca="false">IF(AND(OR($F602="Analogy",$F602="Assumed"),$G602&lt;&gt;"低",$G602&lt;&gt;"高",NOT(ISNUMBER($K602)),NOT(ISNUMBER($L602)),OR($M602="—",$M602="")),1,0)</f>
        <v>0</v>
      </c>
      <c r="Y602" s="32" t="n">
        <f aca="false">IF(AND(OR($F602="Analogy",$F602="Assumed",$F602="Derived（待改公式）",$F602="Derived（公式）"),OR($N602="—",$N602="",$N602=0)),1,0)</f>
        <v>0</v>
      </c>
      <c r="Z602" s="32" t="n">
        <f aca="false">IF(AND($F602="Decision",OR($J602="—",$J602="")),1,0)</f>
        <v>0</v>
      </c>
      <c r="AA602" s="33" t="n">
        <f aca="false">IF(OR($J602="—",$J602=""),0,IF(COUNTIF(Decisions!$A$5:$A$300,$J602)=0,1,0))</f>
        <v>0</v>
      </c>
      <c r="AB602" s="32" t="n">
        <f aca="false">IF(AND($F602="原始數據",$S602&lt;&gt;"Active"),1,0)</f>
        <v>0</v>
      </c>
      <c r="AC602" s="32" t="n">
        <f aca="false">IF(AND(ISNUMBER($K602),ISNUMBER($L602),ISNUMBER($Q602)),IF(OR($Q602&lt;MIN($K602,$L602),$Q602&gt;MAX($K602,$L602)),1,0),0)</f>
        <v>0</v>
      </c>
      <c r="AD602" s="32" t="n">
        <f aca="false">IF(AND(ISNUMBER($T602),$P602="高"),IF($T602=3,1,0),0)</f>
        <v>0</v>
      </c>
      <c r="AE602" s="32" t="n">
        <f aca="false">IF($S602="不存在",1,0)</f>
        <v>0</v>
      </c>
      <c r="AF602" s="44" t="str">
        <f aca="false">IF(OR($H602="—",$H602=""),"—",MATCH($H602,IDX_SrcID,0))</f>
        <v>—</v>
      </c>
      <c r="AG602" s="32" t="n">
        <f aca="false">IF(AND($P602="高",OR($AD602=1,$X602=1)),1,0)</f>
        <v>0</v>
      </c>
      <c r="AH602" s="32" t="n">
        <f aca="false">IF(AND($P602="高",$AG602=0,OR($F602&lt;&gt;"原始數據",$T602&lt;&gt;1)),1,0)</f>
        <v>0</v>
      </c>
      <c r="AI602" s="44" t="str">
        <f aca="false">IF(AND($P602="高",ISNUMBER($AF602)),INDEX(IDX_SrcDate,$AF602),"—")</f>
        <v>—</v>
      </c>
      <c r="AJ602" s="32" t="n">
        <f aca="false">IF(AND(ISTEXT($AI602),LEN($AI602)=10),IF(ISNUMBER(VALUE(SUBSTITUTE($AI602,"-",""))),VALUE(SUBSTITUTE($AI602,"-","")),0),0)</f>
        <v>0</v>
      </c>
    </row>
    <row r="603" customFormat="false" ht="54.75" hidden="false" customHeight="true" outlineLevel="0" collapsed="false">
      <c r="A603" s="30" t="s">
        <v>6206</v>
      </c>
      <c r="B603" s="205" t="s">
        <v>6194</v>
      </c>
      <c r="C603" s="30" t="s">
        <v>6110</v>
      </c>
      <c r="D603" s="30" t="s">
        <v>6207</v>
      </c>
      <c r="E603" s="243" t="s">
        <v>2458</v>
      </c>
      <c r="F603" s="30" t="s">
        <v>114</v>
      </c>
      <c r="G603" s="205" t="s">
        <v>5614</v>
      </c>
      <c r="H603" s="30" t="s">
        <v>751</v>
      </c>
      <c r="I603" s="6" t="s">
        <v>751</v>
      </c>
      <c r="J603" s="30" t="s">
        <v>6196</v>
      </c>
      <c r="K603" s="205"/>
      <c r="L603" s="205"/>
      <c r="M603" s="30" t="s">
        <v>6208</v>
      </c>
      <c r="N603" s="6" t="s">
        <v>6209</v>
      </c>
      <c r="O603" s="6" t="s">
        <v>751</v>
      </c>
      <c r="P603" s="30" t="s">
        <v>751</v>
      </c>
      <c r="Q603" s="184" t="s">
        <v>751</v>
      </c>
      <c r="R603" s="30" t="s">
        <v>751</v>
      </c>
      <c r="S603" s="44" t="str">
        <f aca="false">IF(ISNUMBER($AF603),INDEX(IDX_SrcStat,$AF603),"—")</f>
        <v>—</v>
      </c>
      <c r="T603" s="44" t="str">
        <f aca="false">IF(ISNUMBER($AF603),INDEX(IDX_SrcGrade,$AF603),"—")</f>
        <v>—</v>
      </c>
      <c r="U603" s="30" t="s">
        <v>751</v>
      </c>
      <c r="V603" s="32" t="n">
        <f aca="false">IF(AND($F603="原始數據",$U603&lt;&gt;"連結 SRC"),1,0)</f>
        <v>0</v>
      </c>
      <c r="W603" s="32" t="n">
        <f aca="false">IF(AND($F603="Analogy",OR($H603="—",$H603="")),1,0)</f>
        <v>0</v>
      </c>
      <c r="X603" s="32" t="n">
        <f aca="false">IF(AND(OR($F603="Analogy",$F603="Assumed"),$G603&lt;&gt;"低",$G603&lt;&gt;"高",NOT(ISNUMBER($K603)),NOT(ISNUMBER($L603)),OR($M603="—",$M603="")),1,0)</f>
        <v>0</v>
      </c>
      <c r="Y603" s="32" t="n">
        <f aca="false">IF(AND(OR($F603="Analogy",$F603="Assumed",$F603="Derived（待改公式）",$F603="Derived（公式）"),OR($N603="—",$N603="",$N603=0)),1,0)</f>
        <v>0</v>
      </c>
      <c r="Z603" s="32" t="n">
        <f aca="false">IF(AND($F603="Decision",OR($J603="—",$J603="")),1,0)</f>
        <v>0</v>
      </c>
      <c r="AA603" s="33" t="n">
        <f aca="false">IF(OR($J603="—",$J603=""),0,IF(COUNTIF(Decisions!$A$5:$A$300,$J603)=0,1,0))</f>
        <v>0</v>
      </c>
      <c r="AB603" s="32" t="n">
        <f aca="false">IF(AND($F603="原始數據",$S603&lt;&gt;"Active"),1,0)</f>
        <v>0</v>
      </c>
      <c r="AC603" s="32" t="n">
        <f aca="false">IF(AND(ISNUMBER($K603),ISNUMBER($L603),ISNUMBER($Q603)),IF(OR($Q603&lt;MIN($K603,$L603),$Q603&gt;MAX($K603,$L603)),1,0),0)</f>
        <v>0</v>
      </c>
      <c r="AD603" s="32" t="n">
        <f aca="false">IF(AND(ISNUMBER($T603),$P603="高"),IF($T603=3,1,0),0)</f>
        <v>0</v>
      </c>
      <c r="AE603" s="32" t="n">
        <f aca="false">IF($S603="不存在",1,0)</f>
        <v>0</v>
      </c>
      <c r="AF603" s="44" t="str">
        <f aca="false">IF(OR($H603="—",$H603=""),"—",MATCH($H603,IDX_SrcID,0))</f>
        <v>—</v>
      </c>
      <c r="AG603" s="32" t="n">
        <f aca="false">IF(AND($P603="高",OR($AD603=1,$X603=1)),1,0)</f>
        <v>0</v>
      </c>
      <c r="AH603" s="32" t="n">
        <f aca="false">IF(AND($P603="高",$AG603=0,OR($F603&lt;&gt;"原始數據",$T603&lt;&gt;1)),1,0)</f>
        <v>0</v>
      </c>
      <c r="AI603" s="44" t="str">
        <f aca="false">IF(AND($P603="高",ISNUMBER($AF603)),INDEX(IDX_SrcDate,$AF603),"—")</f>
        <v>—</v>
      </c>
      <c r="AJ603" s="32" t="n">
        <f aca="false">IF(AND(ISTEXT($AI603),LEN($AI603)=10),IF(ISNUMBER(VALUE(SUBSTITUTE($AI603,"-",""))),VALUE(SUBSTITUTE($AI603,"-","")),0),0)</f>
        <v>0</v>
      </c>
    </row>
    <row r="604" customFormat="false" ht="43.5" hidden="false" customHeight="true" outlineLevel="0" collapsed="false">
      <c r="A604" s="30" t="s">
        <v>6210</v>
      </c>
      <c r="B604" s="205" t="s">
        <v>6194</v>
      </c>
      <c r="C604" s="30" t="s">
        <v>6110</v>
      </c>
      <c r="D604" s="30" t="s">
        <v>4836</v>
      </c>
      <c r="E604" s="243" t="s">
        <v>6211</v>
      </c>
      <c r="F604" s="30" t="s">
        <v>104</v>
      </c>
      <c r="G604" s="205" t="s">
        <v>4527</v>
      </c>
      <c r="H604" s="30" t="s">
        <v>751</v>
      </c>
      <c r="I604" s="6" t="s">
        <v>751</v>
      </c>
      <c r="J604" s="30" t="s">
        <v>6196</v>
      </c>
      <c r="K604" s="205"/>
      <c r="L604" s="205"/>
      <c r="M604" s="205" t="s">
        <v>6212</v>
      </c>
      <c r="N604" s="6" t="s">
        <v>6213</v>
      </c>
      <c r="O604" s="6" t="s">
        <v>751</v>
      </c>
      <c r="P604" s="205" t="s">
        <v>4530</v>
      </c>
      <c r="Q604" s="49" t="n">
        <f aca="false">Alloc_In!C25</f>
        <v>2000</v>
      </c>
      <c r="R604" s="30" t="s">
        <v>751</v>
      </c>
      <c r="S604" s="44" t="str">
        <f aca="false">IF(ISNUMBER($AF604),INDEX(IDX_SrcStat,$AF604),"—")</f>
        <v>—</v>
      </c>
      <c r="T604" s="44" t="str">
        <f aca="false">IF(ISNUMBER($AF604),INDEX(IDX_SrcGrade,$AF604),"—")</f>
        <v>—</v>
      </c>
      <c r="U604" s="44" t="s">
        <v>4531</v>
      </c>
      <c r="V604" s="32" t="n">
        <f aca="false">IF(AND($F604="原始數據",$U604&lt;&gt;"連結 SRC"),1,0)</f>
        <v>0</v>
      </c>
      <c r="W604" s="32" t="n">
        <f aca="false">IF(AND($F604="Analogy",OR($H604="—",$H604="")),1,0)</f>
        <v>0</v>
      </c>
      <c r="X604" s="32" t="n">
        <f aca="false">IF(AND(OR($F604="Analogy",$F604="Assumed"),$G604&lt;&gt;"低",$G604&lt;&gt;"高",NOT(ISNUMBER($K604)),NOT(ISNUMBER($L604)),OR($M604="—",$M604="")),1,0)</f>
        <v>0</v>
      </c>
      <c r="Y604" s="32" t="n">
        <f aca="false">IF(AND(OR($F604="Analogy",$F604="Assumed",$F604="Derived（待改公式）",$F604="Derived（公式）"),OR($N604="—",$N604="",$N604=0)),1,0)</f>
        <v>0</v>
      </c>
      <c r="Z604" s="32" t="n">
        <f aca="false">IF(AND($F604="Decision",OR($J604="—",$J604="")),1,0)</f>
        <v>0</v>
      </c>
      <c r="AA604" s="33" t="n">
        <f aca="false">IF(OR($J604="—",$J604=""),0,IF(COUNTIF(Decisions!$A$5:$A$300,$J604)=0,1,0))</f>
        <v>0</v>
      </c>
      <c r="AB604" s="32" t="n">
        <f aca="false">IF(AND($F604="原始數據",$S604&lt;&gt;"Active"),1,0)</f>
        <v>0</v>
      </c>
      <c r="AC604" s="32" t="n">
        <f aca="false">IF(AND(ISNUMBER($K604),ISNUMBER($L604),ISNUMBER($Q604)),IF(OR($Q604&lt;MIN($K604,$L604),$Q604&gt;MAX($K604,$L604)),1,0),0)</f>
        <v>0</v>
      </c>
      <c r="AD604" s="32" t="n">
        <f aca="false">IF(AND(ISNUMBER($T604),$P604="高"),IF($T604=3,1,0),0)</f>
        <v>0</v>
      </c>
      <c r="AE604" s="32" t="n">
        <f aca="false">IF($S604="不存在",1,0)</f>
        <v>0</v>
      </c>
      <c r="AF604" s="44" t="str">
        <f aca="false">IF(OR($H604="—",$H604=""),"—",MATCH($H604,IDX_SrcID,0))</f>
        <v>—</v>
      </c>
      <c r="AG604" s="32" t="n">
        <f aca="false">IF(AND($P604="高",OR($AD604=1,$X604=1)),1,0)</f>
        <v>0</v>
      </c>
      <c r="AH604" s="32" t="n">
        <f aca="false">IF(AND($P604="高",$AG604=0,OR($F604&lt;&gt;"原始數據",$T604&lt;&gt;1)),1,0)</f>
        <v>0</v>
      </c>
      <c r="AI604" s="44" t="str">
        <f aca="false">IF(AND($P604="高",ISNUMBER($AF604)),INDEX(IDX_SrcDate,$AF604),"—")</f>
        <v>—</v>
      </c>
      <c r="AJ604" s="32" t="n">
        <f aca="false">IF(AND(ISTEXT($AI604),LEN($AI604)=10),IF(ISNUMBER(VALUE(SUBSTITUTE($AI604,"-",""))),VALUE(SUBSTITUTE($AI604,"-","")),0),0)</f>
        <v>0</v>
      </c>
    </row>
    <row r="605" customFormat="false" ht="100.5" hidden="false" customHeight="true" outlineLevel="0" collapsed="false">
      <c r="A605" s="30" t="s">
        <v>6214</v>
      </c>
      <c r="B605" s="205" t="s">
        <v>6215</v>
      </c>
      <c r="C605" s="30" t="s">
        <v>4526</v>
      </c>
      <c r="D605" s="30" t="s">
        <v>6100</v>
      </c>
      <c r="E605" s="6" t="s">
        <v>178</v>
      </c>
      <c r="F605" s="205" t="s">
        <v>348</v>
      </c>
      <c r="G605" s="205" t="s">
        <v>4527</v>
      </c>
      <c r="H605" s="30" t="s">
        <v>6216</v>
      </c>
      <c r="I605" s="243" t="s">
        <v>4562</v>
      </c>
      <c r="J605" s="30" t="s">
        <v>6217</v>
      </c>
      <c r="K605" s="205"/>
      <c r="L605" s="205"/>
      <c r="M605" s="205" t="s">
        <v>6218</v>
      </c>
      <c r="N605" s="243" t="s">
        <v>6219</v>
      </c>
      <c r="O605" s="6" t="s">
        <v>751</v>
      </c>
      <c r="P605" s="205" t="s">
        <v>1308</v>
      </c>
      <c r="Q605" s="33" t="n">
        <f aca="false">Inputs!E36</f>
        <v>3</v>
      </c>
      <c r="R605" s="184" t="n">
        <f aca="false">SRC_DC_015</f>
        <v>3</v>
      </c>
      <c r="S605" s="44" t="str">
        <f aca="false">IF(ISNUMBER($AF605),INDEX(IDX_SrcStat,$AF605),"—")</f>
        <v>Active</v>
      </c>
      <c r="T605" s="44" t="n">
        <f aca="false">IF(ISNUMBER($AF605),INDEX(IDX_SrcGrade,$AF605),"—")</f>
        <v>1</v>
      </c>
      <c r="U605" s="44" t="s">
        <v>4564</v>
      </c>
      <c r="V605" s="32" t="n">
        <f aca="false">IF(AND($F605="原始數據",$U605&lt;&gt;"連結 SRC"),1,0)</f>
        <v>0</v>
      </c>
      <c r="W605" s="32" t="n">
        <f aca="false">IF(AND($F605="Analogy",OR($H605="—",$H605="")),1,0)</f>
        <v>0</v>
      </c>
      <c r="X605" s="32" t="n">
        <f aca="false">IF(AND(OR($F605="Analogy",$F605="Assumed"),$G605&lt;&gt;"低",$G605&lt;&gt;"高",NOT(ISNUMBER($K605)),NOT(ISNUMBER($L605)),OR($M605="—",$M605="")),1,0)</f>
        <v>0</v>
      </c>
      <c r="Y605" s="32" t="n">
        <f aca="false">IF(AND(OR($F605="Analogy",$F605="Assumed",$F605="Derived（待改公式）",$F605="Derived（公式）"),OR($N605="—",$N605="",$N605=0)),1,0)</f>
        <v>0</v>
      </c>
      <c r="Z605" s="32" t="n">
        <f aca="false">IF(AND($F605="Decision",OR($J605="—",$J605="")),1,0)</f>
        <v>0</v>
      </c>
      <c r="AA605" s="33" t="n">
        <f aca="false">IF(OR($J605="—",$J605=""),0,IF(COUNTIF(Decisions!$A$5:$A$300,$J605)=0,1,0))</f>
        <v>0</v>
      </c>
      <c r="AB605" s="32" t="n">
        <f aca="false">IF(AND($F605="原始數據",$S605&lt;&gt;"Active"),1,0)</f>
        <v>0</v>
      </c>
      <c r="AC605" s="32" t="n">
        <f aca="false">IF(AND(ISNUMBER($K605),ISNUMBER($L605),ISNUMBER($Q605)),IF(OR($Q605&lt;MIN($K605,$L605),$Q605&gt;MAX($K605,$L605)),1,0),0)</f>
        <v>0</v>
      </c>
      <c r="AD605" s="32" t="n">
        <f aca="false">IF(AND(ISNUMBER($T605),$P605="高"),IF($T605=3,1,0),0)</f>
        <v>0</v>
      </c>
      <c r="AE605" s="32" t="n">
        <f aca="false">IF($S605="不存在",1,0)</f>
        <v>0</v>
      </c>
      <c r="AF605" s="44" t="n">
        <f aca="false">IF(OR($H605="—",$H605=""),"—",MATCH($H605,IDX_SrcID,0))</f>
        <v>131</v>
      </c>
      <c r="AG605" s="32" t="n">
        <f aca="false">IF(AND($P605="高",OR($AD605=1,$X605=1)),1,0)</f>
        <v>0</v>
      </c>
      <c r="AH605" s="32" t="n">
        <f aca="false">IF(AND($P605="高",$AG605=0,OR($F605&lt;&gt;"原始數據",$T605&lt;&gt;1)),1,0)</f>
        <v>0</v>
      </c>
      <c r="AI605" s="44" t="str">
        <f aca="false">IF(AND($P605="高",ISNUMBER($AF605)),INDEX(IDX_SrcDate,$AF605),"—")</f>
        <v>—</v>
      </c>
      <c r="AJ605" s="32" t="n">
        <f aca="false">IF(AND(ISTEXT($AI605),LEN($AI605)=10),IF(ISNUMBER(VALUE(SUBSTITUTE($AI605,"-",""))),VALUE(SUBSTITUTE($AI605,"-","")),0),0)</f>
        <v>0</v>
      </c>
    </row>
    <row r="606" customFormat="false" ht="86.25" hidden="false" customHeight="true" outlineLevel="0" collapsed="false">
      <c r="A606" s="30" t="s">
        <v>6220</v>
      </c>
      <c r="B606" s="205" t="s">
        <v>6215</v>
      </c>
      <c r="C606" s="30" t="s">
        <v>4526</v>
      </c>
      <c r="D606" s="30" t="s">
        <v>6104</v>
      </c>
      <c r="E606" s="6" t="s">
        <v>180</v>
      </c>
      <c r="F606" s="30" t="s">
        <v>119</v>
      </c>
      <c r="G606" s="205" t="s">
        <v>97</v>
      </c>
      <c r="H606" s="30" t="s">
        <v>6216</v>
      </c>
      <c r="I606" s="243" t="s">
        <v>6221</v>
      </c>
      <c r="J606" s="30" t="s">
        <v>4620</v>
      </c>
      <c r="K606" s="247" t="n">
        <f aca="false">Inputs!$D$37</f>
        <v>0.0025</v>
      </c>
      <c r="L606" s="247" t="n">
        <f aca="false">Inputs!$F$37</f>
        <v>0.01</v>
      </c>
      <c r="M606" s="30" t="s">
        <v>6222</v>
      </c>
      <c r="N606" s="6" t="s">
        <v>181</v>
      </c>
      <c r="O606" s="6" t="s">
        <v>751</v>
      </c>
      <c r="P606" s="205" t="s">
        <v>1308</v>
      </c>
      <c r="Q606" s="247" t="n">
        <f aca="false">Inputs!E37</f>
        <v>0.005</v>
      </c>
      <c r="R606" s="184" t="n">
        <f aca="false">SRC_DC_015</f>
        <v>3</v>
      </c>
      <c r="S606" s="44" t="str">
        <f aca="false">IF(ISNUMBER($AF606),INDEX(IDX_SrcStat,$AF606),"—")</f>
        <v>Active</v>
      </c>
      <c r="T606" s="44" t="n">
        <f aca="false">IF(ISNUMBER($AF606),INDEX(IDX_SrcGrade,$AF606),"—")</f>
        <v>1</v>
      </c>
      <c r="U606" s="44" t="s">
        <v>4531</v>
      </c>
      <c r="V606" s="32" t="n">
        <f aca="false">IF(AND($F606="原始數據",$U606&lt;&gt;"連結 SRC"),1,0)</f>
        <v>0</v>
      </c>
      <c r="W606" s="32" t="n">
        <f aca="false">IF(AND($F606="Analogy",OR($H606="—",$H606="")),1,0)</f>
        <v>0</v>
      </c>
      <c r="X606" s="32" t="n">
        <f aca="false">IF(AND(OR($F606="Analogy",$F606="Assumed"),$G606&lt;&gt;"低",$G606&lt;&gt;"高",NOT(ISNUMBER($K606)),NOT(ISNUMBER($L606)),OR($M606="—",$M606="")),1,0)</f>
        <v>0</v>
      </c>
      <c r="Y606" s="32" t="n">
        <f aca="false">IF(AND(OR($F606="Analogy",$F606="Assumed",$F606="Derived（待改公式）",$F606="Derived（公式）"),OR($N606="—",$N606="",$N606=0)),1,0)</f>
        <v>0</v>
      </c>
      <c r="Z606" s="32" t="n">
        <f aca="false">IF(AND($F606="Decision",OR($J606="—",$J606="")),1,0)</f>
        <v>0</v>
      </c>
      <c r="AA606" s="33" t="n">
        <f aca="false">IF(OR($J606="—",$J606=""),0,IF(COUNTIF(Decisions!$A$5:$A$300,$J606)=0,1,0))</f>
        <v>0</v>
      </c>
      <c r="AB606" s="32" t="n">
        <f aca="false">IF(AND($F606="原始數據",$S606&lt;&gt;"Active"),1,0)</f>
        <v>0</v>
      </c>
      <c r="AC606" s="32" t="n">
        <f aca="false">IF(AND(ISNUMBER($K606),ISNUMBER($L606),ISNUMBER($Q606)),IF(OR($Q606&lt;MIN($K606,$L606),$Q606&gt;MAX($K606,$L606)),1,0),0)</f>
        <v>0</v>
      </c>
      <c r="AD606" s="32" t="n">
        <f aca="false">IF(AND(ISNUMBER($T606),$P606="高"),IF($T606=3,1,0),0)</f>
        <v>0</v>
      </c>
      <c r="AE606" s="32" t="n">
        <f aca="false">IF($S606="不存在",1,0)</f>
        <v>0</v>
      </c>
      <c r="AF606" s="44" t="n">
        <f aca="false">IF(OR($H606="—",$H606=""),"—",MATCH($H606,IDX_SrcID,0))</f>
        <v>131</v>
      </c>
      <c r="AG606" s="32" t="n">
        <f aca="false">IF(AND($P606="高",OR($AD606=1,$X606=1)),1,0)</f>
        <v>0</v>
      </c>
      <c r="AH606" s="32" t="n">
        <f aca="false">IF(AND($P606="高",$AG606=0,OR($F606&lt;&gt;"原始數據",$T606&lt;&gt;1)),1,0)</f>
        <v>0</v>
      </c>
      <c r="AI606" s="44" t="str">
        <f aca="false">IF(AND($P606="高",ISNUMBER($AF606)),INDEX(IDX_SrcDate,$AF606),"—")</f>
        <v>—</v>
      </c>
      <c r="AJ606" s="32" t="n">
        <f aca="false">IF(AND(ISTEXT($AI606),LEN($AI606)=10),IF(ISNUMBER(VALUE(SUBSTITUTE($AI606,"-",""))),VALUE(SUBSTITUTE($AI606,"-","")),0),0)</f>
        <v>0</v>
      </c>
    </row>
    <row r="607" customFormat="false" ht="86.25" hidden="false" customHeight="true" outlineLevel="0" collapsed="false">
      <c r="A607" s="30" t="s">
        <v>6223</v>
      </c>
      <c r="B607" s="205" t="s">
        <v>6215</v>
      </c>
      <c r="C607" s="30" t="s">
        <v>4526</v>
      </c>
      <c r="D607" s="30" t="s">
        <v>6224</v>
      </c>
      <c r="E607" s="6" t="s">
        <v>180</v>
      </c>
      <c r="F607" s="30" t="s">
        <v>119</v>
      </c>
      <c r="G607" s="205" t="s">
        <v>1308</v>
      </c>
      <c r="H607" s="30" t="s">
        <v>6216</v>
      </c>
      <c r="I607" s="243" t="s">
        <v>6221</v>
      </c>
      <c r="J607" s="30" t="s">
        <v>4620</v>
      </c>
      <c r="K607" s="205"/>
      <c r="L607" s="205"/>
      <c r="M607" s="30" t="s">
        <v>6225</v>
      </c>
      <c r="N607" s="6" t="s">
        <v>181</v>
      </c>
      <c r="O607" s="6" t="s">
        <v>751</v>
      </c>
      <c r="P607" s="205" t="s">
        <v>1308</v>
      </c>
      <c r="Q607" s="247" t="n">
        <f aca="false">Inputs!D37</f>
        <v>0.0025</v>
      </c>
      <c r="R607" s="184" t="n">
        <f aca="false">SRC_DC_015</f>
        <v>3</v>
      </c>
      <c r="S607" s="44" t="str">
        <f aca="false">IF(ISNUMBER($AF607),INDEX(IDX_SrcStat,$AF607),"—")</f>
        <v>Active</v>
      </c>
      <c r="T607" s="44" t="n">
        <f aca="false">IF(ISNUMBER($AF607),INDEX(IDX_SrcGrade,$AF607),"—")</f>
        <v>1</v>
      </c>
      <c r="U607" s="44" t="s">
        <v>4531</v>
      </c>
      <c r="V607" s="32" t="n">
        <f aca="false">IF(AND($F607="原始數據",$U607&lt;&gt;"連結 SRC"),1,0)</f>
        <v>0</v>
      </c>
      <c r="W607" s="32" t="n">
        <f aca="false">IF(AND($F607="Analogy",OR($H607="—",$H607="")),1,0)</f>
        <v>0</v>
      </c>
      <c r="X607" s="32" t="n">
        <f aca="false">IF(AND(OR($F607="Analogy",$F607="Assumed"),$G607&lt;&gt;"低",$G607&lt;&gt;"高",NOT(ISNUMBER($K607)),NOT(ISNUMBER($L607)),OR($M607="—",$M607="")),1,0)</f>
        <v>0</v>
      </c>
      <c r="Y607" s="32" t="n">
        <f aca="false">IF(AND(OR($F607="Analogy",$F607="Assumed",$F607="Derived（待改公式）",$F607="Derived（公式）"),OR($N607="—",$N607="",$N607=0)),1,0)</f>
        <v>0</v>
      </c>
      <c r="Z607" s="32" t="n">
        <f aca="false">IF(AND($F607="Decision",OR($J607="—",$J607="")),1,0)</f>
        <v>0</v>
      </c>
      <c r="AA607" s="33" t="n">
        <f aca="false">IF(OR($J607="—",$J607=""),0,IF(COUNTIF(Decisions!$A$5:$A$300,$J607)=0,1,0))</f>
        <v>0</v>
      </c>
      <c r="AB607" s="32" t="n">
        <f aca="false">IF(AND($F607="原始數據",$S607&lt;&gt;"Active"),1,0)</f>
        <v>0</v>
      </c>
      <c r="AC607" s="32" t="n">
        <f aca="false">IF(AND(ISNUMBER($K607),ISNUMBER($L607),ISNUMBER($Q607)),IF(OR($Q607&lt;MIN($K607,$L607),$Q607&gt;MAX($K607,$L607)),1,0),0)</f>
        <v>0</v>
      </c>
      <c r="AD607" s="32" t="n">
        <f aca="false">IF(AND(ISNUMBER($T607),$P607="高"),IF($T607=3,1,0),0)</f>
        <v>0</v>
      </c>
      <c r="AE607" s="32" t="n">
        <f aca="false">IF($S607="不存在",1,0)</f>
        <v>0</v>
      </c>
      <c r="AF607" s="44" t="n">
        <f aca="false">IF(OR($H607="—",$H607=""),"—",MATCH($H607,IDX_SrcID,0))</f>
        <v>131</v>
      </c>
      <c r="AG607" s="32" t="n">
        <f aca="false">IF(AND($P607="高",OR($AD607=1,$X607=1)),1,0)</f>
        <v>0</v>
      </c>
      <c r="AH607" s="32" t="n">
        <f aca="false">IF(AND($P607="高",$AG607=0,OR($F607&lt;&gt;"原始數據",$T607&lt;&gt;1)),1,0)</f>
        <v>0</v>
      </c>
      <c r="AI607" s="44" t="str">
        <f aca="false">IF(AND($P607="高",ISNUMBER($AF607)),INDEX(IDX_SrcDate,$AF607),"—")</f>
        <v>—</v>
      </c>
      <c r="AJ607" s="32" t="n">
        <f aca="false">IF(AND(ISTEXT($AI607),LEN($AI607)=10),IF(ISNUMBER(VALUE(SUBSTITUTE($AI607,"-",""))),VALUE(SUBSTITUTE($AI607,"-","")),0),0)</f>
        <v>0</v>
      </c>
    </row>
    <row r="608" customFormat="false" ht="86.25" hidden="false" customHeight="true" outlineLevel="0" collapsed="false">
      <c r="A608" s="30" t="s">
        <v>6226</v>
      </c>
      <c r="B608" s="205" t="s">
        <v>6215</v>
      </c>
      <c r="C608" s="30" t="s">
        <v>4526</v>
      </c>
      <c r="D608" s="30" t="s">
        <v>6227</v>
      </c>
      <c r="E608" s="6" t="s">
        <v>180</v>
      </c>
      <c r="F608" s="30" t="s">
        <v>119</v>
      </c>
      <c r="G608" s="205" t="s">
        <v>1309</v>
      </c>
      <c r="H608" s="30" t="s">
        <v>6216</v>
      </c>
      <c r="I608" s="243" t="s">
        <v>6221</v>
      </c>
      <c r="J608" s="30" t="s">
        <v>4620</v>
      </c>
      <c r="K608" s="205"/>
      <c r="L608" s="205"/>
      <c r="M608" s="30" t="s">
        <v>6228</v>
      </c>
      <c r="N608" s="6" t="s">
        <v>181</v>
      </c>
      <c r="O608" s="6" t="s">
        <v>751</v>
      </c>
      <c r="P608" s="205" t="s">
        <v>1308</v>
      </c>
      <c r="Q608" s="247" t="n">
        <f aca="false">Inputs!F37</f>
        <v>0.01</v>
      </c>
      <c r="R608" s="184" t="n">
        <f aca="false">SRC_DC_015</f>
        <v>3</v>
      </c>
      <c r="S608" s="44" t="str">
        <f aca="false">IF(ISNUMBER($AF608),INDEX(IDX_SrcStat,$AF608),"—")</f>
        <v>Active</v>
      </c>
      <c r="T608" s="44" t="n">
        <f aca="false">IF(ISNUMBER($AF608),INDEX(IDX_SrcGrade,$AF608),"—")</f>
        <v>1</v>
      </c>
      <c r="U608" s="44" t="s">
        <v>4531</v>
      </c>
      <c r="V608" s="32" t="n">
        <f aca="false">IF(AND($F608="原始數據",$U608&lt;&gt;"連結 SRC"),1,0)</f>
        <v>0</v>
      </c>
      <c r="W608" s="32" t="n">
        <f aca="false">IF(AND($F608="Analogy",OR($H608="—",$H608="")),1,0)</f>
        <v>0</v>
      </c>
      <c r="X608" s="32" t="n">
        <f aca="false">IF(AND(OR($F608="Analogy",$F608="Assumed"),$G608&lt;&gt;"低",$G608&lt;&gt;"高",NOT(ISNUMBER($K608)),NOT(ISNUMBER($L608)),OR($M608="—",$M608="")),1,0)</f>
        <v>0</v>
      </c>
      <c r="Y608" s="32" t="n">
        <f aca="false">IF(AND(OR($F608="Analogy",$F608="Assumed",$F608="Derived（待改公式）",$F608="Derived（公式）"),OR($N608="—",$N608="",$N608=0)),1,0)</f>
        <v>0</v>
      </c>
      <c r="Z608" s="32" t="n">
        <f aca="false">IF(AND($F608="Decision",OR($J608="—",$J608="")),1,0)</f>
        <v>0</v>
      </c>
      <c r="AA608" s="33" t="n">
        <f aca="false">IF(OR($J608="—",$J608=""),0,IF(COUNTIF(Decisions!$A$5:$A$300,$J608)=0,1,0))</f>
        <v>0</v>
      </c>
      <c r="AB608" s="32" t="n">
        <f aca="false">IF(AND($F608="原始數據",$S608&lt;&gt;"Active"),1,0)</f>
        <v>0</v>
      </c>
      <c r="AC608" s="32" t="n">
        <f aca="false">IF(AND(ISNUMBER($K608),ISNUMBER($L608),ISNUMBER($Q608)),IF(OR($Q608&lt;MIN($K608,$L608),$Q608&gt;MAX($K608,$L608)),1,0),0)</f>
        <v>0</v>
      </c>
      <c r="AD608" s="32" t="n">
        <f aca="false">IF(AND(ISNUMBER($T608),$P608="高"),IF($T608=3,1,0),0)</f>
        <v>0</v>
      </c>
      <c r="AE608" s="32" t="n">
        <f aca="false">IF($S608="不存在",1,0)</f>
        <v>0</v>
      </c>
      <c r="AF608" s="44" t="n">
        <f aca="false">IF(OR($H608="—",$H608=""),"—",MATCH($H608,IDX_SrcID,0))</f>
        <v>131</v>
      </c>
      <c r="AG608" s="32" t="n">
        <f aca="false">IF(AND($P608="高",OR($AD608=1,$X608=1)),1,0)</f>
        <v>0</v>
      </c>
      <c r="AH608" s="32" t="n">
        <f aca="false">IF(AND($P608="高",$AG608=0,OR($F608&lt;&gt;"原始數據",$T608&lt;&gt;1)),1,0)</f>
        <v>0</v>
      </c>
      <c r="AI608" s="44" t="str">
        <f aca="false">IF(AND($P608="高",ISNUMBER($AF608)),INDEX(IDX_SrcDate,$AF608),"—")</f>
        <v>—</v>
      </c>
      <c r="AJ608" s="32" t="n">
        <f aca="false">IF(AND(ISTEXT($AI608),LEN($AI608)=10),IF(ISNUMBER(VALUE(SUBSTITUTE($AI608,"-",""))),VALUE(SUBSTITUTE($AI608,"-","")),0),0)</f>
        <v>0</v>
      </c>
    </row>
    <row r="609" customFormat="false" ht="72" hidden="false" customHeight="true" outlineLevel="0" collapsed="false">
      <c r="A609" s="30" t="s">
        <v>6229</v>
      </c>
      <c r="B609" s="205" t="s">
        <v>6215</v>
      </c>
      <c r="C609" s="30" t="s">
        <v>4526</v>
      </c>
      <c r="D609" s="30" t="s">
        <v>6230</v>
      </c>
      <c r="E609" s="6" t="s">
        <v>182</v>
      </c>
      <c r="F609" s="30" t="s">
        <v>119</v>
      </c>
      <c r="G609" s="205" t="s">
        <v>97</v>
      </c>
      <c r="H609" s="30" t="s">
        <v>6231</v>
      </c>
      <c r="I609" s="243" t="s">
        <v>6232</v>
      </c>
      <c r="J609" s="30" t="s">
        <v>4620</v>
      </c>
      <c r="K609" s="247" t="n">
        <f aca="false">Inputs!$D$38</f>
        <v>0.02</v>
      </c>
      <c r="L609" s="247" t="n">
        <f aca="false">Inputs!$F$38</f>
        <v>0.05</v>
      </c>
      <c r="M609" s="30" t="s">
        <v>6233</v>
      </c>
      <c r="N609" s="6" t="s">
        <v>183</v>
      </c>
      <c r="O609" s="6" t="s">
        <v>751</v>
      </c>
      <c r="P609" s="205" t="s">
        <v>1308</v>
      </c>
      <c r="Q609" s="247" t="n">
        <f aca="false">Inputs!E38</f>
        <v>0.03</v>
      </c>
      <c r="R609" s="184" t="n">
        <f aca="false">SRC_DC_017</f>
        <v>0.038</v>
      </c>
      <c r="S609" s="44" t="str">
        <f aca="false">IF(ISNUMBER($AF609),INDEX(IDX_SrcStat,$AF609),"—")</f>
        <v>Active</v>
      </c>
      <c r="T609" s="44" t="n">
        <f aca="false">IF(ISNUMBER($AF609),INDEX(IDX_SrcGrade,$AF609),"—")</f>
        <v>2</v>
      </c>
      <c r="U609" s="44" t="s">
        <v>4531</v>
      </c>
      <c r="V609" s="32" t="n">
        <f aca="false">IF(AND($F609="原始數據",$U609&lt;&gt;"連結 SRC"),1,0)</f>
        <v>0</v>
      </c>
      <c r="W609" s="32" t="n">
        <f aca="false">IF(AND($F609="Analogy",OR($H609="—",$H609="")),1,0)</f>
        <v>0</v>
      </c>
      <c r="X609" s="32" t="n">
        <f aca="false">IF(AND(OR($F609="Analogy",$F609="Assumed"),$G609&lt;&gt;"低",$G609&lt;&gt;"高",NOT(ISNUMBER($K609)),NOT(ISNUMBER($L609)),OR($M609="—",$M609="")),1,0)</f>
        <v>0</v>
      </c>
      <c r="Y609" s="32" t="n">
        <f aca="false">IF(AND(OR($F609="Analogy",$F609="Assumed",$F609="Derived（待改公式）",$F609="Derived（公式）"),OR($N609="—",$N609="",$N609=0)),1,0)</f>
        <v>0</v>
      </c>
      <c r="Z609" s="32" t="n">
        <f aca="false">IF(AND($F609="Decision",OR($J609="—",$J609="")),1,0)</f>
        <v>0</v>
      </c>
      <c r="AA609" s="33" t="n">
        <f aca="false">IF(OR($J609="—",$J609=""),0,IF(COUNTIF(Decisions!$A$5:$A$300,$J609)=0,1,0))</f>
        <v>0</v>
      </c>
      <c r="AB609" s="32" t="n">
        <f aca="false">IF(AND($F609="原始數據",$S609&lt;&gt;"Active"),1,0)</f>
        <v>0</v>
      </c>
      <c r="AC609" s="32" t="n">
        <f aca="false">IF(AND(ISNUMBER($K609),ISNUMBER($L609),ISNUMBER($Q609)),IF(OR($Q609&lt;MIN($K609,$L609),$Q609&gt;MAX($K609,$L609)),1,0),0)</f>
        <v>0</v>
      </c>
      <c r="AD609" s="32" t="n">
        <f aca="false">IF(AND(ISNUMBER($T609),$P609="高"),IF($T609=3,1,0),0)</f>
        <v>0</v>
      </c>
      <c r="AE609" s="32" t="n">
        <f aca="false">IF($S609="不存在",1,0)</f>
        <v>0</v>
      </c>
      <c r="AF609" s="44" t="n">
        <f aca="false">IF(OR($H609="—",$H609=""),"—",MATCH($H609,IDX_SrcID,0))</f>
        <v>133</v>
      </c>
      <c r="AG609" s="32" t="n">
        <f aca="false">IF(AND($P609="高",OR($AD609=1,$X609=1)),1,0)</f>
        <v>0</v>
      </c>
      <c r="AH609" s="32" t="n">
        <f aca="false">IF(AND($P609="高",$AG609=0,OR($F609&lt;&gt;"原始數據",$T609&lt;&gt;1)),1,0)</f>
        <v>0</v>
      </c>
      <c r="AI609" s="44" t="str">
        <f aca="false">IF(AND($P609="高",ISNUMBER($AF609)),INDEX(IDX_SrcDate,$AF609),"—")</f>
        <v>—</v>
      </c>
      <c r="AJ609" s="32" t="n">
        <f aca="false">IF(AND(ISTEXT($AI609),LEN($AI609)=10),IF(ISNUMBER(VALUE(SUBSTITUTE($AI609,"-",""))),VALUE(SUBSTITUTE($AI609,"-","")),0),0)</f>
        <v>0</v>
      </c>
    </row>
    <row r="610" customFormat="false" ht="72" hidden="false" customHeight="true" outlineLevel="0" collapsed="false">
      <c r="A610" s="30" t="s">
        <v>6234</v>
      </c>
      <c r="B610" s="205" t="s">
        <v>6215</v>
      </c>
      <c r="C610" s="30" t="s">
        <v>4526</v>
      </c>
      <c r="D610" s="30" t="s">
        <v>6235</v>
      </c>
      <c r="E610" s="6" t="s">
        <v>182</v>
      </c>
      <c r="F610" s="30" t="s">
        <v>119</v>
      </c>
      <c r="G610" s="205" t="s">
        <v>1308</v>
      </c>
      <c r="H610" s="30" t="s">
        <v>6231</v>
      </c>
      <c r="I610" s="243" t="s">
        <v>6232</v>
      </c>
      <c r="J610" s="30" t="s">
        <v>4620</v>
      </c>
      <c r="K610" s="205"/>
      <c r="L610" s="205"/>
      <c r="M610" s="30" t="s">
        <v>6236</v>
      </c>
      <c r="N610" s="6" t="s">
        <v>183</v>
      </c>
      <c r="O610" s="6" t="s">
        <v>751</v>
      </c>
      <c r="P610" s="205" t="s">
        <v>1308</v>
      </c>
      <c r="Q610" s="247" t="n">
        <f aca="false">Inputs!D38</f>
        <v>0.02</v>
      </c>
      <c r="R610" s="184" t="n">
        <f aca="false">SRC_DC_017</f>
        <v>0.038</v>
      </c>
      <c r="S610" s="44" t="str">
        <f aca="false">IF(ISNUMBER($AF610),INDEX(IDX_SrcStat,$AF610),"—")</f>
        <v>Active</v>
      </c>
      <c r="T610" s="44" t="n">
        <f aca="false">IF(ISNUMBER($AF610),INDEX(IDX_SrcGrade,$AF610),"—")</f>
        <v>2</v>
      </c>
      <c r="U610" s="44" t="s">
        <v>4531</v>
      </c>
      <c r="V610" s="32" t="n">
        <f aca="false">IF(AND($F610="原始數據",$U610&lt;&gt;"連結 SRC"),1,0)</f>
        <v>0</v>
      </c>
      <c r="W610" s="32" t="n">
        <f aca="false">IF(AND($F610="Analogy",OR($H610="—",$H610="")),1,0)</f>
        <v>0</v>
      </c>
      <c r="X610" s="32" t="n">
        <f aca="false">IF(AND(OR($F610="Analogy",$F610="Assumed"),$G610&lt;&gt;"低",$G610&lt;&gt;"高",NOT(ISNUMBER($K610)),NOT(ISNUMBER($L610)),OR($M610="—",$M610="")),1,0)</f>
        <v>0</v>
      </c>
      <c r="Y610" s="32" t="n">
        <f aca="false">IF(AND(OR($F610="Analogy",$F610="Assumed",$F610="Derived（待改公式）",$F610="Derived（公式）"),OR($N610="—",$N610="",$N610=0)),1,0)</f>
        <v>0</v>
      </c>
      <c r="Z610" s="32" t="n">
        <f aca="false">IF(AND($F610="Decision",OR($J610="—",$J610="")),1,0)</f>
        <v>0</v>
      </c>
      <c r="AA610" s="33" t="n">
        <f aca="false">IF(OR($J610="—",$J610=""),0,IF(COUNTIF(Decisions!$A$5:$A$300,$J610)=0,1,0))</f>
        <v>0</v>
      </c>
      <c r="AB610" s="32" t="n">
        <f aca="false">IF(AND($F610="原始數據",$S610&lt;&gt;"Active"),1,0)</f>
        <v>0</v>
      </c>
      <c r="AC610" s="32" t="n">
        <f aca="false">IF(AND(ISNUMBER($K610),ISNUMBER($L610),ISNUMBER($Q610)),IF(OR($Q610&lt;MIN($K610,$L610),$Q610&gt;MAX($K610,$L610)),1,0),0)</f>
        <v>0</v>
      </c>
      <c r="AD610" s="32" t="n">
        <f aca="false">IF(AND(ISNUMBER($T610),$P610="高"),IF($T610=3,1,0),0)</f>
        <v>0</v>
      </c>
      <c r="AE610" s="32" t="n">
        <f aca="false">IF($S610="不存在",1,0)</f>
        <v>0</v>
      </c>
      <c r="AF610" s="44" t="n">
        <f aca="false">IF(OR($H610="—",$H610=""),"—",MATCH($H610,IDX_SrcID,0))</f>
        <v>133</v>
      </c>
      <c r="AG610" s="32" t="n">
        <f aca="false">IF(AND($P610="高",OR($AD610=1,$X610=1)),1,0)</f>
        <v>0</v>
      </c>
      <c r="AH610" s="32" t="n">
        <f aca="false">IF(AND($P610="高",$AG610=0,OR($F610&lt;&gt;"原始數據",$T610&lt;&gt;1)),1,0)</f>
        <v>0</v>
      </c>
      <c r="AI610" s="44" t="str">
        <f aca="false">IF(AND($P610="高",ISNUMBER($AF610)),INDEX(IDX_SrcDate,$AF610),"—")</f>
        <v>—</v>
      </c>
      <c r="AJ610" s="32" t="n">
        <f aca="false">IF(AND(ISTEXT($AI610),LEN($AI610)=10),IF(ISNUMBER(VALUE(SUBSTITUTE($AI610,"-",""))),VALUE(SUBSTITUTE($AI610,"-","")),0),0)</f>
        <v>0</v>
      </c>
    </row>
    <row r="611" customFormat="false" ht="72" hidden="false" customHeight="true" outlineLevel="0" collapsed="false">
      <c r="A611" s="30" t="s">
        <v>6237</v>
      </c>
      <c r="B611" s="205" t="s">
        <v>6215</v>
      </c>
      <c r="C611" s="30" t="s">
        <v>4526</v>
      </c>
      <c r="D611" s="30" t="s">
        <v>6238</v>
      </c>
      <c r="E611" s="6" t="s">
        <v>182</v>
      </c>
      <c r="F611" s="30" t="s">
        <v>119</v>
      </c>
      <c r="G611" s="205" t="s">
        <v>1309</v>
      </c>
      <c r="H611" s="30" t="s">
        <v>6231</v>
      </c>
      <c r="I611" s="243" t="s">
        <v>6232</v>
      </c>
      <c r="J611" s="30" t="s">
        <v>4620</v>
      </c>
      <c r="K611" s="205"/>
      <c r="L611" s="205"/>
      <c r="M611" s="30" t="s">
        <v>6239</v>
      </c>
      <c r="N611" s="6" t="s">
        <v>183</v>
      </c>
      <c r="O611" s="6" t="s">
        <v>751</v>
      </c>
      <c r="P611" s="205" t="s">
        <v>1308</v>
      </c>
      <c r="Q611" s="247" t="n">
        <f aca="false">Inputs!F38</f>
        <v>0.05</v>
      </c>
      <c r="R611" s="184" t="n">
        <f aca="false">SRC_DC_017</f>
        <v>0.038</v>
      </c>
      <c r="S611" s="44" t="str">
        <f aca="false">IF(ISNUMBER($AF611),INDEX(IDX_SrcStat,$AF611),"—")</f>
        <v>Active</v>
      </c>
      <c r="T611" s="44" t="n">
        <f aca="false">IF(ISNUMBER($AF611),INDEX(IDX_SrcGrade,$AF611),"—")</f>
        <v>2</v>
      </c>
      <c r="U611" s="44" t="s">
        <v>4531</v>
      </c>
      <c r="V611" s="32" t="n">
        <f aca="false">IF(AND($F611="原始數據",$U611&lt;&gt;"連結 SRC"),1,0)</f>
        <v>0</v>
      </c>
      <c r="W611" s="32" t="n">
        <f aca="false">IF(AND($F611="Analogy",OR($H611="—",$H611="")),1,0)</f>
        <v>0</v>
      </c>
      <c r="X611" s="32" t="n">
        <f aca="false">IF(AND(OR($F611="Analogy",$F611="Assumed"),$G611&lt;&gt;"低",$G611&lt;&gt;"高",NOT(ISNUMBER($K611)),NOT(ISNUMBER($L611)),OR($M611="—",$M611="")),1,0)</f>
        <v>0</v>
      </c>
      <c r="Y611" s="32" t="n">
        <f aca="false">IF(AND(OR($F611="Analogy",$F611="Assumed",$F611="Derived（待改公式）",$F611="Derived（公式）"),OR($N611="—",$N611="",$N611=0)),1,0)</f>
        <v>0</v>
      </c>
      <c r="Z611" s="32" t="n">
        <f aca="false">IF(AND($F611="Decision",OR($J611="—",$J611="")),1,0)</f>
        <v>0</v>
      </c>
      <c r="AA611" s="33" t="n">
        <f aca="false">IF(OR($J611="—",$J611=""),0,IF(COUNTIF(Decisions!$A$5:$A$300,$J611)=0,1,0))</f>
        <v>0</v>
      </c>
      <c r="AB611" s="32" t="n">
        <f aca="false">IF(AND($F611="原始數據",$S611&lt;&gt;"Active"),1,0)</f>
        <v>0</v>
      </c>
      <c r="AC611" s="32" t="n">
        <f aca="false">IF(AND(ISNUMBER($K611),ISNUMBER($L611),ISNUMBER($Q611)),IF(OR($Q611&lt;MIN($K611,$L611),$Q611&gt;MAX($K611,$L611)),1,0),0)</f>
        <v>0</v>
      </c>
      <c r="AD611" s="32" t="n">
        <f aca="false">IF(AND(ISNUMBER($T611),$P611="高"),IF($T611=3,1,0),0)</f>
        <v>0</v>
      </c>
      <c r="AE611" s="32" t="n">
        <f aca="false">IF($S611="不存在",1,0)</f>
        <v>0</v>
      </c>
      <c r="AF611" s="44" t="n">
        <f aca="false">IF(OR($H611="—",$H611=""),"—",MATCH($H611,IDX_SrcID,0))</f>
        <v>133</v>
      </c>
      <c r="AG611" s="32" t="n">
        <f aca="false">IF(AND($P611="高",OR($AD611=1,$X611=1)),1,0)</f>
        <v>0</v>
      </c>
      <c r="AH611" s="32" t="n">
        <f aca="false">IF(AND($P611="高",$AG611=0,OR($F611&lt;&gt;"原始數據",$T611&lt;&gt;1)),1,0)</f>
        <v>0</v>
      </c>
      <c r="AI611" s="44" t="str">
        <f aca="false">IF(AND($P611="高",ISNUMBER($AF611)),INDEX(IDX_SrcDate,$AF611),"—")</f>
        <v>—</v>
      </c>
      <c r="AJ611" s="32" t="n">
        <f aca="false">IF(AND(ISTEXT($AI611),LEN($AI611)=10),IF(ISNUMBER(VALUE(SUBSTITUTE($AI611,"-",""))),VALUE(SUBSTITUTE($AI611,"-","")),0),0)</f>
        <v>0</v>
      </c>
    </row>
    <row r="612" customFormat="false" ht="43.5" hidden="false" customHeight="true" outlineLevel="0" collapsed="false">
      <c r="A612" s="30" t="s">
        <v>6240</v>
      </c>
      <c r="B612" s="205" t="s">
        <v>6241</v>
      </c>
      <c r="C612" s="30" t="s">
        <v>5608</v>
      </c>
      <c r="D612" s="30" t="s">
        <v>6242</v>
      </c>
      <c r="E612" s="243" t="s">
        <v>6243</v>
      </c>
      <c r="F612" s="30" t="s">
        <v>114</v>
      </c>
      <c r="G612" s="205" t="s">
        <v>1309</v>
      </c>
      <c r="H612" s="30" t="s">
        <v>6244</v>
      </c>
      <c r="I612" s="243" t="s">
        <v>6245</v>
      </c>
      <c r="J612" s="30" t="s">
        <v>6246</v>
      </c>
      <c r="K612" s="205"/>
      <c r="L612" s="205"/>
      <c r="M612" s="30" t="s">
        <v>6247</v>
      </c>
      <c r="N612" s="6" t="s">
        <v>6248</v>
      </c>
      <c r="O612" s="6" t="s">
        <v>751</v>
      </c>
      <c r="P612" s="205" t="s">
        <v>4530</v>
      </c>
      <c r="Q612" s="196" t="n">
        <f aca="false">Cap_In!E70</f>
        <v>0.82</v>
      </c>
      <c r="R612" s="184" t="n">
        <f aca="false">SRC_DEM_039</f>
        <v>0.7</v>
      </c>
      <c r="S612" s="44" t="str">
        <f aca="false">IF(ISNUMBER($AF612),INDEX(IDX_SrcStat,$AF612),"—")</f>
        <v>Active</v>
      </c>
      <c r="T612" s="44" t="n">
        <f aca="false">IF(ISNUMBER($AF612),INDEX(IDX_SrcGrade,$AF612),"—")</f>
        <v>2</v>
      </c>
      <c r="U612" s="44" t="s">
        <v>4531</v>
      </c>
      <c r="V612" s="32" t="n">
        <f aca="false">IF(AND($F612="原始數據",$U612&lt;&gt;"連結 SRC"),1,0)</f>
        <v>0</v>
      </c>
      <c r="W612" s="32" t="n">
        <f aca="false">IF(AND($F612="Analogy",OR($H612="—",$H612="")),1,0)</f>
        <v>0</v>
      </c>
      <c r="X612" s="32" t="n">
        <f aca="false">IF(AND(OR($F612="Analogy",$F612="Assumed"),$G612&lt;&gt;"低",$G612&lt;&gt;"高",NOT(ISNUMBER($K612)),NOT(ISNUMBER($L612)),OR($M612="—",$M612="")),1,0)</f>
        <v>0</v>
      </c>
      <c r="Y612" s="32" t="n">
        <f aca="false">IF(AND(OR($F612="Analogy",$F612="Assumed",$F612="Derived（待改公式）",$F612="Derived（公式）"),OR($N612="—",$N612="",$N612=0)),1,0)</f>
        <v>0</v>
      </c>
      <c r="Z612" s="32" t="n">
        <f aca="false">IF(AND($F612="Decision",OR($J612="—",$J612="")),1,0)</f>
        <v>0</v>
      </c>
      <c r="AA612" s="33" t="n">
        <f aca="false">IF(OR($J612="—",$J612=""),0,IF(COUNTIF(Decisions!$A$5:$A$300,$J612)=0,1,0))</f>
        <v>0</v>
      </c>
      <c r="AB612" s="32" t="n">
        <f aca="false">IF(AND($F612="原始數據",$S612&lt;&gt;"Active"),1,0)</f>
        <v>0</v>
      </c>
      <c r="AC612" s="32" t="n">
        <f aca="false">IF(AND(ISNUMBER($K612),ISNUMBER($L612),ISNUMBER($Q612)),IF(OR($Q612&lt;MIN($K612,$L612),$Q612&gt;MAX($K612,$L612)),1,0),0)</f>
        <v>0</v>
      </c>
      <c r="AD612" s="32" t="n">
        <f aca="false">IF(AND(ISNUMBER($T612),$P612="高"),IF($T612=3,1,0),0)</f>
        <v>0</v>
      </c>
      <c r="AE612" s="32" t="n">
        <f aca="false">IF($S612="不存在",1,0)</f>
        <v>0</v>
      </c>
      <c r="AF612" s="44" t="n">
        <f aca="false">IF(OR($H612="—",$H612=""),"—",MATCH($H612,IDX_SrcID,0))</f>
        <v>692</v>
      </c>
      <c r="AG612" s="32" t="n">
        <f aca="false">IF(AND($P612="高",OR($AD612=1,$X612=1)),1,0)</f>
        <v>0</v>
      </c>
      <c r="AH612" s="32" t="n">
        <f aca="false">IF(AND($P612="高",$AG612=0,OR($F612&lt;&gt;"原始數據",$T612&lt;&gt;1)),1,0)</f>
        <v>0</v>
      </c>
      <c r="AI612" s="44" t="str">
        <f aca="false">IF(AND($P612="高",ISNUMBER($AF612)),INDEX(IDX_SrcDate,$AF612),"—")</f>
        <v>—</v>
      </c>
      <c r="AJ612" s="32" t="n">
        <f aca="false">IF(AND(ISTEXT($AI612),LEN($AI612)=10),IF(ISNUMBER(VALUE(SUBSTITUTE($AI612,"-",""))),VALUE(SUBSTITUTE($AI612,"-","")),0),0)</f>
        <v>0</v>
      </c>
    </row>
    <row r="613" customFormat="false" ht="43.5" hidden="false" customHeight="true" outlineLevel="0" collapsed="false">
      <c r="A613" s="30" t="s">
        <v>6249</v>
      </c>
      <c r="B613" s="205" t="s">
        <v>6241</v>
      </c>
      <c r="C613" s="30" t="s">
        <v>5608</v>
      </c>
      <c r="D613" s="30" t="s">
        <v>5401</v>
      </c>
      <c r="E613" s="243" t="s">
        <v>1498</v>
      </c>
      <c r="F613" s="30" t="s">
        <v>114</v>
      </c>
      <c r="G613" s="205" t="s">
        <v>4527</v>
      </c>
      <c r="H613" s="30" t="s">
        <v>751</v>
      </c>
      <c r="I613" s="6" t="s">
        <v>751</v>
      </c>
      <c r="J613" s="30" t="s">
        <v>6246</v>
      </c>
      <c r="K613" s="205"/>
      <c r="L613" s="205"/>
      <c r="M613" s="205" t="s">
        <v>6250</v>
      </c>
      <c r="N613" s="6" t="s">
        <v>6251</v>
      </c>
      <c r="O613" s="6" t="s">
        <v>751</v>
      </c>
      <c r="P613" s="205" t="s">
        <v>4530</v>
      </c>
      <c r="Q613" s="33" t="n">
        <f aca="false">Cap_In!C100</f>
        <v>21</v>
      </c>
      <c r="R613" s="30" t="s">
        <v>751</v>
      </c>
      <c r="S613" s="44" t="str">
        <f aca="false">IF(ISNUMBER($AF613),INDEX(IDX_SrcStat,$AF613),"—")</f>
        <v>—</v>
      </c>
      <c r="T613" s="44" t="str">
        <f aca="false">IF(ISNUMBER($AF613),INDEX(IDX_SrcGrade,$AF613),"—")</f>
        <v>—</v>
      </c>
      <c r="U613" s="44" t="s">
        <v>4531</v>
      </c>
      <c r="V613" s="32" t="n">
        <f aca="false">IF(AND($F613="原始數據",$U613&lt;&gt;"連結 SRC"),1,0)</f>
        <v>0</v>
      </c>
      <c r="W613" s="32" t="n">
        <f aca="false">IF(AND($F613="Analogy",OR($H613="—",$H613="")),1,0)</f>
        <v>0</v>
      </c>
      <c r="X613" s="32" t="n">
        <f aca="false">IF(AND(OR($F613="Analogy",$F613="Assumed"),$G613&lt;&gt;"低",$G613&lt;&gt;"高",NOT(ISNUMBER($K613)),NOT(ISNUMBER($L613)),OR($M613="—",$M613="")),1,0)</f>
        <v>0</v>
      </c>
      <c r="Y613" s="32" t="n">
        <f aca="false">IF(AND(OR($F613="Analogy",$F613="Assumed",$F613="Derived（待改公式）",$F613="Derived（公式）"),OR($N613="—",$N613="",$N613=0)),1,0)</f>
        <v>0</v>
      </c>
      <c r="Z613" s="32" t="n">
        <f aca="false">IF(AND($F613="Decision",OR($J613="—",$J613="")),1,0)</f>
        <v>0</v>
      </c>
      <c r="AA613" s="33" t="n">
        <f aca="false">IF(OR($J613="—",$J613=""),0,IF(COUNTIF(Decisions!$A$5:$A$300,$J613)=0,1,0))</f>
        <v>0</v>
      </c>
      <c r="AB613" s="32" t="n">
        <f aca="false">IF(AND($F613="原始數據",$S613&lt;&gt;"Active"),1,0)</f>
        <v>0</v>
      </c>
      <c r="AC613" s="32" t="n">
        <f aca="false">IF(AND(ISNUMBER($K613),ISNUMBER($L613),ISNUMBER($Q613)),IF(OR($Q613&lt;MIN($K613,$L613),$Q613&gt;MAX($K613,$L613)),1,0),0)</f>
        <v>0</v>
      </c>
      <c r="AD613" s="32" t="n">
        <f aca="false">IF(AND(ISNUMBER($T613),$P613="高"),IF($T613=3,1,0),0)</f>
        <v>0</v>
      </c>
      <c r="AE613" s="32" t="n">
        <f aca="false">IF($S613="不存在",1,0)</f>
        <v>0</v>
      </c>
      <c r="AF613" s="44" t="str">
        <f aca="false">IF(OR($H613="—",$H613=""),"—",MATCH($H613,IDX_SrcID,0))</f>
        <v>—</v>
      </c>
      <c r="AG613" s="32" t="n">
        <f aca="false">IF(AND($P613="高",OR($AD613=1,$X613=1)),1,0)</f>
        <v>0</v>
      </c>
      <c r="AH613" s="32" t="n">
        <f aca="false">IF(AND($P613="高",$AG613=0,OR($F613&lt;&gt;"原始數據",$T613&lt;&gt;1)),1,0)</f>
        <v>0</v>
      </c>
      <c r="AI613" s="44" t="str">
        <f aca="false">IF(AND($P613="高",ISNUMBER($AF613)),INDEX(IDX_SrcDate,$AF613),"—")</f>
        <v>—</v>
      </c>
      <c r="AJ613" s="32" t="n">
        <f aca="false">IF(AND(ISTEXT($AI613),LEN($AI613)=10),IF(ISNUMBER(VALUE(SUBSTITUTE($AI613,"-",""))),VALUE(SUBSTITUTE($AI613,"-","")),0),0)</f>
        <v>0</v>
      </c>
    </row>
    <row r="614" customFormat="false" ht="43.5" hidden="false" customHeight="true" outlineLevel="0" collapsed="false">
      <c r="A614" s="30" t="s">
        <v>6252</v>
      </c>
      <c r="B614" s="205" t="s">
        <v>6241</v>
      </c>
      <c r="C614" s="30" t="s">
        <v>5608</v>
      </c>
      <c r="D614" s="30" t="s">
        <v>5407</v>
      </c>
      <c r="E614" s="243" t="s">
        <v>6253</v>
      </c>
      <c r="F614" s="30" t="s">
        <v>114</v>
      </c>
      <c r="G614" s="205" t="s">
        <v>4527</v>
      </c>
      <c r="H614" s="30" t="s">
        <v>751</v>
      </c>
      <c r="I614" s="6" t="s">
        <v>751</v>
      </c>
      <c r="J614" s="30" t="s">
        <v>6246</v>
      </c>
      <c r="K614" s="205"/>
      <c r="L614" s="205"/>
      <c r="M614" s="205" t="s">
        <v>6254</v>
      </c>
      <c r="N614" s="6" t="s">
        <v>6255</v>
      </c>
      <c r="O614" s="6" t="s">
        <v>751</v>
      </c>
      <c r="P614" s="205" t="s">
        <v>4530</v>
      </c>
      <c r="Q614" s="49" t="n">
        <f aca="false">Cap_In!C102</f>
        <v>200</v>
      </c>
      <c r="R614" s="30" t="s">
        <v>751</v>
      </c>
      <c r="S614" s="44" t="str">
        <f aca="false">IF(ISNUMBER($AF614),INDEX(IDX_SrcStat,$AF614),"—")</f>
        <v>—</v>
      </c>
      <c r="T614" s="44" t="str">
        <f aca="false">IF(ISNUMBER($AF614),INDEX(IDX_SrcGrade,$AF614),"—")</f>
        <v>—</v>
      </c>
      <c r="U614" s="44" t="s">
        <v>4531</v>
      </c>
      <c r="V614" s="32" t="n">
        <f aca="false">IF(AND($F614="原始數據",$U614&lt;&gt;"連結 SRC"),1,0)</f>
        <v>0</v>
      </c>
      <c r="W614" s="32" t="n">
        <f aca="false">IF(AND($F614="Analogy",OR($H614="—",$H614="")),1,0)</f>
        <v>0</v>
      </c>
      <c r="X614" s="32" t="n">
        <f aca="false">IF(AND(OR($F614="Analogy",$F614="Assumed"),$G614&lt;&gt;"低",$G614&lt;&gt;"高",NOT(ISNUMBER($K614)),NOT(ISNUMBER($L614)),OR($M614="—",$M614="")),1,0)</f>
        <v>0</v>
      </c>
      <c r="Y614" s="32" t="n">
        <f aca="false">IF(AND(OR($F614="Analogy",$F614="Assumed",$F614="Derived（待改公式）",$F614="Derived（公式）"),OR($N614="—",$N614="",$N614=0)),1,0)</f>
        <v>0</v>
      </c>
      <c r="Z614" s="32" t="n">
        <f aca="false">IF(AND($F614="Decision",OR($J614="—",$J614="")),1,0)</f>
        <v>0</v>
      </c>
      <c r="AA614" s="33" t="n">
        <f aca="false">IF(OR($J614="—",$J614=""),0,IF(COUNTIF(Decisions!$A$5:$A$300,$J614)=0,1,0))</f>
        <v>0</v>
      </c>
      <c r="AB614" s="32" t="n">
        <f aca="false">IF(AND($F614="原始數據",$S614&lt;&gt;"Active"),1,0)</f>
        <v>0</v>
      </c>
      <c r="AC614" s="32" t="n">
        <f aca="false">IF(AND(ISNUMBER($K614),ISNUMBER($L614),ISNUMBER($Q614)),IF(OR($Q614&lt;MIN($K614,$L614),$Q614&gt;MAX($K614,$L614)),1,0),0)</f>
        <v>0</v>
      </c>
      <c r="AD614" s="32" t="n">
        <f aca="false">IF(AND(ISNUMBER($T614),$P614="高"),IF($T614=3,1,0),0)</f>
        <v>0</v>
      </c>
      <c r="AE614" s="32" t="n">
        <f aca="false">IF($S614="不存在",1,0)</f>
        <v>0</v>
      </c>
      <c r="AF614" s="44" t="str">
        <f aca="false">IF(OR($H614="—",$H614=""),"—",MATCH($H614,IDX_SrcID,0))</f>
        <v>—</v>
      </c>
      <c r="AG614" s="32" t="n">
        <f aca="false">IF(AND($P614="高",OR($AD614=1,$X614=1)),1,0)</f>
        <v>0</v>
      </c>
      <c r="AH614" s="32" t="n">
        <f aca="false">IF(AND($P614="高",$AG614=0,OR($F614&lt;&gt;"原始數據",$T614&lt;&gt;1)),1,0)</f>
        <v>0</v>
      </c>
      <c r="AI614" s="44" t="str">
        <f aca="false">IF(AND($P614="高",ISNUMBER($AF614)),INDEX(IDX_SrcDate,$AF614),"—")</f>
        <v>—</v>
      </c>
      <c r="AJ614" s="32" t="n">
        <f aca="false">IF(AND(ISTEXT($AI614),LEN($AI614)=10),IF(ISNUMBER(VALUE(SUBSTITUTE($AI614,"-",""))),VALUE(SUBSTITUTE($AI614,"-","")),0),0)</f>
        <v>0</v>
      </c>
    </row>
    <row r="615" customFormat="false" ht="43.5" hidden="false" customHeight="true" outlineLevel="0" collapsed="false">
      <c r="A615" s="30" t="s">
        <v>6256</v>
      </c>
      <c r="B615" s="205" t="s">
        <v>6241</v>
      </c>
      <c r="C615" s="30" t="s">
        <v>5608</v>
      </c>
      <c r="D615" s="30" t="s">
        <v>5413</v>
      </c>
      <c r="E615" s="243" t="s">
        <v>6257</v>
      </c>
      <c r="F615" s="30" t="s">
        <v>114</v>
      </c>
      <c r="G615" s="205" t="s">
        <v>4527</v>
      </c>
      <c r="H615" s="30" t="s">
        <v>751</v>
      </c>
      <c r="I615" s="6" t="s">
        <v>751</v>
      </c>
      <c r="J615" s="30" t="s">
        <v>6246</v>
      </c>
      <c r="K615" s="205"/>
      <c r="L615" s="205"/>
      <c r="M615" s="205" t="s">
        <v>6258</v>
      </c>
      <c r="N615" s="6" t="s">
        <v>6259</v>
      </c>
      <c r="O615" s="6" t="s">
        <v>751</v>
      </c>
      <c r="P615" s="205" t="s">
        <v>4530</v>
      </c>
      <c r="Q615" s="196" t="n">
        <f aca="false">Cap_In!C104</f>
        <v>0.995</v>
      </c>
      <c r="R615" s="30" t="s">
        <v>751</v>
      </c>
      <c r="S615" s="44" t="str">
        <f aca="false">IF(ISNUMBER($AF615),INDEX(IDX_SrcStat,$AF615),"—")</f>
        <v>—</v>
      </c>
      <c r="T615" s="44" t="str">
        <f aca="false">IF(ISNUMBER($AF615),INDEX(IDX_SrcGrade,$AF615),"—")</f>
        <v>—</v>
      </c>
      <c r="U615" s="44" t="s">
        <v>4531</v>
      </c>
      <c r="V615" s="32" t="n">
        <f aca="false">IF(AND($F615="原始數據",$U615&lt;&gt;"連結 SRC"),1,0)</f>
        <v>0</v>
      </c>
      <c r="W615" s="32" t="n">
        <f aca="false">IF(AND($F615="Analogy",OR($H615="—",$H615="")),1,0)</f>
        <v>0</v>
      </c>
      <c r="X615" s="32" t="n">
        <f aca="false">IF(AND(OR($F615="Analogy",$F615="Assumed"),$G615&lt;&gt;"低",$G615&lt;&gt;"高",NOT(ISNUMBER($K615)),NOT(ISNUMBER($L615)),OR($M615="—",$M615="")),1,0)</f>
        <v>0</v>
      </c>
      <c r="Y615" s="32" t="n">
        <f aca="false">IF(AND(OR($F615="Analogy",$F615="Assumed",$F615="Derived（待改公式）",$F615="Derived（公式）"),OR($N615="—",$N615="",$N615=0)),1,0)</f>
        <v>0</v>
      </c>
      <c r="Z615" s="32" t="n">
        <f aca="false">IF(AND($F615="Decision",OR($J615="—",$J615="")),1,0)</f>
        <v>0</v>
      </c>
      <c r="AA615" s="33" t="n">
        <f aca="false">IF(OR($J615="—",$J615=""),0,IF(COUNTIF(Decisions!$A$5:$A$300,$J615)=0,1,0))</f>
        <v>0</v>
      </c>
      <c r="AB615" s="32" t="n">
        <f aca="false">IF(AND($F615="原始數據",$S615&lt;&gt;"Active"),1,0)</f>
        <v>0</v>
      </c>
      <c r="AC615" s="32" t="n">
        <f aca="false">IF(AND(ISNUMBER($K615),ISNUMBER($L615),ISNUMBER($Q615)),IF(OR($Q615&lt;MIN($K615,$L615),$Q615&gt;MAX($K615,$L615)),1,0),0)</f>
        <v>0</v>
      </c>
      <c r="AD615" s="32" t="n">
        <f aca="false">IF(AND(ISNUMBER($T615),$P615="高"),IF($T615=3,1,0),0)</f>
        <v>0</v>
      </c>
      <c r="AE615" s="32" t="n">
        <f aca="false">IF($S615="不存在",1,0)</f>
        <v>0</v>
      </c>
      <c r="AF615" s="44" t="str">
        <f aca="false">IF(OR($H615="—",$H615=""),"—",MATCH($H615,IDX_SrcID,0))</f>
        <v>—</v>
      </c>
      <c r="AG615" s="32" t="n">
        <f aca="false">IF(AND($P615="高",OR($AD615=1,$X615=1)),1,0)</f>
        <v>0</v>
      </c>
      <c r="AH615" s="32" t="n">
        <f aca="false">IF(AND($P615="高",$AG615=0,OR($F615&lt;&gt;"原始數據",$T615&lt;&gt;1)),1,0)</f>
        <v>0</v>
      </c>
      <c r="AI615" s="44" t="str">
        <f aca="false">IF(AND($P615="高",ISNUMBER($AF615)),INDEX(IDX_SrcDate,$AF615),"—")</f>
        <v>—</v>
      </c>
      <c r="AJ615" s="32" t="n">
        <f aca="false">IF(AND(ISTEXT($AI615),LEN($AI615)=10),IF(ISNUMBER(VALUE(SUBSTITUTE($AI615,"-",""))),VALUE(SUBSTITUTE($AI615,"-","")),0),0)</f>
        <v>0</v>
      </c>
    </row>
    <row r="616" customFormat="false" ht="86.25" hidden="false" customHeight="true" outlineLevel="0" collapsed="false">
      <c r="A616" s="30" t="s">
        <v>6260</v>
      </c>
      <c r="B616" s="205" t="s">
        <v>6261</v>
      </c>
      <c r="C616" s="30" t="s">
        <v>5608</v>
      </c>
      <c r="D616" s="30" t="s">
        <v>6262</v>
      </c>
      <c r="E616" s="243" t="s">
        <v>6263</v>
      </c>
      <c r="F616" s="30" t="s">
        <v>114</v>
      </c>
      <c r="G616" s="205" t="s">
        <v>97</v>
      </c>
      <c r="H616" s="30" t="s">
        <v>6264</v>
      </c>
      <c r="I616" s="243" t="s">
        <v>6265</v>
      </c>
      <c r="J616" s="30" t="s">
        <v>6266</v>
      </c>
      <c r="K616" s="196" t="n">
        <f aca="false">Cap_In!E127</f>
        <v>0.05</v>
      </c>
      <c r="L616" s="196" t="n">
        <f aca="false">Cap_In!D127</f>
        <v>0.2</v>
      </c>
      <c r="M616" s="30" t="s">
        <v>6267</v>
      </c>
      <c r="N616" s="6" t="s">
        <v>6268</v>
      </c>
      <c r="O616" s="6" t="s">
        <v>751</v>
      </c>
      <c r="P616" s="205" t="s">
        <v>4530</v>
      </c>
      <c r="Q616" s="196" t="n">
        <f aca="false">Cap_In!C127</f>
        <v>0.1</v>
      </c>
      <c r="R616" s="184" t="n">
        <f aca="false">SRC_DEM_051</f>
        <v>0.07</v>
      </c>
      <c r="S616" s="44" t="str">
        <f aca="false">IF(ISNUMBER($AF616),INDEX(IDX_SrcStat,$AF616),"—")</f>
        <v>Active</v>
      </c>
      <c r="T616" s="44" t="n">
        <f aca="false">IF(ISNUMBER($AF616),INDEX(IDX_SrcGrade,$AF616),"—")</f>
        <v>1</v>
      </c>
      <c r="U616" s="44" t="s">
        <v>4531</v>
      </c>
      <c r="V616" s="32" t="n">
        <f aca="false">IF(AND($F616="原始數據",$U616&lt;&gt;"連結 SRC"),1,0)</f>
        <v>0</v>
      </c>
      <c r="W616" s="32" t="n">
        <f aca="false">IF(AND($F616="Analogy",OR($H616="—",$H616="")),1,0)</f>
        <v>0</v>
      </c>
      <c r="X616" s="32" t="n">
        <f aca="false">IF(AND(OR($F616="Analogy",$F616="Assumed"),$G616&lt;&gt;"低",$G616&lt;&gt;"高",NOT(ISNUMBER($K616)),NOT(ISNUMBER($L616)),OR($M616="—",$M616="")),1,0)</f>
        <v>0</v>
      </c>
      <c r="Y616" s="32" t="n">
        <f aca="false">IF(AND(OR($F616="Analogy",$F616="Assumed",$F616="Derived（待改公式）",$F616="Derived（公式）"),OR($N616="—",$N616="",$N616=0)),1,0)</f>
        <v>0</v>
      </c>
      <c r="Z616" s="32" t="n">
        <f aca="false">IF(AND($F616="Decision",OR($J616="—",$J616="")),1,0)</f>
        <v>0</v>
      </c>
      <c r="AA616" s="33" t="n">
        <f aca="false">IF(OR($J616="—",$J616=""),0,IF(COUNTIF(Decisions!$A$5:$A$300,$J616)=0,1,0))</f>
        <v>0</v>
      </c>
      <c r="AB616" s="32" t="n">
        <f aca="false">IF(AND($F616="原始數據",$S616&lt;&gt;"Active"),1,0)</f>
        <v>0</v>
      </c>
      <c r="AC616" s="32" t="n">
        <f aca="false">IF(AND(ISNUMBER($K616),ISNUMBER($L616),ISNUMBER($Q616)),IF(OR($Q616&lt;MIN($K616,$L616),$Q616&gt;MAX($K616,$L616)),1,0),0)</f>
        <v>0</v>
      </c>
      <c r="AD616" s="32" t="n">
        <f aca="false">IF(AND(ISNUMBER($T616),$P616="高"),IF($T616=3,1,0),0)</f>
        <v>0</v>
      </c>
      <c r="AE616" s="32" t="n">
        <f aca="false">IF($S616="不存在",1,0)</f>
        <v>0</v>
      </c>
      <c r="AF616" s="44" t="n">
        <f aca="false">IF(OR($H616="—",$H616=""),"—",MATCH($H616,IDX_SrcID,0))</f>
        <v>704</v>
      </c>
      <c r="AG616" s="32" t="n">
        <f aca="false">IF(AND($P616="高",OR($AD616=1,$X616=1)),1,0)</f>
        <v>0</v>
      </c>
      <c r="AH616" s="32" t="n">
        <f aca="false">IF(AND($P616="高",$AG616=0,OR($F616&lt;&gt;"原始數據",$T616&lt;&gt;1)),1,0)</f>
        <v>0</v>
      </c>
      <c r="AI616" s="44" t="str">
        <f aca="false">IF(AND($P616="高",ISNUMBER($AF616)),INDEX(IDX_SrcDate,$AF616),"—")</f>
        <v>—</v>
      </c>
      <c r="AJ616" s="32" t="n">
        <f aca="false">IF(AND(ISTEXT($AI616),LEN($AI616)=10),IF(ISNUMBER(VALUE(SUBSTITUTE($AI616,"-",""))),VALUE(SUBSTITUTE($AI616,"-","")),0),0)</f>
        <v>0</v>
      </c>
    </row>
    <row r="617" customFormat="false" ht="86.25" hidden="false" customHeight="true" outlineLevel="0" collapsed="false">
      <c r="A617" s="30" t="s">
        <v>6269</v>
      </c>
      <c r="B617" s="205" t="s">
        <v>6261</v>
      </c>
      <c r="C617" s="30" t="s">
        <v>5608</v>
      </c>
      <c r="D617" s="30" t="s">
        <v>6270</v>
      </c>
      <c r="E617" s="243" t="s">
        <v>6263</v>
      </c>
      <c r="F617" s="30" t="s">
        <v>114</v>
      </c>
      <c r="G617" s="205" t="s">
        <v>5614</v>
      </c>
      <c r="H617" s="30" t="s">
        <v>751</v>
      </c>
      <c r="I617" s="6" t="s">
        <v>751</v>
      </c>
      <c r="J617" s="30" t="s">
        <v>6266</v>
      </c>
      <c r="K617" s="205"/>
      <c r="L617" s="205"/>
      <c r="M617" s="30" t="s">
        <v>6271</v>
      </c>
      <c r="N617" s="6" t="s">
        <v>6268</v>
      </c>
      <c r="O617" s="6" t="s">
        <v>751</v>
      </c>
      <c r="P617" s="205" t="s">
        <v>4530</v>
      </c>
      <c r="Q617" s="184" t="s">
        <v>751</v>
      </c>
      <c r="R617" s="30" t="s">
        <v>751</v>
      </c>
      <c r="S617" s="44" t="str">
        <f aca="false">IF(ISNUMBER($AF617),INDEX(IDX_SrcStat,$AF617),"—")</f>
        <v>—</v>
      </c>
      <c r="T617" s="44" t="str">
        <f aca="false">IF(ISNUMBER($AF617),INDEX(IDX_SrcGrade,$AF617),"—")</f>
        <v>—</v>
      </c>
      <c r="U617" s="30" t="s">
        <v>751</v>
      </c>
      <c r="V617" s="32" t="n">
        <f aca="false">IF(AND($F617="原始數據",$U617&lt;&gt;"連結 SRC"),1,0)</f>
        <v>0</v>
      </c>
      <c r="W617" s="32" t="n">
        <f aca="false">IF(AND($F617="Analogy",OR($H617="—",$H617="")),1,0)</f>
        <v>0</v>
      </c>
      <c r="X617" s="32" t="n">
        <f aca="false">IF(AND(OR($F617="Analogy",$F617="Assumed"),$G617&lt;&gt;"低",$G617&lt;&gt;"高",NOT(ISNUMBER($K617)),NOT(ISNUMBER($L617)),OR($M617="—",$M617="")),1,0)</f>
        <v>0</v>
      </c>
      <c r="Y617" s="32" t="n">
        <f aca="false">IF(AND(OR($F617="Analogy",$F617="Assumed",$F617="Derived（待改公式）",$F617="Derived（公式）"),OR($N617="—",$N617="",$N617=0)),1,0)</f>
        <v>0</v>
      </c>
      <c r="Z617" s="32" t="n">
        <f aca="false">IF(AND($F617="Decision",OR($J617="—",$J617="")),1,0)</f>
        <v>0</v>
      </c>
      <c r="AA617" s="33" t="n">
        <f aca="false">IF(OR($J617="—",$J617=""),0,IF(COUNTIF(Decisions!$A$5:$A$300,$J617)=0,1,0))</f>
        <v>0</v>
      </c>
      <c r="AB617" s="32" t="n">
        <f aca="false">IF(AND($F617="原始數據",$S617&lt;&gt;"Active"),1,0)</f>
        <v>0</v>
      </c>
      <c r="AC617" s="32" t="n">
        <f aca="false">IF(AND(ISNUMBER($K617),ISNUMBER($L617),ISNUMBER($Q617)),IF(OR($Q617&lt;MIN($K617,$L617),$Q617&gt;MAX($K617,$L617)),1,0),0)</f>
        <v>0</v>
      </c>
      <c r="AD617" s="32" t="n">
        <f aca="false">IF(AND(ISNUMBER($T617),$P617="高"),IF($T617=3,1,0),0)</f>
        <v>0</v>
      </c>
      <c r="AE617" s="32" t="n">
        <f aca="false">IF($S617="不存在",1,0)</f>
        <v>0</v>
      </c>
      <c r="AF617" s="44" t="str">
        <f aca="false">IF(OR($H617="—",$H617=""),"—",MATCH($H617,IDX_SrcID,0))</f>
        <v>—</v>
      </c>
      <c r="AG617" s="32" t="n">
        <f aca="false">IF(AND($P617="高",OR($AD617=1,$X617=1)),1,0)</f>
        <v>0</v>
      </c>
      <c r="AH617" s="32" t="n">
        <f aca="false">IF(AND($P617="高",$AG617=0,OR($F617&lt;&gt;"原始數據",$T617&lt;&gt;1)),1,0)</f>
        <v>0</v>
      </c>
      <c r="AI617" s="44" t="str">
        <f aca="false">IF(AND($P617="高",ISNUMBER($AF617)),INDEX(IDX_SrcDate,$AF617),"—")</f>
        <v>—</v>
      </c>
      <c r="AJ617" s="32" t="n">
        <f aca="false">IF(AND(ISTEXT($AI617),LEN($AI617)=10),IF(ISNUMBER(VALUE(SUBSTITUTE($AI617,"-",""))),VALUE(SUBSTITUTE($AI617,"-","")),0),0)</f>
        <v>0</v>
      </c>
    </row>
    <row r="618" customFormat="false" ht="72" hidden="false" customHeight="true" outlineLevel="0" collapsed="false">
      <c r="A618" s="30" t="s">
        <v>6272</v>
      </c>
      <c r="B618" s="205" t="s">
        <v>6273</v>
      </c>
      <c r="C618" s="30" t="s">
        <v>5608</v>
      </c>
      <c r="D618" s="30" t="s">
        <v>6274</v>
      </c>
      <c r="E618" s="6" t="s">
        <v>1565</v>
      </c>
      <c r="F618" s="30" t="s">
        <v>114</v>
      </c>
      <c r="G618" s="205" t="s">
        <v>97</v>
      </c>
      <c r="H618" s="30" t="s">
        <v>6275</v>
      </c>
      <c r="I618" s="243" t="s">
        <v>6276</v>
      </c>
      <c r="J618" s="30" t="s">
        <v>6277</v>
      </c>
      <c r="K618" s="196" t="n">
        <f aca="false">Cap_In!D131</f>
        <v>0.05</v>
      </c>
      <c r="L618" s="196" t="n">
        <f aca="false">Cap_In!E131</f>
        <v>0.15</v>
      </c>
      <c r="M618" s="30" t="s">
        <v>6278</v>
      </c>
      <c r="N618" s="6" t="s">
        <v>6279</v>
      </c>
      <c r="O618" s="6" t="s">
        <v>751</v>
      </c>
      <c r="P618" s="205" t="s">
        <v>4530</v>
      </c>
      <c r="Q618" s="196" t="n">
        <f aca="false">Cap_In!C131</f>
        <v>0.1</v>
      </c>
      <c r="R618" s="184" t="n">
        <f aca="false">SRC_DEM_071</f>
        <v>0.2</v>
      </c>
      <c r="S618" s="44" t="str">
        <f aca="false">IF(ISNUMBER($AF618),INDEX(IDX_SrcStat,$AF618),"—")</f>
        <v>Active</v>
      </c>
      <c r="T618" s="44" t="n">
        <f aca="false">IF(ISNUMBER($AF618),INDEX(IDX_SrcGrade,$AF618),"—")</f>
        <v>3</v>
      </c>
      <c r="U618" s="44" t="s">
        <v>4531</v>
      </c>
      <c r="V618" s="32" t="n">
        <f aca="false">IF(AND($F618="原始數據",$U618&lt;&gt;"連結 SRC"),1,0)</f>
        <v>0</v>
      </c>
      <c r="W618" s="32" t="n">
        <f aca="false">IF(AND($F618="Analogy",OR($H618="—",$H618="")),1,0)</f>
        <v>0</v>
      </c>
      <c r="X618" s="32" t="n">
        <f aca="false">IF(AND(OR($F618="Analogy",$F618="Assumed"),$G618&lt;&gt;"低",$G618&lt;&gt;"高",NOT(ISNUMBER($K618)),NOT(ISNUMBER($L618)),OR($M618="—",$M618="")),1,0)</f>
        <v>0</v>
      </c>
      <c r="Y618" s="32" t="n">
        <f aca="false">IF(AND(OR($F618="Analogy",$F618="Assumed",$F618="Derived（待改公式）",$F618="Derived（公式）"),OR($N618="—",$N618="",$N618=0)),1,0)</f>
        <v>0</v>
      </c>
      <c r="Z618" s="32" t="n">
        <f aca="false">IF(AND($F618="Decision",OR($J618="—",$J618="")),1,0)</f>
        <v>0</v>
      </c>
      <c r="AA618" s="33" t="n">
        <f aca="false">IF(OR($J618="—",$J618=""),0,IF(COUNTIF(Decisions!$A$5:$A$300,$J618)=0,1,0))</f>
        <v>0</v>
      </c>
      <c r="AB618" s="32" t="n">
        <f aca="false">IF(AND($F618="原始數據",$S618&lt;&gt;"Active"),1,0)</f>
        <v>0</v>
      </c>
      <c r="AC618" s="32" t="n">
        <f aca="false">IF(AND(ISNUMBER($K618),ISNUMBER($L618),ISNUMBER($Q618)),IF(OR($Q618&lt;MIN($K618,$L618),$Q618&gt;MAX($K618,$L618)),1,0),0)</f>
        <v>0</v>
      </c>
      <c r="AD618" s="32" t="n">
        <f aca="false">IF(AND(ISNUMBER($T618),$P618="高"),IF($T618=3,1,0),0)</f>
        <v>0</v>
      </c>
      <c r="AE618" s="32" t="n">
        <f aca="false">IF($S618="不存在",1,0)</f>
        <v>0</v>
      </c>
      <c r="AF618" s="44" t="n">
        <f aca="false">IF(OR($H618="—",$H618=""),"—",MATCH($H618,IDX_SrcID,0))</f>
        <v>724</v>
      </c>
      <c r="AG618" s="32" t="n">
        <f aca="false">IF(AND($P618="高",OR($AD618=1,$X618=1)),1,0)</f>
        <v>0</v>
      </c>
      <c r="AH618" s="32" t="n">
        <f aca="false">IF(AND($P618="高",$AG618=0,OR($F618&lt;&gt;"原始數據",$T618&lt;&gt;1)),1,0)</f>
        <v>0</v>
      </c>
      <c r="AI618" s="44" t="str">
        <f aca="false">IF(AND($P618="高",ISNUMBER($AF618)),INDEX(IDX_SrcDate,$AF618),"—")</f>
        <v>—</v>
      </c>
      <c r="AJ618" s="32" t="n">
        <f aca="false">IF(AND(ISTEXT($AI618),LEN($AI618)=10),IF(ISNUMBER(VALUE(SUBSTITUTE($AI618,"-",""))),VALUE(SUBSTITUTE($AI618,"-","")),0),0)</f>
        <v>0</v>
      </c>
    </row>
    <row r="619" customFormat="false" ht="72" hidden="false" customHeight="true" outlineLevel="0" collapsed="false">
      <c r="A619" s="30" t="s">
        <v>6280</v>
      </c>
      <c r="B619" s="205" t="s">
        <v>6273</v>
      </c>
      <c r="C619" s="30" t="s">
        <v>5608</v>
      </c>
      <c r="D619" s="30" t="s">
        <v>6281</v>
      </c>
      <c r="E619" s="6" t="s">
        <v>1565</v>
      </c>
      <c r="F619" s="30" t="s">
        <v>114</v>
      </c>
      <c r="G619" s="205" t="s">
        <v>5614</v>
      </c>
      <c r="H619" s="30" t="s">
        <v>751</v>
      </c>
      <c r="I619" s="6" t="s">
        <v>751</v>
      </c>
      <c r="J619" s="30" t="s">
        <v>6277</v>
      </c>
      <c r="K619" s="205"/>
      <c r="L619" s="205"/>
      <c r="M619" s="30" t="s">
        <v>6282</v>
      </c>
      <c r="N619" s="6" t="s">
        <v>6279</v>
      </c>
      <c r="O619" s="6" t="s">
        <v>751</v>
      </c>
      <c r="P619" s="205" t="s">
        <v>4530</v>
      </c>
      <c r="Q619" s="184" t="s">
        <v>751</v>
      </c>
      <c r="R619" s="30" t="s">
        <v>751</v>
      </c>
      <c r="S619" s="44" t="str">
        <f aca="false">IF(ISNUMBER($AF619),INDEX(IDX_SrcStat,$AF619),"—")</f>
        <v>—</v>
      </c>
      <c r="T619" s="44" t="str">
        <f aca="false">IF(ISNUMBER($AF619),INDEX(IDX_SrcGrade,$AF619),"—")</f>
        <v>—</v>
      </c>
      <c r="U619" s="30" t="s">
        <v>751</v>
      </c>
      <c r="V619" s="32" t="n">
        <f aca="false">IF(AND($F619="原始數據",$U619&lt;&gt;"連結 SRC"),1,0)</f>
        <v>0</v>
      </c>
      <c r="W619" s="32" t="n">
        <f aca="false">IF(AND($F619="Analogy",OR($H619="—",$H619="")),1,0)</f>
        <v>0</v>
      </c>
      <c r="X619" s="32" t="n">
        <f aca="false">IF(AND(OR($F619="Analogy",$F619="Assumed"),$G619&lt;&gt;"低",$G619&lt;&gt;"高",NOT(ISNUMBER($K619)),NOT(ISNUMBER($L619)),OR($M619="—",$M619="")),1,0)</f>
        <v>0</v>
      </c>
      <c r="Y619" s="32" t="n">
        <f aca="false">IF(AND(OR($F619="Analogy",$F619="Assumed",$F619="Derived（待改公式）",$F619="Derived（公式）"),OR($N619="—",$N619="",$N619=0)),1,0)</f>
        <v>0</v>
      </c>
      <c r="Z619" s="32" t="n">
        <f aca="false">IF(AND($F619="Decision",OR($J619="—",$J619="")),1,0)</f>
        <v>0</v>
      </c>
      <c r="AA619" s="33" t="n">
        <f aca="false">IF(OR($J619="—",$J619=""),0,IF(COUNTIF(Decisions!$A$5:$A$300,$J619)=0,1,0))</f>
        <v>0</v>
      </c>
      <c r="AB619" s="32" t="n">
        <f aca="false">IF(AND($F619="原始數據",$S619&lt;&gt;"Active"),1,0)</f>
        <v>0</v>
      </c>
      <c r="AC619" s="32" t="n">
        <f aca="false">IF(AND(ISNUMBER($K619),ISNUMBER($L619),ISNUMBER($Q619)),IF(OR($Q619&lt;MIN($K619,$L619),$Q619&gt;MAX($K619,$L619)),1,0),0)</f>
        <v>0</v>
      </c>
      <c r="AD619" s="32" t="n">
        <f aca="false">IF(AND(ISNUMBER($T619),$P619="高"),IF($T619=3,1,0),0)</f>
        <v>0</v>
      </c>
      <c r="AE619" s="32" t="n">
        <f aca="false">IF($S619="不存在",1,0)</f>
        <v>0</v>
      </c>
      <c r="AF619" s="44" t="str">
        <f aca="false">IF(OR($H619="—",$H619=""),"—",MATCH($H619,IDX_SrcID,0))</f>
        <v>—</v>
      </c>
      <c r="AG619" s="32" t="n">
        <f aca="false">IF(AND($P619="高",OR($AD619=1,$X619=1)),1,0)</f>
        <v>0</v>
      </c>
      <c r="AH619" s="32" t="n">
        <f aca="false">IF(AND($P619="高",$AG619=0,OR($F619&lt;&gt;"原始數據",$T619&lt;&gt;1)),1,0)</f>
        <v>0</v>
      </c>
      <c r="AI619" s="44" t="str">
        <f aca="false">IF(AND($P619="高",ISNUMBER($AF619)),INDEX(IDX_SrcDate,$AF619),"—")</f>
        <v>—</v>
      </c>
      <c r="AJ619" s="32" t="n">
        <f aca="false">IF(AND(ISTEXT($AI619),LEN($AI619)=10),IF(ISNUMBER(VALUE(SUBSTITUTE($AI619,"-",""))),VALUE(SUBSTITUTE($AI619,"-","")),0),0)</f>
        <v>0</v>
      </c>
    </row>
    <row r="620" customFormat="false" ht="72" hidden="false" customHeight="true" outlineLevel="0" collapsed="false">
      <c r="A620" s="30" t="s">
        <v>6283</v>
      </c>
      <c r="B620" s="205" t="s">
        <v>6273</v>
      </c>
      <c r="C620" s="30" t="s">
        <v>5608</v>
      </c>
      <c r="D620" s="30" t="s">
        <v>6284</v>
      </c>
      <c r="E620" s="243" t="s">
        <v>6285</v>
      </c>
      <c r="F620" s="30" t="s">
        <v>114</v>
      </c>
      <c r="G620" s="205" t="s">
        <v>97</v>
      </c>
      <c r="H620" s="30" t="s">
        <v>751</v>
      </c>
      <c r="I620" s="6" t="s">
        <v>751</v>
      </c>
      <c r="J620" s="30" t="s">
        <v>6286</v>
      </c>
      <c r="K620" s="196" t="n">
        <f aca="false">Cap_In!E132</f>
        <v>0.6</v>
      </c>
      <c r="L620" s="196" t="n">
        <f aca="false">Cap_In!D132</f>
        <v>0.9</v>
      </c>
      <c r="M620" s="30" t="s">
        <v>6287</v>
      </c>
      <c r="N620" s="6" t="s">
        <v>6288</v>
      </c>
      <c r="O620" s="6" t="s">
        <v>751</v>
      </c>
      <c r="P620" s="205" t="s">
        <v>4530</v>
      </c>
      <c r="Q620" s="196" t="n">
        <f aca="false">Cap_In!C132</f>
        <v>0.75</v>
      </c>
      <c r="R620" s="30" t="s">
        <v>751</v>
      </c>
      <c r="S620" s="44" t="str">
        <f aca="false">IF(ISNUMBER($AF620),INDEX(IDX_SrcStat,$AF620),"—")</f>
        <v>—</v>
      </c>
      <c r="T620" s="44" t="str">
        <f aca="false">IF(ISNUMBER($AF620),INDEX(IDX_SrcGrade,$AF620),"—")</f>
        <v>—</v>
      </c>
      <c r="U620" s="44" t="s">
        <v>4531</v>
      </c>
      <c r="V620" s="32" t="n">
        <f aca="false">IF(AND($F620="原始數據",$U620&lt;&gt;"連結 SRC"),1,0)</f>
        <v>0</v>
      </c>
      <c r="W620" s="32" t="n">
        <f aca="false">IF(AND($F620="Analogy",OR($H620="—",$H620="")),1,0)</f>
        <v>0</v>
      </c>
      <c r="X620" s="32" t="n">
        <f aca="false">IF(AND(OR($F620="Analogy",$F620="Assumed"),$G620&lt;&gt;"低",$G620&lt;&gt;"高",NOT(ISNUMBER($K620)),NOT(ISNUMBER($L620)),OR($M620="—",$M620="")),1,0)</f>
        <v>0</v>
      </c>
      <c r="Y620" s="32" t="n">
        <f aca="false">IF(AND(OR($F620="Analogy",$F620="Assumed",$F620="Derived（待改公式）",$F620="Derived（公式）"),OR($N620="—",$N620="",$N620=0)),1,0)</f>
        <v>0</v>
      </c>
      <c r="Z620" s="32" t="n">
        <f aca="false">IF(AND($F620="Decision",OR($J620="—",$J620="")),1,0)</f>
        <v>0</v>
      </c>
      <c r="AA620" s="33" t="n">
        <f aca="false">IF(OR($J620="—",$J620=""),0,IF(COUNTIF(Decisions!$A$5:$A$300,$J620)=0,1,0))</f>
        <v>0</v>
      </c>
      <c r="AB620" s="32" t="n">
        <f aca="false">IF(AND($F620="原始數據",$S620&lt;&gt;"Active"),1,0)</f>
        <v>0</v>
      </c>
      <c r="AC620" s="32" t="n">
        <f aca="false">IF(AND(ISNUMBER($K620),ISNUMBER($L620),ISNUMBER($Q620)),IF(OR($Q620&lt;MIN($K620,$L620),$Q620&gt;MAX($K620,$L620)),1,0),0)</f>
        <v>0</v>
      </c>
      <c r="AD620" s="32" t="n">
        <f aca="false">IF(AND(ISNUMBER($T620),$P620="高"),IF($T620=3,1,0),0)</f>
        <v>0</v>
      </c>
      <c r="AE620" s="32" t="n">
        <f aca="false">IF($S620="不存在",1,0)</f>
        <v>0</v>
      </c>
      <c r="AF620" s="44" t="str">
        <f aca="false">IF(OR($H620="—",$H620=""),"—",MATCH($H620,IDX_SrcID,0))</f>
        <v>—</v>
      </c>
      <c r="AG620" s="32" t="n">
        <f aca="false">IF(AND($P620="高",OR($AD620=1,$X620=1)),1,0)</f>
        <v>0</v>
      </c>
      <c r="AH620" s="32" t="n">
        <f aca="false">IF(AND($P620="高",$AG620=0,OR($F620&lt;&gt;"原始數據",$T620&lt;&gt;1)),1,0)</f>
        <v>0</v>
      </c>
      <c r="AI620" s="44" t="str">
        <f aca="false">IF(AND($P620="高",ISNUMBER($AF620)),INDEX(IDX_SrcDate,$AF620),"—")</f>
        <v>—</v>
      </c>
      <c r="AJ620" s="32" t="n">
        <f aca="false">IF(AND(ISTEXT($AI620),LEN($AI620)=10),IF(ISNUMBER(VALUE(SUBSTITUTE($AI620,"-",""))),VALUE(SUBSTITUTE($AI620,"-","")),0),0)</f>
        <v>0</v>
      </c>
    </row>
    <row r="621" customFormat="false" ht="72" hidden="false" customHeight="true" outlineLevel="0" collapsed="false">
      <c r="A621" s="30" t="s">
        <v>6289</v>
      </c>
      <c r="B621" s="205" t="s">
        <v>6273</v>
      </c>
      <c r="C621" s="30" t="s">
        <v>5608</v>
      </c>
      <c r="D621" s="30" t="s">
        <v>6290</v>
      </c>
      <c r="E621" s="243" t="s">
        <v>6285</v>
      </c>
      <c r="F621" s="30" t="s">
        <v>114</v>
      </c>
      <c r="G621" s="205" t="s">
        <v>5614</v>
      </c>
      <c r="H621" s="30" t="s">
        <v>751</v>
      </c>
      <c r="I621" s="6" t="s">
        <v>751</v>
      </c>
      <c r="J621" s="30" t="s">
        <v>6286</v>
      </c>
      <c r="K621" s="205"/>
      <c r="L621" s="205"/>
      <c r="M621" s="30" t="s">
        <v>6291</v>
      </c>
      <c r="N621" s="6" t="s">
        <v>6288</v>
      </c>
      <c r="O621" s="6" t="s">
        <v>751</v>
      </c>
      <c r="P621" s="205" t="s">
        <v>4530</v>
      </c>
      <c r="Q621" s="184" t="s">
        <v>751</v>
      </c>
      <c r="R621" s="30" t="s">
        <v>751</v>
      </c>
      <c r="S621" s="44" t="str">
        <f aca="false">IF(ISNUMBER($AF621),INDEX(IDX_SrcStat,$AF621),"—")</f>
        <v>—</v>
      </c>
      <c r="T621" s="44" t="str">
        <f aca="false">IF(ISNUMBER($AF621),INDEX(IDX_SrcGrade,$AF621),"—")</f>
        <v>—</v>
      </c>
      <c r="U621" s="30" t="s">
        <v>751</v>
      </c>
      <c r="V621" s="32" t="n">
        <f aca="false">IF(AND($F621="原始數據",$U621&lt;&gt;"連結 SRC"),1,0)</f>
        <v>0</v>
      </c>
      <c r="W621" s="32" t="n">
        <f aca="false">IF(AND($F621="Analogy",OR($H621="—",$H621="")),1,0)</f>
        <v>0</v>
      </c>
      <c r="X621" s="32" t="n">
        <f aca="false">IF(AND(OR($F621="Analogy",$F621="Assumed"),$G621&lt;&gt;"低",$G621&lt;&gt;"高",NOT(ISNUMBER($K621)),NOT(ISNUMBER($L621)),OR($M621="—",$M621="")),1,0)</f>
        <v>0</v>
      </c>
      <c r="Y621" s="32" t="n">
        <f aca="false">IF(AND(OR($F621="Analogy",$F621="Assumed",$F621="Derived（待改公式）",$F621="Derived（公式）"),OR($N621="—",$N621="",$N621=0)),1,0)</f>
        <v>0</v>
      </c>
      <c r="Z621" s="32" t="n">
        <f aca="false">IF(AND($F621="Decision",OR($J621="—",$J621="")),1,0)</f>
        <v>0</v>
      </c>
      <c r="AA621" s="33" t="n">
        <f aca="false">IF(OR($J621="—",$J621=""),0,IF(COUNTIF(Decisions!$A$5:$A$300,$J621)=0,1,0))</f>
        <v>0</v>
      </c>
      <c r="AB621" s="32" t="n">
        <f aca="false">IF(AND($F621="原始數據",$S621&lt;&gt;"Active"),1,0)</f>
        <v>0</v>
      </c>
      <c r="AC621" s="32" t="n">
        <f aca="false">IF(AND(ISNUMBER($K621),ISNUMBER($L621),ISNUMBER($Q621)),IF(OR($Q621&lt;MIN($K621,$L621),$Q621&gt;MAX($K621,$L621)),1,0),0)</f>
        <v>0</v>
      </c>
      <c r="AD621" s="32" t="n">
        <f aca="false">IF(AND(ISNUMBER($T621),$P621="高"),IF($T621=3,1,0),0)</f>
        <v>0</v>
      </c>
      <c r="AE621" s="32" t="n">
        <f aca="false">IF($S621="不存在",1,0)</f>
        <v>0</v>
      </c>
      <c r="AF621" s="44" t="str">
        <f aca="false">IF(OR($H621="—",$H621=""),"—",MATCH($H621,IDX_SrcID,0))</f>
        <v>—</v>
      </c>
      <c r="AG621" s="32" t="n">
        <f aca="false">IF(AND($P621="高",OR($AD621=1,$X621=1)),1,0)</f>
        <v>0</v>
      </c>
      <c r="AH621" s="32" t="n">
        <f aca="false">IF(AND($P621="高",$AG621=0,OR($F621&lt;&gt;"原始數據",$T621&lt;&gt;1)),1,0)</f>
        <v>0</v>
      </c>
      <c r="AI621" s="44" t="str">
        <f aca="false">IF(AND($P621="高",ISNUMBER($AF621)),INDEX(IDX_SrcDate,$AF621),"—")</f>
        <v>—</v>
      </c>
      <c r="AJ621" s="32" t="n">
        <f aca="false">IF(AND(ISTEXT($AI621),LEN($AI621)=10),IF(ISNUMBER(VALUE(SUBSTITUTE($AI621,"-",""))),VALUE(SUBSTITUTE($AI621,"-","")),0),0)</f>
        <v>0</v>
      </c>
    </row>
    <row r="622" customFormat="false" ht="57.75" hidden="false" customHeight="true" outlineLevel="0" collapsed="false">
      <c r="A622" s="30" t="s">
        <v>6292</v>
      </c>
      <c r="B622" s="205" t="s">
        <v>6273</v>
      </c>
      <c r="C622" s="30" t="s">
        <v>5608</v>
      </c>
      <c r="D622" s="30" t="s">
        <v>6293</v>
      </c>
      <c r="E622" s="6" t="s">
        <v>1569</v>
      </c>
      <c r="F622" s="30" t="s">
        <v>114</v>
      </c>
      <c r="G622" s="205" t="s">
        <v>97</v>
      </c>
      <c r="H622" s="30" t="s">
        <v>751</v>
      </c>
      <c r="I622" s="6" t="s">
        <v>751</v>
      </c>
      <c r="J622" s="30" t="s">
        <v>6277</v>
      </c>
      <c r="K622" s="46" t="n">
        <f aca="false">Cap_In!D133</f>
        <v>0</v>
      </c>
      <c r="L622" s="46" t="n">
        <f aca="false">Cap_In!E133</f>
        <v>1</v>
      </c>
      <c r="M622" s="30" t="s">
        <v>6294</v>
      </c>
      <c r="N622" s="6" t="s">
        <v>6295</v>
      </c>
      <c r="O622" s="6" t="s">
        <v>751</v>
      </c>
      <c r="P622" s="205" t="s">
        <v>4530</v>
      </c>
      <c r="Q622" s="46" t="n">
        <f aca="false">Cap_In!C133</f>
        <v>0.5</v>
      </c>
      <c r="R622" s="30" t="s">
        <v>751</v>
      </c>
      <c r="S622" s="44" t="str">
        <f aca="false">IF(ISNUMBER($AF622),INDEX(IDX_SrcStat,$AF622),"—")</f>
        <v>—</v>
      </c>
      <c r="T622" s="44" t="str">
        <f aca="false">IF(ISNUMBER($AF622),INDEX(IDX_SrcGrade,$AF622),"—")</f>
        <v>—</v>
      </c>
      <c r="U622" s="44" t="s">
        <v>4531</v>
      </c>
      <c r="V622" s="32" t="n">
        <f aca="false">IF(AND($F622="原始數據",$U622&lt;&gt;"連結 SRC"),1,0)</f>
        <v>0</v>
      </c>
      <c r="W622" s="32" t="n">
        <f aca="false">IF(AND($F622="Analogy",OR($H622="—",$H622="")),1,0)</f>
        <v>0</v>
      </c>
      <c r="X622" s="32" t="n">
        <f aca="false">IF(AND(OR($F622="Analogy",$F622="Assumed"),$G622&lt;&gt;"低",$G622&lt;&gt;"高",NOT(ISNUMBER($K622)),NOT(ISNUMBER($L622)),OR($M622="—",$M622="")),1,0)</f>
        <v>0</v>
      </c>
      <c r="Y622" s="32" t="n">
        <f aca="false">IF(AND(OR($F622="Analogy",$F622="Assumed",$F622="Derived（待改公式）",$F622="Derived（公式）"),OR($N622="—",$N622="",$N622=0)),1,0)</f>
        <v>0</v>
      </c>
      <c r="Z622" s="32" t="n">
        <f aca="false">IF(AND($F622="Decision",OR($J622="—",$J622="")),1,0)</f>
        <v>0</v>
      </c>
      <c r="AA622" s="33" t="n">
        <f aca="false">IF(OR($J622="—",$J622=""),0,IF(COUNTIF(Decisions!$A$5:$A$300,$J622)=0,1,0))</f>
        <v>0</v>
      </c>
      <c r="AB622" s="32" t="n">
        <f aca="false">IF(AND($F622="原始數據",$S622&lt;&gt;"Active"),1,0)</f>
        <v>0</v>
      </c>
      <c r="AC622" s="32" t="n">
        <f aca="false">IF(AND(ISNUMBER($K622),ISNUMBER($L622),ISNUMBER($Q622)),IF(OR($Q622&lt;MIN($K622,$L622),$Q622&gt;MAX($K622,$L622)),1,0),0)</f>
        <v>0</v>
      </c>
      <c r="AD622" s="32" t="n">
        <f aca="false">IF(AND(ISNUMBER($T622),$P622="高"),IF($T622=3,1,0),0)</f>
        <v>0</v>
      </c>
      <c r="AE622" s="32" t="n">
        <f aca="false">IF($S622="不存在",1,0)</f>
        <v>0</v>
      </c>
      <c r="AF622" s="44" t="str">
        <f aca="false">IF(OR($H622="—",$H622=""),"—",MATCH($H622,IDX_SrcID,0))</f>
        <v>—</v>
      </c>
      <c r="AG622" s="32" t="n">
        <f aca="false">IF(AND($P622="高",OR($AD622=1,$X622=1)),1,0)</f>
        <v>0</v>
      </c>
      <c r="AH622" s="32" t="n">
        <f aca="false">IF(AND($P622="高",$AG622=0,OR($F622&lt;&gt;"原始數據",$T622&lt;&gt;1)),1,0)</f>
        <v>0</v>
      </c>
      <c r="AI622" s="44" t="str">
        <f aca="false">IF(AND($P622="高",ISNUMBER($AF622)),INDEX(IDX_SrcDate,$AF622),"—")</f>
        <v>—</v>
      </c>
      <c r="AJ622" s="32" t="n">
        <f aca="false">IF(AND(ISTEXT($AI622),LEN($AI622)=10),IF(ISNUMBER(VALUE(SUBSTITUTE($AI622,"-",""))),VALUE(SUBSTITUTE($AI622,"-","")),0),0)</f>
        <v>0</v>
      </c>
    </row>
    <row r="623" customFormat="false" ht="57.75" hidden="false" customHeight="true" outlineLevel="0" collapsed="false">
      <c r="A623" s="30" t="s">
        <v>6296</v>
      </c>
      <c r="B623" s="205" t="s">
        <v>6273</v>
      </c>
      <c r="C623" s="30" t="s">
        <v>5608</v>
      </c>
      <c r="D623" s="30" t="s">
        <v>6297</v>
      </c>
      <c r="E623" s="6" t="s">
        <v>1569</v>
      </c>
      <c r="F623" s="30" t="s">
        <v>114</v>
      </c>
      <c r="G623" s="205" t="s">
        <v>5614</v>
      </c>
      <c r="H623" s="30" t="s">
        <v>751</v>
      </c>
      <c r="I623" s="6" t="s">
        <v>751</v>
      </c>
      <c r="J623" s="30" t="s">
        <v>6277</v>
      </c>
      <c r="K623" s="205"/>
      <c r="L623" s="205"/>
      <c r="M623" s="30" t="s">
        <v>6298</v>
      </c>
      <c r="N623" s="6" t="s">
        <v>6295</v>
      </c>
      <c r="O623" s="6" t="s">
        <v>751</v>
      </c>
      <c r="P623" s="205" t="s">
        <v>4530</v>
      </c>
      <c r="Q623" s="184" t="s">
        <v>751</v>
      </c>
      <c r="R623" s="30" t="s">
        <v>751</v>
      </c>
      <c r="S623" s="44" t="str">
        <f aca="false">IF(ISNUMBER($AF623),INDEX(IDX_SrcStat,$AF623),"—")</f>
        <v>—</v>
      </c>
      <c r="T623" s="44" t="str">
        <f aca="false">IF(ISNUMBER($AF623),INDEX(IDX_SrcGrade,$AF623),"—")</f>
        <v>—</v>
      </c>
      <c r="U623" s="30" t="s">
        <v>751</v>
      </c>
      <c r="V623" s="32" t="n">
        <f aca="false">IF(AND($F623="原始數據",$U623&lt;&gt;"連結 SRC"),1,0)</f>
        <v>0</v>
      </c>
      <c r="W623" s="32" t="n">
        <f aca="false">IF(AND($F623="Analogy",OR($H623="—",$H623="")),1,0)</f>
        <v>0</v>
      </c>
      <c r="X623" s="32" t="n">
        <f aca="false">IF(AND(OR($F623="Analogy",$F623="Assumed"),$G623&lt;&gt;"低",$G623&lt;&gt;"高",NOT(ISNUMBER($K623)),NOT(ISNUMBER($L623)),OR($M623="—",$M623="")),1,0)</f>
        <v>0</v>
      </c>
      <c r="Y623" s="32" t="n">
        <f aca="false">IF(AND(OR($F623="Analogy",$F623="Assumed",$F623="Derived（待改公式）",$F623="Derived（公式）"),OR($N623="—",$N623="",$N623=0)),1,0)</f>
        <v>0</v>
      </c>
      <c r="Z623" s="32" t="n">
        <f aca="false">IF(AND($F623="Decision",OR($J623="—",$J623="")),1,0)</f>
        <v>0</v>
      </c>
      <c r="AA623" s="33" t="n">
        <f aca="false">IF(OR($J623="—",$J623=""),0,IF(COUNTIF(Decisions!$A$5:$A$300,$J623)=0,1,0))</f>
        <v>0</v>
      </c>
      <c r="AB623" s="32" t="n">
        <f aca="false">IF(AND($F623="原始數據",$S623&lt;&gt;"Active"),1,0)</f>
        <v>0</v>
      </c>
      <c r="AC623" s="32" t="n">
        <f aca="false">IF(AND(ISNUMBER($K623),ISNUMBER($L623),ISNUMBER($Q623)),IF(OR($Q623&lt;MIN($K623,$L623),$Q623&gt;MAX($K623,$L623)),1,0),0)</f>
        <v>0</v>
      </c>
      <c r="AD623" s="32" t="n">
        <f aca="false">IF(AND(ISNUMBER($T623),$P623="高"),IF($T623=3,1,0),0)</f>
        <v>0</v>
      </c>
      <c r="AE623" s="32" t="n">
        <f aca="false">IF($S623="不存在",1,0)</f>
        <v>0</v>
      </c>
      <c r="AF623" s="44" t="str">
        <f aca="false">IF(OR($H623="—",$H623=""),"—",MATCH($H623,IDX_SrcID,0))</f>
        <v>—</v>
      </c>
      <c r="AG623" s="32" t="n">
        <f aca="false">IF(AND($P623="高",OR($AD623=1,$X623=1)),1,0)</f>
        <v>0</v>
      </c>
      <c r="AH623" s="32" t="n">
        <f aca="false">IF(AND($P623="高",$AG623=0,OR($F623&lt;&gt;"原始數據",$T623&lt;&gt;1)),1,0)</f>
        <v>0</v>
      </c>
      <c r="AI623" s="44" t="str">
        <f aca="false">IF(AND($P623="高",ISNUMBER($AF623)),INDEX(IDX_SrcDate,$AF623),"—")</f>
        <v>—</v>
      </c>
      <c r="AJ623" s="32" t="n">
        <f aca="false">IF(AND(ISTEXT($AI623),LEN($AI623)=10),IF(ISNUMBER(VALUE(SUBSTITUTE($AI623,"-",""))),VALUE(SUBSTITUTE($AI623,"-","")),0),0)</f>
        <v>0</v>
      </c>
    </row>
    <row r="624" customFormat="false" ht="72" hidden="false" customHeight="true" outlineLevel="0" collapsed="false">
      <c r="A624" s="30" t="s">
        <v>6299</v>
      </c>
      <c r="B624" s="205" t="s">
        <v>6273</v>
      </c>
      <c r="C624" s="30" t="s">
        <v>5608</v>
      </c>
      <c r="D624" s="30" t="s">
        <v>6300</v>
      </c>
      <c r="E624" s="243" t="s">
        <v>6301</v>
      </c>
      <c r="F624" s="30" t="s">
        <v>114</v>
      </c>
      <c r="G624" s="205" t="s">
        <v>4527</v>
      </c>
      <c r="H624" s="30" t="s">
        <v>751</v>
      </c>
      <c r="I624" s="6" t="s">
        <v>751</v>
      </c>
      <c r="J624" s="30" t="s">
        <v>6302</v>
      </c>
      <c r="K624" s="205"/>
      <c r="L624" s="205"/>
      <c r="M624" s="205" t="s">
        <v>6303</v>
      </c>
      <c r="N624" s="6" t="s">
        <v>6304</v>
      </c>
      <c r="O624" s="6" t="s">
        <v>751</v>
      </c>
      <c r="P624" s="205" t="s">
        <v>4530</v>
      </c>
      <c r="Q624" s="49" t="n">
        <f aca="false">Cap_In!C154</f>
        <v>20</v>
      </c>
      <c r="R624" s="30" t="s">
        <v>751</v>
      </c>
      <c r="S624" s="44" t="str">
        <f aca="false">IF(ISNUMBER($AF624),INDEX(IDX_SrcStat,$AF624),"—")</f>
        <v>—</v>
      </c>
      <c r="T624" s="44" t="str">
        <f aca="false">IF(ISNUMBER($AF624),INDEX(IDX_SrcGrade,$AF624),"—")</f>
        <v>—</v>
      </c>
      <c r="U624" s="44" t="s">
        <v>4531</v>
      </c>
      <c r="V624" s="32" t="n">
        <f aca="false">IF(AND($F624="原始數據",$U624&lt;&gt;"連結 SRC"),1,0)</f>
        <v>0</v>
      </c>
      <c r="W624" s="32" t="n">
        <f aca="false">IF(AND($F624="Analogy",OR($H624="—",$H624="")),1,0)</f>
        <v>0</v>
      </c>
      <c r="X624" s="32" t="n">
        <f aca="false">IF(AND(OR($F624="Analogy",$F624="Assumed"),$G624&lt;&gt;"低",$G624&lt;&gt;"高",NOT(ISNUMBER($K624)),NOT(ISNUMBER($L624)),OR($M624="—",$M624="")),1,0)</f>
        <v>0</v>
      </c>
      <c r="Y624" s="32" t="n">
        <f aca="false">IF(AND(OR($F624="Analogy",$F624="Assumed",$F624="Derived（待改公式）",$F624="Derived（公式）"),OR($N624="—",$N624="",$N624=0)),1,0)</f>
        <v>0</v>
      </c>
      <c r="Z624" s="32" t="n">
        <f aca="false">IF(AND($F624="Decision",OR($J624="—",$J624="")),1,0)</f>
        <v>0</v>
      </c>
      <c r="AA624" s="33" t="n">
        <f aca="false">IF(OR($J624="—",$J624=""),0,IF(COUNTIF(Decisions!$A$5:$A$300,$J624)=0,1,0))</f>
        <v>0</v>
      </c>
      <c r="AB624" s="32" t="n">
        <f aca="false">IF(AND($F624="原始數據",$S624&lt;&gt;"Active"),1,0)</f>
        <v>0</v>
      </c>
      <c r="AC624" s="32" t="n">
        <f aca="false">IF(AND(ISNUMBER($K624),ISNUMBER($L624),ISNUMBER($Q624)),IF(OR($Q624&lt;MIN($K624,$L624),$Q624&gt;MAX($K624,$L624)),1,0),0)</f>
        <v>0</v>
      </c>
      <c r="AD624" s="32" t="n">
        <f aca="false">IF(AND(ISNUMBER($T624),$P624="高"),IF($T624=3,1,0),0)</f>
        <v>0</v>
      </c>
      <c r="AE624" s="32" t="n">
        <f aca="false">IF($S624="不存在",1,0)</f>
        <v>0</v>
      </c>
      <c r="AF624" s="44" t="str">
        <f aca="false">IF(OR($H624="—",$H624=""),"—",MATCH($H624,IDX_SrcID,0))</f>
        <v>—</v>
      </c>
      <c r="AG624" s="32" t="n">
        <f aca="false">IF(AND($P624="高",OR($AD624=1,$X624=1)),1,0)</f>
        <v>0</v>
      </c>
      <c r="AH624" s="32" t="n">
        <f aca="false">IF(AND($P624="高",$AG624=0,OR($F624&lt;&gt;"原始數據",$T624&lt;&gt;1)),1,0)</f>
        <v>0</v>
      </c>
      <c r="AI624" s="44" t="str">
        <f aca="false">IF(AND($P624="高",ISNUMBER($AF624)),INDEX(IDX_SrcDate,$AF624),"—")</f>
        <v>—</v>
      </c>
      <c r="AJ624" s="32" t="n">
        <f aca="false">IF(AND(ISTEXT($AI624),LEN($AI624)=10),IF(ISNUMBER(VALUE(SUBSTITUTE($AI624,"-",""))),VALUE(SUBSTITUTE($AI624,"-","")),0),0)</f>
        <v>0</v>
      </c>
    </row>
    <row r="625" customFormat="false" ht="72" hidden="false" customHeight="true" outlineLevel="0" collapsed="false">
      <c r="A625" s="30" t="s">
        <v>6305</v>
      </c>
      <c r="B625" s="205" t="s">
        <v>6273</v>
      </c>
      <c r="C625" s="30" t="s">
        <v>5608</v>
      </c>
      <c r="D625" s="30" t="s">
        <v>6306</v>
      </c>
      <c r="E625" s="243" t="s">
        <v>6307</v>
      </c>
      <c r="F625" s="30" t="s">
        <v>114</v>
      </c>
      <c r="G625" s="205" t="s">
        <v>4527</v>
      </c>
      <c r="H625" s="30" t="s">
        <v>751</v>
      </c>
      <c r="I625" s="6" t="s">
        <v>751</v>
      </c>
      <c r="J625" s="30" t="s">
        <v>6302</v>
      </c>
      <c r="K625" s="205"/>
      <c r="L625" s="205"/>
      <c r="M625" s="205" t="s">
        <v>6308</v>
      </c>
      <c r="N625" s="6" t="s">
        <v>6304</v>
      </c>
      <c r="O625" s="6" t="s">
        <v>751</v>
      </c>
      <c r="P625" s="205" t="s">
        <v>4530</v>
      </c>
      <c r="Q625" s="49" t="n">
        <f aca="false">Cap_In!C155</f>
        <v>700</v>
      </c>
      <c r="R625" s="30" t="s">
        <v>751</v>
      </c>
      <c r="S625" s="44" t="str">
        <f aca="false">IF(ISNUMBER($AF625),INDEX(IDX_SrcStat,$AF625),"—")</f>
        <v>—</v>
      </c>
      <c r="T625" s="44" t="str">
        <f aca="false">IF(ISNUMBER($AF625),INDEX(IDX_SrcGrade,$AF625),"—")</f>
        <v>—</v>
      </c>
      <c r="U625" s="44" t="s">
        <v>4531</v>
      </c>
      <c r="V625" s="32" t="n">
        <f aca="false">IF(AND($F625="原始數據",$U625&lt;&gt;"連結 SRC"),1,0)</f>
        <v>0</v>
      </c>
      <c r="W625" s="32" t="n">
        <f aca="false">IF(AND($F625="Analogy",OR($H625="—",$H625="")),1,0)</f>
        <v>0</v>
      </c>
      <c r="X625" s="32" t="n">
        <f aca="false">IF(AND(OR($F625="Analogy",$F625="Assumed"),$G625&lt;&gt;"低",$G625&lt;&gt;"高",NOT(ISNUMBER($K625)),NOT(ISNUMBER($L625)),OR($M625="—",$M625="")),1,0)</f>
        <v>0</v>
      </c>
      <c r="Y625" s="32" t="n">
        <f aca="false">IF(AND(OR($F625="Analogy",$F625="Assumed",$F625="Derived（待改公式）",$F625="Derived（公式）"),OR($N625="—",$N625="",$N625=0)),1,0)</f>
        <v>0</v>
      </c>
      <c r="Z625" s="32" t="n">
        <f aca="false">IF(AND($F625="Decision",OR($J625="—",$J625="")),1,0)</f>
        <v>0</v>
      </c>
      <c r="AA625" s="33" t="n">
        <f aca="false">IF(OR($J625="—",$J625=""),0,IF(COUNTIF(Decisions!$A$5:$A$300,$J625)=0,1,0))</f>
        <v>0</v>
      </c>
      <c r="AB625" s="32" t="n">
        <f aca="false">IF(AND($F625="原始數據",$S625&lt;&gt;"Active"),1,0)</f>
        <v>0</v>
      </c>
      <c r="AC625" s="32" t="n">
        <f aca="false">IF(AND(ISNUMBER($K625),ISNUMBER($L625),ISNUMBER($Q625)),IF(OR($Q625&lt;MIN($K625,$L625),$Q625&gt;MAX($K625,$L625)),1,0),0)</f>
        <v>0</v>
      </c>
      <c r="AD625" s="32" t="n">
        <f aca="false">IF(AND(ISNUMBER($T625),$P625="高"),IF($T625=3,1,0),0)</f>
        <v>0</v>
      </c>
      <c r="AE625" s="32" t="n">
        <f aca="false">IF($S625="不存在",1,0)</f>
        <v>0</v>
      </c>
      <c r="AF625" s="44" t="str">
        <f aca="false">IF(OR($H625="—",$H625=""),"—",MATCH($H625,IDX_SrcID,0))</f>
        <v>—</v>
      </c>
      <c r="AG625" s="32" t="n">
        <f aca="false">IF(AND($P625="高",OR($AD625=1,$X625=1)),1,0)</f>
        <v>0</v>
      </c>
      <c r="AH625" s="32" t="n">
        <f aca="false">IF(AND($P625="高",$AG625=0,OR($F625&lt;&gt;"原始數據",$T625&lt;&gt;1)),1,0)</f>
        <v>0</v>
      </c>
      <c r="AI625" s="44" t="str">
        <f aca="false">IF(AND($P625="高",ISNUMBER($AF625)),INDEX(IDX_SrcDate,$AF625),"—")</f>
        <v>—</v>
      </c>
      <c r="AJ625" s="32" t="n">
        <f aca="false">IF(AND(ISTEXT($AI625),LEN($AI625)=10),IF(ISNUMBER(VALUE(SUBSTITUTE($AI625,"-",""))),VALUE(SUBSTITUTE($AI625,"-","")),0),0)</f>
        <v>0</v>
      </c>
    </row>
    <row r="626" customFormat="false" ht="72" hidden="false" customHeight="true" outlineLevel="0" collapsed="false">
      <c r="A626" s="30" t="s">
        <v>6309</v>
      </c>
      <c r="B626" s="205" t="s">
        <v>6273</v>
      </c>
      <c r="C626" s="30" t="s">
        <v>5608</v>
      </c>
      <c r="D626" s="30" t="s">
        <v>6310</v>
      </c>
      <c r="E626" s="243" t="s">
        <v>6311</v>
      </c>
      <c r="F626" s="30" t="s">
        <v>114</v>
      </c>
      <c r="G626" s="205" t="s">
        <v>4527</v>
      </c>
      <c r="H626" s="30" t="s">
        <v>751</v>
      </c>
      <c r="I626" s="6" t="s">
        <v>751</v>
      </c>
      <c r="J626" s="30" t="s">
        <v>6302</v>
      </c>
      <c r="K626" s="205"/>
      <c r="L626" s="205"/>
      <c r="M626" s="205" t="s">
        <v>6312</v>
      </c>
      <c r="N626" s="6" t="s">
        <v>6304</v>
      </c>
      <c r="O626" s="6" t="s">
        <v>751</v>
      </c>
      <c r="P626" s="205" t="s">
        <v>4530</v>
      </c>
      <c r="Q626" s="49" t="n">
        <f aca="false">Cap_In!C156</f>
        <v>200</v>
      </c>
      <c r="R626" s="30" t="s">
        <v>751</v>
      </c>
      <c r="S626" s="44" t="str">
        <f aca="false">IF(ISNUMBER($AF626),INDEX(IDX_SrcStat,$AF626),"—")</f>
        <v>—</v>
      </c>
      <c r="T626" s="44" t="str">
        <f aca="false">IF(ISNUMBER($AF626),INDEX(IDX_SrcGrade,$AF626),"—")</f>
        <v>—</v>
      </c>
      <c r="U626" s="44" t="s">
        <v>4531</v>
      </c>
      <c r="V626" s="32" t="n">
        <f aca="false">IF(AND($F626="原始數據",$U626&lt;&gt;"連結 SRC"),1,0)</f>
        <v>0</v>
      </c>
      <c r="W626" s="32" t="n">
        <f aca="false">IF(AND($F626="Analogy",OR($H626="—",$H626="")),1,0)</f>
        <v>0</v>
      </c>
      <c r="X626" s="32" t="n">
        <f aca="false">IF(AND(OR($F626="Analogy",$F626="Assumed"),$G626&lt;&gt;"低",$G626&lt;&gt;"高",NOT(ISNUMBER($K626)),NOT(ISNUMBER($L626)),OR($M626="—",$M626="")),1,0)</f>
        <v>0</v>
      </c>
      <c r="Y626" s="32" t="n">
        <f aca="false">IF(AND(OR($F626="Analogy",$F626="Assumed",$F626="Derived（待改公式）",$F626="Derived（公式）"),OR($N626="—",$N626="",$N626=0)),1,0)</f>
        <v>0</v>
      </c>
      <c r="Z626" s="32" t="n">
        <f aca="false">IF(AND($F626="Decision",OR($J626="—",$J626="")),1,0)</f>
        <v>0</v>
      </c>
      <c r="AA626" s="33" t="n">
        <f aca="false">IF(OR($J626="—",$J626=""),0,IF(COUNTIF(Decisions!$A$5:$A$300,$J626)=0,1,0))</f>
        <v>0</v>
      </c>
      <c r="AB626" s="32" t="n">
        <f aca="false">IF(AND($F626="原始數據",$S626&lt;&gt;"Active"),1,0)</f>
        <v>0</v>
      </c>
      <c r="AC626" s="32" t="n">
        <f aca="false">IF(AND(ISNUMBER($K626),ISNUMBER($L626),ISNUMBER($Q626)),IF(OR($Q626&lt;MIN($K626,$L626),$Q626&gt;MAX($K626,$L626)),1,0),0)</f>
        <v>0</v>
      </c>
      <c r="AD626" s="32" t="n">
        <f aca="false">IF(AND(ISNUMBER($T626),$P626="高"),IF($T626=3,1,0),0)</f>
        <v>0</v>
      </c>
      <c r="AE626" s="32" t="n">
        <f aca="false">IF($S626="不存在",1,0)</f>
        <v>0</v>
      </c>
      <c r="AF626" s="44" t="str">
        <f aca="false">IF(OR($H626="—",$H626=""),"—",MATCH($H626,IDX_SrcID,0))</f>
        <v>—</v>
      </c>
      <c r="AG626" s="32" t="n">
        <f aca="false">IF(AND($P626="高",OR($AD626=1,$X626=1)),1,0)</f>
        <v>0</v>
      </c>
      <c r="AH626" s="32" t="n">
        <f aca="false">IF(AND($P626="高",$AG626=0,OR($F626&lt;&gt;"原始數據",$T626&lt;&gt;1)),1,0)</f>
        <v>0</v>
      </c>
      <c r="AI626" s="44" t="str">
        <f aca="false">IF(AND($P626="高",ISNUMBER($AF626)),INDEX(IDX_SrcDate,$AF626),"—")</f>
        <v>—</v>
      </c>
      <c r="AJ626" s="32" t="n">
        <f aca="false">IF(AND(ISTEXT($AI626),LEN($AI626)=10),IF(ISNUMBER(VALUE(SUBSTITUTE($AI626,"-",""))),VALUE(SUBSTITUTE($AI626,"-","")),0),0)</f>
        <v>0</v>
      </c>
    </row>
    <row r="627" customFormat="false" ht="72" hidden="false" customHeight="true" outlineLevel="0" collapsed="false">
      <c r="A627" s="30" t="s">
        <v>6313</v>
      </c>
      <c r="B627" s="205" t="s">
        <v>6273</v>
      </c>
      <c r="C627" s="30" t="s">
        <v>5608</v>
      </c>
      <c r="D627" s="30" t="s">
        <v>6314</v>
      </c>
      <c r="E627" s="243" t="s">
        <v>6315</v>
      </c>
      <c r="F627" s="30" t="s">
        <v>114</v>
      </c>
      <c r="G627" s="205" t="s">
        <v>4527</v>
      </c>
      <c r="H627" s="30" t="s">
        <v>751</v>
      </c>
      <c r="I627" s="6" t="s">
        <v>751</v>
      </c>
      <c r="J627" s="30" t="s">
        <v>6302</v>
      </c>
      <c r="K627" s="205"/>
      <c r="L627" s="205"/>
      <c r="M627" s="205" t="s">
        <v>6316</v>
      </c>
      <c r="N627" s="6" t="s">
        <v>6304</v>
      </c>
      <c r="O627" s="6" t="s">
        <v>751</v>
      </c>
      <c r="P627" s="205" t="s">
        <v>4530</v>
      </c>
      <c r="Q627" s="49" t="n">
        <f aca="false">Cap_In!C157</f>
        <v>14000</v>
      </c>
      <c r="R627" s="30" t="s">
        <v>751</v>
      </c>
      <c r="S627" s="44" t="str">
        <f aca="false">IF(ISNUMBER($AF627),INDEX(IDX_SrcStat,$AF627),"—")</f>
        <v>—</v>
      </c>
      <c r="T627" s="44" t="str">
        <f aca="false">IF(ISNUMBER($AF627),INDEX(IDX_SrcGrade,$AF627),"—")</f>
        <v>—</v>
      </c>
      <c r="U627" s="44" t="s">
        <v>4531</v>
      </c>
      <c r="V627" s="32" t="n">
        <f aca="false">IF(AND($F627="原始數據",$U627&lt;&gt;"連結 SRC"),1,0)</f>
        <v>0</v>
      </c>
      <c r="W627" s="32" t="n">
        <f aca="false">IF(AND($F627="Analogy",OR($H627="—",$H627="")),1,0)</f>
        <v>0</v>
      </c>
      <c r="X627" s="32" t="n">
        <f aca="false">IF(AND(OR($F627="Analogy",$F627="Assumed"),$G627&lt;&gt;"低",$G627&lt;&gt;"高",NOT(ISNUMBER($K627)),NOT(ISNUMBER($L627)),OR($M627="—",$M627="")),1,0)</f>
        <v>0</v>
      </c>
      <c r="Y627" s="32" t="n">
        <f aca="false">IF(AND(OR($F627="Analogy",$F627="Assumed",$F627="Derived（待改公式）",$F627="Derived（公式）"),OR($N627="—",$N627="",$N627=0)),1,0)</f>
        <v>0</v>
      </c>
      <c r="Z627" s="32" t="n">
        <f aca="false">IF(AND($F627="Decision",OR($J627="—",$J627="")),1,0)</f>
        <v>0</v>
      </c>
      <c r="AA627" s="33" t="n">
        <f aca="false">IF(OR($J627="—",$J627=""),0,IF(COUNTIF(Decisions!$A$5:$A$300,$J627)=0,1,0))</f>
        <v>0</v>
      </c>
      <c r="AB627" s="32" t="n">
        <f aca="false">IF(AND($F627="原始數據",$S627&lt;&gt;"Active"),1,0)</f>
        <v>0</v>
      </c>
      <c r="AC627" s="32" t="n">
        <f aca="false">IF(AND(ISNUMBER($K627),ISNUMBER($L627),ISNUMBER($Q627)),IF(OR($Q627&lt;MIN($K627,$L627),$Q627&gt;MAX($K627,$L627)),1,0),0)</f>
        <v>0</v>
      </c>
      <c r="AD627" s="32" t="n">
        <f aca="false">IF(AND(ISNUMBER($T627),$P627="高"),IF($T627=3,1,0),0)</f>
        <v>0</v>
      </c>
      <c r="AE627" s="32" t="n">
        <f aca="false">IF($S627="不存在",1,0)</f>
        <v>0</v>
      </c>
      <c r="AF627" s="44" t="str">
        <f aca="false">IF(OR($H627="—",$H627=""),"—",MATCH($H627,IDX_SrcID,0))</f>
        <v>—</v>
      </c>
      <c r="AG627" s="32" t="n">
        <f aca="false">IF(AND($P627="高",OR($AD627=1,$X627=1)),1,0)</f>
        <v>0</v>
      </c>
      <c r="AH627" s="32" t="n">
        <f aca="false">IF(AND($P627="高",$AG627=0,OR($F627&lt;&gt;"原始數據",$T627&lt;&gt;1)),1,0)</f>
        <v>0</v>
      </c>
      <c r="AI627" s="44" t="str">
        <f aca="false">IF(AND($P627="高",ISNUMBER($AF627)),INDEX(IDX_SrcDate,$AF627),"—")</f>
        <v>—</v>
      </c>
      <c r="AJ627" s="32" t="n">
        <f aca="false">IF(AND(ISTEXT($AI627),LEN($AI627)=10),IF(ISNUMBER(VALUE(SUBSTITUTE($AI627,"-",""))),VALUE(SUBSTITUTE($AI627,"-","")),0),0)</f>
        <v>0</v>
      </c>
    </row>
    <row r="628" customFormat="false" ht="72" hidden="false" customHeight="true" outlineLevel="0" collapsed="false">
      <c r="A628" s="30" t="s">
        <v>6317</v>
      </c>
      <c r="B628" s="205" t="s">
        <v>6273</v>
      </c>
      <c r="C628" s="30" t="s">
        <v>5608</v>
      </c>
      <c r="D628" s="30" t="s">
        <v>6318</v>
      </c>
      <c r="E628" s="243" t="s">
        <v>6319</v>
      </c>
      <c r="F628" s="30" t="s">
        <v>114</v>
      </c>
      <c r="G628" s="205" t="s">
        <v>4527</v>
      </c>
      <c r="H628" s="30" t="s">
        <v>6320</v>
      </c>
      <c r="I628" s="243" t="s">
        <v>6321</v>
      </c>
      <c r="J628" s="30" t="s">
        <v>6277</v>
      </c>
      <c r="K628" s="205"/>
      <c r="L628" s="205"/>
      <c r="M628" s="205" t="s">
        <v>6322</v>
      </c>
      <c r="N628" s="6" t="s">
        <v>6323</v>
      </c>
      <c r="O628" s="6" t="s">
        <v>751</v>
      </c>
      <c r="P628" s="205" t="s">
        <v>4530</v>
      </c>
      <c r="Q628" s="46" t="n">
        <f aca="false">Cap_In!F185</f>
        <v>36</v>
      </c>
      <c r="R628" s="184" t="n">
        <f aca="false">SRC_DEM_042</f>
        <v>6.7</v>
      </c>
      <c r="S628" s="44" t="str">
        <f aca="false">IF(ISNUMBER($AF628),INDEX(IDX_SrcStat,$AF628),"—")</f>
        <v>Active</v>
      </c>
      <c r="T628" s="44" t="n">
        <f aca="false">IF(ISNUMBER($AF628),INDEX(IDX_SrcGrade,$AF628),"—")</f>
        <v>2</v>
      </c>
      <c r="U628" s="44" t="s">
        <v>4531</v>
      </c>
      <c r="V628" s="32" t="n">
        <f aca="false">IF(AND($F628="原始數據",$U628&lt;&gt;"連結 SRC"),1,0)</f>
        <v>0</v>
      </c>
      <c r="W628" s="32" t="n">
        <f aca="false">IF(AND($F628="Analogy",OR($H628="—",$H628="")),1,0)</f>
        <v>0</v>
      </c>
      <c r="X628" s="32" t="n">
        <f aca="false">IF(AND(OR($F628="Analogy",$F628="Assumed"),$G628&lt;&gt;"低",$G628&lt;&gt;"高",NOT(ISNUMBER($K628)),NOT(ISNUMBER($L628)),OR($M628="—",$M628="")),1,0)</f>
        <v>0</v>
      </c>
      <c r="Y628" s="32" t="n">
        <f aca="false">IF(AND(OR($F628="Analogy",$F628="Assumed",$F628="Derived（待改公式）",$F628="Derived（公式）"),OR($N628="—",$N628="",$N628=0)),1,0)</f>
        <v>0</v>
      </c>
      <c r="Z628" s="32" t="n">
        <f aca="false">IF(AND($F628="Decision",OR($J628="—",$J628="")),1,0)</f>
        <v>0</v>
      </c>
      <c r="AA628" s="33" t="n">
        <f aca="false">IF(OR($J628="—",$J628=""),0,IF(COUNTIF(Decisions!$A$5:$A$300,$J628)=0,1,0))</f>
        <v>0</v>
      </c>
      <c r="AB628" s="32" t="n">
        <f aca="false">IF(AND($F628="原始數據",$S628&lt;&gt;"Active"),1,0)</f>
        <v>0</v>
      </c>
      <c r="AC628" s="32" t="n">
        <f aca="false">IF(AND(ISNUMBER($K628),ISNUMBER($L628),ISNUMBER($Q628)),IF(OR($Q628&lt;MIN($K628,$L628),$Q628&gt;MAX($K628,$L628)),1,0),0)</f>
        <v>0</v>
      </c>
      <c r="AD628" s="32" t="n">
        <f aca="false">IF(AND(ISNUMBER($T628),$P628="高"),IF($T628=3,1,0),0)</f>
        <v>0</v>
      </c>
      <c r="AE628" s="32" t="n">
        <f aca="false">IF($S628="不存在",1,0)</f>
        <v>0</v>
      </c>
      <c r="AF628" s="44" t="n">
        <f aca="false">IF(OR($H628="—",$H628=""),"—",MATCH($H628,IDX_SrcID,0))</f>
        <v>695</v>
      </c>
      <c r="AG628" s="32" t="n">
        <f aca="false">IF(AND($P628="高",OR($AD628=1,$X628=1)),1,0)</f>
        <v>0</v>
      </c>
      <c r="AH628" s="32" t="n">
        <f aca="false">IF(AND($P628="高",$AG628=0,OR($F628&lt;&gt;"原始數據",$T628&lt;&gt;1)),1,0)</f>
        <v>0</v>
      </c>
      <c r="AI628" s="44" t="str">
        <f aca="false">IF(AND($P628="高",ISNUMBER($AF628)),INDEX(IDX_SrcDate,$AF628),"—")</f>
        <v>—</v>
      </c>
      <c r="AJ628" s="32" t="n">
        <f aca="false">IF(AND(ISTEXT($AI628),LEN($AI628)=10),IF(ISNUMBER(VALUE(SUBSTITUTE($AI628,"-",""))),VALUE(SUBSTITUTE($AI628,"-","")),0),0)</f>
        <v>0</v>
      </c>
    </row>
    <row r="629" customFormat="false" ht="86.25" hidden="false" customHeight="true" outlineLevel="0" collapsed="false">
      <c r="A629" s="30" t="s">
        <v>6324</v>
      </c>
      <c r="B629" s="205" t="s">
        <v>6273</v>
      </c>
      <c r="C629" s="30" t="s">
        <v>5608</v>
      </c>
      <c r="D629" s="30" t="s">
        <v>6325</v>
      </c>
      <c r="E629" s="243" t="s">
        <v>6326</v>
      </c>
      <c r="F629" s="30" t="s">
        <v>114</v>
      </c>
      <c r="G629" s="205" t="s">
        <v>4527</v>
      </c>
      <c r="H629" s="30" t="s">
        <v>6327</v>
      </c>
      <c r="I629" s="243" t="s">
        <v>6328</v>
      </c>
      <c r="J629" s="30" t="s">
        <v>6277</v>
      </c>
      <c r="K629" s="205"/>
      <c r="L629" s="205"/>
      <c r="M629" s="205" t="s">
        <v>6329</v>
      </c>
      <c r="N629" s="6" t="s">
        <v>6330</v>
      </c>
      <c r="O629" s="6" t="s">
        <v>751</v>
      </c>
      <c r="P629" s="205" t="s">
        <v>4530</v>
      </c>
      <c r="Q629" s="184" t="s">
        <v>751</v>
      </c>
      <c r="R629" s="184" t="n">
        <f aca="false">SRC_DEM_023</f>
        <v>0.4</v>
      </c>
      <c r="S629" s="44" t="str">
        <f aca="false">IF(ISNUMBER($AF629),INDEX(IDX_SrcStat,$AF629),"—")</f>
        <v>Active</v>
      </c>
      <c r="T629" s="44" t="n">
        <f aca="false">IF(ISNUMBER($AF629),INDEX(IDX_SrcGrade,$AF629),"—")</f>
        <v>1</v>
      </c>
      <c r="U629" s="30" t="s">
        <v>751</v>
      </c>
      <c r="V629" s="32" t="n">
        <f aca="false">IF(AND($F629="原始數據",$U629&lt;&gt;"連結 SRC"),1,0)</f>
        <v>0</v>
      </c>
      <c r="W629" s="32" t="n">
        <f aca="false">IF(AND($F629="Analogy",OR($H629="—",$H629="")),1,0)</f>
        <v>0</v>
      </c>
      <c r="X629" s="32" t="n">
        <f aca="false">IF(AND(OR($F629="Analogy",$F629="Assumed"),$G629&lt;&gt;"低",$G629&lt;&gt;"高",NOT(ISNUMBER($K629)),NOT(ISNUMBER($L629)),OR($M629="—",$M629="")),1,0)</f>
        <v>0</v>
      </c>
      <c r="Y629" s="32" t="n">
        <f aca="false">IF(AND(OR($F629="Analogy",$F629="Assumed",$F629="Derived（待改公式）",$F629="Derived（公式）"),OR($N629="—",$N629="",$N629=0)),1,0)</f>
        <v>0</v>
      </c>
      <c r="Z629" s="32" t="n">
        <f aca="false">IF(AND($F629="Decision",OR($J629="—",$J629="")),1,0)</f>
        <v>0</v>
      </c>
      <c r="AA629" s="33" t="n">
        <f aca="false">IF(OR($J629="—",$J629=""),0,IF(COUNTIF(Decisions!$A$5:$A$300,$J629)=0,1,0))</f>
        <v>0</v>
      </c>
      <c r="AB629" s="32" t="n">
        <f aca="false">IF(AND($F629="原始數據",$S629&lt;&gt;"Active"),1,0)</f>
        <v>0</v>
      </c>
      <c r="AC629" s="32" t="n">
        <f aca="false">IF(AND(ISNUMBER($K629),ISNUMBER($L629),ISNUMBER($Q629)),IF(OR($Q629&lt;MIN($K629,$L629),$Q629&gt;MAX($K629,$L629)),1,0),0)</f>
        <v>0</v>
      </c>
      <c r="AD629" s="32" t="n">
        <f aca="false">IF(AND(ISNUMBER($T629),$P629="高"),IF($T629=3,1,0),0)</f>
        <v>0</v>
      </c>
      <c r="AE629" s="32" t="n">
        <f aca="false">IF($S629="不存在",1,0)</f>
        <v>0</v>
      </c>
      <c r="AF629" s="44" t="n">
        <f aca="false">IF(OR($H629="—",$H629=""),"—",MATCH($H629,IDX_SrcID,0))</f>
        <v>676</v>
      </c>
      <c r="AG629" s="32" t="n">
        <f aca="false">IF(AND($P629="高",OR($AD629=1,$X629=1)),1,0)</f>
        <v>0</v>
      </c>
      <c r="AH629" s="32" t="n">
        <f aca="false">IF(AND($P629="高",$AG629=0,OR($F629&lt;&gt;"原始數據",$T629&lt;&gt;1)),1,0)</f>
        <v>0</v>
      </c>
      <c r="AI629" s="44" t="str">
        <f aca="false">IF(AND($P629="高",ISNUMBER($AF629)),INDEX(IDX_SrcDate,$AF629),"—")</f>
        <v>—</v>
      </c>
      <c r="AJ629" s="32" t="n">
        <f aca="false">IF(AND(ISTEXT($AI629),LEN($AI629)=10),IF(ISNUMBER(VALUE(SUBSTITUTE($AI629,"-",""))),VALUE(SUBSTITUTE($AI629,"-","")),0),0)</f>
        <v>0</v>
      </c>
    </row>
    <row r="630" customFormat="false" ht="57.75" hidden="false" customHeight="true" outlineLevel="0" collapsed="false">
      <c r="A630" s="30" t="s">
        <v>6331</v>
      </c>
      <c r="B630" s="205" t="s">
        <v>6273</v>
      </c>
      <c r="C630" s="30" t="s">
        <v>5608</v>
      </c>
      <c r="D630" s="30" t="s">
        <v>6332</v>
      </c>
      <c r="E630" s="243" t="s">
        <v>6333</v>
      </c>
      <c r="F630" s="30" t="s">
        <v>114</v>
      </c>
      <c r="G630" s="205" t="s">
        <v>4527</v>
      </c>
      <c r="H630" s="30" t="s">
        <v>6275</v>
      </c>
      <c r="I630" s="243" t="s">
        <v>6334</v>
      </c>
      <c r="J630" s="30" t="s">
        <v>6277</v>
      </c>
      <c r="K630" s="205"/>
      <c r="L630" s="205"/>
      <c r="M630" s="205" t="s">
        <v>6335</v>
      </c>
      <c r="N630" s="6" t="s">
        <v>6336</v>
      </c>
      <c r="O630" s="6" t="s">
        <v>751</v>
      </c>
      <c r="P630" s="205" t="s">
        <v>4530</v>
      </c>
      <c r="Q630" s="184" t="s">
        <v>751</v>
      </c>
      <c r="R630" s="184" t="n">
        <f aca="false">SRC_DEM_071</f>
        <v>0.2</v>
      </c>
      <c r="S630" s="44" t="str">
        <f aca="false">IF(ISNUMBER($AF630),INDEX(IDX_SrcStat,$AF630),"—")</f>
        <v>Active</v>
      </c>
      <c r="T630" s="44" t="n">
        <f aca="false">IF(ISNUMBER($AF630),INDEX(IDX_SrcGrade,$AF630),"—")</f>
        <v>3</v>
      </c>
      <c r="U630" s="30" t="s">
        <v>751</v>
      </c>
      <c r="V630" s="32" t="n">
        <f aca="false">IF(AND($F630="原始數據",$U630&lt;&gt;"連結 SRC"),1,0)</f>
        <v>0</v>
      </c>
      <c r="W630" s="32" t="n">
        <f aca="false">IF(AND($F630="Analogy",OR($H630="—",$H630="")),1,0)</f>
        <v>0</v>
      </c>
      <c r="X630" s="32" t="n">
        <f aca="false">IF(AND(OR($F630="Analogy",$F630="Assumed"),$G630&lt;&gt;"低",$G630&lt;&gt;"高",NOT(ISNUMBER($K630)),NOT(ISNUMBER($L630)),OR($M630="—",$M630="")),1,0)</f>
        <v>0</v>
      </c>
      <c r="Y630" s="32" t="n">
        <f aca="false">IF(AND(OR($F630="Analogy",$F630="Assumed",$F630="Derived（待改公式）",$F630="Derived（公式）"),OR($N630="—",$N630="",$N630=0)),1,0)</f>
        <v>0</v>
      </c>
      <c r="Z630" s="32" t="n">
        <f aca="false">IF(AND($F630="Decision",OR($J630="—",$J630="")),1,0)</f>
        <v>0</v>
      </c>
      <c r="AA630" s="33" t="n">
        <f aca="false">IF(OR($J630="—",$J630=""),0,IF(COUNTIF(Decisions!$A$5:$A$300,$J630)=0,1,0))</f>
        <v>0</v>
      </c>
      <c r="AB630" s="32" t="n">
        <f aca="false">IF(AND($F630="原始數據",$S630&lt;&gt;"Active"),1,0)</f>
        <v>0</v>
      </c>
      <c r="AC630" s="32" t="n">
        <f aca="false">IF(AND(ISNUMBER($K630),ISNUMBER($L630),ISNUMBER($Q630)),IF(OR($Q630&lt;MIN($K630,$L630),$Q630&gt;MAX($K630,$L630)),1,0),0)</f>
        <v>0</v>
      </c>
      <c r="AD630" s="32" t="n">
        <f aca="false">IF(AND(ISNUMBER($T630),$P630="高"),IF($T630=3,1,0),0)</f>
        <v>0</v>
      </c>
      <c r="AE630" s="32" t="n">
        <f aca="false">IF($S630="不存在",1,0)</f>
        <v>0</v>
      </c>
      <c r="AF630" s="44" t="n">
        <f aca="false">IF(OR($H630="—",$H630=""),"—",MATCH($H630,IDX_SrcID,0))</f>
        <v>724</v>
      </c>
      <c r="AG630" s="32" t="n">
        <f aca="false">IF(AND($P630="高",OR($AD630=1,$X630=1)),1,0)</f>
        <v>0</v>
      </c>
      <c r="AH630" s="32" t="n">
        <f aca="false">IF(AND($P630="高",$AG630=0,OR($F630&lt;&gt;"原始數據",$T630&lt;&gt;1)),1,0)</f>
        <v>0</v>
      </c>
      <c r="AI630" s="44" t="str">
        <f aca="false">IF(AND($P630="高",ISNUMBER($AF630)),INDEX(IDX_SrcDate,$AF630),"—")</f>
        <v>—</v>
      </c>
      <c r="AJ630" s="32" t="n">
        <f aca="false">IF(AND(ISTEXT($AI630),LEN($AI630)=10),IF(ISNUMBER(VALUE(SUBSTITUTE($AI630,"-",""))),VALUE(SUBSTITUTE($AI630,"-","")),0),0)</f>
        <v>0</v>
      </c>
    </row>
    <row r="631" customFormat="false" ht="43.5" hidden="false" customHeight="true" outlineLevel="0" collapsed="false">
      <c r="A631" s="30" t="s">
        <v>6337</v>
      </c>
      <c r="B631" s="205" t="s">
        <v>6273</v>
      </c>
      <c r="C631" s="30" t="s">
        <v>5608</v>
      </c>
      <c r="D631" s="30" t="s">
        <v>6338</v>
      </c>
      <c r="E631" s="6" t="s">
        <v>1700</v>
      </c>
      <c r="F631" s="30" t="s">
        <v>114</v>
      </c>
      <c r="G631" s="205" t="s">
        <v>4527</v>
      </c>
      <c r="H631" s="30" t="s">
        <v>6339</v>
      </c>
      <c r="I631" s="243" t="s">
        <v>6340</v>
      </c>
      <c r="J631" s="30" t="s">
        <v>6277</v>
      </c>
      <c r="K631" s="205"/>
      <c r="L631" s="205"/>
      <c r="M631" s="205" t="s">
        <v>6341</v>
      </c>
      <c r="N631" s="6" t="s">
        <v>6342</v>
      </c>
      <c r="O631" s="6" t="s">
        <v>751</v>
      </c>
      <c r="P631" s="205" t="s">
        <v>4530</v>
      </c>
      <c r="Q631" s="214" t="n">
        <f aca="false">Cap_In!F195</f>
        <v>1.3</v>
      </c>
      <c r="R631" s="184" t="n">
        <f aca="false">SRC_DEM_011</f>
        <v>15</v>
      </c>
      <c r="S631" s="44" t="str">
        <f aca="false">IF(ISNUMBER($AF631),INDEX(IDX_SrcStat,$AF631),"—")</f>
        <v>Active</v>
      </c>
      <c r="T631" s="44" t="n">
        <f aca="false">IF(ISNUMBER($AF631),INDEX(IDX_SrcGrade,$AF631),"—")</f>
        <v>1</v>
      </c>
      <c r="U631" s="44" t="s">
        <v>4531</v>
      </c>
      <c r="V631" s="32" t="n">
        <f aca="false">IF(AND($F631="原始數據",$U631&lt;&gt;"連結 SRC"),1,0)</f>
        <v>0</v>
      </c>
      <c r="W631" s="32" t="n">
        <f aca="false">IF(AND($F631="Analogy",OR($H631="—",$H631="")),1,0)</f>
        <v>0</v>
      </c>
      <c r="X631" s="32" t="n">
        <f aca="false">IF(AND(OR($F631="Analogy",$F631="Assumed"),$G631&lt;&gt;"低",$G631&lt;&gt;"高",NOT(ISNUMBER($K631)),NOT(ISNUMBER($L631)),OR($M631="—",$M631="")),1,0)</f>
        <v>0</v>
      </c>
      <c r="Y631" s="32" t="n">
        <f aca="false">IF(AND(OR($F631="Analogy",$F631="Assumed",$F631="Derived（待改公式）",$F631="Derived（公式）"),OR($N631="—",$N631="",$N631=0)),1,0)</f>
        <v>0</v>
      </c>
      <c r="Z631" s="32" t="n">
        <f aca="false">IF(AND($F631="Decision",OR($J631="—",$J631="")),1,0)</f>
        <v>0</v>
      </c>
      <c r="AA631" s="33" t="n">
        <f aca="false">IF(OR($J631="—",$J631=""),0,IF(COUNTIF(Decisions!$A$5:$A$300,$J631)=0,1,0))</f>
        <v>0</v>
      </c>
      <c r="AB631" s="32" t="n">
        <f aca="false">IF(AND($F631="原始數據",$S631&lt;&gt;"Active"),1,0)</f>
        <v>0</v>
      </c>
      <c r="AC631" s="32" t="n">
        <f aca="false">IF(AND(ISNUMBER($K631),ISNUMBER($L631),ISNUMBER($Q631)),IF(OR($Q631&lt;MIN($K631,$L631),$Q631&gt;MAX($K631,$L631)),1,0),0)</f>
        <v>0</v>
      </c>
      <c r="AD631" s="32" t="n">
        <f aca="false">IF(AND(ISNUMBER($T631),$P631="高"),IF($T631=3,1,0),0)</f>
        <v>0</v>
      </c>
      <c r="AE631" s="32" t="n">
        <f aca="false">IF($S631="不存在",1,0)</f>
        <v>0</v>
      </c>
      <c r="AF631" s="44" t="n">
        <f aca="false">IF(OR($H631="—",$H631=""),"—",MATCH($H631,IDX_SrcID,0))</f>
        <v>664</v>
      </c>
      <c r="AG631" s="32" t="n">
        <f aca="false">IF(AND($P631="高",OR($AD631=1,$X631=1)),1,0)</f>
        <v>0</v>
      </c>
      <c r="AH631" s="32" t="n">
        <f aca="false">IF(AND($P631="高",$AG631=0,OR($F631&lt;&gt;"原始數據",$T631&lt;&gt;1)),1,0)</f>
        <v>0</v>
      </c>
      <c r="AI631" s="44" t="str">
        <f aca="false">IF(AND($P631="高",ISNUMBER($AF631)),INDEX(IDX_SrcDate,$AF631),"—")</f>
        <v>—</v>
      </c>
      <c r="AJ631" s="32" t="n">
        <f aca="false">IF(AND(ISTEXT($AI631),LEN($AI631)=10),IF(ISNUMBER(VALUE(SUBSTITUTE($AI631,"-",""))),VALUE(SUBSTITUTE($AI631,"-","")),0),0)</f>
        <v>0</v>
      </c>
    </row>
    <row r="632" customFormat="false" ht="57.75" hidden="false" customHeight="true" outlineLevel="0" collapsed="false">
      <c r="A632" s="30" t="s">
        <v>6343</v>
      </c>
      <c r="B632" s="205" t="s">
        <v>6273</v>
      </c>
      <c r="C632" s="30" t="s">
        <v>5608</v>
      </c>
      <c r="D632" s="30" t="s">
        <v>6344</v>
      </c>
      <c r="E632" s="6" t="s">
        <v>1704</v>
      </c>
      <c r="F632" s="30" t="s">
        <v>114</v>
      </c>
      <c r="G632" s="205" t="s">
        <v>4527</v>
      </c>
      <c r="H632" s="30" t="s">
        <v>6147</v>
      </c>
      <c r="I632" s="6" t="s">
        <v>6345</v>
      </c>
      <c r="J632" s="30" t="s">
        <v>6277</v>
      </c>
      <c r="K632" s="205"/>
      <c r="L632" s="205"/>
      <c r="M632" s="205" t="s">
        <v>6346</v>
      </c>
      <c r="N632" s="6" t="s">
        <v>6347</v>
      </c>
      <c r="O632" s="6" t="s">
        <v>751</v>
      </c>
      <c r="P632" s="205" t="s">
        <v>4530</v>
      </c>
      <c r="Q632" s="184" t="s">
        <v>751</v>
      </c>
      <c r="R632" s="184" t="n">
        <f aca="false">SRC_DEM_012</f>
        <v>2.5</v>
      </c>
      <c r="S632" s="44" t="str">
        <f aca="false">IF(ISNUMBER($AF632),INDEX(IDX_SrcStat,$AF632),"—")</f>
        <v>Active</v>
      </c>
      <c r="T632" s="44" t="n">
        <f aca="false">IF(ISNUMBER($AF632),INDEX(IDX_SrcGrade,$AF632),"—")</f>
        <v>2</v>
      </c>
      <c r="U632" s="30" t="s">
        <v>751</v>
      </c>
      <c r="V632" s="32" t="n">
        <f aca="false">IF(AND($F632="原始數據",$U632&lt;&gt;"連結 SRC"),1,0)</f>
        <v>0</v>
      </c>
      <c r="W632" s="32" t="n">
        <f aca="false">IF(AND($F632="Analogy",OR($H632="—",$H632="")),1,0)</f>
        <v>0</v>
      </c>
      <c r="X632" s="32" t="n">
        <f aca="false">IF(AND(OR($F632="Analogy",$F632="Assumed"),$G632&lt;&gt;"低",$G632&lt;&gt;"高",NOT(ISNUMBER($K632)),NOT(ISNUMBER($L632)),OR($M632="—",$M632="")),1,0)</f>
        <v>0</v>
      </c>
      <c r="Y632" s="32" t="n">
        <f aca="false">IF(AND(OR($F632="Analogy",$F632="Assumed",$F632="Derived（待改公式）",$F632="Derived（公式）"),OR($N632="—",$N632="",$N632=0)),1,0)</f>
        <v>0</v>
      </c>
      <c r="Z632" s="32" t="n">
        <f aca="false">IF(AND($F632="Decision",OR($J632="—",$J632="")),1,0)</f>
        <v>0</v>
      </c>
      <c r="AA632" s="33" t="n">
        <f aca="false">IF(OR($J632="—",$J632=""),0,IF(COUNTIF(Decisions!$A$5:$A$300,$J632)=0,1,0))</f>
        <v>0</v>
      </c>
      <c r="AB632" s="32" t="n">
        <f aca="false">IF(AND($F632="原始數據",$S632&lt;&gt;"Active"),1,0)</f>
        <v>0</v>
      </c>
      <c r="AC632" s="32" t="n">
        <f aca="false">IF(AND(ISNUMBER($K632),ISNUMBER($L632),ISNUMBER($Q632)),IF(OR($Q632&lt;MIN($K632,$L632),$Q632&gt;MAX($K632,$L632)),1,0),0)</f>
        <v>0</v>
      </c>
      <c r="AD632" s="32" t="n">
        <f aca="false">IF(AND(ISNUMBER($T632),$P632="高"),IF($T632=3,1,0),0)</f>
        <v>0</v>
      </c>
      <c r="AE632" s="32" t="n">
        <f aca="false">IF($S632="不存在",1,0)</f>
        <v>0</v>
      </c>
      <c r="AF632" s="44" t="n">
        <f aca="false">IF(OR($H632="—",$H632=""),"—",MATCH($H632,IDX_SrcID,0))</f>
        <v>665</v>
      </c>
      <c r="AG632" s="32" t="n">
        <f aca="false">IF(AND($P632="高",OR($AD632=1,$X632=1)),1,0)</f>
        <v>0</v>
      </c>
      <c r="AH632" s="32" t="n">
        <f aca="false">IF(AND($P632="高",$AG632=0,OR($F632&lt;&gt;"原始數據",$T632&lt;&gt;1)),1,0)</f>
        <v>0</v>
      </c>
      <c r="AI632" s="44" t="str">
        <f aca="false">IF(AND($P632="高",ISNUMBER($AF632)),INDEX(IDX_SrcDate,$AF632),"—")</f>
        <v>—</v>
      </c>
      <c r="AJ632" s="32" t="n">
        <f aca="false">IF(AND(ISTEXT($AI632),LEN($AI632)=10),IF(ISNUMBER(VALUE(SUBSTITUTE($AI632,"-",""))),VALUE(SUBSTITUTE($AI632,"-","")),0),0)</f>
        <v>0</v>
      </c>
    </row>
    <row r="633" customFormat="false" ht="43.5" hidden="false" customHeight="true" outlineLevel="0" collapsed="false">
      <c r="A633" s="30" t="s">
        <v>6348</v>
      </c>
      <c r="B633" s="205" t="s">
        <v>6273</v>
      </c>
      <c r="C633" s="30" t="s">
        <v>5608</v>
      </c>
      <c r="D633" s="30" t="s">
        <v>6349</v>
      </c>
      <c r="E633" s="243" t="s">
        <v>6350</v>
      </c>
      <c r="F633" s="205" t="s">
        <v>6351</v>
      </c>
      <c r="G633" s="205" t="s">
        <v>4527</v>
      </c>
      <c r="H633" s="30" t="s">
        <v>751</v>
      </c>
      <c r="I633" s="6" t="s">
        <v>751</v>
      </c>
      <c r="J633" s="30" t="s">
        <v>6277</v>
      </c>
      <c r="K633" s="205"/>
      <c r="L633" s="205"/>
      <c r="M633" s="205" t="s">
        <v>6352</v>
      </c>
      <c r="N633" s="6" t="s">
        <v>6353</v>
      </c>
      <c r="O633" s="6" t="s">
        <v>751</v>
      </c>
      <c r="P633" s="205" t="s">
        <v>4530</v>
      </c>
      <c r="Q633" s="184" t="s">
        <v>751</v>
      </c>
      <c r="R633" s="30" t="s">
        <v>751</v>
      </c>
      <c r="S633" s="44" t="str">
        <f aca="false">IF(ISNUMBER($AF633),INDEX(IDX_SrcStat,$AF633),"—")</f>
        <v>—</v>
      </c>
      <c r="T633" s="44" t="str">
        <f aca="false">IF(ISNUMBER($AF633),INDEX(IDX_SrcGrade,$AF633),"—")</f>
        <v>—</v>
      </c>
      <c r="U633" s="30" t="s">
        <v>751</v>
      </c>
      <c r="V633" s="32" t="n">
        <f aca="false">IF(AND($F633="原始數據",$U633&lt;&gt;"連結 SRC"),1,0)</f>
        <v>0</v>
      </c>
      <c r="W633" s="32" t="n">
        <f aca="false">IF(AND($F633="Analogy",OR($H633="—",$H633="")),1,0)</f>
        <v>0</v>
      </c>
      <c r="X633" s="32" t="n">
        <f aca="false">IF(AND(OR($F633="Analogy",$F633="Assumed"),$G633&lt;&gt;"低",$G633&lt;&gt;"高",NOT(ISNUMBER($K633)),NOT(ISNUMBER($L633)),OR($M633="—",$M633="")),1,0)</f>
        <v>0</v>
      </c>
      <c r="Y633" s="32" t="n">
        <f aca="false">IF(AND(OR($F633="Analogy",$F633="Assumed",$F633="Derived（待改公式）",$F633="Derived（公式）"),OR($N633="—",$N633="",$N633=0)),1,0)</f>
        <v>0</v>
      </c>
      <c r="Z633" s="32" t="n">
        <f aca="false">IF(AND($F633="Decision",OR($J633="—",$J633="")),1,0)</f>
        <v>0</v>
      </c>
      <c r="AA633" s="33" t="n">
        <f aca="false">IF(OR($J633="—",$J633=""),0,IF(COUNTIF(Decisions!$A$5:$A$300,$J633)=0,1,0))</f>
        <v>0</v>
      </c>
      <c r="AB633" s="32" t="n">
        <f aca="false">IF(AND($F633="原始數據",$S633&lt;&gt;"Active"),1,0)</f>
        <v>0</v>
      </c>
      <c r="AC633" s="32" t="n">
        <f aca="false">IF(AND(ISNUMBER($K633),ISNUMBER($L633),ISNUMBER($Q633)),IF(OR($Q633&lt;MIN($K633,$L633),$Q633&gt;MAX($K633,$L633)),1,0),0)</f>
        <v>0</v>
      </c>
      <c r="AD633" s="32" t="n">
        <f aca="false">IF(AND(ISNUMBER($T633),$P633="高"),IF($T633=3,1,0),0)</f>
        <v>0</v>
      </c>
      <c r="AE633" s="32" t="n">
        <f aca="false">IF($S633="不存在",1,0)</f>
        <v>0</v>
      </c>
      <c r="AF633" s="44" t="str">
        <f aca="false">IF(OR($H633="—",$H633=""),"—",MATCH($H633,IDX_SrcID,0))</f>
        <v>—</v>
      </c>
      <c r="AG633" s="32" t="n">
        <f aca="false">IF(AND($P633="高",OR($AD633=1,$X633=1)),1,0)</f>
        <v>0</v>
      </c>
      <c r="AH633" s="32" t="n">
        <f aca="false">IF(AND($P633="高",$AG633=0,OR($F633&lt;&gt;"原始數據",$T633&lt;&gt;1)),1,0)</f>
        <v>0</v>
      </c>
      <c r="AI633" s="44" t="str">
        <f aca="false">IF(AND($P633="高",ISNUMBER($AF633)),INDEX(IDX_SrcDate,$AF633),"—")</f>
        <v>—</v>
      </c>
      <c r="AJ633" s="32" t="n">
        <f aca="false">IF(AND(ISTEXT($AI633),LEN($AI633)=10),IF(ISNUMBER(VALUE(SUBSTITUTE($AI633,"-",""))),VALUE(SUBSTITUTE($AI633,"-","")),0),0)</f>
        <v>0</v>
      </c>
    </row>
    <row r="634" customFormat="false" ht="57.75" hidden="false" customHeight="true" outlineLevel="0" collapsed="false">
      <c r="A634" s="30" t="s">
        <v>6354</v>
      </c>
      <c r="B634" s="205" t="s">
        <v>6273</v>
      </c>
      <c r="C634" s="30" t="s">
        <v>5608</v>
      </c>
      <c r="D634" s="30" t="s">
        <v>6355</v>
      </c>
      <c r="E634" s="6" t="s">
        <v>1732</v>
      </c>
      <c r="F634" s="30" t="s">
        <v>114</v>
      </c>
      <c r="G634" s="205" t="s">
        <v>4527</v>
      </c>
      <c r="H634" s="30" t="s">
        <v>751</v>
      </c>
      <c r="I634" s="6" t="s">
        <v>751</v>
      </c>
      <c r="J634" s="30" t="s">
        <v>6277</v>
      </c>
      <c r="K634" s="205"/>
      <c r="L634" s="205"/>
      <c r="M634" s="205" t="s">
        <v>6356</v>
      </c>
      <c r="N634" s="6" t="s">
        <v>6357</v>
      </c>
      <c r="O634" s="6" t="s">
        <v>751</v>
      </c>
      <c r="P634" s="205" t="s">
        <v>4530</v>
      </c>
      <c r="Q634" s="196" t="n">
        <f aca="false">Cap_In!D211</f>
        <v>0.25</v>
      </c>
      <c r="R634" s="30" t="s">
        <v>751</v>
      </c>
      <c r="S634" s="44" t="str">
        <f aca="false">IF(ISNUMBER($AF634),INDEX(IDX_SrcStat,$AF634),"—")</f>
        <v>—</v>
      </c>
      <c r="T634" s="44" t="str">
        <f aca="false">IF(ISNUMBER($AF634),INDEX(IDX_SrcGrade,$AF634),"—")</f>
        <v>—</v>
      </c>
      <c r="U634" s="44" t="s">
        <v>4531</v>
      </c>
      <c r="V634" s="32" t="n">
        <f aca="false">IF(AND($F634="原始數據",$U634&lt;&gt;"連結 SRC"),1,0)</f>
        <v>0</v>
      </c>
      <c r="W634" s="32" t="n">
        <f aca="false">IF(AND($F634="Analogy",OR($H634="—",$H634="")),1,0)</f>
        <v>0</v>
      </c>
      <c r="X634" s="32" t="n">
        <f aca="false">IF(AND(OR($F634="Analogy",$F634="Assumed"),$G634&lt;&gt;"低",$G634&lt;&gt;"高",NOT(ISNUMBER($K634)),NOT(ISNUMBER($L634)),OR($M634="—",$M634="")),1,0)</f>
        <v>0</v>
      </c>
      <c r="Y634" s="32" t="n">
        <f aca="false">IF(AND(OR($F634="Analogy",$F634="Assumed",$F634="Derived（待改公式）",$F634="Derived（公式）"),OR($N634="—",$N634="",$N634=0)),1,0)</f>
        <v>0</v>
      </c>
      <c r="Z634" s="32" t="n">
        <f aca="false">IF(AND($F634="Decision",OR($J634="—",$J634="")),1,0)</f>
        <v>0</v>
      </c>
      <c r="AA634" s="33" t="n">
        <f aca="false">IF(OR($J634="—",$J634=""),0,IF(COUNTIF(Decisions!$A$5:$A$300,$J634)=0,1,0))</f>
        <v>0</v>
      </c>
      <c r="AB634" s="32" t="n">
        <f aca="false">IF(AND($F634="原始數據",$S634&lt;&gt;"Active"),1,0)</f>
        <v>0</v>
      </c>
      <c r="AC634" s="32" t="n">
        <f aca="false">IF(AND(ISNUMBER($K634),ISNUMBER($L634),ISNUMBER($Q634)),IF(OR($Q634&lt;MIN($K634,$L634),$Q634&gt;MAX($K634,$L634)),1,0),0)</f>
        <v>0</v>
      </c>
      <c r="AD634" s="32" t="n">
        <f aca="false">IF(AND(ISNUMBER($T634),$P634="高"),IF($T634=3,1,0),0)</f>
        <v>0</v>
      </c>
      <c r="AE634" s="32" t="n">
        <f aca="false">IF($S634="不存在",1,0)</f>
        <v>0</v>
      </c>
      <c r="AF634" s="44" t="str">
        <f aca="false">IF(OR($H634="—",$H634=""),"—",MATCH($H634,IDX_SrcID,0))</f>
        <v>—</v>
      </c>
      <c r="AG634" s="32" t="n">
        <f aca="false">IF(AND($P634="高",OR($AD634=1,$X634=1)),1,0)</f>
        <v>0</v>
      </c>
      <c r="AH634" s="32" t="n">
        <f aca="false">IF(AND($P634="高",$AG634=0,OR($F634&lt;&gt;"原始數據",$T634&lt;&gt;1)),1,0)</f>
        <v>0</v>
      </c>
      <c r="AI634" s="44" t="str">
        <f aca="false">IF(AND($P634="高",ISNUMBER($AF634)),INDEX(IDX_SrcDate,$AF634),"—")</f>
        <v>—</v>
      </c>
      <c r="AJ634" s="32" t="n">
        <f aca="false">IF(AND(ISTEXT($AI634),LEN($AI634)=10),IF(ISNUMBER(VALUE(SUBSTITUTE($AI634,"-",""))),VALUE(SUBSTITUTE($AI634,"-","")),0),0)</f>
        <v>0</v>
      </c>
    </row>
    <row r="635" customFormat="false" ht="57.75" hidden="false" customHeight="true" outlineLevel="0" collapsed="false">
      <c r="A635" s="30" t="s">
        <v>6358</v>
      </c>
      <c r="B635" s="205" t="s">
        <v>6273</v>
      </c>
      <c r="C635" s="30" t="s">
        <v>5608</v>
      </c>
      <c r="D635" s="30" t="s">
        <v>6359</v>
      </c>
      <c r="E635" s="6" t="s">
        <v>1735</v>
      </c>
      <c r="F635" s="30" t="s">
        <v>114</v>
      </c>
      <c r="G635" s="205" t="s">
        <v>4527</v>
      </c>
      <c r="H635" s="30" t="s">
        <v>751</v>
      </c>
      <c r="I635" s="6" t="s">
        <v>751</v>
      </c>
      <c r="J635" s="30" t="s">
        <v>6277</v>
      </c>
      <c r="K635" s="205"/>
      <c r="L635" s="205"/>
      <c r="M635" s="205" t="s">
        <v>6360</v>
      </c>
      <c r="N635" s="6" t="s">
        <v>6357</v>
      </c>
      <c r="O635" s="6" t="s">
        <v>751</v>
      </c>
      <c r="P635" s="205" t="s">
        <v>4530</v>
      </c>
      <c r="Q635" s="196" t="n">
        <f aca="false">Cap_In!D212</f>
        <v>0.45</v>
      </c>
      <c r="R635" s="30" t="s">
        <v>751</v>
      </c>
      <c r="S635" s="44" t="str">
        <f aca="false">IF(ISNUMBER($AF635),INDEX(IDX_SrcStat,$AF635),"—")</f>
        <v>—</v>
      </c>
      <c r="T635" s="44" t="str">
        <f aca="false">IF(ISNUMBER($AF635),INDEX(IDX_SrcGrade,$AF635),"—")</f>
        <v>—</v>
      </c>
      <c r="U635" s="44" t="s">
        <v>4531</v>
      </c>
      <c r="V635" s="32" t="n">
        <f aca="false">IF(AND($F635="原始數據",$U635&lt;&gt;"連結 SRC"),1,0)</f>
        <v>0</v>
      </c>
      <c r="W635" s="32" t="n">
        <f aca="false">IF(AND($F635="Analogy",OR($H635="—",$H635="")),1,0)</f>
        <v>0</v>
      </c>
      <c r="X635" s="32" t="n">
        <f aca="false">IF(AND(OR($F635="Analogy",$F635="Assumed"),$G635&lt;&gt;"低",$G635&lt;&gt;"高",NOT(ISNUMBER($K635)),NOT(ISNUMBER($L635)),OR($M635="—",$M635="")),1,0)</f>
        <v>0</v>
      </c>
      <c r="Y635" s="32" t="n">
        <f aca="false">IF(AND(OR($F635="Analogy",$F635="Assumed",$F635="Derived（待改公式）",$F635="Derived（公式）"),OR($N635="—",$N635="",$N635=0)),1,0)</f>
        <v>0</v>
      </c>
      <c r="Z635" s="32" t="n">
        <f aca="false">IF(AND($F635="Decision",OR($J635="—",$J635="")),1,0)</f>
        <v>0</v>
      </c>
      <c r="AA635" s="33" t="n">
        <f aca="false">IF(OR($J635="—",$J635=""),0,IF(COUNTIF(Decisions!$A$5:$A$300,$J635)=0,1,0))</f>
        <v>0</v>
      </c>
      <c r="AB635" s="32" t="n">
        <f aca="false">IF(AND($F635="原始數據",$S635&lt;&gt;"Active"),1,0)</f>
        <v>0</v>
      </c>
      <c r="AC635" s="32" t="n">
        <f aca="false">IF(AND(ISNUMBER($K635),ISNUMBER($L635),ISNUMBER($Q635)),IF(OR($Q635&lt;MIN($K635,$L635),$Q635&gt;MAX($K635,$L635)),1,0),0)</f>
        <v>0</v>
      </c>
      <c r="AD635" s="32" t="n">
        <f aca="false">IF(AND(ISNUMBER($T635),$P635="高"),IF($T635=3,1,0),0)</f>
        <v>0</v>
      </c>
      <c r="AE635" s="32" t="n">
        <f aca="false">IF($S635="不存在",1,0)</f>
        <v>0</v>
      </c>
      <c r="AF635" s="44" t="str">
        <f aca="false">IF(OR($H635="—",$H635=""),"—",MATCH($H635,IDX_SrcID,0))</f>
        <v>—</v>
      </c>
      <c r="AG635" s="32" t="n">
        <f aca="false">IF(AND($P635="高",OR($AD635=1,$X635=1)),1,0)</f>
        <v>0</v>
      </c>
      <c r="AH635" s="32" t="n">
        <f aca="false">IF(AND($P635="高",$AG635=0,OR($F635&lt;&gt;"原始數據",$T635&lt;&gt;1)),1,0)</f>
        <v>0</v>
      </c>
      <c r="AI635" s="44" t="str">
        <f aca="false">IF(AND($P635="高",ISNUMBER($AF635)),INDEX(IDX_SrcDate,$AF635),"—")</f>
        <v>—</v>
      </c>
      <c r="AJ635" s="32" t="n">
        <f aca="false">IF(AND(ISTEXT($AI635),LEN($AI635)=10),IF(ISNUMBER(VALUE(SUBSTITUTE($AI635,"-",""))),VALUE(SUBSTITUTE($AI635,"-","")),0),0)</f>
        <v>0</v>
      </c>
    </row>
    <row r="636" customFormat="false" ht="57.75" hidden="false" customHeight="true" outlineLevel="0" collapsed="false">
      <c r="A636" s="30" t="s">
        <v>6361</v>
      </c>
      <c r="B636" s="205" t="s">
        <v>6273</v>
      </c>
      <c r="C636" s="30" t="s">
        <v>5608</v>
      </c>
      <c r="D636" s="30" t="s">
        <v>6362</v>
      </c>
      <c r="E636" s="6" t="s">
        <v>1738</v>
      </c>
      <c r="F636" s="30" t="s">
        <v>114</v>
      </c>
      <c r="G636" s="205" t="s">
        <v>4527</v>
      </c>
      <c r="H636" s="30" t="s">
        <v>751</v>
      </c>
      <c r="I636" s="6" t="s">
        <v>751</v>
      </c>
      <c r="J636" s="30" t="s">
        <v>6277</v>
      </c>
      <c r="K636" s="205"/>
      <c r="L636" s="205"/>
      <c r="M636" s="205" t="s">
        <v>6356</v>
      </c>
      <c r="N636" s="6" t="s">
        <v>6357</v>
      </c>
      <c r="O636" s="6" t="s">
        <v>751</v>
      </c>
      <c r="P636" s="205" t="s">
        <v>4530</v>
      </c>
      <c r="Q636" s="196" t="n">
        <f aca="false">Cap_In!D213</f>
        <v>0.25</v>
      </c>
      <c r="R636" s="30" t="s">
        <v>751</v>
      </c>
      <c r="S636" s="44" t="str">
        <f aca="false">IF(ISNUMBER($AF636),INDEX(IDX_SrcStat,$AF636),"—")</f>
        <v>—</v>
      </c>
      <c r="T636" s="44" t="str">
        <f aca="false">IF(ISNUMBER($AF636),INDEX(IDX_SrcGrade,$AF636),"—")</f>
        <v>—</v>
      </c>
      <c r="U636" s="44" t="s">
        <v>4531</v>
      </c>
      <c r="V636" s="32" t="n">
        <f aca="false">IF(AND($F636="原始數據",$U636&lt;&gt;"連結 SRC"),1,0)</f>
        <v>0</v>
      </c>
      <c r="W636" s="32" t="n">
        <f aca="false">IF(AND($F636="Analogy",OR($H636="—",$H636="")),1,0)</f>
        <v>0</v>
      </c>
      <c r="X636" s="32" t="n">
        <f aca="false">IF(AND(OR($F636="Analogy",$F636="Assumed"),$G636&lt;&gt;"低",$G636&lt;&gt;"高",NOT(ISNUMBER($K636)),NOT(ISNUMBER($L636)),OR($M636="—",$M636="")),1,0)</f>
        <v>0</v>
      </c>
      <c r="Y636" s="32" t="n">
        <f aca="false">IF(AND(OR($F636="Analogy",$F636="Assumed",$F636="Derived（待改公式）",$F636="Derived（公式）"),OR($N636="—",$N636="",$N636=0)),1,0)</f>
        <v>0</v>
      </c>
      <c r="Z636" s="32" t="n">
        <f aca="false">IF(AND($F636="Decision",OR($J636="—",$J636="")),1,0)</f>
        <v>0</v>
      </c>
      <c r="AA636" s="33" t="n">
        <f aca="false">IF(OR($J636="—",$J636=""),0,IF(COUNTIF(Decisions!$A$5:$A$300,$J636)=0,1,0))</f>
        <v>0</v>
      </c>
      <c r="AB636" s="32" t="n">
        <f aca="false">IF(AND($F636="原始數據",$S636&lt;&gt;"Active"),1,0)</f>
        <v>0</v>
      </c>
      <c r="AC636" s="32" t="n">
        <f aca="false">IF(AND(ISNUMBER($K636),ISNUMBER($L636),ISNUMBER($Q636)),IF(OR($Q636&lt;MIN($K636,$L636),$Q636&gt;MAX($K636,$L636)),1,0),0)</f>
        <v>0</v>
      </c>
      <c r="AD636" s="32" t="n">
        <f aca="false">IF(AND(ISNUMBER($T636),$P636="高"),IF($T636=3,1,0),0)</f>
        <v>0</v>
      </c>
      <c r="AE636" s="32" t="n">
        <f aca="false">IF($S636="不存在",1,0)</f>
        <v>0</v>
      </c>
      <c r="AF636" s="44" t="str">
        <f aca="false">IF(OR($H636="—",$H636=""),"—",MATCH($H636,IDX_SrcID,0))</f>
        <v>—</v>
      </c>
      <c r="AG636" s="32" t="n">
        <f aca="false">IF(AND($P636="高",OR($AD636=1,$X636=1)),1,0)</f>
        <v>0</v>
      </c>
      <c r="AH636" s="32" t="n">
        <f aca="false">IF(AND($P636="高",$AG636=0,OR($F636&lt;&gt;"原始數據",$T636&lt;&gt;1)),1,0)</f>
        <v>0</v>
      </c>
      <c r="AI636" s="44" t="str">
        <f aca="false">IF(AND($P636="高",ISNUMBER($AF636)),INDEX(IDX_SrcDate,$AF636),"—")</f>
        <v>—</v>
      </c>
      <c r="AJ636" s="32" t="n">
        <f aca="false">IF(AND(ISTEXT($AI636),LEN($AI636)=10),IF(ISNUMBER(VALUE(SUBSTITUTE($AI636,"-",""))),VALUE(SUBSTITUTE($AI636,"-","")),0),0)</f>
        <v>0</v>
      </c>
    </row>
    <row r="637" customFormat="false" ht="57.75" hidden="false" customHeight="true" outlineLevel="0" collapsed="false">
      <c r="A637" s="30" t="s">
        <v>6363</v>
      </c>
      <c r="B637" s="205" t="s">
        <v>6273</v>
      </c>
      <c r="C637" s="30" t="s">
        <v>5608</v>
      </c>
      <c r="D637" s="30" t="s">
        <v>6364</v>
      </c>
      <c r="E637" s="6" t="s">
        <v>1741</v>
      </c>
      <c r="F637" s="30" t="s">
        <v>114</v>
      </c>
      <c r="G637" s="205" t="s">
        <v>4527</v>
      </c>
      <c r="H637" s="30" t="s">
        <v>751</v>
      </c>
      <c r="I637" s="6" t="s">
        <v>751</v>
      </c>
      <c r="J637" s="30" t="s">
        <v>6277</v>
      </c>
      <c r="K637" s="205"/>
      <c r="L637" s="205"/>
      <c r="M637" s="205" t="s">
        <v>6365</v>
      </c>
      <c r="N637" s="6" t="s">
        <v>6357</v>
      </c>
      <c r="O637" s="6" t="s">
        <v>751</v>
      </c>
      <c r="P637" s="205" t="s">
        <v>4530</v>
      </c>
      <c r="Q637" s="196" t="n">
        <f aca="false">Cap_In!D214</f>
        <v>0.05</v>
      </c>
      <c r="R637" s="30" t="s">
        <v>751</v>
      </c>
      <c r="S637" s="44" t="str">
        <f aca="false">IF(ISNUMBER($AF637),INDEX(IDX_SrcStat,$AF637),"—")</f>
        <v>—</v>
      </c>
      <c r="T637" s="44" t="str">
        <f aca="false">IF(ISNUMBER($AF637),INDEX(IDX_SrcGrade,$AF637),"—")</f>
        <v>—</v>
      </c>
      <c r="U637" s="44" t="s">
        <v>4531</v>
      </c>
      <c r="V637" s="32" t="n">
        <f aca="false">IF(AND($F637="原始數據",$U637&lt;&gt;"連結 SRC"),1,0)</f>
        <v>0</v>
      </c>
      <c r="W637" s="32" t="n">
        <f aca="false">IF(AND($F637="Analogy",OR($H637="—",$H637="")),1,0)</f>
        <v>0</v>
      </c>
      <c r="X637" s="32" t="n">
        <f aca="false">IF(AND(OR($F637="Analogy",$F637="Assumed"),$G637&lt;&gt;"低",$G637&lt;&gt;"高",NOT(ISNUMBER($K637)),NOT(ISNUMBER($L637)),OR($M637="—",$M637="")),1,0)</f>
        <v>0</v>
      </c>
      <c r="Y637" s="32" t="n">
        <f aca="false">IF(AND(OR($F637="Analogy",$F637="Assumed",$F637="Derived（待改公式）",$F637="Derived（公式）"),OR($N637="—",$N637="",$N637=0)),1,0)</f>
        <v>0</v>
      </c>
      <c r="Z637" s="32" t="n">
        <f aca="false">IF(AND($F637="Decision",OR($J637="—",$J637="")),1,0)</f>
        <v>0</v>
      </c>
      <c r="AA637" s="33" t="n">
        <f aca="false">IF(OR($J637="—",$J637=""),0,IF(COUNTIF(Decisions!$A$5:$A$300,$J637)=0,1,0))</f>
        <v>0</v>
      </c>
      <c r="AB637" s="32" t="n">
        <f aca="false">IF(AND($F637="原始數據",$S637&lt;&gt;"Active"),1,0)</f>
        <v>0</v>
      </c>
      <c r="AC637" s="32" t="n">
        <f aca="false">IF(AND(ISNUMBER($K637),ISNUMBER($L637),ISNUMBER($Q637)),IF(OR($Q637&lt;MIN($K637,$L637),$Q637&gt;MAX($K637,$L637)),1,0),0)</f>
        <v>0</v>
      </c>
      <c r="AD637" s="32" t="n">
        <f aca="false">IF(AND(ISNUMBER($T637),$P637="高"),IF($T637=3,1,0),0)</f>
        <v>0</v>
      </c>
      <c r="AE637" s="32" t="n">
        <f aca="false">IF($S637="不存在",1,0)</f>
        <v>0</v>
      </c>
      <c r="AF637" s="44" t="str">
        <f aca="false">IF(OR($H637="—",$H637=""),"—",MATCH($H637,IDX_SrcID,0))</f>
        <v>—</v>
      </c>
      <c r="AG637" s="32" t="n">
        <f aca="false">IF(AND($P637="高",OR($AD637=1,$X637=1)),1,0)</f>
        <v>0</v>
      </c>
      <c r="AH637" s="32" t="n">
        <f aca="false">IF(AND($P637="高",$AG637=0,OR($F637&lt;&gt;"原始數據",$T637&lt;&gt;1)),1,0)</f>
        <v>0</v>
      </c>
      <c r="AI637" s="44" t="str">
        <f aca="false">IF(AND($P637="高",ISNUMBER($AF637)),INDEX(IDX_SrcDate,$AF637),"—")</f>
        <v>—</v>
      </c>
      <c r="AJ637" s="32" t="n">
        <f aca="false">IF(AND(ISTEXT($AI637),LEN($AI637)=10),IF(ISNUMBER(VALUE(SUBSTITUTE($AI637,"-",""))),VALUE(SUBSTITUTE($AI637,"-","")),0),0)</f>
        <v>0</v>
      </c>
    </row>
    <row r="638" customFormat="false" ht="86.25" hidden="false" customHeight="true" outlineLevel="0" collapsed="false">
      <c r="A638" s="30" t="s">
        <v>6366</v>
      </c>
      <c r="B638" s="205" t="s">
        <v>6367</v>
      </c>
      <c r="C638" s="30" t="s">
        <v>5608</v>
      </c>
      <c r="D638" s="30" t="s">
        <v>6368</v>
      </c>
      <c r="E638" s="243" t="s">
        <v>6369</v>
      </c>
      <c r="F638" s="30" t="s">
        <v>114</v>
      </c>
      <c r="G638" s="205" t="s">
        <v>97</v>
      </c>
      <c r="H638" s="30" t="s">
        <v>751</v>
      </c>
      <c r="I638" s="6" t="s">
        <v>751</v>
      </c>
      <c r="J638" s="30" t="s">
        <v>6370</v>
      </c>
      <c r="K638" s="196" t="n">
        <f aca="false">Cap_In!D226</f>
        <v>-0.25</v>
      </c>
      <c r="L638" s="196" t="n">
        <f aca="false">Cap_In!E226</f>
        <v>0.05</v>
      </c>
      <c r="M638" s="30" t="s">
        <v>6371</v>
      </c>
      <c r="N638" s="6" t="s">
        <v>6372</v>
      </c>
      <c r="O638" s="6" t="s">
        <v>751</v>
      </c>
      <c r="P638" s="205" t="s">
        <v>4530</v>
      </c>
      <c r="Q638" s="196" t="n">
        <f aca="false">Cap_In!C226</f>
        <v>-0.1</v>
      </c>
      <c r="R638" s="30" t="s">
        <v>751</v>
      </c>
      <c r="S638" s="44" t="str">
        <f aca="false">IF(ISNUMBER($AF638),INDEX(IDX_SrcStat,$AF638),"—")</f>
        <v>—</v>
      </c>
      <c r="T638" s="44" t="str">
        <f aca="false">IF(ISNUMBER($AF638),INDEX(IDX_SrcGrade,$AF638),"—")</f>
        <v>—</v>
      </c>
      <c r="U638" s="44" t="s">
        <v>4531</v>
      </c>
      <c r="V638" s="32" t="n">
        <f aca="false">IF(AND($F638="原始數據",$U638&lt;&gt;"連結 SRC"),1,0)</f>
        <v>0</v>
      </c>
      <c r="W638" s="32" t="n">
        <f aca="false">IF(AND($F638="Analogy",OR($H638="—",$H638="")),1,0)</f>
        <v>0</v>
      </c>
      <c r="X638" s="32" t="n">
        <f aca="false">IF(AND(OR($F638="Analogy",$F638="Assumed"),$G638&lt;&gt;"低",$G638&lt;&gt;"高",NOT(ISNUMBER($K638)),NOT(ISNUMBER($L638)),OR($M638="—",$M638="")),1,0)</f>
        <v>0</v>
      </c>
      <c r="Y638" s="32" t="n">
        <f aca="false">IF(AND(OR($F638="Analogy",$F638="Assumed",$F638="Derived（待改公式）",$F638="Derived（公式）"),OR($N638="—",$N638="",$N638=0)),1,0)</f>
        <v>0</v>
      </c>
      <c r="Z638" s="32" t="n">
        <f aca="false">IF(AND($F638="Decision",OR($J638="—",$J638="")),1,0)</f>
        <v>0</v>
      </c>
      <c r="AA638" s="33" t="n">
        <f aca="false">IF(OR($J638="—",$J638=""),0,IF(COUNTIF(Decisions!$A$5:$A$300,$J638)=0,1,0))</f>
        <v>0</v>
      </c>
      <c r="AB638" s="32" t="n">
        <f aca="false">IF(AND($F638="原始數據",$S638&lt;&gt;"Active"),1,0)</f>
        <v>0</v>
      </c>
      <c r="AC638" s="32" t="n">
        <f aca="false">IF(AND(ISNUMBER($K638),ISNUMBER($L638),ISNUMBER($Q638)),IF(OR($Q638&lt;MIN($K638,$L638),$Q638&gt;MAX($K638,$L638)),1,0),0)</f>
        <v>0</v>
      </c>
      <c r="AD638" s="32" t="n">
        <f aca="false">IF(AND(ISNUMBER($T638),$P638="高"),IF($T638=3,1,0),0)</f>
        <v>0</v>
      </c>
      <c r="AE638" s="32" t="n">
        <f aca="false">IF($S638="不存在",1,0)</f>
        <v>0</v>
      </c>
      <c r="AF638" s="44" t="str">
        <f aca="false">IF(OR($H638="—",$H638=""),"—",MATCH($H638,IDX_SrcID,0))</f>
        <v>—</v>
      </c>
      <c r="AG638" s="32" t="n">
        <f aca="false">IF(AND($P638="高",OR($AD638=1,$X638=1)),1,0)</f>
        <v>0</v>
      </c>
      <c r="AH638" s="32" t="n">
        <f aca="false">IF(AND($P638="高",$AG638=0,OR($F638&lt;&gt;"原始數據",$T638&lt;&gt;1)),1,0)</f>
        <v>0</v>
      </c>
      <c r="AI638" s="44" t="str">
        <f aca="false">IF(AND($P638="高",ISNUMBER($AF638)),INDEX(IDX_SrcDate,$AF638),"—")</f>
        <v>—</v>
      </c>
      <c r="AJ638" s="32" t="n">
        <f aca="false">IF(AND(ISTEXT($AI638),LEN($AI638)=10),IF(ISNUMBER(VALUE(SUBSTITUTE($AI638,"-",""))),VALUE(SUBSTITUTE($AI638,"-","")),0),0)</f>
        <v>0</v>
      </c>
    </row>
    <row r="639" customFormat="false" ht="86.25" hidden="false" customHeight="true" outlineLevel="0" collapsed="false">
      <c r="A639" s="30" t="s">
        <v>6373</v>
      </c>
      <c r="B639" s="205" t="s">
        <v>6367</v>
      </c>
      <c r="C639" s="30" t="s">
        <v>5608</v>
      </c>
      <c r="D639" s="30" t="s">
        <v>6374</v>
      </c>
      <c r="E639" s="243" t="s">
        <v>6369</v>
      </c>
      <c r="F639" s="30" t="s">
        <v>114</v>
      </c>
      <c r="G639" s="205" t="s">
        <v>5614</v>
      </c>
      <c r="H639" s="30" t="s">
        <v>751</v>
      </c>
      <c r="I639" s="6" t="s">
        <v>751</v>
      </c>
      <c r="J639" s="30" t="s">
        <v>6370</v>
      </c>
      <c r="K639" s="205"/>
      <c r="L639" s="205"/>
      <c r="M639" s="30" t="s">
        <v>6375</v>
      </c>
      <c r="N639" s="6" t="s">
        <v>6372</v>
      </c>
      <c r="O639" s="6" t="s">
        <v>751</v>
      </c>
      <c r="P639" s="205" t="s">
        <v>4530</v>
      </c>
      <c r="Q639" s="184" t="s">
        <v>751</v>
      </c>
      <c r="R639" s="30" t="s">
        <v>751</v>
      </c>
      <c r="S639" s="44" t="str">
        <f aca="false">IF(ISNUMBER($AF639),INDEX(IDX_SrcStat,$AF639),"—")</f>
        <v>—</v>
      </c>
      <c r="T639" s="44" t="str">
        <f aca="false">IF(ISNUMBER($AF639),INDEX(IDX_SrcGrade,$AF639),"—")</f>
        <v>—</v>
      </c>
      <c r="U639" s="30" t="s">
        <v>751</v>
      </c>
      <c r="V639" s="32" t="n">
        <f aca="false">IF(AND($F639="原始數據",$U639&lt;&gt;"連結 SRC"),1,0)</f>
        <v>0</v>
      </c>
      <c r="W639" s="32" t="n">
        <f aca="false">IF(AND($F639="Analogy",OR($H639="—",$H639="")),1,0)</f>
        <v>0</v>
      </c>
      <c r="X639" s="32" t="n">
        <f aca="false">IF(AND(OR($F639="Analogy",$F639="Assumed"),$G639&lt;&gt;"低",$G639&lt;&gt;"高",NOT(ISNUMBER($K639)),NOT(ISNUMBER($L639)),OR($M639="—",$M639="")),1,0)</f>
        <v>0</v>
      </c>
      <c r="Y639" s="32" t="n">
        <f aca="false">IF(AND(OR($F639="Analogy",$F639="Assumed",$F639="Derived（待改公式）",$F639="Derived（公式）"),OR($N639="—",$N639="",$N639=0)),1,0)</f>
        <v>0</v>
      </c>
      <c r="Z639" s="32" t="n">
        <f aca="false">IF(AND($F639="Decision",OR($J639="—",$J639="")),1,0)</f>
        <v>0</v>
      </c>
      <c r="AA639" s="33" t="n">
        <f aca="false">IF(OR($J639="—",$J639=""),0,IF(COUNTIF(Decisions!$A$5:$A$300,$J639)=0,1,0))</f>
        <v>0</v>
      </c>
      <c r="AB639" s="32" t="n">
        <f aca="false">IF(AND($F639="原始數據",$S639&lt;&gt;"Active"),1,0)</f>
        <v>0</v>
      </c>
      <c r="AC639" s="32" t="n">
        <f aca="false">IF(AND(ISNUMBER($K639),ISNUMBER($L639),ISNUMBER($Q639)),IF(OR($Q639&lt;MIN($K639,$L639),$Q639&gt;MAX($K639,$L639)),1,0),0)</f>
        <v>0</v>
      </c>
      <c r="AD639" s="32" t="n">
        <f aca="false">IF(AND(ISNUMBER($T639),$P639="高"),IF($T639=3,1,0),0)</f>
        <v>0</v>
      </c>
      <c r="AE639" s="32" t="n">
        <f aca="false">IF($S639="不存在",1,0)</f>
        <v>0</v>
      </c>
      <c r="AF639" s="44" t="str">
        <f aca="false">IF(OR($H639="—",$H639=""),"—",MATCH($H639,IDX_SrcID,0))</f>
        <v>—</v>
      </c>
      <c r="AG639" s="32" t="n">
        <f aca="false">IF(AND($P639="高",OR($AD639=1,$X639=1)),1,0)</f>
        <v>0</v>
      </c>
      <c r="AH639" s="32" t="n">
        <f aca="false">IF(AND($P639="高",$AG639=0,OR($F639&lt;&gt;"原始數據",$T639&lt;&gt;1)),1,0)</f>
        <v>0</v>
      </c>
      <c r="AI639" s="44" t="str">
        <f aca="false">IF(AND($P639="高",ISNUMBER($AF639)),INDEX(IDX_SrcDate,$AF639),"—")</f>
        <v>—</v>
      </c>
      <c r="AJ639" s="32" t="n">
        <f aca="false">IF(AND(ISTEXT($AI639),LEN($AI639)=10),IF(ISNUMBER(VALUE(SUBSTITUTE($AI639,"-",""))),VALUE(SUBSTITUTE($AI639,"-","")),0),0)</f>
        <v>0</v>
      </c>
    </row>
    <row r="640" customFormat="false" ht="69" hidden="false" customHeight="true" outlineLevel="0" collapsed="false">
      <c r="A640" s="30" t="s">
        <v>6376</v>
      </c>
      <c r="B640" s="205" t="s">
        <v>6367</v>
      </c>
      <c r="C640" s="30" t="s">
        <v>5608</v>
      </c>
      <c r="D640" s="30" t="s">
        <v>6377</v>
      </c>
      <c r="E640" s="243" t="s">
        <v>6378</v>
      </c>
      <c r="F640" s="30" t="s">
        <v>114</v>
      </c>
      <c r="G640" s="205" t="s">
        <v>97</v>
      </c>
      <c r="H640" s="30" t="s">
        <v>751</v>
      </c>
      <c r="I640" s="6" t="s">
        <v>751</v>
      </c>
      <c r="J640" s="30" t="s">
        <v>6370</v>
      </c>
      <c r="K640" s="33" t="n">
        <f aca="false">Cap_In!D227</f>
        <v>3</v>
      </c>
      <c r="L640" s="33" t="n">
        <f aca="false">Cap_In!E227</f>
        <v>5</v>
      </c>
      <c r="M640" s="30" t="s">
        <v>6379</v>
      </c>
      <c r="N640" s="6" t="s">
        <v>6380</v>
      </c>
      <c r="O640" s="6" t="s">
        <v>751</v>
      </c>
      <c r="P640" s="205" t="s">
        <v>4530</v>
      </c>
      <c r="Q640" s="33" t="n">
        <f aca="false">Cap_In!C227</f>
        <v>4</v>
      </c>
      <c r="R640" s="30" t="s">
        <v>751</v>
      </c>
      <c r="S640" s="44" t="str">
        <f aca="false">IF(ISNUMBER($AF640),INDEX(IDX_SrcStat,$AF640),"—")</f>
        <v>—</v>
      </c>
      <c r="T640" s="44" t="str">
        <f aca="false">IF(ISNUMBER($AF640),INDEX(IDX_SrcGrade,$AF640),"—")</f>
        <v>—</v>
      </c>
      <c r="U640" s="44" t="s">
        <v>4531</v>
      </c>
      <c r="V640" s="32" t="n">
        <f aca="false">IF(AND($F640="原始數據",$U640&lt;&gt;"連結 SRC"),1,0)</f>
        <v>0</v>
      </c>
      <c r="W640" s="32" t="n">
        <f aca="false">IF(AND($F640="Analogy",OR($H640="—",$H640="")),1,0)</f>
        <v>0</v>
      </c>
      <c r="X640" s="32" t="n">
        <f aca="false">IF(AND(OR($F640="Analogy",$F640="Assumed"),$G640&lt;&gt;"低",$G640&lt;&gt;"高",NOT(ISNUMBER($K640)),NOT(ISNUMBER($L640)),OR($M640="—",$M640="")),1,0)</f>
        <v>0</v>
      </c>
      <c r="Y640" s="32" t="n">
        <f aca="false">IF(AND(OR($F640="Analogy",$F640="Assumed",$F640="Derived（待改公式）",$F640="Derived（公式）"),OR($N640="—",$N640="",$N640=0)),1,0)</f>
        <v>0</v>
      </c>
      <c r="Z640" s="32" t="n">
        <f aca="false">IF(AND($F640="Decision",OR($J640="—",$J640="")),1,0)</f>
        <v>0</v>
      </c>
      <c r="AA640" s="33" t="n">
        <f aca="false">IF(OR($J640="—",$J640=""),0,IF(COUNTIF(Decisions!$A$5:$A$300,$J640)=0,1,0))</f>
        <v>0</v>
      </c>
      <c r="AB640" s="32" t="n">
        <f aca="false">IF(AND($F640="原始數據",$S640&lt;&gt;"Active"),1,0)</f>
        <v>0</v>
      </c>
      <c r="AC640" s="32" t="n">
        <f aca="false">IF(AND(ISNUMBER($K640),ISNUMBER($L640),ISNUMBER($Q640)),IF(OR($Q640&lt;MIN($K640,$L640),$Q640&gt;MAX($K640,$L640)),1,0),0)</f>
        <v>0</v>
      </c>
      <c r="AD640" s="32" t="n">
        <f aca="false">IF(AND(ISNUMBER($T640),$P640="高"),IF($T640=3,1,0),0)</f>
        <v>0</v>
      </c>
      <c r="AE640" s="32" t="n">
        <f aca="false">IF($S640="不存在",1,0)</f>
        <v>0</v>
      </c>
      <c r="AF640" s="44" t="str">
        <f aca="false">IF(OR($H640="—",$H640=""),"—",MATCH($H640,IDX_SrcID,0))</f>
        <v>—</v>
      </c>
      <c r="AG640" s="32" t="n">
        <f aca="false">IF(AND($P640="高",OR($AD640=1,$X640=1)),1,0)</f>
        <v>0</v>
      </c>
      <c r="AH640" s="32" t="n">
        <f aca="false">IF(AND($P640="高",$AG640=0,OR($F640&lt;&gt;"原始數據",$T640&lt;&gt;1)),1,0)</f>
        <v>0</v>
      </c>
      <c r="AI640" s="44" t="str">
        <f aca="false">IF(AND($P640="高",ISNUMBER($AF640)),INDEX(IDX_SrcDate,$AF640),"—")</f>
        <v>—</v>
      </c>
      <c r="AJ640" s="32" t="n">
        <f aca="false">IF(AND(ISTEXT($AI640),LEN($AI640)=10),IF(ISNUMBER(VALUE(SUBSTITUTE($AI640,"-",""))),VALUE(SUBSTITUTE($AI640,"-","")),0),0)</f>
        <v>0</v>
      </c>
    </row>
    <row r="641" customFormat="false" ht="69" hidden="false" customHeight="true" outlineLevel="0" collapsed="false">
      <c r="A641" s="30" t="s">
        <v>6381</v>
      </c>
      <c r="B641" s="205" t="s">
        <v>6367</v>
      </c>
      <c r="C641" s="30" t="s">
        <v>5608</v>
      </c>
      <c r="D641" s="30" t="s">
        <v>6382</v>
      </c>
      <c r="E641" s="243" t="s">
        <v>6378</v>
      </c>
      <c r="F641" s="30" t="s">
        <v>114</v>
      </c>
      <c r="G641" s="205" t="s">
        <v>5614</v>
      </c>
      <c r="H641" s="30" t="s">
        <v>751</v>
      </c>
      <c r="I641" s="6" t="s">
        <v>751</v>
      </c>
      <c r="J641" s="30" t="s">
        <v>6370</v>
      </c>
      <c r="K641" s="205"/>
      <c r="L641" s="205"/>
      <c r="M641" s="30" t="s">
        <v>6383</v>
      </c>
      <c r="N641" s="6" t="s">
        <v>6380</v>
      </c>
      <c r="O641" s="6" t="s">
        <v>751</v>
      </c>
      <c r="P641" s="205" t="s">
        <v>4530</v>
      </c>
      <c r="Q641" s="184" t="s">
        <v>751</v>
      </c>
      <c r="R641" s="30" t="s">
        <v>751</v>
      </c>
      <c r="S641" s="44" t="str">
        <f aca="false">IF(ISNUMBER($AF641),INDEX(IDX_SrcStat,$AF641),"—")</f>
        <v>—</v>
      </c>
      <c r="T641" s="44" t="str">
        <f aca="false">IF(ISNUMBER($AF641),INDEX(IDX_SrcGrade,$AF641),"—")</f>
        <v>—</v>
      </c>
      <c r="U641" s="30" t="s">
        <v>751</v>
      </c>
      <c r="V641" s="32" t="n">
        <f aca="false">IF(AND($F641="原始數據",$U641&lt;&gt;"連結 SRC"),1,0)</f>
        <v>0</v>
      </c>
      <c r="W641" s="32" t="n">
        <f aca="false">IF(AND($F641="Analogy",OR($H641="—",$H641="")),1,0)</f>
        <v>0</v>
      </c>
      <c r="X641" s="32" t="n">
        <f aca="false">IF(AND(OR($F641="Analogy",$F641="Assumed"),$G641&lt;&gt;"低",$G641&lt;&gt;"高",NOT(ISNUMBER($K641)),NOT(ISNUMBER($L641)),OR($M641="—",$M641="")),1,0)</f>
        <v>0</v>
      </c>
      <c r="Y641" s="32" t="n">
        <f aca="false">IF(AND(OR($F641="Analogy",$F641="Assumed",$F641="Derived（待改公式）",$F641="Derived（公式）"),OR($N641="—",$N641="",$N641=0)),1,0)</f>
        <v>0</v>
      </c>
      <c r="Z641" s="32" t="n">
        <f aca="false">IF(AND($F641="Decision",OR($J641="—",$J641="")),1,0)</f>
        <v>0</v>
      </c>
      <c r="AA641" s="33" t="n">
        <f aca="false">IF(OR($J641="—",$J641=""),0,IF(COUNTIF(Decisions!$A$5:$A$300,$J641)=0,1,0))</f>
        <v>0</v>
      </c>
      <c r="AB641" s="32" t="n">
        <f aca="false">IF(AND($F641="原始數據",$S641&lt;&gt;"Active"),1,0)</f>
        <v>0</v>
      </c>
      <c r="AC641" s="32" t="n">
        <f aca="false">IF(AND(ISNUMBER($K641),ISNUMBER($L641),ISNUMBER($Q641)),IF(OR($Q641&lt;MIN($K641,$L641),$Q641&gt;MAX($K641,$L641)),1,0),0)</f>
        <v>0</v>
      </c>
      <c r="AD641" s="32" t="n">
        <f aca="false">IF(AND(ISNUMBER($T641),$P641="高"),IF($T641=3,1,0),0)</f>
        <v>0</v>
      </c>
      <c r="AE641" s="32" t="n">
        <f aca="false">IF($S641="不存在",1,0)</f>
        <v>0</v>
      </c>
      <c r="AF641" s="44" t="str">
        <f aca="false">IF(OR($H641="—",$H641=""),"—",MATCH($H641,IDX_SrcID,0))</f>
        <v>—</v>
      </c>
      <c r="AG641" s="32" t="n">
        <f aca="false">IF(AND($P641="高",OR($AD641=1,$X641=1)),1,0)</f>
        <v>0</v>
      </c>
      <c r="AH641" s="32" t="n">
        <f aca="false">IF(AND($P641="高",$AG641=0,OR($F641&lt;&gt;"原始數據",$T641&lt;&gt;1)),1,0)</f>
        <v>0</v>
      </c>
      <c r="AI641" s="44" t="str">
        <f aca="false">IF(AND($P641="高",ISNUMBER($AF641)),INDEX(IDX_SrcDate,$AF641),"—")</f>
        <v>—</v>
      </c>
      <c r="AJ641" s="32" t="n">
        <f aca="false">IF(AND(ISTEXT($AI641),LEN($AI641)=10),IF(ISNUMBER(VALUE(SUBSTITUTE($AI641,"-",""))),VALUE(SUBSTITUTE($AI641,"-","")),0),0)</f>
        <v>0</v>
      </c>
    </row>
    <row r="642" customFormat="false" ht="57.75" hidden="false" customHeight="true" outlineLevel="0" collapsed="false">
      <c r="A642" s="30" t="s">
        <v>6384</v>
      </c>
      <c r="B642" s="205" t="s">
        <v>6367</v>
      </c>
      <c r="C642" s="30" t="s">
        <v>5608</v>
      </c>
      <c r="D642" s="30" t="s">
        <v>6385</v>
      </c>
      <c r="E642" s="243" t="s">
        <v>6386</v>
      </c>
      <c r="F642" s="30" t="s">
        <v>114</v>
      </c>
      <c r="G642" s="205" t="s">
        <v>97</v>
      </c>
      <c r="H642" s="30" t="s">
        <v>751</v>
      </c>
      <c r="I642" s="6" t="s">
        <v>751</v>
      </c>
      <c r="J642" s="30" t="s">
        <v>6370</v>
      </c>
      <c r="K642" s="214" t="n">
        <f aca="false">Cap_In!D228</f>
        <v>0.05</v>
      </c>
      <c r="L642" s="214" t="n">
        <f aca="false">Cap_In!E228</f>
        <v>1</v>
      </c>
      <c r="M642" s="30" t="s">
        <v>6387</v>
      </c>
      <c r="N642" s="6" t="s">
        <v>6388</v>
      </c>
      <c r="O642" s="6" t="s">
        <v>751</v>
      </c>
      <c r="P642" s="205" t="s">
        <v>4530</v>
      </c>
      <c r="Q642" s="214" t="n">
        <f aca="false">Cap_In!C228</f>
        <v>0.5</v>
      </c>
      <c r="R642" s="30" t="s">
        <v>751</v>
      </c>
      <c r="S642" s="44" t="str">
        <f aca="false">IF(ISNUMBER($AF642),INDEX(IDX_SrcStat,$AF642),"—")</f>
        <v>—</v>
      </c>
      <c r="T642" s="44" t="str">
        <f aca="false">IF(ISNUMBER($AF642),INDEX(IDX_SrcGrade,$AF642),"—")</f>
        <v>—</v>
      </c>
      <c r="U642" s="44" t="s">
        <v>4531</v>
      </c>
      <c r="V642" s="32" t="n">
        <f aca="false">IF(AND($F642="原始數據",$U642&lt;&gt;"連結 SRC"),1,0)</f>
        <v>0</v>
      </c>
      <c r="W642" s="32" t="n">
        <f aca="false">IF(AND($F642="Analogy",OR($H642="—",$H642="")),1,0)</f>
        <v>0</v>
      </c>
      <c r="X642" s="32" t="n">
        <f aca="false">IF(AND(OR($F642="Analogy",$F642="Assumed"),$G642&lt;&gt;"低",$G642&lt;&gt;"高",NOT(ISNUMBER($K642)),NOT(ISNUMBER($L642)),OR($M642="—",$M642="")),1,0)</f>
        <v>0</v>
      </c>
      <c r="Y642" s="32" t="n">
        <f aca="false">IF(AND(OR($F642="Analogy",$F642="Assumed",$F642="Derived（待改公式）",$F642="Derived（公式）"),OR($N642="—",$N642="",$N642=0)),1,0)</f>
        <v>0</v>
      </c>
      <c r="Z642" s="32" t="n">
        <f aca="false">IF(AND($F642="Decision",OR($J642="—",$J642="")),1,0)</f>
        <v>0</v>
      </c>
      <c r="AA642" s="33" t="n">
        <f aca="false">IF(OR($J642="—",$J642=""),0,IF(COUNTIF(Decisions!$A$5:$A$300,$J642)=0,1,0))</f>
        <v>0</v>
      </c>
      <c r="AB642" s="32" t="n">
        <f aca="false">IF(AND($F642="原始數據",$S642&lt;&gt;"Active"),1,0)</f>
        <v>0</v>
      </c>
      <c r="AC642" s="32" t="n">
        <f aca="false">IF(AND(ISNUMBER($K642),ISNUMBER($L642),ISNUMBER($Q642)),IF(OR($Q642&lt;MIN($K642,$L642),$Q642&gt;MAX($K642,$L642)),1,0),0)</f>
        <v>0</v>
      </c>
      <c r="AD642" s="32" t="n">
        <f aca="false">IF(AND(ISNUMBER($T642),$P642="高"),IF($T642=3,1,0),0)</f>
        <v>0</v>
      </c>
      <c r="AE642" s="32" t="n">
        <f aca="false">IF($S642="不存在",1,0)</f>
        <v>0</v>
      </c>
      <c r="AF642" s="44" t="str">
        <f aca="false">IF(OR($H642="—",$H642=""),"—",MATCH($H642,IDX_SrcID,0))</f>
        <v>—</v>
      </c>
      <c r="AG642" s="32" t="n">
        <f aca="false">IF(AND($P642="高",OR($AD642=1,$X642=1)),1,0)</f>
        <v>0</v>
      </c>
      <c r="AH642" s="32" t="n">
        <f aca="false">IF(AND($P642="高",$AG642=0,OR($F642&lt;&gt;"原始數據",$T642&lt;&gt;1)),1,0)</f>
        <v>0</v>
      </c>
      <c r="AI642" s="44" t="str">
        <f aca="false">IF(AND($P642="高",ISNUMBER($AF642)),INDEX(IDX_SrcDate,$AF642),"—")</f>
        <v>—</v>
      </c>
      <c r="AJ642" s="32" t="n">
        <f aca="false">IF(AND(ISTEXT($AI642),LEN($AI642)=10),IF(ISNUMBER(VALUE(SUBSTITUTE($AI642,"-",""))),VALUE(SUBSTITUTE($AI642,"-","")),0),0)</f>
        <v>0</v>
      </c>
    </row>
    <row r="643" customFormat="false" ht="57.75" hidden="false" customHeight="true" outlineLevel="0" collapsed="false">
      <c r="A643" s="30" t="s">
        <v>6389</v>
      </c>
      <c r="B643" s="205" t="s">
        <v>6367</v>
      </c>
      <c r="C643" s="30" t="s">
        <v>5608</v>
      </c>
      <c r="D643" s="30" t="s">
        <v>6390</v>
      </c>
      <c r="E643" s="243" t="s">
        <v>6386</v>
      </c>
      <c r="F643" s="30" t="s">
        <v>114</v>
      </c>
      <c r="G643" s="205" t="s">
        <v>1309</v>
      </c>
      <c r="H643" s="30" t="s">
        <v>751</v>
      </c>
      <c r="I643" s="6" t="s">
        <v>751</v>
      </c>
      <c r="J643" s="30" t="s">
        <v>6370</v>
      </c>
      <c r="K643" s="205"/>
      <c r="L643" s="205"/>
      <c r="M643" s="30" t="s">
        <v>6391</v>
      </c>
      <c r="N643" s="6" t="s">
        <v>6388</v>
      </c>
      <c r="O643" s="6" t="s">
        <v>751</v>
      </c>
      <c r="P643" s="205" t="s">
        <v>4530</v>
      </c>
      <c r="Q643" s="214" t="n">
        <f aca="false">Cap_In!E228</f>
        <v>1</v>
      </c>
      <c r="R643" s="30" t="s">
        <v>751</v>
      </c>
      <c r="S643" s="44" t="str">
        <f aca="false">IF(ISNUMBER($AF643),INDEX(IDX_SrcStat,$AF643),"—")</f>
        <v>—</v>
      </c>
      <c r="T643" s="44" t="str">
        <f aca="false">IF(ISNUMBER($AF643),INDEX(IDX_SrcGrade,$AF643),"—")</f>
        <v>—</v>
      </c>
      <c r="U643" s="44" t="s">
        <v>4531</v>
      </c>
      <c r="V643" s="32" t="n">
        <f aca="false">IF(AND($F643="原始數據",$U643&lt;&gt;"連結 SRC"),1,0)</f>
        <v>0</v>
      </c>
      <c r="W643" s="32" t="n">
        <f aca="false">IF(AND($F643="Analogy",OR($H643="—",$H643="")),1,0)</f>
        <v>0</v>
      </c>
      <c r="X643" s="32" t="n">
        <f aca="false">IF(AND(OR($F643="Analogy",$F643="Assumed"),$G643&lt;&gt;"低",$G643&lt;&gt;"高",NOT(ISNUMBER($K643)),NOT(ISNUMBER($L643)),OR($M643="—",$M643="")),1,0)</f>
        <v>0</v>
      </c>
      <c r="Y643" s="32" t="n">
        <f aca="false">IF(AND(OR($F643="Analogy",$F643="Assumed",$F643="Derived（待改公式）",$F643="Derived（公式）"),OR($N643="—",$N643="",$N643=0)),1,0)</f>
        <v>0</v>
      </c>
      <c r="Z643" s="32" t="n">
        <f aca="false">IF(AND($F643="Decision",OR($J643="—",$J643="")),1,0)</f>
        <v>0</v>
      </c>
      <c r="AA643" s="33" t="n">
        <f aca="false">IF(OR($J643="—",$J643=""),0,IF(COUNTIF(Decisions!$A$5:$A$300,$J643)=0,1,0))</f>
        <v>0</v>
      </c>
      <c r="AB643" s="32" t="n">
        <f aca="false">IF(AND($F643="原始數據",$S643&lt;&gt;"Active"),1,0)</f>
        <v>0</v>
      </c>
      <c r="AC643" s="32" t="n">
        <f aca="false">IF(AND(ISNUMBER($K643),ISNUMBER($L643),ISNUMBER($Q643)),IF(OR($Q643&lt;MIN($K643,$L643),$Q643&gt;MAX($K643,$L643)),1,0),0)</f>
        <v>0</v>
      </c>
      <c r="AD643" s="32" t="n">
        <f aca="false">IF(AND(ISNUMBER($T643),$P643="高"),IF($T643=3,1,0),0)</f>
        <v>0</v>
      </c>
      <c r="AE643" s="32" t="n">
        <f aca="false">IF($S643="不存在",1,0)</f>
        <v>0</v>
      </c>
      <c r="AF643" s="44" t="str">
        <f aca="false">IF(OR($H643="—",$H643=""),"—",MATCH($H643,IDX_SrcID,0))</f>
        <v>—</v>
      </c>
      <c r="AG643" s="32" t="n">
        <f aca="false">IF(AND($P643="高",OR($AD643=1,$X643=1)),1,0)</f>
        <v>0</v>
      </c>
      <c r="AH643" s="32" t="n">
        <f aca="false">IF(AND($P643="高",$AG643=0,OR($F643&lt;&gt;"原始數據",$T643&lt;&gt;1)),1,0)</f>
        <v>0</v>
      </c>
      <c r="AI643" s="44" t="str">
        <f aca="false">IF(AND($P643="高",ISNUMBER($AF643)),INDEX(IDX_SrcDate,$AF643),"—")</f>
        <v>—</v>
      </c>
      <c r="AJ643" s="32" t="n">
        <f aca="false">IF(AND(ISTEXT($AI643),LEN($AI643)=10),IF(ISNUMBER(VALUE(SUBSTITUTE($AI643,"-",""))),VALUE(SUBSTITUTE($AI643,"-","")),0),0)</f>
        <v>0</v>
      </c>
    </row>
    <row r="644" customFormat="false" ht="57.75" hidden="false" customHeight="true" outlineLevel="0" collapsed="false">
      <c r="A644" s="30" t="s">
        <v>6392</v>
      </c>
      <c r="B644" s="205" t="s">
        <v>6393</v>
      </c>
      <c r="C644" s="30" t="s">
        <v>5608</v>
      </c>
      <c r="D644" s="30" t="s">
        <v>6394</v>
      </c>
      <c r="E644" s="243" t="s">
        <v>6395</v>
      </c>
      <c r="F644" s="30" t="s">
        <v>114</v>
      </c>
      <c r="G644" s="205" t="s">
        <v>4527</v>
      </c>
      <c r="H644" s="30" t="s">
        <v>6396</v>
      </c>
      <c r="I644" s="243" t="s">
        <v>6397</v>
      </c>
      <c r="J644" s="30" t="s">
        <v>6398</v>
      </c>
      <c r="K644" s="241" t="n">
        <v>0</v>
      </c>
      <c r="L644" s="241" t="n">
        <v>0.2</v>
      </c>
      <c r="M644" s="205" t="s">
        <v>6399</v>
      </c>
      <c r="N644" s="6" t="s">
        <v>6400</v>
      </c>
      <c r="O644" s="6" t="s">
        <v>751</v>
      </c>
      <c r="P644" s="205" t="s">
        <v>4530</v>
      </c>
      <c r="Q644" s="46" t="n">
        <f aca="false">Cap_In!D186</f>
        <v>0</v>
      </c>
      <c r="R644" s="184" t="n">
        <f aca="false">SRC_DEM_072</f>
        <v>1</v>
      </c>
      <c r="S644" s="44" t="str">
        <f aca="false">IF(ISNUMBER($AF644),INDEX(IDX_SrcStat,$AF644),"—")</f>
        <v>Active</v>
      </c>
      <c r="T644" s="44" t="n">
        <f aca="false">IF(ISNUMBER($AF644),INDEX(IDX_SrcGrade,$AF644),"—")</f>
        <v>2</v>
      </c>
      <c r="U644" s="44" t="s">
        <v>4531</v>
      </c>
      <c r="V644" s="32" t="n">
        <f aca="false">IF(AND($F644="原始數據",$U644&lt;&gt;"連結 SRC"),1,0)</f>
        <v>0</v>
      </c>
      <c r="W644" s="32" t="n">
        <f aca="false">IF(AND($F644="Analogy",OR($H644="—",$H644="")),1,0)</f>
        <v>0</v>
      </c>
      <c r="X644" s="32" t="n">
        <f aca="false">IF(AND(OR($F644="Analogy",$F644="Assumed"),$G644&lt;&gt;"低",$G644&lt;&gt;"高",NOT(ISNUMBER($K644)),NOT(ISNUMBER($L644)),OR($M644="—",$M644="")),1,0)</f>
        <v>0</v>
      </c>
      <c r="Y644" s="32" t="n">
        <f aca="false">IF(AND(OR($F644="Analogy",$F644="Assumed",$F644="Derived（待改公式）",$F644="Derived（公式）"),OR($N644="—",$N644="",$N644=0)),1,0)</f>
        <v>0</v>
      </c>
      <c r="Z644" s="32" t="n">
        <f aca="false">IF(AND($F644="Decision",OR($J644="—",$J644="")),1,0)</f>
        <v>0</v>
      </c>
      <c r="AA644" s="33" t="n">
        <f aca="false">IF(OR($J644="—",$J644=""),0,IF(COUNTIF(Decisions!$A$5:$A$300,$J644)=0,1,0))</f>
        <v>0</v>
      </c>
      <c r="AB644" s="32" t="n">
        <f aca="false">IF(AND($F644="原始數據",$S644&lt;&gt;"Active"),1,0)</f>
        <v>0</v>
      </c>
      <c r="AC644" s="32" t="n">
        <f aca="false">IF(AND(ISNUMBER($K644),ISNUMBER($L644),ISNUMBER($Q644)),IF(OR($Q644&lt;MIN($K644,$L644),$Q644&gt;MAX($K644,$L644)),1,0),0)</f>
        <v>0</v>
      </c>
      <c r="AD644" s="32" t="n">
        <f aca="false">IF(AND(ISNUMBER($T644),$P644="高"),IF($T644=3,1,0),0)</f>
        <v>0</v>
      </c>
      <c r="AE644" s="32" t="n">
        <f aca="false">IF($S644="不存在",1,0)</f>
        <v>0</v>
      </c>
      <c r="AF644" s="44" t="n">
        <f aca="false">IF(OR($H644="—",$H644=""),"—",MATCH($H644,IDX_SrcID,0))</f>
        <v>725</v>
      </c>
      <c r="AG644" s="32" t="n">
        <f aca="false">IF(AND($P644="高",OR($AD644=1,$X644=1)),1,0)</f>
        <v>0</v>
      </c>
      <c r="AH644" s="32" t="n">
        <f aca="false">IF(AND($P644="高",$AG644=0,OR($F644&lt;&gt;"原始數據",$T644&lt;&gt;1)),1,0)</f>
        <v>0</v>
      </c>
      <c r="AI644" s="44" t="str">
        <f aca="false">IF(AND($P644="高",ISNUMBER($AF644)),INDEX(IDX_SrcDate,$AF644),"—")</f>
        <v>—</v>
      </c>
      <c r="AJ644" s="32" t="n">
        <f aca="false">IF(AND(ISTEXT($AI644),LEN($AI644)=10),IF(ISNUMBER(VALUE(SUBSTITUTE($AI644,"-",""))),VALUE(SUBSTITUTE($AI644,"-","")),0),0)</f>
        <v>0</v>
      </c>
    </row>
    <row r="645" customFormat="false" ht="57.75" hidden="false" customHeight="true" outlineLevel="0" collapsed="false">
      <c r="A645" s="30" t="s">
        <v>6401</v>
      </c>
      <c r="B645" s="205" t="s">
        <v>6393</v>
      </c>
      <c r="C645" s="30" t="s">
        <v>5608</v>
      </c>
      <c r="D645" s="30" t="s">
        <v>6402</v>
      </c>
      <c r="E645" s="243" t="s">
        <v>6395</v>
      </c>
      <c r="F645" s="30" t="s">
        <v>114</v>
      </c>
      <c r="G645" s="205" t="s">
        <v>4527</v>
      </c>
      <c r="H645" s="30" t="s">
        <v>6396</v>
      </c>
      <c r="I645" s="243" t="s">
        <v>6397</v>
      </c>
      <c r="J645" s="30" t="s">
        <v>6398</v>
      </c>
      <c r="K645" s="241" t="n">
        <v>0.3</v>
      </c>
      <c r="L645" s="241" t="n">
        <v>0.8</v>
      </c>
      <c r="M645" s="205" t="s">
        <v>6403</v>
      </c>
      <c r="N645" s="6" t="s">
        <v>6400</v>
      </c>
      <c r="O645" s="6" t="s">
        <v>751</v>
      </c>
      <c r="P645" s="205" t="s">
        <v>4530</v>
      </c>
      <c r="Q645" s="46" t="n">
        <f aca="false">Cap_In!E186</f>
        <v>0.5</v>
      </c>
      <c r="R645" s="184" t="n">
        <f aca="false">SRC_DEM_072</f>
        <v>1</v>
      </c>
      <c r="S645" s="44" t="str">
        <f aca="false">IF(ISNUMBER($AF645),INDEX(IDX_SrcStat,$AF645),"—")</f>
        <v>Active</v>
      </c>
      <c r="T645" s="44" t="n">
        <f aca="false">IF(ISNUMBER($AF645),INDEX(IDX_SrcGrade,$AF645),"—")</f>
        <v>2</v>
      </c>
      <c r="U645" s="44" t="s">
        <v>4531</v>
      </c>
      <c r="V645" s="32" t="n">
        <f aca="false">IF(AND($F645="原始數據",$U645&lt;&gt;"連結 SRC"),1,0)</f>
        <v>0</v>
      </c>
      <c r="W645" s="32" t="n">
        <f aca="false">IF(AND($F645="Analogy",OR($H645="—",$H645="")),1,0)</f>
        <v>0</v>
      </c>
      <c r="X645" s="32" t="n">
        <f aca="false">IF(AND(OR($F645="Analogy",$F645="Assumed"),$G645&lt;&gt;"低",$G645&lt;&gt;"高",NOT(ISNUMBER($K645)),NOT(ISNUMBER($L645)),OR($M645="—",$M645="")),1,0)</f>
        <v>0</v>
      </c>
      <c r="Y645" s="32" t="n">
        <f aca="false">IF(AND(OR($F645="Analogy",$F645="Assumed",$F645="Derived（待改公式）",$F645="Derived（公式）"),OR($N645="—",$N645="",$N645=0)),1,0)</f>
        <v>0</v>
      </c>
      <c r="Z645" s="32" t="n">
        <f aca="false">IF(AND($F645="Decision",OR($J645="—",$J645="")),1,0)</f>
        <v>0</v>
      </c>
      <c r="AA645" s="33" t="n">
        <f aca="false">IF(OR($J645="—",$J645=""),0,IF(COUNTIF(Decisions!$A$5:$A$300,$J645)=0,1,0))</f>
        <v>0</v>
      </c>
      <c r="AB645" s="32" t="n">
        <f aca="false">IF(AND($F645="原始數據",$S645&lt;&gt;"Active"),1,0)</f>
        <v>0</v>
      </c>
      <c r="AC645" s="32" t="n">
        <f aca="false">IF(AND(ISNUMBER($K645),ISNUMBER($L645),ISNUMBER($Q645)),IF(OR($Q645&lt;MIN($K645,$L645),$Q645&gt;MAX($K645,$L645)),1,0),0)</f>
        <v>0</v>
      </c>
      <c r="AD645" s="32" t="n">
        <f aca="false">IF(AND(ISNUMBER($T645),$P645="高"),IF($T645=3,1,0),0)</f>
        <v>0</v>
      </c>
      <c r="AE645" s="32" t="n">
        <f aca="false">IF($S645="不存在",1,0)</f>
        <v>0</v>
      </c>
      <c r="AF645" s="44" t="n">
        <f aca="false">IF(OR($H645="—",$H645=""),"—",MATCH($H645,IDX_SrcID,0))</f>
        <v>725</v>
      </c>
      <c r="AG645" s="32" t="n">
        <f aca="false">IF(AND($P645="高",OR($AD645=1,$X645=1)),1,0)</f>
        <v>0</v>
      </c>
      <c r="AH645" s="32" t="n">
        <f aca="false">IF(AND($P645="高",$AG645=0,OR($F645&lt;&gt;"原始數據",$T645&lt;&gt;1)),1,0)</f>
        <v>0</v>
      </c>
      <c r="AI645" s="44" t="str">
        <f aca="false">IF(AND($P645="高",ISNUMBER($AF645)),INDEX(IDX_SrcDate,$AF645),"—")</f>
        <v>—</v>
      </c>
      <c r="AJ645" s="32" t="n">
        <f aca="false">IF(AND(ISTEXT($AI645),LEN($AI645)=10),IF(ISNUMBER(VALUE(SUBSTITUTE($AI645,"-",""))),VALUE(SUBSTITUTE($AI645,"-","")),0),0)</f>
        <v>0</v>
      </c>
    </row>
    <row r="646" customFormat="false" ht="57.75" hidden="false" customHeight="true" outlineLevel="0" collapsed="false">
      <c r="A646" s="30" t="s">
        <v>6404</v>
      </c>
      <c r="B646" s="205" t="s">
        <v>6393</v>
      </c>
      <c r="C646" s="30" t="s">
        <v>5608</v>
      </c>
      <c r="D646" s="30" t="s">
        <v>6405</v>
      </c>
      <c r="E646" s="243" t="s">
        <v>6395</v>
      </c>
      <c r="F646" s="30" t="s">
        <v>114</v>
      </c>
      <c r="G646" s="205" t="s">
        <v>4527</v>
      </c>
      <c r="H646" s="30" t="s">
        <v>6396</v>
      </c>
      <c r="I646" s="243" t="s">
        <v>6397</v>
      </c>
      <c r="J646" s="30" t="s">
        <v>6398</v>
      </c>
      <c r="K646" s="241" t="n">
        <v>0.5</v>
      </c>
      <c r="L646" s="241" t="n">
        <v>1.5</v>
      </c>
      <c r="M646" s="205" t="s">
        <v>6406</v>
      </c>
      <c r="N646" s="6" t="s">
        <v>6400</v>
      </c>
      <c r="O646" s="6" t="s">
        <v>751</v>
      </c>
      <c r="P646" s="205" t="s">
        <v>4530</v>
      </c>
      <c r="Q646" s="46" t="n">
        <f aca="false">Cap_In!F186</f>
        <v>1</v>
      </c>
      <c r="R646" s="184" t="n">
        <f aca="false">SRC_DEM_072</f>
        <v>1</v>
      </c>
      <c r="S646" s="44" t="str">
        <f aca="false">IF(ISNUMBER($AF646),INDEX(IDX_SrcStat,$AF646),"—")</f>
        <v>Active</v>
      </c>
      <c r="T646" s="44" t="n">
        <f aca="false">IF(ISNUMBER($AF646),INDEX(IDX_SrcGrade,$AF646),"—")</f>
        <v>2</v>
      </c>
      <c r="U646" s="44" t="s">
        <v>4531</v>
      </c>
      <c r="V646" s="32" t="n">
        <f aca="false">IF(AND($F646="原始數據",$U646&lt;&gt;"連結 SRC"),1,0)</f>
        <v>0</v>
      </c>
      <c r="W646" s="32" t="n">
        <f aca="false">IF(AND($F646="Analogy",OR($H646="—",$H646="")),1,0)</f>
        <v>0</v>
      </c>
      <c r="X646" s="32" t="n">
        <f aca="false">IF(AND(OR($F646="Analogy",$F646="Assumed"),$G646&lt;&gt;"低",$G646&lt;&gt;"高",NOT(ISNUMBER($K646)),NOT(ISNUMBER($L646)),OR($M646="—",$M646="")),1,0)</f>
        <v>0</v>
      </c>
      <c r="Y646" s="32" t="n">
        <f aca="false">IF(AND(OR($F646="Analogy",$F646="Assumed",$F646="Derived（待改公式）",$F646="Derived（公式）"),OR($N646="—",$N646="",$N646=0)),1,0)</f>
        <v>0</v>
      </c>
      <c r="Z646" s="32" t="n">
        <f aca="false">IF(AND($F646="Decision",OR($J646="—",$J646="")),1,0)</f>
        <v>0</v>
      </c>
      <c r="AA646" s="33" t="n">
        <f aca="false">IF(OR($J646="—",$J646=""),0,IF(COUNTIF(Decisions!$A$5:$A$300,$J646)=0,1,0))</f>
        <v>0</v>
      </c>
      <c r="AB646" s="32" t="n">
        <f aca="false">IF(AND($F646="原始數據",$S646&lt;&gt;"Active"),1,0)</f>
        <v>0</v>
      </c>
      <c r="AC646" s="32" t="n">
        <f aca="false">IF(AND(ISNUMBER($K646),ISNUMBER($L646),ISNUMBER($Q646)),IF(OR($Q646&lt;MIN($K646,$L646),$Q646&gt;MAX($K646,$L646)),1,0),0)</f>
        <v>0</v>
      </c>
      <c r="AD646" s="32" t="n">
        <f aca="false">IF(AND(ISNUMBER($T646),$P646="高"),IF($T646=3,1,0),0)</f>
        <v>0</v>
      </c>
      <c r="AE646" s="32" t="n">
        <f aca="false">IF($S646="不存在",1,0)</f>
        <v>0</v>
      </c>
      <c r="AF646" s="44" t="n">
        <f aca="false">IF(OR($H646="—",$H646=""),"—",MATCH($H646,IDX_SrcID,0))</f>
        <v>725</v>
      </c>
      <c r="AG646" s="32" t="n">
        <f aca="false">IF(AND($P646="高",OR($AD646=1,$X646=1)),1,0)</f>
        <v>0</v>
      </c>
      <c r="AH646" s="32" t="n">
        <f aca="false">IF(AND($P646="高",$AG646=0,OR($F646&lt;&gt;"原始數據",$T646&lt;&gt;1)),1,0)</f>
        <v>0</v>
      </c>
      <c r="AI646" s="44" t="str">
        <f aca="false">IF(AND($P646="高",ISNUMBER($AF646)),INDEX(IDX_SrcDate,$AF646),"—")</f>
        <v>—</v>
      </c>
      <c r="AJ646" s="32" t="n">
        <f aca="false">IF(AND(ISTEXT($AI646),LEN($AI646)=10),IF(ISNUMBER(VALUE(SUBSTITUTE($AI646,"-",""))),VALUE(SUBSTITUTE($AI646,"-","")),0),0)</f>
        <v>0</v>
      </c>
    </row>
    <row r="647" customFormat="false" ht="72" hidden="false" customHeight="true" outlineLevel="0" collapsed="false">
      <c r="A647" s="30" t="s">
        <v>6407</v>
      </c>
      <c r="B647" s="205" t="s">
        <v>6393</v>
      </c>
      <c r="C647" s="30" t="s">
        <v>5608</v>
      </c>
      <c r="D647" s="30" t="s">
        <v>6408</v>
      </c>
      <c r="E647" s="6" t="s">
        <v>1712</v>
      </c>
      <c r="F647" s="30" t="s">
        <v>114</v>
      </c>
      <c r="G647" s="205" t="s">
        <v>4527</v>
      </c>
      <c r="H647" s="30" t="s">
        <v>751</v>
      </c>
      <c r="I647" s="6" t="s">
        <v>751</v>
      </c>
      <c r="J647" s="30" t="s">
        <v>6398</v>
      </c>
      <c r="K647" s="241" t="n">
        <v>0.5</v>
      </c>
      <c r="L647" s="241" t="n">
        <v>0.8</v>
      </c>
      <c r="M647" s="205" t="s">
        <v>6409</v>
      </c>
      <c r="N647" s="6" t="s">
        <v>6410</v>
      </c>
      <c r="O647" s="6" t="s">
        <v>751</v>
      </c>
      <c r="P647" s="205" t="s">
        <v>4530</v>
      </c>
      <c r="Q647" s="196" t="n">
        <f aca="false">Cap_In!D200</f>
        <v>0.65</v>
      </c>
      <c r="R647" s="30" t="s">
        <v>751</v>
      </c>
      <c r="S647" s="44" t="str">
        <f aca="false">IF(ISNUMBER($AF647),INDEX(IDX_SrcStat,$AF647),"—")</f>
        <v>—</v>
      </c>
      <c r="T647" s="44" t="str">
        <f aca="false">IF(ISNUMBER($AF647),INDEX(IDX_SrcGrade,$AF647),"—")</f>
        <v>—</v>
      </c>
      <c r="U647" s="44" t="s">
        <v>4531</v>
      </c>
      <c r="V647" s="32" t="n">
        <f aca="false">IF(AND($F647="原始數據",$U647&lt;&gt;"連結 SRC"),1,0)</f>
        <v>0</v>
      </c>
      <c r="W647" s="32" t="n">
        <f aca="false">IF(AND($F647="Analogy",OR($H647="—",$H647="")),1,0)</f>
        <v>0</v>
      </c>
      <c r="X647" s="32" t="n">
        <f aca="false">IF(AND(OR($F647="Analogy",$F647="Assumed"),$G647&lt;&gt;"低",$G647&lt;&gt;"高",NOT(ISNUMBER($K647)),NOT(ISNUMBER($L647)),OR($M647="—",$M647="")),1,0)</f>
        <v>0</v>
      </c>
      <c r="Y647" s="32" t="n">
        <f aca="false">IF(AND(OR($F647="Analogy",$F647="Assumed",$F647="Derived（待改公式）",$F647="Derived（公式）"),OR($N647="—",$N647="",$N647=0)),1,0)</f>
        <v>0</v>
      </c>
      <c r="Z647" s="32" t="n">
        <f aca="false">IF(AND($F647="Decision",OR($J647="—",$J647="")),1,0)</f>
        <v>0</v>
      </c>
      <c r="AA647" s="33" t="n">
        <f aca="false">IF(OR($J647="—",$J647=""),0,IF(COUNTIF(Decisions!$A$5:$A$300,$J647)=0,1,0))</f>
        <v>0</v>
      </c>
      <c r="AB647" s="32" t="n">
        <f aca="false">IF(AND($F647="原始數據",$S647&lt;&gt;"Active"),1,0)</f>
        <v>0</v>
      </c>
      <c r="AC647" s="32" t="n">
        <f aca="false">IF(AND(ISNUMBER($K647),ISNUMBER($L647),ISNUMBER($Q647)),IF(OR($Q647&lt;MIN($K647,$L647),$Q647&gt;MAX($K647,$L647)),1,0),0)</f>
        <v>0</v>
      </c>
      <c r="AD647" s="32" t="n">
        <f aca="false">IF(AND(ISNUMBER($T647),$P647="高"),IF($T647=3,1,0),0)</f>
        <v>0</v>
      </c>
      <c r="AE647" s="32" t="n">
        <f aca="false">IF($S647="不存在",1,0)</f>
        <v>0</v>
      </c>
      <c r="AF647" s="44" t="str">
        <f aca="false">IF(OR($H647="—",$H647=""),"—",MATCH($H647,IDX_SrcID,0))</f>
        <v>—</v>
      </c>
      <c r="AG647" s="32" t="n">
        <f aca="false">IF(AND($P647="高",OR($AD647=1,$X647=1)),1,0)</f>
        <v>0</v>
      </c>
      <c r="AH647" s="32" t="n">
        <f aca="false">IF(AND($P647="高",$AG647=0,OR($F647&lt;&gt;"原始數據",$T647&lt;&gt;1)),1,0)</f>
        <v>0</v>
      </c>
      <c r="AI647" s="44" t="str">
        <f aca="false">IF(AND($P647="高",ISNUMBER($AF647)),INDEX(IDX_SrcDate,$AF647),"—")</f>
        <v>—</v>
      </c>
      <c r="AJ647" s="32" t="n">
        <f aca="false">IF(AND(ISTEXT($AI647),LEN($AI647)=10),IF(ISNUMBER(VALUE(SUBSTITUTE($AI647,"-",""))),VALUE(SUBSTITUTE($AI647,"-","")),0),0)</f>
        <v>0</v>
      </c>
    </row>
    <row r="648" customFormat="false" ht="114.75" hidden="false" customHeight="true" outlineLevel="0" collapsed="false">
      <c r="A648" s="30" t="s">
        <v>6411</v>
      </c>
      <c r="B648" s="205" t="s">
        <v>6412</v>
      </c>
      <c r="C648" s="30" t="s">
        <v>6110</v>
      </c>
      <c r="D648" s="30" t="s">
        <v>4852</v>
      </c>
      <c r="E648" s="243" t="s">
        <v>6413</v>
      </c>
      <c r="F648" s="30" t="s">
        <v>162</v>
      </c>
      <c r="G648" s="205" t="s">
        <v>97</v>
      </c>
      <c r="H648" s="30" t="s">
        <v>751</v>
      </c>
      <c r="I648" s="6" t="s">
        <v>751</v>
      </c>
      <c r="J648" s="30" t="s">
        <v>6414</v>
      </c>
      <c r="K648" s="192" t="n">
        <f aca="false">Alloc_In!D26</f>
        <v>0.65</v>
      </c>
      <c r="L648" s="192" t="n">
        <f aca="false">Alloc_In!E26</f>
        <v>1.2</v>
      </c>
      <c r="M648" s="30" t="s">
        <v>6415</v>
      </c>
      <c r="N648" s="6" t="s">
        <v>6416</v>
      </c>
      <c r="O648" s="6" t="s">
        <v>751</v>
      </c>
      <c r="P648" s="205" t="s">
        <v>4586</v>
      </c>
      <c r="Q648" s="192" t="n">
        <f aca="false">Alloc_In!C26</f>
        <v>1</v>
      </c>
      <c r="R648" s="30" t="s">
        <v>751</v>
      </c>
      <c r="S648" s="44" t="str">
        <f aca="false">IF(ISNUMBER($AF648),INDEX(IDX_SrcStat,$AF648),"—")</f>
        <v>—</v>
      </c>
      <c r="T648" s="44" t="str">
        <f aca="false">IF(ISNUMBER($AF648),INDEX(IDX_SrcGrade,$AF648),"—")</f>
        <v>—</v>
      </c>
      <c r="U648" s="44" t="s">
        <v>4531</v>
      </c>
      <c r="V648" s="32" t="n">
        <f aca="false">IF(AND($F648="原始數據",$U648&lt;&gt;"連結 SRC"),1,0)</f>
        <v>0</v>
      </c>
      <c r="W648" s="32" t="n">
        <f aca="false">IF(AND($F648="Analogy",OR($H648="—",$H648="")),1,0)</f>
        <v>0</v>
      </c>
      <c r="X648" s="32" t="n">
        <f aca="false">IF(AND(OR($F648="Analogy",$F648="Assumed"),$G648&lt;&gt;"低",$G648&lt;&gt;"高",NOT(ISNUMBER($K648)),NOT(ISNUMBER($L648)),OR($M648="—",$M648="")),1,0)</f>
        <v>0</v>
      </c>
      <c r="Y648" s="32" t="n">
        <f aca="false">IF(AND(OR($F648="Analogy",$F648="Assumed",$F648="Derived（待改公式）",$F648="Derived（公式）"),OR($N648="—",$N648="",$N648=0)),1,0)</f>
        <v>0</v>
      </c>
      <c r="Z648" s="32" t="n">
        <f aca="false">IF(AND($F648="Decision",OR($J648="—",$J648="")),1,0)</f>
        <v>0</v>
      </c>
      <c r="AA648" s="33" t="n">
        <f aca="false">IF(OR($J648="—",$J648=""),0,IF(COUNTIF(Decisions!$A$5:$A$300,$J648)=0,1,0))</f>
        <v>0</v>
      </c>
      <c r="AB648" s="32" t="n">
        <f aca="false">IF(AND($F648="原始數據",$S648&lt;&gt;"Active"),1,0)</f>
        <v>0</v>
      </c>
      <c r="AC648" s="32" t="n">
        <f aca="false">IF(AND(ISNUMBER($K648),ISNUMBER($L648),ISNUMBER($Q648)),IF(OR($Q648&lt;MIN($K648,$L648),$Q648&gt;MAX($K648,$L648)),1,0),0)</f>
        <v>0</v>
      </c>
      <c r="AD648" s="32" t="n">
        <f aca="false">IF(AND(ISNUMBER($T648),$P648="高"),IF($T648=3,1,0),0)</f>
        <v>0</v>
      </c>
      <c r="AE648" s="32" t="n">
        <f aca="false">IF($S648="不存在",1,0)</f>
        <v>0</v>
      </c>
      <c r="AF648" s="44" t="str">
        <f aca="false">IF(OR($H648="—",$H648=""),"—",MATCH($H648,IDX_SrcID,0))</f>
        <v>—</v>
      </c>
      <c r="AG648" s="32" t="n">
        <f aca="false">IF(AND($P648="高",OR($AD648=1,$X648=1)),1,0)</f>
        <v>0</v>
      </c>
      <c r="AH648" s="32" t="n">
        <f aca="false">IF(AND($P648="高",$AG648=0,OR($F648&lt;&gt;"原始數據",$T648&lt;&gt;1)),1,0)</f>
        <v>0</v>
      </c>
      <c r="AI648" s="44" t="str">
        <f aca="false">IF(AND($P648="高",ISNUMBER($AF648)),INDEX(IDX_SrcDate,$AF648),"—")</f>
        <v>—</v>
      </c>
      <c r="AJ648" s="32" t="n">
        <f aca="false">IF(AND(ISTEXT($AI648),LEN($AI648)=10),IF(ISNUMBER(VALUE(SUBSTITUTE($AI648,"-",""))),VALUE(SUBSTITUTE($AI648,"-","")),0),0)</f>
        <v>0</v>
      </c>
    </row>
    <row r="649" customFormat="false" ht="114.75" hidden="false" customHeight="true" outlineLevel="0" collapsed="false">
      <c r="A649" s="30" t="s">
        <v>6417</v>
      </c>
      <c r="B649" s="205" t="s">
        <v>6412</v>
      </c>
      <c r="C649" s="30" t="s">
        <v>6110</v>
      </c>
      <c r="D649" s="30" t="s">
        <v>6418</v>
      </c>
      <c r="E649" s="243" t="s">
        <v>6413</v>
      </c>
      <c r="F649" s="30" t="s">
        <v>162</v>
      </c>
      <c r="G649" s="205" t="s">
        <v>5614</v>
      </c>
      <c r="H649" s="30" t="s">
        <v>751</v>
      </c>
      <c r="I649" s="6" t="s">
        <v>751</v>
      </c>
      <c r="J649" s="30" t="s">
        <v>6414</v>
      </c>
      <c r="K649" s="205"/>
      <c r="L649" s="205"/>
      <c r="M649" s="30" t="s">
        <v>6419</v>
      </c>
      <c r="N649" s="6" t="s">
        <v>6416</v>
      </c>
      <c r="O649" s="6" t="s">
        <v>751</v>
      </c>
      <c r="P649" s="30" t="s">
        <v>751</v>
      </c>
      <c r="Q649" s="184" t="s">
        <v>751</v>
      </c>
      <c r="R649" s="30" t="s">
        <v>751</v>
      </c>
      <c r="S649" s="44" t="str">
        <f aca="false">IF(ISNUMBER($AF649),INDEX(IDX_SrcStat,$AF649),"—")</f>
        <v>—</v>
      </c>
      <c r="T649" s="44" t="str">
        <f aca="false">IF(ISNUMBER($AF649),INDEX(IDX_SrcGrade,$AF649),"—")</f>
        <v>—</v>
      </c>
      <c r="U649" s="30" t="s">
        <v>751</v>
      </c>
      <c r="V649" s="32" t="n">
        <f aca="false">IF(AND($F649="原始數據",$U649&lt;&gt;"連結 SRC"),1,0)</f>
        <v>0</v>
      </c>
      <c r="W649" s="32" t="n">
        <f aca="false">IF(AND($F649="Analogy",OR($H649="—",$H649="")),1,0)</f>
        <v>0</v>
      </c>
      <c r="X649" s="32" t="n">
        <f aca="false">IF(AND(OR($F649="Analogy",$F649="Assumed"),$G649&lt;&gt;"低",$G649&lt;&gt;"高",NOT(ISNUMBER($K649)),NOT(ISNUMBER($L649)),OR($M649="—",$M649="")),1,0)</f>
        <v>0</v>
      </c>
      <c r="Y649" s="32" t="n">
        <f aca="false">IF(AND(OR($F649="Analogy",$F649="Assumed",$F649="Derived（待改公式）",$F649="Derived（公式）"),OR($N649="—",$N649="",$N649=0)),1,0)</f>
        <v>0</v>
      </c>
      <c r="Z649" s="32" t="n">
        <f aca="false">IF(AND($F649="Decision",OR($J649="—",$J649="")),1,0)</f>
        <v>0</v>
      </c>
      <c r="AA649" s="33" t="n">
        <f aca="false">IF(OR($J649="—",$J649=""),0,IF(COUNTIF(Decisions!$A$5:$A$300,$J649)=0,1,0))</f>
        <v>0</v>
      </c>
      <c r="AB649" s="32" t="n">
        <f aca="false">IF(AND($F649="原始數據",$S649&lt;&gt;"Active"),1,0)</f>
        <v>0</v>
      </c>
      <c r="AC649" s="32" t="n">
        <f aca="false">IF(AND(ISNUMBER($K649),ISNUMBER($L649),ISNUMBER($Q649)),IF(OR($Q649&lt;MIN($K649,$L649),$Q649&gt;MAX($K649,$L649)),1,0),0)</f>
        <v>0</v>
      </c>
      <c r="AD649" s="32" t="n">
        <f aca="false">IF(AND(ISNUMBER($T649),$P649="高"),IF($T649=3,1,0),0)</f>
        <v>0</v>
      </c>
      <c r="AE649" s="32" t="n">
        <f aca="false">IF($S649="不存在",1,0)</f>
        <v>0</v>
      </c>
      <c r="AF649" s="44" t="str">
        <f aca="false">IF(OR($H649="—",$H649=""),"—",MATCH($H649,IDX_SrcID,0))</f>
        <v>—</v>
      </c>
      <c r="AG649" s="32" t="n">
        <f aca="false">IF(AND($P649="高",OR($AD649=1,$X649=1)),1,0)</f>
        <v>0</v>
      </c>
      <c r="AH649" s="32" t="n">
        <f aca="false">IF(AND($P649="高",$AG649=0,OR($F649&lt;&gt;"原始數據",$T649&lt;&gt;1)),1,0)</f>
        <v>0</v>
      </c>
      <c r="AI649" s="44" t="str">
        <f aca="false">IF(AND($P649="高",ISNUMBER($AF649)),INDEX(IDX_SrcDate,$AF649),"—")</f>
        <v>—</v>
      </c>
      <c r="AJ649" s="32" t="n">
        <f aca="false">IF(AND(ISTEXT($AI649),LEN($AI649)=10),IF(ISNUMBER(VALUE(SUBSTITUTE($AI649,"-",""))),VALUE(SUBSTITUTE($AI649,"-","")),0),0)</f>
        <v>0</v>
      </c>
    </row>
    <row r="650" customFormat="false" ht="86.25" hidden="false" customHeight="true" outlineLevel="0" collapsed="false">
      <c r="A650" s="30" t="s">
        <v>6420</v>
      </c>
      <c r="B650" s="205" t="s">
        <v>6421</v>
      </c>
      <c r="C650" s="30" t="s">
        <v>5608</v>
      </c>
      <c r="D650" s="30" t="s">
        <v>6422</v>
      </c>
      <c r="E650" s="6" t="s">
        <v>1834</v>
      </c>
      <c r="F650" s="30" t="s">
        <v>162</v>
      </c>
      <c r="G650" s="205" t="s">
        <v>4527</v>
      </c>
      <c r="H650" s="30" t="s">
        <v>751</v>
      </c>
      <c r="I650" s="6" t="s">
        <v>751</v>
      </c>
      <c r="J650" s="30" t="s">
        <v>6414</v>
      </c>
      <c r="K650" s="241" t="n">
        <v>2.722</v>
      </c>
      <c r="L650" s="241" t="n">
        <v>2.722</v>
      </c>
      <c r="M650" s="205" t="s">
        <v>6423</v>
      </c>
      <c r="N650" s="6" t="s">
        <v>6424</v>
      </c>
      <c r="O650" s="6" t="s">
        <v>751</v>
      </c>
      <c r="P650" s="205" t="s">
        <v>4530</v>
      </c>
      <c r="Q650" s="193" t="n">
        <f aca="false">Cap_In!C258</f>
        <v>2.722</v>
      </c>
      <c r="R650" s="30" t="s">
        <v>751</v>
      </c>
      <c r="S650" s="44" t="str">
        <f aca="false">IF(ISNUMBER($AF650),INDEX(IDX_SrcStat,$AF650),"—")</f>
        <v>—</v>
      </c>
      <c r="T650" s="44" t="str">
        <f aca="false">IF(ISNUMBER($AF650),INDEX(IDX_SrcGrade,$AF650),"—")</f>
        <v>—</v>
      </c>
      <c r="U650" s="44" t="s">
        <v>4531</v>
      </c>
      <c r="V650" s="32" t="n">
        <f aca="false">IF(AND($F650="原始數據",$U650&lt;&gt;"連結 SRC"),1,0)</f>
        <v>0</v>
      </c>
      <c r="W650" s="32" t="n">
        <f aca="false">IF(AND($F650="Analogy",OR($H650="—",$H650="")),1,0)</f>
        <v>0</v>
      </c>
      <c r="X650" s="32" t="n">
        <f aca="false">IF(AND(OR($F650="Analogy",$F650="Assumed"),$G650&lt;&gt;"低",$G650&lt;&gt;"高",NOT(ISNUMBER($K650)),NOT(ISNUMBER($L650)),OR($M650="—",$M650="")),1,0)</f>
        <v>0</v>
      </c>
      <c r="Y650" s="32" t="n">
        <f aca="false">IF(AND(OR($F650="Analogy",$F650="Assumed",$F650="Derived（待改公式）",$F650="Derived（公式）"),OR($N650="—",$N650="",$N650=0)),1,0)</f>
        <v>0</v>
      </c>
      <c r="Z650" s="32" t="n">
        <f aca="false">IF(AND($F650="Decision",OR($J650="—",$J650="")),1,0)</f>
        <v>0</v>
      </c>
      <c r="AA650" s="33" t="n">
        <f aca="false">IF(OR($J650="—",$J650=""),0,IF(COUNTIF(Decisions!$A$5:$A$300,$J650)=0,1,0))</f>
        <v>0</v>
      </c>
      <c r="AB650" s="32" t="n">
        <f aca="false">IF(AND($F650="原始數據",$S650&lt;&gt;"Active"),1,0)</f>
        <v>0</v>
      </c>
      <c r="AC650" s="32" t="n">
        <f aca="false">IF(AND(ISNUMBER($K650),ISNUMBER($L650),ISNUMBER($Q650)),IF(OR($Q650&lt;MIN($K650,$L650),$Q650&gt;MAX($K650,$L650)),1,0),0)</f>
        <v>0</v>
      </c>
      <c r="AD650" s="32" t="n">
        <f aca="false">IF(AND(ISNUMBER($T650),$P650="高"),IF($T650=3,1,0),0)</f>
        <v>0</v>
      </c>
      <c r="AE650" s="32" t="n">
        <f aca="false">IF($S650="不存在",1,0)</f>
        <v>0</v>
      </c>
      <c r="AF650" s="44" t="str">
        <f aca="false">IF(OR($H650="—",$H650=""),"—",MATCH($H650,IDX_SrcID,0))</f>
        <v>—</v>
      </c>
      <c r="AG650" s="32" t="n">
        <f aca="false">IF(AND($P650="高",OR($AD650=1,$X650=1)),1,0)</f>
        <v>0</v>
      </c>
      <c r="AH650" s="32" t="n">
        <f aca="false">IF(AND($P650="高",$AG650=0,OR($F650&lt;&gt;"原始數據",$T650&lt;&gt;1)),1,0)</f>
        <v>0</v>
      </c>
      <c r="AI650" s="44" t="str">
        <f aca="false">IF(AND($P650="高",ISNUMBER($AF650)),INDEX(IDX_SrcDate,$AF650),"—")</f>
        <v>—</v>
      </c>
      <c r="AJ650" s="32" t="n">
        <f aca="false">IF(AND(ISTEXT($AI650),LEN($AI650)=10),IF(ISNUMBER(VALUE(SUBSTITUTE($AI650,"-",""))),VALUE(SUBSTITUTE($AI650,"-","")),0),0)</f>
        <v>0</v>
      </c>
    </row>
    <row r="651" customFormat="false" ht="86.25" hidden="false" customHeight="true" outlineLevel="0" collapsed="false">
      <c r="A651" s="30" t="s">
        <v>6425</v>
      </c>
      <c r="B651" s="205" t="s">
        <v>6421</v>
      </c>
      <c r="C651" s="30" t="s">
        <v>5608</v>
      </c>
      <c r="D651" s="30" t="s">
        <v>6426</v>
      </c>
      <c r="E651" s="6" t="s">
        <v>1834</v>
      </c>
      <c r="F651" s="30" t="s">
        <v>162</v>
      </c>
      <c r="G651" s="205" t="s">
        <v>4527</v>
      </c>
      <c r="H651" s="30" t="s">
        <v>751</v>
      </c>
      <c r="I651" s="6" t="s">
        <v>751</v>
      </c>
      <c r="J651" s="30" t="s">
        <v>6414</v>
      </c>
      <c r="K651" s="241" t="n">
        <v>7</v>
      </c>
      <c r="L651" s="241" t="n">
        <v>7</v>
      </c>
      <c r="M651" s="205" t="s">
        <v>6427</v>
      </c>
      <c r="N651" s="6" t="s">
        <v>6424</v>
      </c>
      <c r="O651" s="6" t="s">
        <v>751</v>
      </c>
      <c r="P651" s="205" t="s">
        <v>4530</v>
      </c>
      <c r="Q651" s="33" t="n">
        <f aca="false">Cap_In!D258</f>
        <v>7</v>
      </c>
      <c r="R651" s="30" t="s">
        <v>751</v>
      </c>
      <c r="S651" s="44" t="str">
        <f aca="false">IF(ISNUMBER($AF651),INDEX(IDX_SrcStat,$AF651),"—")</f>
        <v>—</v>
      </c>
      <c r="T651" s="44" t="str">
        <f aca="false">IF(ISNUMBER($AF651),INDEX(IDX_SrcGrade,$AF651),"—")</f>
        <v>—</v>
      </c>
      <c r="U651" s="44" t="s">
        <v>4531</v>
      </c>
      <c r="V651" s="32" t="n">
        <f aca="false">IF(AND($F651="原始數據",$U651&lt;&gt;"連結 SRC"),1,0)</f>
        <v>0</v>
      </c>
      <c r="W651" s="32" t="n">
        <f aca="false">IF(AND($F651="Analogy",OR($H651="—",$H651="")),1,0)</f>
        <v>0</v>
      </c>
      <c r="X651" s="32" t="n">
        <f aca="false">IF(AND(OR($F651="Analogy",$F651="Assumed"),$G651&lt;&gt;"低",$G651&lt;&gt;"高",NOT(ISNUMBER($K651)),NOT(ISNUMBER($L651)),OR($M651="—",$M651="")),1,0)</f>
        <v>0</v>
      </c>
      <c r="Y651" s="32" t="n">
        <f aca="false">IF(AND(OR($F651="Analogy",$F651="Assumed",$F651="Derived（待改公式）",$F651="Derived（公式）"),OR($N651="—",$N651="",$N651=0)),1,0)</f>
        <v>0</v>
      </c>
      <c r="Z651" s="32" t="n">
        <f aca="false">IF(AND($F651="Decision",OR($J651="—",$J651="")),1,0)</f>
        <v>0</v>
      </c>
      <c r="AA651" s="33" t="n">
        <f aca="false">IF(OR($J651="—",$J651=""),0,IF(COUNTIF(Decisions!$A$5:$A$300,$J651)=0,1,0))</f>
        <v>0</v>
      </c>
      <c r="AB651" s="32" t="n">
        <f aca="false">IF(AND($F651="原始數據",$S651&lt;&gt;"Active"),1,0)</f>
        <v>0</v>
      </c>
      <c r="AC651" s="32" t="n">
        <f aca="false">IF(AND(ISNUMBER($K651),ISNUMBER($L651),ISNUMBER($Q651)),IF(OR($Q651&lt;MIN($K651,$L651),$Q651&gt;MAX($K651,$L651)),1,0),0)</f>
        <v>0</v>
      </c>
      <c r="AD651" s="32" t="n">
        <f aca="false">IF(AND(ISNUMBER($T651),$P651="高"),IF($T651=3,1,0),0)</f>
        <v>0</v>
      </c>
      <c r="AE651" s="32" t="n">
        <f aca="false">IF($S651="不存在",1,0)</f>
        <v>0</v>
      </c>
      <c r="AF651" s="44" t="str">
        <f aca="false">IF(OR($H651="—",$H651=""),"—",MATCH($H651,IDX_SrcID,0))</f>
        <v>—</v>
      </c>
      <c r="AG651" s="32" t="n">
        <f aca="false">IF(AND($P651="高",OR($AD651=1,$X651=1)),1,0)</f>
        <v>0</v>
      </c>
      <c r="AH651" s="32" t="n">
        <f aca="false">IF(AND($P651="高",$AG651=0,OR($F651&lt;&gt;"原始數據",$T651&lt;&gt;1)),1,0)</f>
        <v>0</v>
      </c>
      <c r="AI651" s="44" t="str">
        <f aca="false">IF(AND($P651="高",ISNUMBER($AF651)),INDEX(IDX_SrcDate,$AF651),"—")</f>
        <v>—</v>
      </c>
      <c r="AJ651" s="32" t="n">
        <f aca="false">IF(AND(ISTEXT($AI651),LEN($AI651)=10),IF(ISNUMBER(VALUE(SUBSTITUTE($AI651,"-",""))),VALUE(SUBSTITUTE($AI651,"-","")),0),0)</f>
        <v>0</v>
      </c>
    </row>
    <row r="652" customFormat="false" ht="86.25" hidden="false" customHeight="true" outlineLevel="0" collapsed="false">
      <c r="A652" s="30" t="s">
        <v>6428</v>
      </c>
      <c r="B652" s="205" t="s">
        <v>6421</v>
      </c>
      <c r="C652" s="30" t="s">
        <v>5608</v>
      </c>
      <c r="D652" s="30" t="s">
        <v>6429</v>
      </c>
      <c r="E652" s="6" t="s">
        <v>1837</v>
      </c>
      <c r="F652" s="30" t="s">
        <v>162</v>
      </c>
      <c r="G652" s="205" t="s">
        <v>4527</v>
      </c>
      <c r="H652" s="30" t="s">
        <v>751</v>
      </c>
      <c r="I652" s="6" t="s">
        <v>751</v>
      </c>
      <c r="J652" s="30" t="s">
        <v>6414</v>
      </c>
      <c r="K652" s="241" t="n">
        <v>1.672</v>
      </c>
      <c r="L652" s="241" t="n">
        <v>1.672</v>
      </c>
      <c r="M652" s="205" t="s">
        <v>6423</v>
      </c>
      <c r="N652" s="6" t="s">
        <v>6430</v>
      </c>
      <c r="O652" s="6" t="s">
        <v>751</v>
      </c>
      <c r="P652" s="205" t="s">
        <v>4530</v>
      </c>
      <c r="Q652" s="193" t="n">
        <f aca="false">Cap_In!C259</f>
        <v>1.672</v>
      </c>
      <c r="R652" s="30" t="s">
        <v>751</v>
      </c>
      <c r="S652" s="44" t="str">
        <f aca="false">IF(ISNUMBER($AF652),INDEX(IDX_SrcStat,$AF652),"—")</f>
        <v>—</v>
      </c>
      <c r="T652" s="44" t="str">
        <f aca="false">IF(ISNUMBER($AF652),INDEX(IDX_SrcGrade,$AF652),"—")</f>
        <v>—</v>
      </c>
      <c r="U652" s="44" t="s">
        <v>4531</v>
      </c>
      <c r="V652" s="32" t="n">
        <f aca="false">IF(AND($F652="原始數據",$U652&lt;&gt;"連結 SRC"),1,0)</f>
        <v>0</v>
      </c>
      <c r="W652" s="32" t="n">
        <f aca="false">IF(AND($F652="Analogy",OR($H652="—",$H652="")),1,0)</f>
        <v>0</v>
      </c>
      <c r="X652" s="32" t="n">
        <f aca="false">IF(AND(OR($F652="Analogy",$F652="Assumed"),$G652&lt;&gt;"低",$G652&lt;&gt;"高",NOT(ISNUMBER($K652)),NOT(ISNUMBER($L652)),OR($M652="—",$M652="")),1,0)</f>
        <v>0</v>
      </c>
      <c r="Y652" s="32" t="n">
        <f aca="false">IF(AND(OR($F652="Analogy",$F652="Assumed",$F652="Derived（待改公式）",$F652="Derived（公式）"),OR($N652="—",$N652="",$N652=0)),1,0)</f>
        <v>0</v>
      </c>
      <c r="Z652" s="32" t="n">
        <f aca="false">IF(AND($F652="Decision",OR($J652="—",$J652="")),1,0)</f>
        <v>0</v>
      </c>
      <c r="AA652" s="33" t="n">
        <f aca="false">IF(OR($J652="—",$J652=""),0,IF(COUNTIF(Decisions!$A$5:$A$300,$J652)=0,1,0))</f>
        <v>0</v>
      </c>
      <c r="AB652" s="32" t="n">
        <f aca="false">IF(AND($F652="原始數據",$S652&lt;&gt;"Active"),1,0)</f>
        <v>0</v>
      </c>
      <c r="AC652" s="32" t="n">
        <f aca="false">IF(AND(ISNUMBER($K652),ISNUMBER($L652),ISNUMBER($Q652)),IF(OR($Q652&lt;MIN($K652,$L652),$Q652&gt;MAX($K652,$L652)),1,0),0)</f>
        <v>0</v>
      </c>
      <c r="AD652" s="32" t="n">
        <f aca="false">IF(AND(ISNUMBER($T652),$P652="高"),IF($T652=3,1,0),0)</f>
        <v>0</v>
      </c>
      <c r="AE652" s="32" t="n">
        <f aca="false">IF($S652="不存在",1,0)</f>
        <v>0</v>
      </c>
      <c r="AF652" s="44" t="str">
        <f aca="false">IF(OR($H652="—",$H652=""),"—",MATCH($H652,IDX_SrcID,0))</f>
        <v>—</v>
      </c>
      <c r="AG652" s="32" t="n">
        <f aca="false">IF(AND($P652="高",OR($AD652=1,$X652=1)),1,0)</f>
        <v>0</v>
      </c>
      <c r="AH652" s="32" t="n">
        <f aca="false">IF(AND($P652="高",$AG652=0,OR($F652&lt;&gt;"原始數據",$T652&lt;&gt;1)),1,0)</f>
        <v>0</v>
      </c>
      <c r="AI652" s="44" t="str">
        <f aca="false">IF(AND($P652="高",ISNUMBER($AF652)),INDEX(IDX_SrcDate,$AF652),"—")</f>
        <v>—</v>
      </c>
      <c r="AJ652" s="32" t="n">
        <f aca="false">IF(AND(ISTEXT($AI652),LEN($AI652)=10),IF(ISNUMBER(VALUE(SUBSTITUTE($AI652,"-",""))),VALUE(SUBSTITUTE($AI652,"-","")),0),0)</f>
        <v>0</v>
      </c>
    </row>
    <row r="653" customFormat="false" ht="86.25" hidden="false" customHeight="true" outlineLevel="0" collapsed="false">
      <c r="A653" s="30" t="s">
        <v>6431</v>
      </c>
      <c r="B653" s="205" t="s">
        <v>6421</v>
      </c>
      <c r="C653" s="30" t="s">
        <v>5608</v>
      </c>
      <c r="D653" s="30" t="s">
        <v>6432</v>
      </c>
      <c r="E653" s="6" t="s">
        <v>1837</v>
      </c>
      <c r="F653" s="30" t="s">
        <v>162</v>
      </c>
      <c r="G653" s="205" t="s">
        <v>4527</v>
      </c>
      <c r="H653" s="30" t="s">
        <v>751</v>
      </c>
      <c r="I653" s="6" t="s">
        <v>751</v>
      </c>
      <c r="J653" s="30" t="s">
        <v>6414</v>
      </c>
      <c r="K653" s="241" t="n">
        <v>4</v>
      </c>
      <c r="L653" s="241" t="n">
        <v>4</v>
      </c>
      <c r="M653" s="205" t="s">
        <v>6433</v>
      </c>
      <c r="N653" s="6" t="s">
        <v>6430</v>
      </c>
      <c r="O653" s="6" t="s">
        <v>751</v>
      </c>
      <c r="P653" s="205" t="s">
        <v>4530</v>
      </c>
      <c r="Q653" s="33" t="n">
        <f aca="false">Cap_In!D259</f>
        <v>4</v>
      </c>
      <c r="R653" s="30" t="s">
        <v>751</v>
      </c>
      <c r="S653" s="44" t="str">
        <f aca="false">IF(ISNUMBER($AF653),INDEX(IDX_SrcStat,$AF653),"—")</f>
        <v>—</v>
      </c>
      <c r="T653" s="44" t="str">
        <f aca="false">IF(ISNUMBER($AF653),INDEX(IDX_SrcGrade,$AF653),"—")</f>
        <v>—</v>
      </c>
      <c r="U653" s="44" t="s">
        <v>4531</v>
      </c>
      <c r="V653" s="32" t="n">
        <f aca="false">IF(AND($F653="原始數據",$U653&lt;&gt;"連結 SRC"),1,0)</f>
        <v>0</v>
      </c>
      <c r="W653" s="32" t="n">
        <f aca="false">IF(AND($F653="Analogy",OR($H653="—",$H653="")),1,0)</f>
        <v>0</v>
      </c>
      <c r="X653" s="32" t="n">
        <f aca="false">IF(AND(OR($F653="Analogy",$F653="Assumed"),$G653&lt;&gt;"低",$G653&lt;&gt;"高",NOT(ISNUMBER($K653)),NOT(ISNUMBER($L653)),OR($M653="—",$M653="")),1,0)</f>
        <v>0</v>
      </c>
      <c r="Y653" s="32" t="n">
        <f aca="false">IF(AND(OR($F653="Analogy",$F653="Assumed",$F653="Derived（待改公式）",$F653="Derived（公式）"),OR($N653="—",$N653="",$N653=0)),1,0)</f>
        <v>0</v>
      </c>
      <c r="Z653" s="32" t="n">
        <f aca="false">IF(AND($F653="Decision",OR($J653="—",$J653="")),1,0)</f>
        <v>0</v>
      </c>
      <c r="AA653" s="33" t="n">
        <f aca="false">IF(OR($J653="—",$J653=""),0,IF(COUNTIF(Decisions!$A$5:$A$300,$J653)=0,1,0))</f>
        <v>0</v>
      </c>
      <c r="AB653" s="32" t="n">
        <f aca="false">IF(AND($F653="原始數據",$S653&lt;&gt;"Active"),1,0)</f>
        <v>0</v>
      </c>
      <c r="AC653" s="32" t="n">
        <f aca="false">IF(AND(ISNUMBER($K653),ISNUMBER($L653),ISNUMBER($Q653)),IF(OR($Q653&lt;MIN($K653,$L653),$Q653&gt;MAX($K653,$L653)),1,0),0)</f>
        <v>0</v>
      </c>
      <c r="AD653" s="32" t="n">
        <f aca="false">IF(AND(ISNUMBER($T653),$P653="高"),IF($T653=3,1,0),0)</f>
        <v>0</v>
      </c>
      <c r="AE653" s="32" t="n">
        <f aca="false">IF($S653="不存在",1,0)</f>
        <v>0</v>
      </c>
      <c r="AF653" s="44" t="str">
        <f aca="false">IF(OR($H653="—",$H653=""),"—",MATCH($H653,IDX_SrcID,0))</f>
        <v>—</v>
      </c>
      <c r="AG653" s="32" t="n">
        <f aca="false">IF(AND($P653="高",OR($AD653=1,$X653=1)),1,0)</f>
        <v>0</v>
      </c>
      <c r="AH653" s="32" t="n">
        <f aca="false">IF(AND($P653="高",$AG653=0,OR($F653&lt;&gt;"原始數據",$T653&lt;&gt;1)),1,0)</f>
        <v>0</v>
      </c>
      <c r="AI653" s="44" t="str">
        <f aca="false">IF(AND($P653="高",ISNUMBER($AF653)),INDEX(IDX_SrcDate,$AF653),"—")</f>
        <v>—</v>
      </c>
      <c r="AJ653" s="32" t="n">
        <f aca="false">IF(AND(ISTEXT($AI653),LEN($AI653)=10),IF(ISNUMBER(VALUE(SUBSTITUTE($AI653,"-",""))),VALUE(SUBSTITUTE($AI653,"-","")),0),0)</f>
        <v>0</v>
      </c>
    </row>
    <row r="654" customFormat="false" ht="86.25" hidden="false" customHeight="true" outlineLevel="0" collapsed="false">
      <c r="A654" s="30" t="s">
        <v>6434</v>
      </c>
      <c r="B654" s="205" t="s">
        <v>6421</v>
      </c>
      <c r="C654" s="30" t="s">
        <v>5608</v>
      </c>
      <c r="D654" s="30" t="s">
        <v>6435</v>
      </c>
      <c r="E654" s="6" t="s">
        <v>1839</v>
      </c>
      <c r="F654" s="30" t="s">
        <v>162</v>
      </c>
      <c r="G654" s="205" t="s">
        <v>4527</v>
      </c>
      <c r="H654" s="30" t="s">
        <v>751</v>
      </c>
      <c r="I654" s="6" t="s">
        <v>751</v>
      </c>
      <c r="J654" s="30" t="s">
        <v>6414</v>
      </c>
      <c r="K654" s="241" t="n">
        <v>2.341</v>
      </c>
      <c r="L654" s="241" t="n">
        <v>2.341</v>
      </c>
      <c r="M654" s="205" t="s">
        <v>6423</v>
      </c>
      <c r="N654" s="6" t="s">
        <v>6436</v>
      </c>
      <c r="O654" s="6" t="s">
        <v>751</v>
      </c>
      <c r="P654" s="205" t="s">
        <v>4530</v>
      </c>
      <c r="Q654" s="193" t="n">
        <f aca="false">Cap_In!C260</f>
        <v>2.341</v>
      </c>
      <c r="R654" s="30" t="s">
        <v>751</v>
      </c>
      <c r="S654" s="44" t="str">
        <f aca="false">IF(ISNUMBER($AF654),INDEX(IDX_SrcStat,$AF654),"—")</f>
        <v>—</v>
      </c>
      <c r="T654" s="44" t="str">
        <f aca="false">IF(ISNUMBER($AF654),INDEX(IDX_SrcGrade,$AF654),"—")</f>
        <v>—</v>
      </c>
      <c r="U654" s="44" t="s">
        <v>4531</v>
      </c>
      <c r="V654" s="32" t="n">
        <f aca="false">IF(AND($F654="原始數據",$U654&lt;&gt;"連結 SRC"),1,0)</f>
        <v>0</v>
      </c>
      <c r="W654" s="32" t="n">
        <f aca="false">IF(AND($F654="Analogy",OR($H654="—",$H654="")),1,0)</f>
        <v>0</v>
      </c>
      <c r="X654" s="32" t="n">
        <f aca="false">IF(AND(OR($F654="Analogy",$F654="Assumed"),$G654&lt;&gt;"低",$G654&lt;&gt;"高",NOT(ISNUMBER($K654)),NOT(ISNUMBER($L654)),OR($M654="—",$M654="")),1,0)</f>
        <v>0</v>
      </c>
      <c r="Y654" s="32" t="n">
        <f aca="false">IF(AND(OR($F654="Analogy",$F654="Assumed",$F654="Derived（待改公式）",$F654="Derived（公式）"),OR($N654="—",$N654="",$N654=0)),1,0)</f>
        <v>0</v>
      </c>
      <c r="Z654" s="32" t="n">
        <f aca="false">IF(AND($F654="Decision",OR($J654="—",$J654="")),1,0)</f>
        <v>0</v>
      </c>
      <c r="AA654" s="33" t="n">
        <f aca="false">IF(OR($J654="—",$J654=""),0,IF(COUNTIF(Decisions!$A$5:$A$300,$J654)=0,1,0))</f>
        <v>0</v>
      </c>
      <c r="AB654" s="32" t="n">
        <f aca="false">IF(AND($F654="原始數據",$S654&lt;&gt;"Active"),1,0)</f>
        <v>0</v>
      </c>
      <c r="AC654" s="32" t="n">
        <f aca="false">IF(AND(ISNUMBER($K654),ISNUMBER($L654),ISNUMBER($Q654)),IF(OR($Q654&lt;MIN($K654,$L654),$Q654&gt;MAX($K654,$L654)),1,0),0)</f>
        <v>0</v>
      </c>
      <c r="AD654" s="32" t="n">
        <f aca="false">IF(AND(ISNUMBER($T654),$P654="高"),IF($T654=3,1,0),0)</f>
        <v>0</v>
      </c>
      <c r="AE654" s="32" t="n">
        <f aca="false">IF($S654="不存在",1,0)</f>
        <v>0</v>
      </c>
      <c r="AF654" s="44" t="str">
        <f aca="false">IF(OR($H654="—",$H654=""),"—",MATCH($H654,IDX_SrcID,0))</f>
        <v>—</v>
      </c>
      <c r="AG654" s="32" t="n">
        <f aca="false">IF(AND($P654="高",OR($AD654=1,$X654=1)),1,0)</f>
        <v>0</v>
      </c>
      <c r="AH654" s="32" t="n">
        <f aca="false">IF(AND($P654="高",$AG654=0,OR($F654&lt;&gt;"原始數據",$T654&lt;&gt;1)),1,0)</f>
        <v>0</v>
      </c>
      <c r="AI654" s="44" t="str">
        <f aca="false">IF(AND($P654="高",ISNUMBER($AF654)),INDEX(IDX_SrcDate,$AF654),"—")</f>
        <v>—</v>
      </c>
      <c r="AJ654" s="32" t="n">
        <f aca="false">IF(AND(ISTEXT($AI654),LEN($AI654)=10),IF(ISNUMBER(VALUE(SUBSTITUTE($AI654,"-",""))),VALUE(SUBSTITUTE($AI654,"-","")),0),0)</f>
        <v>0</v>
      </c>
    </row>
    <row r="655" customFormat="false" ht="86.25" hidden="false" customHeight="true" outlineLevel="0" collapsed="false">
      <c r="A655" s="30" t="s">
        <v>6437</v>
      </c>
      <c r="B655" s="205" t="s">
        <v>6421</v>
      </c>
      <c r="C655" s="30" t="s">
        <v>5608</v>
      </c>
      <c r="D655" s="30" t="s">
        <v>6438</v>
      </c>
      <c r="E655" s="6" t="s">
        <v>1839</v>
      </c>
      <c r="F655" s="30" t="s">
        <v>162</v>
      </c>
      <c r="G655" s="205" t="s">
        <v>4527</v>
      </c>
      <c r="H655" s="30" t="s">
        <v>751</v>
      </c>
      <c r="I655" s="6" t="s">
        <v>751</v>
      </c>
      <c r="J655" s="30" t="s">
        <v>6414</v>
      </c>
      <c r="K655" s="241" t="n">
        <v>1</v>
      </c>
      <c r="L655" s="241" t="n">
        <v>1</v>
      </c>
      <c r="M655" s="205" t="s">
        <v>6439</v>
      </c>
      <c r="N655" s="6" t="s">
        <v>6436</v>
      </c>
      <c r="O655" s="6" t="s">
        <v>751</v>
      </c>
      <c r="P655" s="205" t="s">
        <v>4530</v>
      </c>
      <c r="Q655" s="33" t="n">
        <f aca="false">Cap_In!D260</f>
        <v>1</v>
      </c>
      <c r="R655" s="30" t="s">
        <v>751</v>
      </c>
      <c r="S655" s="44" t="str">
        <f aca="false">IF(ISNUMBER($AF655),INDEX(IDX_SrcStat,$AF655),"—")</f>
        <v>—</v>
      </c>
      <c r="T655" s="44" t="str">
        <f aca="false">IF(ISNUMBER($AF655),INDEX(IDX_SrcGrade,$AF655),"—")</f>
        <v>—</v>
      </c>
      <c r="U655" s="44" t="s">
        <v>4531</v>
      </c>
      <c r="V655" s="32" t="n">
        <f aca="false">IF(AND($F655="原始數據",$U655&lt;&gt;"連結 SRC"),1,0)</f>
        <v>0</v>
      </c>
      <c r="W655" s="32" t="n">
        <f aca="false">IF(AND($F655="Analogy",OR($H655="—",$H655="")),1,0)</f>
        <v>0</v>
      </c>
      <c r="X655" s="32" t="n">
        <f aca="false">IF(AND(OR($F655="Analogy",$F655="Assumed"),$G655&lt;&gt;"低",$G655&lt;&gt;"高",NOT(ISNUMBER($K655)),NOT(ISNUMBER($L655)),OR($M655="—",$M655="")),1,0)</f>
        <v>0</v>
      </c>
      <c r="Y655" s="32" t="n">
        <f aca="false">IF(AND(OR($F655="Analogy",$F655="Assumed",$F655="Derived（待改公式）",$F655="Derived（公式）"),OR($N655="—",$N655="",$N655=0)),1,0)</f>
        <v>0</v>
      </c>
      <c r="Z655" s="32" t="n">
        <f aca="false">IF(AND($F655="Decision",OR($J655="—",$J655="")),1,0)</f>
        <v>0</v>
      </c>
      <c r="AA655" s="33" t="n">
        <f aca="false">IF(OR($J655="—",$J655=""),0,IF(COUNTIF(Decisions!$A$5:$A$300,$J655)=0,1,0))</f>
        <v>0</v>
      </c>
      <c r="AB655" s="32" t="n">
        <f aca="false">IF(AND($F655="原始數據",$S655&lt;&gt;"Active"),1,0)</f>
        <v>0</v>
      </c>
      <c r="AC655" s="32" t="n">
        <f aca="false">IF(AND(ISNUMBER($K655),ISNUMBER($L655),ISNUMBER($Q655)),IF(OR($Q655&lt;MIN($K655,$L655),$Q655&gt;MAX($K655,$L655)),1,0),0)</f>
        <v>0</v>
      </c>
      <c r="AD655" s="32" t="n">
        <f aca="false">IF(AND(ISNUMBER($T655),$P655="高"),IF($T655=3,1,0),0)</f>
        <v>0</v>
      </c>
      <c r="AE655" s="32" t="n">
        <f aca="false">IF($S655="不存在",1,0)</f>
        <v>0</v>
      </c>
      <c r="AF655" s="44" t="str">
        <f aca="false">IF(OR($H655="—",$H655=""),"—",MATCH($H655,IDX_SrcID,0))</f>
        <v>—</v>
      </c>
      <c r="AG655" s="32" t="n">
        <f aca="false">IF(AND($P655="高",OR($AD655=1,$X655=1)),1,0)</f>
        <v>0</v>
      </c>
      <c r="AH655" s="32" t="n">
        <f aca="false">IF(AND($P655="高",$AG655=0,OR($F655&lt;&gt;"原始數據",$T655&lt;&gt;1)),1,0)</f>
        <v>0</v>
      </c>
      <c r="AI655" s="44" t="str">
        <f aca="false">IF(AND($P655="高",ISNUMBER($AF655)),INDEX(IDX_SrcDate,$AF655),"—")</f>
        <v>—</v>
      </c>
      <c r="AJ655" s="32" t="n">
        <f aca="false">IF(AND(ISTEXT($AI655),LEN($AI655)=10),IF(ISNUMBER(VALUE(SUBSTITUTE($AI655,"-",""))),VALUE(SUBSTITUTE($AI655,"-","")),0),0)</f>
        <v>0</v>
      </c>
    </row>
    <row r="656" customFormat="false" ht="114.75" hidden="false" customHeight="true" outlineLevel="0" collapsed="false">
      <c r="A656" s="30" t="s">
        <v>6440</v>
      </c>
      <c r="B656" s="205" t="s">
        <v>6441</v>
      </c>
      <c r="C656" s="30" t="s">
        <v>5560</v>
      </c>
      <c r="D656" s="30" t="s">
        <v>4958</v>
      </c>
      <c r="E656" s="6" t="s">
        <v>6442</v>
      </c>
      <c r="F656" s="30" t="s">
        <v>114</v>
      </c>
      <c r="G656" s="205" t="s">
        <v>4527</v>
      </c>
      <c r="H656" s="30" t="s">
        <v>751</v>
      </c>
      <c r="I656" s="6" t="s">
        <v>751</v>
      </c>
      <c r="J656" s="30" t="s">
        <v>6443</v>
      </c>
      <c r="K656" s="241" t="n">
        <v>0.787</v>
      </c>
      <c r="L656" s="241" t="n">
        <v>2.36</v>
      </c>
      <c r="M656" s="30" t="s">
        <v>6444</v>
      </c>
      <c r="N656" s="6" t="s">
        <v>6445</v>
      </c>
      <c r="O656" s="6" t="s">
        <v>751</v>
      </c>
      <c r="P656" s="205" t="s">
        <v>1309</v>
      </c>
      <c r="Q656" s="51" t="n">
        <f aca="false">Train_In!C34</f>
        <v>2.36</v>
      </c>
      <c r="R656" s="30" t="s">
        <v>751</v>
      </c>
      <c r="S656" s="44" t="str">
        <f aca="false">IF(ISNUMBER($AF656),INDEX(IDX_SrcStat,$AF656),"—")</f>
        <v>—</v>
      </c>
      <c r="T656" s="44" t="str">
        <f aca="false">IF(ISNUMBER($AF656),INDEX(IDX_SrcGrade,$AF656),"—")</f>
        <v>—</v>
      </c>
      <c r="U656" s="44" t="s">
        <v>4531</v>
      </c>
      <c r="V656" s="32" t="n">
        <f aca="false">IF(AND($F656="原始數據",$U656&lt;&gt;"連結 SRC"),1,0)</f>
        <v>0</v>
      </c>
      <c r="W656" s="32" t="n">
        <f aca="false">IF(AND($F656="Analogy",OR($H656="—",$H656="")),1,0)</f>
        <v>0</v>
      </c>
      <c r="X656" s="32" t="n">
        <f aca="false">IF(AND(OR($F656="Analogy",$F656="Assumed"),$G656&lt;&gt;"低",$G656&lt;&gt;"高",NOT(ISNUMBER($K656)),NOT(ISNUMBER($L656)),OR($M656="—",$M656="")),1,0)</f>
        <v>0</v>
      </c>
      <c r="Y656" s="32" t="n">
        <f aca="false">IF(AND(OR($F656="Analogy",$F656="Assumed",$F656="Derived（待改公式）",$F656="Derived（公式）"),OR($N656="—",$N656="",$N656=0)),1,0)</f>
        <v>0</v>
      </c>
      <c r="Z656" s="32" t="n">
        <f aca="false">IF(AND($F656="Decision",OR($J656="—",$J656="")),1,0)</f>
        <v>0</v>
      </c>
      <c r="AA656" s="33" t="n">
        <f aca="false">IF(OR($J656="—",$J656=""),0,IF(COUNTIF(Decisions!$A$5:$A$300,$J656)=0,1,0))</f>
        <v>0</v>
      </c>
      <c r="AB656" s="32" t="n">
        <f aca="false">IF(AND($F656="原始數據",$S656&lt;&gt;"Active"),1,0)</f>
        <v>0</v>
      </c>
      <c r="AC656" s="32" t="n">
        <f aca="false">IF(AND(ISNUMBER($K656),ISNUMBER($L656),ISNUMBER($Q656)),IF(OR($Q656&lt;MIN($K656,$L656),$Q656&gt;MAX($K656,$L656)),1,0),0)</f>
        <v>0</v>
      </c>
      <c r="AD656" s="32" t="n">
        <f aca="false">IF(AND(ISNUMBER($T656),$P656="高"),IF($T656=3,1,0),0)</f>
        <v>0</v>
      </c>
      <c r="AE656" s="32" t="n">
        <f aca="false">IF($S656="不存在",1,0)</f>
        <v>0</v>
      </c>
      <c r="AF656" s="44" t="str">
        <f aca="false">IF(OR($H656="—",$H656=""),"—",MATCH($H656,IDX_SrcID,0))</f>
        <v>—</v>
      </c>
      <c r="AG656" s="32" t="n">
        <f aca="false">IF(AND($P656="高",OR($AD656=1,$X656=1)),1,0)</f>
        <v>0</v>
      </c>
      <c r="AH656" s="32" t="n">
        <f aca="false">IF(AND($P656="高",$AG656=0,OR($F656&lt;&gt;"原始數據",$T656&lt;&gt;1)),1,0)</f>
        <v>1</v>
      </c>
      <c r="AI656" s="44" t="str">
        <f aca="false">IF(AND($P656="高",ISNUMBER($AF656)),INDEX(IDX_SrcDate,$AF656),"—")</f>
        <v>—</v>
      </c>
      <c r="AJ656" s="32" t="n">
        <f aca="false">IF(AND(ISTEXT($AI656),LEN($AI656)=10),IF(ISNUMBER(VALUE(SUBSTITUTE($AI656,"-",""))),VALUE(SUBSTITUTE($AI656,"-","")),0),0)</f>
        <v>0</v>
      </c>
    </row>
    <row r="657" customFormat="false" ht="114.75" hidden="false" customHeight="true" outlineLevel="0" collapsed="false">
      <c r="A657" s="30" t="s">
        <v>6446</v>
      </c>
      <c r="B657" s="205" t="s">
        <v>6441</v>
      </c>
      <c r="C657" s="30" t="s">
        <v>5560</v>
      </c>
      <c r="D657" s="30" t="s">
        <v>4652</v>
      </c>
      <c r="E657" s="6" t="s">
        <v>6447</v>
      </c>
      <c r="F657" s="30" t="s">
        <v>114</v>
      </c>
      <c r="G657" s="205" t="s">
        <v>4527</v>
      </c>
      <c r="H657" s="30" t="s">
        <v>751</v>
      </c>
      <c r="I657" s="6" t="s">
        <v>751</v>
      </c>
      <c r="J657" s="30" t="s">
        <v>6443</v>
      </c>
      <c r="K657" s="241" t="n">
        <v>0.787</v>
      </c>
      <c r="L657" s="241" t="n">
        <v>2.36</v>
      </c>
      <c r="M657" s="30" t="s">
        <v>6444</v>
      </c>
      <c r="N657" s="6" t="s">
        <v>6445</v>
      </c>
      <c r="O657" s="6" t="s">
        <v>751</v>
      </c>
      <c r="P657" s="205" t="s">
        <v>1309</v>
      </c>
      <c r="Q657" s="51" t="n">
        <f aca="false">Train_In!D34</f>
        <v>2.36</v>
      </c>
      <c r="R657" s="30" t="s">
        <v>751</v>
      </c>
      <c r="S657" s="44" t="str">
        <f aca="false">IF(ISNUMBER($AF657),INDEX(IDX_SrcStat,$AF657),"—")</f>
        <v>—</v>
      </c>
      <c r="T657" s="44" t="str">
        <f aca="false">IF(ISNUMBER($AF657),INDEX(IDX_SrcGrade,$AF657),"—")</f>
        <v>—</v>
      </c>
      <c r="U657" s="44" t="s">
        <v>4531</v>
      </c>
      <c r="V657" s="32" t="n">
        <f aca="false">IF(AND($F657="原始數據",$U657&lt;&gt;"連結 SRC"),1,0)</f>
        <v>0</v>
      </c>
      <c r="W657" s="32" t="n">
        <f aca="false">IF(AND($F657="Analogy",OR($H657="—",$H657="")),1,0)</f>
        <v>0</v>
      </c>
      <c r="X657" s="32" t="n">
        <f aca="false">IF(AND(OR($F657="Analogy",$F657="Assumed"),$G657&lt;&gt;"低",$G657&lt;&gt;"高",NOT(ISNUMBER($K657)),NOT(ISNUMBER($L657)),OR($M657="—",$M657="")),1,0)</f>
        <v>0</v>
      </c>
      <c r="Y657" s="32" t="n">
        <f aca="false">IF(AND(OR($F657="Analogy",$F657="Assumed",$F657="Derived（待改公式）",$F657="Derived（公式）"),OR($N657="—",$N657="",$N657=0)),1,0)</f>
        <v>0</v>
      </c>
      <c r="Z657" s="32" t="n">
        <f aca="false">IF(AND($F657="Decision",OR($J657="—",$J657="")),1,0)</f>
        <v>0</v>
      </c>
      <c r="AA657" s="33" t="n">
        <f aca="false">IF(OR($J657="—",$J657=""),0,IF(COUNTIF(Decisions!$A$5:$A$300,$J657)=0,1,0))</f>
        <v>0</v>
      </c>
      <c r="AB657" s="32" t="n">
        <f aca="false">IF(AND($F657="原始數據",$S657&lt;&gt;"Active"),1,0)</f>
        <v>0</v>
      </c>
      <c r="AC657" s="32" t="n">
        <f aca="false">IF(AND(ISNUMBER($K657),ISNUMBER($L657),ISNUMBER($Q657)),IF(OR($Q657&lt;MIN($K657,$L657),$Q657&gt;MAX($K657,$L657)),1,0),0)</f>
        <v>0</v>
      </c>
      <c r="AD657" s="32" t="n">
        <f aca="false">IF(AND(ISNUMBER($T657),$P657="高"),IF($T657=3,1,0),0)</f>
        <v>0</v>
      </c>
      <c r="AE657" s="32" t="n">
        <f aca="false">IF($S657="不存在",1,0)</f>
        <v>0</v>
      </c>
      <c r="AF657" s="44" t="str">
        <f aca="false">IF(OR($H657="—",$H657=""),"—",MATCH($H657,IDX_SrcID,0))</f>
        <v>—</v>
      </c>
      <c r="AG657" s="32" t="n">
        <f aca="false">IF(AND($P657="高",OR($AD657=1,$X657=1)),1,0)</f>
        <v>0</v>
      </c>
      <c r="AH657" s="32" t="n">
        <f aca="false">IF(AND($P657="高",$AG657=0,OR($F657&lt;&gt;"原始數據",$T657&lt;&gt;1)),1,0)</f>
        <v>1</v>
      </c>
      <c r="AI657" s="44" t="str">
        <f aca="false">IF(AND($P657="高",ISNUMBER($AF657)),INDEX(IDX_SrcDate,$AF657),"—")</f>
        <v>—</v>
      </c>
      <c r="AJ657" s="32" t="n">
        <f aca="false">IF(AND(ISTEXT($AI657),LEN($AI657)=10),IF(ISNUMBER(VALUE(SUBSTITUTE($AI657,"-",""))),VALUE(SUBSTITUTE($AI657,"-","")),0),0)</f>
        <v>0</v>
      </c>
    </row>
    <row r="658" customFormat="false" ht="114.75" hidden="false" customHeight="true" outlineLevel="0" collapsed="false">
      <c r="A658" s="30" t="s">
        <v>6448</v>
      </c>
      <c r="B658" s="205" t="s">
        <v>6441</v>
      </c>
      <c r="C658" s="30" t="s">
        <v>5560</v>
      </c>
      <c r="D658" s="30" t="s">
        <v>4650</v>
      </c>
      <c r="E658" s="6" t="s">
        <v>6449</v>
      </c>
      <c r="F658" s="30" t="s">
        <v>114</v>
      </c>
      <c r="G658" s="205" t="s">
        <v>4527</v>
      </c>
      <c r="H658" s="30" t="s">
        <v>751</v>
      </c>
      <c r="I658" s="6" t="s">
        <v>751</v>
      </c>
      <c r="J658" s="30" t="s">
        <v>6443</v>
      </c>
      <c r="K658" s="241" t="n">
        <v>0.96</v>
      </c>
      <c r="L658" s="241" t="n">
        <v>19.2</v>
      </c>
      <c r="M658" s="30" t="s">
        <v>6450</v>
      </c>
      <c r="N658" s="6" t="s">
        <v>6451</v>
      </c>
      <c r="O658" s="6" t="s">
        <v>751</v>
      </c>
      <c r="P658" s="205" t="s">
        <v>1309</v>
      </c>
      <c r="Q658" s="51" t="n">
        <f aca="false">Train_In!E34</f>
        <v>9.6</v>
      </c>
      <c r="R658" s="30" t="s">
        <v>751</v>
      </c>
      <c r="S658" s="44" t="str">
        <f aca="false">IF(ISNUMBER($AF658),INDEX(IDX_SrcStat,$AF658),"—")</f>
        <v>—</v>
      </c>
      <c r="T658" s="44" t="str">
        <f aca="false">IF(ISNUMBER($AF658),INDEX(IDX_SrcGrade,$AF658),"—")</f>
        <v>—</v>
      </c>
      <c r="U658" s="44" t="s">
        <v>4531</v>
      </c>
      <c r="V658" s="32" t="n">
        <f aca="false">IF(AND($F658="原始數據",$U658&lt;&gt;"連結 SRC"),1,0)</f>
        <v>0</v>
      </c>
      <c r="W658" s="32" t="n">
        <f aca="false">IF(AND($F658="Analogy",OR($H658="—",$H658="")),1,0)</f>
        <v>0</v>
      </c>
      <c r="X658" s="32" t="n">
        <f aca="false">IF(AND(OR($F658="Analogy",$F658="Assumed"),$G658&lt;&gt;"低",$G658&lt;&gt;"高",NOT(ISNUMBER($K658)),NOT(ISNUMBER($L658)),OR($M658="—",$M658="")),1,0)</f>
        <v>0</v>
      </c>
      <c r="Y658" s="32" t="n">
        <f aca="false">IF(AND(OR($F658="Analogy",$F658="Assumed",$F658="Derived（待改公式）",$F658="Derived（公式）"),OR($N658="—",$N658="",$N658=0)),1,0)</f>
        <v>0</v>
      </c>
      <c r="Z658" s="32" t="n">
        <f aca="false">IF(AND($F658="Decision",OR($J658="—",$J658="")),1,0)</f>
        <v>0</v>
      </c>
      <c r="AA658" s="33" t="n">
        <f aca="false">IF(OR($J658="—",$J658=""),0,IF(COUNTIF(Decisions!$A$5:$A$300,$J658)=0,1,0))</f>
        <v>0</v>
      </c>
      <c r="AB658" s="32" t="n">
        <f aca="false">IF(AND($F658="原始數據",$S658&lt;&gt;"Active"),1,0)</f>
        <v>0</v>
      </c>
      <c r="AC658" s="32" t="n">
        <f aca="false">IF(AND(ISNUMBER($K658),ISNUMBER($L658),ISNUMBER($Q658)),IF(OR($Q658&lt;MIN($K658,$L658),$Q658&gt;MAX($K658,$L658)),1,0),0)</f>
        <v>0</v>
      </c>
      <c r="AD658" s="32" t="n">
        <f aca="false">IF(AND(ISNUMBER($T658),$P658="高"),IF($T658=3,1,0),0)</f>
        <v>0</v>
      </c>
      <c r="AE658" s="32" t="n">
        <f aca="false">IF($S658="不存在",1,0)</f>
        <v>0</v>
      </c>
      <c r="AF658" s="44" t="str">
        <f aca="false">IF(OR($H658="—",$H658=""),"—",MATCH($H658,IDX_SrcID,0))</f>
        <v>—</v>
      </c>
      <c r="AG658" s="32" t="n">
        <f aca="false">IF(AND($P658="高",OR($AD658=1,$X658=1)),1,0)</f>
        <v>0</v>
      </c>
      <c r="AH658" s="32" t="n">
        <f aca="false">IF(AND($P658="高",$AG658=0,OR($F658&lt;&gt;"原始數據",$T658&lt;&gt;1)),1,0)</f>
        <v>1</v>
      </c>
      <c r="AI658" s="44" t="str">
        <f aca="false">IF(AND($P658="高",ISNUMBER($AF658)),INDEX(IDX_SrcDate,$AF658),"—")</f>
        <v>—</v>
      </c>
      <c r="AJ658" s="32" t="n">
        <f aca="false">IF(AND(ISTEXT($AI658),LEN($AI658)=10),IF(ISNUMBER(VALUE(SUBSTITUTE($AI658,"-",""))),VALUE(SUBSTITUTE($AI658,"-","")),0),0)</f>
        <v>0</v>
      </c>
    </row>
    <row r="659" customFormat="false" ht="100.5" hidden="false" customHeight="true" outlineLevel="0" collapsed="false">
      <c r="A659" s="30" t="s">
        <v>6452</v>
      </c>
      <c r="B659" s="205" t="s">
        <v>6441</v>
      </c>
      <c r="C659" s="30" t="s">
        <v>5751</v>
      </c>
      <c r="D659" s="30" t="s">
        <v>5879</v>
      </c>
      <c r="E659" s="243" t="s">
        <v>6453</v>
      </c>
      <c r="F659" s="30" t="s">
        <v>114</v>
      </c>
      <c r="G659" s="205" t="s">
        <v>5287</v>
      </c>
      <c r="H659" s="30" t="s">
        <v>751</v>
      </c>
      <c r="I659" s="6" t="s">
        <v>751</v>
      </c>
      <c r="J659" s="30" t="s">
        <v>6443</v>
      </c>
      <c r="K659" s="241" t="n">
        <v>0.7</v>
      </c>
      <c r="L659" s="241" t="n">
        <v>1.7</v>
      </c>
      <c r="M659" s="30" t="s">
        <v>6454</v>
      </c>
      <c r="N659" s="6" t="s">
        <v>6455</v>
      </c>
      <c r="O659" s="6" t="s">
        <v>751</v>
      </c>
      <c r="P659" s="205" t="s">
        <v>4530</v>
      </c>
      <c r="Q659" s="184" t="s">
        <v>751</v>
      </c>
      <c r="R659" s="30" t="s">
        <v>751</v>
      </c>
      <c r="S659" s="44" t="str">
        <f aca="false">IF(ISNUMBER($AF659),INDEX(IDX_SrcStat,$AF659),"—")</f>
        <v>—</v>
      </c>
      <c r="T659" s="44" t="str">
        <f aca="false">IF(ISNUMBER($AF659),INDEX(IDX_SrcGrade,$AF659),"—")</f>
        <v>—</v>
      </c>
      <c r="U659" s="30" t="s">
        <v>751</v>
      </c>
      <c r="V659" s="32" t="n">
        <f aca="false">IF(AND($F659="原始數據",$U659&lt;&gt;"連結 SRC"),1,0)</f>
        <v>0</v>
      </c>
      <c r="W659" s="32" t="n">
        <f aca="false">IF(AND($F659="Analogy",OR($H659="—",$H659="")),1,0)</f>
        <v>0</v>
      </c>
      <c r="X659" s="32" t="n">
        <f aca="false">IF(AND(OR($F659="Analogy",$F659="Assumed"),$G659&lt;&gt;"低",$G659&lt;&gt;"高",NOT(ISNUMBER($K659)),NOT(ISNUMBER($L659)),OR($M659="—",$M659="")),1,0)</f>
        <v>0</v>
      </c>
      <c r="Y659" s="32" t="n">
        <f aca="false">IF(AND(OR($F659="Analogy",$F659="Assumed",$F659="Derived（待改公式）",$F659="Derived（公式）"),OR($N659="—",$N659="",$N659=0)),1,0)</f>
        <v>0</v>
      </c>
      <c r="Z659" s="32" t="n">
        <f aca="false">IF(AND($F659="Decision",OR($J659="—",$J659="")),1,0)</f>
        <v>0</v>
      </c>
      <c r="AA659" s="33" t="n">
        <f aca="false">IF(OR($J659="—",$J659=""),0,IF(COUNTIF(Decisions!$A$5:$A$300,$J659)=0,1,0))</f>
        <v>0</v>
      </c>
      <c r="AB659" s="32" t="n">
        <f aca="false">IF(AND($F659="原始數據",$S659&lt;&gt;"Active"),1,0)</f>
        <v>0</v>
      </c>
      <c r="AC659" s="32" t="n">
        <f aca="false">IF(AND(ISNUMBER($K659),ISNUMBER($L659),ISNUMBER($Q659)),IF(OR($Q659&lt;MIN($K659,$L659),$Q659&gt;MAX($K659,$L659)),1,0),0)</f>
        <v>0</v>
      </c>
      <c r="AD659" s="32" t="n">
        <f aca="false">IF(AND(ISNUMBER($T659),$P659="高"),IF($T659=3,1,0),0)</f>
        <v>0</v>
      </c>
      <c r="AE659" s="32" t="n">
        <f aca="false">IF($S659="不存在",1,0)</f>
        <v>0</v>
      </c>
      <c r="AF659" s="44" t="str">
        <f aca="false">IF(OR($H659="—",$H659=""),"—",MATCH($H659,IDX_SrcID,0))</f>
        <v>—</v>
      </c>
      <c r="AG659" s="32" t="n">
        <f aca="false">IF(AND($P659="高",OR($AD659=1,$X659=1)),1,0)</f>
        <v>0</v>
      </c>
      <c r="AH659" s="32" t="n">
        <f aca="false">IF(AND($P659="高",$AG659=0,OR($F659&lt;&gt;"原始數據",$T659&lt;&gt;1)),1,0)</f>
        <v>0</v>
      </c>
      <c r="AI659" s="44" t="str">
        <f aca="false">IF(AND($P659="高",ISNUMBER($AF659)),INDEX(IDX_SrcDate,$AF659),"—")</f>
        <v>—</v>
      </c>
      <c r="AJ659" s="32" t="n">
        <f aca="false">IF(AND(ISTEXT($AI659),LEN($AI659)=10),IF(ISNUMBER(VALUE(SUBSTITUTE($AI659,"-",""))),VALUE(SUBSTITUTE($AI659,"-","")),0),0)</f>
        <v>0</v>
      </c>
    </row>
    <row r="660" customFormat="false" ht="143.25" hidden="false" customHeight="true" outlineLevel="0" collapsed="false">
      <c r="A660" s="30" t="s">
        <v>6456</v>
      </c>
      <c r="B660" s="205" t="s">
        <v>6457</v>
      </c>
      <c r="C660" s="30" t="s">
        <v>4689</v>
      </c>
      <c r="D660" s="30" t="s">
        <v>6458</v>
      </c>
      <c r="E660" s="243" t="s">
        <v>6459</v>
      </c>
      <c r="F660" s="30" t="s">
        <v>114</v>
      </c>
      <c r="G660" s="205" t="s">
        <v>4527</v>
      </c>
      <c r="H660" s="30" t="s">
        <v>751</v>
      </c>
      <c r="I660" s="6" t="s">
        <v>751</v>
      </c>
      <c r="J660" s="30" t="s">
        <v>6460</v>
      </c>
      <c r="K660" s="205"/>
      <c r="L660" s="205"/>
      <c r="M660" s="205" t="s">
        <v>6461</v>
      </c>
      <c r="N660" s="6" t="s">
        <v>6462</v>
      </c>
      <c r="O660" s="6" t="s">
        <v>751</v>
      </c>
      <c r="P660" s="205" t="s">
        <v>1309</v>
      </c>
      <c r="Q660" s="184" t="s">
        <v>751</v>
      </c>
      <c r="R660" s="30" t="s">
        <v>751</v>
      </c>
      <c r="S660" s="44" t="str">
        <f aca="false">IF(ISNUMBER($AF660),INDEX(IDX_SrcStat,$AF660),"—")</f>
        <v>—</v>
      </c>
      <c r="T660" s="44" t="str">
        <f aca="false">IF(ISNUMBER($AF660),INDEX(IDX_SrcGrade,$AF660),"—")</f>
        <v>—</v>
      </c>
      <c r="U660" s="30" t="s">
        <v>751</v>
      </c>
      <c r="V660" s="32" t="n">
        <f aca="false">IF(AND($F660="原始數據",$U660&lt;&gt;"連結 SRC"),1,0)</f>
        <v>0</v>
      </c>
      <c r="W660" s="32" t="n">
        <f aca="false">IF(AND($F660="Analogy",OR($H660="—",$H660="")),1,0)</f>
        <v>0</v>
      </c>
      <c r="X660" s="32" t="n">
        <f aca="false">IF(AND(OR($F660="Analogy",$F660="Assumed"),$G660&lt;&gt;"低",$G660&lt;&gt;"高",NOT(ISNUMBER($K660)),NOT(ISNUMBER($L660)),OR($M660="—",$M660="")),1,0)</f>
        <v>0</v>
      </c>
      <c r="Y660" s="32" t="n">
        <f aca="false">IF(AND(OR($F660="Analogy",$F660="Assumed",$F660="Derived（待改公式）",$F660="Derived（公式）"),OR($N660="—",$N660="",$N660=0)),1,0)</f>
        <v>0</v>
      </c>
      <c r="Z660" s="32" t="n">
        <f aca="false">IF(AND($F660="Decision",OR($J660="—",$J660="")),1,0)</f>
        <v>0</v>
      </c>
      <c r="AA660" s="33" t="n">
        <f aca="false">IF(OR($J660="—",$J660=""),0,IF(COUNTIF(Decisions!$A$5:$A$300,$J660)=0,1,0))</f>
        <v>0</v>
      </c>
      <c r="AB660" s="32" t="n">
        <f aca="false">IF(AND($F660="原始數據",$S660&lt;&gt;"Active"),1,0)</f>
        <v>0</v>
      </c>
      <c r="AC660" s="32" t="n">
        <f aca="false">IF(AND(ISNUMBER($K660),ISNUMBER($L660),ISNUMBER($Q660)),IF(OR($Q660&lt;MIN($K660,$L660),$Q660&gt;MAX($K660,$L660)),1,0),0)</f>
        <v>0</v>
      </c>
      <c r="AD660" s="32" t="n">
        <f aca="false">IF(AND(ISNUMBER($T660),$P660="高"),IF($T660=3,1,0),0)</f>
        <v>0</v>
      </c>
      <c r="AE660" s="32" t="n">
        <f aca="false">IF($S660="不存在",1,0)</f>
        <v>0</v>
      </c>
      <c r="AF660" s="44" t="str">
        <f aca="false">IF(OR($H660="—",$H660=""),"—",MATCH($H660,IDX_SrcID,0))</f>
        <v>—</v>
      </c>
      <c r="AG660" s="32" t="n">
        <f aca="false">IF(AND($P660="高",OR($AD660=1,$X660=1)),1,0)</f>
        <v>0</v>
      </c>
      <c r="AH660" s="32" t="n">
        <f aca="false">IF(AND($P660="高",$AG660=0,OR($F660&lt;&gt;"原始數據",$T660&lt;&gt;1)),1,0)</f>
        <v>1</v>
      </c>
      <c r="AI660" s="44" t="str">
        <f aca="false">IF(AND($P660="高",ISNUMBER($AF660)),INDEX(IDX_SrcDate,$AF660),"—")</f>
        <v>—</v>
      </c>
      <c r="AJ660" s="32" t="n">
        <f aca="false">IF(AND(ISTEXT($AI660),LEN($AI660)=10),IF(ISNUMBER(VALUE(SUBSTITUTE($AI660,"-",""))),VALUE(SUBSTITUTE($AI660,"-","")),0),0)</f>
        <v>0</v>
      </c>
    </row>
    <row r="661" customFormat="false" ht="143.25" hidden="false" customHeight="true" outlineLevel="0" collapsed="false">
      <c r="A661" s="30" t="s">
        <v>6463</v>
      </c>
      <c r="B661" s="205" t="s">
        <v>6457</v>
      </c>
      <c r="C661" s="30" t="s">
        <v>4689</v>
      </c>
      <c r="D661" s="30" t="s">
        <v>6464</v>
      </c>
      <c r="E661" s="243" t="s">
        <v>6465</v>
      </c>
      <c r="F661" s="30" t="s">
        <v>114</v>
      </c>
      <c r="G661" s="205" t="s">
        <v>1308</v>
      </c>
      <c r="H661" s="30" t="s">
        <v>751</v>
      </c>
      <c r="I661" s="6" t="s">
        <v>751</v>
      </c>
      <c r="J661" s="30" t="s">
        <v>6460</v>
      </c>
      <c r="K661" s="205"/>
      <c r="L661" s="205"/>
      <c r="M661" s="205" t="s">
        <v>6466</v>
      </c>
      <c r="N661" s="6" t="s">
        <v>6467</v>
      </c>
      <c r="O661" s="6" t="s">
        <v>751</v>
      </c>
      <c r="P661" s="205" t="s">
        <v>1309</v>
      </c>
      <c r="Q661" s="184" t="s">
        <v>751</v>
      </c>
      <c r="R661" s="30" t="s">
        <v>751</v>
      </c>
      <c r="S661" s="44" t="str">
        <f aca="false">IF(ISNUMBER($AF661),INDEX(IDX_SrcStat,$AF661),"—")</f>
        <v>—</v>
      </c>
      <c r="T661" s="44" t="str">
        <f aca="false">IF(ISNUMBER($AF661),INDEX(IDX_SrcGrade,$AF661),"—")</f>
        <v>—</v>
      </c>
      <c r="U661" s="30" t="s">
        <v>751</v>
      </c>
      <c r="V661" s="32" t="n">
        <f aca="false">IF(AND($F661="原始數據",$U661&lt;&gt;"連結 SRC"),1,0)</f>
        <v>0</v>
      </c>
      <c r="W661" s="32" t="n">
        <f aca="false">IF(AND($F661="Analogy",OR($H661="—",$H661="")),1,0)</f>
        <v>0</v>
      </c>
      <c r="X661" s="32" t="n">
        <f aca="false">IF(AND(OR($F661="Analogy",$F661="Assumed"),$G661&lt;&gt;"低",$G661&lt;&gt;"高",NOT(ISNUMBER($K661)),NOT(ISNUMBER($L661)),OR($M661="—",$M661="")),1,0)</f>
        <v>0</v>
      </c>
      <c r="Y661" s="32" t="n">
        <f aca="false">IF(AND(OR($F661="Analogy",$F661="Assumed",$F661="Derived（待改公式）",$F661="Derived（公式）"),OR($N661="—",$N661="",$N661=0)),1,0)</f>
        <v>0</v>
      </c>
      <c r="Z661" s="32" t="n">
        <f aca="false">IF(AND($F661="Decision",OR($J661="—",$J661="")),1,0)</f>
        <v>0</v>
      </c>
      <c r="AA661" s="33" t="n">
        <f aca="false">IF(OR($J661="—",$J661=""),0,IF(COUNTIF(Decisions!$A$5:$A$300,$J661)=0,1,0))</f>
        <v>0</v>
      </c>
      <c r="AB661" s="32" t="n">
        <f aca="false">IF(AND($F661="原始數據",$S661&lt;&gt;"Active"),1,0)</f>
        <v>0</v>
      </c>
      <c r="AC661" s="32" t="n">
        <f aca="false">IF(AND(ISNUMBER($K661),ISNUMBER($L661),ISNUMBER($Q661)),IF(OR($Q661&lt;MIN($K661,$L661),$Q661&gt;MAX($K661,$L661)),1,0),0)</f>
        <v>0</v>
      </c>
      <c r="AD661" s="32" t="n">
        <f aca="false">IF(AND(ISNUMBER($T661),$P661="高"),IF($T661=3,1,0),0)</f>
        <v>0</v>
      </c>
      <c r="AE661" s="32" t="n">
        <f aca="false">IF($S661="不存在",1,0)</f>
        <v>0</v>
      </c>
      <c r="AF661" s="44" t="str">
        <f aca="false">IF(OR($H661="—",$H661=""),"—",MATCH($H661,IDX_SrcID,0))</f>
        <v>—</v>
      </c>
      <c r="AG661" s="32" t="n">
        <f aca="false">IF(AND($P661="高",OR($AD661=1,$X661=1)),1,0)</f>
        <v>0</v>
      </c>
      <c r="AH661" s="32" t="n">
        <f aca="false">IF(AND($P661="高",$AG661=0,OR($F661&lt;&gt;"原始數據",$T661&lt;&gt;1)),1,0)</f>
        <v>1</v>
      </c>
      <c r="AI661" s="44" t="str">
        <f aca="false">IF(AND($P661="高",ISNUMBER($AF661)),INDEX(IDX_SrcDate,$AF661),"—")</f>
        <v>—</v>
      </c>
      <c r="AJ661" s="32" t="n">
        <f aca="false">IF(AND(ISTEXT($AI661),LEN($AI661)=10),IF(ISNUMBER(VALUE(SUBSTITUTE($AI661,"-",""))),VALUE(SUBSTITUTE($AI661,"-","")),0),0)</f>
        <v>0</v>
      </c>
    </row>
    <row r="662" customFormat="false" ht="143.25" hidden="false" customHeight="true" outlineLevel="0" collapsed="false">
      <c r="A662" s="30" t="s">
        <v>6468</v>
      </c>
      <c r="B662" s="205" t="s">
        <v>6457</v>
      </c>
      <c r="C662" s="30" t="s">
        <v>4689</v>
      </c>
      <c r="D662" s="30" t="s">
        <v>6469</v>
      </c>
      <c r="E662" s="243" t="s">
        <v>6470</v>
      </c>
      <c r="F662" s="30" t="s">
        <v>114</v>
      </c>
      <c r="G662" s="205" t="s">
        <v>1309</v>
      </c>
      <c r="H662" s="30" t="s">
        <v>751</v>
      </c>
      <c r="I662" s="6" t="s">
        <v>751</v>
      </c>
      <c r="J662" s="30" t="s">
        <v>6460</v>
      </c>
      <c r="K662" s="205"/>
      <c r="L662" s="205"/>
      <c r="M662" s="205" t="s">
        <v>6471</v>
      </c>
      <c r="N662" s="6" t="s">
        <v>6467</v>
      </c>
      <c r="O662" s="6" t="s">
        <v>751</v>
      </c>
      <c r="P662" s="205" t="s">
        <v>1309</v>
      </c>
      <c r="Q662" s="184" t="s">
        <v>751</v>
      </c>
      <c r="R662" s="30" t="s">
        <v>751</v>
      </c>
      <c r="S662" s="44" t="str">
        <f aca="false">IF(ISNUMBER($AF662),INDEX(IDX_SrcStat,$AF662),"—")</f>
        <v>—</v>
      </c>
      <c r="T662" s="44" t="str">
        <f aca="false">IF(ISNUMBER($AF662),INDEX(IDX_SrcGrade,$AF662),"—")</f>
        <v>—</v>
      </c>
      <c r="U662" s="30" t="s">
        <v>751</v>
      </c>
      <c r="V662" s="32" t="n">
        <f aca="false">IF(AND($F662="原始數據",$U662&lt;&gt;"連結 SRC"),1,0)</f>
        <v>0</v>
      </c>
      <c r="W662" s="32" t="n">
        <f aca="false">IF(AND($F662="Analogy",OR($H662="—",$H662="")),1,0)</f>
        <v>0</v>
      </c>
      <c r="X662" s="32" t="n">
        <f aca="false">IF(AND(OR($F662="Analogy",$F662="Assumed"),$G662&lt;&gt;"低",$G662&lt;&gt;"高",NOT(ISNUMBER($K662)),NOT(ISNUMBER($L662)),OR($M662="—",$M662="")),1,0)</f>
        <v>0</v>
      </c>
      <c r="Y662" s="32" t="n">
        <f aca="false">IF(AND(OR($F662="Analogy",$F662="Assumed",$F662="Derived（待改公式）",$F662="Derived（公式）"),OR($N662="—",$N662="",$N662=0)),1,0)</f>
        <v>0</v>
      </c>
      <c r="Z662" s="32" t="n">
        <f aca="false">IF(AND($F662="Decision",OR($J662="—",$J662="")),1,0)</f>
        <v>0</v>
      </c>
      <c r="AA662" s="33" t="n">
        <f aca="false">IF(OR($J662="—",$J662=""),0,IF(COUNTIF(Decisions!$A$5:$A$300,$J662)=0,1,0))</f>
        <v>0</v>
      </c>
      <c r="AB662" s="32" t="n">
        <f aca="false">IF(AND($F662="原始數據",$S662&lt;&gt;"Active"),1,0)</f>
        <v>0</v>
      </c>
      <c r="AC662" s="32" t="n">
        <f aca="false">IF(AND(ISNUMBER($K662),ISNUMBER($L662),ISNUMBER($Q662)),IF(OR($Q662&lt;MIN($K662,$L662),$Q662&gt;MAX($K662,$L662)),1,0),0)</f>
        <v>0</v>
      </c>
      <c r="AD662" s="32" t="n">
        <f aca="false">IF(AND(ISNUMBER($T662),$P662="高"),IF($T662=3,1,0),0)</f>
        <v>0</v>
      </c>
      <c r="AE662" s="32" t="n">
        <f aca="false">IF($S662="不存在",1,0)</f>
        <v>0</v>
      </c>
      <c r="AF662" s="44" t="str">
        <f aca="false">IF(OR($H662="—",$H662=""),"—",MATCH($H662,IDX_SrcID,0))</f>
        <v>—</v>
      </c>
      <c r="AG662" s="32" t="n">
        <f aca="false">IF(AND($P662="高",OR($AD662=1,$X662=1)),1,0)</f>
        <v>0</v>
      </c>
      <c r="AH662" s="32" t="n">
        <f aca="false">IF(AND($P662="高",$AG662=0,OR($F662&lt;&gt;"原始數據",$T662&lt;&gt;1)),1,0)</f>
        <v>1</v>
      </c>
      <c r="AI662" s="44" t="str">
        <f aca="false">IF(AND($P662="高",ISNUMBER($AF662)),INDEX(IDX_SrcDate,$AF662),"—")</f>
        <v>—</v>
      </c>
      <c r="AJ662" s="32" t="n">
        <f aca="false">IF(AND(ISTEXT($AI662),LEN($AI662)=10),IF(ISNUMBER(VALUE(SUBSTITUTE($AI662,"-",""))),VALUE(SUBSTITUTE($AI662,"-","")),0),0)</f>
        <v>0</v>
      </c>
    </row>
    <row r="663" customFormat="false" ht="267.75" hidden="false" customHeight="true" outlineLevel="0" collapsed="false">
      <c r="A663" s="30" t="s">
        <v>6472</v>
      </c>
      <c r="B663" s="205" t="s">
        <v>6473</v>
      </c>
      <c r="C663" s="30" t="s">
        <v>5608</v>
      </c>
      <c r="D663" s="30" t="s">
        <v>6474</v>
      </c>
      <c r="E663" s="243" t="s">
        <v>6475</v>
      </c>
      <c r="F663" s="30" t="s">
        <v>114</v>
      </c>
      <c r="G663" s="205" t="s">
        <v>97</v>
      </c>
      <c r="H663" s="30" t="s">
        <v>751</v>
      </c>
      <c r="I663" s="6" t="s">
        <v>751</v>
      </c>
      <c r="J663" s="30" t="s">
        <v>6476</v>
      </c>
      <c r="K663" s="192" t="n">
        <f aca="false">Cap_In!D272</f>
        <v>1.88</v>
      </c>
      <c r="L663" s="192" t="n">
        <f aca="false">Cap_In!E272</f>
        <v>2.17</v>
      </c>
      <c r="M663" s="30" t="s">
        <v>6477</v>
      </c>
      <c r="N663" s="243" t="s">
        <v>6478</v>
      </c>
      <c r="O663" s="6" t="s">
        <v>751</v>
      </c>
      <c r="P663" s="205" t="s">
        <v>4586</v>
      </c>
      <c r="Q663" s="192" t="n">
        <f aca="false">Cap_In!C272</f>
        <v>1.88</v>
      </c>
      <c r="R663" s="30" t="s">
        <v>751</v>
      </c>
      <c r="S663" s="44" t="str">
        <f aca="false">IF(ISNUMBER($AF663),INDEX(IDX_SrcStat,$AF663),"—")</f>
        <v>—</v>
      </c>
      <c r="T663" s="44" t="str">
        <f aca="false">IF(ISNUMBER($AF663),INDEX(IDX_SrcGrade,$AF663),"—")</f>
        <v>—</v>
      </c>
      <c r="U663" s="44" t="s">
        <v>4531</v>
      </c>
      <c r="V663" s="32" t="n">
        <f aca="false">IF(AND($F663="原始數據",$U663&lt;&gt;"連結 SRC"),1,0)</f>
        <v>0</v>
      </c>
      <c r="W663" s="32" t="n">
        <f aca="false">IF(AND($F663="Analogy",OR($H663="—",$H663="")),1,0)</f>
        <v>0</v>
      </c>
      <c r="X663" s="32" t="n">
        <f aca="false">IF(AND(OR($F663="Analogy",$F663="Assumed"),$G663&lt;&gt;"低",$G663&lt;&gt;"高",NOT(ISNUMBER($K663)),NOT(ISNUMBER($L663)),OR($M663="—",$M663="")),1,0)</f>
        <v>0</v>
      </c>
      <c r="Y663" s="32" t="n">
        <f aca="false">IF(AND(OR($F663="Analogy",$F663="Assumed",$F663="Derived（待改公式）",$F663="Derived（公式）"),OR($N663="—",$N663="",$N663=0)),1,0)</f>
        <v>0</v>
      </c>
      <c r="Z663" s="32" t="n">
        <f aca="false">IF(AND($F663="Decision",OR($J663="—",$J663="")),1,0)</f>
        <v>0</v>
      </c>
      <c r="AA663" s="33" t="n">
        <f aca="false">IF(OR($J663="—",$J663=""),0,IF(COUNTIF(Decisions!$A$5:$A$300,$J663)=0,1,0))</f>
        <v>0</v>
      </c>
      <c r="AB663" s="32" t="n">
        <f aca="false">IF(AND($F663="原始數據",$S663&lt;&gt;"Active"),1,0)</f>
        <v>0</v>
      </c>
      <c r="AC663" s="32" t="n">
        <f aca="false">IF(AND(ISNUMBER($K663),ISNUMBER($L663),ISNUMBER($Q663)),IF(OR($Q663&lt;MIN($K663,$L663),$Q663&gt;MAX($K663,$L663)),1,0),0)</f>
        <v>0</v>
      </c>
      <c r="AD663" s="32" t="n">
        <f aca="false">IF(AND(ISNUMBER($T663),$P663="高"),IF($T663=3,1,0),0)</f>
        <v>0</v>
      </c>
      <c r="AE663" s="32" t="n">
        <f aca="false">IF($S663="不存在",1,0)</f>
        <v>0</v>
      </c>
      <c r="AF663" s="44" t="str">
        <f aca="false">IF(OR($H663="—",$H663=""),"—",MATCH($H663,IDX_SrcID,0))</f>
        <v>—</v>
      </c>
      <c r="AG663" s="32" t="n">
        <f aca="false">IF(AND($P663="高",OR($AD663=1,$X663=1)),1,0)</f>
        <v>0</v>
      </c>
      <c r="AH663" s="32" t="n">
        <f aca="false">IF(AND($P663="高",$AG663=0,OR($F663&lt;&gt;"原始數據",$T663&lt;&gt;1)),1,0)</f>
        <v>0</v>
      </c>
      <c r="AI663" s="44" t="str">
        <f aca="false">IF(AND($P663="高",ISNUMBER($AF663)),INDEX(IDX_SrcDate,$AF663),"—")</f>
        <v>—</v>
      </c>
      <c r="AJ663" s="32" t="n">
        <f aca="false">IF(AND(ISTEXT($AI663),LEN($AI663)=10),IF(ISNUMBER(VALUE(SUBSTITUTE($AI663,"-",""))),VALUE(SUBSTITUTE($AI663,"-","")),0),0)</f>
        <v>0</v>
      </c>
    </row>
    <row r="664" customFormat="false" ht="267.75" hidden="false" customHeight="true" outlineLevel="0" collapsed="false">
      <c r="A664" s="30" t="s">
        <v>6479</v>
      </c>
      <c r="B664" s="205" t="s">
        <v>6473</v>
      </c>
      <c r="C664" s="30" t="s">
        <v>5608</v>
      </c>
      <c r="D664" s="30" t="s">
        <v>6480</v>
      </c>
      <c r="E664" s="243" t="s">
        <v>6475</v>
      </c>
      <c r="F664" s="30" t="s">
        <v>114</v>
      </c>
      <c r="G664" s="205" t="s">
        <v>5614</v>
      </c>
      <c r="H664" s="30" t="s">
        <v>751</v>
      </c>
      <c r="I664" s="6" t="s">
        <v>751</v>
      </c>
      <c r="J664" s="30" t="s">
        <v>6476</v>
      </c>
      <c r="K664" s="205"/>
      <c r="L664" s="205"/>
      <c r="M664" s="30" t="s">
        <v>6481</v>
      </c>
      <c r="N664" s="243" t="s">
        <v>6478</v>
      </c>
      <c r="O664" s="6" t="s">
        <v>751</v>
      </c>
      <c r="P664" s="30" t="s">
        <v>751</v>
      </c>
      <c r="Q664" s="184" t="s">
        <v>751</v>
      </c>
      <c r="R664" s="30" t="s">
        <v>751</v>
      </c>
      <c r="S664" s="44" t="str">
        <f aca="false">IF(ISNUMBER($AF664),INDEX(IDX_SrcStat,$AF664),"—")</f>
        <v>—</v>
      </c>
      <c r="T664" s="44" t="str">
        <f aca="false">IF(ISNUMBER($AF664),INDEX(IDX_SrcGrade,$AF664),"—")</f>
        <v>—</v>
      </c>
      <c r="U664" s="30" t="s">
        <v>751</v>
      </c>
      <c r="V664" s="32" t="n">
        <f aca="false">IF(AND($F664="原始數據",$U664&lt;&gt;"連結 SRC"),1,0)</f>
        <v>0</v>
      </c>
      <c r="W664" s="32" t="n">
        <f aca="false">IF(AND($F664="Analogy",OR($H664="—",$H664="")),1,0)</f>
        <v>0</v>
      </c>
      <c r="X664" s="32" t="n">
        <f aca="false">IF(AND(OR($F664="Analogy",$F664="Assumed"),$G664&lt;&gt;"低",$G664&lt;&gt;"高",NOT(ISNUMBER($K664)),NOT(ISNUMBER($L664)),OR($M664="—",$M664="")),1,0)</f>
        <v>0</v>
      </c>
      <c r="Y664" s="32" t="n">
        <f aca="false">IF(AND(OR($F664="Analogy",$F664="Assumed",$F664="Derived（待改公式）",$F664="Derived（公式）"),OR($N664="—",$N664="",$N664=0)),1,0)</f>
        <v>0</v>
      </c>
      <c r="Z664" s="32" t="n">
        <f aca="false">IF(AND($F664="Decision",OR($J664="—",$J664="")),1,0)</f>
        <v>0</v>
      </c>
      <c r="AA664" s="33" t="n">
        <f aca="false">IF(OR($J664="—",$J664=""),0,IF(COUNTIF(Decisions!$A$5:$A$300,$J664)=0,1,0))</f>
        <v>0</v>
      </c>
      <c r="AB664" s="32" t="n">
        <f aca="false">IF(AND($F664="原始數據",$S664&lt;&gt;"Active"),1,0)</f>
        <v>0</v>
      </c>
      <c r="AC664" s="32" t="n">
        <f aca="false">IF(AND(ISNUMBER($K664),ISNUMBER($L664),ISNUMBER($Q664)),IF(OR($Q664&lt;MIN($K664,$L664),$Q664&gt;MAX($K664,$L664)),1,0),0)</f>
        <v>0</v>
      </c>
      <c r="AD664" s="32" t="n">
        <f aca="false">IF(AND(ISNUMBER($T664),$P664="高"),IF($T664=3,1,0),0)</f>
        <v>0</v>
      </c>
      <c r="AE664" s="32" t="n">
        <f aca="false">IF($S664="不存在",1,0)</f>
        <v>0</v>
      </c>
      <c r="AF664" s="44" t="str">
        <f aca="false">IF(OR($H664="—",$H664=""),"—",MATCH($H664,IDX_SrcID,0))</f>
        <v>—</v>
      </c>
      <c r="AG664" s="32" t="n">
        <f aca="false">IF(AND($P664="高",OR($AD664=1,$X664=1)),1,0)</f>
        <v>0</v>
      </c>
      <c r="AH664" s="32" t="n">
        <f aca="false">IF(AND($P664="高",$AG664=0,OR($F664&lt;&gt;"原始數據",$T664&lt;&gt;1)),1,0)</f>
        <v>0</v>
      </c>
      <c r="AI664" s="44" t="str">
        <f aca="false">IF(AND($P664="高",ISNUMBER($AF664)),INDEX(IDX_SrcDate,$AF664),"—")</f>
        <v>—</v>
      </c>
      <c r="AJ664" s="32" t="n">
        <f aca="false">IF(AND(ISTEXT($AI664),LEN($AI664)=10),IF(ISNUMBER(VALUE(SUBSTITUTE($AI664,"-",""))),VALUE(SUBSTITUTE($AI664,"-","")),0),0)</f>
        <v>0</v>
      </c>
    </row>
    <row r="665" customFormat="false" ht="253.5" hidden="false" customHeight="true" outlineLevel="0" collapsed="false">
      <c r="A665" s="30" t="s">
        <v>6482</v>
      </c>
      <c r="B665" s="205" t="s">
        <v>6473</v>
      </c>
      <c r="C665" s="30" t="s">
        <v>5608</v>
      </c>
      <c r="D665" s="30" t="s">
        <v>6483</v>
      </c>
      <c r="E665" s="243" t="s">
        <v>6484</v>
      </c>
      <c r="F665" s="30" t="s">
        <v>114</v>
      </c>
      <c r="G665" s="205" t="s">
        <v>97</v>
      </c>
      <c r="H665" s="30" t="s">
        <v>751</v>
      </c>
      <c r="I665" s="6" t="s">
        <v>751</v>
      </c>
      <c r="J665" s="30" t="s">
        <v>6476</v>
      </c>
      <c r="K665" s="192" t="n">
        <f aca="false">Cap_In!D273</f>
        <v>0.41</v>
      </c>
      <c r="L665" s="192" t="n">
        <f aca="false">Cap_In!E273</f>
        <v>0.54</v>
      </c>
      <c r="M665" s="30" t="s">
        <v>6485</v>
      </c>
      <c r="N665" s="243" t="s">
        <v>6486</v>
      </c>
      <c r="O665" s="6" t="s">
        <v>751</v>
      </c>
      <c r="P665" s="205" t="s">
        <v>4586</v>
      </c>
      <c r="Q665" s="192" t="n">
        <f aca="false">Cap_In!C273</f>
        <v>0.41</v>
      </c>
      <c r="R665" s="30" t="s">
        <v>751</v>
      </c>
      <c r="S665" s="44" t="str">
        <f aca="false">IF(ISNUMBER($AF665),INDEX(IDX_SrcStat,$AF665),"—")</f>
        <v>—</v>
      </c>
      <c r="T665" s="44" t="str">
        <f aca="false">IF(ISNUMBER($AF665),INDEX(IDX_SrcGrade,$AF665),"—")</f>
        <v>—</v>
      </c>
      <c r="U665" s="44" t="s">
        <v>4531</v>
      </c>
      <c r="V665" s="32" t="n">
        <f aca="false">IF(AND($F665="原始數據",$U665&lt;&gt;"連結 SRC"),1,0)</f>
        <v>0</v>
      </c>
      <c r="W665" s="32" t="n">
        <f aca="false">IF(AND($F665="Analogy",OR($H665="—",$H665="")),1,0)</f>
        <v>0</v>
      </c>
      <c r="X665" s="32" t="n">
        <f aca="false">IF(AND(OR($F665="Analogy",$F665="Assumed"),$G665&lt;&gt;"低",$G665&lt;&gt;"高",NOT(ISNUMBER($K665)),NOT(ISNUMBER($L665)),OR($M665="—",$M665="")),1,0)</f>
        <v>0</v>
      </c>
      <c r="Y665" s="32" t="n">
        <f aca="false">IF(AND(OR($F665="Analogy",$F665="Assumed",$F665="Derived（待改公式）",$F665="Derived（公式）"),OR($N665="—",$N665="",$N665=0)),1,0)</f>
        <v>0</v>
      </c>
      <c r="Z665" s="32" t="n">
        <f aca="false">IF(AND($F665="Decision",OR($J665="—",$J665="")),1,0)</f>
        <v>0</v>
      </c>
      <c r="AA665" s="33" t="n">
        <f aca="false">IF(OR($J665="—",$J665=""),0,IF(COUNTIF(Decisions!$A$5:$A$300,$J665)=0,1,0))</f>
        <v>0</v>
      </c>
      <c r="AB665" s="32" t="n">
        <f aca="false">IF(AND($F665="原始數據",$S665&lt;&gt;"Active"),1,0)</f>
        <v>0</v>
      </c>
      <c r="AC665" s="32" t="n">
        <f aca="false">IF(AND(ISNUMBER($K665),ISNUMBER($L665),ISNUMBER($Q665)),IF(OR($Q665&lt;MIN($K665,$L665),$Q665&gt;MAX($K665,$L665)),1,0),0)</f>
        <v>0</v>
      </c>
      <c r="AD665" s="32" t="n">
        <f aca="false">IF(AND(ISNUMBER($T665),$P665="高"),IF($T665=3,1,0),0)</f>
        <v>0</v>
      </c>
      <c r="AE665" s="32" t="n">
        <f aca="false">IF($S665="不存在",1,0)</f>
        <v>0</v>
      </c>
      <c r="AF665" s="44" t="str">
        <f aca="false">IF(OR($H665="—",$H665=""),"—",MATCH($H665,IDX_SrcID,0))</f>
        <v>—</v>
      </c>
      <c r="AG665" s="32" t="n">
        <f aca="false">IF(AND($P665="高",OR($AD665=1,$X665=1)),1,0)</f>
        <v>0</v>
      </c>
      <c r="AH665" s="32" t="n">
        <f aca="false">IF(AND($P665="高",$AG665=0,OR($F665&lt;&gt;"原始數據",$T665&lt;&gt;1)),1,0)</f>
        <v>0</v>
      </c>
      <c r="AI665" s="44" t="str">
        <f aca="false">IF(AND($P665="高",ISNUMBER($AF665)),INDEX(IDX_SrcDate,$AF665),"—")</f>
        <v>—</v>
      </c>
      <c r="AJ665" s="32" t="n">
        <f aca="false">IF(AND(ISTEXT($AI665),LEN($AI665)=10),IF(ISNUMBER(VALUE(SUBSTITUTE($AI665,"-",""))),VALUE(SUBSTITUTE($AI665,"-","")),0),0)</f>
        <v>0</v>
      </c>
    </row>
    <row r="666" customFormat="false" ht="253.5" hidden="false" customHeight="true" outlineLevel="0" collapsed="false">
      <c r="A666" s="30" t="s">
        <v>6487</v>
      </c>
      <c r="B666" s="205" t="s">
        <v>6473</v>
      </c>
      <c r="C666" s="30" t="s">
        <v>5608</v>
      </c>
      <c r="D666" s="30" t="s">
        <v>6488</v>
      </c>
      <c r="E666" s="243" t="s">
        <v>6484</v>
      </c>
      <c r="F666" s="30" t="s">
        <v>114</v>
      </c>
      <c r="G666" s="205" t="s">
        <v>5614</v>
      </c>
      <c r="H666" s="30" t="s">
        <v>751</v>
      </c>
      <c r="I666" s="6" t="s">
        <v>751</v>
      </c>
      <c r="J666" s="30" t="s">
        <v>6476</v>
      </c>
      <c r="K666" s="205"/>
      <c r="L666" s="205"/>
      <c r="M666" s="30" t="s">
        <v>6489</v>
      </c>
      <c r="N666" s="243" t="s">
        <v>6486</v>
      </c>
      <c r="O666" s="6" t="s">
        <v>751</v>
      </c>
      <c r="P666" s="30" t="s">
        <v>751</v>
      </c>
      <c r="Q666" s="184" t="s">
        <v>751</v>
      </c>
      <c r="R666" s="30" t="s">
        <v>751</v>
      </c>
      <c r="S666" s="44" t="str">
        <f aca="false">IF(ISNUMBER($AF666),INDEX(IDX_SrcStat,$AF666),"—")</f>
        <v>—</v>
      </c>
      <c r="T666" s="44" t="str">
        <f aca="false">IF(ISNUMBER($AF666),INDEX(IDX_SrcGrade,$AF666),"—")</f>
        <v>—</v>
      </c>
      <c r="U666" s="30" t="s">
        <v>751</v>
      </c>
      <c r="V666" s="32" t="n">
        <f aca="false">IF(AND($F666="原始數據",$U666&lt;&gt;"連結 SRC"),1,0)</f>
        <v>0</v>
      </c>
      <c r="W666" s="32" t="n">
        <f aca="false">IF(AND($F666="Analogy",OR($H666="—",$H666="")),1,0)</f>
        <v>0</v>
      </c>
      <c r="X666" s="32" t="n">
        <f aca="false">IF(AND(OR($F666="Analogy",$F666="Assumed"),$G666&lt;&gt;"低",$G666&lt;&gt;"高",NOT(ISNUMBER($K666)),NOT(ISNUMBER($L666)),OR($M666="—",$M666="")),1,0)</f>
        <v>0</v>
      </c>
      <c r="Y666" s="32" t="n">
        <f aca="false">IF(AND(OR($F666="Analogy",$F666="Assumed",$F666="Derived（待改公式）",$F666="Derived（公式）"),OR($N666="—",$N666="",$N666=0)),1,0)</f>
        <v>0</v>
      </c>
      <c r="Z666" s="32" t="n">
        <f aca="false">IF(AND($F666="Decision",OR($J666="—",$J666="")),1,0)</f>
        <v>0</v>
      </c>
      <c r="AA666" s="33" t="n">
        <f aca="false">IF(OR($J666="—",$J666=""),0,IF(COUNTIF(Decisions!$A$5:$A$300,$J666)=0,1,0))</f>
        <v>0</v>
      </c>
      <c r="AB666" s="32" t="n">
        <f aca="false">IF(AND($F666="原始數據",$S666&lt;&gt;"Active"),1,0)</f>
        <v>0</v>
      </c>
      <c r="AC666" s="32" t="n">
        <f aca="false">IF(AND(ISNUMBER($K666),ISNUMBER($L666),ISNUMBER($Q666)),IF(OR($Q666&lt;MIN($K666,$L666),$Q666&gt;MAX($K666,$L666)),1,0),0)</f>
        <v>0</v>
      </c>
      <c r="AD666" s="32" t="n">
        <f aca="false">IF(AND(ISNUMBER($T666),$P666="高"),IF($T666=3,1,0),0)</f>
        <v>0</v>
      </c>
      <c r="AE666" s="32" t="n">
        <f aca="false">IF($S666="不存在",1,0)</f>
        <v>0</v>
      </c>
      <c r="AF666" s="44" t="str">
        <f aca="false">IF(OR($H666="—",$H666=""),"—",MATCH($H666,IDX_SrcID,0))</f>
        <v>—</v>
      </c>
      <c r="AG666" s="32" t="n">
        <f aca="false">IF(AND($P666="高",OR($AD666=1,$X666=1)),1,0)</f>
        <v>0</v>
      </c>
      <c r="AH666" s="32" t="n">
        <f aca="false">IF(AND($P666="高",$AG666=0,OR($F666&lt;&gt;"原始數據",$T666&lt;&gt;1)),1,0)</f>
        <v>0</v>
      </c>
      <c r="AI666" s="44" t="str">
        <f aca="false">IF(AND($P666="高",ISNUMBER($AF666)),INDEX(IDX_SrcDate,$AF666),"—")</f>
        <v>—</v>
      </c>
      <c r="AJ666" s="32" t="n">
        <f aca="false">IF(AND(ISTEXT($AI666),LEN($AI666)=10),IF(ISNUMBER(VALUE(SUBSTITUTE($AI666,"-",""))),VALUE(SUBSTITUTE($AI666,"-","")),0),0)</f>
        <v>0</v>
      </c>
    </row>
    <row r="667" customFormat="false" ht="253.5" hidden="false" customHeight="true" outlineLevel="0" collapsed="false">
      <c r="A667" s="30" t="s">
        <v>6490</v>
      </c>
      <c r="B667" s="205" t="s">
        <v>6473</v>
      </c>
      <c r="C667" s="30" t="s">
        <v>5608</v>
      </c>
      <c r="D667" s="30" t="s">
        <v>6491</v>
      </c>
      <c r="E667" s="243" t="s">
        <v>6492</v>
      </c>
      <c r="F667" s="30" t="s">
        <v>114</v>
      </c>
      <c r="G667" s="205" t="s">
        <v>97</v>
      </c>
      <c r="H667" s="30" t="s">
        <v>751</v>
      </c>
      <c r="I667" s="6" t="s">
        <v>751</v>
      </c>
      <c r="J667" s="30" t="s">
        <v>6476</v>
      </c>
      <c r="K667" s="192" t="n">
        <f aca="false">Cap_In!D274</f>
        <v>1.11</v>
      </c>
      <c r="L667" s="192" t="n">
        <f aca="false">Cap_In!E274</f>
        <v>1.24</v>
      </c>
      <c r="M667" s="30" t="s">
        <v>6493</v>
      </c>
      <c r="N667" s="243" t="s">
        <v>6494</v>
      </c>
      <c r="O667" s="6" t="s">
        <v>751</v>
      </c>
      <c r="P667" s="205" t="s">
        <v>4586</v>
      </c>
      <c r="Q667" s="192" t="n">
        <f aca="false">Cap_In!C274</f>
        <v>1.18</v>
      </c>
      <c r="R667" s="30" t="s">
        <v>751</v>
      </c>
      <c r="S667" s="44" t="str">
        <f aca="false">IF(ISNUMBER($AF667),INDEX(IDX_SrcStat,$AF667),"—")</f>
        <v>—</v>
      </c>
      <c r="T667" s="44" t="str">
        <f aca="false">IF(ISNUMBER($AF667),INDEX(IDX_SrcGrade,$AF667),"—")</f>
        <v>—</v>
      </c>
      <c r="U667" s="44" t="s">
        <v>4531</v>
      </c>
      <c r="V667" s="32" t="n">
        <f aca="false">IF(AND($F667="原始數據",$U667&lt;&gt;"連結 SRC"),1,0)</f>
        <v>0</v>
      </c>
      <c r="W667" s="32" t="n">
        <f aca="false">IF(AND($F667="Analogy",OR($H667="—",$H667="")),1,0)</f>
        <v>0</v>
      </c>
      <c r="X667" s="32" t="n">
        <f aca="false">IF(AND(OR($F667="Analogy",$F667="Assumed"),$G667&lt;&gt;"低",$G667&lt;&gt;"高",NOT(ISNUMBER($K667)),NOT(ISNUMBER($L667)),OR($M667="—",$M667="")),1,0)</f>
        <v>0</v>
      </c>
      <c r="Y667" s="32" t="n">
        <f aca="false">IF(AND(OR($F667="Analogy",$F667="Assumed",$F667="Derived（待改公式）",$F667="Derived（公式）"),OR($N667="—",$N667="",$N667=0)),1,0)</f>
        <v>0</v>
      </c>
      <c r="Z667" s="32" t="n">
        <f aca="false">IF(AND($F667="Decision",OR($J667="—",$J667="")),1,0)</f>
        <v>0</v>
      </c>
      <c r="AA667" s="33" t="n">
        <f aca="false">IF(OR($J667="—",$J667=""),0,IF(COUNTIF(Decisions!$A$5:$A$300,$J667)=0,1,0))</f>
        <v>0</v>
      </c>
      <c r="AB667" s="32" t="n">
        <f aca="false">IF(AND($F667="原始數據",$S667&lt;&gt;"Active"),1,0)</f>
        <v>0</v>
      </c>
      <c r="AC667" s="32" t="n">
        <f aca="false">IF(AND(ISNUMBER($K667),ISNUMBER($L667),ISNUMBER($Q667)),IF(OR($Q667&lt;MIN($K667,$L667),$Q667&gt;MAX($K667,$L667)),1,0),0)</f>
        <v>0</v>
      </c>
      <c r="AD667" s="32" t="n">
        <f aca="false">IF(AND(ISNUMBER($T667),$P667="高"),IF($T667=3,1,0),0)</f>
        <v>0</v>
      </c>
      <c r="AE667" s="32" t="n">
        <f aca="false">IF($S667="不存在",1,0)</f>
        <v>0</v>
      </c>
      <c r="AF667" s="44" t="str">
        <f aca="false">IF(OR($H667="—",$H667=""),"—",MATCH($H667,IDX_SrcID,0))</f>
        <v>—</v>
      </c>
      <c r="AG667" s="32" t="n">
        <f aca="false">IF(AND($P667="高",OR($AD667=1,$X667=1)),1,0)</f>
        <v>0</v>
      </c>
      <c r="AH667" s="32" t="n">
        <f aca="false">IF(AND($P667="高",$AG667=0,OR($F667&lt;&gt;"原始數據",$T667&lt;&gt;1)),1,0)</f>
        <v>0</v>
      </c>
      <c r="AI667" s="44" t="str">
        <f aca="false">IF(AND($P667="高",ISNUMBER($AF667)),INDEX(IDX_SrcDate,$AF667),"—")</f>
        <v>—</v>
      </c>
      <c r="AJ667" s="32" t="n">
        <f aca="false">IF(AND(ISTEXT($AI667),LEN($AI667)=10),IF(ISNUMBER(VALUE(SUBSTITUTE($AI667,"-",""))),VALUE(SUBSTITUTE($AI667,"-","")),0),0)</f>
        <v>0</v>
      </c>
    </row>
    <row r="668" customFormat="false" ht="253.5" hidden="false" customHeight="true" outlineLevel="0" collapsed="false">
      <c r="A668" s="30" t="s">
        <v>6495</v>
      </c>
      <c r="B668" s="205" t="s">
        <v>6473</v>
      </c>
      <c r="C668" s="30" t="s">
        <v>5608</v>
      </c>
      <c r="D668" s="30" t="s">
        <v>6496</v>
      </c>
      <c r="E668" s="243" t="s">
        <v>6492</v>
      </c>
      <c r="F668" s="30" t="s">
        <v>114</v>
      </c>
      <c r="G668" s="205" t="s">
        <v>5614</v>
      </c>
      <c r="H668" s="30" t="s">
        <v>751</v>
      </c>
      <c r="I668" s="6" t="s">
        <v>751</v>
      </c>
      <c r="J668" s="30" t="s">
        <v>6476</v>
      </c>
      <c r="K668" s="205"/>
      <c r="L668" s="205"/>
      <c r="M668" s="30" t="s">
        <v>6497</v>
      </c>
      <c r="N668" s="243" t="s">
        <v>6494</v>
      </c>
      <c r="O668" s="6" t="s">
        <v>751</v>
      </c>
      <c r="P668" s="30" t="s">
        <v>751</v>
      </c>
      <c r="Q668" s="184" t="s">
        <v>751</v>
      </c>
      <c r="R668" s="30" t="s">
        <v>751</v>
      </c>
      <c r="S668" s="44" t="str">
        <f aca="false">IF(ISNUMBER($AF668),INDEX(IDX_SrcStat,$AF668),"—")</f>
        <v>—</v>
      </c>
      <c r="T668" s="44" t="str">
        <f aca="false">IF(ISNUMBER($AF668),INDEX(IDX_SrcGrade,$AF668),"—")</f>
        <v>—</v>
      </c>
      <c r="U668" s="30" t="s">
        <v>751</v>
      </c>
      <c r="V668" s="32" t="n">
        <f aca="false">IF(AND($F668="原始數據",$U668&lt;&gt;"連結 SRC"),1,0)</f>
        <v>0</v>
      </c>
      <c r="W668" s="32" t="n">
        <f aca="false">IF(AND($F668="Analogy",OR($H668="—",$H668="")),1,0)</f>
        <v>0</v>
      </c>
      <c r="X668" s="32" t="n">
        <f aca="false">IF(AND(OR($F668="Analogy",$F668="Assumed"),$G668&lt;&gt;"低",$G668&lt;&gt;"高",NOT(ISNUMBER($K668)),NOT(ISNUMBER($L668)),OR($M668="—",$M668="")),1,0)</f>
        <v>0</v>
      </c>
      <c r="Y668" s="32" t="n">
        <f aca="false">IF(AND(OR($F668="Analogy",$F668="Assumed",$F668="Derived（待改公式）",$F668="Derived（公式）"),OR($N668="—",$N668="",$N668=0)),1,0)</f>
        <v>0</v>
      </c>
      <c r="Z668" s="32" t="n">
        <f aca="false">IF(AND($F668="Decision",OR($J668="—",$J668="")),1,0)</f>
        <v>0</v>
      </c>
      <c r="AA668" s="33" t="n">
        <f aca="false">IF(OR($J668="—",$J668=""),0,IF(COUNTIF(Decisions!$A$5:$A$300,$J668)=0,1,0))</f>
        <v>0</v>
      </c>
      <c r="AB668" s="32" t="n">
        <f aca="false">IF(AND($F668="原始數據",$S668&lt;&gt;"Active"),1,0)</f>
        <v>0</v>
      </c>
      <c r="AC668" s="32" t="n">
        <f aca="false">IF(AND(ISNUMBER($K668),ISNUMBER($L668),ISNUMBER($Q668)),IF(OR($Q668&lt;MIN($K668,$L668),$Q668&gt;MAX($K668,$L668)),1,0),0)</f>
        <v>0</v>
      </c>
      <c r="AD668" s="32" t="n">
        <f aca="false">IF(AND(ISNUMBER($T668),$P668="高"),IF($T668=3,1,0),0)</f>
        <v>0</v>
      </c>
      <c r="AE668" s="32" t="n">
        <f aca="false">IF($S668="不存在",1,0)</f>
        <v>0</v>
      </c>
      <c r="AF668" s="44" t="str">
        <f aca="false">IF(OR($H668="—",$H668=""),"—",MATCH($H668,IDX_SrcID,0))</f>
        <v>—</v>
      </c>
      <c r="AG668" s="32" t="n">
        <f aca="false">IF(AND($P668="高",OR($AD668=1,$X668=1)),1,0)</f>
        <v>0</v>
      </c>
      <c r="AH668" s="32" t="n">
        <f aca="false">IF(AND($P668="高",$AG668=0,OR($F668&lt;&gt;"原始數據",$T668&lt;&gt;1)),1,0)</f>
        <v>0</v>
      </c>
      <c r="AI668" s="44" t="str">
        <f aca="false">IF(AND($P668="高",ISNUMBER($AF668)),INDEX(IDX_SrcDate,$AF668),"—")</f>
        <v>—</v>
      </c>
      <c r="AJ668" s="32" t="n">
        <f aca="false">IF(AND(ISTEXT($AI668),LEN($AI668)=10),IF(ISNUMBER(VALUE(SUBSTITUTE($AI668,"-",""))),VALUE(SUBSTITUTE($AI668,"-","")),0),0)</f>
        <v>0</v>
      </c>
    </row>
    <row r="669" customFormat="false" ht="199.5" hidden="false" customHeight="true" outlineLevel="0" collapsed="false">
      <c r="A669" s="30" t="s">
        <v>6498</v>
      </c>
      <c r="B669" s="205" t="s">
        <v>6499</v>
      </c>
      <c r="C669" s="30" t="s">
        <v>5608</v>
      </c>
      <c r="D669" s="30" t="s">
        <v>6500</v>
      </c>
      <c r="E669" s="6" t="s">
        <v>1864</v>
      </c>
      <c r="F669" s="30" t="s">
        <v>162</v>
      </c>
      <c r="G669" s="205" t="s">
        <v>97</v>
      </c>
      <c r="H669" s="30" t="s">
        <v>751</v>
      </c>
      <c r="I669" s="6" t="s">
        <v>751</v>
      </c>
      <c r="J669" s="30" t="s">
        <v>6501</v>
      </c>
      <c r="K669" s="53" t="n">
        <f aca="false">Cap_In!D278</f>
        <v>0.0669</v>
      </c>
      <c r="L669" s="53" t="n">
        <f aca="false">Cap_In!E278</f>
        <v>0.3026</v>
      </c>
      <c r="M669" s="30" t="s">
        <v>6502</v>
      </c>
      <c r="N669" s="6" t="s">
        <v>6503</v>
      </c>
      <c r="O669" s="6" t="s">
        <v>751</v>
      </c>
      <c r="P669" s="205" t="s">
        <v>4586</v>
      </c>
      <c r="Q669" s="53" t="n">
        <f aca="false">Cap_In!C278</f>
        <v>0.1035</v>
      </c>
      <c r="R669" s="30" t="s">
        <v>751</v>
      </c>
      <c r="S669" s="44" t="str">
        <f aca="false">IF(ISNUMBER($AF669),INDEX(IDX_SrcStat,$AF669),"—")</f>
        <v>—</v>
      </c>
      <c r="T669" s="44" t="str">
        <f aca="false">IF(ISNUMBER($AF669),INDEX(IDX_SrcGrade,$AF669),"—")</f>
        <v>—</v>
      </c>
      <c r="U669" s="44" t="s">
        <v>4531</v>
      </c>
      <c r="V669" s="32" t="n">
        <f aca="false">IF(AND($F669="原始數據",$U669&lt;&gt;"連結 SRC"),1,0)</f>
        <v>0</v>
      </c>
      <c r="W669" s="32" t="n">
        <f aca="false">IF(AND($F669="Analogy",OR($H669="—",$H669="")),1,0)</f>
        <v>0</v>
      </c>
      <c r="X669" s="32" t="n">
        <f aca="false">IF(AND(OR($F669="Analogy",$F669="Assumed"),$G669&lt;&gt;"低",$G669&lt;&gt;"高",NOT(ISNUMBER($K669)),NOT(ISNUMBER($L669)),OR($M669="—",$M669="")),1,0)</f>
        <v>0</v>
      </c>
      <c r="Y669" s="32" t="n">
        <f aca="false">IF(AND(OR($F669="Analogy",$F669="Assumed",$F669="Derived（待改公式）",$F669="Derived（公式）"),OR($N669="—",$N669="",$N669=0)),1,0)</f>
        <v>0</v>
      </c>
      <c r="Z669" s="32" t="n">
        <f aca="false">IF(AND($F669="Decision",OR($J669="—",$J669="")),1,0)</f>
        <v>0</v>
      </c>
      <c r="AA669" s="33" t="n">
        <f aca="false">IF(OR($J669="—",$J669=""),0,IF(COUNTIF(Decisions!$A$5:$A$300,$J669)=0,1,0))</f>
        <v>0</v>
      </c>
      <c r="AB669" s="32" t="n">
        <f aca="false">IF(AND($F669="原始數據",$S669&lt;&gt;"Active"),1,0)</f>
        <v>0</v>
      </c>
      <c r="AC669" s="32" t="n">
        <f aca="false">IF(AND(ISNUMBER($K669),ISNUMBER($L669),ISNUMBER($Q669)),IF(OR($Q669&lt;MIN($K669,$L669),$Q669&gt;MAX($K669,$L669)),1,0),0)</f>
        <v>0</v>
      </c>
      <c r="AD669" s="32" t="n">
        <f aca="false">IF(AND(ISNUMBER($T669),$P669="高"),IF($T669=3,1,0),0)</f>
        <v>0</v>
      </c>
      <c r="AE669" s="32" t="n">
        <f aca="false">IF($S669="不存在",1,0)</f>
        <v>0</v>
      </c>
      <c r="AF669" s="44" t="str">
        <f aca="false">IF(OR($H669="—",$H669=""),"—",MATCH($H669,IDX_SrcID,0))</f>
        <v>—</v>
      </c>
      <c r="AG669" s="32" t="n">
        <f aca="false">IF(AND($P669="高",OR($AD669=1,$X669=1)),1,0)</f>
        <v>0</v>
      </c>
      <c r="AH669" s="32" t="n">
        <f aca="false">IF(AND($P669="高",$AG669=0,OR($F669&lt;&gt;"原始數據",$T669&lt;&gt;1)),1,0)</f>
        <v>0</v>
      </c>
      <c r="AI669" s="44" t="str">
        <f aca="false">IF(AND($P669="高",ISNUMBER($AF669)),INDEX(IDX_SrcDate,$AF669),"—")</f>
        <v>—</v>
      </c>
      <c r="AJ669" s="32" t="n">
        <f aca="false">IF(AND(ISTEXT($AI669),LEN($AI669)=10),IF(ISNUMBER(VALUE(SUBSTITUTE($AI669,"-",""))),VALUE(SUBSTITUTE($AI669,"-","")),0),0)</f>
        <v>0</v>
      </c>
    </row>
    <row r="670" customFormat="false" ht="199.5" hidden="false" customHeight="true" outlineLevel="0" collapsed="false">
      <c r="A670" s="30" t="s">
        <v>6504</v>
      </c>
      <c r="B670" s="205" t="s">
        <v>6499</v>
      </c>
      <c r="C670" s="30" t="s">
        <v>5608</v>
      </c>
      <c r="D670" s="30" t="s">
        <v>6505</v>
      </c>
      <c r="E670" s="6" t="s">
        <v>1864</v>
      </c>
      <c r="F670" s="30" t="s">
        <v>162</v>
      </c>
      <c r="G670" s="205" t="s">
        <v>5614</v>
      </c>
      <c r="H670" s="30" t="s">
        <v>751</v>
      </c>
      <c r="I670" s="6" t="s">
        <v>751</v>
      </c>
      <c r="J670" s="30" t="s">
        <v>6501</v>
      </c>
      <c r="K670" s="205"/>
      <c r="L670" s="205"/>
      <c r="M670" s="30" t="s">
        <v>6506</v>
      </c>
      <c r="N670" s="6" t="s">
        <v>6503</v>
      </c>
      <c r="O670" s="6" t="s">
        <v>751</v>
      </c>
      <c r="P670" s="30" t="s">
        <v>751</v>
      </c>
      <c r="Q670" s="184" t="s">
        <v>751</v>
      </c>
      <c r="R670" s="30" t="s">
        <v>751</v>
      </c>
      <c r="S670" s="44" t="str">
        <f aca="false">IF(ISNUMBER($AF670),INDEX(IDX_SrcStat,$AF670),"—")</f>
        <v>—</v>
      </c>
      <c r="T670" s="44" t="str">
        <f aca="false">IF(ISNUMBER($AF670),INDEX(IDX_SrcGrade,$AF670),"—")</f>
        <v>—</v>
      </c>
      <c r="U670" s="30" t="s">
        <v>751</v>
      </c>
      <c r="V670" s="32" t="n">
        <f aca="false">IF(AND($F670="原始數據",$U670&lt;&gt;"連結 SRC"),1,0)</f>
        <v>0</v>
      </c>
      <c r="W670" s="32" t="n">
        <f aca="false">IF(AND($F670="Analogy",OR($H670="—",$H670="")),1,0)</f>
        <v>0</v>
      </c>
      <c r="X670" s="32" t="n">
        <f aca="false">IF(AND(OR($F670="Analogy",$F670="Assumed"),$G670&lt;&gt;"低",$G670&lt;&gt;"高",NOT(ISNUMBER($K670)),NOT(ISNUMBER($L670)),OR($M670="—",$M670="")),1,0)</f>
        <v>0</v>
      </c>
      <c r="Y670" s="32" t="n">
        <f aca="false">IF(AND(OR($F670="Analogy",$F670="Assumed",$F670="Derived（待改公式）",$F670="Derived（公式）"),OR($N670="—",$N670="",$N670=0)),1,0)</f>
        <v>0</v>
      </c>
      <c r="Z670" s="32" t="n">
        <f aca="false">IF(AND($F670="Decision",OR($J670="—",$J670="")),1,0)</f>
        <v>0</v>
      </c>
      <c r="AA670" s="33" t="n">
        <f aca="false">IF(OR($J670="—",$J670=""),0,IF(COUNTIF(Decisions!$A$5:$A$300,$J670)=0,1,0))</f>
        <v>0</v>
      </c>
      <c r="AB670" s="32" t="n">
        <f aca="false">IF(AND($F670="原始數據",$S670&lt;&gt;"Active"),1,0)</f>
        <v>0</v>
      </c>
      <c r="AC670" s="32" t="n">
        <f aca="false">IF(AND(ISNUMBER($K670),ISNUMBER($L670),ISNUMBER($Q670)),IF(OR($Q670&lt;MIN($K670,$L670),$Q670&gt;MAX($K670,$L670)),1,0),0)</f>
        <v>0</v>
      </c>
      <c r="AD670" s="32" t="n">
        <f aca="false">IF(AND(ISNUMBER($T670),$P670="高"),IF($T670=3,1,0),0)</f>
        <v>0</v>
      </c>
      <c r="AE670" s="32" t="n">
        <f aca="false">IF($S670="不存在",1,0)</f>
        <v>0</v>
      </c>
      <c r="AF670" s="44" t="str">
        <f aca="false">IF(OR($H670="—",$H670=""),"—",MATCH($H670,IDX_SrcID,0))</f>
        <v>—</v>
      </c>
      <c r="AG670" s="32" t="n">
        <f aca="false">IF(AND($P670="高",OR($AD670=1,$X670=1)),1,0)</f>
        <v>0</v>
      </c>
      <c r="AH670" s="32" t="n">
        <f aca="false">IF(AND($P670="高",$AG670=0,OR($F670&lt;&gt;"原始數據",$T670&lt;&gt;1)),1,0)</f>
        <v>0</v>
      </c>
      <c r="AI670" s="44" t="str">
        <f aca="false">IF(AND($P670="高",ISNUMBER($AF670)),INDEX(IDX_SrcDate,$AF670),"—")</f>
        <v>—</v>
      </c>
      <c r="AJ670" s="32" t="n">
        <f aca="false">IF(AND(ISTEXT($AI670),LEN($AI670)=10),IF(ISNUMBER(VALUE(SUBSTITUTE($AI670,"-",""))),VALUE(SUBSTITUTE($AI670,"-","")),0),0)</f>
        <v>0</v>
      </c>
    </row>
    <row r="671" customFormat="false" ht="199.5" hidden="false" customHeight="true" outlineLevel="0" collapsed="false">
      <c r="A671" s="30" t="s">
        <v>6507</v>
      </c>
      <c r="B671" s="205" t="s">
        <v>6499</v>
      </c>
      <c r="C671" s="30" t="s">
        <v>5608</v>
      </c>
      <c r="D671" s="30" t="s">
        <v>6508</v>
      </c>
      <c r="E671" s="6" t="s">
        <v>1866</v>
      </c>
      <c r="F671" s="30" t="s">
        <v>162</v>
      </c>
      <c r="G671" s="205" t="s">
        <v>97</v>
      </c>
      <c r="H671" s="30" t="s">
        <v>751</v>
      </c>
      <c r="I671" s="6" t="s">
        <v>751</v>
      </c>
      <c r="J671" s="30" t="s">
        <v>6501</v>
      </c>
      <c r="K671" s="53" t="n">
        <f aca="false">Cap_In!D279</f>
        <v>1.672</v>
      </c>
      <c r="L671" s="53" t="n">
        <f aca="false">Cap_In!E279</f>
        <v>2.338</v>
      </c>
      <c r="M671" s="30" t="s">
        <v>6509</v>
      </c>
      <c r="N671" s="6" t="s">
        <v>6510</v>
      </c>
      <c r="O671" s="6" t="s">
        <v>751</v>
      </c>
      <c r="P671" s="205" t="s">
        <v>4586</v>
      </c>
      <c r="Q671" s="53" t="n">
        <f aca="false">Cap_In!C279</f>
        <v>2.184</v>
      </c>
      <c r="R671" s="30" t="s">
        <v>751</v>
      </c>
      <c r="S671" s="44" t="str">
        <f aca="false">IF(ISNUMBER($AF671),INDEX(IDX_SrcStat,$AF671),"—")</f>
        <v>—</v>
      </c>
      <c r="T671" s="44" t="str">
        <f aca="false">IF(ISNUMBER($AF671),INDEX(IDX_SrcGrade,$AF671),"—")</f>
        <v>—</v>
      </c>
      <c r="U671" s="44" t="s">
        <v>4531</v>
      </c>
      <c r="V671" s="32" t="n">
        <f aca="false">IF(AND($F671="原始數據",$U671&lt;&gt;"連結 SRC"),1,0)</f>
        <v>0</v>
      </c>
      <c r="W671" s="32" t="n">
        <f aca="false">IF(AND($F671="Analogy",OR($H671="—",$H671="")),1,0)</f>
        <v>0</v>
      </c>
      <c r="X671" s="32" t="n">
        <f aca="false">IF(AND(OR($F671="Analogy",$F671="Assumed"),$G671&lt;&gt;"低",$G671&lt;&gt;"高",NOT(ISNUMBER($K671)),NOT(ISNUMBER($L671)),OR($M671="—",$M671="")),1,0)</f>
        <v>0</v>
      </c>
      <c r="Y671" s="32" t="n">
        <f aca="false">IF(AND(OR($F671="Analogy",$F671="Assumed",$F671="Derived（待改公式）",$F671="Derived（公式）"),OR($N671="—",$N671="",$N671=0)),1,0)</f>
        <v>0</v>
      </c>
      <c r="Z671" s="32" t="n">
        <f aca="false">IF(AND($F671="Decision",OR($J671="—",$J671="")),1,0)</f>
        <v>0</v>
      </c>
      <c r="AA671" s="33" t="n">
        <f aca="false">IF(OR($J671="—",$J671=""),0,IF(COUNTIF(Decisions!$A$5:$A$300,$J671)=0,1,0))</f>
        <v>0</v>
      </c>
      <c r="AB671" s="32" t="n">
        <f aca="false">IF(AND($F671="原始數據",$S671&lt;&gt;"Active"),1,0)</f>
        <v>0</v>
      </c>
      <c r="AC671" s="32" t="n">
        <f aca="false">IF(AND(ISNUMBER($K671),ISNUMBER($L671),ISNUMBER($Q671)),IF(OR($Q671&lt;MIN($K671,$L671),$Q671&gt;MAX($K671,$L671)),1,0),0)</f>
        <v>0</v>
      </c>
      <c r="AD671" s="32" t="n">
        <f aca="false">IF(AND(ISNUMBER($T671),$P671="高"),IF($T671=3,1,0),0)</f>
        <v>0</v>
      </c>
      <c r="AE671" s="32" t="n">
        <f aca="false">IF($S671="不存在",1,0)</f>
        <v>0</v>
      </c>
      <c r="AF671" s="44" t="str">
        <f aca="false">IF(OR($H671="—",$H671=""),"—",MATCH($H671,IDX_SrcID,0))</f>
        <v>—</v>
      </c>
      <c r="AG671" s="32" t="n">
        <f aca="false">IF(AND($P671="高",OR($AD671=1,$X671=1)),1,0)</f>
        <v>0</v>
      </c>
      <c r="AH671" s="32" t="n">
        <f aca="false">IF(AND($P671="高",$AG671=0,OR($F671&lt;&gt;"原始數據",$T671&lt;&gt;1)),1,0)</f>
        <v>0</v>
      </c>
      <c r="AI671" s="44" t="str">
        <f aca="false">IF(AND($P671="高",ISNUMBER($AF671)),INDEX(IDX_SrcDate,$AF671),"—")</f>
        <v>—</v>
      </c>
      <c r="AJ671" s="32" t="n">
        <f aca="false">IF(AND(ISTEXT($AI671),LEN($AI671)=10),IF(ISNUMBER(VALUE(SUBSTITUTE($AI671,"-",""))),VALUE(SUBSTITUTE($AI671,"-","")),0),0)</f>
        <v>0</v>
      </c>
    </row>
    <row r="672" customFormat="false" ht="199.5" hidden="false" customHeight="true" outlineLevel="0" collapsed="false">
      <c r="A672" s="30" t="s">
        <v>6511</v>
      </c>
      <c r="B672" s="205" t="s">
        <v>6499</v>
      </c>
      <c r="C672" s="30" t="s">
        <v>5608</v>
      </c>
      <c r="D672" s="30" t="s">
        <v>6512</v>
      </c>
      <c r="E672" s="6" t="s">
        <v>1866</v>
      </c>
      <c r="F672" s="30" t="s">
        <v>162</v>
      </c>
      <c r="G672" s="205" t="s">
        <v>5614</v>
      </c>
      <c r="H672" s="30" t="s">
        <v>751</v>
      </c>
      <c r="I672" s="6" t="s">
        <v>751</v>
      </c>
      <c r="J672" s="30" t="s">
        <v>6501</v>
      </c>
      <c r="K672" s="205"/>
      <c r="L672" s="205"/>
      <c r="M672" s="30" t="s">
        <v>6513</v>
      </c>
      <c r="N672" s="6" t="s">
        <v>6510</v>
      </c>
      <c r="O672" s="6" t="s">
        <v>751</v>
      </c>
      <c r="P672" s="30" t="s">
        <v>751</v>
      </c>
      <c r="Q672" s="184" t="s">
        <v>751</v>
      </c>
      <c r="R672" s="30" t="s">
        <v>751</v>
      </c>
      <c r="S672" s="44" t="str">
        <f aca="false">IF(ISNUMBER($AF672),INDEX(IDX_SrcStat,$AF672),"—")</f>
        <v>—</v>
      </c>
      <c r="T672" s="44" t="str">
        <f aca="false">IF(ISNUMBER($AF672),INDEX(IDX_SrcGrade,$AF672),"—")</f>
        <v>—</v>
      </c>
      <c r="U672" s="30" t="s">
        <v>751</v>
      </c>
      <c r="V672" s="32" t="n">
        <f aca="false">IF(AND($F672="原始數據",$U672&lt;&gt;"連結 SRC"),1,0)</f>
        <v>0</v>
      </c>
      <c r="W672" s="32" t="n">
        <f aca="false">IF(AND($F672="Analogy",OR($H672="—",$H672="")),1,0)</f>
        <v>0</v>
      </c>
      <c r="X672" s="32" t="n">
        <f aca="false">IF(AND(OR($F672="Analogy",$F672="Assumed"),$G672&lt;&gt;"低",$G672&lt;&gt;"高",NOT(ISNUMBER($K672)),NOT(ISNUMBER($L672)),OR($M672="—",$M672="")),1,0)</f>
        <v>0</v>
      </c>
      <c r="Y672" s="32" t="n">
        <f aca="false">IF(AND(OR($F672="Analogy",$F672="Assumed",$F672="Derived（待改公式）",$F672="Derived（公式）"),OR($N672="—",$N672="",$N672=0)),1,0)</f>
        <v>0</v>
      </c>
      <c r="Z672" s="32" t="n">
        <f aca="false">IF(AND($F672="Decision",OR($J672="—",$J672="")),1,0)</f>
        <v>0</v>
      </c>
      <c r="AA672" s="33" t="n">
        <f aca="false">IF(OR($J672="—",$J672=""),0,IF(COUNTIF(Decisions!$A$5:$A$300,$J672)=0,1,0))</f>
        <v>0</v>
      </c>
      <c r="AB672" s="32" t="n">
        <f aca="false">IF(AND($F672="原始數據",$S672&lt;&gt;"Active"),1,0)</f>
        <v>0</v>
      </c>
      <c r="AC672" s="32" t="n">
        <f aca="false">IF(AND(ISNUMBER($K672),ISNUMBER($L672),ISNUMBER($Q672)),IF(OR($Q672&lt;MIN($K672,$L672),$Q672&gt;MAX($K672,$L672)),1,0),0)</f>
        <v>0</v>
      </c>
      <c r="AD672" s="32" t="n">
        <f aca="false">IF(AND(ISNUMBER($T672),$P672="高"),IF($T672=3,1,0),0)</f>
        <v>0</v>
      </c>
      <c r="AE672" s="32" t="n">
        <f aca="false">IF($S672="不存在",1,0)</f>
        <v>0</v>
      </c>
      <c r="AF672" s="44" t="str">
        <f aca="false">IF(OR($H672="—",$H672=""),"—",MATCH($H672,IDX_SrcID,0))</f>
        <v>—</v>
      </c>
      <c r="AG672" s="32" t="n">
        <f aca="false">IF(AND($P672="高",OR($AD672=1,$X672=1)),1,0)</f>
        <v>0</v>
      </c>
      <c r="AH672" s="32" t="n">
        <f aca="false">IF(AND($P672="高",$AG672=0,OR($F672&lt;&gt;"原始數據",$T672&lt;&gt;1)),1,0)</f>
        <v>0</v>
      </c>
      <c r="AI672" s="44" t="str">
        <f aca="false">IF(AND($P672="高",ISNUMBER($AF672)),INDEX(IDX_SrcDate,$AF672),"—")</f>
        <v>—</v>
      </c>
      <c r="AJ672" s="32" t="n">
        <f aca="false">IF(AND(ISTEXT($AI672),LEN($AI672)=10),IF(ISNUMBER(VALUE(SUBSTITUTE($AI672,"-",""))),VALUE(SUBSTITUTE($AI672,"-","")),0),0)</f>
        <v>0</v>
      </c>
    </row>
    <row r="673" customFormat="false" ht="185.25" hidden="false" customHeight="true" outlineLevel="0" collapsed="false">
      <c r="A673" s="30" t="s">
        <v>6514</v>
      </c>
      <c r="B673" s="205" t="s">
        <v>6499</v>
      </c>
      <c r="C673" s="30" t="s">
        <v>5608</v>
      </c>
      <c r="D673" s="30" t="s">
        <v>6515</v>
      </c>
      <c r="E673" s="6" t="s">
        <v>1868</v>
      </c>
      <c r="F673" s="30" t="s">
        <v>162</v>
      </c>
      <c r="G673" s="205" t="s">
        <v>97</v>
      </c>
      <c r="H673" s="30" t="s">
        <v>751</v>
      </c>
      <c r="I673" s="6" t="s">
        <v>751</v>
      </c>
      <c r="J673" s="30" t="s">
        <v>6501</v>
      </c>
      <c r="K673" s="53" t="n">
        <f aca="false">Cap_In!D280</f>
        <v>2.089</v>
      </c>
      <c r="L673" s="53" t="n">
        <f aca="false">Cap_In!E280</f>
        <v>16.33</v>
      </c>
      <c r="M673" s="30" t="s">
        <v>6516</v>
      </c>
      <c r="N673" s="6" t="s">
        <v>6517</v>
      </c>
      <c r="O673" s="6" t="s">
        <v>751</v>
      </c>
      <c r="P673" s="205" t="s">
        <v>4586</v>
      </c>
      <c r="Q673" s="53" t="n">
        <f aca="false">Cap_In!C280</f>
        <v>7.174</v>
      </c>
      <c r="R673" s="30" t="s">
        <v>751</v>
      </c>
      <c r="S673" s="44" t="str">
        <f aca="false">IF(ISNUMBER($AF673),INDEX(IDX_SrcStat,$AF673),"—")</f>
        <v>—</v>
      </c>
      <c r="T673" s="44" t="str">
        <f aca="false">IF(ISNUMBER($AF673),INDEX(IDX_SrcGrade,$AF673),"—")</f>
        <v>—</v>
      </c>
      <c r="U673" s="44" t="s">
        <v>4531</v>
      </c>
      <c r="V673" s="32" t="n">
        <f aca="false">IF(AND($F673="原始數據",$U673&lt;&gt;"連結 SRC"),1,0)</f>
        <v>0</v>
      </c>
      <c r="W673" s="32" t="n">
        <f aca="false">IF(AND($F673="Analogy",OR($H673="—",$H673="")),1,0)</f>
        <v>0</v>
      </c>
      <c r="X673" s="32" t="n">
        <f aca="false">IF(AND(OR($F673="Analogy",$F673="Assumed"),$G673&lt;&gt;"低",$G673&lt;&gt;"高",NOT(ISNUMBER($K673)),NOT(ISNUMBER($L673)),OR($M673="—",$M673="")),1,0)</f>
        <v>0</v>
      </c>
      <c r="Y673" s="32" t="n">
        <f aca="false">IF(AND(OR($F673="Analogy",$F673="Assumed",$F673="Derived（待改公式）",$F673="Derived（公式）"),OR($N673="—",$N673="",$N673=0)),1,0)</f>
        <v>0</v>
      </c>
      <c r="Z673" s="32" t="n">
        <f aca="false">IF(AND($F673="Decision",OR($J673="—",$J673="")),1,0)</f>
        <v>0</v>
      </c>
      <c r="AA673" s="33" t="n">
        <f aca="false">IF(OR($J673="—",$J673=""),0,IF(COUNTIF(Decisions!$A$5:$A$300,$J673)=0,1,0))</f>
        <v>0</v>
      </c>
      <c r="AB673" s="32" t="n">
        <f aca="false">IF(AND($F673="原始數據",$S673&lt;&gt;"Active"),1,0)</f>
        <v>0</v>
      </c>
      <c r="AC673" s="32" t="n">
        <f aca="false">IF(AND(ISNUMBER($K673),ISNUMBER($L673),ISNUMBER($Q673)),IF(OR($Q673&lt;MIN($K673,$L673),$Q673&gt;MAX($K673,$L673)),1,0),0)</f>
        <v>0</v>
      </c>
      <c r="AD673" s="32" t="n">
        <f aca="false">IF(AND(ISNUMBER($T673),$P673="高"),IF($T673=3,1,0),0)</f>
        <v>0</v>
      </c>
      <c r="AE673" s="32" t="n">
        <f aca="false">IF($S673="不存在",1,0)</f>
        <v>0</v>
      </c>
      <c r="AF673" s="44" t="str">
        <f aca="false">IF(OR($H673="—",$H673=""),"—",MATCH($H673,IDX_SrcID,0))</f>
        <v>—</v>
      </c>
      <c r="AG673" s="32" t="n">
        <f aca="false">IF(AND($P673="高",OR($AD673=1,$X673=1)),1,0)</f>
        <v>0</v>
      </c>
      <c r="AH673" s="32" t="n">
        <f aca="false">IF(AND($P673="高",$AG673=0,OR($F673&lt;&gt;"原始數據",$T673&lt;&gt;1)),1,0)</f>
        <v>0</v>
      </c>
      <c r="AI673" s="44" t="str">
        <f aca="false">IF(AND($P673="高",ISNUMBER($AF673)),INDEX(IDX_SrcDate,$AF673),"—")</f>
        <v>—</v>
      </c>
      <c r="AJ673" s="32" t="n">
        <f aca="false">IF(AND(ISTEXT($AI673),LEN($AI673)=10),IF(ISNUMBER(VALUE(SUBSTITUTE($AI673,"-",""))),VALUE(SUBSTITUTE($AI673,"-","")),0),0)</f>
        <v>0</v>
      </c>
    </row>
    <row r="674" customFormat="false" ht="185.25" hidden="false" customHeight="true" outlineLevel="0" collapsed="false">
      <c r="A674" s="30" t="s">
        <v>6518</v>
      </c>
      <c r="B674" s="205" t="s">
        <v>6499</v>
      </c>
      <c r="C674" s="30" t="s">
        <v>5608</v>
      </c>
      <c r="D674" s="30" t="s">
        <v>6519</v>
      </c>
      <c r="E674" s="6" t="s">
        <v>1868</v>
      </c>
      <c r="F674" s="30" t="s">
        <v>162</v>
      </c>
      <c r="G674" s="205" t="s">
        <v>5614</v>
      </c>
      <c r="H674" s="30" t="s">
        <v>751</v>
      </c>
      <c r="I674" s="6" t="s">
        <v>751</v>
      </c>
      <c r="J674" s="30" t="s">
        <v>6501</v>
      </c>
      <c r="K674" s="205"/>
      <c r="L674" s="205"/>
      <c r="M674" s="30" t="s">
        <v>6520</v>
      </c>
      <c r="N674" s="6" t="s">
        <v>6517</v>
      </c>
      <c r="O674" s="6" t="s">
        <v>751</v>
      </c>
      <c r="P674" s="30" t="s">
        <v>751</v>
      </c>
      <c r="Q674" s="184" t="s">
        <v>751</v>
      </c>
      <c r="R674" s="30" t="s">
        <v>751</v>
      </c>
      <c r="S674" s="44" t="str">
        <f aca="false">IF(ISNUMBER($AF674),INDEX(IDX_SrcStat,$AF674),"—")</f>
        <v>—</v>
      </c>
      <c r="T674" s="44" t="str">
        <f aca="false">IF(ISNUMBER($AF674),INDEX(IDX_SrcGrade,$AF674),"—")</f>
        <v>—</v>
      </c>
      <c r="U674" s="30" t="s">
        <v>751</v>
      </c>
      <c r="V674" s="32" t="n">
        <f aca="false">IF(AND($F674="原始數據",$U674&lt;&gt;"連結 SRC"),1,0)</f>
        <v>0</v>
      </c>
      <c r="W674" s="32" t="n">
        <f aca="false">IF(AND($F674="Analogy",OR($H674="—",$H674="")),1,0)</f>
        <v>0</v>
      </c>
      <c r="X674" s="32" t="n">
        <f aca="false">IF(AND(OR($F674="Analogy",$F674="Assumed"),$G674&lt;&gt;"低",$G674&lt;&gt;"高",NOT(ISNUMBER($K674)),NOT(ISNUMBER($L674)),OR($M674="—",$M674="")),1,0)</f>
        <v>0</v>
      </c>
      <c r="Y674" s="32" t="n">
        <f aca="false">IF(AND(OR($F674="Analogy",$F674="Assumed",$F674="Derived（待改公式）",$F674="Derived（公式）"),OR($N674="—",$N674="",$N674=0)),1,0)</f>
        <v>0</v>
      </c>
      <c r="Z674" s="32" t="n">
        <f aca="false">IF(AND($F674="Decision",OR($J674="—",$J674="")),1,0)</f>
        <v>0</v>
      </c>
      <c r="AA674" s="33" t="n">
        <f aca="false">IF(OR($J674="—",$J674=""),0,IF(COUNTIF(Decisions!$A$5:$A$300,$J674)=0,1,0))</f>
        <v>0</v>
      </c>
      <c r="AB674" s="32" t="n">
        <f aca="false">IF(AND($F674="原始數據",$S674&lt;&gt;"Active"),1,0)</f>
        <v>0</v>
      </c>
      <c r="AC674" s="32" t="n">
        <f aca="false">IF(AND(ISNUMBER($K674),ISNUMBER($L674),ISNUMBER($Q674)),IF(OR($Q674&lt;MIN($K674,$L674),$Q674&gt;MAX($K674,$L674)),1,0),0)</f>
        <v>0</v>
      </c>
      <c r="AD674" s="32" t="n">
        <f aca="false">IF(AND(ISNUMBER($T674),$P674="高"),IF($T674=3,1,0),0)</f>
        <v>0</v>
      </c>
      <c r="AE674" s="32" t="n">
        <f aca="false">IF($S674="不存在",1,0)</f>
        <v>0</v>
      </c>
      <c r="AF674" s="44" t="str">
        <f aca="false">IF(OR($H674="—",$H674=""),"—",MATCH($H674,IDX_SrcID,0))</f>
        <v>—</v>
      </c>
      <c r="AG674" s="32" t="n">
        <f aca="false">IF(AND($P674="高",OR($AD674=1,$X674=1)),1,0)</f>
        <v>0</v>
      </c>
      <c r="AH674" s="32" t="n">
        <f aca="false">IF(AND($P674="高",$AG674=0,OR($F674&lt;&gt;"原始數據",$T674&lt;&gt;1)),1,0)</f>
        <v>0</v>
      </c>
      <c r="AI674" s="44" t="str">
        <f aca="false">IF(AND($P674="高",ISNUMBER($AF674)),INDEX(IDX_SrcDate,$AF674),"—")</f>
        <v>—</v>
      </c>
      <c r="AJ674" s="32" t="n">
        <f aca="false">IF(AND(ISTEXT($AI674),LEN($AI674)=10),IF(ISNUMBER(VALUE(SUBSTITUTE($AI674,"-",""))),VALUE(SUBSTITUTE($AI674,"-","")),0),0)</f>
        <v>0</v>
      </c>
    </row>
    <row r="675" customFormat="false" ht="199.5" hidden="false" customHeight="true" outlineLevel="0" collapsed="false">
      <c r="A675" s="30" t="s">
        <v>6521</v>
      </c>
      <c r="B675" s="205" t="s">
        <v>6499</v>
      </c>
      <c r="C675" s="30" t="s">
        <v>6110</v>
      </c>
      <c r="D675" s="30" t="s">
        <v>4893</v>
      </c>
      <c r="E675" s="243" t="s">
        <v>6522</v>
      </c>
      <c r="F675" s="30" t="s">
        <v>162</v>
      </c>
      <c r="G675" s="205" t="s">
        <v>97</v>
      </c>
      <c r="H675" s="30" t="s">
        <v>751</v>
      </c>
      <c r="I675" s="6" t="s">
        <v>751</v>
      </c>
      <c r="J675" s="30" t="s">
        <v>6523</v>
      </c>
      <c r="K675" s="194" t="n">
        <f aca="false">Alloc_In!D29</f>
        <v>0.4</v>
      </c>
      <c r="L675" s="194" t="n">
        <f aca="false">Alloc_In!E29</f>
        <v>0.75</v>
      </c>
      <c r="M675" s="30" t="s">
        <v>6524</v>
      </c>
      <c r="N675" s="6" t="s">
        <v>6525</v>
      </c>
      <c r="O675" s="6" t="s">
        <v>751</v>
      </c>
      <c r="P675" s="205" t="s">
        <v>4586</v>
      </c>
      <c r="Q675" s="194" t="n">
        <f aca="false">Alloc_In!C29</f>
        <v>0.6</v>
      </c>
      <c r="R675" s="30" t="s">
        <v>751</v>
      </c>
      <c r="S675" s="44" t="str">
        <f aca="false">IF(ISNUMBER($AF675),INDEX(IDX_SrcStat,$AF675),"—")</f>
        <v>—</v>
      </c>
      <c r="T675" s="44" t="str">
        <f aca="false">IF(ISNUMBER($AF675),INDEX(IDX_SrcGrade,$AF675),"—")</f>
        <v>—</v>
      </c>
      <c r="U675" s="44" t="s">
        <v>4531</v>
      </c>
      <c r="V675" s="32" t="n">
        <f aca="false">IF(AND($F675="原始數據",$U675&lt;&gt;"連結 SRC"),1,0)</f>
        <v>0</v>
      </c>
      <c r="W675" s="32" t="n">
        <f aca="false">IF(AND($F675="Analogy",OR($H675="—",$H675="")),1,0)</f>
        <v>0</v>
      </c>
      <c r="X675" s="32" t="n">
        <f aca="false">IF(AND(OR($F675="Analogy",$F675="Assumed"),$G675&lt;&gt;"低",$G675&lt;&gt;"高",NOT(ISNUMBER($K675)),NOT(ISNUMBER($L675)),OR($M675="—",$M675="")),1,0)</f>
        <v>0</v>
      </c>
      <c r="Y675" s="32" t="n">
        <f aca="false">IF(AND(OR($F675="Analogy",$F675="Assumed",$F675="Derived（待改公式）",$F675="Derived（公式）"),OR($N675="—",$N675="",$N675=0)),1,0)</f>
        <v>0</v>
      </c>
      <c r="Z675" s="32" t="n">
        <f aca="false">IF(AND($F675="Decision",OR($J675="—",$J675="")),1,0)</f>
        <v>0</v>
      </c>
      <c r="AA675" s="33" t="n">
        <f aca="false">IF(OR($J675="—",$J675=""),0,IF(COUNTIF(Decisions!$A$5:$A$300,$J675)=0,1,0))</f>
        <v>0</v>
      </c>
      <c r="AB675" s="32" t="n">
        <f aca="false">IF(AND($F675="原始數據",$S675&lt;&gt;"Active"),1,0)</f>
        <v>0</v>
      </c>
      <c r="AC675" s="32" t="n">
        <f aca="false">IF(AND(ISNUMBER($K675),ISNUMBER($L675),ISNUMBER($Q675)),IF(OR($Q675&lt;MIN($K675,$L675),$Q675&gt;MAX($K675,$L675)),1,0),0)</f>
        <v>0</v>
      </c>
      <c r="AD675" s="32" t="n">
        <f aca="false">IF(AND(ISNUMBER($T675),$P675="高"),IF($T675=3,1,0),0)</f>
        <v>0</v>
      </c>
      <c r="AE675" s="32" t="n">
        <f aca="false">IF($S675="不存在",1,0)</f>
        <v>0</v>
      </c>
      <c r="AF675" s="44" t="str">
        <f aca="false">IF(OR($H675="—",$H675=""),"—",MATCH($H675,IDX_SrcID,0))</f>
        <v>—</v>
      </c>
      <c r="AG675" s="32" t="n">
        <f aca="false">IF(AND($P675="高",OR($AD675=1,$X675=1)),1,0)</f>
        <v>0</v>
      </c>
      <c r="AH675" s="32" t="n">
        <f aca="false">IF(AND($P675="高",$AG675=0,OR($F675&lt;&gt;"原始數據",$T675&lt;&gt;1)),1,0)</f>
        <v>0</v>
      </c>
      <c r="AI675" s="44" t="str">
        <f aca="false">IF(AND($P675="高",ISNUMBER($AF675)),INDEX(IDX_SrcDate,$AF675),"—")</f>
        <v>—</v>
      </c>
      <c r="AJ675" s="32" t="n">
        <f aca="false">IF(AND(ISTEXT($AI675),LEN($AI675)=10),IF(ISNUMBER(VALUE(SUBSTITUTE($AI675,"-",""))),VALUE(SUBSTITUTE($AI675,"-","")),0),0)</f>
        <v>0</v>
      </c>
    </row>
    <row r="676" customFormat="false" ht="199.5" hidden="false" customHeight="true" outlineLevel="0" collapsed="false">
      <c r="A676" s="30" t="s">
        <v>6526</v>
      </c>
      <c r="B676" s="205" t="s">
        <v>6499</v>
      </c>
      <c r="C676" s="30" t="s">
        <v>6110</v>
      </c>
      <c r="D676" s="30" t="s">
        <v>5660</v>
      </c>
      <c r="E676" s="243" t="s">
        <v>6522</v>
      </c>
      <c r="F676" s="30" t="s">
        <v>162</v>
      </c>
      <c r="G676" s="205" t="s">
        <v>5614</v>
      </c>
      <c r="H676" s="30" t="s">
        <v>751</v>
      </c>
      <c r="I676" s="6" t="s">
        <v>751</v>
      </c>
      <c r="J676" s="30" t="s">
        <v>6523</v>
      </c>
      <c r="K676" s="205"/>
      <c r="L676" s="205"/>
      <c r="M676" s="30" t="s">
        <v>5661</v>
      </c>
      <c r="N676" s="6" t="s">
        <v>6525</v>
      </c>
      <c r="O676" s="6" t="s">
        <v>751</v>
      </c>
      <c r="P676" s="30" t="s">
        <v>751</v>
      </c>
      <c r="Q676" s="184" t="s">
        <v>751</v>
      </c>
      <c r="R676" s="30" t="s">
        <v>751</v>
      </c>
      <c r="S676" s="44" t="str">
        <f aca="false">IF(ISNUMBER($AF676),INDEX(IDX_SrcStat,$AF676),"—")</f>
        <v>—</v>
      </c>
      <c r="T676" s="44" t="str">
        <f aca="false">IF(ISNUMBER($AF676),INDEX(IDX_SrcGrade,$AF676),"—")</f>
        <v>—</v>
      </c>
      <c r="U676" s="30" t="s">
        <v>751</v>
      </c>
      <c r="V676" s="32" t="n">
        <f aca="false">IF(AND($F676="原始數據",$U676&lt;&gt;"連結 SRC"),1,0)</f>
        <v>0</v>
      </c>
      <c r="W676" s="32" t="n">
        <f aca="false">IF(AND($F676="Analogy",OR($H676="—",$H676="")),1,0)</f>
        <v>0</v>
      </c>
      <c r="X676" s="32" t="n">
        <f aca="false">IF(AND(OR($F676="Analogy",$F676="Assumed"),$G676&lt;&gt;"低",$G676&lt;&gt;"高",NOT(ISNUMBER($K676)),NOT(ISNUMBER($L676)),OR($M676="—",$M676="")),1,0)</f>
        <v>0</v>
      </c>
      <c r="Y676" s="32" t="n">
        <f aca="false">IF(AND(OR($F676="Analogy",$F676="Assumed",$F676="Derived（待改公式）",$F676="Derived（公式）"),OR($N676="—",$N676="",$N676=0)),1,0)</f>
        <v>0</v>
      </c>
      <c r="Z676" s="32" t="n">
        <f aca="false">IF(AND($F676="Decision",OR($J676="—",$J676="")),1,0)</f>
        <v>0</v>
      </c>
      <c r="AA676" s="33" t="n">
        <f aca="false">IF(OR($J676="—",$J676=""),0,IF(COUNTIF(Decisions!$A$5:$A$300,$J676)=0,1,0))</f>
        <v>0</v>
      </c>
      <c r="AB676" s="32" t="n">
        <f aca="false">IF(AND($F676="原始數據",$S676&lt;&gt;"Active"),1,0)</f>
        <v>0</v>
      </c>
      <c r="AC676" s="32" t="n">
        <f aca="false">IF(AND(ISNUMBER($K676),ISNUMBER($L676),ISNUMBER($Q676)),IF(OR($Q676&lt;MIN($K676,$L676),$Q676&gt;MAX($K676,$L676)),1,0),0)</f>
        <v>0</v>
      </c>
      <c r="AD676" s="32" t="n">
        <f aca="false">IF(AND(ISNUMBER($T676),$P676="高"),IF($T676=3,1,0),0)</f>
        <v>0</v>
      </c>
      <c r="AE676" s="32" t="n">
        <f aca="false">IF($S676="不存在",1,0)</f>
        <v>0</v>
      </c>
      <c r="AF676" s="44" t="str">
        <f aca="false">IF(OR($H676="—",$H676=""),"—",MATCH($H676,IDX_SrcID,0))</f>
        <v>—</v>
      </c>
      <c r="AG676" s="32" t="n">
        <f aca="false">IF(AND($P676="高",OR($AD676=1,$X676=1)),1,0)</f>
        <v>0</v>
      </c>
      <c r="AH676" s="32" t="n">
        <f aca="false">IF(AND($P676="高",$AG676=0,OR($F676&lt;&gt;"原始數據",$T676&lt;&gt;1)),1,0)</f>
        <v>0</v>
      </c>
      <c r="AI676" s="44" t="str">
        <f aca="false">IF(AND($P676="高",ISNUMBER($AF676)),INDEX(IDX_SrcDate,$AF676),"—")</f>
        <v>—</v>
      </c>
      <c r="AJ676" s="32" t="n">
        <f aca="false">IF(AND(ISTEXT($AI676),LEN($AI676)=10),IF(ISNUMBER(VALUE(SUBSTITUTE($AI676,"-",""))),VALUE(SUBSTITUTE($AI676,"-","")),0),0)</f>
        <v>0</v>
      </c>
    </row>
    <row r="677" customFormat="false" ht="199.5" hidden="false" customHeight="true" outlineLevel="0" collapsed="false">
      <c r="A677" s="30" t="s">
        <v>6527</v>
      </c>
      <c r="B677" s="205" t="s">
        <v>6499</v>
      </c>
      <c r="C677" s="30" t="s">
        <v>6110</v>
      </c>
      <c r="D677" s="30" t="s">
        <v>4911</v>
      </c>
      <c r="E677" s="243" t="s">
        <v>6528</v>
      </c>
      <c r="F677" s="30" t="s">
        <v>162</v>
      </c>
      <c r="G677" s="205" t="s">
        <v>97</v>
      </c>
      <c r="H677" s="30" t="s">
        <v>751</v>
      </c>
      <c r="I677" s="6" t="s">
        <v>751</v>
      </c>
      <c r="J677" s="30" t="s">
        <v>6523</v>
      </c>
      <c r="K677" s="194" t="n">
        <f aca="false">Alloc_In!D30</f>
        <v>0.25</v>
      </c>
      <c r="L677" s="194" t="n">
        <f aca="false">Alloc_In!E30</f>
        <v>0.55</v>
      </c>
      <c r="M677" s="30" t="s">
        <v>6529</v>
      </c>
      <c r="N677" s="6" t="s">
        <v>6530</v>
      </c>
      <c r="O677" s="6" t="s">
        <v>751</v>
      </c>
      <c r="P677" s="205" t="s">
        <v>4586</v>
      </c>
      <c r="Q677" s="194" t="n">
        <f aca="false">Alloc_In!C30</f>
        <v>0.38</v>
      </c>
      <c r="R677" s="30" t="s">
        <v>751</v>
      </c>
      <c r="S677" s="44" t="str">
        <f aca="false">IF(ISNUMBER($AF677),INDEX(IDX_SrcStat,$AF677),"—")</f>
        <v>—</v>
      </c>
      <c r="T677" s="44" t="str">
        <f aca="false">IF(ISNUMBER($AF677),INDEX(IDX_SrcGrade,$AF677),"—")</f>
        <v>—</v>
      </c>
      <c r="U677" s="44" t="s">
        <v>4531</v>
      </c>
      <c r="V677" s="32" t="n">
        <f aca="false">IF(AND($F677="原始數據",$U677&lt;&gt;"連結 SRC"),1,0)</f>
        <v>0</v>
      </c>
      <c r="W677" s="32" t="n">
        <f aca="false">IF(AND($F677="Analogy",OR($H677="—",$H677="")),1,0)</f>
        <v>0</v>
      </c>
      <c r="X677" s="32" t="n">
        <f aca="false">IF(AND(OR($F677="Analogy",$F677="Assumed"),$G677&lt;&gt;"低",$G677&lt;&gt;"高",NOT(ISNUMBER($K677)),NOT(ISNUMBER($L677)),OR($M677="—",$M677="")),1,0)</f>
        <v>0</v>
      </c>
      <c r="Y677" s="32" t="n">
        <f aca="false">IF(AND(OR($F677="Analogy",$F677="Assumed",$F677="Derived（待改公式）",$F677="Derived（公式）"),OR($N677="—",$N677="",$N677=0)),1,0)</f>
        <v>0</v>
      </c>
      <c r="Z677" s="32" t="n">
        <f aca="false">IF(AND($F677="Decision",OR($J677="—",$J677="")),1,0)</f>
        <v>0</v>
      </c>
      <c r="AA677" s="33" t="n">
        <f aca="false">IF(OR($J677="—",$J677=""),0,IF(COUNTIF(Decisions!$A$5:$A$300,$J677)=0,1,0))</f>
        <v>0</v>
      </c>
      <c r="AB677" s="32" t="n">
        <f aca="false">IF(AND($F677="原始數據",$S677&lt;&gt;"Active"),1,0)</f>
        <v>0</v>
      </c>
      <c r="AC677" s="32" t="n">
        <f aca="false">IF(AND(ISNUMBER($K677),ISNUMBER($L677),ISNUMBER($Q677)),IF(OR($Q677&lt;MIN($K677,$L677),$Q677&gt;MAX($K677,$L677)),1,0),0)</f>
        <v>0</v>
      </c>
      <c r="AD677" s="32" t="n">
        <f aca="false">IF(AND(ISNUMBER($T677),$P677="高"),IF($T677=3,1,0),0)</f>
        <v>0</v>
      </c>
      <c r="AE677" s="32" t="n">
        <f aca="false">IF($S677="不存在",1,0)</f>
        <v>0</v>
      </c>
      <c r="AF677" s="44" t="str">
        <f aca="false">IF(OR($H677="—",$H677=""),"—",MATCH($H677,IDX_SrcID,0))</f>
        <v>—</v>
      </c>
      <c r="AG677" s="32" t="n">
        <f aca="false">IF(AND($P677="高",OR($AD677=1,$X677=1)),1,0)</f>
        <v>0</v>
      </c>
      <c r="AH677" s="32" t="n">
        <f aca="false">IF(AND($P677="高",$AG677=0,OR($F677&lt;&gt;"原始數據",$T677&lt;&gt;1)),1,0)</f>
        <v>0</v>
      </c>
      <c r="AI677" s="44" t="str">
        <f aca="false">IF(AND($P677="高",ISNUMBER($AF677)),INDEX(IDX_SrcDate,$AF677),"—")</f>
        <v>—</v>
      </c>
      <c r="AJ677" s="32" t="n">
        <f aca="false">IF(AND(ISTEXT($AI677),LEN($AI677)=10),IF(ISNUMBER(VALUE(SUBSTITUTE($AI677,"-",""))),VALUE(SUBSTITUTE($AI677,"-","")),0),0)</f>
        <v>0</v>
      </c>
    </row>
    <row r="678" customFormat="false" ht="199.5" hidden="false" customHeight="true" outlineLevel="0" collapsed="false">
      <c r="A678" s="30" t="s">
        <v>6531</v>
      </c>
      <c r="B678" s="205" t="s">
        <v>6499</v>
      </c>
      <c r="C678" s="30" t="s">
        <v>6110</v>
      </c>
      <c r="D678" s="30" t="s">
        <v>6532</v>
      </c>
      <c r="E678" s="243" t="s">
        <v>6528</v>
      </c>
      <c r="F678" s="30" t="s">
        <v>162</v>
      </c>
      <c r="G678" s="205" t="s">
        <v>5614</v>
      </c>
      <c r="H678" s="30" t="s">
        <v>751</v>
      </c>
      <c r="I678" s="6" t="s">
        <v>751</v>
      </c>
      <c r="J678" s="30" t="s">
        <v>6523</v>
      </c>
      <c r="K678" s="205"/>
      <c r="L678" s="205"/>
      <c r="M678" s="30" t="s">
        <v>6533</v>
      </c>
      <c r="N678" s="6" t="s">
        <v>6530</v>
      </c>
      <c r="O678" s="6" t="s">
        <v>751</v>
      </c>
      <c r="P678" s="30" t="s">
        <v>751</v>
      </c>
      <c r="Q678" s="184" t="s">
        <v>751</v>
      </c>
      <c r="R678" s="30" t="s">
        <v>751</v>
      </c>
      <c r="S678" s="44" t="str">
        <f aca="false">IF(ISNUMBER($AF678),INDEX(IDX_SrcStat,$AF678),"—")</f>
        <v>—</v>
      </c>
      <c r="T678" s="44" t="str">
        <f aca="false">IF(ISNUMBER($AF678),INDEX(IDX_SrcGrade,$AF678),"—")</f>
        <v>—</v>
      </c>
      <c r="U678" s="30" t="s">
        <v>751</v>
      </c>
      <c r="V678" s="32" t="n">
        <f aca="false">IF(AND($F678="原始數據",$U678&lt;&gt;"連結 SRC"),1,0)</f>
        <v>0</v>
      </c>
      <c r="W678" s="32" t="n">
        <f aca="false">IF(AND($F678="Analogy",OR($H678="—",$H678="")),1,0)</f>
        <v>0</v>
      </c>
      <c r="X678" s="32" t="n">
        <f aca="false">IF(AND(OR($F678="Analogy",$F678="Assumed"),$G678&lt;&gt;"低",$G678&lt;&gt;"高",NOT(ISNUMBER($K678)),NOT(ISNUMBER($L678)),OR($M678="—",$M678="")),1,0)</f>
        <v>0</v>
      </c>
      <c r="Y678" s="32" t="n">
        <f aca="false">IF(AND(OR($F678="Analogy",$F678="Assumed",$F678="Derived（待改公式）",$F678="Derived（公式）"),OR($N678="—",$N678="",$N678=0)),1,0)</f>
        <v>0</v>
      </c>
      <c r="Z678" s="32" t="n">
        <f aca="false">IF(AND($F678="Decision",OR($J678="—",$J678="")),1,0)</f>
        <v>0</v>
      </c>
      <c r="AA678" s="33" t="n">
        <f aca="false">IF(OR($J678="—",$J678=""),0,IF(COUNTIF(Decisions!$A$5:$A$300,$J678)=0,1,0))</f>
        <v>0</v>
      </c>
      <c r="AB678" s="32" t="n">
        <f aca="false">IF(AND($F678="原始數據",$S678&lt;&gt;"Active"),1,0)</f>
        <v>0</v>
      </c>
      <c r="AC678" s="32" t="n">
        <f aca="false">IF(AND(ISNUMBER($K678),ISNUMBER($L678),ISNUMBER($Q678)),IF(OR($Q678&lt;MIN($K678,$L678),$Q678&gt;MAX($K678,$L678)),1,0),0)</f>
        <v>0</v>
      </c>
      <c r="AD678" s="32" t="n">
        <f aca="false">IF(AND(ISNUMBER($T678),$P678="高"),IF($T678=3,1,0),0)</f>
        <v>0</v>
      </c>
      <c r="AE678" s="32" t="n">
        <f aca="false">IF($S678="不存在",1,0)</f>
        <v>0</v>
      </c>
      <c r="AF678" s="44" t="str">
        <f aca="false">IF(OR($H678="—",$H678=""),"—",MATCH($H678,IDX_SrcID,0))</f>
        <v>—</v>
      </c>
      <c r="AG678" s="32" t="n">
        <f aca="false">IF(AND($P678="高",OR($AD678=1,$X678=1)),1,0)</f>
        <v>0</v>
      </c>
      <c r="AH678" s="32" t="n">
        <f aca="false">IF(AND($P678="高",$AG678=0,OR($F678&lt;&gt;"原始數據",$T678&lt;&gt;1)),1,0)</f>
        <v>0</v>
      </c>
      <c r="AI678" s="44" t="str">
        <f aca="false">IF(AND($P678="高",ISNUMBER($AF678)),INDEX(IDX_SrcDate,$AF678),"—")</f>
        <v>—</v>
      </c>
      <c r="AJ678" s="32" t="n">
        <f aca="false">IF(AND(ISTEXT($AI678),LEN($AI678)=10),IF(ISNUMBER(VALUE(SUBSTITUTE($AI678,"-",""))),VALUE(SUBSTITUTE($AI678,"-","")),0),0)</f>
        <v>0</v>
      </c>
    </row>
    <row r="679" customFormat="false" ht="185.25" hidden="false" customHeight="true" outlineLevel="0" collapsed="false">
      <c r="A679" s="30" t="s">
        <v>6534</v>
      </c>
      <c r="B679" s="205" t="s">
        <v>6499</v>
      </c>
      <c r="C679" s="30" t="s">
        <v>6110</v>
      </c>
      <c r="D679" s="30" t="s">
        <v>4921</v>
      </c>
      <c r="E679" s="243" t="s">
        <v>6535</v>
      </c>
      <c r="F679" s="30" t="s">
        <v>162</v>
      </c>
      <c r="G679" s="205" t="s">
        <v>97</v>
      </c>
      <c r="H679" s="30" t="s">
        <v>751</v>
      </c>
      <c r="I679" s="6" t="s">
        <v>751</v>
      </c>
      <c r="J679" s="30" t="s">
        <v>6523</v>
      </c>
      <c r="K679" s="194" t="n">
        <f aca="false">Alloc_In!D31</f>
        <v>0</v>
      </c>
      <c r="L679" s="194" t="n">
        <f aca="false">Alloc_In!E31</f>
        <v>0.05</v>
      </c>
      <c r="M679" s="30" t="s">
        <v>6536</v>
      </c>
      <c r="N679" s="6" t="s">
        <v>6537</v>
      </c>
      <c r="O679" s="6" t="s">
        <v>751</v>
      </c>
      <c r="P679" s="205" t="s">
        <v>4586</v>
      </c>
      <c r="Q679" s="194" t="n">
        <f aca="false">Alloc_In!C31</f>
        <v>0.02</v>
      </c>
      <c r="R679" s="30" t="s">
        <v>751</v>
      </c>
      <c r="S679" s="44" t="str">
        <f aca="false">IF(ISNUMBER($AF679),INDEX(IDX_SrcStat,$AF679),"—")</f>
        <v>—</v>
      </c>
      <c r="T679" s="44" t="str">
        <f aca="false">IF(ISNUMBER($AF679),INDEX(IDX_SrcGrade,$AF679),"—")</f>
        <v>—</v>
      </c>
      <c r="U679" s="44" t="s">
        <v>4531</v>
      </c>
      <c r="V679" s="32" t="n">
        <f aca="false">IF(AND($F679="原始數據",$U679&lt;&gt;"連結 SRC"),1,0)</f>
        <v>0</v>
      </c>
      <c r="W679" s="32" t="n">
        <f aca="false">IF(AND($F679="Analogy",OR($H679="—",$H679="")),1,0)</f>
        <v>0</v>
      </c>
      <c r="X679" s="32" t="n">
        <f aca="false">IF(AND(OR($F679="Analogy",$F679="Assumed"),$G679&lt;&gt;"低",$G679&lt;&gt;"高",NOT(ISNUMBER($K679)),NOT(ISNUMBER($L679)),OR($M679="—",$M679="")),1,0)</f>
        <v>0</v>
      </c>
      <c r="Y679" s="32" t="n">
        <f aca="false">IF(AND(OR($F679="Analogy",$F679="Assumed",$F679="Derived（待改公式）",$F679="Derived（公式）"),OR($N679="—",$N679="",$N679=0)),1,0)</f>
        <v>0</v>
      </c>
      <c r="Z679" s="32" t="n">
        <f aca="false">IF(AND($F679="Decision",OR($J679="—",$J679="")),1,0)</f>
        <v>0</v>
      </c>
      <c r="AA679" s="33" t="n">
        <f aca="false">IF(OR($J679="—",$J679=""),0,IF(COUNTIF(Decisions!$A$5:$A$300,$J679)=0,1,0))</f>
        <v>0</v>
      </c>
      <c r="AB679" s="32" t="n">
        <f aca="false">IF(AND($F679="原始數據",$S679&lt;&gt;"Active"),1,0)</f>
        <v>0</v>
      </c>
      <c r="AC679" s="32" t="n">
        <f aca="false">IF(AND(ISNUMBER($K679),ISNUMBER($L679),ISNUMBER($Q679)),IF(OR($Q679&lt;MIN($K679,$L679),$Q679&gt;MAX($K679,$L679)),1,0),0)</f>
        <v>0</v>
      </c>
      <c r="AD679" s="32" t="n">
        <f aca="false">IF(AND(ISNUMBER($T679),$P679="高"),IF($T679=3,1,0),0)</f>
        <v>0</v>
      </c>
      <c r="AE679" s="32" t="n">
        <f aca="false">IF($S679="不存在",1,0)</f>
        <v>0</v>
      </c>
      <c r="AF679" s="44" t="str">
        <f aca="false">IF(OR($H679="—",$H679=""),"—",MATCH($H679,IDX_SrcID,0))</f>
        <v>—</v>
      </c>
      <c r="AG679" s="32" t="n">
        <f aca="false">IF(AND($P679="高",OR($AD679=1,$X679=1)),1,0)</f>
        <v>0</v>
      </c>
      <c r="AH679" s="32" t="n">
        <f aca="false">IF(AND($P679="高",$AG679=0,OR($F679&lt;&gt;"原始數據",$T679&lt;&gt;1)),1,0)</f>
        <v>0</v>
      </c>
      <c r="AI679" s="44" t="str">
        <f aca="false">IF(AND($P679="高",ISNUMBER($AF679)),INDEX(IDX_SrcDate,$AF679),"—")</f>
        <v>—</v>
      </c>
      <c r="AJ679" s="32" t="n">
        <f aca="false">IF(AND(ISTEXT($AI679),LEN($AI679)=10),IF(ISNUMBER(VALUE(SUBSTITUTE($AI679,"-",""))),VALUE(SUBSTITUTE($AI679,"-","")),0),0)</f>
        <v>0</v>
      </c>
    </row>
    <row r="680" customFormat="false" ht="185.25" hidden="false" customHeight="true" outlineLevel="0" collapsed="false">
      <c r="A680" s="30" t="s">
        <v>6538</v>
      </c>
      <c r="B680" s="205" t="s">
        <v>6499</v>
      </c>
      <c r="C680" s="30" t="s">
        <v>6110</v>
      </c>
      <c r="D680" s="30" t="s">
        <v>6539</v>
      </c>
      <c r="E680" s="243" t="s">
        <v>6535</v>
      </c>
      <c r="F680" s="30" t="s">
        <v>162</v>
      </c>
      <c r="G680" s="205" t="s">
        <v>5614</v>
      </c>
      <c r="H680" s="30" t="s">
        <v>751</v>
      </c>
      <c r="I680" s="6" t="s">
        <v>751</v>
      </c>
      <c r="J680" s="30" t="s">
        <v>6523</v>
      </c>
      <c r="K680" s="205"/>
      <c r="L680" s="205"/>
      <c r="M680" s="30" t="s">
        <v>6540</v>
      </c>
      <c r="N680" s="6" t="s">
        <v>6537</v>
      </c>
      <c r="O680" s="6" t="s">
        <v>751</v>
      </c>
      <c r="P680" s="30" t="s">
        <v>751</v>
      </c>
      <c r="Q680" s="184" t="s">
        <v>751</v>
      </c>
      <c r="R680" s="30" t="s">
        <v>751</v>
      </c>
      <c r="S680" s="44" t="str">
        <f aca="false">IF(ISNUMBER($AF680),INDEX(IDX_SrcStat,$AF680),"—")</f>
        <v>—</v>
      </c>
      <c r="T680" s="44" t="str">
        <f aca="false">IF(ISNUMBER($AF680),INDEX(IDX_SrcGrade,$AF680),"—")</f>
        <v>—</v>
      </c>
      <c r="U680" s="30" t="s">
        <v>751</v>
      </c>
      <c r="V680" s="32" t="n">
        <f aca="false">IF(AND($F680="原始數據",$U680&lt;&gt;"連結 SRC"),1,0)</f>
        <v>0</v>
      </c>
      <c r="W680" s="32" t="n">
        <f aca="false">IF(AND($F680="Analogy",OR($H680="—",$H680="")),1,0)</f>
        <v>0</v>
      </c>
      <c r="X680" s="32" t="n">
        <f aca="false">IF(AND(OR($F680="Analogy",$F680="Assumed"),$G680&lt;&gt;"低",$G680&lt;&gt;"高",NOT(ISNUMBER($K680)),NOT(ISNUMBER($L680)),OR($M680="—",$M680="")),1,0)</f>
        <v>0</v>
      </c>
      <c r="Y680" s="32" t="n">
        <f aca="false">IF(AND(OR($F680="Analogy",$F680="Assumed",$F680="Derived（待改公式）",$F680="Derived（公式）"),OR($N680="—",$N680="",$N680=0)),1,0)</f>
        <v>0</v>
      </c>
      <c r="Z680" s="32" t="n">
        <f aca="false">IF(AND($F680="Decision",OR($J680="—",$J680="")),1,0)</f>
        <v>0</v>
      </c>
      <c r="AA680" s="33" t="n">
        <f aca="false">IF(OR($J680="—",$J680=""),0,IF(COUNTIF(Decisions!$A$5:$A$300,$J680)=0,1,0))</f>
        <v>0</v>
      </c>
      <c r="AB680" s="32" t="n">
        <f aca="false">IF(AND($F680="原始數據",$S680&lt;&gt;"Active"),1,0)</f>
        <v>0</v>
      </c>
      <c r="AC680" s="32" t="n">
        <f aca="false">IF(AND(ISNUMBER($K680),ISNUMBER($L680),ISNUMBER($Q680)),IF(OR($Q680&lt;MIN($K680,$L680),$Q680&gt;MAX($K680,$L680)),1,0),0)</f>
        <v>0</v>
      </c>
      <c r="AD680" s="32" t="n">
        <f aca="false">IF(AND(ISNUMBER($T680),$P680="高"),IF($T680=3,1,0),0)</f>
        <v>0</v>
      </c>
      <c r="AE680" s="32" t="n">
        <f aca="false">IF($S680="不存在",1,0)</f>
        <v>0</v>
      </c>
      <c r="AF680" s="44" t="str">
        <f aca="false">IF(OR($H680="—",$H680=""),"—",MATCH($H680,IDX_SrcID,0))</f>
        <v>—</v>
      </c>
      <c r="AG680" s="32" t="n">
        <f aca="false">IF(AND($P680="高",OR($AD680=1,$X680=1)),1,0)</f>
        <v>0</v>
      </c>
      <c r="AH680" s="32" t="n">
        <f aca="false">IF(AND($P680="高",$AG680=0,OR($F680&lt;&gt;"原始數據",$T680&lt;&gt;1)),1,0)</f>
        <v>0</v>
      </c>
      <c r="AI680" s="44" t="str">
        <f aca="false">IF(AND($P680="高",ISNUMBER($AF680)),INDEX(IDX_SrcDate,$AF680),"—")</f>
        <v>—</v>
      </c>
      <c r="AJ680" s="32" t="n">
        <f aca="false">IF(AND(ISTEXT($AI680),LEN($AI680)=10),IF(ISNUMBER(VALUE(SUBSTITUTE($AI680,"-",""))),VALUE(SUBSTITUTE($AI680,"-","")),0),0)</f>
        <v>0</v>
      </c>
    </row>
    <row r="681" customFormat="false" ht="185.25" hidden="false" customHeight="true" outlineLevel="0" collapsed="false">
      <c r="A681" s="30" t="s">
        <v>6541</v>
      </c>
      <c r="B681" s="205" t="s">
        <v>6499</v>
      </c>
      <c r="C681" s="30" t="s">
        <v>6110</v>
      </c>
      <c r="D681" s="30" t="s">
        <v>4932</v>
      </c>
      <c r="E681" s="243" t="s">
        <v>6542</v>
      </c>
      <c r="F681" s="30" t="s">
        <v>162</v>
      </c>
      <c r="G681" s="205" t="s">
        <v>97</v>
      </c>
      <c r="H681" s="30" t="s">
        <v>751</v>
      </c>
      <c r="I681" s="6" t="s">
        <v>751</v>
      </c>
      <c r="J681" s="30" t="s">
        <v>6523</v>
      </c>
      <c r="K681" s="194" t="n">
        <f aca="false">Alloc_In!D32</f>
        <v>0</v>
      </c>
      <c r="L681" s="194" t="n">
        <f aca="false">Alloc_In!E32</f>
        <v>0</v>
      </c>
      <c r="M681" s="30" t="s">
        <v>6543</v>
      </c>
      <c r="N681" s="6" t="s">
        <v>6544</v>
      </c>
      <c r="O681" s="6" t="s">
        <v>751</v>
      </c>
      <c r="P681" s="205" t="s">
        <v>4530</v>
      </c>
      <c r="Q681" s="194" t="n">
        <f aca="false">Alloc_In!C32</f>
        <v>0</v>
      </c>
      <c r="R681" s="30" t="s">
        <v>751</v>
      </c>
      <c r="S681" s="44" t="str">
        <f aca="false">IF(ISNUMBER($AF681),INDEX(IDX_SrcStat,$AF681),"—")</f>
        <v>—</v>
      </c>
      <c r="T681" s="44" t="str">
        <f aca="false">IF(ISNUMBER($AF681),INDEX(IDX_SrcGrade,$AF681),"—")</f>
        <v>—</v>
      </c>
      <c r="U681" s="44" t="s">
        <v>4531</v>
      </c>
      <c r="V681" s="32" t="n">
        <f aca="false">IF(AND($F681="原始數據",$U681&lt;&gt;"連結 SRC"),1,0)</f>
        <v>0</v>
      </c>
      <c r="W681" s="32" t="n">
        <f aca="false">IF(AND($F681="Analogy",OR($H681="—",$H681="")),1,0)</f>
        <v>0</v>
      </c>
      <c r="X681" s="32" t="n">
        <f aca="false">IF(AND(OR($F681="Analogy",$F681="Assumed"),$G681&lt;&gt;"低",$G681&lt;&gt;"高",NOT(ISNUMBER($K681)),NOT(ISNUMBER($L681)),OR($M681="—",$M681="")),1,0)</f>
        <v>0</v>
      </c>
      <c r="Y681" s="32" t="n">
        <f aca="false">IF(AND(OR($F681="Analogy",$F681="Assumed",$F681="Derived（待改公式）",$F681="Derived（公式）"),OR($N681="—",$N681="",$N681=0)),1,0)</f>
        <v>0</v>
      </c>
      <c r="Z681" s="32" t="n">
        <f aca="false">IF(AND($F681="Decision",OR($J681="—",$J681="")),1,0)</f>
        <v>0</v>
      </c>
      <c r="AA681" s="33" t="n">
        <f aca="false">IF(OR($J681="—",$J681=""),0,IF(COUNTIF(Decisions!$A$5:$A$300,$J681)=0,1,0))</f>
        <v>0</v>
      </c>
      <c r="AB681" s="32" t="n">
        <f aca="false">IF(AND($F681="原始數據",$S681&lt;&gt;"Active"),1,0)</f>
        <v>0</v>
      </c>
      <c r="AC681" s="32" t="n">
        <f aca="false">IF(AND(ISNUMBER($K681),ISNUMBER($L681),ISNUMBER($Q681)),IF(OR($Q681&lt;MIN($K681,$L681),$Q681&gt;MAX($K681,$L681)),1,0),0)</f>
        <v>0</v>
      </c>
      <c r="AD681" s="32" t="n">
        <f aca="false">IF(AND(ISNUMBER($T681),$P681="高"),IF($T681=3,1,0),0)</f>
        <v>0</v>
      </c>
      <c r="AE681" s="32" t="n">
        <f aca="false">IF($S681="不存在",1,0)</f>
        <v>0</v>
      </c>
      <c r="AF681" s="44" t="str">
        <f aca="false">IF(OR($H681="—",$H681=""),"—",MATCH($H681,IDX_SrcID,0))</f>
        <v>—</v>
      </c>
      <c r="AG681" s="32" t="n">
        <f aca="false">IF(AND($P681="高",OR($AD681=1,$X681=1)),1,0)</f>
        <v>0</v>
      </c>
      <c r="AH681" s="32" t="n">
        <f aca="false">IF(AND($P681="高",$AG681=0,OR($F681&lt;&gt;"原始數據",$T681&lt;&gt;1)),1,0)</f>
        <v>0</v>
      </c>
      <c r="AI681" s="44" t="str">
        <f aca="false">IF(AND($P681="高",ISNUMBER($AF681)),INDEX(IDX_SrcDate,$AF681),"—")</f>
        <v>—</v>
      </c>
      <c r="AJ681" s="32" t="n">
        <f aca="false">IF(AND(ISTEXT($AI681),LEN($AI681)=10),IF(ISNUMBER(VALUE(SUBSTITUTE($AI681,"-",""))),VALUE(SUBSTITUTE($AI681,"-","")),0),0)</f>
        <v>0</v>
      </c>
    </row>
    <row r="682" customFormat="false" ht="185.25" hidden="false" customHeight="true" outlineLevel="0" collapsed="false">
      <c r="A682" s="30" t="s">
        <v>6545</v>
      </c>
      <c r="B682" s="205" t="s">
        <v>6499</v>
      </c>
      <c r="C682" s="30" t="s">
        <v>6110</v>
      </c>
      <c r="D682" s="30" t="s">
        <v>6546</v>
      </c>
      <c r="E682" s="243" t="s">
        <v>6542</v>
      </c>
      <c r="F682" s="30" t="s">
        <v>162</v>
      </c>
      <c r="G682" s="205" t="s">
        <v>5614</v>
      </c>
      <c r="H682" s="30" t="s">
        <v>751</v>
      </c>
      <c r="I682" s="6" t="s">
        <v>751</v>
      </c>
      <c r="J682" s="30" t="s">
        <v>6523</v>
      </c>
      <c r="K682" s="205"/>
      <c r="L682" s="205"/>
      <c r="M682" s="30" t="s">
        <v>6547</v>
      </c>
      <c r="N682" s="6" t="s">
        <v>6544</v>
      </c>
      <c r="O682" s="6" t="s">
        <v>751</v>
      </c>
      <c r="P682" s="30" t="s">
        <v>751</v>
      </c>
      <c r="Q682" s="184" t="s">
        <v>751</v>
      </c>
      <c r="R682" s="30" t="s">
        <v>751</v>
      </c>
      <c r="S682" s="44" t="str">
        <f aca="false">IF(ISNUMBER($AF682),INDEX(IDX_SrcStat,$AF682),"—")</f>
        <v>—</v>
      </c>
      <c r="T682" s="44" t="str">
        <f aca="false">IF(ISNUMBER($AF682),INDEX(IDX_SrcGrade,$AF682),"—")</f>
        <v>—</v>
      </c>
      <c r="U682" s="30" t="s">
        <v>751</v>
      </c>
      <c r="V682" s="32" t="n">
        <f aca="false">IF(AND($F682="原始數據",$U682&lt;&gt;"連結 SRC"),1,0)</f>
        <v>0</v>
      </c>
      <c r="W682" s="32" t="n">
        <f aca="false">IF(AND($F682="Analogy",OR($H682="—",$H682="")),1,0)</f>
        <v>0</v>
      </c>
      <c r="X682" s="32" t="n">
        <f aca="false">IF(AND(OR($F682="Analogy",$F682="Assumed"),$G682&lt;&gt;"低",$G682&lt;&gt;"高",NOT(ISNUMBER($K682)),NOT(ISNUMBER($L682)),OR($M682="—",$M682="")),1,0)</f>
        <v>0</v>
      </c>
      <c r="Y682" s="32" t="n">
        <f aca="false">IF(AND(OR($F682="Analogy",$F682="Assumed",$F682="Derived（待改公式）",$F682="Derived（公式）"),OR($N682="—",$N682="",$N682=0)),1,0)</f>
        <v>0</v>
      </c>
      <c r="Z682" s="32" t="n">
        <f aca="false">IF(AND($F682="Decision",OR($J682="—",$J682="")),1,0)</f>
        <v>0</v>
      </c>
      <c r="AA682" s="33" t="n">
        <f aca="false">IF(OR($J682="—",$J682=""),0,IF(COUNTIF(Decisions!$A$5:$A$300,$J682)=0,1,0))</f>
        <v>0</v>
      </c>
      <c r="AB682" s="32" t="n">
        <f aca="false">IF(AND($F682="原始數據",$S682&lt;&gt;"Active"),1,0)</f>
        <v>0</v>
      </c>
      <c r="AC682" s="32" t="n">
        <f aca="false">IF(AND(ISNUMBER($K682),ISNUMBER($L682),ISNUMBER($Q682)),IF(OR($Q682&lt;MIN($K682,$L682),$Q682&gt;MAX($K682,$L682)),1,0),0)</f>
        <v>0</v>
      </c>
      <c r="AD682" s="32" t="n">
        <f aca="false">IF(AND(ISNUMBER($T682),$P682="高"),IF($T682=3,1,0),0)</f>
        <v>0</v>
      </c>
      <c r="AE682" s="32" t="n">
        <f aca="false">IF($S682="不存在",1,0)</f>
        <v>0</v>
      </c>
      <c r="AF682" s="44" t="str">
        <f aca="false">IF(OR($H682="—",$H682=""),"—",MATCH($H682,IDX_SrcID,0))</f>
        <v>—</v>
      </c>
      <c r="AG682" s="32" t="n">
        <f aca="false">IF(AND($P682="高",OR($AD682=1,$X682=1)),1,0)</f>
        <v>0</v>
      </c>
      <c r="AH682" s="32" t="n">
        <f aca="false">IF(AND($P682="高",$AG682=0,OR($F682&lt;&gt;"原始數據",$T682&lt;&gt;1)),1,0)</f>
        <v>0</v>
      </c>
      <c r="AI682" s="44" t="str">
        <f aca="false">IF(AND($P682="高",ISNUMBER($AF682)),INDEX(IDX_SrcDate,$AF682),"—")</f>
        <v>—</v>
      </c>
      <c r="AJ682" s="32" t="n">
        <f aca="false">IF(AND(ISTEXT($AI682),LEN($AI682)=10),IF(ISNUMBER(VALUE(SUBSTITUTE($AI682,"-",""))),VALUE(SUBSTITUTE($AI682,"-","")),0),0)</f>
        <v>0</v>
      </c>
    </row>
    <row r="683" customFormat="false" ht="97.5" hidden="false" customHeight="true" outlineLevel="0" collapsed="false">
      <c r="A683" s="30" t="s">
        <v>6548</v>
      </c>
      <c r="B683" s="205" t="s">
        <v>6499</v>
      </c>
      <c r="C683" s="30" t="s">
        <v>5608</v>
      </c>
      <c r="D683" s="30" t="s">
        <v>6549</v>
      </c>
      <c r="E683" s="6" t="s">
        <v>1889</v>
      </c>
      <c r="F683" s="30" t="s">
        <v>114</v>
      </c>
      <c r="G683" s="205" t="s">
        <v>4527</v>
      </c>
      <c r="H683" s="30" t="s">
        <v>751</v>
      </c>
      <c r="I683" s="6" t="s">
        <v>751</v>
      </c>
      <c r="J683" s="30" t="s">
        <v>6550</v>
      </c>
      <c r="K683" s="241" t="n">
        <v>400</v>
      </c>
      <c r="L683" s="241" t="n">
        <v>400</v>
      </c>
      <c r="M683" s="205" t="s">
        <v>6551</v>
      </c>
      <c r="N683" s="6" t="s">
        <v>6552</v>
      </c>
      <c r="O683" s="6" t="s">
        <v>751</v>
      </c>
      <c r="P683" s="205" t="s">
        <v>4530</v>
      </c>
      <c r="Q683" s="33" t="n">
        <f aca="false">Cap_In!C292</f>
        <v>400</v>
      </c>
      <c r="R683" s="30" t="s">
        <v>751</v>
      </c>
      <c r="S683" s="44" t="str">
        <f aca="false">IF(ISNUMBER($AF683),INDEX(IDX_SrcStat,$AF683),"—")</f>
        <v>—</v>
      </c>
      <c r="T683" s="44" t="str">
        <f aca="false">IF(ISNUMBER($AF683),INDEX(IDX_SrcGrade,$AF683),"—")</f>
        <v>—</v>
      </c>
      <c r="U683" s="44" t="s">
        <v>4531</v>
      </c>
      <c r="V683" s="32" t="n">
        <f aca="false">IF(AND($F683="原始數據",$U683&lt;&gt;"連結 SRC"),1,0)</f>
        <v>0</v>
      </c>
      <c r="W683" s="32" t="n">
        <f aca="false">IF(AND($F683="Analogy",OR($H683="—",$H683="")),1,0)</f>
        <v>0</v>
      </c>
      <c r="X683" s="32" t="n">
        <f aca="false">IF(AND(OR($F683="Analogy",$F683="Assumed"),$G683&lt;&gt;"低",$G683&lt;&gt;"高",NOT(ISNUMBER($K683)),NOT(ISNUMBER($L683)),OR($M683="—",$M683="")),1,0)</f>
        <v>0</v>
      </c>
      <c r="Y683" s="32" t="n">
        <f aca="false">IF(AND(OR($F683="Analogy",$F683="Assumed",$F683="Derived（待改公式）",$F683="Derived（公式）"),OR($N683="—",$N683="",$N683=0)),1,0)</f>
        <v>0</v>
      </c>
      <c r="Z683" s="32" t="n">
        <f aca="false">IF(AND($F683="Decision",OR($J683="—",$J683="")),1,0)</f>
        <v>0</v>
      </c>
      <c r="AA683" s="33" t="n">
        <f aca="false">IF(OR($J683="—",$J683=""),0,IF(COUNTIF(Decisions!$A$5:$A$300,$J683)=0,1,0))</f>
        <v>0</v>
      </c>
      <c r="AB683" s="32" t="n">
        <f aca="false">IF(AND($F683="原始數據",$S683&lt;&gt;"Active"),1,0)</f>
        <v>0</v>
      </c>
      <c r="AC683" s="32" t="n">
        <f aca="false">IF(AND(ISNUMBER($K683),ISNUMBER($L683),ISNUMBER($Q683)),IF(OR($Q683&lt;MIN($K683,$L683),$Q683&gt;MAX($K683,$L683)),1,0),0)</f>
        <v>0</v>
      </c>
      <c r="AD683" s="32" t="n">
        <f aca="false">IF(AND(ISNUMBER($T683),$P683="高"),IF($T683=3,1,0),0)</f>
        <v>0</v>
      </c>
      <c r="AE683" s="32" t="n">
        <f aca="false">IF($S683="不存在",1,0)</f>
        <v>0</v>
      </c>
      <c r="AF683" s="44" t="str">
        <f aca="false">IF(OR($H683="—",$H683=""),"—",MATCH($H683,IDX_SrcID,0))</f>
        <v>—</v>
      </c>
      <c r="AG683" s="32" t="n">
        <f aca="false">IF(AND($P683="高",OR($AD683=1,$X683=1)),1,0)</f>
        <v>0</v>
      </c>
      <c r="AH683" s="32" t="n">
        <f aca="false">IF(AND($P683="高",$AG683=0,OR($F683&lt;&gt;"原始數據",$T683&lt;&gt;1)),1,0)</f>
        <v>0</v>
      </c>
      <c r="AI683" s="44" t="str">
        <f aca="false">IF(AND($P683="高",ISNUMBER($AF683)),INDEX(IDX_SrcDate,$AF683),"—")</f>
        <v>—</v>
      </c>
      <c r="AJ683" s="32" t="n">
        <f aca="false">IF(AND(ISTEXT($AI683),LEN($AI683)=10),IF(ISNUMBER(VALUE(SUBSTITUTE($AI683,"-",""))),VALUE(SUBSTITUTE($AI683,"-","")),0),0)</f>
        <v>0</v>
      </c>
    </row>
    <row r="684" customFormat="false" ht="97.5" hidden="false" customHeight="true" outlineLevel="0" collapsed="false">
      <c r="A684" s="30" t="s">
        <v>6553</v>
      </c>
      <c r="B684" s="205" t="s">
        <v>6499</v>
      </c>
      <c r="C684" s="30" t="s">
        <v>5608</v>
      </c>
      <c r="D684" s="30" t="s">
        <v>6554</v>
      </c>
      <c r="E684" s="6" t="s">
        <v>1891</v>
      </c>
      <c r="F684" s="30" t="s">
        <v>114</v>
      </c>
      <c r="G684" s="205" t="s">
        <v>4527</v>
      </c>
      <c r="H684" s="30" t="s">
        <v>751</v>
      </c>
      <c r="I684" s="6" t="s">
        <v>751</v>
      </c>
      <c r="J684" s="30" t="s">
        <v>6550</v>
      </c>
      <c r="K684" s="241" t="n">
        <v>800</v>
      </c>
      <c r="L684" s="241" t="n">
        <v>800</v>
      </c>
      <c r="M684" s="205" t="s">
        <v>6555</v>
      </c>
      <c r="N684" s="6" t="s">
        <v>6556</v>
      </c>
      <c r="O684" s="6" t="s">
        <v>751</v>
      </c>
      <c r="P684" s="205" t="s">
        <v>4530</v>
      </c>
      <c r="Q684" s="33" t="n">
        <f aca="false">Cap_In!C293</f>
        <v>800</v>
      </c>
      <c r="R684" s="30" t="s">
        <v>751</v>
      </c>
      <c r="S684" s="44" t="str">
        <f aca="false">IF(ISNUMBER($AF684),INDEX(IDX_SrcStat,$AF684),"—")</f>
        <v>—</v>
      </c>
      <c r="T684" s="44" t="str">
        <f aca="false">IF(ISNUMBER($AF684),INDEX(IDX_SrcGrade,$AF684),"—")</f>
        <v>—</v>
      </c>
      <c r="U684" s="44" t="s">
        <v>4531</v>
      </c>
      <c r="V684" s="32" t="n">
        <f aca="false">IF(AND($F684="原始數據",$U684&lt;&gt;"連結 SRC"),1,0)</f>
        <v>0</v>
      </c>
      <c r="W684" s="32" t="n">
        <f aca="false">IF(AND($F684="Analogy",OR($H684="—",$H684="")),1,0)</f>
        <v>0</v>
      </c>
      <c r="X684" s="32" t="n">
        <f aca="false">IF(AND(OR($F684="Analogy",$F684="Assumed"),$G684&lt;&gt;"低",$G684&lt;&gt;"高",NOT(ISNUMBER($K684)),NOT(ISNUMBER($L684)),OR($M684="—",$M684="")),1,0)</f>
        <v>0</v>
      </c>
      <c r="Y684" s="32" t="n">
        <f aca="false">IF(AND(OR($F684="Analogy",$F684="Assumed",$F684="Derived（待改公式）",$F684="Derived（公式）"),OR($N684="—",$N684="",$N684=0)),1,0)</f>
        <v>0</v>
      </c>
      <c r="Z684" s="32" t="n">
        <f aca="false">IF(AND($F684="Decision",OR($J684="—",$J684="")),1,0)</f>
        <v>0</v>
      </c>
      <c r="AA684" s="33" t="n">
        <f aca="false">IF(OR($J684="—",$J684=""),0,IF(COUNTIF(Decisions!$A$5:$A$300,$J684)=0,1,0))</f>
        <v>0</v>
      </c>
      <c r="AB684" s="32" t="n">
        <f aca="false">IF(AND($F684="原始數據",$S684&lt;&gt;"Active"),1,0)</f>
        <v>0</v>
      </c>
      <c r="AC684" s="32" t="n">
        <f aca="false">IF(AND(ISNUMBER($K684),ISNUMBER($L684),ISNUMBER($Q684)),IF(OR($Q684&lt;MIN($K684,$L684),$Q684&gt;MAX($K684,$L684)),1,0),0)</f>
        <v>0</v>
      </c>
      <c r="AD684" s="32" t="n">
        <f aca="false">IF(AND(ISNUMBER($T684),$P684="高"),IF($T684=3,1,0),0)</f>
        <v>0</v>
      </c>
      <c r="AE684" s="32" t="n">
        <f aca="false">IF($S684="不存在",1,0)</f>
        <v>0</v>
      </c>
      <c r="AF684" s="44" t="str">
        <f aca="false">IF(OR($H684="—",$H684=""),"—",MATCH($H684,IDX_SrcID,0))</f>
        <v>—</v>
      </c>
      <c r="AG684" s="32" t="n">
        <f aca="false">IF(AND($P684="高",OR($AD684=1,$X684=1)),1,0)</f>
        <v>0</v>
      </c>
      <c r="AH684" s="32" t="n">
        <f aca="false">IF(AND($P684="高",$AG684=0,OR($F684&lt;&gt;"原始數據",$T684&lt;&gt;1)),1,0)</f>
        <v>0</v>
      </c>
      <c r="AI684" s="44" t="str">
        <f aca="false">IF(AND($P684="高",ISNUMBER($AF684)),INDEX(IDX_SrcDate,$AF684),"—")</f>
        <v>—</v>
      </c>
      <c r="AJ684" s="32" t="n">
        <f aca="false">IF(AND(ISTEXT($AI684),LEN($AI684)=10),IF(ISNUMBER(VALUE(SUBSTITUTE($AI684,"-",""))),VALUE(SUBSTITUTE($AI684,"-","")),0),0)</f>
        <v>0</v>
      </c>
    </row>
    <row r="685" customFormat="false" ht="64.5" hidden="false" customHeight="true" outlineLevel="0" collapsed="false">
      <c r="A685" s="30" t="s">
        <v>6557</v>
      </c>
      <c r="B685" s="239" t="s">
        <v>6558</v>
      </c>
      <c r="C685" s="30" t="s">
        <v>6559</v>
      </c>
      <c r="D685" s="30" t="s">
        <v>6560</v>
      </c>
      <c r="E685" s="243" t="s">
        <v>6561</v>
      </c>
      <c r="F685" s="239" t="s">
        <v>5398</v>
      </c>
      <c r="G685" s="239" t="s">
        <v>5287</v>
      </c>
      <c r="H685" s="205"/>
      <c r="I685" s="6" t="s">
        <v>751</v>
      </c>
      <c r="J685" s="30" t="s">
        <v>751</v>
      </c>
      <c r="K685" s="239"/>
      <c r="L685" s="239"/>
      <c r="M685" s="30" t="s">
        <v>751</v>
      </c>
      <c r="N685" s="20" t="s">
        <v>6562</v>
      </c>
      <c r="O685" s="6" t="s">
        <v>751</v>
      </c>
      <c r="P685" s="30" t="s">
        <v>751</v>
      </c>
      <c r="Q685" s="184" t="s">
        <v>751</v>
      </c>
      <c r="R685" s="30" t="s">
        <v>751</v>
      </c>
      <c r="S685" s="44" t="str">
        <f aca="false">IF(ISNUMBER($AF685),INDEX(IDX_SrcStat,$AF685),"—")</f>
        <v>—</v>
      </c>
      <c r="T685" s="44" t="str">
        <f aca="false">IF(ISNUMBER($AF685),INDEX(IDX_SrcGrade,$AF685),"—")</f>
        <v>—</v>
      </c>
      <c r="U685" s="30" t="s">
        <v>751</v>
      </c>
      <c r="V685" s="32" t="n">
        <f aca="false">IF(AND($F685="原始數據",$U685&lt;&gt;"連結 SRC"),1,0)</f>
        <v>0</v>
      </c>
      <c r="W685" s="32" t="n">
        <f aca="false">IF(AND($F685="Analogy",OR($H685="—",$H685="")),1,0)</f>
        <v>0</v>
      </c>
      <c r="X685" s="32" t="n">
        <f aca="false">IF(AND(OR($F685="Analogy",$F685="Assumed"),$G685&lt;&gt;"低",$G685&lt;&gt;"高",NOT(ISNUMBER($K685)),NOT(ISNUMBER($L685)),OR($M685="—",$M685="")),1,0)</f>
        <v>0</v>
      </c>
      <c r="Y685" s="32" t="n">
        <f aca="false">IF(AND(OR($F685="Analogy",$F685="Assumed",$F685="Derived（待改公式）",$F685="Derived（公式）"),OR($N685="—",$N685="",$N685=0)),1,0)</f>
        <v>0</v>
      </c>
      <c r="Z685" s="32" t="n">
        <f aca="false">IF(AND($F685="Decision",OR($J685="—",$J685="")),1,0)</f>
        <v>0</v>
      </c>
      <c r="AA685" s="33" t="n">
        <f aca="false">IF(OR($J685="—",$J685=""),0,IF(COUNTIF(Decisions!$A$5:$A$300,$J685)=0,1,0))</f>
        <v>0</v>
      </c>
      <c r="AB685" s="32" t="n">
        <f aca="false">IF(AND($F685="原始數據",$S685&lt;&gt;"Active"),1,0)</f>
        <v>0</v>
      </c>
      <c r="AC685" s="32" t="n">
        <f aca="false">IF(AND(ISNUMBER($K685),ISNUMBER($L685),ISNUMBER($Q685)),IF(OR($Q685&lt;MIN($K685,$L685),$Q685&gt;MAX($K685,$L685)),1,0),0)</f>
        <v>0</v>
      </c>
      <c r="AD685" s="32" t="n">
        <f aca="false">IF(AND(ISNUMBER($T685),$P685="高"),IF($T685=3,1,0),0)</f>
        <v>0</v>
      </c>
      <c r="AE685" s="32" t="n">
        <f aca="false">IF($S685="不存在",1,0)</f>
        <v>0</v>
      </c>
      <c r="AF685" s="44" t="str">
        <f aca="false">IF(OR($H685="—",$H685=""),"—",MATCH($H685,IDX_SrcID,0))</f>
        <v>—</v>
      </c>
      <c r="AG685" s="32" t="n">
        <f aca="false">IF(AND($P685="高",OR($AD685=1,$X685=1)),1,0)</f>
        <v>0</v>
      </c>
      <c r="AH685" s="32" t="n">
        <f aca="false">IF(AND($P685="高",$AG685=0,OR($F685&lt;&gt;"原始數據",$T685&lt;&gt;1)),1,0)</f>
        <v>0</v>
      </c>
      <c r="AI685" s="44" t="str">
        <f aca="false">IF(AND($P685="高",ISNUMBER($AF685)),INDEX(IDX_SrcDate,$AF685),"—")</f>
        <v>—</v>
      </c>
      <c r="AJ685" s="32" t="n">
        <f aca="false">IF(AND(ISTEXT($AI685),LEN($AI685)=10),IF(ISNUMBER(VALUE(SUBSTITUTE($AI685,"-",""))),VALUE(SUBSTITUTE($AI685,"-","")),0),0)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70"/>
    <col collapsed="false" customWidth="true" hidden="false" outlineLevel="0" max="5" min="5" style="1" width="14"/>
    <col collapsed="false" customWidth="true" hidden="false" outlineLevel="0" max="6" min="6" style="1" width="30"/>
    <col collapsed="false" customWidth="true" hidden="false" outlineLevel="0" max="7" min="7" style="1" width="14"/>
    <col collapsed="false" customWidth="true" hidden="false" outlineLevel="0" max="8" min="8" style="1" width="34"/>
    <col collapsed="false" customWidth="true" hidden="false" outlineLevel="0" max="9" min="9" style="1" width="22"/>
    <col collapsed="false" customWidth="true" hidden="false" outlineLevel="0" max="10" min="10" style="1" width="10"/>
  </cols>
  <sheetData>
    <row r="1" customFormat="false" ht="19.5" hidden="false" customHeight="true" outlineLevel="0" collapsed="false">
      <c r="A1" s="236" t="s">
        <v>6563</v>
      </c>
    </row>
    <row r="2" customFormat="false" ht="15" hidden="false" customHeight="true" outlineLevel="0" collapsed="false">
      <c r="A2" s="45" t="s">
        <v>6564</v>
      </c>
    </row>
    <row r="4" customFormat="false" ht="29.25" hidden="false" customHeight="true" outlineLevel="0" collapsed="false">
      <c r="A4" s="237" t="s">
        <v>4501</v>
      </c>
      <c r="B4" s="237" t="s">
        <v>3948</v>
      </c>
      <c r="C4" s="237" t="s">
        <v>386</v>
      </c>
      <c r="D4" s="237" t="s">
        <v>6565</v>
      </c>
      <c r="E4" s="237" t="s">
        <v>6566</v>
      </c>
      <c r="F4" s="84" t="s">
        <v>6567</v>
      </c>
      <c r="G4" s="237" t="s">
        <v>738</v>
      </c>
      <c r="H4" s="237" t="s">
        <v>6568</v>
      </c>
      <c r="I4" s="237" t="s">
        <v>6569</v>
      </c>
      <c r="J4" s="237" t="s">
        <v>6570</v>
      </c>
    </row>
    <row r="5" customFormat="false" ht="29.25" hidden="false" customHeight="true" outlineLevel="0" collapsed="false">
      <c r="A5" s="30" t="s">
        <v>4528</v>
      </c>
      <c r="B5" s="30" t="s">
        <v>6571</v>
      </c>
      <c r="C5" s="20" t="s">
        <v>6</v>
      </c>
      <c r="D5" s="6" t="s">
        <v>6572</v>
      </c>
      <c r="E5" s="30" t="s">
        <v>6573</v>
      </c>
      <c r="F5" s="6" t="s">
        <v>751</v>
      </c>
      <c r="G5" s="239" t="s">
        <v>6574</v>
      </c>
      <c r="H5" s="6" t="s">
        <v>6575</v>
      </c>
      <c r="I5" s="239" t="s">
        <v>6576</v>
      </c>
      <c r="J5" s="239" t="s">
        <v>782</v>
      </c>
    </row>
    <row r="6" customFormat="false" ht="29.25" hidden="false" customHeight="true" outlineLevel="0" collapsed="false">
      <c r="A6" s="30" t="s">
        <v>6577</v>
      </c>
      <c r="B6" s="30" t="s">
        <v>6571</v>
      </c>
      <c r="C6" s="20" t="s">
        <v>186</v>
      </c>
      <c r="D6" s="6" t="s">
        <v>6578</v>
      </c>
      <c r="E6" s="30" t="s">
        <v>6573</v>
      </c>
      <c r="F6" s="6" t="s">
        <v>751</v>
      </c>
      <c r="G6" s="239" t="s">
        <v>6574</v>
      </c>
      <c r="H6" s="6" t="s">
        <v>751</v>
      </c>
      <c r="I6" s="239" t="s">
        <v>6576</v>
      </c>
      <c r="J6" s="239" t="s">
        <v>782</v>
      </c>
    </row>
    <row r="7" customFormat="false" ht="29.25" hidden="false" customHeight="true" outlineLevel="0" collapsed="false">
      <c r="A7" s="30" t="s">
        <v>4533</v>
      </c>
      <c r="B7" s="30" t="s">
        <v>6571</v>
      </c>
      <c r="C7" s="6" t="s">
        <v>6579</v>
      </c>
      <c r="D7" s="20" t="s">
        <v>6580</v>
      </c>
      <c r="E7" s="30" t="s">
        <v>6573</v>
      </c>
      <c r="F7" s="6" t="s">
        <v>751</v>
      </c>
      <c r="G7" s="239" t="s">
        <v>6574</v>
      </c>
      <c r="H7" s="6" t="s">
        <v>6581</v>
      </c>
      <c r="I7" s="239" t="s">
        <v>6576</v>
      </c>
      <c r="J7" s="239" t="s">
        <v>782</v>
      </c>
    </row>
    <row r="8" customFormat="false" ht="29.25" hidden="false" customHeight="true" outlineLevel="0" collapsed="false">
      <c r="A8" s="30" t="s">
        <v>4664</v>
      </c>
      <c r="B8" s="30" t="s">
        <v>6571</v>
      </c>
      <c r="C8" s="20" t="s">
        <v>6582</v>
      </c>
      <c r="D8" s="20" t="s">
        <v>6583</v>
      </c>
      <c r="E8" s="30" t="s">
        <v>6573</v>
      </c>
      <c r="F8" s="6" t="s">
        <v>751</v>
      </c>
      <c r="G8" s="239" t="s">
        <v>6574</v>
      </c>
      <c r="H8" s="6" t="s">
        <v>6584</v>
      </c>
      <c r="I8" s="239" t="s">
        <v>6576</v>
      </c>
      <c r="J8" s="239" t="s">
        <v>782</v>
      </c>
    </row>
    <row r="9" customFormat="false" ht="15" hidden="false" customHeight="true" outlineLevel="0" collapsed="false">
      <c r="A9" s="30" t="s">
        <v>5197</v>
      </c>
      <c r="B9" s="30" t="s">
        <v>6571</v>
      </c>
      <c r="C9" s="20" t="s">
        <v>281</v>
      </c>
      <c r="D9" s="20" t="s">
        <v>6585</v>
      </c>
      <c r="E9" s="30" t="s">
        <v>6573</v>
      </c>
      <c r="F9" s="6" t="s">
        <v>751</v>
      </c>
      <c r="G9" s="239" t="s">
        <v>6574</v>
      </c>
      <c r="H9" s="6" t="s">
        <v>751</v>
      </c>
      <c r="I9" s="239" t="s">
        <v>6576</v>
      </c>
      <c r="J9" s="239" t="s">
        <v>782</v>
      </c>
    </row>
    <row r="10" customFormat="false" ht="15" hidden="false" customHeight="true" outlineLevel="0" collapsed="false">
      <c r="A10" s="30" t="s">
        <v>4694</v>
      </c>
      <c r="B10" s="30" t="s">
        <v>6571</v>
      </c>
      <c r="C10" s="20" t="s">
        <v>6586</v>
      </c>
      <c r="D10" s="6" t="s">
        <v>6587</v>
      </c>
      <c r="E10" s="30" t="s">
        <v>6573</v>
      </c>
      <c r="F10" s="6" t="s">
        <v>751</v>
      </c>
      <c r="G10" s="239" t="s">
        <v>6574</v>
      </c>
      <c r="H10" s="6" t="s">
        <v>751</v>
      </c>
      <c r="I10" s="239" t="s">
        <v>6576</v>
      </c>
      <c r="J10" s="239" t="s">
        <v>782</v>
      </c>
    </row>
    <row r="11" customFormat="false" ht="15" hidden="false" customHeight="true" outlineLevel="0" collapsed="false">
      <c r="A11" s="30" t="s">
        <v>5020</v>
      </c>
      <c r="B11" s="30" t="s">
        <v>6571</v>
      </c>
      <c r="C11" s="20" t="s">
        <v>6588</v>
      </c>
      <c r="D11" s="6" t="s">
        <v>6589</v>
      </c>
      <c r="E11" s="30" t="s">
        <v>6573</v>
      </c>
      <c r="F11" s="6" t="s">
        <v>751</v>
      </c>
      <c r="G11" s="239" t="s">
        <v>6574</v>
      </c>
      <c r="H11" s="6" t="s">
        <v>751</v>
      </c>
      <c r="I11" s="239" t="s">
        <v>6576</v>
      </c>
      <c r="J11" s="239" t="s">
        <v>782</v>
      </c>
    </row>
    <row r="12" customFormat="false" ht="26.25" hidden="false" customHeight="true" outlineLevel="0" collapsed="false">
      <c r="A12" s="30" t="s">
        <v>4706</v>
      </c>
      <c r="B12" s="30" t="s">
        <v>6571</v>
      </c>
      <c r="C12" s="20" t="s">
        <v>6590</v>
      </c>
      <c r="D12" s="6" t="s">
        <v>6591</v>
      </c>
      <c r="E12" s="30" t="s">
        <v>6573</v>
      </c>
      <c r="F12" s="6" t="s">
        <v>751</v>
      </c>
      <c r="G12" s="239" t="s">
        <v>6574</v>
      </c>
      <c r="H12" s="6" t="s">
        <v>751</v>
      </c>
      <c r="I12" s="239" t="s">
        <v>6576</v>
      </c>
      <c r="J12" s="239" t="s">
        <v>782</v>
      </c>
    </row>
    <row r="13" customFormat="false" ht="15" hidden="false" customHeight="true" outlineLevel="0" collapsed="false">
      <c r="A13" s="30" t="s">
        <v>4540</v>
      </c>
      <c r="B13" s="30" t="s">
        <v>6571</v>
      </c>
      <c r="C13" s="20" t="s">
        <v>6592</v>
      </c>
      <c r="D13" s="20" t="s">
        <v>6593</v>
      </c>
      <c r="E13" s="30" t="s">
        <v>6573</v>
      </c>
      <c r="F13" s="6" t="s">
        <v>751</v>
      </c>
      <c r="G13" s="239" t="s">
        <v>6574</v>
      </c>
      <c r="H13" s="6" t="s">
        <v>751</v>
      </c>
      <c r="I13" s="239" t="s">
        <v>6576</v>
      </c>
      <c r="J13" s="239" t="s">
        <v>782</v>
      </c>
    </row>
    <row r="14" customFormat="false" ht="15" hidden="false" customHeight="true" outlineLevel="0" collapsed="false">
      <c r="A14" s="30" t="s">
        <v>4545</v>
      </c>
      <c r="B14" s="30" t="s">
        <v>6571</v>
      </c>
      <c r="C14" s="6" t="s">
        <v>1049</v>
      </c>
      <c r="D14" s="20" t="s">
        <v>6594</v>
      </c>
      <c r="E14" s="30" t="s">
        <v>6573</v>
      </c>
      <c r="F14" s="6" t="s">
        <v>751</v>
      </c>
      <c r="G14" s="239" t="s">
        <v>6574</v>
      </c>
      <c r="H14" s="6" t="s">
        <v>6595</v>
      </c>
      <c r="I14" s="239" t="s">
        <v>6576</v>
      </c>
      <c r="J14" s="239" t="s">
        <v>782</v>
      </c>
    </row>
    <row r="15" customFormat="false" ht="29.25" hidden="false" customHeight="true" outlineLevel="0" collapsed="false">
      <c r="A15" s="30" t="s">
        <v>4552</v>
      </c>
      <c r="B15" s="30" t="s">
        <v>6571</v>
      </c>
      <c r="C15" s="20" t="s">
        <v>6596</v>
      </c>
      <c r="D15" s="6" t="s">
        <v>6597</v>
      </c>
      <c r="E15" s="30" t="s">
        <v>6573</v>
      </c>
      <c r="F15" s="6" t="s">
        <v>751</v>
      </c>
      <c r="G15" s="239" t="s">
        <v>6574</v>
      </c>
      <c r="H15" s="6" t="s">
        <v>751</v>
      </c>
      <c r="I15" s="239" t="s">
        <v>6576</v>
      </c>
      <c r="J15" s="239" t="s">
        <v>782</v>
      </c>
    </row>
    <row r="16" customFormat="false" ht="15" hidden="false" customHeight="true" outlineLevel="0" collapsed="false">
      <c r="A16" s="30" t="s">
        <v>5106</v>
      </c>
      <c r="B16" s="30" t="s">
        <v>6598</v>
      </c>
      <c r="C16" s="6" t="s">
        <v>6599</v>
      </c>
      <c r="D16" s="20" t="s">
        <v>6600</v>
      </c>
      <c r="E16" s="30" t="s">
        <v>6573</v>
      </c>
      <c r="F16" s="6" t="s">
        <v>751</v>
      </c>
      <c r="G16" s="239" t="s">
        <v>6574</v>
      </c>
      <c r="H16" s="6" t="s">
        <v>6601</v>
      </c>
      <c r="I16" s="239" t="s">
        <v>6576</v>
      </c>
      <c r="J16" s="239" t="s">
        <v>782</v>
      </c>
    </row>
    <row r="17" customFormat="false" ht="15" hidden="false" customHeight="true" outlineLevel="0" collapsed="false">
      <c r="A17" s="30" t="s">
        <v>5154</v>
      </c>
      <c r="B17" s="30" t="s">
        <v>6598</v>
      </c>
      <c r="C17" s="6" t="s">
        <v>6602</v>
      </c>
      <c r="D17" s="20" t="s">
        <v>6603</v>
      </c>
      <c r="E17" s="30" t="s">
        <v>6573</v>
      </c>
      <c r="F17" s="6" t="s">
        <v>751</v>
      </c>
      <c r="G17" s="239" t="s">
        <v>6574</v>
      </c>
      <c r="H17" s="6" t="s">
        <v>6604</v>
      </c>
      <c r="I17" s="239" t="s">
        <v>6576</v>
      </c>
      <c r="J17" s="239" t="s">
        <v>782</v>
      </c>
    </row>
    <row r="18" customFormat="false" ht="29.25" hidden="false" customHeight="true" outlineLevel="0" collapsed="false">
      <c r="A18" s="30" t="s">
        <v>6605</v>
      </c>
      <c r="B18" s="30" t="s">
        <v>6598</v>
      </c>
      <c r="C18" s="6" t="s">
        <v>6606</v>
      </c>
      <c r="D18" s="20" t="s">
        <v>6607</v>
      </c>
      <c r="E18" s="30" t="s">
        <v>6573</v>
      </c>
      <c r="F18" s="6" t="s">
        <v>751</v>
      </c>
      <c r="G18" s="239" t="s">
        <v>6574</v>
      </c>
      <c r="H18" s="6" t="s">
        <v>6608</v>
      </c>
      <c r="I18" s="239" t="s">
        <v>6576</v>
      </c>
      <c r="J18" s="239" t="s">
        <v>782</v>
      </c>
    </row>
    <row r="19" customFormat="false" ht="15" hidden="false" customHeight="true" outlineLevel="0" collapsed="false">
      <c r="A19" s="30" t="s">
        <v>6609</v>
      </c>
      <c r="B19" s="30" t="s">
        <v>6598</v>
      </c>
      <c r="C19" s="6" t="s">
        <v>6610</v>
      </c>
      <c r="D19" s="20" t="s">
        <v>6611</v>
      </c>
      <c r="E19" s="30" t="s">
        <v>6573</v>
      </c>
      <c r="F19" s="6" t="s">
        <v>751</v>
      </c>
      <c r="G19" s="239" t="s">
        <v>6574</v>
      </c>
      <c r="H19" s="6" t="s">
        <v>751</v>
      </c>
      <c r="I19" s="239" t="s">
        <v>6576</v>
      </c>
      <c r="J19" s="239" t="s">
        <v>782</v>
      </c>
    </row>
    <row r="20" customFormat="false" ht="15" hidden="false" customHeight="true" outlineLevel="0" collapsed="false">
      <c r="A20" s="30" t="s">
        <v>6612</v>
      </c>
      <c r="B20" s="30" t="s">
        <v>6598</v>
      </c>
      <c r="C20" s="20" t="s">
        <v>6613</v>
      </c>
      <c r="D20" s="20" t="s">
        <v>6614</v>
      </c>
      <c r="E20" s="30" t="s">
        <v>6573</v>
      </c>
      <c r="F20" s="6" t="s">
        <v>751</v>
      </c>
      <c r="G20" s="239" t="s">
        <v>6574</v>
      </c>
      <c r="H20" s="6" t="s">
        <v>751</v>
      </c>
      <c r="I20" s="239" t="s">
        <v>6576</v>
      </c>
      <c r="J20" s="239" t="s">
        <v>782</v>
      </c>
    </row>
    <row r="21" customFormat="false" ht="15" hidden="false" customHeight="true" outlineLevel="0" collapsed="false">
      <c r="A21" s="30" t="s">
        <v>6615</v>
      </c>
      <c r="B21" s="30" t="s">
        <v>6598</v>
      </c>
      <c r="C21" s="20" t="s">
        <v>6616</v>
      </c>
      <c r="D21" s="6" t="s">
        <v>6617</v>
      </c>
      <c r="E21" s="30" t="s">
        <v>6573</v>
      </c>
      <c r="F21" s="6" t="s">
        <v>751</v>
      </c>
      <c r="G21" s="239" t="s">
        <v>6618</v>
      </c>
      <c r="H21" s="6" t="s">
        <v>6619</v>
      </c>
      <c r="I21" s="239" t="s">
        <v>6576</v>
      </c>
      <c r="J21" s="239" t="s">
        <v>782</v>
      </c>
    </row>
    <row r="22" customFormat="false" ht="29.25" hidden="false" customHeight="true" outlineLevel="0" collapsed="false">
      <c r="A22" s="30" t="s">
        <v>6620</v>
      </c>
      <c r="B22" s="30" t="s">
        <v>6598</v>
      </c>
      <c r="C22" s="20" t="s">
        <v>6621</v>
      </c>
      <c r="D22" s="6" t="s">
        <v>6622</v>
      </c>
      <c r="E22" s="30" t="s">
        <v>6573</v>
      </c>
      <c r="F22" s="20" t="s">
        <v>6623</v>
      </c>
      <c r="G22" s="239" t="s">
        <v>6618</v>
      </c>
      <c r="H22" s="6" t="s">
        <v>6624</v>
      </c>
      <c r="I22" s="239" t="s">
        <v>6576</v>
      </c>
      <c r="J22" s="239" t="s">
        <v>782</v>
      </c>
    </row>
    <row r="23" customFormat="false" ht="29.25" hidden="false" customHeight="true" outlineLevel="0" collapsed="false">
      <c r="A23" s="30" t="s">
        <v>6625</v>
      </c>
      <c r="B23" s="239" t="s">
        <v>6626</v>
      </c>
      <c r="C23" s="20" t="s">
        <v>48</v>
      </c>
      <c r="D23" s="6" t="s">
        <v>6627</v>
      </c>
      <c r="E23" s="30" t="s">
        <v>6628</v>
      </c>
      <c r="F23" s="6" t="s">
        <v>751</v>
      </c>
      <c r="G23" s="239" t="s">
        <v>6574</v>
      </c>
      <c r="H23" s="6" t="s">
        <v>751</v>
      </c>
      <c r="I23" s="239" t="s">
        <v>6576</v>
      </c>
      <c r="J23" s="239" t="s">
        <v>782</v>
      </c>
    </row>
    <row r="24" customFormat="false" ht="15" hidden="false" customHeight="true" outlineLevel="0" collapsed="false">
      <c r="A24" s="30" t="s">
        <v>6629</v>
      </c>
      <c r="B24" s="30" t="s">
        <v>6598</v>
      </c>
      <c r="C24" s="20" t="s">
        <v>6630</v>
      </c>
      <c r="D24" s="6" t="s">
        <v>6631</v>
      </c>
      <c r="E24" s="30" t="s">
        <v>6573</v>
      </c>
      <c r="F24" s="6" t="s">
        <v>751</v>
      </c>
      <c r="G24" s="239" t="s">
        <v>6574</v>
      </c>
      <c r="H24" s="6" t="s">
        <v>751</v>
      </c>
      <c r="I24" s="239" t="s">
        <v>6576</v>
      </c>
      <c r="J24" s="239" t="s">
        <v>782</v>
      </c>
    </row>
    <row r="25" customFormat="false" ht="29.25" hidden="false" customHeight="true" outlineLevel="0" collapsed="false">
      <c r="A25" s="30" t="s">
        <v>5961</v>
      </c>
      <c r="B25" s="30" t="s">
        <v>6598</v>
      </c>
      <c r="C25" s="6" t="s">
        <v>6632</v>
      </c>
      <c r="D25" s="20" t="s">
        <v>6633</v>
      </c>
      <c r="E25" s="30" t="s">
        <v>6573</v>
      </c>
      <c r="F25" s="6" t="s">
        <v>751</v>
      </c>
      <c r="G25" s="239" t="s">
        <v>6574</v>
      </c>
      <c r="H25" s="6" t="s">
        <v>751</v>
      </c>
      <c r="I25" s="239" t="s">
        <v>6576</v>
      </c>
      <c r="J25" s="239" t="s">
        <v>782</v>
      </c>
    </row>
    <row r="26" customFormat="false" ht="43.5" hidden="false" customHeight="true" outlineLevel="0" collapsed="false">
      <c r="A26" s="30" t="s">
        <v>5991</v>
      </c>
      <c r="B26" s="30" t="s">
        <v>6598</v>
      </c>
      <c r="C26" s="6" t="s">
        <v>6634</v>
      </c>
      <c r="D26" s="20" t="s">
        <v>6635</v>
      </c>
      <c r="E26" s="30" t="s">
        <v>1394</v>
      </c>
      <c r="F26" s="6" t="s">
        <v>751</v>
      </c>
      <c r="G26" s="239" t="s">
        <v>6574</v>
      </c>
      <c r="H26" s="6" t="s">
        <v>751</v>
      </c>
      <c r="I26" s="239" t="s">
        <v>6576</v>
      </c>
      <c r="J26" s="239" t="s">
        <v>782</v>
      </c>
    </row>
    <row r="27" customFormat="false" ht="15" hidden="false" customHeight="true" outlineLevel="0" collapsed="false">
      <c r="A27" s="30" t="s">
        <v>5944</v>
      </c>
      <c r="B27" s="30" t="s">
        <v>6598</v>
      </c>
      <c r="C27" s="20" t="s">
        <v>1257</v>
      </c>
      <c r="D27" s="20" t="s">
        <v>6636</v>
      </c>
      <c r="E27" s="30" t="s">
        <v>6573</v>
      </c>
      <c r="F27" s="6" t="s">
        <v>751</v>
      </c>
      <c r="G27" s="239" t="s">
        <v>6574</v>
      </c>
      <c r="H27" s="6" t="s">
        <v>751</v>
      </c>
      <c r="I27" s="239" t="s">
        <v>6576</v>
      </c>
      <c r="J27" s="239" t="s">
        <v>782</v>
      </c>
    </row>
    <row r="28" customFormat="false" ht="15" hidden="false" customHeight="true" outlineLevel="0" collapsed="false">
      <c r="A28" s="30" t="s">
        <v>6637</v>
      </c>
      <c r="B28" s="30" t="s">
        <v>6598</v>
      </c>
      <c r="C28" s="20" t="s">
        <v>6638</v>
      </c>
      <c r="D28" s="6" t="s">
        <v>6639</v>
      </c>
      <c r="E28" s="30" t="s">
        <v>6573</v>
      </c>
      <c r="F28" s="6" t="s">
        <v>751</v>
      </c>
      <c r="G28" s="239" t="s">
        <v>6574</v>
      </c>
      <c r="H28" s="6" t="s">
        <v>751</v>
      </c>
      <c r="I28" s="239" t="s">
        <v>6576</v>
      </c>
      <c r="J28" s="239" t="s">
        <v>782</v>
      </c>
    </row>
    <row r="29" customFormat="false" ht="15" hidden="false" customHeight="true" outlineLevel="0" collapsed="false">
      <c r="A29" s="30" t="s">
        <v>6052</v>
      </c>
      <c r="B29" s="30" t="s">
        <v>6598</v>
      </c>
      <c r="C29" s="6" t="s">
        <v>6640</v>
      </c>
      <c r="D29" s="6" t="s">
        <v>6641</v>
      </c>
      <c r="E29" s="30" t="s">
        <v>6573</v>
      </c>
      <c r="F29" s="6" t="s">
        <v>751</v>
      </c>
      <c r="G29" s="239" t="s">
        <v>6574</v>
      </c>
      <c r="H29" s="6" t="s">
        <v>751</v>
      </c>
      <c r="I29" s="239" t="s">
        <v>6576</v>
      </c>
      <c r="J29" s="239" t="s">
        <v>782</v>
      </c>
    </row>
    <row r="30" customFormat="false" ht="15" hidden="false" customHeight="true" outlineLevel="0" collapsed="false">
      <c r="A30" s="30" t="s">
        <v>5951</v>
      </c>
      <c r="B30" s="30" t="s">
        <v>6598</v>
      </c>
      <c r="C30" s="20" t="s">
        <v>6642</v>
      </c>
      <c r="D30" s="6" t="s">
        <v>6643</v>
      </c>
      <c r="E30" s="30" t="s">
        <v>6628</v>
      </c>
      <c r="F30" s="6" t="s">
        <v>751</v>
      </c>
      <c r="G30" s="239" t="s">
        <v>6574</v>
      </c>
      <c r="H30" s="6" t="s">
        <v>6644</v>
      </c>
      <c r="I30" s="239" t="s">
        <v>6576</v>
      </c>
      <c r="J30" s="239" t="s">
        <v>782</v>
      </c>
    </row>
    <row r="31" customFormat="false" ht="15" hidden="false" customHeight="true" outlineLevel="0" collapsed="false">
      <c r="A31" s="30" t="s">
        <v>5580</v>
      </c>
      <c r="B31" s="30" t="s">
        <v>6598</v>
      </c>
      <c r="C31" s="20" t="s">
        <v>6645</v>
      </c>
      <c r="D31" s="20" t="s">
        <v>6646</v>
      </c>
      <c r="E31" s="30" t="s">
        <v>6573</v>
      </c>
      <c r="F31" s="6" t="s">
        <v>751</v>
      </c>
      <c r="G31" s="239" t="s">
        <v>6574</v>
      </c>
      <c r="H31" s="6" t="s">
        <v>751</v>
      </c>
      <c r="I31" s="239" t="s">
        <v>6576</v>
      </c>
      <c r="J31" s="239" t="s">
        <v>782</v>
      </c>
    </row>
    <row r="32" customFormat="false" ht="43.5" hidden="false" customHeight="true" outlineLevel="0" collapsed="false">
      <c r="A32" s="30" t="s">
        <v>6647</v>
      </c>
      <c r="B32" s="239" t="s">
        <v>6626</v>
      </c>
      <c r="C32" s="20" t="s">
        <v>6648</v>
      </c>
      <c r="D32" s="6" t="s">
        <v>6649</v>
      </c>
      <c r="E32" s="30" t="s">
        <v>6650</v>
      </c>
      <c r="F32" s="6" t="s">
        <v>751</v>
      </c>
      <c r="G32" s="239" t="s">
        <v>6574</v>
      </c>
      <c r="H32" s="6" t="s">
        <v>751</v>
      </c>
      <c r="I32" s="239" t="s">
        <v>6576</v>
      </c>
      <c r="J32" s="239" t="s">
        <v>782</v>
      </c>
    </row>
    <row r="33" customFormat="false" ht="43.5" hidden="false" customHeight="true" outlineLevel="0" collapsed="false">
      <c r="A33" s="30" t="s">
        <v>6651</v>
      </c>
      <c r="B33" s="239" t="s">
        <v>6626</v>
      </c>
      <c r="C33" s="6" t="s">
        <v>6652</v>
      </c>
      <c r="D33" s="20" t="s">
        <v>6653</v>
      </c>
      <c r="E33" s="30" t="s">
        <v>6573</v>
      </c>
      <c r="F33" s="6" t="s">
        <v>751</v>
      </c>
      <c r="G33" s="239" t="s">
        <v>6574</v>
      </c>
      <c r="H33" s="6" t="s">
        <v>751</v>
      </c>
      <c r="I33" s="239" t="s">
        <v>6576</v>
      </c>
      <c r="J33" s="239" t="s">
        <v>782</v>
      </c>
    </row>
    <row r="34" customFormat="false" ht="43.5" hidden="false" customHeight="true" outlineLevel="0" collapsed="false">
      <c r="A34" s="30" t="s">
        <v>6654</v>
      </c>
      <c r="B34" s="239" t="s">
        <v>6626</v>
      </c>
      <c r="C34" s="6" t="s">
        <v>6655</v>
      </c>
      <c r="D34" s="20" t="s">
        <v>6656</v>
      </c>
      <c r="E34" s="30" t="s">
        <v>1394</v>
      </c>
      <c r="F34" s="6" t="s">
        <v>751</v>
      </c>
      <c r="G34" s="239" t="s">
        <v>6574</v>
      </c>
      <c r="H34" s="6" t="s">
        <v>751</v>
      </c>
      <c r="I34" s="239" t="s">
        <v>6576</v>
      </c>
      <c r="J34" s="239" t="s">
        <v>782</v>
      </c>
    </row>
    <row r="35" customFormat="false" ht="43.5" hidden="false" customHeight="true" outlineLevel="0" collapsed="false">
      <c r="A35" s="30" t="s">
        <v>6657</v>
      </c>
      <c r="B35" s="239" t="s">
        <v>6626</v>
      </c>
      <c r="C35" s="20" t="s">
        <v>6658</v>
      </c>
      <c r="D35" s="6" t="s">
        <v>6659</v>
      </c>
      <c r="E35" s="30" t="s">
        <v>1394</v>
      </c>
      <c r="F35" s="6" t="s">
        <v>751</v>
      </c>
      <c r="G35" s="239" t="s">
        <v>6574</v>
      </c>
      <c r="H35" s="6" t="s">
        <v>751</v>
      </c>
      <c r="I35" s="239" t="s">
        <v>6576</v>
      </c>
      <c r="J35" s="239" t="s">
        <v>782</v>
      </c>
    </row>
    <row r="36" customFormat="false" ht="15" hidden="false" customHeight="true" outlineLevel="0" collapsed="false">
      <c r="A36" s="30" t="s">
        <v>6660</v>
      </c>
      <c r="B36" s="239" t="s">
        <v>6626</v>
      </c>
      <c r="C36" s="20" t="s">
        <v>6661</v>
      </c>
      <c r="D36" s="20" t="s">
        <v>6662</v>
      </c>
      <c r="E36" s="30" t="s">
        <v>6573</v>
      </c>
      <c r="F36" s="6" t="s">
        <v>751</v>
      </c>
      <c r="G36" s="239" t="s">
        <v>6574</v>
      </c>
      <c r="H36" s="6" t="s">
        <v>751</v>
      </c>
      <c r="I36" s="239" t="s">
        <v>6576</v>
      </c>
      <c r="J36" s="239" t="s">
        <v>782</v>
      </c>
    </row>
    <row r="37" customFormat="false" ht="15" hidden="false" customHeight="true" outlineLevel="0" collapsed="false">
      <c r="A37" s="30" t="s">
        <v>4382</v>
      </c>
      <c r="B37" s="30" t="s">
        <v>846</v>
      </c>
      <c r="C37" s="20" t="s">
        <v>6663</v>
      </c>
      <c r="D37" s="6" t="s">
        <v>6664</v>
      </c>
      <c r="E37" s="30" t="s">
        <v>1394</v>
      </c>
      <c r="F37" s="20" t="s">
        <v>6665</v>
      </c>
      <c r="G37" s="239" t="s">
        <v>6574</v>
      </c>
      <c r="H37" s="6" t="s">
        <v>751</v>
      </c>
      <c r="I37" s="239" t="s">
        <v>6576</v>
      </c>
      <c r="J37" s="239" t="s">
        <v>782</v>
      </c>
    </row>
    <row r="38" customFormat="false" ht="29.25" hidden="false" customHeight="true" outlineLevel="0" collapsed="false">
      <c r="A38" s="30" t="s">
        <v>4385</v>
      </c>
      <c r="B38" s="30" t="s">
        <v>846</v>
      </c>
      <c r="C38" s="20" t="s">
        <v>6666</v>
      </c>
      <c r="D38" s="6" t="s">
        <v>6667</v>
      </c>
      <c r="E38" s="30" t="s">
        <v>6573</v>
      </c>
      <c r="F38" s="20" t="s">
        <v>6668</v>
      </c>
      <c r="G38" s="239" t="s">
        <v>6574</v>
      </c>
      <c r="H38" s="6" t="s">
        <v>751</v>
      </c>
      <c r="I38" s="239" t="s">
        <v>6576</v>
      </c>
      <c r="J38" s="239" t="s">
        <v>782</v>
      </c>
    </row>
    <row r="39" customFormat="false" ht="29.25" hidden="false" customHeight="true" outlineLevel="0" collapsed="false">
      <c r="A39" s="30" t="s">
        <v>4388</v>
      </c>
      <c r="B39" s="30" t="s">
        <v>846</v>
      </c>
      <c r="C39" s="20" t="s">
        <v>6669</v>
      </c>
      <c r="D39" s="6" t="s">
        <v>6670</v>
      </c>
      <c r="E39" s="30" t="s">
        <v>6573</v>
      </c>
      <c r="F39" s="6" t="s">
        <v>751</v>
      </c>
      <c r="G39" s="239" t="s">
        <v>6574</v>
      </c>
      <c r="H39" s="6" t="s">
        <v>751</v>
      </c>
      <c r="I39" s="239" t="s">
        <v>6576</v>
      </c>
      <c r="J39" s="239" t="s">
        <v>782</v>
      </c>
    </row>
    <row r="40" customFormat="false" ht="43.5" hidden="false" customHeight="true" outlineLevel="0" collapsed="false">
      <c r="A40" s="30" t="s">
        <v>4391</v>
      </c>
      <c r="B40" s="30" t="s">
        <v>846</v>
      </c>
      <c r="C40" s="20" t="s">
        <v>6671</v>
      </c>
      <c r="D40" s="6" t="s">
        <v>6672</v>
      </c>
      <c r="E40" s="30" t="s">
        <v>6573</v>
      </c>
      <c r="F40" s="20" t="s">
        <v>6673</v>
      </c>
      <c r="G40" s="239" t="s">
        <v>6574</v>
      </c>
      <c r="H40" s="6" t="s">
        <v>751</v>
      </c>
      <c r="I40" s="239" t="s">
        <v>6576</v>
      </c>
      <c r="J40" s="239" t="s">
        <v>782</v>
      </c>
    </row>
    <row r="41" customFormat="false" ht="15" hidden="false" customHeight="true" outlineLevel="0" collapsed="false">
      <c r="A41" s="30" t="s">
        <v>4394</v>
      </c>
      <c r="B41" s="30" t="s">
        <v>846</v>
      </c>
      <c r="C41" s="20" t="s">
        <v>6674</v>
      </c>
      <c r="D41" s="6" t="s">
        <v>6675</v>
      </c>
      <c r="E41" s="30" t="s">
        <v>6573</v>
      </c>
      <c r="F41" s="6" t="s">
        <v>751</v>
      </c>
      <c r="G41" s="239" t="s">
        <v>6574</v>
      </c>
      <c r="H41" s="6" t="s">
        <v>751</v>
      </c>
      <c r="I41" s="239" t="s">
        <v>6576</v>
      </c>
      <c r="J41" s="239" t="s">
        <v>782</v>
      </c>
    </row>
    <row r="42" customFormat="false" ht="43.5" hidden="false" customHeight="true" outlineLevel="0" collapsed="false">
      <c r="A42" s="30" t="s">
        <v>4397</v>
      </c>
      <c r="B42" s="30" t="s">
        <v>846</v>
      </c>
      <c r="C42" s="20" t="s">
        <v>6676</v>
      </c>
      <c r="D42" s="20" t="s">
        <v>6677</v>
      </c>
      <c r="E42" s="30" t="s">
        <v>1394</v>
      </c>
      <c r="F42" s="6" t="s">
        <v>751</v>
      </c>
      <c r="G42" s="239" t="s">
        <v>6574</v>
      </c>
      <c r="H42" s="6" t="s">
        <v>6678</v>
      </c>
      <c r="I42" s="239" t="s">
        <v>6576</v>
      </c>
      <c r="J42" s="239" t="s">
        <v>782</v>
      </c>
    </row>
    <row r="43" customFormat="false" ht="29.25" hidden="false" customHeight="true" outlineLevel="0" collapsed="false">
      <c r="A43" s="30" t="s">
        <v>4400</v>
      </c>
      <c r="B43" s="30" t="s">
        <v>846</v>
      </c>
      <c r="C43" s="6" t="s">
        <v>6679</v>
      </c>
      <c r="D43" s="20" t="s">
        <v>6680</v>
      </c>
      <c r="E43" s="30" t="s">
        <v>6573</v>
      </c>
      <c r="F43" s="6" t="s">
        <v>751</v>
      </c>
      <c r="G43" s="239" t="s">
        <v>6574</v>
      </c>
      <c r="H43" s="6" t="s">
        <v>751</v>
      </c>
      <c r="I43" s="239" t="s">
        <v>6576</v>
      </c>
      <c r="J43" s="239" t="s">
        <v>782</v>
      </c>
    </row>
    <row r="44" customFormat="false" ht="15" hidden="false" customHeight="true" outlineLevel="0" collapsed="false">
      <c r="A44" s="30" t="s">
        <v>6681</v>
      </c>
      <c r="B44" s="30" t="s">
        <v>846</v>
      </c>
      <c r="C44" s="20" t="s">
        <v>6682</v>
      </c>
      <c r="D44" s="20" t="s">
        <v>6683</v>
      </c>
      <c r="E44" s="30" t="s">
        <v>6573</v>
      </c>
      <c r="F44" s="6" t="s">
        <v>751</v>
      </c>
      <c r="G44" s="239" t="s">
        <v>6574</v>
      </c>
      <c r="H44" s="6" t="s">
        <v>751</v>
      </c>
      <c r="I44" s="239" t="s">
        <v>6576</v>
      </c>
      <c r="J44" s="239" t="s">
        <v>782</v>
      </c>
    </row>
    <row r="45" customFormat="false" ht="29.25" hidden="false" customHeight="true" outlineLevel="0" collapsed="false">
      <c r="A45" s="30" t="s">
        <v>6684</v>
      </c>
      <c r="B45" s="30" t="s">
        <v>846</v>
      </c>
      <c r="C45" s="20" t="s">
        <v>6685</v>
      </c>
      <c r="D45" s="20" t="s">
        <v>6686</v>
      </c>
      <c r="E45" s="30" t="s">
        <v>6573</v>
      </c>
      <c r="F45" s="6" t="s">
        <v>751</v>
      </c>
      <c r="G45" s="239" t="s">
        <v>6574</v>
      </c>
      <c r="H45" s="6" t="s">
        <v>751</v>
      </c>
      <c r="I45" s="239" t="s">
        <v>6576</v>
      </c>
      <c r="J45" s="239" t="s">
        <v>782</v>
      </c>
    </row>
    <row r="46" customFormat="false" ht="26.25" hidden="false" customHeight="true" outlineLevel="0" collapsed="false">
      <c r="A46" s="30" t="s">
        <v>5676</v>
      </c>
      <c r="B46" s="30" t="s">
        <v>846</v>
      </c>
      <c r="C46" s="20" t="s">
        <v>6687</v>
      </c>
      <c r="D46" s="20" t="s">
        <v>6688</v>
      </c>
      <c r="E46" s="30" t="s">
        <v>6573</v>
      </c>
      <c r="F46" s="6" t="s">
        <v>751</v>
      </c>
      <c r="G46" s="239" t="s">
        <v>6574</v>
      </c>
      <c r="H46" s="6" t="s">
        <v>751</v>
      </c>
      <c r="I46" s="239" t="s">
        <v>6576</v>
      </c>
      <c r="J46" s="239" t="s">
        <v>782</v>
      </c>
    </row>
    <row r="47" customFormat="false" ht="29.25" hidden="false" customHeight="true" outlineLevel="0" collapsed="false">
      <c r="A47" s="30" t="s">
        <v>5148</v>
      </c>
      <c r="B47" s="30" t="s">
        <v>846</v>
      </c>
      <c r="C47" s="20" t="s">
        <v>6689</v>
      </c>
      <c r="D47" s="20" t="s">
        <v>6690</v>
      </c>
      <c r="E47" s="30" t="s">
        <v>6691</v>
      </c>
      <c r="F47" s="20" t="s">
        <v>6692</v>
      </c>
      <c r="G47" s="239" t="s">
        <v>6618</v>
      </c>
      <c r="H47" s="6" t="s">
        <v>6693</v>
      </c>
      <c r="I47" s="239" t="s">
        <v>6576</v>
      </c>
      <c r="J47" s="239" t="s">
        <v>782</v>
      </c>
    </row>
    <row r="48" customFormat="false" ht="15" hidden="false" customHeight="true" outlineLevel="0" collapsed="false">
      <c r="A48" s="30" t="s">
        <v>5637</v>
      </c>
      <c r="B48" s="30" t="s">
        <v>846</v>
      </c>
      <c r="C48" s="20" t="s">
        <v>6694</v>
      </c>
      <c r="D48" s="20" t="s">
        <v>6695</v>
      </c>
      <c r="E48" s="30" t="s">
        <v>6573</v>
      </c>
      <c r="F48" s="6" t="s">
        <v>751</v>
      </c>
      <c r="G48" s="239" t="s">
        <v>6574</v>
      </c>
      <c r="H48" s="6" t="s">
        <v>751</v>
      </c>
      <c r="I48" s="239" t="s">
        <v>6576</v>
      </c>
      <c r="J48" s="239" t="s">
        <v>782</v>
      </c>
    </row>
    <row r="49" customFormat="false" ht="15" hidden="false" customHeight="true" outlineLevel="0" collapsed="false">
      <c r="A49" s="30" t="s">
        <v>5725</v>
      </c>
      <c r="B49" s="30" t="s">
        <v>846</v>
      </c>
      <c r="C49" s="20" t="s">
        <v>6696</v>
      </c>
      <c r="D49" s="20" t="s">
        <v>6697</v>
      </c>
      <c r="E49" s="30" t="s">
        <v>6573</v>
      </c>
      <c r="F49" s="20" t="s">
        <v>6698</v>
      </c>
      <c r="G49" s="239" t="s">
        <v>6574</v>
      </c>
      <c r="H49" s="6" t="s">
        <v>751</v>
      </c>
      <c r="I49" s="239" t="s">
        <v>6576</v>
      </c>
      <c r="J49" s="239" t="s">
        <v>782</v>
      </c>
    </row>
    <row r="50" customFormat="false" ht="15" hidden="false" customHeight="true" outlineLevel="0" collapsed="false">
      <c r="A50" s="30" t="s">
        <v>6699</v>
      </c>
      <c r="B50" s="30" t="s">
        <v>846</v>
      </c>
      <c r="C50" s="20" t="s">
        <v>6700</v>
      </c>
      <c r="D50" s="20" t="s">
        <v>6701</v>
      </c>
      <c r="E50" s="30" t="s">
        <v>6573</v>
      </c>
      <c r="F50" s="6" t="s">
        <v>751</v>
      </c>
      <c r="G50" s="239" t="s">
        <v>6574</v>
      </c>
      <c r="H50" s="6" t="s">
        <v>751</v>
      </c>
      <c r="I50" s="239" t="s">
        <v>6576</v>
      </c>
      <c r="J50" s="239" t="s">
        <v>782</v>
      </c>
    </row>
    <row r="51" customFormat="false" ht="43.5" hidden="false" customHeight="true" outlineLevel="0" collapsed="false">
      <c r="A51" s="30" t="s">
        <v>5255</v>
      </c>
      <c r="B51" s="30" t="s">
        <v>6702</v>
      </c>
      <c r="C51" s="6" t="s">
        <v>6703</v>
      </c>
      <c r="D51" s="20" t="s">
        <v>6704</v>
      </c>
      <c r="E51" s="30" t="s">
        <v>1394</v>
      </c>
      <c r="F51" s="20" t="s">
        <v>6705</v>
      </c>
      <c r="G51" s="239" t="s">
        <v>6574</v>
      </c>
      <c r="H51" s="6" t="s">
        <v>6706</v>
      </c>
      <c r="I51" s="239" t="s">
        <v>6576</v>
      </c>
      <c r="J51" s="239" t="s">
        <v>782</v>
      </c>
    </row>
    <row r="52" customFormat="false" ht="29.25" hidden="false" customHeight="true" outlineLevel="0" collapsed="false">
      <c r="A52" s="30" t="s">
        <v>6707</v>
      </c>
      <c r="B52" s="30" t="s">
        <v>6702</v>
      </c>
      <c r="C52" s="20" t="s">
        <v>6708</v>
      </c>
      <c r="D52" s="6" t="s">
        <v>6709</v>
      </c>
      <c r="E52" s="30" t="s">
        <v>6573</v>
      </c>
      <c r="F52" s="20" t="s">
        <v>6710</v>
      </c>
      <c r="G52" s="239" t="s">
        <v>6574</v>
      </c>
      <c r="H52" s="6" t="s">
        <v>751</v>
      </c>
      <c r="I52" s="239" t="s">
        <v>6576</v>
      </c>
      <c r="J52" s="239" t="s">
        <v>782</v>
      </c>
    </row>
    <row r="53" customFormat="false" ht="29.25" hidden="false" customHeight="true" outlineLevel="0" collapsed="false">
      <c r="A53" s="30" t="s">
        <v>5259</v>
      </c>
      <c r="B53" s="30" t="s">
        <v>6702</v>
      </c>
      <c r="C53" s="20" t="s">
        <v>6711</v>
      </c>
      <c r="D53" s="20" t="s">
        <v>6712</v>
      </c>
      <c r="E53" s="30" t="s">
        <v>6573</v>
      </c>
      <c r="F53" s="20" t="s">
        <v>6713</v>
      </c>
      <c r="G53" s="239" t="s">
        <v>6574</v>
      </c>
      <c r="H53" s="6" t="s">
        <v>6714</v>
      </c>
      <c r="I53" s="239" t="s">
        <v>6576</v>
      </c>
      <c r="J53" s="239" t="s">
        <v>782</v>
      </c>
    </row>
    <row r="54" customFormat="false" ht="29.25" hidden="false" customHeight="true" outlineLevel="0" collapsed="false">
      <c r="A54" s="30" t="s">
        <v>6715</v>
      </c>
      <c r="B54" s="30" t="s">
        <v>6702</v>
      </c>
      <c r="C54" s="6" t="s">
        <v>6716</v>
      </c>
      <c r="D54" s="20" t="s">
        <v>6717</v>
      </c>
      <c r="E54" s="30" t="s">
        <v>6573</v>
      </c>
      <c r="F54" s="6" t="s">
        <v>751</v>
      </c>
      <c r="G54" s="239" t="s">
        <v>6574</v>
      </c>
      <c r="H54" s="6" t="s">
        <v>751</v>
      </c>
      <c r="I54" s="239" t="s">
        <v>6576</v>
      </c>
      <c r="J54" s="239" t="s">
        <v>782</v>
      </c>
    </row>
    <row r="55" customFormat="false" ht="15" hidden="false" customHeight="true" outlineLevel="0" collapsed="false">
      <c r="A55" s="30" t="s">
        <v>6718</v>
      </c>
      <c r="B55" s="30" t="s">
        <v>6702</v>
      </c>
      <c r="C55" s="20" t="s">
        <v>6719</v>
      </c>
      <c r="D55" s="20" t="s">
        <v>6720</v>
      </c>
      <c r="E55" s="30" t="s">
        <v>6573</v>
      </c>
      <c r="F55" s="6" t="s">
        <v>751</v>
      </c>
      <c r="G55" s="239" t="s">
        <v>6574</v>
      </c>
      <c r="H55" s="6" t="s">
        <v>751</v>
      </c>
      <c r="I55" s="239" t="s">
        <v>6576</v>
      </c>
      <c r="J55" s="239" t="s">
        <v>782</v>
      </c>
    </row>
    <row r="56" customFormat="false" ht="15" hidden="false" customHeight="true" outlineLevel="0" collapsed="false">
      <c r="A56" s="30" t="s">
        <v>6721</v>
      </c>
      <c r="B56" s="30" t="s">
        <v>6702</v>
      </c>
      <c r="C56" s="20" t="s">
        <v>6722</v>
      </c>
      <c r="D56" s="20" t="s">
        <v>6723</v>
      </c>
      <c r="E56" s="30" t="s">
        <v>6573</v>
      </c>
      <c r="F56" s="6" t="s">
        <v>751</v>
      </c>
      <c r="G56" s="239" t="s">
        <v>6574</v>
      </c>
      <c r="H56" s="6" t="s">
        <v>751</v>
      </c>
      <c r="I56" s="239" t="s">
        <v>6576</v>
      </c>
      <c r="J56" s="239" t="s">
        <v>782</v>
      </c>
    </row>
    <row r="57" customFormat="false" ht="29.25" hidden="false" customHeight="true" outlineLevel="0" collapsed="false">
      <c r="A57" s="30" t="s">
        <v>6724</v>
      </c>
      <c r="B57" s="30" t="s">
        <v>6702</v>
      </c>
      <c r="C57" s="6" t="s">
        <v>6725</v>
      </c>
      <c r="D57" s="20" t="s">
        <v>6726</v>
      </c>
      <c r="E57" s="30" t="s">
        <v>6573</v>
      </c>
      <c r="F57" s="6" t="s">
        <v>751</v>
      </c>
      <c r="G57" s="239" t="s">
        <v>6574</v>
      </c>
      <c r="H57" s="6" t="s">
        <v>751</v>
      </c>
      <c r="I57" s="239" t="s">
        <v>6576</v>
      </c>
      <c r="J57" s="239" t="s">
        <v>782</v>
      </c>
    </row>
    <row r="58" customFormat="false" ht="29.25" hidden="false" customHeight="true" outlineLevel="0" collapsed="false">
      <c r="A58" s="30" t="s">
        <v>6727</v>
      </c>
      <c r="B58" s="30" t="s">
        <v>6702</v>
      </c>
      <c r="C58" s="20" t="s">
        <v>6728</v>
      </c>
      <c r="D58" s="6" t="s">
        <v>6729</v>
      </c>
      <c r="E58" s="30" t="s">
        <v>1394</v>
      </c>
      <c r="F58" s="6" t="s">
        <v>751</v>
      </c>
      <c r="G58" s="239" t="s">
        <v>6574</v>
      </c>
      <c r="H58" s="6" t="s">
        <v>6730</v>
      </c>
      <c r="I58" s="239" t="s">
        <v>6576</v>
      </c>
      <c r="J58" s="239" t="s">
        <v>782</v>
      </c>
    </row>
    <row r="59" customFormat="false" ht="43.5" hidden="false" customHeight="true" outlineLevel="0" collapsed="false">
      <c r="A59" s="30" t="s">
        <v>798</v>
      </c>
      <c r="B59" s="30" t="s">
        <v>24</v>
      </c>
      <c r="C59" s="20" t="s">
        <v>6731</v>
      </c>
      <c r="D59" s="20" t="s">
        <v>6732</v>
      </c>
      <c r="E59" s="30" t="s">
        <v>1394</v>
      </c>
      <c r="F59" s="6" t="s">
        <v>751</v>
      </c>
      <c r="G59" s="239" t="s">
        <v>6574</v>
      </c>
      <c r="H59" s="6" t="s">
        <v>751</v>
      </c>
      <c r="I59" s="239" t="s">
        <v>6576</v>
      </c>
      <c r="J59" s="239" t="s">
        <v>782</v>
      </c>
    </row>
    <row r="60" customFormat="false" ht="43.5" hidden="false" customHeight="true" outlineLevel="0" collapsed="false">
      <c r="A60" s="30" t="s">
        <v>6733</v>
      </c>
      <c r="B60" s="239" t="s">
        <v>6734</v>
      </c>
      <c r="C60" s="6" t="s">
        <v>6735</v>
      </c>
      <c r="D60" s="6" t="s">
        <v>6736</v>
      </c>
      <c r="E60" s="30" t="s">
        <v>6691</v>
      </c>
      <c r="F60" s="6" t="s">
        <v>751</v>
      </c>
      <c r="G60" s="239" t="s">
        <v>6574</v>
      </c>
      <c r="H60" s="6" t="s">
        <v>751</v>
      </c>
      <c r="I60" s="239" t="s">
        <v>6576</v>
      </c>
      <c r="J60" s="239" t="s">
        <v>782</v>
      </c>
    </row>
    <row r="61" customFormat="false" ht="57.75" hidden="false" customHeight="true" outlineLevel="0" collapsed="false">
      <c r="A61" s="30" t="s">
        <v>6737</v>
      </c>
      <c r="B61" s="239" t="s">
        <v>6734</v>
      </c>
      <c r="C61" s="20" t="s">
        <v>6738</v>
      </c>
      <c r="D61" s="20" t="s">
        <v>6739</v>
      </c>
      <c r="E61" s="30" t="s">
        <v>6573</v>
      </c>
      <c r="F61" s="6" t="s">
        <v>751</v>
      </c>
      <c r="G61" s="239" t="s">
        <v>6574</v>
      </c>
      <c r="H61" s="6" t="s">
        <v>751</v>
      </c>
      <c r="I61" s="239" t="s">
        <v>6576</v>
      </c>
      <c r="J61" s="239" t="s">
        <v>782</v>
      </c>
    </row>
    <row r="62" customFormat="false" ht="29.25" hidden="false" customHeight="true" outlineLevel="0" collapsed="false">
      <c r="A62" s="30" t="s">
        <v>6740</v>
      </c>
      <c r="B62" s="239" t="s">
        <v>6734</v>
      </c>
      <c r="C62" s="20" t="s">
        <v>6741</v>
      </c>
      <c r="D62" s="6" t="s">
        <v>6742</v>
      </c>
      <c r="E62" s="30" t="s">
        <v>6573</v>
      </c>
      <c r="F62" s="6" t="s">
        <v>751</v>
      </c>
      <c r="G62" s="239" t="s">
        <v>6574</v>
      </c>
      <c r="H62" s="6" t="s">
        <v>751</v>
      </c>
      <c r="I62" s="239" t="s">
        <v>6576</v>
      </c>
      <c r="J62" s="239" t="s">
        <v>782</v>
      </c>
    </row>
    <row r="63" customFormat="false" ht="15" hidden="false" customHeight="true" outlineLevel="0" collapsed="false">
      <c r="A63" s="30" t="s">
        <v>6743</v>
      </c>
      <c r="B63" s="239" t="s">
        <v>6734</v>
      </c>
      <c r="C63" s="20" t="s">
        <v>6744</v>
      </c>
      <c r="D63" s="20" t="s">
        <v>6745</v>
      </c>
      <c r="E63" s="30" t="s">
        <v>6573</v>
      </c>
      <c r="F63" s="6" t="s">
        <v>751</v>
      </c>
      <c r="G63" s="239" t="s">
        <v>6574</v>
      </c>
      <c r="H63" s="6" t="s">
        <v>751</v>
      </c>
      <c r="I63" s="239" t="s">
        <v>6576</v>
      </c>
      <c r="J63" s="239" t="s">
        <v>782</v>
      </c>
    </row>
    <row r="64" customFormat="false" ht="29.25" hidden="false" customHeight="true" outlineLevel="0" collapsed="false">
      <c r="A64" s="30" t="s">
        <v>5202</v>
      </c>
      <c r="B64" s="239" t="s">
        <v>6734</v>
      </c>
      <c r="C64" s="20" t="s">
        <v>6746</v>
      </c>
      <c r="D64" s="20" t="s">
        <v>6747</v>
      </c>
      <c r="E64" s="30" t="s">
        <v>6573</v>
      </c>
      <c r="F64" s="20" t="s">
        <v>6748</v>
      </c>
      <c r="G64" s="239" t="s">
        <v>6574</v>
      </c>
      <c r="H64" s="6" t="s">
        <v>751</v>
      </c>
      <c r="I64" s="239" t="s">
        <v>6576</v>
      </c>
      <c r="J64" s="239" t="s">
        <v>782</v>
      </c>
    </row>
    <row r="65" customFormat="false" ht="29.25" hidden="false" customHeight="true" outlineLevel="0" collapsed="false">
      <c r="A65" s="30" t="s">
        <v>4700</v>
      </c>
      <c r="B65" s="239" t="s">
        <v>6734</v>
      </c>
      <c r="C65" s="6" t="s">
        <v>6749</v>
      </c>
      <c r="D65" s="6" t="s">
        <v>6750</v>
      </c>
      <c r="E65" s="30" t="s">
        <v>6573</v>
      </c>
      <c r="F65" s="6" t="s">
        <v>751</v>
      </c>
      <c r="G65" s="239" t="s">
        <v>6574</v>
      </c>
      <c r="H65" s="6" t="s">
        <v>751</v>
      </c>
      <c r="I65" s="239" t="s">
        <v>6576</v>
      </c>
      <c r="J65" s="239" t="s">
        <v>782</v>
      </c>
    </row>
    <row r="66" customFormat="false" ht="57.75" hidden="false" customHeight="true" outlineLevel="0" collapsed="false">
      <c r="A66" s="30" t="s">
        <v>5218</v>
      </c>
      <c r="B66" s="239" t="s">
        <v>6734</v>
      </c>
      <c r="C66" s="6" t="s">
        <v>6751</v>
      </c>
      <c r="D66" s="20" t="s">
        <v>6752</v>
      </c>
      <c r="E66" s="30" t="s">
        <v>6573</v>
      </c>
      <c r="F66" s="6" t="s">
        <v>751</v>
      </c>
      <c r="G66" s="239" t="s">
        <v>6574</v>
      </c>
      <c r="H66" s="6" t="s">
        <v>751</v>
      </c>
      <c r="I66" s="239" t="s">
        <v>6576</v>
      </c>
      <c r="J66" s="239" t="s">
        <v>782</v>
      </c>
    </row>
    <row r="67" customFormat="false" ht="43.5" hidden="false" customHeight="true" outlineLevel="0" collapsed="false">
      <c r="A67" s="30" t="s">
        <v>4714</v>
      </c>
      <c r="B67" s="239" t="s">
        <v>6734</v>
      </c>
      <c r="C67" s="20" t="s">
        <v>6753</v>
      </c>
      <c r="D67" s="20" t="s">
        <v>6754</v>
      </c>
      <c r="E67" s="30" t="s">
        <v>6573</v>
      </c>
      <c r="F67" s="6" t="s">
        <v>751</v>
      </c>
      <c r="G67" s="239" t="s">
        <v>6574</v>
      </c>
      <c r="H67" s="6" t="s">
        <v>751</v>
      </c>
      <c r="I67" s="239" t="s">
        <v>6576</v>
      </c>
      <c r="J67" s="239" t="s">
        <v>782</v>
      </c>
    </row>
    <row r="68" customFormat="false" ht="57.75" hidden="false" customHeight="true" outlineLevel="0" collapsed="false">
      <c r="A68" s="30" t="s">
        <v>4732</v>
      </c>
      <c r="B68" s="239" t="s">
        <v>6734</v>
      </c>
      <c r="C68" s="20" t="s">
        <v>6755</v>
      </c>
      <c r="D68" s="20" t="s">
        <v>6756</v>
      </c>
      <c r="E68" s="30" t="s">
        <v>6573</v>
      </c>
      <c r="F68" s="20" t="s">
        <v>6757</v>
      </c>
      <c r="G68" s="239" t="s">
        <v>6574</v>
      </c>
      <c r="H68" s="6" t="s">
        <v>751</v>
      </c>
      <c r="I68" s="239" t="s">
        <v>6576</v>
      </c>
      <c r="J68" s="239" t="s">
        <v>782</v>
      </c>
    </row>
    <row r="69" customFormat="false" ht="29.25" hidden="false" customHeight="true" outlineLevel="0" collapsed="false">
      <c r="A69" s="30" t="s">
        <v>4745</v>
      </c>
      <c r="B69" s="239" t="s">
        <v>6734</v>
      </c>
      <c r="C69" s="20" t="s">
        <v>6758</v>
      </c>
      <c r="D69" s="20" t="s">
        <v>6759</v>
      </c>
      <c r="E69" s="30" t="s">
        <v>6573</v>
      </c>
      <c r="F69" s="6" t="s">
        <v>751</v>
      </c>
      <c r="G69" s="239" t="s">
        <v>6574</v>
      </c>
      <c r="H69" s="6" t="s">
        <v>751</v>
      </c>
      <c r="I69" s="239" t="s">
        <v>6576</v>
      </c>
      <c r="J69" s="239" t="s">
        <v>782</v>
      </c>
    </row>
    <row r="70" customFormat="false" ht="15" hidden="false" customHeight="true" outlineLevel="0" collapsed="false">
      <c r="A70" s="30" t="s">
        <v>4765</v>
      </c>
      <c r="B70" s="239" t="s">
        <v>6734</v>
      </c>
      <c r="C70" s="20" t="s">
        <v>6760</v>
      </c>
      <c r="D70" s="20" t="s">
        <v>6761</v>
      </c>
      <c r="E70" s="30" t="s">
        <v>6573</v>
      </c>
      <c r="F70" s="6" t="s">
        <v>751</v>
      </c>
      <c r="G70" s="239" t="s">
        <v>6574</v>
      </c>
      <c r="H70" s="6" t="s">
        <v>751</v>
      </c>
      <c r="I70" s="239" t="s">
        <v>6576</v>
      </c>
      <c r="J70" s="239" t="s">
        <v>782</v>
      </c>
    </row>
    <row r="71" customFormat="false" ht="29.25" hidden="false" customHeight="true" outlineLevel="0" collapsed="false">
      <c r="A71" s="30" t="s">
        <v>4786</v>
      </c>
      <c r="B71" s="239" t="s">
        <v>6734</v>
      </c>
      <c r="C71" s="20" t="s">
        <v>6762</v>
      </c>
      <c r="D71" s="20" t="s">
        <v>6763</v>
      </c>
      <c r="E71" s="30" t="s">
        <v>6691</v>
      </c>
      <c r="F71" s="6" t="s">
        <v>751</v>
      </c>
      <c r="G71" s="239" t="s">
        <v>6574</v>
      </c>
      <c r="H71" s="6" t="s">
        <v>751</v>
      </c>
      <c r="I71" s="239" t="s">
        <v>6576</v>
      </c>
      <c r="J71" s="239" t="s">
        <v>782</v>
      </c>
    </row>
    <row r="72" customFormat="false" ht="129" hidden="false" customHeight="true" outlineLevel="0" collapsed="false">
      <c r="A72" s="30" t="s">
        <v>5269</v>
      </c>
      <c r="B72" s="239" t="s">
        <v>6734</v>
      </c>
      <c r="C72" s="6" t="s">
        <v>6764</v>
      </c>
      <c r="D72" s="6" t="s">
        <v>6765</v>
      </c>
      <c r="E72" s="30" t="s">
        <v>6691</v>
      </c>
      <c r="F72" s="20" t="s">
        <v>6766</v>
      </c>
      <c r="G72" s="239" t="s">
        <v>6574</v>
      </c>
      <c r="H72" s="6" t="s">
        <v>751</v>
      </c>
      <c r="I72" s="239" t="s">
        <v>6576</v>
      </c>
      <c r="J72" s="239" t="s">
        <v>782</v>
      </c>
    </row>
    <row r="73" customFormat="false" ht="57.75" hidden="false" customHeight="true" outlineLevel="0" collapsed="false">
      <c r="A73" s="30" t="s">
        <v>4801</v>
      </c>
      <c r="B73" s="239" t="s">
        <v>6734</v>
      </c>
      <c r="C73" s="20" t="s">
        <v>6767</v>
      </c>
      <c r="D73" s="20" t="s">
        <v>6768</v>
      </c>
      <c r="E73" s="30" t="s">
        <v>6691</v>
      </c>
      <c r="F73" s="20" t="s">
        <v>6769</v>
      </c>
      <c r="G73" s="239" t="s">
        <v>6574</v>
      </c>
      <c r="H73" s="6" t="s">
        <v>751</v>
      </c>
      <c r="I73" s="239" t="s">
        <v>6576</v>
      </c>
      <c r="J73" s="239" t="s">
        <v>782</v>
      </c>
    </row>
    <row r="74" customFormat="false" ht="29.25" hidden="false" customHeight="true" outlineLevel="0" collapsed="false">
      <c r="A74" s="30" t="s">
        <v>4404</v>
      </c>
      <c r="B74" s="30" t="s">
        <v>6702</v>
      </c>
      <c r="C74" s="20" t="s">
        <v>6770</v>
      </c>
      <c r="D74" s="6" t="s">
        <v>6771</v>
      </c>
      <c r="E74" s="30" t="s">
        <v>6691</v>
      </c>
      <c r="F74" s="6" t="s">
        <v>6772</v>
      </c>
      <c r="G74" s="239" t="s">
        <v>6574</v>
      </c>
      <c r="H74" s="6" t="s">
        <v>6773</v>
      </c>
      <c r="I74" s="239" t="s">
        <v>6774</v>
      </c>
      <c r="J74" s="239" t="s">
        <v>782</v>
      </c>
    </row>
    <row r="75" customFormat="false" ht="15" hidden="false" customHeight="true" outlineLevel="0" collapsed="false">
      <c r="A75" s="30" t="s">
        <v>6775</v>
      </c>
      <c r="B75" s="30" t="s">
        <v>6776</v>
      </c>
      <c r="C75" s="20" t="s">
        <v>6777</v>
      </c>
      <c r="D75" s="20" t="s">
        <v>6778</v>
      </c>
      <c r="E75" s="30" t="s">
        <v>6691</v>
      </c>
      <c r="F75" s="20" t="s">
        <v>6779</v>
      </c>
      <c r="G75" s="205" t="s">
        <v>6780</v>
      </c>
      <c r="H75" s="6" t="s">
        <v>6781</v>
      </c>
      <c r="I75" s="239" t="s">
        <v>6782</v>
      </c>
      <c r="J75" s="239" t="s">
        <v>782</v>
      </c>
    </row>
    <row r="76" customFormat="false" ht="15" hidden="false" customHeight="true" outlineLevel="0" collapsed="false">
      <c r="A76" s="30" t="s">
        <v>6783</v>
      </c>
      <c r="B76" s="30" t="s">
        <v>6776</v>
      </c>
      <c r="C76" s="20" t="s">
        <v>6784</v>
      </c>
      <c r="D76" s="20" t="s">
        <v>6785</v>
      </c>
      <c r="E76" s="30" t="s">
        <v>6691</v>
      </c>
      <c r="F76" s="20" t="s">
        <v>6779</v>
      </c>
      <c r="G76" s="205" t="s">
        <v>6780</v>
      </c>
      <c r="H76" s="6" t="s">
        <v>6781</v>
      </c>
      <c r="I76" s="239" t="s">
        <v>6782</v>
      </c>
      <c r="J76" s="239" t="s">
        <v>782</v>
      </c>
    </row>
    <row r="77" customFormat="false" ht="15" hidden="false" customHeight="true" outlineLevel="0" collapsed="false">
      <c r="A77" s="30" t="s">
        <v>6786</v>
      </c>
      <c r="B77" s="30" t="s">
        <v>6776</v>
      </c>
      <c r="C77" s="6" t="s">
        <v>6787</v>
      </c>
      <c r="D77" s="20" t="s">
        <v>6788</v>
      </c>
      <c r="E77" s="30" t="s">
        <v>6691</v>
      </c>
      <c r="F77" s="20" t="s">
        <v>6779</v>
      </c>
      <c r="G77" s="205" t="s">
        <v>6780</v>
      </c>
      <c r="H77" s="6" t="s">
        <v>6781</v>
      </c>
      <c r="I77" s="239" t="s">
        <v>6782</v>
      </c>
      <c r="J77" s="239" t="s">
        <v>782</v>
      </c>
    </row>
    <row r="78" customFormat="false" ht="15" hidden="false" customHeight="true" outlineLevel="0" collapsed="false">
      <c r="A78" s="30" t="s">
        <v>6789</v>
      </c>
      <c r="B78" s="30" t="s">
        <v>6776</v>
      </c>
      <c r="C78" s="20" t="s">
        <v>6790</v>
      </c>
      <c r="D78" s="20" t="s">
        <v>6791</v>
      </c>
      <c r="E78" s="30" t="s">
        <v>6691</v>
      </c>
      <c r="F78" s="20" t="s">
        <v>6779</v>
      </c>
      <c r="G78" s="205" t="s">
        <v>6780</v>
      </c>
      <c r="H78" s="6" t="s">
        <v>6781</v>
      </c>
      <c r="I78" s="239" t="s">
        <v>6782</v>
      </c>
      <c r="J78" s="239" t="s">
        <v>782</v>
      </c>
    </row>
    <row r="79" customFormat="false" ht="29.25" hidden="false" customHeight="true" outlineLevel="0" collapsed="false">
      <c r="A79" s="30" t="s">
        <v>6792</v>
      </c>
      <c r="B79" s="30" t="s">
        <v>6776</v>
      </c>
      <c r="C79" s="6" t="s">
        <v>6793</v>
      </c>
      <c r="D79" s="20" t="s">
        <v>6794</v>
      </c>
      <c r="E79" s="30" t="s">
        <v>6691</v>
      </c>
      <c r="F79" s="20" t="s">
        <v>6779</v>
      </c>
      <c r="G79" s="205" t="s">
        <v>6780</v>
      </c>
      <c r="H79" s="6" t="s">
        <v>6781</v>
      </c>
      <c r="I79" s="239" t="s">
        <v>6782</v>
      </c>
      <c r="J79" s="239" t="s">
        <v>782</v>
      </c>
    </row>
    <row r="80" customFormat="false" ht="15" hidden="false" customHeight="true" outlineLevel="0" collapsed="false">
      <c r="A80" s="30" t="s">
        <v>6795</v>
      </c>
      <c r="B80" s="30" t="s">
        <v>6776</v>
      </c>
      <c r="C80" s="20" t="s">
        <v>6796</v>
      </c>
      <c r="D80" s="20" t="s">
        <v>6797</v>
      </c>
      <c r="E80" s="30" t="s">
        <v>6691</v>
      </c>
      <c r="F80" s="20" t="s">
        <v>6779</v>
      </c>
      <c r="G80" s="205" t="s">
        <v>6780</v>
      </c>
      <c r="H80" s="6" t="s">
        <v>6781</v>
      </c>
      <c r="I80" s="239" t="s">
        <v>6782</v>
      </c>
      <c r="J80" s="239" t="s">
        <v>782</v>
      </c>
    </row>
    <row r="81" customFormat="false" ht="15" hidden="false" customHeight="true" outlineLevel="0" collapsed="false">
      <c r="A81" s="30" t="s">
        <v>6798</v>
      </c>
      <c r="B81" s="30" t="s">
        <v>6776</v>
      </c>
      <c r="C81" s="20" t="s">
        <v>6799</v>
      </c>
      <c r="D81" s="20" t="s">
        <v>6800</v>
      </c>
      <c r="E81" s="30" t="s">
        <v>6691</v>
      </c>
      <c r="F81" s="20" t="s">
        <v>6779</v>
      </c>
      <c r="G81" s="205" t="s">
        <v>6780</v>
      </c>
      <c r="H81" s="6" t="s">
        <v>6781</v>
      </c>
      <c r="I81" s="239" t="s">
        <v>6782</v>
      </c>
      <c r="J81" s="239" t="s">
        <v>782</v>
      </c>
    </row>
    <row r="82" customFormat="false" ht="15" hidden="false" customHeight="true" outlineLevel="0" collapsed="false">
      <c r="A82" s="30" t="s">
        <v>6111</v>
      </c>
      <c r="B82" s="30" t="s">
        <v>6776</v>
      </c>
      <c r="C82" s="20" t="s">
        <v>6801</v>
      </c>
      <c r="D82" s="20" t="s">
        <v>6802</v>
      </c>
      <c r="E82" s="30" t="s">
        <v>6691</v>
      </c>
      <c r="F82" s="20" t="s">
        <v>6779</v>
      </c>
      <c r="G82" s="205" t="s">
        <v>6780</v>
      </c>
      <c r="H82" s="6" t="s">
        <v>6781</v>
      </c>
      <c r="I82" s="239" t="s">
        <v>6782</v>
      </c>
      <c r="J82" s="239" t="s">
        <v>782</v>
      </c>
    </row>
    <row r="83" customFormat="false" ht="15" hidden="false" customHeight="true" outlineLevel="0" collapsed="false">
      <c r="A83" s="30" t="s">
        <v>6803</v>
      </c>
      <c r="B83" s="239" t="s">
        <v>6804</v>
      </c>
      <c r="C83" s="20" t="s">
        <v>6805</v>
      </c>
      <c r="D83" s="20" t="s">
        <v>6806</v>
      </c>
      <c r="E83" s="30" t="s">
        <v>6691</v>
      </c>
      <c r="F83" s="20" t="s">
        <v>6807</v>
      </c>
      <c r="G83" s="239" t="s">
        <v>6574</v>
      </c>
      <c r="H83" s="6" t="s">
        <v>751</v>
      </c>
      <c r="I83" s="239" t="s">
        <v>6808</v>
      </c>
      <c r="J83" s="239" t="s">
        <v>782</v>
      </c>
    </row>
    <row r="84" customFormat="false" ht="43.5" hidden="false" customHeight="true" outlineLevel="0" collapsed="false">
      <c r="A84" s="30" t="s">
        <v>6809</v>
      </c>
      <c r="B84" s="239" t="s">
        <v>6804</v>
      </c>
      <c r="C84" s="6" t="s">
        <v>6810</v>
      </c>
      <c r="D84" s="20" t="s">
        <v>6811</v>
      </c>
      <c r="E84" s="30" t="s">
        <v>6691</v>
      </c>
      <c r="F84" s="20" t="s">
        <v>6812</v>
      </c>
      <c r="G84" s="239" t="s">
        <v>6574</v>
      </c>
      <c r="H84" s="6" t="s">
        <v>6813</v>
      </c>
      <c r="I84" s="239" t="s">
        <v>6808</v>
      </c>
      <c r="J84" s="239" t="s">
        <v>782</v>
      </c>
    </row>
    <row r="85" customFormat="false" ht="26.25" hidden="false" customHeight="true" outlineLevel="0" collapsed="false">
      <c r="A85" s="30" t="s">
        <v>6814</v>
      </c>
      <c r="B85" s="239" t="s">
        <v>6804</v>
      </c>
      <c r="C85" s="6" t="s">
        <v>6815</v>
      </c>
      <c r="D85" s="6" t="s">
        <v>6816</v>
      </c>
      <c r="E85" s="30" t="s">
        <v>6691</v>
      </c>
      <c r="F85" s="20" t="s">
        <v>6812</v>
      </c>
      <c r="G85" s="239" t="s">
        <v>6574</v>
      </c>
      <c r="H85" s="6" t="s">
        <v>6817</v>
      </c>
      <c r="I85" s="239" t="s">
        <v>6808</v>
      </c>
      <c r="J85" s="239" t="s">
        <v>782</v>
      </c>
    </row>
    <row r="86" customFormat="false" ht="29.25" hidden="false" customHeight="true" outlineLevel="0" collapsed="false">
      <c r="A86" s="30" t="s">
        <v>6818</v>
      </c>
      <c r="B86" s="239" t="s">
        <v>6804</v>
      </c>
      <c r="C86" s="20" t="s">
        <v>6819</v>
      </c>
      <c r="D86" s="20" t="s">
        <v>6820</v>
      </c>
      <c r="E86" s="30" t="s">
        <v>6691</v>
      </c>
      <c r="F86" s="20" t="s">
        <v>6812</v>
      </c>
      <c r="G86" s="239" t="s">
        <v>6574</v>
      </c>
      <c r="H86" s="6" t="s">
        <v>751</v>
      </c>
      <c r="I86" s="239" t="s">
        <v>6808</v>
      </c>
      <c r="J86" s="239" t="s">
        <v>782</v>
      </c>
    </row>
    <row r="87" customFormat="false" ht="29.25" hidden="false" customHeight="true" outlineLevel="0" collapsed="false">
      <c r="A87" s="30" t="s">
        <v>6821</v>
      </c>
      <c r="B87" s="239" t="s">
        <v>6804</v>
      </c>
      <c r="C87" s="20" t="s">
        <v>6822</v>
      </c>
      <c r="D87" s="20" t="s">
        <v>6823</v>
      </c>
      <c r="E87" s="30" t="s">
        <v>6691</v>
      </c>
      <c r="F87" s="20" t="s">
        <v>6807</v>
      </c>
      <c r="G87" s="239" t="s">
        <v>6574</v>
      </c>
      <c r="H87" s="6" t="s">
        <v>6824</v>
      </c>
      <c r="I87" s="239" t="s">
        <v>6808</v>
      </c>
      <c r="J87" s="239" t="s">
        <v>782</v>
      </c>
    </row>
    <row r="88" customFormat="false" ht="29.25" hidden="false" customHeight="true" outlineLevel="0" collapsed="false">
      <c r="A88" s="30" t="s">
        <v>5902</v>
      </c>
      <c r="B88" s="239" t="s">
        <v>6804</v>
      </c>
      <c r="C88" s="6" t="s">
        <v>6825</v>
      </c>
      <c r="D88" s="6" t="s">
        <v>6826</v>
      </c>
      <c r="E88" s="30" t="s">
        <v>6691</v>
      </c>
      <c r="F88" s="20" t="s">
        <v>6812</v>
      </c>
      <c r="G88" s="239" t="s">
        <v>6574</v>
      </c>
      <c r="H88" s="6" t="s">
        <v>6827</v>
      </c>
      <c r="I88" s="239" t="s">
        <v>6808</v>
      </c>
      <c r="J88" s="239" t="s">
        <v>782</v>
      </c>
    </row>
    <row r="89" customFormat="false" ht="29.25" hidden="false" customHeight="true" outlineLevel="0" collapsed="false">
      <c r="A89" s="30" t="s">
        <v>6828</v>
      </c>
      <c r="B89" s="239" t="s">
        <v>6804</v>
      </c>
      <c r="C89" s="20" t="s">
        <v>6829</v>
      </c>
      <c r="D89" s="6" t="s">
        <v>6830</v>
      </c>
      <c r="E89" s="30" t="s">
        <v>6691</v>
      </c>
      <c r="F89" s="20" t="s">
        <v>6812</v>
      </c>
      <c r="G89" s="239" t="s">
        <v>6574</v>
      </c>
      <c r="H89" s="6" t="s">
        <v>751</v>
      </c>
      <c r="I89" s="239" t="s">
        <v>6808</v>
      </c>
      <c r="J89" s="239" t="s">
        <v>782</v>
      </c>
    </row>
    <row r="90" customFormat="false" ht="43.5" hidden="false" customHeight="true" outlineLevel="0" collapsed="false">
      <c r="A90" s="30" t="s">
        <v>6831</v>
      </c>
      <c r="B90" s="239" t="s">
        <v>6804</v>
      </c>
      <c r="C90" s="20" t="s">
        <v>6832</v>
      </c>
      <c r="D90" s="20" t="s">
        <v>6833</v>
      </c>
      <c r="E90" s="30" t="s">
        <v>6691</v>
      </c>
      <c r="F90" s="20" t="s">
        <v>6834</v>
      </c>
      <c r="G90" s="239" t="s">
        <v>6574</v>
      </c>
      <c r="H90" s="6" t="s">
        <v>751</v>
      </c>
      <c r="I90" s="239" t="s">
        <v>6808</v>
      </c>
      <c r="J90" s="239" t="s">
        <v>782</v>
      </c>
    </row>
    <row r="91" customFormat="false" ht="29.25" hidden="false" customHeight="true" outlineLevel="0" collapsed="false">
      <c r="A91" s="30" t="s">
        <v>6835</v>
      </c>
      <c r="B91" s="239" t="s">
        <v>6804</v>
      </c>
      <c r="C91" s="20" t="s">
        <v>6836</v>
      </c>
      <c r="D91" s="6" t="s">
        <v>6837</v>
      </c>
      <c r="E91" s="30" t="s">
        <v>6691</v>
      </c>
      <c r="F91" s="6" t="s">
        <v>751</v>
      </c>
      <c r="G91" s="239" t="s">
        <v>6574</v>
      </c>
      <c r="H91" s="6" t="s">
        <v>751</v>
      </c>
      <c r="I91" s="239" t="s">
        <v>6808</v>
      </c>
      <c r="J91" s="239" t="s">
        <v>782</v>
      </c>
    </row>
    <row r="92" customFormat="false" ht="15" hidden="false" customHeight="true" outlineLevel="0" collapsed="false">
      <c r="A92" s="30" t="s">
        <v>6838</v>
      </c>
      <c r="B92" s="239" t="s">
        <v>6804</v>
      </c>
      <c r="C92" s="20" t="s">
        <v>6839</v>
      </c>
      <c r="D92" s="20" t="s">
        <v>6840</v>
      </c>
      <c r="E92" s="30" t="s">
        <v>6691</v>
      </c>
      <c r="F92" s="6" t="s">
        <v>751</v>
      </c>
      <c r="G92" s="239" t="s">
        <v>6574</v>
      </c>
      <c r="H92" s="6" t="s">
        <v>751</v>
      </c>
      <c r="I92" s="239" t="s">
        <v>6808</v>
      </c>
      <c r="J92" s="239" t="s">
        <v>782</v>
      </c>
    </row>
    <row r="93" customFormat="false" ht="29.25" hidden="false" customHeight="true" outlineLevel="0" collapsed="false">
      <c r="A93" s="30" t="s">
        <v>6841</v>
      </c>
      <c r="B93" s="239" t="s">
        <v>6804</v>
      </c>
      <c r="C93" s="6" t="s">
        <v>6842</v>
      </c>
      <c r="D93" s="20" t="s">
        <v>6843</v>
      </c>
      <c r="E93" s="30" t="s">
        <v>6691</v>
      </c>
      <c r="F93" s="20" t="s">
        <v>6844</v>
      </c>
      <c r="G93" s="239" t="s">
        <v>6574</v>
      </c>
      <c r="H93" s="6" t="s">
        <v>6693</v>
      </c>
      <c r="I93" s="239" t="s">
        <v>6808</v>
      </c>
      <c r="J93" s="239" t="s">
        <v>782</v>
      </c>
    </row>
    <row r="94" customFormat="false" ht="29.25" hidden="false" customHeight="true" outlineLevel="0" collapsed="false">
      <c r="A94" s="30" t="s">
        <v>4691</v>
      </c>
      <c r="B94" s="239" t="s">
        <v>6845</v>
      </c>
      <c r="C94" s="6" t="s">
        <v>6846</v>
      </c>
      <c r="D94" s="6" t="s">
        <v>6847</v>
      </c>
      <c r="E94" s="30" t="s">
        <v>6848</v>
      </c>
      <c r="F94" s="243" t="s">
        <v>6849</v>
      </c>
      <c r="G94" s="239" t="s">
        <v>6574</v>
      </c>
      <c r="H94" s="6" t="s">
        <v>6850</v>
      </c>
      <c r="I94" s="30" t="s">
        <v>6851</v>
      </c>
      <c r="J94" s="239" t="s">
        <v>782</v>
      </c>
    </row>
    <row r="95" customFormat="false" ht="51.75" hidden="false" customHeight="true" outlineLevel="0" collapsed="false">
      <c r="A95" s="30" t="s">
        <v>6852</v>
      </c>
      <c r="B95" s="30" t="s">
        <v>6776</v>
      </c>
      <c r="C95" s="20" t="s">
        <v>6853</v>
      </c>
      <c r="D95" s="6" t="s">
        <v>6854</v>
      </c>
      <c r="E95" s="30" t="s">
        <v>6855</v>
      </c>
      <c r="F95" s="20" t="s">
        <v>6856</v>
      </c>
      <c r="G95" s="30" t="s">
        <v>6857</v>
      </c>
      <c r="H95" s="6" t="s">
        <v>6858</v>
      </c>
      <c r="I95" s="239" t="s">
        <v>6859</v>
      </c>
      <c r="J95" s="239" t="s">
        <v>782</v>
      </c>
    </row>
    <row r="96" customFormat="false" ht="26.25" hidden="false" customHeight="true" outlineLevel="0" collapsed="false">
      <c r="A96" s="30" t="s">
        <v>6860</v>
      </c>
      <c r="B96" s="30" t="s">
        <v>6776</v>
      </c>
      <c r="C96" s="20" t="s">
        <v>6146</v>
      </c>
      <c r="D96" s="20" t="s">
        <v>6861</v>
      </c>
      <c r="E96" s="30" t="s">
        <v>6855</v>
      </c>
      <c r="F96" s="20" t="s">
        <v>6862</v>
      </c>
      <c r="G96" s="30" t="s">
        <v>6857</v>
      </c>
      <c r="H96" s="6" t="s">
        <v>6863</v>
      </c>
      <c r="I96" s="239" t="s">
        <v>6859</v>
      </c>
      <c r="J96" s="239" t="s">
        <v>782</v>
      </c>
    </row>
    <row r="97" customFormat="false" ht="26.25" hidden="false" customHeight="true" outlineLevel="0" collapsed="false">
      <c r="A97" s="30" t="s">
        <v>6864</v>
      </c>
      <c r="B97" s="30" t="s">
        <v>6865</v>
      </c>
      <c r="C97" s="20" t="s">
        <v>6866</v>
      </c>
      <c r="D97" s="6" t="s">
        <v>6867</v>
      </c>
      <c r="E97" s="30" t="s">
        <v>6868</v>
      </c>
      <c r="F97" s="20" t="s">
        <v>6869</v>
      </c>
      <c r="G97" s="239" t="s">
        <v>6870</v>
      </c>
      <c r="H97" s="6" t="s">
        <v>6871</v>
      </c>
      <c r="I97" s="239" t="s">
        <v>6872</v>
      </c>
      <c r="J97" s="239" t="s">
        <v>782</v>
      </c>
    </row>
    <row r="98" customFormat="false" ht="26.25" hidden="false" customHeight="true" outlineLevel="0" collapsed="false">
      <c r="A98" s="30" t="s">
        <v>6873</v>
      </c>
      <c r="B98" s="30" t="s">
        <v>6865</v>
      </c>
      <c r="C98" s="6" t="s">
        <v>6874</v>
      </c>
      <c r="D98" s="6" t="s">
        <v>6875</v>
      </c>
      <c r="E98" s="30" t="s">
        <v>6868</v>
      </c>
      <c r="F98" s="20" t="s">
        <v>6869</v>
      </c>
      <c r="G98" s="239" t="s">
        <v>6870</v>
      </c>
      <c r="H98" s="6" t="s">
        <v>6876</v>
      </c>
      <c r="I98" s="239" t="s">
        <v>6872</v>
      </c>
      <c r="J98" s="239" t="s">
        <v>782</v>
      </c>
    </row>
    <row r="99" customFormat="false" ht="51.75" hidden="false" customHeight="true" outlineLevel="0" collapsed="false">
      <c r="A99" s="30" t="s">
        <v>4364</v>
      </c>
      <c r="B99" s="30" t="s">
        <v>6865</v>
      </c>
      <c r="C99" s="20" t="s">
        <v>6877</v>
      </c>
      <c r="D99" s="20" t="s">
        <v>6878</v>
      </c>
      <c r="E99" s="30" t="s">
        <v>6868</v>
      </c>
      <c r="F99" s="20" t="s">
        <v>6879</v>
      </c>
      <c r="G99" s="239" t="s">
        <v>6870</v>
      </c>
      <c r="H99" s="6" t="s">
        <v>6880</v>
      </c>
      <c r="I99" s="239" t="s">
        <v>6881</v>
      </c>
      <c r="J99" s="239" t="s">
        <v>782</v>
      </c>
    </row>
    <row r="100" customFormat="false" ht="39" hidden="false" customHeight="true" outlineLevel="0" collapsed="false">
      <c r="A100" s="30" t="s">
        <v>5323</v>
      </c>
      <c r="B100" s="30" t="s">
        <v>6865</v>
      </c>
      <c r="C100" s="20" t="s">
        <v>6882</v>
      </c>
      <c r="D100" s="20" t="s">
        <v>6883</v>
      </c>
      <c r="E100" s="30" t="s">
        <v>6868</v>
      </c>
      <c r="F100" s="20" t="s">
        <v>6884</v>
      </c>
      <c r="G100" s="239" t="s">
        <v>6870</v>
      </c>
      <c r="H100" s="6" t="s">
        <v>6885</v>
      </c>
      <c r="I100" s="239" t="s">
        <v>6881</v>
      </c>
      <c r="J100" s="239" t="s">
        <v>782</v>
      </c>
    </row>
    <row r="101" customFormat="false" ht="51.75" hidden="false" customHeight="true" outlineLevel="0" collapsed="false">
      <c r="A101" s="30" t="s">
        <v>6886</v>
      </c>
      <c r="B101" s="30" t="s">
        <v>6865</v>
      </c>
      <c r="C101" s="20" t="s">
        <v>6887</v>
      </c>
      <c r="D101" s="6" t="s">
        <v>6888</v>
      </c>
      <c r="E101" s="30" t="s">
        <v>6889</v>
      </c>
      <c r="F101" s="6" t="s">
        <v>6890</v>
      </c>
      <c r="G101" s="239" t="s">
        <v>6870</v>
      </c>
      <c r="H101" s="6" t="s">
        <v>6891</v>
      </c>
      <c r="I101" s="239" t="s">
        <v>6892</v>
      </c>
      <c r="J101" s="239" t="s">
        <v>754</v>
      </c>
    </row>
    <row r="102" customFormat="false" ht="39" hidden="false" customHeight="true" outlineLevel="0" collapsed="false">
      <c r="A102" s="30" t="s">
        <v>6893</v>
      </c>
      <c r="B102" s="30" t="s">
        <v>6865</v>
      </c>
      <c r="C102" s="6" t="s">
        <v>6894</v>
      </c>
      <c r="D102" s="6" t="s">
        <v>6895</v>
      </c>
      <c r="E102" s="30" t="s">
        <v>6889</v>
      </c>
      <c r="F102" s="6" t="s">
        <v>6896</v>
      </c>
      <c r="G102" s="239" t="s">
        <v>6870</v>
      </c>
      <c r="H102" s="6" t="s">
        <v>6897</v>
      </c>
      <c r="I102" s="239" t="s">
        <v>6898</v>
      </c>
      <c r="J102" s="239" t="s">
        <v>754</v>
      </c>
    </row>
    <row r="103" customFormat="false" ht="39" hidden="false" customHeight="true" outlineLevel="0" collapsed="false">
      <c r="A103" s="30" t="s">
        <v>6899</v>
      </c>
      <c r="B103" s="30" t="s">
        <v>6865</v>
      </c>
      <c r="C103" s="6" t="s">
        <v>6900</v>
      </c>
      <c r="D103" s="6" t="s">
        <v>6901</v>
      </c>
      <c r="E103" s="30" t="s">
        <v>6889</v>
      </c>
      <c r="F103" s="6" t="s">
        <v>6902</v>
      </c>
      <c r="G103" s="239" t="s">
        <v>6870</v>
      </c>
      <c r="H103" s="6" t="s">
        <v>6903</v>
      </c>
      <c r="I103" s="30" t="s">
        <v>6904</v>
      </c>
      <c r="J103" s="239" t="s">
        <v>754</v>
      </c>
    </row>
    <row r="104" customFormat="false" ht="26.25" hidden="false" customHeight="true" outlineLevel="0" collapsed="false">
      <c r="A104" s="30" t="s">
        <v>6905</v>
      </c>
      <c r="B104" s="30" t="s">
        <v>6865</v>
      </c>
      <c r="C104" s="6" t="s">
        <v>6906</v>
      </c>
      <c r="D104" s="20" t="s">
        <v>6907</v>
      </c>
      <c r="E104" s="30" t="s">
        <v>6868</v>
      </c>
      <c r="F104" s="20" t="s">
        <v>6908</v>
      </c>
      <c r="G104" s="239" t="s">
        <v>6870</v>
      </c>
      <c r="H104" s="6" t="s">
        <v>6909</v>
      </c>
      <c r="I104" s="239" t="s">
        <v>6910</v>
      </c>
      <c r="J104" s="239" t="s">
        <v>782</v>
      </c>
    </row>
    <row r="105" customFormat="false" ht="51.75" hidden="false" customHeight="true" outlineLevel="0" collapsed="false">
      <c r="A105" s="30" t="s">
        <v>4374</v>
      </c>
      <c r="B105" s="30" t="s">
        <v>6911</v>
      </c>
      <c r="C105" s="6" t="s">
        <v>6912</v>
      </c>
      <c r="D105" s="6" t="s">
        <v>6913</v>
      </c>
      <c r="E105" s="30" t="s">
        <v>6889</v>
      </c>
      <c r="F105" s="20" t="s">
        <v>6914</v>
      </c>
      <c r="G105" s="30" t="s">
        <v>6915</v>
      </c>
      <c r="H105" s="6" t="s">
        <v>6916</v>
      </c>
      <c r="I105" s="239" t="s">
        <v>6917</v>
      </c>
      <c r="J105" s="239" t="s">
        <v>782</v>
      </c>
    </row>
    <row r="106" customFormat="false" ht="51.75" hidden="false" customHeight="true" outlineLevel="0" collapsed="false">
      <c r="A106" s="30" t="s">
        <v>6918</v>
      </c>
      <c r="B106" s="30" t="s">
        <v>6911</v>
      </c>
      <c r="C106" s="6" t="s">
        <v>6919</v>
      </c>
      <c r="D106" s="6" t="s">
        <v>6920</v>
      </c>
      <c r="E106" s="30" t="s">
        <v>6889</v>
      </c>
      <c r="F106" s="20" t="s">
        <v>6921</v>
      </c>
      <c r="G106" s="30" t="s">
        <v>6915</v>
      </c>
      <c r="H106" s="6" t="s">
        <v>6922</v>
      </c>
      <c r="I106" s="239" t="s">
        <v>6923</v>
      </c>
      <c r="J106" s="239" t="s">
        <v>782</v>
      </c>
    </row>
    <row r="107" customFormat="false" ht="64.5" hidden="false" customHeight="true" outlineLevel="0" collapsed="false">
      <c r="A107" s="30" t="s">
        <v>6924</v>
      </c>
      <c r="B107" s="30" t="s">
        <v>6925</v>
      </c>
      <c r="C107" s="6" t="s">
        <v>6926</v>
      </c>
      <c r="D107" s="6" t="s">
        <v>6927</v>
      </c>
      <c r="E107" s="30" t="s">
        <v>6889</v>
      </c>
      <c r="F107" s="20" t="s">
        <v>6928</v>
      </c>
      <c r="G107" s="30" t="s">
        <v>6929</v>
      </c>
      <c r="H107" s="6" t="s">
        <v>6930</v>
      </c>
      <c r="I107" s="239" t="s">
        <v>6931</v>
      </c>
      <c r="J107" s="239" t="s">
        <v>782</v>
      </c>
    </row>
    <row r="108" customFormat="false" ht="51.75" hidden="false" customHeight="true" outlineLevel="0" collapsed="false">
      <c r="A108" s="30" t="s">
        <v>6932</v>
      </c>
      <c r="B108" s="30" t="s">
        <v>6925</v>
      </c>
      <c r="C108" s="6" t="s">
        <v>6933</v>
      </c>
      <c r="D108" s="6" t="s">
        <v>6934</v>
      </c>
      <c r="E108" s="30" t="s">
        <v>6889</v>
      </c>
      <c r="F108" s="20" t="s">
        <v>6935</v>
      </c>
      <c r="G108" s="30" t="s">
        <v>6936</v>
      </c>
      <c r="H108" s="6" t="s">
        <v>6937</v>
      </c>
      <c r="I108" s="239" t="s">
        <v>6938</v>
      </c>
      <c r="J108" s="239" t="s">
        <v>782</v>
      </c>
    </row>
    <row r="109" customFormat="false" ht="51.75" hidden="false" customHeight="true" outlineLevel="0" collapsed="false">
      <c r="A109" s="30" t="s">
        <v>6939</v>
      </c>
      <c r="B109" s="30" t="s">
        <v>6925</v>
      </c>
      <c r="C109" s="6" t="s">
        <v>6940</v>
      </c>
      <c r="D109" s="6" t="s">
        <v>6941</v>
      </c>
      <c r="E109" s="30" t="s">
        <v>6889</v>
      </c>
      <c r="F109" s="20" t="s">
        <v>6942</v>
      </c>
      <c r="G109" s="30" t="s">
        <v>6929</v>
      </c>
      <c r="H109" s="6" t="s">
        <v>6943</v>
      </c>
      <c r="I109" s="239" t="s">
        <v>6944</v>
      </c>
      <c r="J109" s="239" t="s">
        <v>782</v>
      </c>
    </row>
    <row r="110" customFormat="false" ht="51.75" hidden="false" customHeight="true" outlineLevel="0" collapsed="false">
      <c r="A110" s="30" t="s">
        <v>6945</v>
      </c>
      <c r="B110" s="30" t="s">
        <v>6946</v>
      </c>
      <c r="C110" s="6" t="s">
        <v>6947</v>
      </c>
      <c r="D110" s="6" t="s">
        <v>6948</v>
      </c>
      <c r="E110" s="30" t="s">
        <v>6889</v>
      </c>
      <c r="F110" s="20" t="s">
        <v>6949</v>
      </c>
      <c r="G110" s="30" t="s">
        <v>6950</v>
      </c>
      <c r="H110" s="6" t="s">
        <v>6951</v>
      </c>
      <c r="I110" s="239" t="s">
        <v>6952</v>
      </c>
      <c r="J110" s="239" t="s">
        <v>782</v>
      </c>
    </row>
    <row r="111" customFormat="false" ht="77.25" hidden="false" customHeight="true" outlineLevel="0" collapsed="false">
      <c r="A111" s="30" t="s">
        <v>4378</v>
      </c>
      <c r="B111" s="30" t="s">
        <v>6953</v>
      </c>
      <c r="C111" s="20" t="s">
        <v>6954</v>
      </c>
      <c r="D111" s="20" t="s">
        <v>6955</v>
      </c>
      <c r="E111" s="30" t="s">
        <v>6889</v>
      </c>
      <c r="F111" s="20" t="s">
        <v>6956</v>
      </c>
      <c r="G111" s="30" t="s">
        <v>6957</v>
      </c>
      <c r="H111" s="6" t="s">
        <v>6958</v>
      </c>
      <c r="I111" s="239" t="s">
        <v>6959</v>
      </c>
      <c r="J111" s="239" t="s">
        <v>782</v>
      </c>
    </row>
    <row r="112" customFormat="false" ht="51.75" hidden="false" customHeight="true" outlineLevel="0" collapsed="false">
      <c r="A112" s="30" t="s">
        <v>6960</v>
      </c>
      <c r="B112" s="30" t="s">
        <v>6953</v>
      </c>
      <c r="C112" s="6" t="s">
        <v>6961</v>
      </c>
      <c r="D112" s="6" t="s">
        <v>6962</v>
      </c>
      <c r="E112" s="30" t="s">
        <v>6889</v>
      </c>
      <c r="F112" s="20" t="s">
        <v>6963</v>
      </c>
      <c r="G112" s="30" t="s">
        <v>6957</v>
      </c>
      <c r="H112" s="6" t="s">
        <v>6964</v>
      </c>
      <c r="I112" s="239" t="s">
        <v>6965</v>
      </c>
      <c r="J112" s="239" t="s">
        <v>782</v>
      </c>
    </row>
    <row r="113" customFormat="false" ht="51.75" hidden="false" customHeight="true" outlineLevel="0" collapsed="false">
      <c r="A113" s="30" t="s">
        <v>6966</v>
      </c>
      <c r="B113" s="30" t="s">
        <v>6953</v>
      </c>
      <c r="C113" s="6" t="s">
        <v>6967</v>
      </c>
      <c r="D113" s="6" t="s">
        <v>6968</v>
      </c>
      <c r="E113" s="30" t="s">
        <v>6889</v>
      </c>
      <c r="F113" s="20" t="s">
        <v>6969</v>
      </c>
      <c r="G113" s="30" t="s">
        <v>6957</v>
      </c>
      <c r="H113" s="6" t="s">
        <v>6970</v>
      </c>
      <c r="I113" s="239" t="s">
        <v>6971</v>
      </c>
      <c r="J113" s="239" t="s">
        <v>782</v>
      </c>
    </row>
    <row r="114" customFormat="false" ht="141" hidden="false" customHeight="true" outlineLevel="0" collapsed="false">
      <c r="A114" s="30" t="s">
        <v>6190</v>
      </c>
      <c r="B114" s="30" t="s">
        <v>6972</v>
      </c>
      <c r="C114" s="6" t="s">
        <v>6973</v>
      </c>
      <c r="D114" s="6" t="s">
        <v>6974</v>
      </c>
      <c r="E114" s="30" t="s">
        <v>6975</v>
      </c>
      <c r="F114" s="20" t="s">
        <v>6976</v>
      </c>
      <c r="G114" s="30" t="s">
        <v>6977</v>
      </c>
      <c r="H114" s="6" t="s">
        <v>6978</v>
      </c>
      <c r="I114" s="239" t="s">
        <v>6979</v>
      </c>
      <c r="J114" s="239" t="s">
        <v>782</v>
      </c>
    </row>
    <row r="115" customFormat="false" ht="57.75" hidden="false" customHeight="true" outlineLevel="0" collapsed="false">
      <c r="A115" s="30" t="s">
        <v>6980</v>
      </c>
      <c r="B115" s="30" t="s">
        <v>6981</v>
      </c>
      <c r="C115" s="6" t="s">
        <v>6982</v>
      </c>
      <c r="D115" s="6" t="s">
        <v>6983</v>
      </c>
      <c r="E115" s="30" t="s">
        <v>6975</v>
      </c>
      <c r="F115" s="243" t="s">
        <v>6984</v>
      </c>
      <c r="G115" s="30" t="s">
        <v>6985</v>
      </c>
      <c r="H115" s="6" t="s">
        <v>6986</v>
      </c>
      <c r="I115" s="205" t="s">
        <v>6987</v>
      </c>
      <c r="J115" s="205" t="s">
        <v>782</v>
      </c>
    </row>
    <row r="116" customFormat="false" ht="213.75" hidden="false" customHeight="true" outlineLevel="0" collapsed="false">
      <c r="A116" s="30" t="s">
        <v>6988</v>
      </c>
      <c r="B116" s="30" t="s">
        <v>6981</v>
      </c>
      <c r="C116" s="6" t="s">
        <v>6989</v>
      </c>
      <c r="D116" s="6" t="s">
        <v>6990</v>
      </c>
      <c r="E116" s="30" t="s">
        <v>6975</v>
      </c>
      <c r="F116" s="243" t="s">
        <v>6984</v>
      </c>
      <c r="G116" s="30" t="s">
        <v>6985</v>
      </c>
      <c r="H116" s="6" t="s">
        <v>6991</v>
      </c>
      <c r="I116" s="205" t="s">
        <v>6992</v>
      </c>
      <c r="J116" s="205" t="s">
        <v>782</v>
      </c>
    </row>
    <row r="117" customFormat="false" ht="213.75" hidden="false" customHeight="true" outlineLevel="0" collapsed="false">
      <c r="A117" s="30" t="s">
        <v>6993</v>
      </c>
      <c r="B117" s="30" t="s">
        <v>6994</v>
      </c>
      <c r="C117" s="6" t="s">
        <v>6995</v>
      </c>
      <c r="D117" s="6" t="s">
        <v>6996</v>
      </c>
      <c r="E117" s="30" t="s">
        <v>3944</v>
      </c>
      <c r="F117" s="243" t="s">
        <v>6984</v>
      </c>
      <c r="G117" s="30" t="s">
        <v>6997</v>
      </c>
      <c r="H117" s="6" t="s">
        <v>6998</v>
      </c>
      <c r="I117" s="205" t="s">
        <v>6999</v>
      </c>
      <c r="J117" s="205" t="s">
        <v>782</v>
      </c>
    </row>
    <row r="118" customFormat="false" ht="54.75" hidden="false" customHeight="true" outlineLevel="0" collapsed="false">
      <c r="A118" s="30" t="s">
        <v>7000</v>
      </c>
      <c r="B118" s="30" t="s">
        <v>7001</v>
      </c>
      <c r="C118" s="6" t="s">
        <v>7002</v>
      </c>
      <c r="D118" s="6" t="s">
        <v>7003</v>
      </c>
      <c r="E118" s="30" t="s">
        <v>3944</v>
      </c>
      <c r="F118" s="6" t="s">
        <v>7004</v>
      </c>
      <c r="G118" s="30" t="s">
        <v>7005</v>
      </c>
      <c r="H118" s="6" t="s">
        <v>7006</v>
      </c>
      <c r="I118" s="205" t="s">
        <v>7007</v>
      </c>
      <c r="J118" s="205" t="s">
        <v>782</v>
      </c>
    </row>
    <row r="119" customFormat="false" ht="54.75" hidden="false" customHeight="true" outlineLevel="0" collapsed="false">
      <c r="A119" s="30" t="s">
        <v>7008</v>
      </c>
      <c r="B119" s="30" t="s">
        <v>7001</v>
      </c>
      <c r="C119" s="6" t="s">
        <v>7009</v>
      </c>
      <c r="D119" s="243" t="s">
        <v>7010</v>
      </c>
      <c r="E119" s="30" t="s">
        <v>3944</v>
      </c>
      <c r="F119" s="6" t="s">
        <v>7004</v>
      </c>
      <c r="G119" s="30" t="s">
        <v>7005</v>
      </c>
      <c r="H119" s="6" t="s">
        <v>7011</v>
      </c>
      <c r="I119" s="205" t="s">
        <v>7007</v>
      </c>
      <c r="J119" s="205" t="s">
        <v>782</v>
      </c>
    </row>
    <row r="120" customFormat="false" ht="72" hidden="false" customHeight="true" outlineLevel="0" collapsed="false">
      <c r="A120" s="30" t="s">
        <v>7012</v>
      </c>
      <c r="B120" s="30" t="s">
        <v>7001</v>
      </c>
      <c r="C120" s="6" t="s">
        <v>7013</v>
      </c>
      <c r="D120" s="6" t="s">
        <v>7014</v>
      </c>
      <c r="E120" s="30" t="s">
        <v>3944</v>
      </c>
      <c r="F120" s="6" t="s">
        <v>7004</v>
      </c>
      <c r="G120" s="30" t="s">
        <v>7005</v>
      </c>
      <c r="H120" s="6" t="s">
        <v>7015</v>
      </c>
      <c r="I120" s="205" t="s">
        <v>7007</v>
      </c>
      <c r="J120" s="205" t="s">
        <v>782</v>
      </c>
    </row>
    <row r="121" customFormat="false" ht="54.75" hidden="false" customHeight="true" outlineLevel="0" collapsed="false">
      <c r="A121" s="30" t="s">
        <v>7016</v>
      </c>
      <c r="B121" s="30" t="s">
        <v>7001</v>
      </c>
      <c r="C121" s="6" t="s">
        <v>7017</v>
      </c>
      <c r="D121" s="243" t="s">
        <v>7018</v>
      </c>
      <c r="E121" s="30" t="s">
        <v>3944</v>
      </c>
      <c r="F121" s="6" t="s">
        <v>7004</v>
      </c>
      <c r="G121" s="30" t="s">
        <v>7005</v>
      </c>
      <c r="H121" s="6" t="s">
        <v>7019</v>
      </c>
      <c r="I121" s="205" t="s">
        <v>7007</v>
      </c>
      <c r="J121" s="205" t="s">
        <v>782</v>
      </c>
    </row>
    <row r="122" customFormat="false" ht="54.75" hidden="false" customHeight="true" outlineLevel="0" collapsed="false">
      <c r="A122" s="30" t="s">
        <v>7020</v>
      </c>
      <c r="B122" s="30" t="s">
        <v>7001</v>
      </c>
      <c r="C122" s="6" t="s">
        <v>7021</v>
      </c>
      <c r="D122" s="6" t="s">
        <v>7022</v>
      </c>
      <c r="E122" s="30" t="s">
        <v>3944</v>
      </c>
      <c r="F122" s="6" t="s">
        <v>7004</v>
      </c>
      <c r="G122" s="30" t="s">
        <v>7005</v>
      </c>
      <c r="H122" s="6" t="s">
        <v>7023</v>
      </c>
      <c r="I122" s="205" t="s">
        <v>7007</v>
      </c>
      <c r="J122" s="205" t="s">
        <v>782</v>
      </c>
    </row>
    <row r="123" customFormat="false" ht="54.75" hidden="false" customHeight="true" outlineLevel="0" collapsed="false">
      <c r="A123" s="30" t="s">
        <v>7024</v>
      </c>
      <c r="B123" s="30" t="s">
        <v>7001</v>
      </c>
      <c r="C123" s="6" t="s">
        <v>7025</v>
      </c>
      <c r="D123" s="6" t="s">
        <v>7026</v>
      </c>
      <c r="E123" s="30" t="s">
        <v>3944</v>
      </c>
      <c r="F123" s="6" t="s">
        <v>7004</v>
      </c>
      <c r="G123" s="30" t="s">
        <v>7005</v>
      </c>
      <c r="H123" s="6" t="s">
        <v>7027</v>
      </c>
      <c r="I123" s="205" t="s">
        <v>7007</v>
      </c>
      <c r="J123" s="205" t="s">
        <v>782</v>
      </c>
    </row>
    <row r="124" customFormat="false" ht="54.75" hidden="false" customHeight="true" outlineLevel="0" collapsed="false">
      <c r="A124" s="30" t="s">
        <v>7028</v>
      </c>
      <c r="B124" s="30" t="s">
        <v>7001</v>
      </c>
      <c r="C124" s="6" t="s">
        <v>7029</v>
      </c>
      <c r="D124" s="243" t="s">
        <v>7030</v>
      </c>
      <c r="E124" s="30" t="s">
        <v>3944</v>
      </c>
      <c r="F124" s="6" t="s">
        <v>7004</v>
      </c>
      <c r="G124" s="30" t="s">
        <v>7005</v>
      </c>
      <c r="H124" s="6" t="s">
        <v>7031</v>
      </c>
      <c r="I124" s="205" t="s">
        <v>7007</v>
      </c>
      <c r="J124" s="205" t="s">
        <v>782</v>
      </c>
    </row>
    <row r="125" customFormat="false" ht="57.75" hidden="false" customHeight="true" outlineLevel="0" collapsed="false">
      <c r="A125" s="30" t="s">
        <v>7032</v>
      </c>
      <c r="B125" s="30" t="s">
        <v>7001</v>
      </c>
      <c r="C125" s="6" t="s">
        <v>7033</v>
      </c>
      <c r="D125" s="243" t="s">
        <v>7034</v>
      </c>
      <c r="E125" s="30" t="s">
        <v>3944</v>
      </c>
      <c r="F125" s="6" t="s">
        <v>7004</v>
      </c>
      <c r="G125" s="30" t="s">
        <v>7005</v>
      </c>
      <c r="H125" s="6" t="s">
        <v>7035</v>
      </c>
      <c r="I125" s="205" t="s">
        <v>7007</v>
      </c>
      <c r="J125" s="205" t="s">
        <v>782</v>
      </c>
    </row>
    <row r="126" customFormat="false" ht="54.75" hidden="false" customHeight="true" outlineLevel="0" collapsed="false">
      <c r="A126" s="30" t="s">
        <v>7036</v>
      </c>
      <c r="B126" s="30" t="s">
        <v>7001</v>
      </c>
      <c r="C126" s="6" t="s">
        <v>7037</v>
      </c>
      <c r="D126" s="6" t="s">
        <v>7038</v>
      </c>
      <c r="E126" s="30" t="s">
        <v>3944</v>
      </c>
      <c r="F126" s="6" t="s">
        <v>7004</v>
      </c>
      <c r="G126" s="30" t="s">
        <v>7005</v>
      </c>
      <c r="H126" s="6" t="s">
        <v>7039</v>
      </c>
      <c r="I126" s="205" t="s">
        <v>7007</v>
      </c>
      <c r="J126" s="205" t="s">
        <v>782</v>
      </c>
    </row>
    <row r="127" customFormat="false" ht="54.75" hidden="false" customHeight="true" outlineLevel="0" collapsed="false">
      <c r="A127" s="30" t="s">
        <v>7040</v>
      </c>
      <c r="B127" s="30" t="s">
        <v>7001</v>
      </c>
      <c r="C127" s="6" t="s">
        <v>7041</v>
      </c>
      <c r="D127" s="243" t="s">
        <v>7042</v>
      </c>
      <c r="E127" s="30" t="s">
        <v>3944</v>
      </c>
      <c r="F127" s="6" t="s">
        <v>7004</v>
      </c>
      <c r="G127" s="30" t="s">
        <v>7005</v>
      </c>
      <c r="H127" s="243" t="s">
        <v>7043</v>
      </c>
      <c r="I127" s="205" t="s">
        <v>7007</v>
      </c>
      <c r="J127" s="205" t="s">
        <v>782</v>
      </c>
    </row>
    <row r="128" customFormat="false" ht="114.75" hidden="false" customHeight="true" outlineLevel="0" collapsed="false">
      <c r="A128" s="30" t="s">
        <v>7044</v>
      </c>
      <c r="B128" s="30" t="s">
        <v>7001</v>
      </c>
      <c r="C128" s="6" t="s">
        <v>7045</v>
      </c>
      <c r="D128" s="243" t="s">
        <v>7046</v>
      </c>
      <c r="E128" s="30" t="s">
        <v>3944</v>
      </c>
      <c r="F128" s="6" t="s">
        <v>7047</v>
      </c>
      <c r="G128" s="30" t="s">
        <v>7005</v>
      </c>
      <c r="H128" s="6" t="s">
        <v>7048</v>
      </c>
      <c r="I128" s="205" t="s">
        <v>7007</v>
      </c>
      <c r="J128" s="205" t="s">
        <v>782</v>
      </c>
    </row>
    <row r="129" customFormat="false" ht="43.5" hidden="false" customHeight="true" outlineLevel="0" collapsed="false">
      <c r="A129" s="30" t="s">
        <v>7049</v>
      </c>
      <c r="B129" s="30" t="s">
        <v>7001</v>
      </c>
      <c r="C129" s="6" t="s">
        <v>7050</v>
      </c>
      <c r="D129" s="6" t="s">
        <v>7051</v>
      </c>
      <c r="E129" s="30" t="s">
        <v>3944</v>
      </c>
      <c r="F129" s="6" t="s">
        <v>7047</v>
      </c>
      <c r="G129" s="30" t="s">
        <v>7005</v>
      </c>
      <c r="H129" s="6" t="s">
        <v>7052</v>
      </c>
      <c r="I129" s="205" t="s">
        <v>7007</v>
      </c>
      <c r="J129" s="205" t="s">
        <v>782</v>
      </c>
    </row>
    <row r="130" customFormat="false" ht="69" hidden="false" customHeight="true" outlineLevel="0" collapsed="false">
      <c r="A130" s="30" t="s">
        <v>6196</v>
      </c>
      <c r="B130" s="30" t="s">
        <v>7001</v>
      </c>
      <c r="C130" s="6" t="s">
        <v>7053</v>
      </c>
      <c r="D130" s="6" t="s">
        <v>7054</v>
      </c>
      <c r="E130" s="30" t="s">
        <v>3944</v>
      </c>
      <c r="F130" s="6" t="s">
        <v>7047</v>
      </c>
      <c r="G130" s="30" t="s">
        <v>7055</v>
      </c>
      <c r="H130" s="6" t="s">
        <v>7056</v>
      </c>
      <c r="I130" s="205" t="s">
        <v>7007</v>
      </c>
      <c r="J130" s="205" t="s">
        <v>782</v>
      </c>
    </row>
    <row r="131" customFormat="false" ht="54.75" hidden="false" customHeight="true" outlineLevel="0" collapsed="false">
      <c r="A131" s="30" t="s">
        <v>5325</v>
      </c>
      <c r="B131" s="30" t="s">
        <v>7001</v>
      </c>
      <c r="C131" s="6" t="s">
        <v>7057</v>
      </c>
      <c r="D131" s="6" t="s">
        <v>7058</v>
      </c>
      <c r="E131" s="30" t="s">
        <v>3944</v>
      </c>
      <c r="F131" s="6" t="s">
        <v>7004</v>
      </c>
      <c r="G131" s="30" t="s">
        <v>7005</v>
      </c>
      <c r="H131" s="6" t="s">
        <v>7059</v>
      </c>
      <c r="I131" s="205" t="s">
        <v>7060</v>
      </c>
      <c r="J131" s="205" t="s">
        <v>782</v>
      </c>
    </row>
    <row r="132" customFormat="false" ht="86.25" hidden="false" customHeight="true" outlineLevel="0" collapsed="false">
      <c r="A132" s="30" t="s">
        <v>7061</v>
      </c>
      <c r="B132" s="30" t="s">
        <v>7062</v>
      </c>
      <c r="C132" s="6" t="s">
        <v>7063</v>
      </c>
      <c r="D132" s="6" t="s">
        <v>7064</v>
      </c>
      <c r="E132" s="30" t="s">
        <v>3944</v>
      </c>
      <c r="F132" s="6" t="s">
        <v>7065</v>
      </c>
      <c r="G132" s="30" t="s">
        <v>7066</v>
      </c>
      <c r="H132" s="6" t="s">
        <v>7067</v>
      </c>
      <c r="I132" s="205" t="s">
        <v>7068</v>
      </c>
      <c r="J132" s="205" t="s">
        <v>782</v>
      </c>
    </row>
    <row r="133" customFormat="false" ht="57.75" hidden="false" customHeight="true" outlineLevel="0" collapsed="false">
      <c r="A133" s="30" t="s">
        <v>7069</v>
      </c>
      <c r="B133" s="30" t="s">
        <v>7062</v>
      </c>
      <c r="C133" s="6" t="s">
        <v>7070</v>
      </c>
      <c r="D133" s="6" t="s">
        <v>7071</v>
      </c>
      <c r="E133" s="30" t="s">
        <v>3944</v>
      </c>
      <c r="F133" s="6" t="s">
        <v>7065</v>
      </c>
      <c r="G133" s="30" t="s">
        <v>7066</v>
      </c>
      <c r="H133" s="6" t="s">
        <v>7072</v>
      </c>
      <c r="I133" s="205" t="s">
        <v>7073</v>
      </c>
      <c r="J133" s="205" t="s">
        <v>782</v>
      </c>
    </row>
    <row r="134" customFormat="false" ht="57.75" hidden="false" customHeight="true" outlineLevel="0" collapsed="false">
      <c r="A134" s="30" t="s">
        <v>7074</v>
      </c>
      <c r="B134" s="30" t="s">
        <v>7062</v>
      </c>
      <c r="C134" s="6" t="s">
        <v>7075</v>
      </c>
      <c r="D134" s="6" t="s">
        <v>7076</v>
      </c>
      <c r="E134" s="30" t="s">
        <v>3944</v>
      </c>
      <c r="F134" s="6" t="s">
        <v>7065</v>
      </c>
      <c r="G134" s="30" t="s">
        <v>7066</v>
      </c>
      <c r="H134" s="6" t="s">
        <v>7077</v>
      </c>
      <c r="I134" s="205" t="s">
        <v>7078</v>
      </c>
      <c r="J134" s="205" t="s">
        <v>782</v>
      </c>
    </row>
    <row r="135" customFormat="false" ht="72" hidden="false" customHeight="true" outlineLevel="0" collapsed="false">
      <c r="A135" s="30" t="s">
        <v>4757</v>
      </c>
      <c r="B135" s="30" t="s">
        <v>7079</v>
      </c>
      <c r="C135" s="6" t="s">
        <v>7080</v>
      </c>
      <c r="D135" s="6" t="s">
        <v>7081</v>
      </c>
      <c r="E135" s="30" t="s">
        <v>3944</v>
      </c>
      <c r="F135" s="6" t="s">
        <v>7082</v>
      </c>
      <c r="G135" s="30" t="s">
        <v>7083</v>
      </c>
      <c r="H135" s="6" t="s">
        <v>7084</v>
      </c>
      <c r="I135" s="205" t="s">
        <v>7085</v>
      </c>
      <c r="J135" s="205" t="s">
        <v>782</v>
      </c>
    </row>
    <row r="136" customFormat="false" ht="72" hidden="false" customHeight="true" outlineLevel="0" collapsed="false">
      <c r="A136" s="30" t="s">
        <v>4620</v>
      </c>
      <c r="B136" s="30" t="s">
        <v>7079</v>
      </c>
      <c r="C136" s="6" t="s">
        <v>7086</v>
      </c>
      <c r="D136" s="6" t="s">
        <v>7087</v>
      </c>
      <c r="E136" s="30" t="s">
        <v>3944</v>
      </c>
      <c r="F136" s="6" t="s">
        <v>7082</v>
      </c>
      <c r="G136" s="30" t="s">
        <v>7083</v>
      </c>
      <c r="H136" s="6" t="s">
        <v>7088</v>
      </c>
      <c r="I136" s="205" t="s">
        <v>7089</v>
      </c>
      <c r="J136" s="205" t="s">
        <v>782</v>
      </c>
    </row>
    <row r="137" customFormat="false" ht="43.5" hidden="false" customHeight="true" outlineLevel="0" collapsed="false">
      <c r="A137" s="30" t="s">
        <v>6217</v>
      </c>
      <c r="B137" s="30" t="s">
        <v>7079</v>
      </c>
      <c r="C137" s="6" t="s">
        <v>7090</v>
      </c>
      <c r="D137" s="6" t="s">
        <v>7091</v>
      </c>
      <c r="E137" s="30" t="s">
        <v>3944</v>
      </c>
      <c r="F137" s="6" t="s">
        <v>7082</v>
      </c>
      <c r="G137" s="30" t="s">
        <v>7083</v>
      </c>
      <c r="H137" s="6" t="s">
        <v>7092</v>
      </c>
      <c r="I137" s="205" t="s">
        <v>7089</v>
      </c>
      <c r="J137" s="205" t="s">
        <v>782</v>
      </c>
    </row>
    <row r="138" customFormat="false" ht="57.75" hidden="false" customHeight="true" outlineLevel="0" collapsed="false">
      <c r="A138" s="30" t="s">
        <v>7093</v>
      </c>
      <c r="B138" s="30" t="s">
        <v>7079</v>
      </c>
      <c r="C138" s="6" t="s">
        <v>7094</v>
      </c>
      <c r="D138" s="6" t="s">
        <v>7095</v>
      </c>
      <c r="E138" s="30" t="s">
        <v>3944</v>
      </c>
      <c r="F138" s="6" t="s">
        <v>7082</v>
      </c>
      <c r="G138" s="30" t="s">
        <v>7083</v>
      </c>
      <c r="H138" s="6" t="s">
        <v>7096</v>
      </c>
      <c r="I138" s="205" t="s">
        <v>7097</v>
      </c>
      <c r="J138" s="205" t="s">
        <v>782</v>
      </c>
    </row>
    <row r="139" customFormat="false" ht="57.75" hidden="false" customHeight="true" outlineLevel="0" collapsed="false">
      <c r="A139" s="30" t="s">
        <v>7098</v>
      </c>
      <c r="B139" s="30" t="s">
        <v>7079</v>
      </c>
      <c r="C139" s="6" t="s">
        <v>7099</v>
      </c>
      <c r="D139" s="243" t="s">
        <v>7100</v>
      </c>
      <c r="E139" s="30" t="s">
        <v>3944</v>
      </c>
      <c r="F139" s="6" t="s">
        <v>7082</v>
      </c>
      <c r="G139" s="30" t="s">
        <v>7083</v>
      </c>
      <c r="H139" s="6" t="s">
        <v>7101</v>
      </c>
      <c r="I139" s="205" t="s">
        <v>7102</v>
      </c>
      <c r="J139" s="205" t="s">
        <v>782</v>
      </c>
    </row>
    <row r="140" customFormat="false" ht="143.25" hidden="false" customHeight="true" outlineLevel="0" collapsed="false">
      <c r="A140" s="30" t="s">
        <v>6246</v>
      </c>
      <c r="B140" s="30" t="s">
        <v>7103</v>
      </c>
      <c r="C140" s="6" t="s">
        <v>7104</v>
      </c>
      <c r="D140" s="6" t="s">
        <v>7105</v>
      </c>
      <c r="E140" s="30" t="s">
        <v>7106</v>
      </c>
      <c r="F140" s="6" t="s">
        <v>7107</v>
      </c>
      <c r="G140" s="30" t="s">
        <v>7108</v>
      </c>
      <c r="H140" s="6" t="s">
        <v>7109</v>
      </c>
      <c r="I140" s="205" t="s">
        <v>7110</v>
      </c>
      <c r="J140" s="205" t="s">
        <v>782</v>
      </c>
    </row>
    <row r="141" customFormat="false" ht="143.25" hidden="false" customHeight="true" outlineLevel="0" collapsed="false">
      <c r="A141" s="30" t="s">
        <v>7111</v>
      </c>
      <c r="B141" s="30" t="s">
        <v>7103</v>
      </c>
      <c r="C141" s="6" t="s">
        <v>7112</v>
      </c>
      <c r="D141" s="243" t="s">
        <v>7113</v>
      </c>
      <c r="E141" s="30" t="s">
        <v>7106</v>
      </c>
      <c r="F141" s="6" t="s">
        <v>7107</v>
      </c>
      <c r="G141" s="30" t="s">
        <v>7108</v>
      </c>
      <c r="H141" s="6" t="s">
        <v>7114</v>
      </c>
      <c r="I141" s="205" t="s">
        <v>7115</v>
      </c>
      <c r="J141" s="205" t="s">
        <v>782</v>
      </c>
    </row>
    <row r="142" customFormat="false" ht="143.25" hidden="false" customHeight="true" outlineLevel="0" collapsed="false">
      <c r="A142" s="30" t="s">
        <v>7116</v>
      </c>
      <c r="B142" s="30" t="s">
        <v>7103</v>
      </c>
      <c r="C142" s="6" t="s">
        <v>7117</v>
      </c>
      <c r="D142" s="6" t="s">
        <v>7118</v>
      </c>
      <c r="E142" s="30" t="s">
        <v>7106</v>
      </c>
      <c r="F142" s="6" t="s">
        <v>7107</v>
      </c>
      <c r="G142" s="30" t="s">
        <v>7108</v>
      </c>
      <c r="H142" s="6" t="s">
        <v>7119</v>
      </c>
      <c r="I142" s="205" t="s">
        <v>7120</v>
      </c>
      <c r="J142" s="205" t="s">
        <v>782</v>
      </c>
    </row>
    <row r="143" customFormat="false" ht="143.25" hidden="false" customHeight="true" outlineLevel="0" collapsed="false">
      <c r="A143" s="30" t="s">
        <v>7121</v>
      </c>
      <c r="B143" s="30" t="s">
        <v>7103</v>
      </c>
      <c r="C143" s="6" t="s">
        <v>7122</v>
      </c>
      <c r="D143" s="243" t="s">
        <v>7123</v>
      </c>
      <c r="E143" s="30" t="s">
        <v>7106</v>
      </c>
      <c r="F143" s="6" t="s">
        <v>7107</v>
      </c>
      <c r="G143" s="30" t="s">
        <v>7108</v>
      </c>
      <c r="H143" s="243" t="s">
        <v>7124</v>
      </c>
      <c r="I143" s="205" t="s">
        <v>7125</v>
      </c>
      <c r="J143" s="205" t="s">
        <v>782</v>
      </c>
    </row>
    <row r="144" customFormat="false" ht="143.25" hidden="false" customHeight="true" outlineLevel="0" collapsed="false">
      <c r="A144" s="30" t="s">
        <v>7126</v>
      </c>
      <c r="B144" s="30" t="s">
        <v>7103</v>
      </c>
      <c r="C144" s="6" t="s">
        <v>7127</v>
      </c>
      <c r="D144" s="243" t="s">
        <v>7128</v>
      </c>
      <c r="E144" s="30" t="s">
        <v>7106</v>
      </c>
      <c r="F144" s="6" t="s">
        <v>7107</v>
      </c>
      <c r="G144" s="30" t="s">
        <v>7108</v>
      </c>
      <c r="H144" s="6" t="s">
        <v>7129</v>
      </c>
      <c r="I144" s="205" t="s">
        <v>7115</v>
      </c>
      <c r="J144" s="205" t="s">
        <v>782</v>
      </c>
    </row>
    <row r="145" customFormat="false" ht="143.25" hidden="false" customHeight="true" outlineLevel="0" collapsed="false">
      <c r="A145" s="30" t="s">
        <v>7130</v>
      </c>
      <c r="B145" s="30" t="s">
        <v>7103</v>
      </c>
      <c r="C145" s="6" t="s">
        <v>7131</v>
      </c>
      <c r="D145" s="6" t="s">
        <v>7132</v>
      </c>
      <c r="E145" s="30" t="s">
        <v>7106</v>
      </c>
      <c r="F145" s="6" t="s">
        <v>7107</v>
      </c>
      <c r="G145" s="30" t="s">
        <v>7108</v>
      </c>
      <c r="H145" s="6" t="s">
        <v>7133</v>
      </c>
      <c r="I145" s="205" t="s">
        <v>7134</v>
      </c>
      <c r="J145" s="205" t="s">
        <v>782</v>
      </c>
    </row>
    <row r="146" customFormat="false" ht="143.25" hidden="false" customHeight="true" outlineLevel="0" collapsed="false">
      <c r="A146" s="30" t="s">
        <v>7135</v>
      </c>
      <c r="B146" s="30" t="s">
        <v>7136</v>
      </c>
      <c r="C146" s="6" t="s">
        <v>7137</v>
      </c>
      <c r="D146" s="243" t="s">
        <v>7138</v>
      </c>
      <c r="E146" s="30" t="s">
        <v>7139</v>
      </c>
      <c r="F146" s="6" t="s">
        <v>7140</v>
      </c>
      <c r="G146" s="30" t="s">
        <v>7141</v>
      </c>
      <c r="H146" s="6" t="s">
        <v>7142</v>
      </c>
      <c r="I146" s="205" t="s">
        <v>7143</v>
      </c>
      <c r="J146" s="205" t="s">
        <v>782</v>
      </c>
    </row>
    <row r="147" customFormat="false" ht="143.25" hidden="false" customHeight="true" outlineLevel="0" collapsed="false">
      <c r="A147" s="30" t="s">
        <v>7144</v>
      </c>
      <c r="B147" s="30" t="s">
        <v>7136</v>
      </c>
      <c r="C147" s="6" t="s">
        <v>7145</v>
      </c>
      <c r="D147" s="6" t="s">
        <v>7146</v>
      </c>
      <c r="E147" s="30" t="s">
        <v>7139</v>
      </c>
      <c r="F147" s="6" t="s">
        <v>7140</v>
      </c>
      <c r="G147" s="30" t="s">
        <v>7141</v>
      </c>
      <c r="H147" s="6" t="s">
        <v>7147</v>
      </c>
      <c r="I147" s="205" t="s">
        <v>7148</v>
      </c>
      <c r="J147" s="205" t="s">
        <v>782</v>
      </c>
    </row>
    <row r="148" customFormat="false" ht="143.25" hidden="false" customHeight="true" outlineLevel="0" collapsed="false">
      <c r="A148" s="30" t="s">
        <v>7149</v>
      </c>
      <c r="B148" s="30" t="s">
        <v>7136</v>
      </c>
      <c r="C148" s="6" t="s">
        <v>7150</v>
      </c>
      <c r="D148" s="6" t="s">
        <v>7151</v>
      </c>
      <c r="E148" s="30" t="s">
        <v>7139</v>
      </c>
      <c r="F148" s="6" t="s">
        <v>7140</v>
      </c>
      <c r="G148" s="30" t="s">
        <v>7141</v>
      </c>
      <c r="H148" s="6" t="s">
        <v>7152</v>
      </c>
      <c r="I148" s="205" t="s">
        <v>7148</v>
      </c>
      <c r="J148" s="205" t="s">
        <v>782</v>
      </c>
    </row>
    <row r="149" customFormat="false" ht="143.25" hidden="false" customHeight="true" outlineLevel="0" collapsed="false">
      <c r="A149" s="30" t="s">
        <v>7153</v>
      </c>
      <c r="B149" s="30" t="s">
        <v>7136</v>
      </c>
      <c r="C149" s="6" t="s">
        <v>7154</v>
      </c>
      <c r="D149" s="6" t="s">
        <v>7155</v>
      </c>
      <c r="E149" s="30" t="s">
        <v>7139</v>
      </c>
      <c r="F149" s="6" t="s">
        <v>7140</v>
      </c>
      <c r="G149" s="30" t="s">
        <v>7141</v>
      </c>
      <c r="H149" s="6" t="s">
        <v>7156</v>
      </c>
      <c r="I149" s="205" t="s">
        <v>7157</v>
      </c>
      <c r="J149" s="205" t="s">
        <v>782</v>
      </c>
    </row>
    <row r="150" customFormat="false" ht="143.25" hidden="false" customHeight="true" outlineLevel="0" collapsed="false">
      <c r="A150" s="30" t="s">
        <v>6266</v>
      </c>
      <c r="B150" s="30" t="s">
        <v>7136</v>
      </c>
      <c r="C150" s="6" t="s">
        <v>7158</v>
      </c>
      <c r="D150" s="243" t="s">
        <v>7159</v>
      </c>
      <c r="E150" s="30" t="s">
        <v>7139</v>
      </c>
      <c r="F150" s="6" t="s">
        <v>7140</v>
      </c>
      <c r="G150" s="30" t="s">
        <v>7141</v>
      </c>
      <c r="H150" s="6" t="s">
        <v>7160</v>
      </c>
      <c r="I150" s="205" t="s">
        <v>7161</v>
      </c>
      <c r="J150" s="205" t="s">
        <v>782</v>
      </c>
    </row>
    <row r="151" customFormat="false" ht="143.25" hidden="false" customHeight="true" outlineLevel="0" collapsed="false">
      <c r="A151" s="30" t="s">
        <v>7162</v>
      </c>
      <c r="B151" s="30" t="s">
        <v>7136</v>
      </c>
      <c r="C151" s="6" t="s">
        <v>7163</v>
      </c>
      <c r="D151" s="243" t="s">
        <v>7164</v>
      </c>
      <c r="E151" s="30" t="s">
        <v>7139</v>
      </c>
      <c r="F151" s="6" t="s">
        <v>7140</v>
      </c>
      <c r="G151" s="30" t="s">
        <v>7141</v>
      </c>
      <c r="H151" s="6" t="s">
        <v>7165</v>
      </c>
      <c r="I151" s="205" t="s">
        <v>7157</v>
      </c>
      <c r="J151" s="205" t="s">
        <v>782</v>
      </c>
    </row>
    <row r="152" customFormat="false" ht="143.25" hidden="false" customHeight="true" outlineLevel="0" collapsed="false">
      <c r="A152" s="30" t="s">
        <v>7166</v>
      </c>
      <c r="B152" s="30" t="s">
        <v>7136</v>
      </c>
      <c r="C152" s="6" t="s">
        <v>7167</v>
      </c>
      <c r="D152" s="6" t="s">
        <v>7168</v>
      </c>
      <c r="E152" s="30" t="s">
        <v>7139</v>
      </c>
      <c r="F152" s="6" t="s">
        <v>7140</v>
      </c>
      <c r="G152" s="30" t="s">
        <v>7141</v>
      </c>
      <c r="H152" s="6" t="s">
        <v>7169</v>
      </c>
      <c r="I152" s="205" t="s">
        <v>7157</v>
      </c>
      <c r="J152" s="205" t="s">
        <v>782</v>
      </c>
    </row>
    <row r="153" customFormat="false" ht="143.25" hidden="false" customHeight="true" outlineLevel="0" collapsed="false">
      <c r="A153" s="30" t="s">
        <v>7170</v>
      </c>
      <c r="B153" s="30" t="s">
        <v>7136</v>
      </c>
      <c r="C153" s="6" t="s">
        <v>7171</v>
      </c>
      <c r="D153" s="6" t="s">
        <v>7172</v>
      </c>
      <c r="E153" s="30" t="s">
        <v>7139</v>
      </c>
      <c r="F153" s="6" t="s">
        <v>7140</v>
      </c>
      <c r="G153" s="30" t="s">
        <v>7141</v>
      </c>
      <c r="H153" s="6" t="s">
        <v>7173</v>
      </c>
      <c r="I153" s="205" t="s">
        <v>7174</v>
      </c>
      <c r="J153" s="205" t="s">
        <v>782</v>
      </c>
    </row>
    <row r="154" customFormat="false" ht="199.5" hidden="false" customHeight="true" outlineLevel="0" collapsed="false">
      <c r="A154" s="30" t="s">
        <v>7175</v>
      </c>
      <c r="B154" s="30" t="s">
        <v>7176</v>
      </c>
      <c r="C154" s="6" t="s">
        <v>7177</v>
      </c>
      <c r="D154" s="6" t="s">
        <v>7178</v>
      </c>
      <c r="E154" s="30" t="s">
        <v>7179</v>
      </c>
      <c r="F154" s="6" t="s">
        <v>7180</v>
      </c>
      <c r="G154" s="30" t="s">
        <v>7181</v>
      </c>
      <c r="H154" s="6" t="s">
        <v>7182</v>
      </c>
      <c r="I154" s="205" t="s">
        <v>7183</v>
      </c>
      <c r="J154" s="205" t="s">
        <v>782</v>
      </c>
    </row>
    <row r="155" customFormat="false" ht="199.5" hidden="false" customHeight="true" outlineLevel="0" collapsed="false">
      <c r="A155" s="30" t="s">
        <v>7184</v>
      </c>
      <c r="B155" s="30" t="s">
        <v>7176</v>
      </c>
      <c r="C155" s="6" t="s">
        <v>7185</v>
      </c>
      <c r="D155" s="243" t="s">
        <v>7186</v>
      </c>
      <c r="E155" s="30" t="s">
        <v>7179</v>
      </c>
      <c r="F155" s="6" t="s">
        <v>7180</v>
      </c>
      <c r="G155" s="30" t="s">
        <v>7181</v>
      </c>
      <c r="H155" s="6" t="s">
        <v>7187</v>
      </c>
      <c r="I155" s="205" t="s">
        <v>7188</v>
      </c>
      <c r="J155" s="205" t="s">
        <v>782</v>
      </c>
    </row>
    <row r="156" customFormat="false" ht="199.5" hidden="false" customHeight="true" outlineLevel="0" collapsed="false">
      <c r="A156" s="30" t="s">
        <v>6302</v>
      </c>
      <c r="B156" s="30" t="s">
        <v>7176</v>
      </c>
      <c r="C156" s="6" t="s">
        <v>7189</v>
      </c>
      <c r="D156" s="6" t="s">
        <v>7190</v>
      </c>
      <c r="E156" s="30" t="s">
        <v>7179</v>
      </c>
      <c r="F156" s="6" t="s">
        <v>7180</v>
      </c>
      <c r="G156" s="30" t="s">
        <v>7181</v>
      </c>
      <c r="H156" s="6" t="s">
        <v>7191</v>
      </c>
      <c r="I156" s="205" t="s">
        <v>7192</v>
      </c>
      <c r="J156" s="205" t="s">
        <v>782</v>
      </c>
    </row>
    <row r="157" customFormat="false" ht="199.5" hidden="false" customHeight="true" outlineLevel="0" collapsed="false">
      <c r="A157" s="30" t="s">
        <v>6277</v>
      </c>
      <c r="B157" s="30" t="s">
        <v>7176</v>
      </c>
      <c r="C157" s="6" t="s">
        <v>7193</v>
      </c>
      <c r="D157" s="6" t="s">
        <v>7194</v>
      </c>
      <c r="E157" s="30" t="s">
        <v>7179</v>
      </c>
      <c r="F157" s="6" t="s">
        <v>7180</v>
      </c>
      <c r="G157" s="30" t="s">
        <v>7181</v>
      </c>
      <c r="H157" s="6" t="s">
        <v>7195</v>
      </c>
      <c r="I157" s="205" t="s">
        <v>7196</v>
      </c>
      <c r="J157" s="205" t="s">
        <v>782</v>
      </c>
    </row>
    <row r="158" customFormat="false" ht="199.5" hidden="false" customHeight="true" outlineLevel="0" collapsed="false">
      <c r="A158" s="30" t="s">
        <v>6286</v>
      </c>
      <c r="B158" s="30" t="s">
        <v>7176</v>
      </c>
      <c r="C158" s="6" t="s">
        <v>7197</v>
      </c>
      <c r="D158" s="243" t="s">
        <v>7198</v>
      </c>
      <c r="E158" s="30" t="s">
        <v>7179</v>
      </c>
      <c r="F158" s="6" t="s">
        <v>7180</v>
      </c>
      <c r="G158" s="30" t="s">
        <v>7181</v>
      </c>
      <c r="H158" s="6" t="s">
        <v>7199</v>
      </c>
      <c r="I158" s="205" t="s">
        <v>7200</v>
      </c>
      <c r="J158" s="205" t="s">
        <v>782</v>
      </c>
    </row>
    <row r="159" customFormat="false" ht="199.5" hidden="false" customHeight="true" outlineLevel="0" collapsed="false">
      <c r="A159" s="30" t="s">
        <v>7201</v>
      </c>
      <c r="B159" s="30" t="s">
        <v>7176</v>
      </c>
      <c r="C159" s="6" t="s">
        <v>7202</v>
      </c>
      <c r="D159" s="243" t="s">
        <v>7203</v>
      </c>
      <c r="E159" s="30" t="s">
        <v>7179</v>
      </c>
      <c r="F159" s="6" t="s">
        <v>7180</v>
      </c>
      <c r="G159" s="30" t="s">
        <v>7181</v>
      </c>
      <c r="H159" s="6" t="s">
        <v>7204</v>
      </c>
      <c r="I159" s="205" t="s">
        <v>7205</v>
      </c>
      <c r="J159" s="205" t="s">
        <v>782</v>
      </c>
    </row>
    <row r="160" customFormat="false" ht="199.5" hidden="false" customHeight="true" outlineLevel="0" collapsed="false">
      <c r="A160" s="30" t="s">
        <v>7206</v>
      </c>
      <c r="B160" s="30" t="s">
        <v>7176</v>
      </c>
      <c r="C160" s="6" t="s">
        <v>7207</v>
      </c>
      <c r="D160" s="243" t="s">
        <v>7208</v>
      </c>
      <c r="E160" s="30" t="s">
        <v>7179</v>
      </c>
      <c r="F160" s="6" t="s">
        <v>7180</v>
      </c>
      <c r="G160" s="30" t="s">
        <v>7181</v>
      </c>
      <c r="H160" s="6" t="s">
        <v>7209</v>
      </c>
      <c r="I160" s="205" t="s">
        <v>7200</v>
      </c>
      <c r="J160" s="205" t="s">
        <v>782</v>
      </c>
    </row>
    <row r="161" customFormat="false" ht="129" hidden="false" customHeight="true" outlineLevel="0" collapsed="false">
      <c r="A161" s="30" t="s">
        <v>6370</v>
      </c>
      <c r="B161" s="30" t="s">
        <v>7210</v>
      </c>
      <c r="C161" s="6" t="s">
        <v>7211</v>
      </c>
      <c r="D161" s="243" t="s">
        <v>7212</v>
      </c>
      <c r="E161" s="30" t="s">
        <v>7179</v>
      </c>
      <c r="F161" s="6" t="s">
        <v>7213</v>
      </c>
      <c r="G161" s="30" t="s">
        <v>7214</v>
      </c>
      <c r="H161" s="6" t="s">
        <v>7215</v>
      </c>
      <c r="I161" s="205" t="s">
        <v>7216</v>
      </c>
      <c r="J161" s="205" t="s">
        <v>782</v>
      </c>
    </row>
    <row r="162" customFormat="false" ht="129" hidden="false" customHeight="true" outlineLevel="0" collapsed="false">
      <c r="A162" s="30" t="s">
        <v>6398</v>
      </c>
      <c r="B162" s="30" t="s">
        <v>7210</v>
      </c>
      <c r="C162" s="6" t="s">
        <v>7217</v>
      </c>
      <c r="D162" s="6" t="s">
        <v>7218</v>
      </c>
      <c r="E162" s="30" t="s">
        <v>7179</v>
      </c>
      <c r="F162" s="6" t="s">
        <v>7213</v>
      </c>
      <c r="G162" s="30" t="s">
        <v>7214</v>
      </c>
      <c r="H162" s="6" t="s">
        <v>7219</v>
      </c>
      <c r="I162" s="205" t="s">
        <v>7220</v>
      </c>
      <c r="J162" s="205" t="s">
        <v>782</v>
      </c>
    </row>
    <row r="163" customFormat="false" ht="143.25" hidden="false" customHeight="true" outlineLevel="0" collapsed="false">
      <c r="A163" s="30" t="s">
        <v>7221</v>
      </c>
      <c r="B163" s="30" t="s">
        <v>7210</v>
      </c>
      <c r="C163" s="6" t="s">
        <v>7222</v>
      </c>
      <c r="D163" s="6" t="s">
        <v>7223</v>
      </c>
      <c r="E163" s="30" t="s">
        <v>7179</v>
      </c>
      <c r="F163" s="6" t="s">
        <v>7213</v>
      </c>
      <c r="G163" s="30" t="s">
        <v>7214</v>
      </c>
      <c r="H163" s="6" t="s">
        <v>7224</v>
      </c>
      <c r="I163" s="205" t="s">
        <v>7225</v>
      </c>
      <c r="J163" s="205" t="s">
        <v>782</v>
      </c>
    </row>
    <row r="164" customFormat="false" ht="143.25" hidden="false" customHeight="true" outlineLevel="0" collapsed="false">
      <c r="A164" s="30" t="s">
        <v>7226</v>
      </c>
      <c r="B164" s="30" t="s">
        <v>7227</v>
      </c>
      <c r="C164" s="6" t="s">
        <v>7228</v>
      </c>
      <c r="D164" s="243" t="s">
        <v>7229</v>
      </c>
      <c r="E164" s="30" t="s">
        <v>7230</v>
      </c>
      <c r="F164" s="6" t="s">
        <v>7231</v>
      </c>
      <c r="G164" s="30" t="s">
        <v>7232</v>
      </c>
      <c r="H164" s="6" t="s">
        <v>7233</v>
      </c>
      <c r="I164" s="205" t="s">
        <v>7234</v>
      </c>
      <c r="J164" s="205" t="s">
        <v>782</v>
      </c>
    </row>
    <row r="165" customFormat="false" ht="129" hidden="false" customHeight="true" outlineLevel="0" collapsed="false">
      <c r="A165" s="30" t="s">
        <v>7235</v>
      </c>
      <c r="B165" s="30" t="s">
        <v>7227</v>
      </c>
      <c r="C165" s="6" t="s">
        <v>7236</v>
      </c>
      <c r="D165" s="6" t="s">
        <v>7237</v>
      </c>
      <c r="E165" s="30" t="s">
        <v>7230</v>
      </c>
      <c r="F165" s="6" t="s">
        <v>7231</v>
      </c>
      <c r="G165" s="30" t="s">
        <v>7232</v>
      </c>
      <c r="H165" s="6" t="s">
        <v>7238</v>
      </c>
      <c r="I165" s="205" t="s">
        <v>7239</v>
      </c>
      <c r="J165" s="205" t="s">
        <v>782</v>
      </c>
    </row>
    <row r="166" customFormat="false" ht="129" hidden="false" customHeight="true" outlineLevel="0" collapsed="false">
      <c r="A166" s="30" t="s">
        <v>6414</v>
      </c>
      <c r="B166" s="30" t="s">
        <v>7227</v>
      </c>
      <c r="C166" s="6" t="s">
        <v>7240</v>
      </c>
      <c r="D166" s="6" t="s">
        <v>7241</v>
      </c>
      <c r="E166" s="30" t="s">
        <v>7230</v>
      </c>
      <c r="F166" s="6" t="s">
        <v>7231</v>
      </c>
      <c r="G166" s="30" t="s">
        <v>7232</v>
      </c>
      <c r="H166" s="6" t="s">
        <v>7242</v>
      </c>
      <c r="I166" s="205" t="s">
        <v>7243</v>
      </c>
      <c r="J166" s="205" t="s">
        <v>782</v>
      </c>
    </row>
    <row r="167" customFormat="false" ht="100.5" hidden="false" customHeight="true" outlineLevel="0" collapsed="false">
      <c r="A167" s="30" t="s">
        <v>7244</v>
      </c>
      <c r="B167" s="30" t="s">
        <v>7245</v>
      </c>
      <c r="C167" s="243" t="s">
        <v>7246</v>
      </c>
      <c r="D167" s="6" t="s">
        <v>7247</v>
      </c>
      <c r="E167" s="30" t="s">
        <v>7230</v>
      </c>
      <c r="F167" s="6" t="s">
        <v>7248</v>
      </c>
      <c r="G167" s="30" t="s">
        <v>7249</v>
      </c>
      <c r="H167" s="6" t="s">
        <v>7250</v>
      </c>
      <c r="I167" s="205" t="s">
        <v>7251</v>
      </c>
      <c r="J167" s="205" t="s">
        <v>782</v>
      </c>
    </row>
    <row r="168" customFormat="false" ht="129" hidden="false" customHeight="true" outlineLevel="0" collapsed="false">
      <c r="A168" s="30" t="s">
        <v>7252</v>
      </c>
      <c r="B168" s="30" t="s">
        <v>7245</v>
      </c>
      <c r="C168" s="243" t="s">
        <v>7253</v>
      </c>
      <c r="D168" s="6" t="s">
        <v>7254</v>
      </c>
      <c r="E168" s="30" t="s">
        <v>7230</v>
      </c>
      <c r="F168" s="6" t="s">
        <v>7248</v>
      </c>
      <c r="G168" s="30" t="s">
        <v>7255</v>
      </c>
      <c r="H168" s="6" t="s">
        <v>7256</v>
      </c>
      <c r="I168" s="205" t="s">
        <v>7257</v>
      </c>
      <c r="J168" s="205" t="s">
        <v>782</v>
      </c>
    </row>
    <row r="169" customFormat="false" ht="57.75" hidden="false" customHeight="true" outlineLevel="0" collapsed="false">
      <c r="A169" s="30" t="s">
        <v>7258</v>
      </c>
      <c r="B169" s="30" t="s">
        <v>7245</v>
      </c>
      <c r="C169" s="243" t="s">
        <v>7259</v>
      </c>
      <c r="D169" s="6" t="s">
        <v>7260</v>
      </c>
      <c r="E169" s="30" t="s">
        <v>7230</v>
      </c>
      <c r="F169" s="6" t="s">
        <v>7248</v>
      </c>
      <c r="G169" s="30" t="s">
        <v>7249</v>
      </c>
      <c r="H169" s="6" t="s">
        <v>7261</v>
      </c>
      <c r="I169" s="205" t="s">
        <v>7262</v>
      </c>
      <c r="J169" s="205" t="s">
        <v>782</v>
      </c>
    </row>
    <row r="170" customFormat="false" ht="72" hidden="false" customHeight="true" outlineLevel="0" collapsed="false">
      <c r="A170" s="30" t="s">
        <v>7263</v>
      </c>
      <c r="B170" s="30" t="s">
        <v>7264</v>
      </c>
      <c r="C170" s="243" t="s">
        <v>7265</v>
      </c>
      <c r="D170" s="6" t="s">
        <v>7266</v>
      </c>
      <c r="E170" s="30" t="s">
        <v>7230</v>
      </c>
      <c r="F170" s="6" t="s">
        <v>7267</v>
      </c>
      <c r="G170" s="30" t="s">
        <v>7268</v>
      </c>
      <c r="H170" s="6" t="s">
        <v>7269</v>
      </c>
      <c r="I170" s="205" t="s">
        <v>7270</v>
      </c>
      <c r="J170" s="205" t="s">
        <v>782</v>
      </c>
    </row>
    <row r="171" customFormat="false" ht="72" hidden="false" customHeight="true" outlineLevel="0" collapsed="false">
      <c r="A171" s="30" t="s">
        <v>7271</v>
      </c>
      <c r="B171" s="30" t="s">
        <v>7264</v>
      </c>
      <c r="C171" s="243" t="s">
        <v>7272</v>
      </c>
      <c r="D171" s="6" t="s">
        <v>7273</v>
      </c>
      <c r="E171" s="30" t="s">
        <v>7230</v>
      </c>
      <c r="F171" s="6" t="s">
        <v>7267</v>
      </c>
      <c r="G171" s="30" t="s">
        <v>7268</v>
      </c>
      <c r="H171" s="6" t="s">
        <v>7274</v>
      </c>
      <c r="I171" s="205" t="s">
        <v>7275</v>
      </c>
      <c r="J171" s="205" t="s">
        <v>782</v>
      </c>
    </row>
    <row r="172" customFormat="false" ht="57.75" hidden="false" customHeight="true" outlineLevel="0" collapsed="false">
      <c r="A172" s="30" t="s">
        <v>7276</v>
      </c>
      <c r="B172" s="30" t="s">
        <v>7264</v>
      </c>
      <c r="C172" s="243" t="s">
        <v>7277</v>
      </c>
      <c r="D172" s="6" t="s">
        <v>7278</v>
      </c>
      <c r="E172" s="30" t="s">
        <v>7230</v>
      </c>
      <c r="F172" s="6" t="s">
        <v>7267</v>
      </c>
      <c r="G172" s="30" t="s">
        <v>7268</v>
      </c>
      <c r="H172" s="6" t="s">
        <v>7279</v>
      </c>
      <c r="I172" s="205" t="s">
        <v>7280</v>
      </c>
      <c r="J172" s="205" t="s">
        <v>782</v>
      </c>
    </row>
    <row r="173" customFormat="false" ht="114.75" hidden="false" customHeight="true" outlineLevel="0" collapsed="false">
      <c r="A173" s="30" t="s">
        <v>7281</v>
      </c>
      <c r="B173" s="30" t="s">
        <v>7264</v>
      </c>
      <c r="C173" s="243" t="s">
        <v>7282</v>
      </c>
      <c r="D173" s="6" t="s">
        <v>7283</v>
      </c>
      <c r="E173" s="30" t="s">
        <v>7230</v>
      </c>
      <c r="F173" s="6" t="s">
        <v>7267</v>
      </c>
      <c r="G173" s="30" t="s">
        <v>7268</v>
      </c>
      <c r="H173" s="6" t="s">
        <v>7284</v>
      </c>
      <c r="I173" s="205" t="s">
        <v>7285</v>
      </c>
      <c r="J173" s="205" t="s">
        <v>782</v>
      </c>
    </row>
    <row r="174" customFormat="false" ht="57.75" hidden="false" customHeight="true" outlineLevel="0" collapsed="false">
      <c r="A174" s="30" t="s">
        <v>6443</v>
      </c>
      <c r="B174" s="30" t="s">
        <v>7264</v>
      </c>
      <c r="C174" s="243" t="s">
        <v>7286</v>
      </c>
      <c r="D174" s="243" t="s">
        <v>7287</v>
      </c>
      <c r="E174" s="30" t="s">
        <v>7230</v>
      </c>
      <c r="F174" s="6" t="s">
        <v>7267</v>
      </c>
      <c r="G174" s="30" t="s">
        <v>7268</v>
      </c>
      <c r="H174" s="6" t="s">
        <v>7288</v>
      </c>
      <c r="I174" s="205" t="s">
        <v>7289</v>
      </c>
      <c r="J174" s="205" t="s">
        <v>782</v>
      </c>
    </row>
    <row r="175" customFormat="false" ht="57.75" hidden="false" customHeight="true" outlineLevel="0" collapsed="false">
      <c r="A175" s="30" t="s">
        <v>7290</v>
      </c>
      <c r="B175" s="30" t="s">
        <v>7264</v>
      </c>
      <c r="C175" s="243" t="s">
        <v>7291</v>
      </c>
      <c r="D175" s="6" t="s">
        <v>7292</v>
      </c>
      <c r="E175" s="30" t="s">
        <v>7230</v>
      </c>
      <c r="F175" s="6" t="s">
        <v>7267</v>
      </c>
      <c r="G175" s="30" t="s">
        <v>7268</v>
      </c>
      <c r="H175" s="6" t="s">
        <v>7293</v>
      </c>
      <c r="I175" s="205" t="s">
        <v>7294</v>
      </c>
      <c r="J175" s="205" t="s">
        <v>782</v>
      </c>
    </row>
    <row r="176" customFormat="false" ht="114.75" hidden="false" customHeight="true" outlineLevel="0" collapsed="false">
      <c r="A176" s="30" t="s">
        <v>6460</v>
      </c>
      <c r="B176" s="30" t="s">
        <v>7295</v>
      </c>
      <c r="C176" s="243" t="s">
        <v>7296</v>
      </c>
      <c r="D176" s="6" t="s">
        <v>7297</v>
      </c>
      <c r="E176" s="30" t="s">
        <v>7298</v>
      </c>
      <c r="F176" s="6" t="s">
        <v>7299</v>
      </c>
      <c r="G176" s="30" t="s">
        <v>7300</v>
      </c>
      <c r="H176" s="6" t="s">
        <v>7301</v>
      </c>
      <c r="I176" s="205" t="s">
        <v>7302</v>
      </c>
      <c r="J176" s="205" t="s">
        <v>782</v>
      </c>
    </row>
    <row r="177" customFormat="false" ht="100.5" hidden="false" customHeight="true" outlineLevel="0" collapsed="false">
      <c r="A177" s="30" t="s">
        <v>7303</v>
      </c>
      <c r="B177" s="30" t="s">
        <v>7295</v>
      </c>
      <c r="C177" s="243" t="s">
        <v>7304</v>
      </c>
      <c r="D177" s="6" t="s">
        <v>7305</v>
      </c>
      <c r="E177" s="30" t="s">
        <v>7298</v>
      </c>
      <c r="F177" s="6" t="s">
        <v>7299</v>
      </c>
      <c r="G177" s="30" t="s">
        <v>7300</v>
      </c>
      <c r="H177" s="6" t="s">
        <v>7306</v>
      </c>
      <c r="I177" s="205" t="s">
        <v>7307</v>
      </c>
      <c r="J177" s="205" t="s">
        <v>782</v>
      </c>
    </row>
    <row r="178" customFormat="false" ht="86.25" hidden="false" customHeight="true" outlineLevel="0" collapsed="false">
      <c r="A178" s="30" t="s">
        <v>7308</v>
      </c>
      <c r="B178" s="30" t="s">
        <v>7295</v>
      </c>
      <c r="C178" s="243" t="s">
        <v>7309</v>
      </c>
      <c r="D178" s="243" t="s">
        <v>7310</v>
      </c>
      <c r="E178" s="30" t="s">
        <v>7298</v>
      </c>
      <c r="F178" s="6" t="s">
        <v>7299</v>
      </c>
      <c r="G178" s="30" t="s">
        <v>7300</v>
      </c>
      <c r="H178" s="6" t="s">
        <v>7311</v>
      </c>
      <c r="I178" s="205" t="s">
        <v>7312</v>
      </c>
      <c r="J178" s="205" t="s">
        <v>782</v>
      </c>
    </row>
    <row r="179" customFormat="false" ht="129" hidden="false" customHeight="true" outlineLevel="0" collapsed="false">
      <c r="A179" s="30" t="s">
        <v>7313</v>
      </c>
      <c r="B179" s="30" t="s">
        <v>7314</v>
      </c>
      <c r="C179" s="243" t="s">
        <v>7315</v>
      </c>
      <c r="D179" s="243" t="s">
        <v>7316</v>
      </c>
      <c r="E179" s="30" t="s">
        <v>7298</v>
      </c>
      <c r="F179" s="6" t="s">
        <v>7317</v>
      </c>
      <c r="G179" s="30" t="s">
        <v>7318</v>
      </c>
      <c r="H179" s="6" t="s">
        <v>7319</v>
      </c>
      <c r="I179" s="205" t="s">
        <v>7320</v>
      </c>
      <c r="J179" s="205" t="s">
        <v>782</v>
      </c>
    </row>
    <row r="180" customFormat="false" ht="86.25" hidden="false" customHeight="true" outlineLevel="0" collapsed="false">
      <c r="A180" s="30" t="s">
        <v>7321</v>
      </c>
      <c r="B180" s="30" t="s">
        <v>7314</v>
      </c>
      <c r="C180" s="243" t="s">
        <v>7322</v>
      </c>
      <c r="D180" s="243" t="s">
        <v>7323</v>
      </c>
      <c r="E180" s="30" t="s">
        <v>7298</v>
      </c>
      <c r="F180" s="6" t="s">
        <v>7317</v>
      </c>
      <c r="G180" s="30" t="s">
        <v>7318</v>
      </c>
      <c r="H180" s="6" t="s">
        <v>7324</v>
      </c>
      <c r="I180" s="205" t="s">
        <v>7325</v>
      </c>
      <c r="J180" s="205" t="s">
        <v>782</v>
      </c>
    </row>
    <row r="181" customFormat="false" ht="72" hidden="false" customHeight="true" outlineLevel="0" collapsed="false">
      <c r="A181" s="30" t="s">
        <v>7326</v>
      </c>
      <c r="B181" s="30" t="s">
        <v>7314</v>
      </c>
      <c r="C181" s="243" t="s">
        <v>7327</v>
      </c>
      <c r="D181" s="6" t="s">
        <v>7328</v>
      </c>
      <c r="E181" s="30" t="s">
        <v>7298</v>
      </c>
      <c r="F181" s="6" t="s">
        <v>7317</v>
      </c>
      <c r="G181" s="30" t="s">
        <v>7318</v>
      </c>
      <c r="H181" s="6" t="s">
        <v>7329</v>
      </c>
      <c r="I181" s="205" t="s">
        <v>7330</v>
      </c>
      <c r="J181" s="205" t="s">
        <v>782</v>
      </c>
    </row>
    <row r="182" customFormat="false" ht="156.75" hidden="false" customHeight="true" outlineLevel="0" collapsed="false">
      <c r="A182" s="30" t="s">
        <v>6476</v>
      </c>
      <c r="B182" s="30" t="s">
        <v>7331</v>
      </c>
      <c r="C182" s="243" t="s">
        <v>7332</v>
      </c>
      <c r="D182" s="6" t="s">
        <v>7333</v>
      </c>
      <c r="E182" s="30" t="s">
        <v>7230</v>
      </c>
      <c r="F182" s="6" t="s">
        <v>7334</v>
      </c>
      <c r="G182" s="30" t="s">
        <v>7335</v>
      </c>
      <c r="H182" s="6" t="s">
        <v>7336</v>
      </c>
      <c r="I182" s="30" t="s">
        <v>7337</v>
      </c>
      <c r="J182" s="205" t="s">
        <v>782</v>
      </c>
    </row>
    <row r="183" customFormat="false" ht="29.25" hidden="false" customHeight="true" outlineLevel="0" collapsed="false">
      <c r="A183" s="30" t="s">
        <v>7338</v>
      </c>
      <c r="B183" s="30" t="s">
        <v>7331</v>
      </c>
      <c r="C183" s="243" t="s">
        <v>7339</v>
      </c>
      <c r="D183" s="6" t="s">
        <v>7340</v>
      </c>
      <c r="E183" s="30" t="s">
        <v>7298</v>
      </c>
      <c r="F183" s="6" t="s">
        <v>7341</v>
      </c>
      <c r="G183" s="30" t="s">
        <v>7342</v>
      </c>
      <c r="H183" s="6" t="s">
        <v>7343</v>
      </c>
      <c r="I183" s="205" t="s">
        <v>7344</v>
      </c>
      <c r="J183" s="205" t="s">
        <v>782</v>
      </c>
    </row>
    <row r="184" customFormat="false" ht="72" hidden="false" customHeight="true" outlineLevel="0" collapsed="false">
      <c r="A184" s="30" t="s">
        <v>7345</v>
      </c>
      <c r="B184" s="30" t="s">
        <v>7331</v>
      </c>
      <c r="C184" s="243" t="s">
        <v>7346</v>
      </c>
      <c r="D184" s="6" t="s">
        <v>7347</v>
      </c>
      <c r="E184" s="30" t="s">
        <v>7298</v>
      </c>
      <c r="F184" s="6" t="s">
        <v>7348</v>
      </c>
      <c r="G184" s="30" t="s">
        <v>7349</v>
      </c>
      <c r="H184" s="6" t="s">
        <v>7350</v>
      </c>
      <c r="I184" s="205" t="s">
        <v>7351</v>
      </c>
      <c r="J184" s="205" t="s">
        <v>782</v>
      </c>
    </row>
    <row r="185" customFormat="false" ht="72" hidden="false" customHeight="true" outlineLevel="0" collapsed="false">
      <c r="A185" s="30" t="s">
        <v>7352</v>
      </c>
      <c r="B185" s="30" t="s">
        <v>7331</v>
      </c>
      <c r="C185" s="243" t="s">
        <v>7353</v>
      </c>
      <c r="D185" s="6" t="s">
        <v>7354</v>
      </c>
      <c r="E185" s="30" t="s">
        <v>7298</v>
      </c>
      <c r="F185" s="6" t="s">
        <v>7348</v>
      </c>
      <c r="G185" s="205" t="s">
        <v>7355</v>
      </c>
      <c r="H185" s="243" t="s">
        <v>7356</v>
      </c>
      <c r="I185" s="205" t="s">
        <v>7357</v>
      </c>
      <c r="J185" s="205" t="s">
        <v>782</v>
      </c>
    </row>
    <row r="186" customFormat="false" ht="86.25" hidden="false" customHeight="true" outlineLevel="0" collapsed="false">
      <c r="A186" s="30" t="s">
        <v>7358</v>
      </c>
      <c r="B186" s="30" t="s">
        <v>7331</v>
      </c>
      <c r="C186" s="243" t="s">
        <v>7359</v>
      </c>
      <c r="D186" s="6" t="s">
        <v>7360</v>
      </c>
      <c r="E186" s="30" t="s">
        <v>7298</v>
      </c>
      <c r="F186" s="6" t="s">
        <v>7348</v>
      </c>
      <c r="G186" s="30" t="s">
        <v>7335</v>
      </c>
      <c r="H186" s="6" t="s">
        <v>7361</v>
      </c>
      <c r="I186" s="205" t="s">
        <v>7362</v>
      </c>
      <c r="J186" s="205" t="s">
        <v>782</v>
      </c>
    </row>
    <row r="187" customFormat="false" ht="57.75" hidden="false" customHeight="true" outlineLevel="0" collapsed="false">
      <c r="A187" s="30" t="s">
        <v>7363</v>
      </c>
      <c r="B187" s="30" t="s">
        <v>7331</v>
      </c>
      <c r="C187" s="243" t="s">
        <v>7364</v>
      </c>
      <c r="D187" s="6" t="s">
        <v>7365</v>
      </c>
      <c r="E187" s="30" t="s">
        <v>7298</v>
      </c>
      <c r="F187" s="6" t="s">
        <v>7348</v>
      </c>
      <c r="G187" s="30" t="s">
        <v>7366</v>
      </c>
      <c r="H187" s="6" t="s">
        <v>7367</v>
      </c>
      <c r="I187" s="205" t="s">
        <v>7368</v>
      </c>
      <c r="J187" s="205" t="s">
        <v>782</v>
      </c>
    </row>
    <row r="188" customFormat="false" ht="57.75" hidden="false" customHeight="true" outlineLevel="0" collapsed="false">
      <c r="A188" s="30" t="s">
        <v>7369</v>
      </c>
      <c r="B188" s="30" t="s">
        <v>7331</v>
      </c>
      <c r="C188" s="243" t="s">
        <v>7370</v>
      </c>
      <c r="D188" s="6" t="s">
        <v>7371</v>
      </c>
      <c r="E188" s="30" t="s">
        <v>7298</v>
      </c>
      <c r="F188" s="6" t="s">
        <v>7348</v>
      </c>
      <c r="G188" s="30" t="s">
        <v>7335</v>
      </c>
      <c r="H188" s="6" t="s">
        <v>7372</v>
      </c>
      <c r="I188" s="205" t="s">
        <v>7373</v>
      </c>
      <c r="J188" s="205" t="s">
        <v>782</v>
      </c>
    </row>
    <row r="189" customFormat="false" ht="114.75" hidden="false" customHeight="true" outlineLevel="0" collapsed="false">
      <c r="A189" s="30" t="s">
        <v>7374</v>
      </c>
      <c r="B189" s="30" t="s">
        <v>7331</v>
      </c>
      <c r="C189" s="243" t="s">
        <v>7375</v>
      </c>
      <c r="D189" s="6" t="s">
        <v>7376</v>
      </c>
      <c r="E189" s="30" t="s">
        <v>7298</v>
      </c>
      <c r="F189" s="243" t="s">
        <v>7377</v>
      </c>
      <c r="G189" s="30" t="s">
        <v>7335</v>
      </c>
      <c r="H189" s="6" t="s">
        <v>7378</v>
      </c>
      <c r="I189" s="205" t="s">
        <v>7344</v>
      </c>
      <c r="J189" s="205" t="s">
        <v>782</v>
      </c>
    </row>
    <row r="190" customFormat="false" ht="100.5" hidden="false" customHeight="true" outlineLevel="0" collapsed="false">
      <c r="A190" s="30" t="s">
        <v>7379</v>
      </c>
      <c r="B190" s="30" t="s">
        <v>7331</v>
      </c>
      <c r="C190" s="243" t="s">
        <v>7380</v>
      </c>
      <c r="D190" s="6" t="s">
        <v>7381</v>
      </c>
      <c r="E190" s="30" t="s">
        <v>7298</v>
      </c>
      <c r="F190" s="243" t="s">
        <v>7382</v>
      </c>
      <c r="G190" s="205" t="s">
        <v>7383</v>
      </c>
      <c r="H190" s="6" t="s">
        <v>7384</v>
      </c>
      <c r="I190" s="205" t="s">
        <v>7385</v>
      </c>
      <c r="J190" s="205" t="s">
        <v>782</v>
      </c>
    </row>
    <row r="191" customFormat="false" ht="156.75" hidden="false" customHeight="true" outlineLevel="0" collapsed="false">
      <c r="A191" s="30" t="s">
        <v>6501</v>
      </c>
      <c r="B191" s="30" t="s">
        <v>7386</v>
      </c>
      <c r="C191" s="243" t="s">
        <v>7387</v>
      </c>
      <c r="D191" s="243" t="s">
        <v>7388</v>
      </c>
      <c r="E191" s="30" t="s">
        <v>7298</v>
      </c>
      <c r="F191" s="6" t="s">
        <v>7389</v>
      </c>
      <c r="G191" s="30" t="s">
        <v>7390</v>
      </c>
      <c r="H191" s="6" t="s">
        <v>7391</v>
      </c>
      <c r="I191" s="205" t="s">
        <v>7392</v>
      </c>
      <c r="J191" s="205" t="s">
        <v>782</v>
      </c>
    </row>
    <row r="192" customFormat="false" ht="100.5" hidden="false" customHeight="true" outlineLevel="0" collapsed="false">
      <c r="A192" s="30" t="s">
        <v>7393</v>
      </c>
      <c r="B192" s="30" t="s">
        <v>7386</v>
      </c>
      <c r="C192" s="243" t="s">
        <v>7394</v>
      </c>
      <c r="D192" s="6" t="s">
        <v>7395</v>
      </c>
      <c r="E192" s="30" t="s">
        <v>7298</v>
      </c>
      <c r="F192" s="6" t="s">
        <v>7389</v>
      </c>
      <c r="G192" s="30" t="s">
        <v>7396</v>
      </c>
      <c r="H192" s="6" t="s">
        <v>7397</v>
      </c>
      <c r="I192" s="205" t="s">
        <v>7398</v>
      </c>
      <c r="J192" s="205" t="s">
        <v>782</v>
      </c>
    </row>
    <row r="193" customFormat="false" ht="129" hidden="false" customHeight="true" outlineLevel="0" collapsed="false">
      <c r="A193" s="30" t="s">
        <v>6523</v>
      </c>
      <c r="B193" s="30" t="s">
        <v>7386</v>
      </c>
      <c r="C193" s="243" t="s">
        <v>7399</v>
      </c>
      <c r="D193" s="6" t="s">
        <v>7400</v>
      </c>
      <c r="E193" s="30" t="s">
        <v>7298</v>
      </c>
      <c r="F193" s="6" t="s">
        <v>7389</v>
      </c>
      <c r="G193" s="30" t="s">
        <v>7390</v>
      </c>
      <c r="H193" s="6" t="s">
        <v>7401</v>
      </c>
      <c r="I193" s="205" t="s">
        <v>7402</v>
      </c>
      <c r="J193" s="205" t="s">
        <v>782</v>
      </c>
    </row>
    <row r="194" customFormat="false" ht="156.75" hidden="false" customHeight="true" outlineLevel="0" collapsed="false">
      <c r="A194" s="30" t="s">
        <v>7403</v>
      </c>
      <c r="B194" s="30" t="s">
        <v>7386</v>
      </c>
      <c r="C194" s="243" t="s">
        <v>7404</v>
      </c>
      <c r="D194" s="6" t="s">
        <v>7405</v>
      </c>
      <c r="E194" s="30" t="s">
        <v>7298</v>
      </c>
      <c r="F194" s="6" t="s">
        <v>7389</v>
      </c>
      <c r="G194" s="30" t="s">
        <v>7390</v>
      </c>
      <c r="H194" s="6" t="s">
        <v>7406</v>
      </c>
      <c r="I194" s="205" t="s">
        <v>7407</v>
      </c>
      <c r="J194" s="205" t="s">
        <v>782</v>
      </c>
    </row>
    <row r="195" customFormat="false" ht="171" hidden="false" customHeight="true" outlineLevel="0" collapsed="false">
      <c r="A195" s="30" t="s">
        <v>6550</v>
      </c>
      <c r="B195" s="30" t="s">
        <v>7386</v>
      </c>
      <c r="C195" s="243" t="s">
        <v>7408</v>
      </c>
      <c r="D195" s="6" t="s">
        <v>7409</v>
      </c>
      <c r="E195" s="30" t="s">
        <v>7298</v>
      </c>
      <c r="F195" s="6" t="s">
        <v>7389</v>
      </c>
      <c r="G195" s="30" t="s">
        <v>7390</v>
      </c>
      <c r="H195" s="6" t="s">
        <v>7410</v>
      </c>
      <c r="I195" s="205" t="s">
        <v>7411</v>
      </c>
      <c r="J195" s="205" t="s">
        <v>782</v>
      </c>
    </row>
    <row r="196" customFormat="false" ht="156.75" hidden="false" customHeight="true" outlineLevel="0" collapsed="false">
      <c r="A196" s="30" t="s">
        <v>7412</v>
      </c>
      <c r="B196" s="30" t="s">
        <v>7413</v>
      </c>
      <c r="C196" s="243" t="s">
        <v>7414</v>
      </c>
      <c r="D196" s="6" t="s">
        <v>7415</v>
      </c>
      <c r="E196" s="30" t="s">
        <v>7298</v>
      </c>
      <c r="F196" s="6" t="s">
        <v>7416</v>
      </c>
      <c r="G196" s="30" t="s">
        <v>7417</v>
      </c>
      <c r="H196" s="6" t="s">
        <v>7418</v>
      </c>
      <c r="I196" s="205" t="s">
        <v>7419</v>
      </c>
      <c r="J196" s="205" t="s">
        <v>782</v>
      </c>
    </row>
    <row r="197" customFormat="false" ht="100.5" hidden="false" customHeight="true" outlineLevel="0" collapsed="false">
      <c r="A197" s="30" t="s">
        <v>7420</v>
      </c>
      <c r="B197" s="30" t="s">
        <v>7413</v>
      </c>
      <c r="C197" s="243" t="s">
        <v>7421</v>
      </c>
      <c r="D197" s="243" t="s">
        <v>7422</v>
      </c>
      <c r="E197" s="30" t="s">
        <v>7298</v>
      </c>
      <c r="F197" s="6" t="s">
        <v>7416</v>
      </c>
      <c r="G197" s="30" t="s">
        <v>7417</v>
      </c>
      <c r="H197" s="6" t="s">
        <v>7423</v>
      </c>
      <c r="I197" s="205" t="s">
        <v>7424</v>
      </c>
      <c r="J197" s="205" t="s">
        <v>782</v>
      </c>
    </row>
    <row r="198" customFormat="false" ht="72" hidden="false" customHeight="true" outlineLevel="0" collapsed="false">
      <c r="A198" s="30" t="s">
        <v>7425</v>
      </c>
      <c r="B198" s="30" t="s">
        <v>7413</v>
      </c>
      <c r="C198" s="243" t="s">
        <v>7426</v>
      </c>
      <c r="D198" s="6" t="s">
        <v>7427</v>
      </c>
      <c r="E198" s="30" t="s">
        <v>7298</v>
      </c>
      <c r="F198" s="6" t="s">
        <v>7416</v>
      </c>
      <c r="G198" s="30" t="s">
        <v>7417</v>
      </c>
      <c r="H198" s="6" t="s">
        <v>7428</v>
      </c>
      <c r="I198" s="205" t="s">
        <v>7429</v>
      </c>
      <c r="J198" s="205" t="s">
        <v>782</v>
      </c>
    </row>
    <row r="199" customFormat="false" ht="43.5" hidden="false" customHeight="true" outlineLevel="0" collapsed="false">
      <c r="A199" s="30" t="s">
        <v>7430</v>
      </c>
      <c r="B199" s="30" t="s">
        <v>7413</v>
      </c>
      <c r="C199" s="243" t="s">
        <v>7431</v>
      </c>
      <c r="D199" s="6" t="s">
        <v>7432</v>
      </c>
      <c r="E199" s="30" t="s">
        <v>7298</v>
      </c>
      <c r="F199" s="6" t="s">
        <v>7416</v>
      </c>
      <c r="G199" s="30" t="s">
        <v>7417</v>
      </c>
      <c r="H199" s="6" t="s">
        <v>7433</v>
      </c>
      <c r="I199" s="205" t="s">
        <v>7434</v>
      </c>
      <c r="J199" s="205" t="s">
        <v>782</v>
      </c>
    </row>
    <row r="200" customFormat="false" ht="72" hidden="false" customHeight="true" outlineLevel="0" collapsed="false">
      <c r="A200" s="30" t="s">
        <v>7435</v>
      </c>
      <c r="B200" s="30" t="s">
        <v>7413</v>
      </c>
      <c r="C200" s="243" t="s">
        <v>7436</v>
      </c>
      <c r="D200" s="6" t="s">
        <v>7437</v>
      </c>
      <c r="E200" s="30" t="s">
        <v>7298</v>
      </c>
      <c r="F200" s="6" t="s">
        <v>7416</v>
      </c>
      <c r="G200" s="30" t="s">
        <v>7417</v>
      </c>
      <c r="H200" s="6" t="s">
        <v>7438</v>
      </c>
      <c r="I200" s="205" t="s">
        <v>7439</v>
      </c>
      <c r="J200" s="205" t="s">
        <v>782</v>
      </c>
    </row>
    <row r="201" customFormat="false" ht="114.75" hidden="false" customHeight="true" outlineLevel="0" collapsed="false">
      <c r="A201" s="30" t="s">
        <v>7440</v>
      </c>
      <c r="B201" s="30" t="s">
        <v>7413</v>
      </c>
      <c r="C201" s="243" t="s">
        <v>7441</v>
      </c>
      <c r="D201" s="243" t="s">
        <v>7442</v>
      </c>
      <c r="E201" s="30" t="s">
        <v>7298</v>
      </c>
      <c r="F201" s="6" t="s">
        <v>7416</v>
      </c>
      <c r="G201" s="30" t="s">
        <v>7417</v>
      </c>
      <c r="H201" s="6" t="s">
        <v>7443</v>
      </c>
      <c r="I201" s="205" t="s">
        <v>7444</v>
      </c>
      <c r="J201" s="205" t="s">
        <v>782</v>
      </c>
    </row>
    <row r="202" customFormat="false" ht="72" hidden="false" customHeight="true" outlineLevel="0" collapsed="false">
      <c r="A202" s="30" t="s">
        <v>7445</v>
      </c>
      <c r="B202" s="30" t="s">
        <v>7413</v>
      </c>
      <c r="C202" s="243" t="s">
        <v>7446</v>
      </c>
      <c r="D202" s="243" t="s">
        <v>7447</v>
      </c>
      <c r="E202" s="30" t="s">
        <v>7298</v>
      </c>
      <c r="F202" s="6" t="s">
        <v>7416</v>
      </c>
      <c r="G202" s="30" t="s">
        <v>7417</v>
      </c>
      <c r="H202" s="6" t="s">
        <v>7448</v>
      </c>
      <c r="I202" s="205" t="s">
        <v>7449</v>
      </c>
      <c r="J202" s="205" t="s">
        <v>782</v>
      </c>
    </row>
    <row r="203" customFormat="false" ht="100.5" hidden="false" customHeight="true" outlineLevel="0" collapsed="false">
      <c r="A203" s="30" t="s">
        <v>7450</v>
      </c>
      <c r="B203" s="30" t="s">
        <v>7451</v>
      </c>
      <c r="C203" s="243" t="s">
        <v>7452</v>
      </c>
      <c r="D203" s="6" t="s">
        <v>7453</v>
      </c>
      <c r="E203" s="30" t="s">
        <v>7298</v>
      </c>
      <c r="F203" s="6" t="s">
        <v>7454</v>
      </c>
      <c r="G203" s="30" t="s">
        <v>7455</v>
      </c>
      <c r="H203" s="6" t="s">
        <v>7456</v>
      </c>
      <c r="I203" s="205" t="s">
        <v>7457</v>
      </c>
      <c r="J203" s="205" t="s">
        <v>782</v>
      </c>
    </row>
    <row r="204" customFormat="false" ht="86.25" hidden="false" customHeight="true" outlineLevel="0" collapsed="false">
      <c r="A204" s="30" t="s">
        <v>7458</v>
      </c>
      <c r="B204" s="30" t="s">
        <v>7451</v>
      </c>
      <c r="C204" s="243" t="s">
        <v>7459</v>
      </c>
      <c r="D204" s="6" t="s">
        <v>7460</v>
      </c>
      <c r="E204" s="30" t="s">
        <v>7298</v>
      </c>
      <c r="F204" s="6" t="s">
        <v>7454</v>
      </c>
      <c r="G204" s="30" t="s">
        <v>7455</v>
      </c>
      <c r="H204" s="6" t="s">
        <v>7461</v>
      </c>
      <c r="I204" s="205" t="s">
        <v>7462</v>
      </c>
      <c r="J204" s="205" t="s">
        <v>782</v>
      </c>
    </row>
    <row r="205" customFormat="false" ht="143.25" hidden="false" customHeight="true" outlineLevel="0" collapsed="false">
      <c r="A205" s="30" t="s">
        <v>7463</v>
      </c>
      <c r="B205" s="30" t="s">
        <v>7451</v>
      </c>
      <c r="C205" s="243" t="s">
        <v>7464</v>
      </c>
      <c r="D205" s="6" t="s">
        <v>7465</v>
      </c>
      <c r="E205" s="30" t="s">
        <v>7298</v>
      </c>
      <c r="F205" s="6" t="s">
        <v>7454</v>
      </c>
      <c r="G205" s="30" t="s">
        <v>7455</v>
      </c>
      <c r="H205" s="6" t="s">
        <v>7466</v>
      </c>
      <c r="I205" s="205" t="s">
        <v>7467</v>
      </c>
      <c r="J205" s="205" t="s">
        <v>782</v>
      </c>
    </row>
    <row r="206" customFormat="false" ht="100.5" hidden="false" customHeight="true" outlineLevel="0" collapsed="false">
      <c r="A206" s="30" t="s">
        <v>7468</v>
      </c>
      <c r="B206" s="30" t="s">
        <v>7451</v>
      </c>
      <c r="C206" s="243" t="s">
        <v>7469</v>
      </c>
      <c r="D206" s="243" t="s">
        <v>7470</v>
      </c>
      <c r="E206" s="30" t="s">
        <v>7298</v>
      </c>
      <c r="F206" s="6" t="s">
        <v>7454</v>
      </c>
      <c r="G206" s="30" t="s">
        <v>7455</v>
      </c>
      <c r="H206" s="6" t="s">
        <v>7471</v>
      </c>
      <c r="I206" s="205" t="s">
        <v>7472</v>
      </c>
      <c r="J206" s="205" t="s">
        <v>782</v>
      </c>
    </row>
    <row r="207" customFormat="false" ht="29.25" hidden="false" customHeight="true" outlineLevel="0" collapsed="false">
      <c r="A207" s="30" t="s">
        <v>7473</v>
      </c>
      <c r="B207" s="30" t="s">
        <v>7451</v>
      </c>
      <c r="C207" s="243" t="s">
        <v>7474</v>
      </c>
      <c r="D207" s="243" t="s">
        <v>7475</v>
      </c>
      <c r="E207" s="30" t="s">
        <v>7298</v>
      </c>
      <c r="F207" s="6" t="s">
        <v>7454</v>
      </c>
      <c r="G207" s="30" t="s">
        <v>7455</v>
      </c>
      <c r="H207" s="6" t="s">
        <v>7448</v>
      </c>
      <c r="I207" s="205" t="s">
        <v>7476</v>
      </c>
      <c r="J207" s="205" t="s">
        <v>782</v>
      </c>
    </row>
    <row r="208" customFormat="false" ht="171" hidden="false" customHeight="true" outlineLevel="0" collapsed="false">
      <c r="A208" s="30" t="s">
        <v>7477</v>
      </c>
      <c r="B208" s="30" t="s">
        <v>7478</v>
      </c>
      <c r="C208" s="243" t="s">
        <v>7479</v>
      </c>
      <c r="D208" s="243" t="s">
        <v>7480</v>
      </c>
      <c r="E208" s="30" t="s">
        <v>7298</v>
      </c>
      <c r="F208" s="6" t="s">
        <v>7481</v>
      </c>
      <c r="G208" s="30" t="s">
        <v>7482</v>
      </c>
      <c r="H208" s="6" t="s">
        <v>7483</v>
      </c>
      <c r="I208" s="205" t="s">
        <v>7484</v>
      </c>
      <c r="J208" s="205" t="s">
        <v>782</v>
      </c>
    </row>
    <row r="209" customFormat="false" ht="86.25" hidden="false" customHeight="true" outlineLevel="0" collapsed="false">
      <c r="A209" s="30" t="s">
        <v>7485</v>
      </c>
      <c r="B209" s="30" t="s">
        <v>7478</v>
      </c>
      <c r="C209" s="243" t="s">
        <v>7486</v>
      </c>
      <c r="D209" s="6" t="s">
        <v>7487</v>
      </c>
      <c r="E209" s="30" t="s">
        <v>7298</v>
      </c>
      <c r="F209" s="6" t="s">
        <v>7481</v>
      </c>
      <c r="G209" s="30" t="s">
        <v>7482</v>
      </c>
      <c r="H209" s="6" t="s">
        <v>7488</v>
      </c>
      <c r="I209" s="205" t="s">
        <v>7489</v>
      </c>
      <c r="J209" s="205" t="s">
        <v>782</v>
      </c>
    </row>
    <row r="210" customFormat="false" ht="72" hidden="false" customHeight="true" outlineLevel="0" collapsed="false">
      <c r="A210" s="30" t="s">
        <v>7490</v>
      </c>
      <c r="B210" s="30" t="s">
        <v>7478</v>
      </c>
      <c r="C210" s="243" t="s">
        <v>7491</v>
      </c>
      <c r="D210" s="243" t="s">
        <v>7492</v>
      </c>
      <c r="E210" s="30" t="s">
        <v>7298</v>
      </c>
      <c r="F210" s="6" t="s">
        <v>7481</v>
      </c>
      <c r="G210" s="205" t="s">
        <v>7493</v>
      </c>
      <c r="H210" s="6" t="s">
        <v>7494</v>
      </c>
      <c r="I210" s="205" t="s">
        <v>7495</v>
      </c>
      <c r="J210" s="205" t="s">
        <v>782</v>
      </c>
    </row>
    <row r="211" customFormat="false" ht="129.1" hidden="false" customHeight="false" outlineLevel="0" collapsed="false">
      <c r="A211" s="62" t="s">
        <v>7496</v>
      </c>
      <c r="B211" s="62" t="s">
        <v>7497</v>
      </c>
      <c r="C211" s="6" t="s">
        <v>7498</v>
      </c>
      <c r="D211" s="5" t="s">
        <v>7499</v>
      </c>
      <c r="E211" s="62" t="s">
        <v>7298</v>
      </c>
      <c r="F211" s="6" t="s">
        <v>7500</v>
      </c>
      <c r="G211" s="61" t="s">
        <v>7501</v>
      </c>
      <c r="H211" s="6" t="s">
        <v>7502</v>
      </c>
      <c r="I211" s="61" t="s">
        <v>7503</v>
      </c>
      <c r="J211" s="61" t="s">
        <v>782</v>
      </c>
    </row>
    <row r="212" customFormat="false" ht="100.7" hidden="false" customHeight="false" outlineLevel="0" collapsed="false">
      <c r="A212" s="62" t="s">
        <v>7504</v>
      </c>
      <c r="B212" s="62" t="s">
        <v>7497</v>
      </c>
      <c r="C212" s="6" t="s">
        <v>7505</v>
      </c>
      <c r="D212" s="5" t="s">
        <v>7506</v>
      </c>
      <c r="E212" s="62" t="s">
        <v>7298</v>
      </c>
      <c r="F212" s="6" t="s">
        <v>7500</v>
      </c>
      <c r="G212" s="61" t="s">
        <v>7501</v>
      </c>
      <c r="H212" s="6" t="s">
        <v>7507</v>
      </c>
      <c r="I212" s="61" t="s">
        <v>7508</v>
      </c>
      <c r="J212" s="61" t="s">
        <v>782</v>
      </c>
    </row>
    <row r="213" customFormat="false" ht="100.7" hidden="false" customHeight="false" outlineLevel="0" collapsed="false">
      <c r="A213" s="62" t="s">
        <v>5160</v>
      </c>
      <c r="B213" s="62" t="s">
        <v>7497</v>
      </c>
      <c r="C213" s="6" t="s">
        <v>7509</v>
      </c>
      <c r="D213" s="6" t="s">
        <v>7510</v>
      </c>
      <c r="E213" s="62" t="s">
        <v>7298</v>
      </c>
      <c r="F213" s="6" t="s">
        <v>7500</v>
      </c>
      <c r="G213" s="62" t="s">
        <v>7511</v>
      </c>
      <c r="H213" s="6" t="s">
        <v>7512</v>
      </c>
      <c r="I213" s="61" t="s">
        <v>7513</v>
      </c>
      <c r="J213" s="61" t="s">
        <v>782</v>
      </c>
    </row>
    <row r="214" customFormat="false" ht="129.1" hidden="false" customHeight="false" outlineLevel="0" collapsed="false">
      <c r="A214" s="62" t="s">
        <v>7514</v>
      </c>
      <c r="B214" s="62" t="s">
        <v>7497</v>
      </c>
      <c r="C214" s="6" t="s">
        <v>7515</v>
      </c>
      <c r="D214" s="6" t="s">
        <v>7516</v>
      </c>
      <c r="E214" s="62" t="s">
        <v>7298</v>
      </c>
      <c r="F214" s="6" t="s">
        <v>7500</v>
      </c>
      <c r="G214" s="62" t="s">
        <v>7511</v>
      </c>
      <c r="H214" s="6" t="s">
        <v>7517</v>
      </c>
      <c r="I214" s="61" t="s">
        <v>7518</v>
      </c>
      <c r="J214" s="61" t="s">
        <v>782</v>
      </c>
    </row>
    <row r="215" customFormat="false" ht="58.2" hidden="false" customHeight="false" outlineLevel="0" collapsed="false">
      <c r="A215" s="62" t="s">
        <v>7519</v>
      </c>
      <c r="B215" s="62" t="s">
        <v>7497</v>
      </c>
      <c r="C215" s="6" t="s">
        <v>7520</v>
      </c>
      <c r="D215" s="6" t="s">
        <v>7521</v>
      </c>
      <c r="E215" s="62" t="s">
        <v>7298</v>
      </c>
      <c r="F215" s="6" t="s">
        <v>7500</v>
      </c>
      <c r="G215" s="62" t="s">
        <v>7511</v>
      </c>
      <c r="H215" s="6" t="s">
        <v>7522</v>
      </c>
      <c r="I215" s="61" t="s">
        <v>7523</v>
      </c>
      <c r="J215" s="61" t="s">
        <v>782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6" t="s">
        <v>7524</v>
      </c>
    </row>
    <row r="2" customFormat="false" ht="15" hidden="false" customHeight="true" outlineLevel="0" collapsed="false">
      <c r="A2" s="248" t="s">
        <v>7525</v>
      </c>
    </row>
    <row r="3" customFormat="false" ht="15" hidden="false" customHeight="true" outlineLevel="0" collapsed="false">
      <c r="A3" s="248" t="s">
        <v>7526</v>
      </c>
    </row>
    <row r="4" customFormat="false" ht="43.5" hidden="false" customHeight="true" outlineLevel="0" collapsed="false">
      <c r="A4" s="84" t="s">
        <v>7527</v>
      </c>
      <c r="B4" s="237" t="s">
        <v>2763</v>
      </c>
      <c r="C4" s="237" t="s">
        <v>7528</v>
      </c>
      <c r="D4" s="237" t="s">
        <v>1308</v>
      </c>
      <c r="E4" s="237" t="s">
        <v>1309</v>
      </c>
      <c r="F4" s="237" t="s">
        <v>95</v>
      </c>
      <c r="G4" s="237" t="s">
        <v>497</v>
      </c>
      <c r="H4" s="237" t="s">
        <v>7529</v>
      </c>
      <c r="I4" s="237" t="s">
        <v>6566</v>
      </c>
      <c r="J4" s="237" t="s">
        <v>6569</v>
      </c>
      <c r="K4" s="237" t="s">
        <v>6741</v>
      </c>
      <c r="L4" s="237" t="s">
        <v>7530</v>
      </c>
      <c r="M4" s="237" t="s">
        <v>7531</v>
      </c>
      <c r="N4" s="237" t="s">
        <v>7532</v>
      </c>
      <c r="O4" s="237" t="s">
        <v>738</v>
      </c>
      <c r="P4" s="237" t="s">
        <v>7533</v>
      </c>
      <c r="Q4" s="84" t="s">
        <v>7534</v>
      </c>
      <c r="R4" s="237" t="s">
        <v>7535</v>
      </c>
      <c r="S4" s="237" t="s">
        <v>7536</v>
      </c>
      <c r="T4" s="84" t="s">
        <v>7537</v>
      </c>
      <c r="U4" s="237" t="s">
        <v>7538</v>
      </c>
      <c r="V4" s="237" t="s">
        <v>7539</v>
      </c>
      <c r="W4" s="237" t="s">
        <v>7540</v>
      </c>
      <c r="X4" s="237" t="s">
        <v>7541</v>
      </c>
      <c r="Y4" s="237" t="s">
        <v>7542</v>
      </c>
      <c r="Z4" s="237" t="s">
        <v>7543</v>
      </c>
      <c r="AH4" s="83" t="s">
        <v>7544</v>
      </c>
    </row>
    <row r="5" customFormat="false" ht="29.25" hidden="false" customHeight="true" outlineLevel="0" collapsed="false">
      <c r="A5" s="30" t="s">
        <v>4719</v>
      </c>
      <c r="B5" s="6" t="s">
        <v>7545</v>
      </c>
      <c r="C5" s="241" t="n">
        <v>10.2</v>
      </c>
      <c r="D5" s="239"/>
      <c r="E5" s="239"/>
      <c r="F5" s="30" t="s">
        <v>7546</v>
      </c>
      <c r="G5" s="239" t="s">
        <v>7547</v>
      </c>
      <c r="H5" s="30" t="s">
        <v>7548</v>
      </c>
      <c r="I5" s="30" t="s">
        <v>7549</v>
      </c>
      <c r="J5" s="6" t="s">
        <v>7550</v>
      </c>
      <c r="K5" s="239" t="n">
        <v>1</v>
      </c>
      <c r="L5" s="239" t="s">
        <v>7551</v>
      </c>
      <c r="M5" s="6" t="s">
        <v>7552</v>
      </c>
      <c r="N5" s="239" t="s">
        <v>7553</v>
      </c>
      <c r="O5" s="30" t="s">
        <v>7554</v>
      </c>
      <c r="P5" s="30" t="s">
        <v>751</v>
      </c>
      <c r="Q5" s="30" t="s">
        <v>7555</v>
      </c>
      <c r="R5" s="30" t="s">
        <v>751</v>
      </c>
      <c r="S5" s="30" t="s">
        <v>6868</v>
      </c>
      <c r="T5" s="30" t="s">
        <v>751</v>
      </c>
      <c r="U5" s="30" t="s">
        <v>6864</v>
      </c>
      <c r="V5" s="6" t="s">
        <v>7556</v>
      </c>
      <c r="W5" s="6" t="s">
        <v>7557</v>
      </c>
      <c r="X5" s="32" t="n">
        <f aca="false">IF($O5="Active",SUMPRODUCT(($AH$5:$AH$120=$AH5)*1),0)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DGX H100 最大系統功率¦系統最大功率¦Hopper H100（DGX）</v>
      </c>
    </row>
    <row r="6" customFormat="false" ht="29.25" hidden="false" customHeight="true" outlineLevel="0" collapsed="false">
      <c r="A6" s="30" t="s">
        <v>7558</v>
      </c>
      <c r="B6" s="6" t="s">
        <v>7559</v>
      </c>
      <c r="C6" s="241" t="n">
        <v>30000</v>
      </c>
      <c r="D6" s="239"/>
      <c r="E6" s="239"/>
      <c r="F6" s="30" t="s">
        <v>131</v>
      </c>
      <c r="G6" s="239" t="s">
        <v>7560</v>
      </c>
      <c r="H6" s="30" t="s">
        <v>187</v>
      </c>
      <c r="I6" s="30" t="s">
        <v>7561</v>
      </c>
      <c r="J6" s="6" t="s">
        <v>7562</v>
      </c>
      <c r="K6" s="239" t="n">
        <v>3</v>
      </c>
      <c r="L6" s="239" t="s">
        <v>7551</v>
      </c>
      <c r="M6" s="6" t="s">
        <v>7563</v>
      </c>
      <c r="N6" s="239" t="s">
        <v>7564</v>
      </c>
      <c r="O6" s="30" t="s">
        <v>7554</v>
      </c>
      <c r="P6" s="30" t="s">
        <v>751</v>
      </c>
      <c r="Q6" s="30" t="s">
        <v>7565</v>
      </c>
      <c r="R6" s="30" t="s">
        <v>751</v>
      </c>
      <c r="S6" s="30" t="s">
        <v>751</v>
      </c>
      <c r="T6" s="30" t="s">
        <v>751</v>
      </c>
      <c r="U6" s="30" t="s">
        <v>6873</v>
      </c>
      <c r="V6" s="6" t="s">
        <v>751</v>
      </c>
      <c r="W6" s="6" t="s">
        <v>751</v>
      </c>
      <c r="X6" s="32" t="n">
        <f aca="false">IF($O6="Active",SUMPRODUCT(($AH$5:$AH$120=$AH6)*1),0)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HGX H100 單 GPU 價格¦取得價¦Hopper H100</v>
      </c>
    </row>
    <row r="7" customFormat="false" ht="29.25" hidden="false" customHeight="true" outlineLevel="0" collapsed="false">
      <c r="A7" s="30" t="s">
        <v>4749</v>
      </c>
      <c r="B7" s="6" t="s">
        <v>7566</v>
      </c>
      <c r="C7" s="239"/>
      <c r="D7" s="241" t="n">
        <v>220000</v>
      </c>
      <c r="E7" s="241" t="n">
        <v>320000</v>
      </c>
      <c r="F7" s="30" t="s">
        <v>7567</v>
      </c>
      <c r="G7" s="239" t="s">
        <v>7568</v>
      </c>
      <c r="H7" s="30" t="s">
        <v>187</v>
      </c>
      <c r="I7" s="30" t="s">
        <v>7561</v>
      </c>
      <c r="J7" s="6" t="s">
        <v>7562</v>
      </c>
      <c r="K7" s="239" t="n">
        <v>2</v>
      </c>
      <c r="L7" s="239" t="s">
        <v>7551</v>
      </c>
      <c r="M7" s="6" t="s">
        <v>7563</v>
      </c>
      <c r="N7" s="239" t="s">
        <v>7564</v>
      </c>
      <c r="O7" s="30" t="s">
        <v>7554</v>
      </c>
      <c r="P7" s="30" t="s">
        <v>751</v>
      </c>
      <c r="Q7" s="30" t="s">
        <v>7569</v>
      </c>
      <c r="R7" s="30" t="s">
        <v>751</v>
      </c>
      <c r="S7" s="30" t="s">
        <v>6868</v>
      </c>
      <c r="T7" s="30" t="s">
        <v>751</v>
      </c>
      <c r="U7" s="30" t="s">
        <v>6873</v>
      </c>
      <c r="V7" s="6" t="s">
        <v>7570</v>
      </c>
      <c r="W7" s="6" t="s">
        <v>7571</v>
      </c>
      <c r="X7" s="32" t="n">
        <f aca="false">IF($O7="Active",SUMPRODUCT(($AH$5:$AH$120=$AH7)*1),0)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HGX H100 8 GPU 伺服器價格¦取得價區間¦Hopper H100</v>
      </c>
    </row>
    <row r="8" customFormat="false" ht="29.25" hidden="false" customHeight="true" outlineLevel="0" collapsed="false">
      <c r="A8" s="30" t="s">
        <v>4707</v>
      </c>
      <c r="B8" s="6" t="s">
        <v>7572</v>
      </c>
      <c r="C8" s="239"/>
      <c r="D8" s="241" t="n">
        <v>120</v>
      </c>
      <c r="E8" s="241" t="n">
        <v>132</v>
      </c>
      <c r="F8" s="30" t="s">
        <v>7573</v>
      </c>
      <c r="G8" s="239" t="s">
        <v>7574</v>
      </c>
      <c r="H8" s="30" t="s">
        <v>188</v>
      </c>
      <c r="I8" s="30" t="s">
        <v>7575</v>
      </c>
      <c r="J8" s="6" t="s">
        <v>7576</v>
      </c>
      <c r="K8" s="239" t="n">
        <v>1</v>
      </c>
      <c r="L8" s="239" t="s">
        <v>7551</v>
      </c>
      <c r="M8" s="6" t="s">
        <v>7577</v>
      </c>
      <c r="N8" s="239" t="s">
        <v>7553</v>
      </c>
      <c r="O8" s="30" t="s">
        <v>7554</v>
      </c>
      <c r="P8" s="30" t="s">
        <v>751</v>
      </c>
      <c r="Q8" s="30" t="s">
        <v>7578</v>
      </c>
      <c r="R8" s="30" t="s">
        <v>751</v>
      </c>
      <c r="S8" s="30" t="s">
        <v>6868</v>
      </c>
      <c r="T8" s="30" t="s">
        <v>751</v>
      </c>
      <c r="U8" s="30" t="s">
        <v>7579</v>
      </c>
      <c r="V8" s="6" t="s">
        <v>7580</v>
      </c>
      <c r="W8" s="20" t="s">
        <v>7581</v>
      </c>
      <c r="X8" s="32" t="n">
        <f aca="false">IF($O8="Active",SUMPRODUCT(($AH$5:$AH$120=$AH8)*1),0)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GB200 NVL72 機架功率¦未明（設計或最大）¦GB200 NVL72</v>
      </c>
    </row>
    <row r="9" customFormat="false" ht="29.25" hidden="false" customHeight="true" outlineLevel="0" collapsed="false">
      <c r="A9" s="30" t="s">
        <v>4709</v>
      </c>
      <c r="B9" s="6" t="s">
        <v>7582</v>
      </c>
      <c r="C9" s="239"/>
      <c r="D9" s="241" t="n">
        <v>132</v>
      </c>
      <c r="E9" s="241" t="n">
        <v>140</v>
      </c>
      <c r="F9" s="30" t="s">
        <v>7573</v>
      </c>
      <c r="G9" s="239" t="s">
        <v>7583</v>
      </c>
      <c r="H9" s="30" t="s">
        <v>189</v>
      </c>
      <c r="I9" s="30" t="s">
        <v>7575</v>
      </c>
      <c r="J9" s="6" t="s">
        <v>7584</v>
      </c>
      <c r="K9" s="239" t="n">
        <v>2</v>
      </c>
      <c r="L9" s="239" t="s">
        <v>7551</v>
      </c>
      <c r="M9" s="6" t="s">
        <v>7577</v>
      </c>
      <c r="N9" s="239" t="s">
        <v>7564</v>
      </c>
      <c r="O9" s="30" t="s">
        <v>7554</v>
      </c>
      <c r="P9" s="30" t="s">
        <v>751</v>
      </c>
      <c r="Q9" s="30" t="s">
        <v>7585</v>
      </c>
      <c r="R9" s="30" t="s">
        <v>751</v>
      </c>
      <c r="S9" s="30" t="s">
        <v>6868</v>
      </c>
      <c r="T9" s="30" t="s">
        <v>751</v>
      </c>
      <c r="U9" s="30" t="s">
        <v>7579</v>
      </c>
      <c r="V9" s="6" t="s">
        <v>7586</v>
      </c>
      <c r="W9" s="20" t="s">
        <v>7587</v>
      </c>
      <c r="X9" s="32" t="n">
        <f aca="false">IF($O9="Active",SUMPRODUCT(($AH$5:$AH$120=$AH9)*1),0)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GB300 NVL72 機架功率¦未明¦GB300 NVL72</v>
      </c>
    </row>
    <row r="10" customFormat="false" ht="43.5" hidden="false" customHeight="true" outlineLevel="0" collapsed="false">
      <c r="A10" s="30" t="s">
        <v>4753</v>
      </c>
      <c r="B10" s="6" t="s">
        <v>7588</v>
      </c>
      <c r="C10" s="239"/>
      <c r="D10" s="241" t="n">
        <v>2.8</v>
      </c>
      <c r="E10" s="241" t="n">
        <v>3.4</v>
      </c>
      <c r="F10" s="30" t="s">
        <v>7589</v>
      </c>
      <c r="G10" s="239" t="s">
        <v>7590</v>
      </c>
      <c r="H10" s="30" t="s">
        <v>188</v>
      </c>
      <c r="I10" s="30" t="s">
        <v>7591</v>
      </c>
      <c r="J10" s="6" t="s">
        <v>7592</v>
      </c>
      <c r="K10" s="239" t="n">
        <v>2</v>
      </c>
      <c r="L10" s="239" t="s">
        <v>7551</v>
      </c>
      <c r="M10" s="20" t="s">
        <v>7593</v>
      </c>
      <c r="N10" s="239" t="s">
        <v>7564</v>
      </c>
      <c r="O10" s="30" t="s">
        <v>7554</v>
      </c>
      <c r="P10" s="30" t="s">
        <v>751</v>
      </c>
      <c r="Q10" s="30" t="s">
        <v>7594</v>
      </c>
      <c r="R10" s="30" t="s">
        <v>751</v>
      </c>
      <c r="S10" s="30" t="s">
        <v>6868</v>
      </c>
      <c r="T10" s="30" t="s">
        <v>751</v>
      </c>
      <c r="U10" s="30" t="s">
        <v>7595</v>
      </c>
      <c r="V10" s="6" t="s">
        <v>7596</v>
      </c>
      <c r="W10" s="20" t="s">
        <v>7597</v>
      </c>
      <c r="X10" s="32" t="n">
        <f aca="false">IF($O10="Active",SUMPRODUCT(($AH$5:$AH$120=$AH10)*1),0)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GB200 NVL72 機架價格¦媒體報價¦GB200 NVL72</v>
      </c>
    </row>
    <row r="11" customFormat="false" ht="29.25" hidden="false" customHeight="true" outlineLevel="0" collapsed="false">
      <c r="A11" s="30" t="s">
        <v>7598</v>
      </c>
      <c r="B11" s="6" t="s">
        <v>7599</v>
      </c>
      <c r="C11" s="239"/>
      <c r="D11" s="241" t="n">
        <v>6</v>
      </c>
      <c r="E11" s="241" t="n">
        <v>6.5</v>
      </c>
      <c r="F11" s="30" t="s">
        <v>7589</v>
      </c>
      <c r="G11" s="239" t="s">
        <v>7590</v>
      </c>
      <c r="H11" s="30" t="s">
        <v>189</v>
      </c>
      <c r="I11" s="30" t="s">
        <v>7591</v>
      </c>
      <c r="J11" s="6" t="s">
        <v>7592</v>
      </c>
      <c r="K11" s="239" t="n">
        <v>3</v>
      </c>
      <c r="L11" s="239" t="s">
        <v>7551</v>
      </c>
      <c r="M11" s="20" t="s">
        <v>7593</v>
      </c>
      <c r="N11" s="239" t="s">
        <v>7564</v>
      </c>
      <c r="O11" s="30" t="s">
        <v>7600</v>
      </c>
      <c r="P11" s="30" t="s">
        <v>751</v>
      </c>
      <c r="Q11" s="30" t="s">
        <v>7601</v>
      </c>
      <c r="R11" s="30" t="s">
        <v>751</v>
      </c>
      <c r="S11" s="30" t="s">
        <v>751</v>
      </c>
      <c r="T11" s="30" t="s">
        <v>751</v>
      </c>
      <c r="U11" s="30" t="s">
        <v>7595</v>
      </c>
      <c r="V11" s="243" t="s">
        <v>7602</v>
      </c>
      <c r="W11" s="6" t="s">
        <v>7603</v>
      </c>
      <c r="X11" s="32" t="n">
        <f aca="false">IF($O11="Active",SUMPRODUCT(($AH$5:$AH$120=$AH11)*1),0)</f>
        <v>0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/>
      </c>
    </row>
    <row r="12" customFormat="false" ht="29.25" hidden="false" customHeight="true" outlineLevel="0" collapsed="false">
      <c r="A12" s="30" t="s">
        <v>7604</v>
      </c>
      <c r="B12" s="6" t="s">
        <v>7605</v>
      </c>
      <c r="C12" s="239"/>
      <c r="D12" s="241" t="n">
        <v>5</v>
      </c>
      <c r="E12" s="241" t="n">
        <v>7</v>
      </c>
      <c r="F12" s="30" t="s">
        <v>7589</v>
      </c>
      <c r="G12" s="239" t="s">
        <v>7590</v>
      </c>
      <c r="H12" s="30" t="s">
        <v>190</v>
      </c>
      <c r="I12" s="30" t="s">
        <v>7591</v>
      </c>
      <c r="J12" s="6" t="s">
        <v>7592</v>
      </c>
      <c r="K12" s="239" t="n">
        <v>3</v>
      </c>
      <c r="L12" s="239" t="s">
        <v>7551</v>
      </c>
      <c r="M12" s="20" t="s">
        <v>7593</v>
      </c>
      <c r="N12" s="239" t="s">
        <v>7564</v>
      </c>
      <c r="O12" s="30" t="s">
        <v>7600</v>
      </c>
      <c r="P12" s="30" t="s">
        <v>751</v>
      </c>
      <c r="Q12" s="30" t="s">
        <v>7606</v>
      </c>
      <c r="R12" s="30" t="s">
        <v>751</v>
      </c>
      <c r="S12" s="30" t="s">
        <v>751</v>
      </c>
      <c r="T12" s="30" t="s">
        <v>751</v>
      </c>
      <c r="U12" s="30" t="s">
        <v>7595</v>
      </c>
      <c r="V12" s="6" t="s">
        <v>751</v>
      </c>
      <c r="W12" s="20" t="s">
        <v>7607</v>
      </c>
      <c r="X12" s="32" t="n">
        <f aca="false">IF($O12="Active",SUMPRODUCT(($AH$5:$AH$120=$AH12)*1),0)</f>
        <v>0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/>
      </c>
    </row>
    <row r="13" customFormat="false" ht="15" hidden="false" customHeight="true" outlineLevel="0" collapsed="false">
      <c r="A13" s="30" t="s">
        <v>7608</v>
      </c>
      <c r="B13" s="6" t="s">
        <v>7609</v>
      </c>
      <c r="C13" s="239"/>
      <c r="D13" s="241" t="n">
        <v>132</v>
      </c>
      <c r="E13" s="241" t="n">
        <v>140</v>
      </c>
      <c r="F13" s="30" t="s">
        <v>7573</v>
      </c>
      <c r="G13" s="239" t="s">
        <v>7610</v>
      </c>
      <c r="H13" s="30" t="s">
        <v>189</v>
      </c>
      <c r="I13" s="30" t="s">
        <v>1385</v>
      </c>
      <c r="J13" s="6" t="s">
        <v>7611</v>
      </c>
      <c r="K13" s="239" t="n">
        <v>3</v>
      </c>
      <c r="L13" s="239" t="s">
        <v>7551</v>
      </c>
      <c r="M13" s="6" t="s">
        <v>7612</v>
      </c>
      <c r="N13" s="239" t="s">
        <v>7564</v>
      </c>
      <c r="O13" s="30" t="s">
        <v>7554</v>
      </c>
      <c r="P13" s="30" t="s">
        <v>751</v>
      </c>
      <c r="Q13" s="30" t="s">
        <v>7613</v>
      </c>
      <c r="R13" s="30" t="s">
        <v>751</v>
      </c>
      <c r="S13" s="30" t="s">
        <v>751</v>
      </c>
      <c r="T13" s="30" t="s">
        <v>751</v>
      </c>
      <c r="U13" s="30" t="s">
        <v>7614</v>
      </c>
      <c r="V13" s="6" t="s">
        <v>7615</v>
      </c>
      <c r="W13" s="6" t="s">
        <v>751</v>
      </c>
      <c r="X13" s="32" t="n">
        <f aca="false">IF($O13="Active",SUMPRODUCT(($AH$5:$AH$120=$AH13)*1),0)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Supermicro GB300 NVL72 機架功率¦廠商規格¦GB300 NVL72</v>
      </c>
    </row>
    <row r="14" customFormat="false" ht="29.25" hidden="false" customHeight="true" outlineLevel="0" collapsed="false">
      <c r="A14" s="30" t="s">
        <v>4794</v>
      </c>
      <c r="B14" s="6" t="s">
        <v>7616</v>
      </c>
      <c r="C14" s="241" t="n">
        <v>5</v>
      </c>
      <c r="D14" s="239"/>
      <c r="E14" s="239"/>
      <c r="F14" s="30" t="s">
        <v>7589</v>
      </c>
      <c r="G14" s="239" t="s">
        <v>7617</v>
      </c>
      <c r="H14" s="30" t="s">
        <v>189</v>
      </c>
      <c r="I14" s="30" t="s">
        <v>1385</v>
      </c>
      <c r="J14" s="6" t="s">
        <v>7618</v>
      </c>
      <c r="K14" s="239" t="n">
        <v>2</v>
      </c>
      <c r="L14" s="239" t="s">
        <v>7551</v>
      </c>
      <c r="M14" s="20" t="s">
        <v>7619</v>
      </c>
      <c r="N14" s="239" t="s">
        <v>7564</v>
      </c>
      <c r="O14" s="30" t="s">
        <v>7554</v>
      </c>
      <c r="P14" s="30" t="s">
        <v>751</v>
      </c>
      <c r="Q14" s="30" t="s">
        <v>7620</v>
      </c>
      <c r="R14" s="30" t="s">
        <v>751</v>
      </c>
      <c r="S14" s="30" t="s">
        <v>3944</v>
      </c>
      <c r="T14" s="30" t="s">
        <v>751</v>
      </c>
      <c r="U14" s="30" t="s">
        <v>7621</v>
      </c>
      <c r="V14" s="6" t="s">
        <v>7622</v>
      </c>
      <c r="W14" s="6" t="s">
        <v>7623</v>
      </c>
      <c r="X14" s="32" t="n">
        <f aca="false">IF($O14="Active",SUMPRODUCT(($AH$5:$AH$120=$AH14)*1),0)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GB300 NVL72 採購單價¦採購單¦GB300 NVL72</v>
      </c>
    </row>
    <row r="15" customFormat="false" ht="43.5" hidden="false" customHeight="true" outlineLevel="0" collapsed="false">
      <c r="A15" s="30" t="s">
        <v>4712</v>
      </c>
      <c r="B15" s="6" t="s">
        <v>7624</v>
      </c>
      <c r="C15" s="241" t="n">
        <v>188</v>
      </c>
      <c r="D15" s="239"/>
      <c r="E15" s="239"/>
      <c r="F15" s="30" t="s">
        <v>7573</v>
      </c>
      <c r="G15" s="239" t="s">
        <v>7625</v>
      </c>
      <c r="H15" s="30" t="s">
        <v>190</v>
      </c>
      <c r="I15" s="30" t="s">
        <v>7561</v>
      </c>
      <c r="J15" s="6" t="s">
        <v>7626</v>
      </c>
      <c r="K15" s="239" t="n">
        <v>1</v>
      </c>
      <c r="L15" s="239" t="s">
        <v>7551</v>
      </c>
      <c r="M15" s="20" t="s">
        <v>7627</v>
      </c>
      <c r="N15" s="239" t="s">
        <v>7553</v>
      </c>
      <c r="O15" s="30" t="s">
        <v>7554</v>
      </c>
      <c r="P15" s="30" t="s">
        <v>751</v>
      </c>
      <c r="Q15" s="30" t="s">
        <v>7628</v>
      </c>
      <c r="R15" s="30" t="s">
        <v>751</v>
      </c>
      <c r="S15" s="30" t="s">
        <v>6868</v>
      </c>
      <c r="T15" s="30" t="s">
        <v>751</v>
      </c>
      <c r="U15" s="30" t="s">
        <v>7629</v>
      </c>
      <c r="V15" s="6" t="s">
        <v>7630</v>
      </c>
      <c r="W15" s="6" t="s">
        <v>7631</v>
      </c>
      <c r="X15" s="32" t="n">
        <f aca="false">IF($O15="Active",SUMPRODUCT(($AH$5:$AH$120=$AH15)*1),0)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VR200 NVL72 機架功率 Max-Q¦運轉模式 Max-Q¦VR200 NVL72</v>
      </c>
    </row>
    <row r="16" customFormat="false" ht="43.5" hidden="false" customHeight="true" outlineLevel="0" collapsed="false">
      <c r="A16" s="30" t="s">
        <v>4743</v>
      </c>
      <c r="B16" s="6" t="s">
        <v>7632</v>
      </c>
      <c r="C16" s="241" t="n">
        <v>230</v>
      </c>
      <c r="D16" s="239"/>
      <c r="E16" s="239"/>
      <c r="F16" s="30" t="s">
        <v>7573</v>
      </c>
      <c r="G16" s="239" t="s">
        <v>7633</v>
      </c>
      <c r="H16" s="30" t="s">
        <v>190</v>
      </c>
      <c r="I16" s="30" t="s">
        <v>7561</v>
      </c>
      <c r="J16" s="6" t="s">
        <v>7634</v>
      </c>
      <c r="K16" s="239" t="n">
        <v>3</v>
      </c>
      <c r="L16" s="239" t="s">
        <v>7551</v>
      </c>
      <c r="M16" s="20" t="s">
        <v>7627</v>
      </c>
      <c r="N16" s="239" t="s">
        <v>7564</v>
      </c>
      <c r="O16" s="30" t="s">
        <v>7554</v>
      </c>
      <c r="P16" s="30" t="s">
        <v>751</v>
      </c>
      <c r="Q16" s="30" t="s">
        <v>7635</v>
      </c>
      <c r="R16" s="30" t="s">
        <v>751</v>
      </c>
      <c r="S16" s="30" t="s">
        <v>751</v>
      </c>
      <c r="T16" s="30" t="s">
        <v>751</v>
      </c>
      <c r="U16" s="30" t="s">
        <v>7629</v>
      </c>
      <c r="V16" s="6" t="s">
        <v>7636</v>
      </c>
      <c r="W16" s="6" t="s">
        <v>4533</v>
      </c>
      <c r="X16" s="32" t="n">
        <f aca="false">IF($O16="Active",SUMPRODUCT(($AH$5:$AH$120=$AH16)*1),0)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VR200 NVL72 機架功率 Max-P¦運轉模式 Max-P¦VR200 NVL72</v>
      </c>
    </row>
    <row r="17" customFormat="false" ht="43.5" hidden="false" customHeight="true" outlineLevel="0" collapsed="false">
      <c r="A17" s="30" t="s">
        <v>7637</v>
      </c>
      <c r="B17" s="6" t="s">
        <v>7638</v>
      </c>
      <c r="C17" s="241" t="n">
        <v>600</v>
      </c>
      <c r="D17" s="239"/>
      <c r="E17" s="239"/>
      <c r="F17" s="30" t="s">
        <v>7573</v>
      </c>
      <c r="G17" s="239" t="s">
        <v>7639</v>
      </c>
      <c r="H17" s="30" t="s">
        <v>7640</v>
      </c>
      <c r="I17" s="30" t="s">
        <v>7561</v>
      </c>
      <c r="J17" s="6" t="s">
        <v>7634</v>
      </c>
      <c r="K17" s="239" t="n">
        <v>3</v>
      </c>
      <c r="L17" s="239" t="s">
        <v>7551</v>
      </c>
      <c r="M17" s="20" t="s">
        <v>7627</v>
      </c>
      <c r="N17" s="239" t="s">
        <v>7564</v>
      </c>
      <c r="O17" s="30" t="s">
        <v>7641</v>
      </c>
      <c r="P17" s="30" t="s">
        <v>7642</v>
      </c>
      <c r="Q17" s="30" t="s">
        <v>7635</v>
      </c>
      <c r="R17" s="30" t="s">
        <v>751</v>
      </c>
      <c r="S17" s="30" t="s">
        <v>751</v>
      </c>
      <c r="T17" s="30" t="s">
        <v>751</v>
      </c>
      <c r="U17" s="30" t="s">
        <v>7629</v>
      </c>
      <c r="V17" s="6" t="s">
        <v>7643</v>
      </c>
      <c r="W17" s="20" t="s">
        <v>7644</v>
      </c>
      <c r="X17" s="32" t="n">
        <f aca="false">IF($O17="Active",SUMPRODUCT(($AH$5:$AH$120=$AH17)*1),0)</f>
        <v>0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/>
      </c>
    </row>
    <row r="18" customFormat="false" ht="15" hidden="false" customHeight="true" outlineLevel="0" collapsed="false">
      <c r="A18" s="30" t="s">
        <v>4730</v>
      </c>
      <c r="B18" s="6" t="s">
        <v>7645</v>
      </c>
      <c r="C18" s="241" t="n">
        <v>227</v>
      </c>
      <c r="D18" s="239"/>
      <c r="E18" s="239"/>
      <c r="F18" s="30" t="s">
        <v>7573</v>
      </c>
      <c r="G18" s="30" t="s">
        <v>7646</v>
      </c>
      <c r="H18" s="30" t="s">
        <v>190</v>
      </c>
      <c r="I18" s="30" t="s">
        <v>1382</v>
      </c>
      <c r="J18" s="6" t="s">
        <v>7647</v>
      </c>
      <c r="K18" s="239" t="n">
        <v>1</v>
      </c>
      <c r="L18" s="239" t="s">
        <v>7551</v>
      </c>
      <c r="M18" s="6" t="s">
        <v>7648</v>
      </c>
      <c r="N18" s="239" t="s">
        <v>7553</v>
      </c>
      <c r="O18" s="30" t="s">
        <v>7554</v>
      </c>
      <c r="P18" s="30" t="s">
        <v>751</v>
      </c>
      <c r="Q18" s="30" t="s">
        <v>7649</v>
      </c>
      <c r="R18" s="30" t="s">
        <v>7650</v>
      </c>
      <c r="S18" s="30" t="s">
        <v>6868</v>
      </c>
      <c r="T18" s="30" t="s">
        <v>751</v>
      </c>
      <c r="U18" s="30" t="s">
        <v>7651</v>
      </c>
      <c r="V18" s="6" t="s">
        <v>7652</v>
      </c>
      <c r="W18" s="6" t="s">
        <v>7653</v>
      </c>
      <c r="X18" s="32" t="n">
        <f aca="false">IF($O18="Active",SUMPRODUCT(($AH$5:$AH$120=$AH18)*1),0)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Supermicro VR NVL72 散熱設計點¦DLC-2 設計點¦VR200 NVL72</v>
      </c>
    </row>
    <row r="19" customFormat="false" ht="40.5" hidden="false" customHeight="true" outlineLevel="0" collapsed="false">
      <c r="A19" s="30" t="s">
        <v>4760</v>
      </c>
      <c r="B19" s="6" t="s">
        <v>7654</v>
      </c>
      <c r="C19" s="241" t="n">
        <v>7.8</v>
      </c>
      <c r="D19" s="239"/>
      <c r="E19" s="239"/>
      <c r="F19" s="30" t="s">
        <v>7589</v>
      </c>
      <c r="G19" s="239" t="s">
        <v>7655</v>
      </c>
      <c r="H19" s="30" t="s">
        <v>190</v>
      </c>
      <c r="I19" s="30" t="s">
        <v>7656</v>
      </c>
      <c r="J19" s="6" t="s">
        <v>7657</v>
      </c>
      <c r="K19" s="239" t="n">
        <v>2</v>
      </c>
      <c r="L19" s="239" t="s">
        <v>7658</v>
      </c>
      <c r="M19" s="6" t="s">
        <v>7659</v>
      </c>
      <c r="N19" s="239" t="s">
        <v>7564</v>
      </c>
      <c r="O19" s="30" t="s">
        <v>7554</v>
      </c>
      <c r="P19" s="30" t="s">
        <v>751</v>
      </c>
      <c r="Q19" s="30" t="s">
        <v>7660</v>
      </c>
      <c r="R19" s="30" t="s">
        <v>751</v>
      </c>
      <c r="S19" s="30" t="s">
        <v>6868</v>
      </c>
      <c r="T19" s="30" t="s">
        <v>751</v>
      </c>
      <c r="U19" s="30" t="s">
        <v>7661</v>
      </c>
      <c r="V19" s="6" t="s">
        <v>7662</v>
      </c>
      <c r="W19" s="6" t="s">
        <v>7663</v>
      </c>
      <c r="X19" s="32" t="n">
        <f aca="false">IF($O19="Active",SUMPRODUCT(($AH$5:$AH$120=$AH19)*1),0)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VR200 NVL72 機架成本（Morgan Stanley）¦分析師估計¦VR200 NVL72</v>
      </c>
    </row>
    <row r="20" customFormat="false" ht="40.5" hidden="false" customHeight="true" outlineLevel="0" collapsed="false">
      <c r="A20" s="30" t="s">
        <v>7664</v>
      </c>
      <c r="B20" s="6" t="s">
        <v>7665</v>
      </c>
      <c r="C20" s="241" t="n">
        <v>6.7</v>
      </c>
      <c r="D20" s="239"/>
      <c r="E20" s="239"/>
      <c r="F20" s="30" t="s">
        <v>7589</v>
      </c>
      <c r="G20" s="239" t="s">
        <v>7666</v>
      </c>
      <c r="H20" s="30" t="s">
        <v>190</v>
      </c>
      <c r="I20" s="30" t="s">
        <v>7656</v>
      </c>
      <c r="J20" s="6" t="s">
        <v>7657</v>
      </c>
      <c r="K20" s="239" t="n">
        <v>3</v>
      </c>
      <c r="L20" s="239" t="s">
        <v>7658</v>
      </c>
      <c r="M20" s="6" t="s">
        <v>7667</v>
      </c>
      <c r="N20" s="239" t="s">
        <v>7564</v>
      </c>
      <c r="O20" s="30" t="s">
        <v>7600</v>
      </c>
      <c r="P20" s="30" t="s">
        <v>751</v>
      </c>
      <c r="Q20" s="30" t="s">
        <v>7668</v>
      </c>
      <c r="R20" s="30" t="s">
        <v>751</v>
      </c>
      <c r="S20" s="30" t="s">
        <v>751</v>
      </c>
      <c r="T20" s="30" t="s">
        <v>751</v>
      </c>
      <c r="U20" s="30" t="s">
        <v>7661</v>
      </c>
      <c r="V20" s="6" t="s">
        <v>7669</v>
      </c>
      <c r="W20" s="20" t="s">
        <v>7670</v>
      </c>
      <c r="X20" s="32" t="n">
        <f aca="false">IF($O20="Active",SUMPRODUCT(($AH$5:$AH$120=$AH20)*1),0)</f>
        <v>0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/>
      </c>
    </row>
    <row r="21" customFormat="false" ht="40.5" hidden="false" customHeight="true" outlineLevel="0" collapsed="false">
      <c r="A21" s="30" t="s">
        <v>4797</v>
      </c>
      <c r="B21" s="6" t="s">
        <v>7671</v>
      </c>
      <c r="C21" s="241" t="n">
        <v>9.09</v>
      </c>
      <c r="D21" s="239"/>
      <c r="E21" s="239"/>
      <c r="F21" s="30" t="s">
        <v>7589</v>
      </c>
      <c r="G21" s="239" t="s">
        <v>7672</v>
      </c>
      <c r="H21" s="30" t="s">
        <v>190</v>
      </c>
      <c r="I21" s="30" t="s">
        <v>7575</v>
      </c>
      <c r="J21" s="6" t="s">
        <v>7673</v>
      </c>
      <c r="K21" s="239" t="n">
        <v>2</v>
      </c>
      <c r="L21" s="239" t="s">
        <v>7658</v>
      </c>
      <c r="M21" s="6" t="s">
        <v>7667</v>
      </c>
      <c r="N21" s="239" t="s">
        <v>7564</v>
      </c>
      <c r="O21" s="30" t="s">
        <v>7600</v>
      </c>
      <c r="P21" s="30" t="s">
        <v>751</v>
      </c>
      <c r="Q21" s="30" t="s">
        <v>7674</v>
      </c>
      <c r="R21" s="30" t="s">
        <v>751</v>
      </c>
      <c r="S21" s="30" t="s">
        <v>3944</v>
      </c>
      <c r="T21" s="30" t="s">
        <v>751</v>
      </c>
      <c r="U21" s="30" t="s">
        <v>7661</v>
      </c>
      <c r="V21" s="6" t="s">
        <v>7675</v>
      </c>
      <c r="W21" s="20" t="s">
        <v>7676</v>
      </c>
      <c r="X21" s="32" t="n">
        <f aca="false">IF($O21="Active",SUMPRODUCT(($AH$5:$AH$120=$AH21)*1),0)</f>
        <v>0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/>
      </c>
    </row>
    <row r="22" customFormat="false" ht="29.25" hidden="false" customHeight="true" outlineLevel="0" collapsed="false">
      <c r="A22" s="30" t="s">
        <v>7677</v>
      </c>
      <c r="B22" s="6" t="s">
        <v>7678</v>
      </c>
      <c r="C22" s="241" t="n">
        <v>1</v>
      </c>
      <c r="D22" s="239"/>
      <c r="E22" s="239"/>
      <c r="F22" s="30" t="s">
        <v>7589</v>
      </c>
      <c r="G22" s="239" t="s">
        <v>7639</v>
      </c>
      <c r="H22" s="30" t="s">
        <v>190</v>
      </c>
      <c r="I22" s="30" t="s">
        <v>7561</v>
      </c>
      <c r="J22" s="6" t="s">
        <v>7679</v>
      </c>
      <c r="K22" s="239" t="n">
        <v>3</v>
      </c>
      <c r="L22" s="239" t="s">
        <v>7551</v>
      </c>
      <c r="M22" s="6" t="s">
        <v>7680</v>
      </c>
      <c r="N22" s="239" t="s">
        <v>7564</v>
      </c>
      <c r="O22" s="30" t="s">
        <v>7600</v>
      </c>
      <c r="P22" s="30" t="s">
        <v>751</v>
      </c>
      <c r="Q22" s="30" t="s">
        <v>7681</v>
      </c>
      <c r="R22" s="30" t="s">
        <v>751</v>
      </c>
      <c r="S22" s="30" t="s">
        <v>751</v>
      </c>
      <c r="T22" s="30" t="s">
        <v>751</v>
      </c>
      <c r="U22" s="30" t="s">
        <v>7682</v>
      </c>
      <c r="V22" s="6" t="s">
        <v>751</v>
      </c>
      <c r="W22" s="20" t="s">
        <v>7683</v>
      </c>
      <c r="X22" s="32" t="n">
        <f aca="false">IF($O22="Active",SUMPRODUCT(($AH$5:$AH$120=$AH22)*1),0)</f>
        <v>0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/>
      </c>
    </row>
    <row r="23" customFormat="false" ht="29.25" hidden="false" customHeight="true" outlineLevel="0" collapsed="false">
      <c r="A23" s="30" t="s">
        <v>4971</v>
      </c>
      <c r="B23" s="6" t="s">
        <v>7684</v>
      </c>
      <c r="C23" s="241" t="n">
        <v>0.989</v>
      </c>
      <c r="D23" s="239"/>
      <c r="E23" s="239"/>
      <c r="F23" s="30" t="s">
        <v>501</v>
      </c>
      <c r="G23" s="30" t="s">
        <v>7685</v>
      </c>
      <c r="H23" s="30" t="s">
        <v>187</v>
      </c>
      <c r="I23" s="30" t="s">
        <v>7686</v>
      </c>
      <c r="J23" s="20" t="s">
        <v>7687</v>
      </c>
      <c r="K23" s="239" t="n">
        <v>3</v>
      </c>
      <c r="L23" s="239" t="s">
        <v>7551</v>
      </c>
      <c r="M23" s="6" t="s">
        <v>7688</v>
      </c>
      <c r="N23" s="239" t="s">
        <v>7689</v>
      </c>
      <c r="O23" s="30" t="s">
        <v>7554</v>
      </c>
      <c r="P23" s="30" t="s">
        <v>751</v>
      </c>
      <c r="Q23" s="30" t="s">
        <v>7690</v>
      </c>
      <c r="R23" s="30" t="s">
        <v>751</v>
      </c>
      <c r="S23" s="30" t="s">
        <v>751</v>
      </c>
      <c r="T23" s="30" t="s">
        <v>751</v>
      </c>
      <c r="U23" s="30" t="s">
        <v>7691</v>
      </c>
      <c r="V23" s="6" t="s">
        <v>7692</v>
      </c>
      <c r="W23" s="6" t="s">
        <v>7693</v>
      </c>
      <c r="X23" s="32" t="n">
        <f aca="false">IF($O23="Active",SUMPRODUCT(($AH$5:$AH$120=$AH23)*1),0)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H100 BF16 dense 峰值¦dense¦Hopper H100</v>
      </c>
    </row>
    <row r="24" customFormat="false" ht="15" hidden="false" customHeight="true" outlineLevel="0" collapsed="false">
      <c r="A24" s="30" t="s">
        <v>4837</v>
      </c>
      <c r="B24" s="6" t="s">
        <v>7694</v>
      </c>
      <c r="C24" s="241" t="n">
        <v>80</v>
      </c>
      <c r="D24" s="239"/>
      <c r="E24" s="239"/>
      <c r="F24" s="30" t="s">
        <v>862</v>
      </c>
      <c r="G24" s="30" t="s">
        <v>751</v>
      </c>
      <c r="H24" s="30" t="s">
        <v>187</v>
      </c>
      <c r="I24" s="30" t="s">
        <v>7686</v>
      </c>
      <c r="J24" s="20" t="s">
        <v>7687</v>
      </c>
      <c r="K24" s="239" t="n">
        <v>3</v>
      </c>
      <c r="L24" s="239" t="s">
        <v>7551</v>
      </c>
      <c r="M24" s="6" t="s">
        <v>7688</v>
      </c>
      <c r="N24" s="239" t="s">
        <v>7689</v>
      </c>
      <c r="O24" s="30" t="s">
        <v>7554</v>
      </c>
      <c r="P24" s="30" t="s">
        <v>751</v>
      </c>
      <c r="Q24" s="30" t="s">
        <v>7690</v>
      </c>
      <c r="R24" s="30" t="s">
        <v>751</v>
      </c>
      <c r="S24" s="30" t="s">
        <v>751</v>
      </c>
      <c r="T24" s="30" t="s">
        <v>751</v>
      </c>
      <c r="U24" s="30" t="s">
        <v>7691</v>
      </c>
      <c r="V24" s="6" t="s">
        <v>7695</v>
      </c>
      <c r="W24" s="6" t="s">
        <v>751</v>
      </c>
      <c r="X24" s="32" t="n">
        <f aca="false">IF($O24="Active",SUMPRODUCT(($AH$5:$AH$120=$AH24)*1),0)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H100 HBM 容量¦—¦Hopper H100</v>
      </c>
    </row>
    <row r="25" customFormat="false" ht="15" hidden="false" customHeight="true" outlineLevel="0" collapsed="false">
      <c r="A25" s="30" t="s">
        <v>4853</v>
      </c>
      <c r="B25" s="6" t="s">
        <v>7696</v>
      </c>
      <c r="C25" s="241" t="n">
        <v>3.35</v>
      </c>
      <c r="D25" s="239"/>
      <c r="E25" s="239"/>
      <c r="F25" s="30" t="s">
        <v>377</v>
      </c>
      <c r="G25" s="30" t="s">
        <v>751</v>
      </c>
      <c r="H25" s="30" t="s">
        <v>187</v>
      </c>
      <c r="I25" s="30" t="s">
        <v>7686</v>
      </c>
      <c r="J25" s="20" t="s">
        <v>7687</v>
      </c>
      <c r="K25" s="239" t="n">
        <v>3</v>
      </c>
      <c r="L25" s="239" t="s">
        <v>7551</v>
      </c>
      <c r="M25" s="6" t="s">
        <v>7688</v>
      </c>
      <c r="N25" s="239" t="s">
        <v>7689</v>
      </c>
      <c r="O25" s="30" t="s">
        <v>7554</v>
      </c>
      <c r="P25" s="30" t="s">
        <v>751</v>
      </c>
      <c r="Q25" s="30" t="s">
        <v>7690</v>
      </c>
      <c r="R25" s="30" t="s">
        <v>751</v>
      </c>
      <c r="S25" s="30" t="s">
        <v>751</v>
      </c>
      <c r="T25" s="30" t="s">
        <v>751</v>
      </c>
      <c r="U25" s="30" t="s">
        <v>7691</v>
      </c>
      <c r="V25" s="6" t="s">
        <v>7697</v>
      </c>
      <c r="W25" s="6" t="s">
        <v>751</v>
      </c>
      <c r="X25" s="32" t="n">
        <f aca="false">IF($O25="Active",SUMPRODUCT(($AH$5:$AH$120=$AH25)*1),0)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H100 HBM 頻寬¦—¦Hopper H100</v>
      </c>
    </row>
    <row r="26" customFormat="false" ht="29.25" hidden="false" customHeight="true" outlineLevel="0" collapsed="false">
      <c r="A26" s="30" t="s">
        <v>4808</v>
      </c>
      <c r="B26" s="6" t="s">
        <v>7698</v>
      </c>
      <c r="C26" s="241" t="n">
        <v>10</v>
      </c>
      <c r="D26" s="239"/>
      <c r="E26" s="239"/>
      <c r="F26" s="30" t="s">
        <v>501</v>
      </c>
      <c r="G26" s="30" t="s">
        <v>7685</v>
      </c>
      <c r="H26" s="30" t="s">
        <v>188</v>
      </c>
      <c r="I26" s="30" t="s">
        <v>7686</v>
      </c>
      <c r="J26" s="20" t="s">
        <v>7687</v>
      </c>
      <c r="K26" s="239" t="n">
        <v>1</v>
      </c>
      <c r="L26" s="239" t="s">
        <v>7551</v>
      </c>
      <c r="M26" s="6" t="s">
        <v>7688</v>
      </c>
      <c r="N26" s="239" t="s">
        <v>7553</v>
      </c>
      <c r="O26" s="30" t="s">
        <v>7554</v>
      </c>
      <c r="P26" s="30" t="s">
        <v>751</v>
      </c>
      <c r="Q26" s="30" t="s">
        <v>7699</v>
      </c>
      <c r="R26" s="30" t="s">
        <v>751</v>
      </c>
      <c r="S26" s="30" t="s">
        <v>6868</v>
      </c>
      <c r="T26" s="30" t="s">
        <v>751</v>
      </c>
      <c r="U26" s="30" t="s">
        <v>7691</v>
      </c>
      <c r="V26" s="6" t="s">
        <v>7700</v>
      </c>
      <c r="W26" s="20" t="s">
        <v>7701</v>
      </c>
      <c r="X26" s="32" t="n">
        <f aca="false">IF($O26="Active",SUMPRODUCT(($AH$5:$AH$120=$AH26)*1),0)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GB200 FP4 dense 峰值¦dense¦GB200 NVL72</v>
      </c>
    </row>
    <row r="27" customFormat="false" ht="15" hidden="false" customHeight="true" outlineLevel="0" collapsed="false">
      <c r="A27" s="30" t="s">
        <v>4856</v>
      </c>
      <c r="B27" s="6" t="s">
        <v>7702</v>
      </c>
      <c r="C27" s="241" t="n">
        <v>8</v>
      </c>
      <c r="D27" s="239"/>
      <c r="E27" s="239"/>
      <c r="F27" s="30" t="s">
        <v>377</v>
      </c>
      <c r="G27" s="30" t="s">
        <v>751</v>
      </c>
      <c r="H27" s="30" t="s">
        <v>188</v>
      </c>
      <c r="I27" s="30" t="s">
        <v>7686</v>
      </c>
      <c r="J27" s="20" t="s">
        <v>7687</v>
      </c>
      <c r="K27" s="239" t="n">
        <v>3</v>
      </c>
      <c r="L27" s="239" t="s">
        <v>7551</v>
      </c>
      <c r="M27" s="6" t="s">
        <v>7688</v>
      </c>
      <c r="N27" s="239" t="s">
        <v>7689</v>
      </c>
      <c r="O27" s="30" t="s">
        <v>7554</v>
      </c>
      <c r="P27" s="30" t="s">
        <v>751</v>
      </c>
      <c r="Q27" s="30" t="s">
        <v>7690</v>
      </c>
      <c r="R27" s="30" t="s">
        <v>751</v>
      </c>
      <c r="S27" s="30" t="s">
        <v>751</v>
      </c>
      <c r="T27" s="30" t="s">
        <v>751</v>
      </c>
      <c r="U27" s="30" t="s">
        <v>7691</v>
      </c>
      <c r="V27" s="6" t="s">
        <v>7703</v>
      </c>
      <c r="W27" s="6" t="s">
        <v>751</v>
      </c>
      <c r="X27" s="32" t="n">
        <f aca="false">IF($O27="Active",SUMPRODUCT(($AH$5:$AH$120=$AH27)*1),0)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GB200 HBM 頻寬¦—¦GB200 NVL72</v>
      </c>
    </row>
    <row r="28" customFormat="false" ht="29.25" hidden="false" customHeight="true" outlineLevel="0" collapsed="false">
      <c r="A28" s="30" t="s">
        <v>7704</v>
      </c>
      <c r="B28" s="6" t="s">
        <v>7705</v>
      </c>
      <c r="C28" s="241" t="n">
        <v>186</v>
      </c>
      <c r="D28" s="239"/>
      <c r="E28" s="239"/>
      <c r="F28" s="30" t="s">
        <v>862</v>
      </c>
      <c r="G28" s="30" t="s">
        <v>751</v>
      </c>
      <c r="H28" s="30" t="s">
        <v>188</v>
      </c>
      <c r="I28" s="30" t="s">
        <v>7686</v>
      </c>
      <c r="J28" s="20" t="s">
        <v>7687</v>
      </c>
      <c r="K28" s="239" t="n">
        <v>3</v>
      </c>
      <c r="L28" s="239" t="s">
        <v>7551</v>
      </c>
      <c r="M28" s="6" t="s">
        <v>7688</v>
      </c>
      <c r="N28" s="239" t="s">
        <v>7689</v>
      </c>
      <c r="O28" s="30" t="s">
        <v>7600</v>
      </c>
      <c r="P28" s="30" t="s">
        <v>751</v>
      </c>
      <c r="Q28" s="30" t="s">
        <v>7690</v>
      </c>
      <c r="R28" s="30" t="s">
        <v>751</v>
      </c>
      <c r="S28" s="30" t="s">
        <v>751</v>
      </c>
      <c r="T28" s="30" t="s">
        <v>751</v>
      </c>
      <c r="U28" s="30" t="s">
        <v>7691</v>
      </c>
      <c r="V28" s="6" t="s">
        <v>751</v>
      </c>
      <c r="W28" s="20" t="s">
        <v>7706</v>
      </c>
      <c r="X28" s="32" t="n">
        <f aca="false">IF($O28="Active",SUMPRODUCT(($AH$5:$AH$120=$AH28)*1),0)</f>
        <v>0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0</v>
      </c>
      <c r="AH28" s="44" t="str">
        <f aca="false">IF($O28="Active",$B28&amp;"¦"&amp;$G28&amp;"¦"&amp;$H28,"")</f>
        <v/>
      </c>
    </row>
    <row r="29" customFormat="false" ht="29.25" hidden="false" customHeight="true" outlineLevel="0" collapsed="false">
      <c r="A29" s="30" t="s">
        <v>4810</v>
      </c>
      <c r="B29" s="6" t="s">
        <v>7707</v>
      </c>
      <c r="C29" s="241" t="n">
        <v>15</v>
      </c>
      <c r="D29" s="239"/>
      <c r="E29" s="239"/>
      <c r="F29" s="30" t="s">
        <v>501</v>
      </c>
      <c r="G29" s="30" t="s">
        <v>7685</v>
      </c>
      <c r="H29" s="30" t="s">
        <v>189</v>
      </c>
      <c r="I29" s="30" t="s">
        <v>7686</v>
      </c>
      <c r="J29" s="20" t="s">
        <v>7687</v>
      </c>
      <c r="K29" s="239" t="n">
        <v>1</v>
      </c>
      <c r="L29" s="239" t="s">
        <v>7551</v>
      </c>
      <c r="M29" s="6" t="s">
        <v>7688</v>
      </c>
      <c r="N29" s="239" t="s">
        <v>7553</v>
      </c>
      <c r="O29" s="30" t="s">
        <v>7554</v>
      </c>
      <c r="P29" s="30" t="s">
        <v>751</v>
      </c>
      <c r="Q29" s="30" t="s">
        <v>7708</v>
      </c>
      <c r="R29" s="30" t="s">
        <v>751</v>
      </c>
      <c r="S29" s="30" t="s">
        <v>6868</v>
      </c>
      <c r="T29" s="30" t="s">
        <v>751</v>
      </c>
      <c r="U29" s="30" t="s">
        <v>7691</v>
      </c>
      <c r="V29" s="6" t="s">
        <v>7709</v>
      </c>
      <c r="W29" s="6" t="s">
        <v>7710</v>
      </c>
      <c r="X29" s="32" t="n">
        <f aca="false">IF($O29="Active",SUMPRODUCT(($AH$5:$AH$120=$AH29)*1),0)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B300 FP4 dense 峰值¦dense¦GB300 NVL72</v>
      </c>
    </row>
    <row r="30" customFormat="false" ht="15" hidden="false" customHeight="true" outlineLevel="0" collapsed="false">
      <c r="A30" s="30" t="s">
        <v>4844</v>
      </c>
      <c r="B30" s="6" t="s">
        <v>7711</v>
      </c>
      <c r="C30" s="241" t="n">
        <v>288</v>
      </c>
      <c r="D30" s="239"/>
      <c r="E30" s="239"/>
      <c r="F30" s="30" t="s">
        <v>862</v>
      </c>
      <c r="G30" s="30" t="s">
        <v>751</v>
      </c>
      <c r="H30" s="30" t="s">
        <v>189</v>
      </c>
      <c r="I30" s="30" t="s">
        <v>7686</v>
      </c>
      <c r="J30" s="20" t="s">
        <v>7687</v>
      </c>
      <c r="K30" s="239" t="n">
        <v>3</v>
      </c>
      <c r="L30" s="239" t="s">
        <v>7551</v>
      </c>
      <c r="M30" s="6" t="s">
        <v>7688</v>
      </c>
      <c r="N30" s="239" t="s">
        <v>7689</v>
      </c>
      <c r="O30" s="30" t="s">
        <v>7554</v>
      </c>
      <c r="P30" s="30" t="s">
        <v>751</v>
      </c>
      <c r="Q30" s="30" t="s">
        <v>7690</v>
      </c>
      <c r="R30" s="30" t="s">
        <v>751</v>
      </c>
      <c r="S30" s="30" t="s">
        <v>751</v>
      </c>
      <c r="T30" s="30" t="s">
        <v>751</v>
      </c>
      <c r="U30" s="30" t="s">
        <v>7691</v>
      </c>
      <c r="V30" s="6" t="s">
        <v>7712</v>
      </c>
      <c r="W30" s="6" t="s">
        <v>751</v>
      </c>
      <c r="X30" s="32" t="n">
        <f aca="false">IF($O30="Active",SUMPRODUCT(($AH$5:$AH$120=$AH30)*1),0)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B300 HBM 容量¦—¦GB300 NVL72</v>
      </c>
    </row>
    <row r="31" customFormat="false" ht="15" hidden="false" customHeight="true" outlineLevel="0" collapsed="false">
      <c r="A31" s="30" t="s">
        <v>4829</v>
      </c>
      <c r="B31" s="6" t="s">
        <v>7713</v>
      </c>
      <c r="C31" s="241" t="n">
        <v>50</v>
      </c>
      <c r="D31" s="239"/>
      <c r="E31" s="239"/>
      <c r="F31" s="30" t="s">
        <v>501</v>
      </c>
      <c r="G31" s="239" t="s">
        <v>7714</v>
      </c>
      <c r="H31" s="30" t="s">
        <v>190</v>
      </c>
      <c r="I31" s="30" t="s">
        <v>7686</v>
      </c>
      <c r="J31" s="20" t="s">
        <v>7687</v>
      </c>
      <c r="K31" s="239" t="n">
        <v>1</v>
      </c>
      <c r="L31" s="239" t="s">
        <v>7551</v>
      </c>
      <c r="M31" s="6" t="s">
        <v>7688</v>
      </c>
      <c r="N31" s="239" t="s">
        <v>7553</v>
      </c>
      <c r="O31" s="30" t="s">
        <v>7554</v>
      </c>
      <c r="P31" s="30" t="s">
        <v>751</v>
      </c>
      <c r="Q31" s="30" t="s">
        <v>7715</v>
      </c>
      <c r="R31" s="30" t="s">
        <v>751</v>
      </c>
      <c r="S31" s="30" t="s">
        <v>6868</v>
      </c>
      <c r="T31" s="30" t="s">
        <v>751</v>
      </c>
      <c r="U31" s="30" t="s">
        <v>7691</v>
      </c>
      <c r="V31" s="6" t="s">
        <v>7716</v>
      </c>
      <c r="W31" s="6" t="s">
        <v>7717</v>
      </c>
      <c r="X31" s="32" t="n">
        <f aca="false">IF($O31="Active",SUMPRODUCT(($AH$5:$AH$120=$AH31)*1),0)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Rubin NVFP4 推論峰值¦含自適應壓縮¦VR200 NVL72</v>
      </c>
    </row>
    <row r="32" customFormat="false" ht="15" hidden="false" customHeight="true" outlineLevel="0" collapsed="false">
      <c r="A32" s="30" t="s">
        <v>4812</v>
      </c>
      <c r="B32" s="6" t="s">
        <v>7718</v>
      </c>
      <c r="C32" s="241" t="n">
        <v>35</v>
      </c>
      <c r="D32" s="239"/>
      <c r="E32" s="239"/>
      <c r="F32" s="30" t="s">
        <v>501</v>
      </c>
      <c r="G32" s="30" t="s">
        <v>7685</v>
      </c>
      <c r="H32" s="30" t="s">
        <v>190</v>
      </c>
      <c r="I32" s="30" t="s">
        <v>7686</v>
      </c>
      <c r="J32" s="20" t="s">
        <v>7687</v>
      </c>
      <c r="K32" s="239" t="n">
        <v>1</v>
      </c>
      <c r="L32" s="239" t="s">
        <v>7551</v>
      </c>
      <c r="M32" s="6" t="s">
        <v>7688</v>
      </c>
      <c r="N32" s="239" t="s">
        <v>7553</v>
      </c>
      <c r="O32" s="30" t="s">
        <v>7554</v>
      </c>
      <c r="P32" s="30" t="s">
        <v>751</v>
      </c>
      <c r="Q32" s="30" t="s">
        <v>7719</v>
      </c>
      <c r="R32" s="30" t="s">
        <v>751</v>
      </c>
      <c r="S32" s="30" t="s">
        <v>6868</v>
      </c>
      <c r="T32" s="30" t="s">
        <v>751</v>
      </c>
      <c r="U32" s="30" t="s">
        <v>7691</v>
      </c>
      <c r="V32" s="6" t="s">
        <v>7720</v>
      </c>
      <c r="W32" s="20" t="s">
        <v>7721</v>
      </c>
      <c r="X32" s="32" t="n">
        <f aca="false">IF($O32="Active",SUMPRODUCT(($AH$5:$AH$120=$AH32)*1),0)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Rubin NVFP4 訓練峰值¦dense¦VR200 NVL72</v>
      </c>
    </row>
    <row r="33" customFormat="false" ht="15" hidden="false" customHeight="true" outlineLevel="0" collapsed="false">
      <c r="A33" s="30" t="s">
        <v>4847</v>
      </c>
      <c r="B33" s="6" t="s">
        <v>7722</v>
      </c>
      <c r="C33" s="241" t="n">
        <v>288</v>
      </c>
      <c r="D33" s="239"/>
      <c r="E33" s="239"/>
      <c r="F33" s="30" t="s">
        <v>862</v>
      </c>
      <c r="G33" s="30" t="s">
        <v>751</v>
      </c>
      <c r="H33" s="30" t="s">
        <v>190</v>
      </c>
      <c r="I33" s="30" t="s">
        <v>7686</v>
      </c>
      <c r="J33" s="20" t="s">
        <v>7687</v>
      </c>
      <c r="K33" s="239" t="n">
        <v>3</v>
      </c>
      <c r="L33" s="239" t="s">
        <v>7551</v>
      </c>
      <c r="M33" s="6" t="s">
        <v>7688</v>
      </c>
      <c r="N33" s="239" t="s">
        <v>7689</v>
      </c>
      <c r="O33" s="30" t="s">
        <v>7554</v>
      </c>
      <c r="P33" s="30" t="s">
        <v>751</v>
      </c>
      <c r="Q33" s="30" t="s">
        <v>7690</v>
      </c>
      <c r="R33" s="30" t="s">
        <v>751</v>
      </c>
      <c r="S33" s="30" t="s">
        <v>751</v>
      </c>
      <c r="T33" s="30" t="s">
        <v>751</v>
      </c>
      <c r="U33" s="30" t="s">
        <v>7691</v>
      </c>
      <c r="V33" s="6" t="s">
        <v>7723</v>
      </c>
      <c r="W33" s="6" t="s">
        <v>751</v>
      </c>
      <c r="X33" s="32" t="n">
        <f aca="false">IF($O33="Active",SUMPRODUCT(($AH$5:$AH$120=$AH33)*1),0)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Rubin HBM 容量¦—¦VR200 NVL72</v>
      </c>
    </row>
    <row r="34" customFormat="false" ht="15" hidden="false" customHeight="true" outlineLevel="0" collapsed="false">
      <c r="A34" s="30" t="s">
        <v>4861</v>
      </c>
      <c r="B34" s="6" t="s">
        <v>7724</v>
      </c>
      <c r="C34" s="241" t="n">
        <v>22</v>
      </c>
      <c r="D34" s="239"/>
      <c r="E34" s="239"/>
      <c r="F34" s="30" t="s">
        <v>377</v>
      </c>
      <c r="G34" s="30" t="s">
        <v>7725</v>
      </c>
      <c r="H34" s="30" t="s">
        <v>190</v>
      </c>
      <c r="I34" s="30" t="s">
        <v>7686</v>
      </c>
      <c r="J34" s="20" t="s">
        <v>7687</v>
      </c>
      <c r="K34" s="239" t="n">
        <v>3</v>
      </c>
      <c r="L34" s="239" t="s">
        <v>7551</v>
      </c>
      <c r="M34" s="6" t="s">
        <v>7688</v>
      </c>
      <c r="N34" s="239" t="s">
        <v>7689</v>
      </c>
      <c r="O34" s="30" t="s">
        <v>7554</v>
      </c>
      <c r="P34" s="30" t="s">
        <v>751</v>
      </c>
      <c r="Q34" s="30" t="s">
        <v>7690</v>
      </c>
      <c r="R34" s="30" t="s">
        <v>751</v>
      </c>
      <c r="S34" s="30" t="s">
        <v>751</v>
      </c>
      <c r="T34" s="30" t="s">
        <v>751</v>
      </c>
      <c r="U34" s="30" t="s">
        <v>7691</v>
      </c>
      <c r="V34" s="6" t="s">
        <v>7726</v>
      </c>
      <c r="W34" s="6" t="s">
        <v>751</v>
      </c>
      <c r="X34" s="32" t="n">
        <f aca="false">IF($O34="Active",SUMPRODUCT(($AH$5:$AH$120=$AH34)*1),0)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Rubin HBM 頻寬¦NVIDIA 2026 上修¦VR200 NVL72</v>
      </c>
    </row>
    <row r="35" customFormat="false" ht="15" hidden="false" customHeight="true" outlineLevel="0" collapsed="false">
      <c r="A35" s="30" t="s">
        <v>7727</v>
      </c>
      <c r="B35" s="6" t="s">
        <v>7728</v>
      </c>
      <c r="C35" s="241" t="n">
        <v>15000</v>
      </c>
      <c r="D35" s="239"/>
      <c r="E35" s="239"/>
      <c r="F35" s="30" t="s">
        <v>7729</v>
      </c>
      <c r="G35" s="30" t="s">
        <v>7730</v>
      </c>
      <c r="H35" s="30" t="s">
        <v>7640</v>
      </c>
      <c r="I35" s="30" t="s">
        <v>7686</v>
      </c>
      <c r="J35" s="20" t="s">
        <v>7687</v>
      </c>
      <c r="K35" s="239" t="n">
        <v>3</v>
      </c>
      <c r="L35" s="239" t="s">
        <v>7551</v>
      </c>
      <c r="M35" s="6" t="s">
        <v>7688</v>
      </c>
      <c r="N35" s="239" t="s">
        <v>7689</v>
      </c>
      <c r="O35" s="30" t="s">
        <v>7554</v>
      </c>
      <c r="P35" s="30" t="s">
        <v>751</v>
      </c>
      <c r="Q35" s="30" t="s">
        <v>7690</v>
      </c>
      <c r="R35" s="30" t="s">
        <v>751</v>
      </c>
      <c r="S35" s="30" t="s">
        <v>751</v>
      </c>
      <c r="T35" s="30" t="s">
        <v>751</v>
      </c>
      <c r="U35" s="30" t="s">
        <v>7691</v>
      </c>
      <c r="V35" s="6" t="s">
        <v>7731</v>
      </c>
      <c r="W35" s="6" t="s">
        <v>7732</v>
      </c>
      <c r="X35" s="32" t="n">
        <f aca="false">IF($O35="Active",SUMPRODUCT(($AH$5:$AH$120=$AH35)*1),0)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Rubin Ultra NVL576 FP4 峰值（全架）¦144 封裝¦Rubin Ultra NVL576</v>
      </c>
    </row>
    <row r="36" customFormat="false" ht="15" hidden="false" customHeight="true" outlineLevel="0" collapsed="false">
      <c r="A36" s="30" t="s">
        <v>4959</v>
      </c>
      <c r="B36" s="6" t="s">
        <v>7733</v>
      </c>
      <c r="C36" s="241" t="n">
        <v>3.9</v>
      </c>
      <c r="D36" s="239"/>
      <c r="E36" s="239"/>
      <c r="F36" s="30" t="s">
        <v>7734</v>
      </c>
      <c r="G36" s="239" t="s">
        <v>7735</v>
      </c>
      <c r="H36" s="30" t="s">
        <v>7736</v>
      </c>
      <c r="I36" s="30" t="s">
        <v>751</v>
      </c>
      <c r="J36" s="20" t="s">
        <v>7737</v>
      </c>
      <c r="K36" s="239" t="n">
        <v>3</v>
      </c>
      <c r="L36" s="239" t="s">
        <v>7658</v>
      </c>
      <c r="M36" s="20" t="s">
        <v>7738</v>
      </c>
      <c r="N36" s="30" t="s">
        <v>751</v>
      </c>
      <c r="O36" s="30" t="s">
        <v>7554</v>
      </c>
      <c r="P36" s="30" t="s">
        <v>751</v>
      </c>
      <c r="Q36" s="30" t="s">
        <v>7739</v>
      </c>
      <c r="R36" s="30" t="s">
        <v>751</v>
      </c>
      <c r="S36" s="30" t="s">
        <v>751</v>
      </c>
      <c r="T36" s="30" t="s">
        <v>751</v>
      </c>
      <c r="U36" s="30" t="s">
        <v>7740</v>
      </c>
      <c r="V36" s="6" t="s">
        <v>7741</v>
      </c>
      <c r="W36" s="6" t="s">
        <v>7742</v>
      </c>
      <c r="X36" s="32" t="n">
        <f aca="false">IF($O36="Active",SUMPRODUCT(($AH$5:$AH$120=$AH36)*1),0)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HBM3 存取能量¦文獻常見值¦HBM3</v>
      </c>
    </row>
    <row r="37" customFormat="false" ht="29.25" hidden="false" customHeight="true" outlineLevel="0" collapsed="false">
      <c r="A37" s="30" t="s">
        <v>4963</v>
      </c>
      <c r="B37" s="6" t="s">
        <v>7743</v>
      </c>
      <c r="C37" s="241" t="n">
        <v>3</v>
      </c>
      <c r="D37" s="239"/>
      <c r="E37" s="239"/>
      <c r="F37" s="30" t="s">
        <v>7734</v>
      </c>
      <c r="G37" s="239" t="s">
        <v>7735</v>
      </c>
      <c r="H37" s="30" t="s">
        <v>7744</v>
      </c>
      <c r="I37" s="30" t="s">
        <v>751</v>
      </c>
      <c r="J37" s="20" t="s">
        <v>7737</v>
      </c>
      <c r="K37" s="239" t="n">
        <v>3</v>
      </c>
      <c r="L37" s="239" t="s">
        <v>7658</v>
      </c>
      <c r="M37" s="20" t="s">
        <v>7738</v>
      </c>
      <c r="N37" s="30" t="s">
        <v>751</v>
      </c>
      <c r="O37" s="30" t="s">
        <v>7554</v>
      </c>
      <c r="P37" s="30" t="s">
        <v>751</v>
      </c>
      <c r="Q37" s="30" t="s">
        <v>7739</v>
      </c>
      <c r="R37" s="30" t="s">
        <v>751</v>
      </c>
      <c r="S37" s="30" t="s">
        <v>751</v>
      </c>
      <c r="T37" s="30" t="s">
        <v>751</v>
      </c>
      <c r="U37" s="30" t="s">
        <v>7740</v>
      </c>
      <c r="V37" s="6" t="s">
        <v>7745</v>
      </c>
      <c r="W37" s="6" t="s">
        <v>7746</v>
      </c>
      <c r="X37" s="32" t="n">
        <f aca="false">IF($O37="Active",SUMPRODUCT(($AH$5:$AH$120=$AH37)*1),0)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HBM3e 存取能量¦文獻常見值¦HBM3e</v>
      </c>
    </row>
    <row r="38" customFormat="false" ht="15" hidden="false" customHeight="true" outlineLevel="0" collapsed="false">
      <c r="A38" s="30" t="s">
        <v>4966</v>
      </c>
      <c r="B38" s="6" t="s">
        <v>7747</v>
      </c>
      <c r="C38" s="241" t="n">
        <v>2.5</v>
      </c>
      <c r="D38" s="239"/>
      <c r="E38" s="239"/>
      <c r="F38" s="30" t="s">
        <v>7734</v>
      </c>
      <c r="G38" s="239" t="s">
        <v>7735</v>
      </c>
      <c r="H38" s="30" t="s">
        <v>7748</v>
      </c>
      <c r="I38" s="30" t="s">
        <v>751</v>
      </c>
      <c r="J38" s="20" t="s">
        <v>7737</v>
      </c>
      <c r="K38" s="239" t="n">
        <v>3</v>
      </c>
      <c r="L38" s="239" t="s">
        <v>7658</v>
      </c>
      <c r="M38" s="20" t="s">
        <v>7738</v>
      </c>
      <c r="N38" s="30" t="s">
        <v>751</v>
      </c>
      <c r="O38" s="30" t="s">
        <v>7554</v>
      </c>
      <c r="P38" s="30" t="s">
        <v>751</v>
      </c>
      <c r="Q38" s="30" t="s">
        <v>7739</v>
      </c>
      <c r="R38" s="30" t="s">
        <v>751</v>
      </c>
      <c r="S38" s="30" t="s">
        <v>751</v>
      </c>
      <c r="T38" s="30" t="s">
        <v>751</v>
      </c>
      <c r="U38" s="30" t="s">
        <v>7740</v>
      </c>
      <c r="V38" s="6" t="s">
        <v>7749</v>
      </c>
      <c r="W38" s="6" t="s">
        <v>7750</v>
      </c>
      <c r="X38" s="32" t="n">
        <f aca="false">IF($O38="Active",SUMPRODUCT(($AH$5:$AH$120=$AH38)*1),0)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HBM4 存取能量¦文獻常見值¦HBM4</v>
      </c>
    </row>
    <row r="39" customFormat="false" ht="15" hidden="false" customHeight="true" outlineLevel="0" collapsed="false">
      <c r="A39" s="30" t="s">
        <v>5485</v>
      </c>
      <c r="B39" s="6" t="s">
        <v>7751</v>
      </c>
      <c r="C39" s="239"/>
      <c r="D39" s="241" t="n">
        <v>1</v>
      </c>
      <c r="E39" s="241" t="n">
        <v>2</v>
      </c>
      <c r="F39" s="30" t="s">
        <v>7734</v>
      </c>
      <c r="G39" s="239" t="s">
        <v>7735</v>
      </c>
      <c r="H39" s="30" t="s">
        <v>751</v>
      </c>
      <c r="I39" s="30" t="s">
        <v>751</v>
      </c>
      <c r="J39" s="20" t="s">
        <v>7737</v>
      </c>
      <c r="K39" s="239" t="n">
        <v>3</v>
      </c>
      <c r="L39" s="239" t="s">
        <v>7658</v>
      </c>
      <c r="M39" s="20" t="s">
        <v>7738</v>
      </c>
      <c r="N39" s="30" t="s">
        <v>751</v>
      </c>
      <c r="O39" s="30" t="s">
        <v>7554</v>
      </c>
      <c r="P39" s="30" t="s">
        <v>751</v>
      </c>
      <c r="Q39" s="30" t="s">
        <v>7739</v>
      </c>
      <c r="R39" s="30" t="s">
        <v>751</v>
      </c>
      <c r="S39" s="30" t="s">
        <v>751</v>
      </c>
      <c r="T39" s="30" t="s">
        <v>751</v>
      </c>
      <c r="U39" s="30" t="s">
        <v>7740</v>
      </c>
      <c r="V39" s="6" t="s">
        <v>751</v>
      </c>
      <c r="W39" s="6" t="s">
        <v>751</v>
      </c>
      <c r="X39" s="32" t="n">
        <f aca="false">IF($O39="Active",SUMPRODUCT(($AH$5:$AH$120=$AH39)*1),0)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SerDes 能量¦文獻常見值¦—</v>
      </c>
    </row>
    <row r="40" customFormat="false" ht="29.25" hidden="false" customHeight="true" outlineLevel="0" collapsed="false">
      <c r="A40" s="30" t="s">
        <v>7752</v>
      </c>
      <c r="B40" s="6" t="s">
        <v>7753</v>
      </c>
      <c r="C40" s="241" t="n">
        <v>3600</v>
      </c>
      <c r="D40" s="239"/>
      <c r="E40" s="239"/>
      <c r="F40" s="30" t="s">
        <v>7729</v>
      </c>
      <c r="G40" s="30" t="s">
        <v>7754</v>
      </c>
      <c r="H40" s="30" t="s">
        <v>190</v>
      </c>
      <c r="I40" s="30" t="s">
        <v>7561</v>
      </c>
      <c r="J40" s="6" t="s">
        <v>7755</v>
      </c>
      <c r="K40" s="239" t="n">
        <v>2</v>
      </c>
      <c r="L40" s="239" t="s">
        <v>7551</v>
      </c>
      <c r="M40" s="6" t="s">
        <v>7756</v>
      </c>
      <c r="N40" s="239" t="s">
        <v>7757</v>
      </c>
      <c r="O40" s="30" t="s">
        <v>7554</v>
      </c>
      <c r="P40" s="30" t="s">
        <v>751</v>
      </c>
      <c r="Q40" s="30" t="s">
        <v>7758</v>
      </c>
      <c r="R40" s="30" t="s">
        <v>751</v>
      </c>
      <c r="S40" s="30" t="s">
        <v>751</v>
      </c>
      <c r="T40" s="30" t="s">
        <v>751</v>
      </c>
      <c r="U40" s="30" t="s">
        <v>7759</v>
      </c>
      <c r="V40" s="6" t="s">
        <v>7760</v>
      </c>
      <c r="W40" s="6" t="s">
        <v>7761</v>
      </c>
      <c r="X40" s="32" t="n">
        <f aca="false">IF($O40="Active",SUMPRODUCT(($AH$5:$AH$120=$AH40)*1),0)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Vera Rubin NVL72 NVFP4 推論峰值（全架）¦72 GPU¦VR200 NVL72</v>
      </c>
    </row>
    <row r="41" customFormat="false" ht="29.25" hidden="false" customHeight="true" outlineLevel="0" collapsed="false">
      <c r="A41" s="30" t="s">
        <v>5001</v>
      </c>
      <c r="B41" s="6" t="s">
        <v>7762</v>
      </c>
      <c r="C41" s="241" t="n">
        <v>2520</v>
      </c>
      <c r="D41" s="239"/>
      <c r="E41" s="239"/>
      <c r="F41" s="30" t="s">
        <v>7729</v>
      </c>
      <c r="G41" s="30" t="s">
        <v>7754</v>
      </c>
      <c r="H41" s="30" t="s">
        <v>190</v>
      </c>
      <c r="I41" s="30" t="s">
        <v>7561</v>
      </c>
      <c r="J41" s="6" t="s">
        <v>7755</v>
      </c>
      <c r="K41" s="239" t="n">
        <v>2</v>
      </c>
      <c r="L41" s="239" t="s">
        <v>7551</v>
      </c>
      <c r="M41" s="6" t="s">
        <v>7756</v>
      </c>
      <c r="N41" s="239" t="s">
        <v>7757</v>
      </c>
      <c r="O41" s="30" t="s">
        <v>7554</v>
      </c>
      <c r="P41" s="30" t="s">
        <v>751</v>
      </c>
      <c r="Q41" s="30" t="s">
        <v>7758</v>
      </c>
      <c r="R41" s="30" t="s">
        <v>751</v>
      </c>
      <c r="S41" s="30" t="s">
        <v>751</v>
      </c>
      <c r="T41" s="30" t="s">
        <v>751</v>
      </c>
      <c r="U41" s="30" t="s">
        <v>7759</v>
      </c>
      <c r="V41" s="6" t="s">
        <v>7763</v>
      </c>
      <c r="W41" s="6" t="s">
        <v>7764</v>
      </c>
      <c r="X41" s="32" t="n">
        <f aca="false">IF($O41="Active",SUMPRODUCT(($AH$5:$AH$120=$AH41)*1),0)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Vera Rubin NVL72 NVFP4 訓練峰值（全架）¦72 GPU¦VR200 NVL72</v>
      </c>
    </row>
    <row r="42" customFormat="false" ht="29.25" hidden="false" customHeight="true" outlineLevel="0" collapsed="false">
      <c r="A42" s="30" t="s">
        <v>4991</v>
      </c>
      <c r="B42" s="6" t="s">
        <v>7765</v>
      </c>
      <c r="C42" s="241" t="n">
        <v>1260</v>
      </c>
      <c r="D42" s="239"/>
      <c r="E42" s="239"/>
      <c r="F42" s="30" t="s">
        <v>7729</v>
      </c>
      <c r="G42" s="30" t="s">
        <v>7754</v>
      </c>
      <c r="H42" s="30" t="s">
        <v>190</v>
      </c>
      <c r="I42" s="30" t="s">
        <v>7561</v>
      </c>
      <c r="J42" s="6" t="s">
        <v>7755</v>
      </c>
      <c r="K42" s="239" t="n">
        <v>2</v>
      </c>
      <c r="L42" s="239" t="s">
        <v>7551</v>
      </c>
      <c r="M42" s="6" t="s">
        <v>7756</v>
      </c>
      <c r="N42" s="239" t="s">
        <v>7757</v>
      </c>
      <c r="O42" s="30" t="s">
        <v>7554</v>
      </c>
      <c r="P42" s="30" t="s">
        <v>751</v>
      </c>
      <c r="Q42" s="30" t="s">
        <v>7758</v>
      </c>
      <c r="R42" s="30" t="s">
        <v>751</v>
      </c>
      <c r="S42" s="30" t="s">
        <v>751</v>
      </c>
      <c r="T42" s="30" t="s">
        <v>751</v>
      </c>
      <c r="U42" s="30" t="s">
        <v>7759</v>
      </c>
      <c r="V42" s="6" t="s">
        <v>7766</v>
      </c>
      <c r="W42" s="6" t="s">
        <v>7767</v>
      </c>
      <c r="X42" s="32" t="n">
        <f aca="false">IF($O42="Active",SUMPRODUCT(($AH$5:$AH$120=$AH42)*1),0)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Vera Rubin NVL72 FP8／FP6 訓練峰值（全架）¦72 GPU¦VR200 NVL72</v>
      </c>
    </row>
    <row r="43" customFormat="false" ht="29.25" hidden="false" customHeight="true" outlineLevel="0" collapsed="false">
      <c r="A43" s="30" t="s">
        <v>4979</v>
      </c>
      <c r="B43" s="6" t="s">
        <v>7768</v>
      </c>
      <c r="C43" s="241" t="n">
        <v>288</v>
      </c>
      <c r="D43" s="239"/>
      <c r="E43" s="239"/>
      <c r="F43" s="30" t="s">
        <v>7729</v>
      </c>
      <c r="G43" s="30" t="s">
        <v>7754</v>
      </c>
      <c r="H43" s="30" t="s">
        <v>190</v>
      </c>
      <c r="I43" s="30" t="s">
        <v>7561</v>
      </c>
      <c r="J43" s="6" t="s">
        <v>7755</v>
      </c>
      <c r="K43" s="239" t="n">
        <v>2</v>
      </c>
      <c r="L43" s="239" t="s">
        <v>7551</v>
      </c>
      <c r="M43" s="6" t="s">
        <v>7756</v>
      </c>
      <c r="N43" s="239" t="s">
        <v>7757</v>
      </c>
      <c r="O43" s="30" t="s">
        <v>7554</v>
      </c>
      <c r="P43" s="30" t="s">
        <v>751</v>
      </c>
      <c r="Q43" s="30" t="s">
        <v>7758</v>
      </c>
      <c r="R43" s="30" t="s">
        <v>751</v>
      </c>
      <c r="S43" s="30" t="s">
        <v>751</v>
      </c>
      <c r="T43" s="30" t="s">
        <v>751</v>
      </c>
      <c r="U43" s="30" t="s">
        <v>7759</v>
      </c>
      <c r="V43" s="6" t="s">
        <v>7769</v>
      </c>
      <c r="W43" s="6" t="s">
        <v>7770</v>
      </c>
      <c r="X43" s="32" t="n">
        <f aca="false">IF($O43="Active",SUMPRODUCT(($AH$5:$AH$120=$AH43)*1),0)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Vera Rubin NVL72 BF16 峰值（全架）¦72 GPU¦VR200 NVL72</v>
      </c>
    </row>
    <row r="44" customFormat="false" ht="29.25" hidden="false" customHeight="true" outlineLevel="0" collapsed="false">
      <c r="A44" s="30" t="s">
        <v>4806</v>
      </c>
      <c r="B44" s="6" t="s">
        <v>7771</v>
      </c>
      <c r="C44" s="241" t="n">
        <v>1.979</v>
      </c>
      <c r="D44" s="239"/>
      <c r="E44" s="239"/>
      <c r="F44" s="30" t="s">
        <v>501</v>
      </c>
      <c r="G44" s="30" t="s">
        <v>7685</v>
      </c>
      <c r="H44" s="30" t="s">
        <v>187</v>
      </c>
      <c r="I44" s="30" t="s">
        <v>6628</v>
      </c>
      <c r="J44" s="6" t="s">
        <v>7772</v>
      </c>
      <c r="K44" s="239" t="n">
        <v>1</v>
      </c>
      <c r="L44" s="239" t="s">
        <v>7551</v>
      </c>
      <c r="M44" s="6" t="s">
        <v>7773</v>
      </c>
      <c r="N44" s="239" t="s">
        <v>7553</v>
      </c>
      <c r="O44" s="30" t="s">
        <v>7554</v>
      </c>
      <c r="P44" s="30" t="s">
        <v>751</v>
      </c>
      <c r="Q44" s="30" t="s">
        <v>7774</v>
      </c>
      <c r="R44" s="30" t="s">
        <v>751</v>
      </c>
      <c r="S44" s="30" t="s">
        <v>6868</v>
      </c>
      <c r="T44" s="30" t="s">
        <v>751</v>
      </c>
      <c r="U44" s="30" t="s">
        <v>7775</v>
      </c>
      <c r="V44" s="6" t="s">
        <v>7776</v>
      </c>
      <c r="W44" s="20" t="s">
        <v>7777</v>
      </c>
      <c r="X44" s="32" t="n">
        <f aca="false">IF($O44="Active",SUMPRODUCT(($AH$5:$AH$120=$AH44)*1),0)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H100 FP8 dense 峰值¦dense¦Hopper H100</v>
      </c>
    </row>
    <row r="45" customFormat="false" ht="29.25" hidden="false" customHeight="true" outlineLevel="0" collapsed="false">
      <c r="A45" s="30" t="s">
        <v>4840</v>
      </c>
      <c r="B45" s="6" t="s">
        <v>7778</v>
      </c>
      <c r="C45" s="241" t="n">
        <v>13.4</v>
      </c>
      <c r="D45" s="239"/>
      <c r="E45" s="239"/>
      <c r="F45" s="30" t="s">
        <v>7779</v>
      </c>
      <c r="G45" s="30" t="s">
        <v>7754</v>
      </c>
      <c r="H45" s="30" t="s">
        <v>188</v>
      </c>
      <c r="I45" s="30" t="s">
        <v>751</v>
      </c>
      <c r="J45" s="6" t="s">
        <v>7780</v>
      </c>
      <c r="K45" s="239" t="n">
        <v>3</v>
      </c>
      <c r="L45" s="239" t="s">
        <v>7551</v>
      </c>
      <c r="M45" s="6" t="s">
        <v>7781</v>
      </c>
      <c r="N45" s="239" t="s">
        <v>7689</v>
      </c>
      <c r="O45" s="30" t="s">
        <v>7554</v>
      </c>
      <c r="P45" s="30" t="s">
        <v>751</v>
      </c>
      <c r="Q45" s="30" t="s">
        <v>7782</v>
      </c>
      <c r="R45" s="30" t="s">
        <v>751</v>
      </c>
      <c r="S45" s="30" t="s">
        <v>751</v>
      </c>
      <c r="T45" s="30" t="s">
        <v>751</v>
      </c>
      <c r="U45" s="30" t="s">
        <v>7783</v>
      </c>
      <c r="V45" s="6" t="s">
        <v>7784</v>
      </c>
      <c r="W45" s="6" t="s">
        <v>7785</v>
      </c>
      <c r="X45" s="32" t="n">
        <f aca="false">IF($O45="Active",SUMPRODUCT(($AH$5:$AH$120=$AH45)*1),0)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GB200 NVL72 HBM 總容量（全架）¦72 GPU¦GB200 NVL72</v>
      </c>
    </row>
    <row r="46" customFormat="false" ht="29.25" hidden="false" customHeight="true" outlineLevel="0" collapsed="false">
      <c r="A46" s="30" t="s">
        <v>4974</v>
      </c>
      <c r="B46" s="6" t="s">
        <v>7786</v>
      </c>
      <c r="C46" s="241" t="n">
        <v>2.5</v>
      </c>
      <c r="D46" s="239"/>
      <c r="E46" s="239"/>
      <c r="F46" s="30" t="s">
        <v>501</v>
      </c>
      <c r="G46" s="30" t="s">
        <v>7685</v>
      </c>
      <c r="H46" s="30" t="s">
        <v>7787</v>
      </c>
      <c r="I46" s="30" t="s">
        <v>751</v>
      </c>
      <c r="J46" s="6" t="s">
        <v>7780</v>
      </c>
      <c r="K46" s="239" t="n">
        <v>3</v>
      </c>
      <c r="L46" s="239" t="s">
        <v>7551</v>
      </c>
      <c r="M46" s="6" t="s">
        <v>7781</v>
      </c>
      <c r="N46" s="239" t="s">
        <v>7689</v>
      </c>
      <c r="O46" s="30" t="s">
        <v>7554</v>
      </c>
      <c r="P46" s="30" t="s">
        <v>751</v>
      </c>
      <c r="Q46" s="30" t="s">
        <v>7782</v>
      </c>
      <c r="R46" s="30" t="s">
        <v>751</v>
      </c>
      <c r="S46" s="30" t="s">
        <v>751</v>
      </c>
      <c r="T46" s="30" t="s">
        <v>751</v>
      </c>
      <c r="U46" s="30" t="s">
        <v>7783</v>
      </c>
      <c r="V46" s="6" t="s">
        <v>7788</v>
      </c>
      <c r="W46" s="6" t="s">
        <v>751</v>
      </c>
      <c r="X46" s="32" t="n">
        <f aca="false">IF($O46="Active",SUMPRODUCT(($AH$5:$AH$120=$AH46)*1),0)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GB200／GB300 BF16 dense 峰值¦dense¦GB200、GB300</v>
      </c>
    </row>
    <row r="47" customFormat="false" ht="29.25" hidden="false" customHeight="true" outlineLevel="0" collapsed="false">
      <c r="A47" s="30" t="s">
        <v>4986</v>
      </c>
      <c r="B47" s="6" t="s">
        <v>7789</v>
      </c>
      <c r="C47" s="241" t="n">
        <v>5</v>
      </c>
      <c r="D47" s="239"/>
      <c r="E47" s="239"/>
      <c r="F47" s="30" t="s">
        <v>501</v>
      </c>
      <c r="G47" s="30" t="s">
        <v>7790</v>
      </c>
      <c r="H47" s="30" t="s">
        <v>7787</v>
      </c>
      <c r="I47" s="30" t="s">
        <v>751</v>
      </c>
      <c r="J47" s="6" t="s">
        <v>7780</v>
      </c>
      <c r="K47" s="239" t="n">
        <v>1</v>
      </c>
      <c r="L47" s="239" t="s">
        <v>7551</v>
      </c>
      <c r="M47" s="6" t="s">
        <v>7781</v>
      </c>
      <c r="N47" s="239" t="s">
        <v>7553</v>
      </c>
      <c r="O47" s="30" t="s">
        <v>7554</v>
      </c>
      <c r="P47" s="30" t="s">
        <v>751</v>
      </c>
      <c r="Q47" s="30" t="s">
        <v>7791</v>
      </c>
      <c r="R47" s="30" t="s">
        <v>751</v>
      </c>
      <c r="S47" s="30" t="s">
        <v>6868</v>
      </c>
      <c r="T47" s="30" t="s">
        <v>751</v>
      </c>
      <c r="U47" s="30" t="s">
        <v>7783</v>
      </c>
      <c r="V47" s="6" t="s">
        <v>7792</v>
      </c>
      <c r="W47" s="6" t="s">
        <v>7793</v>
      </c>
      <c r="X47" s="32" t="n">
        <f aca="false">IF($O47="Active",SUMPRODUCT(($AH$5:$AH$120=$AH47)*1),0)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GB200／GB300 FP8 dense 峰值¦dense；B300 未提升 FP8¦GB200、GB300</v>
      </c>
    </row>
    <row r="48" customFormat="false" ht="29.25" hidden="false" customHeight="true" outlineLevel="0" collapsed="false">
      <c r="A48" s="30" t="s">
        <v>4864</v>
      </c>
      <c r="B48" s="6" t="s">
        <v>7794</v>
      </c>
      <c r="C48" s="241" t="n">
        <v>4600</v>
      </c>
      <c r="D48" s="239"/>
      <c r="E48" s="239"/>
      <c r="F48" s="30" t="s">
        <v>7795</v>
      </c>
      <c r="G48" s="30" t="s">
        <v>7730</v>
      </c>
      <c r="H48" s="30" t="s">
        <v>7640</v>
      </c>
      <c r="I48" s="30" t="s">
        <v>751</v>
      </c>
      <c r="J48" s="6" t="s">
        <v>7780</v>
      </c>
      <c r="K48" s="239" t="n">
        <v>3</v>
      </c>
      <c r="L48" s="239" t="s">
        <v>7551</v>
      </c>
      <c r="M48" s="6" t="s">
        <v>7781</v>
      </c>
      <c r="N48" s="239" t="s">
        <v>7689</v>
      </c>
      <c r="O48" s="30" t="s">
        <v>7554</v>
      </c>
      <c r="P48" s="30" t="s">
        <v>751</v>
      </c>
      <c r="Q48" s="30" t="s">
        <v>7782</v>
      </c>
      <c r="R48" s="30" t="s">
        <v>751</v>
      </c>
      <c r="S48" s="30" t="s">
        <v>751</v>
      </c>
      <c r="T48" s="30" t="s">
        <v>751</v>
      </c>
      <c r="U48" s="30" t="s">
        <v>7783</v>
      </c>
      <c r="V48" s="6" t="s">
        <v>7796</v>
      </c>
      <c r="W48" s="6" t="s">
        <v>7797</v>
      </c>
      <c r="X48" s="32" t="n">
        <f aca="false">IF($O48="Active",SUMPRODUCT(($AH$5:$AH$120=$AH48)*1),0)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Rubin Ultra NVL576 HBM 總頻寬¦144 封裝¦Rubin Ultra NVL576</v>
      </c>
    </row>
    <row r="49" customFormat="false" ht="29.25" hidden="false" customHeight="true" outlineLevel="0" collapsed="false">
      <c r="A49" s="30" t="s">
        <v>7798</v>
      </c>
      <c r="B49" s="6" t="s">
        <v>7799</v>
      </c>
      <c r="C49" s="241" t="n">
        <v>5000</v>
      </c>
      <c r="D49" s="239"/>
      <c r="E49" s="239"/>
      <c r="F49" s="30" t="s">
        <v>7729</v>
      </c>
      <c r="G49" s="30" t="s">
        <v>7730</v>
      </c>
      <c r="H49" s="30" t="s">
        <v>7640</v>
      </c>
      <c r="I49" s="30" t="s">
        <v>751</v>
      </c>
      <c r="J49" s="6" t="s">
        <v>7780</v>
      </c>
      <c r="K49" s="239" t="n">
        <v>3</v>
      </c>
      <c r="L49" s="239" t="s">
        <v>7551</v>
      </c>
      <c r="M49" s="6" t="s">
        <v>7781</v>
      </c>
      <c r="N49" s="239" t="s">
        <v>7689</v>
      </c>
      <c r="O49" s="30" t="s">
        <v>7641</v>
      </c>
      <c r="P49" s="30" t="s">
        <v>7642</v>
      </c>
      <c r="Q49" s="30" t="s">
        <v>7782</v>
      </c>
      <c r="R49" s="30" t="s">
        <v>751</v>
      </c>
      <c r="S49" s="30" t="s">
        <v>751</v>
      </c>
      <c r="T49" s="30" t="s">
        <v>751</v>
      </c>
      <c r="U49" s="30" t="s">
        <v>7783</v>
      </c>
      <c r="V49" s="6" t="s">
        <v>7800</v>
      </c>
      <c r="W49" s="6" t="s">
        <v>7801</v>
      </c>
      <c r="X49" s="32" t="n">
        <f aca="false">IF($O49="Active",SUMPRODUCT(($AH$5:$AH$120=$AH49)*1),0)</f>
        <v>0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0</v>
      </c>
      <c r="AH49" s="44" t="str">
        <f aca="false">IF($O49="Active",$B49&amp;"¦"&amp;$G49&amp;"¦"&amp;$H49,"")</f>
        <v/>
      </c>
    </row>
    <row r="50" customFormat="false" ht="29.25" hidden="false" customHeight="true" outlineLevel="0" collapsed="false">
      <c r="A50" s="30" t="s">
        <v>4954</v>
      </c>
      <c r="B50" s="6" t="s">
        <v>7802</v>
      </c>
      <c r="C50" s="241" t="n">
        <v>1.8</v>
      </c>
      <c r="D50" s="239"/>
      <c r="E50" s="239"/>
      <c r="F50" s="30" t="s">
        <v>7803</v>
      </c>
      <c r="G50" s="239" t="s">
        <v>7639</v>
      </c>
      <c r="H50" s="30" t="s">
        <v>2579</v>
      </c>
      <c r="I50" s="30" t="s">
        <v>751</v>
      </c>
      <c r="J50" s="6" t="s">
        <v>7780</v>
      </c>
      <c r="K50" s="239" t="n">
        <v>3</v>
      </c>
      <c r="L50" s="239" t="s">
        <v>7551</v>
      </c>
      <c r="M50" s="6" t="s">
        <v>7781</v>
      </c>
      <c r="N50" s="239" t="s">
        <v>7689</v>
      </c>
      <c r="O50" s="30" t="s">
        <v>7554</v>
      </c>
      <c r="P50" s="30" t="s">
        <v>751</v>
      </c>
      <c r="Q50" s="30" t="s">
        <v>7782</v>
      </c>
      <c r="R50" s="30" t="s">
        <v>751</v>
      </c>
      <c r="S50" s="30" t="s">
        <v>751</v>
      </c>
      <c r="T50" s="30" t="s">
        <v>751</v>
      </c>
      <c r="U50" s="30" t="s">
        <v>7783</v>
      </c>
      <c r="V50" s="6" t="s">
        <v>7804</v>
      </c>
      <c r="W50" s="20" t="s">
        <v>7805</v>
      </c>
      <c r="X50" s="32" t="n">
        <f aca="false">IF($O50="Active",SUMPRODUCT(($AH$5:$AH$120=$AH50)*1),0)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Rubin GPU 功率¦約值¦VR200</v>
      </c>
    </row>
    <row r="51" customFormat="false" ht="72" hidden="false" customHeight="true" outlineLevel="0" collapsed="false">
      <c r="A51" s="30" t="s">
        <v>4695</v>
      </c>
      <c r="B51" s="6" t="s">
        <v>7806</v>
      </c>
      <c r="C51" s="241" t="n">
        <v>72</v>
      </c>
      <c r="D51" s="239"/>
      <c r="E51" s="239"/>
      <c r="F51" s="30" t="s">
        <v>697</v>
      </c>
      <c r="G51" s="30" t="s">
        <v>7807</v>
      </c>
      <c r="H51" s="30" t="s">
        <v>7808</v>
      </c>
      <c r="I51" s="30" t="s">
        <v>751</v>
      </c>
      <c r="J51" s="6" t="s">
        <v>7780</v>
      </c>
      <c r="K51" s="239" t="n">
        <v>1</v>
      </c>
      <c r="L51" s="239" t="s">
        <v>7551</v>
      </c>
      <c r="M51" s="6" t="s">
        <v>7809</v>
      </c>
      <c r="N51" s="239" t="s">
        <v>7553</v>
      </c>
      <c r="O51" s="30" t="s">
        <v>7554</v>
      </c>
      <c r="P51" s="30" t="s">
        <v>751</v>
      </c>
      <c r="Q51" s="30" t="s">
        <v>7810</v>
      </c>
      <c r="R51" s="30" t="s">
        <v>751</v>
      </c>
      <c r="S51" s="30" t="s">
        <v>6868</v>
      </c>
      <c r="T51" s="30" t="s">
        <v>751</v>
      </c>
      <c r="U51" s="30" t="s">
        <v>7783</v>
      </c>
      <c r="V51" s="6" t="s">
        <v>7811</v>
      </c>
      <c r="W51" s="20" t="s">
        <v>7812</v>
      </c>
      <c r="X51" s="32" t="n">
        <f aca="false">IF($O51="Active",SUMPRODUCT(($AH$5:$AH$120=$AH51)*1),0)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NVLink 域 GPU 數¦NVL72 產品定義¦GB200、GB300、VR200 NVL72</v>
      </c>
    </row>
    <row r="52" customFormat="false" ht="29.25" hidden="false" customHeight="true" outlineLevel="0" collapsed="false">
      <c r="A52" s="30" t="s">
        <v>4873</v>
      </c>
      <c r="B52" s="6" t="s">
        <v>7813</v>
      </c>
      <c r="C52" s="241" t="n">
        <v>0.9</v>
      </c>
      <c r="D52" s="239"/>
      <c r="E52" s="239"/>
      <c r="F52" s="30" t="s">
        <v>377</v>
      </c>
      <c r="G52" s="239" t="s">
        <v>7814</v>
      </c>
      <c r="H52" s="30" t="s">
        <v>7787</v>
      </c>
      <c r="I52" s="30" t="s">
        <v>751</v>
      </c>
      <c r="J52" s="6" t="s">
        <v>7780</v>
      </c>
      <c r="K52" s="239" t="n">
        <v>3</v>
      </c>
      <c r="L52" s="239" t="s">
        <v>7551</v>
      </c>
      <c r="M52" s="6" t="s">
        <v>7781</v>
      </c>
      <c r="N52" s="239" t="s">
        <v>7689</v>
      </c>
      <c r="O52" s="30" t="s">
        <v>7554</v>
      </c>
      <c r="P52" s="30" t="s">
        <v>751</v>
      </c>
      <c r="Q52" s="30" t="s">
        <v>7782</v>
      </c>
      <c r="R52" s="30" t="s">
        <v>751</v>
      </c>
      <c r="S52" s="30" t="s">
        <v>751</v>
      </c>
      <c r="T52" s="30" t="s">
        <v>751</v>
      </c>
      <c r="U52" s="30" t="s">
        <v>7783</v>
      </c>
      <c r="V52" s="6" t="s">
        <v>7815</v>
      </c>
      <c r="W52" s="20" t="s">
        <v>7816</v>
      </c>
      <c r="X52" s="32" t="n">
        <f aca="false">IF($O52="Active",SUMPRODUCT(($AH$5:$AH$120=$AH52)*1),0)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NVLink 5 頻寬¦單向¦GB200、GB300</v>
      </c>
    </row>
    <row r="53" customFormat="false" ht="29.25" hidden="false" customHeight="true" outlineLevel="0" collapsed="false">
      <c r="A53" s="30" t="s">
        <v>4877</v>
      </c>
      <c r="B53" s="6" t="s">
        <v>7817</v>
      </c>
      <c r="C53" s="241" t="n">
        <v>1.8</v>
      </c>
      <c r="D53" s="239"/>
      <c r="E53" s="239"/>
      <c r="F53" s="30" t="s">
        <v>377</v>
      </c>
      <c r="G53" s="239" t="s">
        <v>7814</v>
      </c>
      <c r="H53" s="30" t="s">
        <v>2579</v>
      </c>
      <c r="I53" s="30" t="s">
        <v>751</v>
      </c>
      <c r="J53" s="6" t="s">
        <v>7780</v>
      </c>
      <c r="K53" s="239" t="n">
        <v>3</v>
      </c>
      <c r="L53" s="239" t="s">
        <v>7551</v>
      </c>
      <c r="M53" s="6" t="s">
        <v>7781</v>
      </c>
      <c r="N53" s="239" t="s">
        <v>7689</v>
      </c>
      <c r="O53" s="30" t="s">
        <v>7554</v>
      </c>
      <c r="P53" s="30" t="s">
        <v>751</v>
      </c>
      <c r="Q53" s="30" t="s">
        <v>7782</v>
      </c>
      <c r="R53" s="30" t="s">
        <v>751</v>
      </c>
      <c r="S53" s="30" t="s">
        <v>751</v>
      </c>
      <c r="T53" s="30" t="s">
        <v>751</v>
      </c>
      <c r="U53" s="30" t="s">
        <v>7783</v>
      </c>
      <c r="V53" s="6" t="s">
        <v>7818</v>
      </c>
      <c r="W53" s="6" t="s">
        <v>751</v>
      </c>
      <c r="X53" s="32" t="n">
        <f aca="false">IF($O53="Active",SUMPRODUCT(($AH$5:$AH$120=$AH53)*1),0)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NVLink 6 頻寬¦單向¦VR200</v>
      </c>
    </row>
    <row r="54" customFormat="false" ht="57.75" hidden="false" customHeight="true" outlineLevel="0" collapsed="false">
      <c r="A54" s="30" t="s">
        <v>4915</v>
      </c>
      <c r="B54" s="6" t="s">
        <v>7819</v>
      </c>
      <c r="C54" s="241" t="n">
        <v>0.5625</v>
      </c>
      <c r="D54" s="239"/>
      <c r="E54" s="239"/>
      <c r="F54" s="30" t="s">
        <v>7820</v>
      </c>
      <c r="G54" s="239" t="s">
        <v>7821</v>
      </c>
      <c r="H54" s="30" t="s">
        <v>234</v>
      </c>
      <c r="I54" s="30" t="s">
        <v>751</v>
      </c>
      <c r="J54" s="6" t="s">
        <v>7780</v>
      </c>
      <c r="K54" s="239" t="n">
        <v>3</v>
      </c>
      <c r="L54" s="239" t="s">
        <v>7551</v>
      </c>
      <c r="M54" s="6" t="s">
        <v>7781</v>
      </c>
      <c r="N54" s="239" t="s">
        <v>7689</v>
      </c>
      <c r="O54" s="30" t="s">
        <v>7554</v>
      </c>
      <c r="P54" s="30" t="s">
        <v>751</v>
      </c>
      <c r="Q54" s="30" t="s">
        <v>7782</v>
      </c>
      <c r="R54" s="30" t="s">
        <v>751</v>
      </c>
      <c r="S54" s="30" t="s">
        <v>751</v>
      </c>
      <c r="T54" s="30" t="s">
        <v>751</v>
      </c>
      <c r="U54" s="30" t="s">
        <v>7783</v>
      </c>
      <c r="V54" s="6" t="s">
        <v>7822</v>
      </c>
      <c r="W54" s="6" t="s">
        <v>751</v>
      </c>
      <c r="X54" s="32" t="n">
        <f aca="false">IF($O54="Active",SUMPRODUCT(($AH$5:$AH$120=$AH54)*1),0)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NVFP4 有效儲存（4 bit＋每 16 值 8 bit scale）¦格式定義¦NVFP4</v>
      </c>
    </row>
    <row r="55" customFormat="false" ht="43.5" hidden="false" customHeight="true" outlineLevel="0" collapsed="false">
      <c r="A55" s="30" t="s">
        <v>7823</v>
      </c>
      <c r="B55" s="6" t="s">
        <v>7824</v>
      </c>
      <c r="C55" s="241" t="n">
        <v>3</v>
      </c>
      <c r="D55" s="239"/>
      <c r="E55" s="239"/>
      <c r="F55" s="30" t="s">
        <v>7589</v>
      </c>
      <c r="G55" s="239" t="s">
        <v>7639</v>
      </c>
      <c r="H55" s="30" t="s">
        <v>188</v>
      </c>
      <c r="I55" s="30" t="s">
        <v>751</v>
      </c>
      <c r="J55" s="20" t="s">
        <v>7825</v>
      </c>
      <c r="K55" s="239" t="n">
        <v>3</v>
      </c>
      <c r="L55" s="239" t="s">
        <v>7658</v>
      </c>
      <c r="M55" s="6" t="s">
        <v>7826</v>
      </c>
      <c r="N55" s="239" t="s">
        <v>7564</v>
      </c>
      <c r="O55" s="30" t="s">
        <v>7554</v>
      </c>
      <c r="P55" s="30" t="s">
        <v>751</v>
      </c>
      <c r="Q55" s="30" t="s">
        <v>7827</v>
      </c>
      <c r="R55" s="30" t="s">
        <v>751</v>
      </c>
      <c r="S55" s="30" t="s">
        <v>751</v>
      </c>
      <c r="T55" s="30" t="s">
        <v>751</v>
      </c>
      <c r="U55" s="30" t="s">
        <v>7828</v>
      </c>
      <c r="V55" s="6" t="s">
        <v>751</v>
      </c>
      <c r="W55" s="20" t="s">
        <v>7829</v>
      </c>
      <c r="X55" s="32" t="n">
        <f aca="false">IF($O55="Active",SUMPRODUCT(($AH$5:$AH$120=$AH55)*1),0)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0</v>
      </c>
      <c r="AH55" s="44" t="str">
        <f aca="false">IF($O55="Active",$B55&amp;"¦"&amp;$G55&amp;"¦"&amp;$H55,"")</f>
        <v>GB200 NVL72 機架價格（Barron's）¦約值¦GB200 NVL72</v>
      </c>
    </row>
    <row r="56" customFormat="false" ht="43.5" hidden="false" customHeight="true" outlineLevel="0" collapsed="false">
      <c r="A56" s="30" t="s">
        <v>4756</v>
      </c>
      <c r="B56" s="6" t="s">
        <v>7830</v>
      </c>
      <c r="C56" s="241" t="n">
        <v>4</v>
      </c>
      <c r="D56" s="239"/>
      <c r="E56" s="239"/>
      <c r="F56" s="30" t="s">
        <v>7589</v>
      </c>
      <c r="G56" s="239" t="s">
        <v>7831</v>
      </c>
      <c r="H56" s="30" t="s">
        <v>189</v>
      </c>
      <c r="I56" s="30" t="s">
        <v>7832</v>
      </c>
      <c r="J56" s="20" t="s">
        <v>7833</v>
      </c>
      <c r="K56" s="239" t="n">
        <v>2</v>
      </c>
      <c r="L56" s="239" t="s">
        <v>7658</v>
      </c>
      <c r="M56" s="6" t="s">
        <v>7826</v>
      </c>
      <c r="N56" s="239" t="s">
        <v>7564</v>
      </c>
      <c r="O56" s="30" t="s">
        <v>7554</v>
      </c>
      <c r="P56" s="30" t="s">
        <v>751</v>
      </c>
      <c r="Q56" s="30" t="s">
        <v>7834</v>
      </c>
      <c r="R56" s="30" t="s">
        <v>751</v>
      </c>
      <c r="S56" s="30" t="s">
        <v>3944</v>
      </c>
      <c r="T56" s="30" t="s">
        <v>751</v>
      </c>
      <c r="U56" s="30" t="s">
        <v>7828</v>
      </c>
      <c r="V56" s="6" t="s">
        <v>7835</v>
      </c>
      <c r="W56" s="20" t="s">
        <v>7836</v>
      </c>
      <c r="X56" s="32" t="n">
        <f aca="false">IF($O56="Active",SUMPRODUCT(($AH$5:$AH$120=$AH56)*1),0)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GB300 NVL72 機架價格（Morgan Stanley）¦分析師估計（成本 BOM 推算）¦GB300 NVL72</v>
      </c>
    </row>
    <row r="57" customFormat="false" ht="29.25" hidden="false" customHeight="true" outlineLevel="0" collapsed="false">
      <c r="A57" s="30" t="s">
        <v>4884</v>
      </c>
      <c r="B57" s="6" t="s">
        <v>7837</v>
      </c>
      <c r="C57" s="241" t="n">
        <v>8</v>
      </c>
      <c r="D57" s="239"/>
      <c r="E57" s="239"/>
      <c r="F57" s="30" t="s">
        <v>697</v>
      </c>
      <c r="G57" s="30" t="s">
        <v>7838</v>
      </c>
      <c r="H57" s="30" t="s">
        <v>7839</v>
      </c>
      <c r="I57" s="30" t="s">
        <v>751</v>
      </c>
      <c r="J57" s="6" t="s">
        <v>7840</v>
      </c>
      <c r="K57" s="239" t="n">
        <v>1</v>
      </c>
      <c r="L57" s="239" t="s">
        <v>7551</v>
      </c>
      <c r="M57" s="6" t="s">
        <v>7552</v>
      </c>
      <c r="N57" s="239" t="s">
        <v>7553</v>
      </c>
      <c r="O57" s="30" t="s">
        <v>7554</v>
      </c>
      <c r="P57" s="30" t="s">
        <v>751</v>
      </c>
      <c r="Q57" s="30" t="s">
        <v>7841</v>
      </c>
      <c r="R57" s="30" t="s">
        <v>751</v>
      </c>
      <c r="S57" s="30" t="s">
        <v>6868</v>
      </c>
      <c r="T57" s="30" t="s">
        <v>751</v>
      </c>
      <c r="U57" s="30" t="s">
        <v>7842</v>
      </c>
      <c r="V57" s="6" t="s">
        <v>751</v>
      </c>
      <c r="W57" s="6" t="s">
        <v>7843</v>
      </c>
      <c r="X57" s="32" t="n">
        <f aca="false">IF($O57="Active",SUMPRODUCT(($AH$5:$AH$120=$AH57)*1),0)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HGX H100 NVLink 域 GPU 數¦HGX 8 GPU 板¦Hopper H100（HGX）</v>
      </c>
    </row>
    <row r="58" customFormat="false" ht="29.25" hidden="false" customHeight="true" outlineLevel="0" collapsed="false">
      <c r="A58" s="30" t="s">
        <v>7844</v>
      </c>
      <c r="B58" s="6" t="s">
        <v>7845</v>
      </c>
      <c r="C58" s="241" t="n">
        <v>144</v>
      </c>
      <c r="D58" s="239"/>
      <c r="E58" s="239"/>
      <c r="F58" s="239" t="s">
        <v>7846</v>
      </c>
      <c r="G58" s="30" t="s">
        <v>7847</v>
      </c>
      <c r="H58" s="30" t="s">
        <v>7640</v>
      </c>
      <c r="I58" s="30" t="s">
        <v>751</v>
      </c>
      <c r="J58" s="6" t="s">
        <v>7840</v>
      </c>
      <c r="K58" s="239" t="n">
        <v>3</v>
      </c>
      <c r="L58" s="239" t="s">
        <v>7551</v>
      </c>
      <c r="M58" s="6" t="s">
        <v>7848</v>
      </c>
      <c r="N58" s="239" t="s">
        <v>7689</v>
      </c>
      <c r="O58" s="30" t="s">
        <v>7641</v>
      </c>
      <c r="P58" s="30" t="s">
        <v>7642</v>
      </c>
      <c r="Q58" s="30" t="s">
        <v>7849</v>
      </c>
      <c r="R58" s="30" t="s">
        <v>751</v>
      </c>
      <c r="S58" s="30" t="s">
        <v>751</v>
      </c>
      <c r="T58" s="30" t="s">
        <v>751</v>
      </c>
      <c r="U58" s="30" t="s">
        <v>7842</v>
      </c>
      <c r="V58" s="6" t="s">
        <v>751</v>
      </c>
      <c r="W58" s="6" t="s">
        <v>7850</v>
      </c>
      <c r="X58" s="32" t="n">
        <f aca="false">IF($O58="Active",SUMPRODUCT(($AH$5:$AH$120=$AH58)*1),0)</f>
        <v>0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/>
      </c>
    </row>
    <row r="59" customFormat="false" ht="29.25" hidden="false" customHeight="true" outlineLevel="0" collapsed="false">
      <c r="A59" s="30" t="s">
        <v>4913</v>
      </c>
      <c r="B59" s="6" t="s">
        <v>7851</v>
      </c>
      <c r="C59" s="241" t="n">
        <v>1</v>
      </c>
      <c r="D59" s="239"/>
      <c r="E59" s="239"/>
      <c r="F59" s="30" t="s">
        <v>7820</v>
      </c>
      <c r="G59" s="239" t="s">
        <v>7821</v>
      </c>
      <c r="H59" s="30" t="s">
        <v>233</v>
      </c>
      <c r="I59" s="30" t="s">
        <v>751</v>
      </c>
      <c r="J59" s="6" t="s">
        <v>7840</v>
      </c>
      <c r="K59" s="239" t="n">
        <v>3</v>
      </c>
      <c r="L59" s="239" t="s">
        <v>7658</v>
      </c>
      <c r="M59" s="20" t="s">
        <v>7852</v>
      </c>
      <c r="N59" s="239" t="s">
        <v>7689</v>
      </c>
      <c r="O59" s="30" t="s">
        <v>7554</v>
      </c>
      <c r="P59" s="30" t="s">
        <v>751</v>
      </c>
      <c r="Q59" s="30" t="s">
        <v>7849</v>
      </c>
      <c r="R59" s="30" t="s">
        <v>751</v>
      </c>
      <c r="S59" s="30" t="s">
        <v>751</v>
      </c>
      <c r="T59" s="30" t="s">
        <v>751</v>
      </c>
      <c r="U59" s="30" t="s">
        <v>7842</v>
      </c>
      <c r="V59" s="6" t="s">
        <v>751</v>
      </c>
      <c r="W59" s="6" t="s">
        <v>7853</v>
      </c>
      <c r="X59" s="32" t="n">
        <f aca="false">IF($O59="Active",SUMPRODUCT(($AH$5:$AH$120=$AH59)*1),0)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FP8 每參數儲存¦格式定義¦FP8</v>
      </c>
    </row>
    <row r="60" customFormat="false" ht="29.25" hidden="false" customHeight="true" outlineLevel="0" collapsed="false">
      <c r="A60" s="30" t="s">
        <v>4948</v>
      </c>
      <c r="B60" s="6" t="s">
        <v>7854</v>
      </c>
      <c r="C60" s="241" t="n">
        <v>700</v>
      </c>
      <c r="D60" s="239"/>
      <c r="E60" s="239"/>
      <c r="F60" s="30" t="s">
        <v>7855</v>
      </c>
      <c r="G60" s="30" t="s">
        <v>7856</v>
      </c>
      <c r="H60" s="30" t="s">
        <v>187</v>
      </c>
      <c r="I60" s="30" t="s">
        <v>751</v>
      </c>
      <c r="J60" s="6" t="s">
        <v>7840</v>
      </c>
      <c r="K60" s="239" t="n">
        <v>3</v>
      </c>
      <c r="L60" s="239" t="s">
        <v>7551</v>
      </c>
      <c r="M60" s="6" t="s">
        <v>7552</v>
      </c>
      <c r="N60" s="239" t="s">
        <v>7689</v>
      </c>
      <c r="O60" s="30" t="s">
        <v>7554</v>
      </c>
      <c r="P60" s="30" t="s">
        <v>751</v>
      </c>
      <c r="Q60" s="30" t="s">
        <v>7849</v>
      </c>
      <c r="R60" s="30" t="s">
        <v>751</v>
      </c>
      <c r="S60" s="30" t="s">
        <v>751</v>
      </c>
      <c r="T60" s="30" t="s">
        <v>751</v>
      </c>
      <c r="U60" s="30" t="s">
        <v>7842</v>
      </c>
      <c r="V60" s="6" t="s">
        <v>751</v>
      </c>
      <c r="W60" s="6" t="s">
        <v>7853</v>
      </c>
      <c r="X60" s="32" t="n">
        <f aca="false">IF($O60="Active",SUMPRODUCT(($AH$5:$AH$120=$AH60)*1),0)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H100 SXM GPU 功率（TDP）¦TDP¦Hopper H100</v>
      </c>
    </row>
    <row r="61" customFormat="false" ht="29.25" hidden="false" customHeight="true" outlineLevel="0" collapsed="false">
      <c r="A61" s="30" t="s">
        <v>4950</v>
      </c>
      <c r="B61" s="6" t="s">
        <v>7857</v>
      </c>
      <c r="C61" s="241" t="n">
        <v>1200</v>
      </c>
      <c r="D61" s="239"/>
      <c r="E61" s="239"/>
      <c r="F61" s="30" t="s">
        <v>7855</v>
      </c>
      <c r="G61" s="239" t="s">
        <v>7858</v>
      </c>
      <c r="H61" s="30" t="s">
        <v>188</v>
      </c>
      <c r="I61" s="30" t="s">
        <v>751</v>
      </c>
      <c r="J61" s="6" t="s">
        <v>7840</v>
      </c>
      <c r="K61" s="239" t="n">
        <v>3</v>
      </c>
      <c r="L61" s="239" t="s">
        <v>7551</v>
      </c>
      <c r="M61" s="6" t="s">
        <v>7552</v>
      </c>
      <c r="N61" s="239" t="s">
        <v>7689</v>
      </c>
      <c r="O61" s="30" t="s">
        <v>7554</v>
      </c>
      <c r="P61" s="30" t="s">
        <v>751</v>
      </c>
      <c r="Q61" s="30" t="s">
        <v>7849</v>
      </c>
      <c r="R61" s="30" t="s">
        <v>751</v>
      </c>
      <c r="S61" s="30" t="s">
        <v>751</v>
      </c>
      <c r="T61" s="30" t="s">
        <v>751</v>
      </c>
      <c r="U61" s="30" t="s">
        <v>7842</v>
      </c>
      <c r="V61" s="6" t="s">
        <v>751</v>
      </c>
      <c r="W61" s="6" t="s">
        <v>7853</v>
      </c>
      <c r="X61" s="32" t="n">
        <f aca="false">IF($O61="Active",SUMPRODUCT(($AH$5:$AH$120=$AH61)*1),0)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GB200 中 Blackwell GPU 功率¦可配置上限¦GB200 NVL72</v>
      </c>
    </row>
    <row r="62" customFormat="false" ht="29.25" hidden="false" customHeight="true" outlineLevel="0" collapsed="false">
      <c r="A62" s="30" t="s">
        <v>4952</v>
      </c>
      <c r="B62" s="6" t="s">
        <v>7859</v>
      </c>
      <c r="C62" s="241" t="n">
        <v>1400</v>
      </c>
      <c r="D62" s="239"/>
      <c r="E62" s="239"/>
      <c r="F62" s="30" t="s">
        <v>7855</v>
      </c>
      <c r="G62" s="239" t="s">
        <v>7858</v>
      </c>
      <c r="H62" s="30" t="s">
        <v>189</v>
      </c>
      <c r="I62" s="30" t="s">
        <v>751</v>
      </c>
      <c r="J62" s="6" t="s">
        <v>7840</v>
      </c>
      <c r="K62" s="239" t="n">
        <v>3</v>
      </c>
      <c r="L62" s="239" t="s">
        <v>7551</v>
      </c>
      <c r="M62" s="6" t="s">
        <v>7552</v>
      </c>
      <c r="N62" s="239" t="s">
        <v>7689</v>
      </c>
      <c r="O62" s="30" t="s">
        <v>7554</v>
      </c>
      <c r="P62" s="30" t="s">
        <v>751</v>
      </c>
      <c r="Q62" s="30" t="s">
        <v>7849</v>
      </c>
      <c r="R62" s="30" t="s">
        <v>751</v>
      </c>
      <c r="S62" s="30" t="s">
        <v>751</v>
      </c>
      <c r="T62" s="30" t="s">
        <v>751</v>
      </c>
      <c r="U62" s="30" t="s">
        <v>7842</v>
      </c>
      <c r="V62" s="6" t="s">
        <v>751</v>
      </c>
      <c r="W62" s="6" t="s">
        <v>7853</v>
      </c>
      <c r="X62" s="32" t="n">
        <f aca="false">IF($O62="Active",SUMPRODUCT(($AH$5:$AH$120=$AH62)*1),0)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GB300 中 Blackwell Ultra GPU 功率¦可配置上限¦GB300 NVL72</v>
      </c>
    </row>
    <row r="63" customFormat="false" ht="29.25" hidden="false" customHeight="true" outlineLevel="0" collapsed="false">
      <c r="A63" s="30" t="s">
        <v>4858</v>
      </c>
      <c r="B63" s="6" t="s">
        <v>7860</v>
      </c>
      <c r="C63" s="241" t="n">
        <v>8</v>
      </c>
      <c r="D63" s="239"/>
      <c r="E63" s="239"/>
      <c r="F63" s="30" t="s">
        <v>377</v>
      </c>
      <c r="G63" s="30" t="s">
        <v>7744</v>
      </c>
      <c r="H63" s="30" t="s">
        <v>189</v>
      </c>
      <c r="I63" s="30" t="s">
        <v>751</v>
      </c>
      <c r="J63" s="6" t="s">
        <v>7840</v>
      </c>
      <c r="K63" s="239" t="n">
        <v>3</v>
      </c>
      <c r="L63" s="239" t="s">
        <v>7551</v>
      </c>
      <c r="M63" s="6" t="s">
        <v>7552</v>
      </c>
      <c r="N63" s="239" t="s">
        <v>7689</v>
      </c>
      <c r="O63" s="30" t="s">
        <v>7554</v>
      </c>
      <c r="P63" s="30" t="s">
        <v>751</v>
      </c>
      <c r="Q63" s="30" t="s">
        <v>7849</v>
      </c>
      <c r="R63" s="30" t="s">
        <v>751</v>
      </c>
      <c r="S63" s="30" t="s">
        <v>751</v>
      </c>
      <c r="T63" s="30" t="s">
        <v>751</v>
      </c>
      <c r="U63" s="30" t="s">
        <v>7842</v>
      </c>
      <c r="V63" s="6" t="s">
        <v>751</v>
      </c>
      <c r="W63" s="6" t="s">
        <v>7853</v>
      </c>
      <c r="X63" s="32" t="n">
        <f aca="false">IF($O63="Active",SUMPRODUCT(($AH$5:$AH$120=$AH63)*1),0)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B300 HBM 頻寬¦HBM3e¦GB300 NVL72</v>
      </c>
    </row>
    <row r="64" customFormat="false" ht="29.25" hidden="false" customHeight="true" outlineLevel="0" collapsed="false">
      <c r="A64" s="30" t="s">
        <v>4869</v>
      </c>
      <c r="B64" s="6" t="s">
        <v>7861</v>
      </c>
      <c r="C64" s="241" t="n">
        <v>400</v>
      </c>
      <c r="D64" s="239"/>
      <c r="E64" s="239"/>
      <c r="F64" s="30" t="s">
        <v>7862</v>
      </c>
      <c r="G64" s="239" t="s">
        <v>7863</v>
      </c>
      <c r="H64" s="30" t="s">
        <v>187</v>
      </c>
      <c r="I64" s="30" t="s">
        <v>751</v>
      </c>
      <c r="J64" s="6" t="s">
        <v>7840</v>
      </c>
      <c r="K64" s="239" t="n">
        <v>3</v>
      </c>
      <c r="L64" s="239" t="s">
        <v>7551</v>
      </c>
      <c r="M64" s="6" t="s">
        <v>7552</v>
      </c>
      <c r="N64" s="239" t="s">
        <v>7689</v>
      </c>
      <c r="O64" s="30" t="s">
        <v>7554</v>
      </c>
      <c r="P64" s="30" t="s">
        <v>751</v>
      </c>
      <c r="Q64" s="30" t="s">
        <v>7849</v>
      </c>
      <c r="R64" s="30" t="s">
        <v>751</v>
      </c>
      <c r="S64" s="30" t="s">
        <v>751</v>
      </c>
      <c r="T64" s="30" t="s">
        <v>751</v>
      </c>
      <c r="U64" s="30" t="s">
        <v>7842</v>
      </c>
      <c r="V64" s="6" t="s">
        <v>751</v>
      </c>
      <c r="W64" s="6" t="s">
        <v>7853</v>
      </c>
      <c r="X64" s="32" t="n">
        <f aca="false">IF($O64="Active",SUMPRODUCT(($AH$5:$AH$120=$AH64)*1),0)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InfiniBand NDR 單埠頻寬（ConnectX-7）¦單向；Hopper 跨節點 EP¦Hopper H100</v>
      </c>
    </row>
    <row r="65" customFormat="false" ht="48.75" hidden="false" customHeight="true" outlineLevel="0" collapsed="false">
      <c r="A65" s="30" t="s">
        <v>4701</v>
      </c>
      <c r="B65" s="6" t="s">
        <v>7864</v>
      </c>
      <c r="C65" s="241" t="n">
        <v>72</v>
      </c>
      <c r="D65" s="239"/>
      <c r="E65" s="239"/>
      <c r="F65" s="239" t="s">
        <v>7846</v>
      </c>
      <c r="G65" s="239" t="s">
        <v>7865</v>
      </c>
      <c r="H65" s="30" t="s">
        <v>7866</v>
      </c>
      <c r="I65" s="30" t="s">
        <v>1382</v>
      </c>
      <c r="J65" s="6" t="s">
        <v>7867</v>
      </c>
      <c r="K65" s="239" t="n">
        <v>1</v>
      </c>
      <c r="L65" s="239" t="s">
        <v>7551</v>
      </c>
      <c r="M65" s="6" t="s">
        <v>7868</v>
      </c>
      <c r="N65" s="239" t="s">
        <v>7553</v>
      </c>
      <c r="O65" s="30" t="s">
        <v>7554</v>
      </c>
      <c r="P65" s="30" t="s">
        <v>751</v>
      </c>
      <c r="Q65" s="30" t="s">
        <v>7869</v>
      </c>
      <c r="R65" s="30" t="s">
        <v>751</v>
      </c>
      <c r="S65" s="30" t="s">
        <v>751</v>
      </c>
      <c r="T65" s="30" t="s">
        <v>751</v>
      </c>
      <c r="U65" s="30" t="s">
        <v>7870</v>
      </c>
      <c r="V65" s="6" t="s">
        <v>7871</v>
      </c>
      <c r="W65" s="6" t="s">
        <v>7872</v>
      </c>
      <c r="X65" s="32" t="n">
        <f aca="false">IF($O65="Active",SUMPRODUCT(($AH$5:$AH$120=$AH65)*1),0)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Rubin Ultra 單架 GPU 封裝數（MGX NVL 單架）¦每架 72 顆 Rubin Ultra GPU（封裝為推斷 Derived）¦Rubin Ultra（MGX NVL 單架）</v>
      </c>
    </row>
    <row r="66" customFormat="false" ht="48.75" hidden="false" customHeight="true" outlineLevel="0" collapsed="false">
      <c r="A66" s="30" t="s">
        <v>4890</v>
      </c>
      <c r="B66" s="6" t="s">
        <v>7873</v>
      </c>
      <c r="C66" s="241" t="n">
        <v>576</v>
      </c>
      <c r="D66" s="239"/>
      <c r="E66" s="239"/>
      <c r="F66" s="30" t="s">
        <v>697</v>
      </c>
      <c r="G66" s="30" t="s">
        <v>7874</v>
      </c>
      <c r="H66" s="30" t="s">
        <v>7640</v>
      </c>
      <c r="I66" s="30" t="s">
        <v>1382</v>
      </c>
      <c r="J66" s="6" t="s">
        <v>7867</v>
      </c>
      <c r="K66" s="239" t="n">
        <v>1</v>
      </c>
      <c r="L66" s="239" t="s">
        <v>7551</v>
      </c>
      <c r="M66" s="6" t="s">
        <v>7875</v>
      </c>
      <c r="N66" s="239" t="s">
        <v>7553</v>
      </c>
      <c r="O66" s="30" t="s">
        <v>7554</v>
      </c>
      <c r="P66" s="30" t="s">
        <v>751</v>
      </c>
      <c r="Q66" s="30" t="s">
        <v>7869</v>
      </c>
      <c r="R66" s="30" t="s">
        <v>751</v>
      </c>
      <c r="S66" s="30" t="s">
        <v>751</v>
      </c>
      <c r="T66" s="30" t="s">
        <v>751</v>
      </c>
      <c r="U66" s="30" t="s">
        <v>7870</v>
      </c>
      <c r="V66" s="6" t="s">
        <v>7876</v>
      </c>
      <c r="W66" s="6" t="s">
        <v>7877</v>
      </c>
      <c r="X66" s="32" t="n">
        <f aca="false">IF($O66="Active",SUMPRODUCT(($AH$5:$AH$120=$AH66)*1),0)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Rubin Ultra NVL576 NVLink 域 GPU 數¦8 個 MGX NVL 單架互連為單一 NVLink 域（兩層拓撲）¦Rubin Ultra NVL576</v>
      </c>
    </row>
    <row r="67" customFormat="false" ht="39" hidden="false" customHeight="true" outlineLevel="0" collapsed="false">
      <c r="A67" s="30" t="s">
        <v>4815</v>
      </c>
      <c r="B67" s="6" t="s">
        <v>7878</v>
      </c>
      <c r="C67" s="241" t="n">
        <v>2520</v>
      </c>
      <c r="D67" s="239"/>
      <c r="E67" s="239"/>
      <c r="F67" s="30" t="s">
        <v>7879</v>
      </c>
      <c r="G67" s="30" t="s">
        <v>7880</v>
      </c>
      <c r="H67" s="30" t="s">
        <v>190</v>
      </c>
      <c r="I67" s="30" t="s">
        <v>7561</v>
      </c>
      <c r="J67" s="6" t="s">
        <v>7881</v>
      </c>
      <c r="K67" s="239" t="n">
        <v>1</v>
      </c>
      <c r="L67" s="239" t="s">
        <v>7551</v>
      </c>
      <c r="M67" s="6" t="s">
        <v>7882</v>
      </c>
      <c r="N67" s="239" t="s">
        <v>7553</v>
      </c>
      <c r="O67" s="30" t="s">
        <v>7554</v>
      </c>
      <c r="P67" s="30" t="s">
        <v>751</v>
      </c>
      <c r="Q67" s="30" t="s">
        <v>7883</v>
      </c>
      <c r="R67" s="30" t="s">
        <v>751</v>
      </c>
      <c r="S67" s="30" t="s">
        <v>751</v>
      </c>
      <c r="T67" s="30" t="s">
        <v>751</v>
      </c>
      <c r="U67" s="30" t="s">
        <v>7870</v>
      </c>
      <c r="V67" s="20" t="s">
        <v>7884</v>
      </c>
      <c r="W67" s="6" t="s">
        <v>7885</v>
      </c>
      <c r="X67" s="32" t="n">
        <f aca="false">IF($O67="Active",SUMPRODUCT(($AH$5:$AH$120=$AH67)*1),0)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DGX Vera Rubin NVL72 NVFP4 訓練（整架，72 GPU）¦Dense specification；72 GPU（35 PF/GPU）¦VR200 NVL72</v>
      </c>
    </row>
    <row r="68" customFormat="false" ht="36" hidden="false" customHeight="true" outlineLevel="0" collapsed="false">
      <c r="A68" s="30" t="s">
        <v>7886</v>
      </c>
      <c r="B68" s="6" t="s">
        <v>7887</v>
      </c>
      <c r="C68" s="241" t="n">
        <v>227</v>
      </c>
      <c r="D68" s="239"/>
      <c r="E68" s="239"/>
      <c r="F68" s="30" t="s">
        <v>7573</v>
      </c>
      <c r="G68" s="239" t="s">
        <v>7888</v>
      </c>
      <c r="H68" s="30" t="s">
        <v>190</v>
      </c>
      <c r="I68" s="30" t="s">
        <v>1382</v>
      </c>
      <c r="J68" s="6" t="s">
        <v>7889</v>
      </c>
      <c r="K68" s="239" t="n">
        <v>1</v>
      </c>
      <c r="L68" s="239" t="s">
        <v>7551</v>
      </c>
      <c r="M68" s="6" t="s">
        <v>7890</v>
      </c>
      <c r="N68" s="239" t="s">
        <v>7553</v>
      </c>
      <c r="O68" s="30" t="s">
        <v>7554</v>
      </c>
      <c r="P68" s="30" t="s">
        <v>751</v>
      </c>
      <c r="Q68" s="30" t="s">
        <v>7891</v>
      </c>
      <c r="R68" s="30" t="s">
        <v>751</v>
      </c>
      <c r="S68" s="30" t="s">
        <v>751</v>
      </c>
      <c r="T68" s="30" t="s">
        <v>751</v>
      </c>
      <c r="U68" s="30" t="s">
        <v>7870</v>
      </c>
      <c r="V68" s="20" t="s">
        <v>7892</v>
      </c>
      <c r="W68" s="6" t="s">
        <v>7893</v>
      </c>
      <c r="X68" s="32" t="n">
        <f aca="false">IF($O68="Active",SUMPRODUCT(($AH$5:$AH$120=$AH68)*1),0)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Supermicro VR NVL72 DLC-2 液冷設計容量¦冷卻 sized-for 容量（不是機架實測功率）¦VR200 NVL72</v>
      </c>
    </row>
    <row r="69" customFormat="false" ht="86.25" hidden="false" customHeight="true" outlineLevel="0" collapsed="false">
      <c r="A69" s="30" t="s">
        <v>7894</v>
      </c>
      <c r="B69" s="6" t="s">
        <v>7895</v>
      </c>
      <c r="C69" s="241" t="n">
        <v>4.3</v>
      </c>
      <c r="D69" s="205"/>
      <c r="E69" s="205"/>
      <c r="F69" s="30" t="s">
        <v>7589</v>
      </c>
      <c r="G69" s="205" t="s">
        <v>7896</v>
      </c>
      <c r="H69" s="30" t="s">
        <v>189</v>
      </c>
      <c r="I69" s="30" t="s">
        <v>7897</v>
      </c>
      <c r="J69" s="6" t="s">
        <v>7898</v>
      </c>
      <c r="K69" s="205" t="n">
        <v>2</v>
      </c>
      <c r="L69" s="205" t="s">
        <v>7551</v>
      </c>
      <c r="M69" s="243" t="s">
        <v>7899</v>
      </c>
      <c r="N69" s="205" t="s">
        <v>7564</v>
      </c>
      <c r="O69" s="30" t="s">
        <v>7600</v>
      </c>
      <c r="P69" s="30" t="s">
        <v>751</v>
      </c>
      <c r="Q69" s="30" t="s">
        <v>7900</v>
      </c>
      <c r="R69" s="30" t="s">
        <v>751</v>
      </c>
      <c r="S69" s="30" t="s">
        <v>751</v>
      </c>
      <c r="T69" s="30" t="s">
        <v>751</v>
      </c>
      <c r="U69" s="30" t="s">
        <v>7901</v>
      </c>
      <c r="V69" s="6" t="s">
        <v>7902</v>
      </c>
      <c r="W69" s="6" t="s">
        <v>7903</v>
      </c>
      <c r="X69" s="32" t="n">
        <f aca="false">IF($O69="Active",SUMPRODUCT(($AH$5:$AH$120=$AH69)*1),0)</f>
        <v>0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0</v>
      </c>
      <c r="AH69" s="44" t="str">
        <f aca="false">IF($O69="Active",$B69&amp;"¦"&amp;$G69&amp;"¦"&amp;$H69,"")</f>
        <v/>
      </c>
    </row>
    <row r="70" customFormat="false" ht="72" hidden="false" customHeight="true" outlineLevel="0" collapsed="false">
      <c r="A70" s="30" t="s">
        <v>7904</v>
      </c>
      <c r="B70" s="6" t="s">
        <v>7905</v>
      </c>
      <c r="C70" s="241" t="n">
        <v>2</v>
      </c>
      <c r="D70" s="205"/>
      <c r="E70" s="205"/>
      <c r="F70" s="30" t="s">
        <v>118</v>
      </c>
      <c r="G70" s="205" t="s">
        <v>7906</v>
      </c>
      <c r="H70" s="30" t="s">
        <v>7907</v>
      </c>
      <c r="I70" s="30" t="s">
        <v>7908</v>
      </c>
      <c r="J70" s="6" t="s">
        <v>7909</v>
      </c>
      <c r="K70" s="205" t="n">
        <v>1</v>
      </c>
      <c r="L70" s="205" t="s">
        <v>7658</v>
      </c>
      <c r="M70" s="243" t="s">
        <v>7910</v>
      </c>
      <c r="N70" s="205" t="s">
        <v>7553</v>
      </c>
      <c r="O70" s="30" t="s">
        <v>7554</v>
      </c>
      <c r="P70" s="30" t="s">
        <v>751</v>
      </c>
      <c r="Q70" s="30" t="s">
        <v>7911</v>
      </c>
      <c r="R70" s="30" t="s">
        <v>751</v>
      </c>
      <c r="S70" s="30" t="s">
        <v>751</v>
      </c>
      <c r="T70" s="30" t="s">
        <v>751</v>
      </c>
      <c r="U70" s="30" t="s">
        <v>7901</v>
      </c>
      <c r="V70" s="243" t="s">
        <v>7912</v>
      </c>
      <c r="W70" s="6" t="s">
        <v>7913</v>
      </c>
      <c r="X70" s="32" t="n">
        <f aca="false">IF($O70="Active",SUMPRODUCT(($AH$5:$AH$120=$AH70)*1),0)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0</v>
      </c>
      <c r="AH70" s="44" t="str">
        <f aca="false">IF($O70="Active",$B70&amp;"¦"&amp;$G70&amp;"¦"&amp;$H70,"")</f>
        <v>Vera Rubin 對 GB300 系統 ASP 比值（TrendForce）¦比值（系統 ASP）¦VR200 NVL72 ÷ GB300 NVL72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6" t="s">
        <v>7914</v>
      </c>
    </row>
    <row r="2" customFormat="false" ht="15" hidden="false" customHeight="true" outlineLevel="0" collapsed="false">
      <c r="A2" s="248" t="s">
        <v>7525</v>
      </c>
    </row>
    <row r="3" customFormat="false" ht="15" hidden="false" customHeight="true" outlineLevel="0" collapsed="false">
      <c r="A3" s="248" t="s">
        <v>7526</v>
      </c>
    </row>
    <row r="4" customFormat="false" ht="43.5" hidden="false" customHeight="true" outlineLevel="0" collapsed="false">
      <c r="A4" s="84" t="s">
        <v>7527</v>
      </c>
      <c r="B4" s="237" t="s">
        <v>2763</v>
      </c>
      <c r="C4" s="237" t="s">
        <v>7528</v>
      </c>
      <c r="D4" s="237" t="s">
        <v>1308</v>
      </c>
      <c r="E4" s="237" t="s">
        <v>1309</v>
      </c>
      <c r="F4" s="237" t="s">
        <v>95</v>
      </c>
      <c r="G4" s="237" t="s">
        <v>497</v>
      </c>
      <c r="H4" s="237" t="s">
        <v>7529</v>
      </c>
      <c r="I4" s="237" t="s">
        <v>6566</v>
      </c>
      <c r="J4" s="237" t="s">
        <v>6569</v>
      </c>
      <c r="K4" s="237" t="s">
        <v>6741</v>
      </c>
      <c r="L4" s="237" t="s">
        <v>7530</v>
      </c>
      <c r="M4" s="237" t="s">
        <v>7531</v>
      </c>
      <c r="N4" s="237" t="s">
        <v>7532</v>
      </c>
      <c r="O4" s="237" t="s">
        <v>738</v>
      </c>
      <c r="P4" s="237" t="s">
        <v>7533</v>
      </c>
      <c r="Q4" s="84" t="s">
        <v>7534</v>
      </c>
      <c r="R4" s="237" t="s">
        <v>7535</v>
      </c>
      <c r="S4" s="237" t="s">
        <v>7536</v>
      </c>
      <c r="T4" s="84" t="s">
        <v>7537</v>
      </c>
      <c r="U4" s="237" t="s">
        <v>7538</v>
      </c>
      <c r="V4" s="237" t="s">
        <v>7539</v>
      </c>
      <c r="W4" s="237" t="s">
        <v>7540</v>
      </c>
      <c r="X4" s="237" t="s">
        <v>7541</v>
      </c>
      <c r="Y4" s="237" t="s">
        <v>7542</v>
      </c>
      <c r="Z4" s="237" t="s">
        <v>7543</v>
      </c>
      <c r="AH4" s="83" t="s">
        <v>7544</v>
      </c>
    </row>
    <row r="5" customFormat="false" ht="29.25" hidden="false" customHeight="true" outlineLevel="0" collapsed="false">
      <c r="A5" s="30" t="s">
        <v>4556</v>
      </c>
      <c r="B5" s="6" t="s">
        <v>7915</v>
      </c>
      <c r="C5" s="239"/>
      <c r="D5" s="241" t="n">
        <v>0.04</v>
      </c>
      <c r="E5" s="241" t="n">
        <v>0.08</v>
      </c>
      <c r="F5" s="30" t="s">
        <v>113</v>
      </c>
      <c r="G5" s="239" t="s">
        <v>7916</v>
      </c>
      <c r="H5" s="30" t="s">
        <v>751</v>
      </c>
      <c r="I5" s="30" t="s">
        <v>7561</v>
      </c>
      <c r="J5" s="6" t="s">
        <v>7917</v>
      </c>
      <c r="K5" s="239" t="n">
        <v>3</v>
      </c>
      <c r="L5" s="239" t="s">
        <v>7551</v>
      </c>
      <c r="M5" s="6" t="s">
        <v>7918</v>
      </c>
      <c r="N5" s="239" t="s">
        <v>7564</v>
      </c>
      <c r="O5" s="30" t="s">
        <v>7554</v>
      </c>
      <c r="P5" s="30" t="s">
        <v>751</v>
      </c>
      <c r="Q5" s="30" t="s">
        <v>7919</v>
      </c>
      <c r="R5" s="30" t="s">
        <v>751</v>
      </c>
      <c r="S5" s="30" t="s">
        <v>751</v>
      </c>
      <c r="T5" s="30" t="s">
        <v>751</v>
      </c>
      <c r="U5" s="30" t="s">
        <v>7920</v>
      </c>
      <c r="V5" s="6" t="s">
        <v>7921</v>
      </c>
      <c r="W5" s="20" t="s">
        <v>7922</v>
      </c>
      <c r="X5" s="32" t="n">
        <f aca="false">IF($O5="Active",SUMPRODUCT(($AH$5:$AH$71=$AH5)*1),0)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1,024 GPU 叢集網路 ÷ GPU BOM¦千卡叢集¦—</v>
      </c>
    </row>
    <row r="6" customFormat="false" ht="29.25" hidden="false" customHeight="true" outlineLevel="0" collapsed="false">
      <c r="A6" s="30" t="s">
        <v>4561</v>
      </c>
      <c r="B6" s="20" t="s">
        <v>7923</v>
      </c>
      <c r="C6" s="241" t="n">
        <v>0.15</v>
      </c>
      <c r="D6" s="239"/>
      <c r="E6" s="239"/>
      <c r="F6" s="30" t="s">
        <v>113</v>
      </c>
      <c r="G6" s="239" t="s">
        <v>7924</v>
      </c>
      <c r="H6" s="30" t="s">
        <v>751</v>
      </c>
      <c r="I6" s="30" t="s">
        <v>7561</v>
      </c>
      <c r="J6" s="6" t="s">
        <v>7917</v>
      </c>
      <c r="K6" s="239" t="n">
        <v>3</v>
      </c>
      <c r="L6" s="239" t="s">
        <v>7551</v>
      </c>
      <c r="M6" s="6" t="s">
        <v>7918</v>
      </c>
      <c r="N6" s="239" t="s">
        <v>7564</v>
      </c>
      <c r="O6" s="30" t="s">
        <v>7554</v>
      </c>
      <c r="P6" s="30" t="s">
        <v>751</v>
      </c>
      <c r="Q6" s="30" t="s">
        <v>7919</v>
      </c>
      <c r="R6" s="30" t="s">
        <v>751</v>
      </c>
      <c r="S6" s="30" t="s">
        <v>751</v>
      </c>
      <c r="T6" s="30" t="s">
        <v>751</v>
      </c>
      <c r="U6" s="30" t="s">
        <v>7920</v>
      </c>
      <c r="V6" s="6" t="s">
        <v>7925</v>
      </c>
      <c r="W6" s="6" t="s">
        <v>7926</v>
      </c>
      <c r="X6" s="32" t="n">
        <f aca="false">IF($O6="Active",SUMPRODUCT(($AH$5:$AH$71=$AH6)*1),0)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網路占 AI 支出（J.P. Morgan AM 假設）¦總 AI 支出¦—</v>
      </c>
    </row>
    <row r="7" customFormat="false" ht="29.25" hidden="false" customHeight="true" outlineLevel="0" collapsed="false">
      <c r="A7" s="30" t="s">
        <v>3195</v>
      </c>
      <c r="B7" s="20" t="s">
        <v>7927</v>
      </c>
      <c r="C7" s="241" t="n">
        <v>11.3</v>
      </c>
      <c r="D7" s="239"/>
      <c r="E7" s="239"/>
      <c r="F7" s="30" t="s">
        <v>135</v>
      </c>
      <c r="G7" s="239" t="s">
        <v>7928</v>
      </c>
      <c r="H7" s="239" t="s">
        <v>7929</v>
      </c>
      <c r="I7" s="30" t="s">
        <v>7561</v>
      </c>
      <c r="J7" s="6" t="s">
        <v>7930</v>
      </c>
      <c r="K7" s="239" t="n">
        <v>3</v>
      </c>
      <c r="L7" s="239" t="s">
        <v>7658</v>
      </c>
      <c r="M7" s="6" t="s">
        <v>7931</v>
      </c>
      <c r="N7" s="239" t="s">
        <v>7564</v>
      </c>
      <c r="O7" s="30" t="s">
        <v>7554</v>
      </c>
      <c r="P7" s="30" t="s">
        <v>751</v>
      </c>
      <c r="Q7" s="30" t="s">
        <v>5450</v>
      </c>
      <c r="R7" s="30" t="s">
        <v>751</v>
      </c>
      <c r="S7" s="30" t="s">
        <v>751</v>
      </c>
      <c r="T7" s="30" t="s">
        <v>751</v>
      </c>
      <c r="U7" s="30" t="s">
        <v>7932</v>
      </c>
      <c r="V7" s="6" t="s">
        <v>7933</v>
      </c>
      <c r="W7" s="6" t="s">
        <v>7934</v>
      </c>
      <c r="X7" s="32" t="n">
        <f aca="false">IF($O7="Active",SUMPRODUCT(($AH$5:$AH$71=$AH7)*1),0)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全球平均資料中心建造成本（JLL 2026）¦建物與核心¦全球</v>
      </c>
    </row>
    <row r="8" customFormat="false" ht="29.25" hidden="false" customHeight="true" outlineLevel="0" collapsed="false">
      <c r="A8" s="30" t="s">
        <v>7935</v>
      </c>
      <c r="B8" s="20" t="s">
        <v>7936</v>
      </c>
      <c r="C8" s="239"/>
      <c r="D8" s="241" t="n">
        <v>0.07</v>
      </c>
      <c r="E8" s="241" t="n">
        <v>0.1</v>
      </c>
      <c r="F8" s="30" t="s">
        <v>113</v>
      </c>
      <c r="G8" s="239" t="s">
        <v>7937</v>
      </c>
      <c r="H8" s="239" t="s">
        <v>7938</v>
      </c>
      <c r="I8" s="30" t="s">
        <v>7561</v>
      </c>
      <c r="J8" s="6" t="s">
        <v>7930</v>
      </c>
      <c r="K8" s="239" t="n">
        <v>3</v>
      </c>
      <c r="L8" s="239" t="s">
        <v>7658</v>
      </c>
      <c r="M8" s="6" t="s">
        <v>7931</v>
      </c>
      <c r="N8" s="239" t="s">
        <v>7564</v>
      </c>
      <c r="O8" s="30" t="s">
        <v>7554</v>
      </c>
      <c r="P8" s="30" t="s">
        <v>751</v>
      </c>
      <c r="Q8" s="30" t="s">
        <v>5450</v>
      </c>
      <c r="R8" s="30" t="s">
        <v>751</v>
      </c>
      <c r="S8" s="30" t="s">
        <v>751</v>
      </c>
      <c r="T8" s="30" t="s">
        <v>751</v>
      </c>
      <c r="U8" s="30" t="s">
        <v>7932</v>
      </c>
      <c r="V8" s="6" t="s">
        <v>7933</v>
      </c>
      <c r="W8" s="6" t="s">
        <v>751</v>
      </c>
      <c r="X8" s="32" t="n">
        <f aca="false">IF($O8="Active",SUMPRODUCT(($AH$5:$AH$71=$AH8)*1),0)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液冷溢價（Turner &amp; Townsend）¦建造成本加成¦液冷設施</v>
      </c>
    </row>
    <row r="9" customFormat="false" ht="29.25" hidden="false" customHeight="true" outlineLevel="0" collapsed="false">
      <c r="A9" s="30" t="s">
        <v>7939</v>
      </c>
      <c r="B9" s="20" t="s">
        <v>7940</v>
      </c>
      <c r="C9" s="241" t="n">
        <v>0.0858</v>
      </c>
      <c r="D9" s="239"/>
      <c r="E9" s="239"/>
      <c r="F9" s="30" t="s">
        <v>124</v>
      </c>
      <c r="G9" s="239" t="s">
        <v>7941</v>
      </c>
      <c r="H9" s="239" t="s">
        <v>1371</v>
      </c>
      <c r="I9" s="30" t="s">
        <v>7591</v>
      </c>
      <c r="J9" s="6" t="s">
        <v>7942</v>
      </c>
      <c r="K9" s="239" t="n">
        <v>2</v>
      </c>
      <c r="L9" s="239" t="s">
        <v>7658</v>
      </c>
      <c r="M9" s="6" t="s">
        <v>7943</v>
      </c>
      <c r="N9" s="239" t="s">
        <v>7944</v>
      </c>
      <c r="O9" s="30" t="s">
        <v>7554</v>
      </c>
      <c r="P9" s="30" t="s">
        <v>751</v>
      </c>
      <c r="Q9" s="30" t="s">
        <v>5462</v>
      </c>
      <c r="R9" s="30" t="s">
        <v>751</v>
      </c>
      <c r="S9" s="30" t="s">
        <v>751</v>
      </c>
      <c r="T9" s="30" t="s">
        <v>751</v>
      </c>
      <c r="U9" s="30" t="s">
        <v>7945</v>
      </c>
      <c r="V9" s="6" t="s">
        <v>751</v>
      </c>
      <c r="W9" s="6" t="s">
        <v>751</v>
      </c>
      <c r="X9" s="32" t="n">
        <f aca="false">IF($O9="Active",SUMPRODUCT(($AH$5:$AH$71=$AH9)*1),0)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美國工業電價 2026-03¦月均¦美國</v>
      </c>
    </row>
    <row r="10" customFormat="false" ht="29.25" hidden="false" customHeight="true" outlineLevel="0" collapsed="false">
      <c r="A10" s="30" t="s">
        <v>4549</v>
      </c>
      <c r="B10" s="20" t="s">
        <v>7946</v>
      </c>
      <c r="C10" s="241" t="n">
        <v>0.0871</v>
      </c>
      <c r="D10" s="239"/>
      <c r="E10" s="239"/>
      <c r="F10" s="30" t="s">
        <v>124</v>
      </c>
      <c r="G10" s="239" t="s">
        <v>7941</v>
      </c>
      <c r="H10" s="239" t="s">
        <v>1371</v>
      </c>
      <c r="I10" s="30" t="s">
        <v>7656</v>
      </c>
      <c r="J10" s="6" t="s">
        <v>7942</v>
      </c>
      <c r="K10" s="239" t="n">
        <v>2</v>
      </c>
      <c r="L10" s="239" t="s">
        <v>7658</v>
      </c>
      <c r="M10" s="6" t="s">
        <v>7943</v>
      </c>
      <c r="N10" s="239" t="s">
        <v>7944</v>
      </c>
      <c r="O10" s="30" t="s">
        <v>7554</v>
      </c>
      <c r="P10" s="30" t="s">
        <v>751</v>
      </c>
      <c r="Q10" s="30" t="s">
        <v>5462</v>
      </c>
      <c r="R10" s="30" t="s">
        <v>751</v>
      </c>
      <c r="S10" s="30" t="s">
        <v>751</v>
      </c>
      <c r="T10" s="30" t="s">
        <v>751</v>
      </c>
      <c r="U10" s="30" t="s">
        <v>7945</v>
      </c>
      <c r="V10" s="6" t="s">
        <v>7947</v>
      </c>
      <c r="W10" s="20" t="s">
        <v>7948</v>
      </c>
      <c r="X10" s="32" t="n">
        <f aca="false">IF($O10="Active",SUMPRODUCT(($AH$5:$AH$71=$AH10)*1),0)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美國工業電價 2026-05¦月均¦美國</v>
      </c>
    </row>
    <row r="11" customFormat="false" ht="29.25" hidden="false" customHeight="true" outlineLevel="0" collapsed="false">
      <c r="A11" s="30" t="s">
        <v>4663</v>
      </c>
      <c r="B11" s="6" t="s">
        <v>7949</v>
      </c>
      <c r="C11" s="241" t="n">
        <v>6</v>
      </c>
      <c r="D11" s="239"/>
      <c r="E11" s="239"/>
      <c r="F11" s="239" t="s">
        <v>149</v>
      </c>
      <c r="G11" s="239" t="s">
        <v>7950</v>
      </c>
      <c r="H11" s="30" t="s">
        <v>7951</v>
      </c>
      <c r="I11" s="30" t="s">
        <v>7686</v>
      </c>
      <c r="J11" s="6" t="s">
        <v>7952</v>
      </c>
      <c r="K11" s="239" t="n">
        <v>2</v>
      </c>
      <c r="L11" s="239" t="s">
        <v>7551</v>
      </c>
      <c r="M11" s="20" t="s">
        <v>7953</v>
      </c>
      <c r="N11" s="239" t="s">
        <v>7564</v>
      </c>
      <c r="O11" s="30" t="s">
        <v>7554</v>
      </c>
      <c r="P11" s="30" t="s">
        <v>751</v>
      </c>
      <c r="Q11" s="30" t="s">
        <v>5474</v>
      </c>
      <c r="R11" s="30" t="s">
        <v>751</v>
      </c>
      <c r="S11" s="30" t="s">
        <v>751</v>
      </c>
      <c r="T11" s="30" t="s">
        <v>751</v>
      </c>
      <c r="U11" s="30" t="s">
        <v>7954</v>
      </c>
      <c r="V11" s="6" t="s">
        <v>7955</v>
      </c>
      <c r="W11" s="6" t="s">
        <v>7956</v>
      </c>
      <c r="X11" s="32" t="n">
        <f aca="false">IF($O11="Active",SUMPRODUCT(($AH$5:$AH$71=$AH11)*1),0)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CoreWeave GPU 折舊年限¦會計政策¦CoreWeave</v>
      </c>
    </row>
    <row r="12" customFormat="false" ht="29.25" hidden="false" customHeight="true" outlineLevel="0" collapsed="false">
      <c r="A12" s="30" t="s">
        <v>4670</v>
      </c>
      <c r="B12" s="6" t="s">
        <v>7957</v>
      </c>
      <c r="C12" s="241" t="n">
        <v>4</v>
      </c>
      <c r="D12" s="239"/>
      <c r="E12" s="239"/>
      <c r="F12" s="239" t="s">
        <v>149</v>
      </c>
      <c r="G12" s="239" t="s">
        <v>7950</v>
      </c>
      <c r="H12" s="30" t="s">
        <v>7958</v>
      </c>
      <c r="I12" s="30" t="s">
        <v>7686</v>
      </c>
      <c r="J12" s="6" t="s">
        <v>7952</v>
      </c>
      <c r="K12" s="239" t="n">
        <v>2</v>
      </c>
      <c r="L12" s="239" t="s">
        <v>7551</v>
      </c>
      <c r="M12" s="20" t="s">
        <v>7953</v>
      </c>
      <c r="N12" s="239" t="s">
        <v>7564</v>
      </c>
      <c r="O12" s="30" t="s">
        <v>7554</v>
      </c>
      <c r="P12" s="30" t="s">
        <v>751</v>
      </c>
      <c r="Q12" s="30" t="s">
        <v>5474</v>
      </c>
      <c r="R12" s="30" t="s">
        <v>751</v>
      </c>
      <c r="S12" s="30" t="s">
        <v>751</v>
      </c>
      <c r="T12" s="30" t="s">
        <v>751</v>
      </c>
      <c r="U12" s="30" t="s">
        <v>7954</v>
      </c>
      <c r="V12" s="6" t="s">
        <v>7959</v>
      </c>
      <c r="W12" s="6" t="s">
        <v>751</v>
      </c>
      <c r="X12" s="32" t="n">
        <f aca="false">IF($O12="Active",SUMPRODUCT(($AH$5:$AH$71=$AH12)*1),0)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Nebius GPU 折舊年限¦會計政策¦Nebius</v>
      </c>
    </row>
    <row r="13" customFormat="false" ht="29.25" hidden="false" customHeight="true" outlineLevel="0" collapsed="false">
      <c r="A13" s="30" t="s">
        <v>7960</v>
      </c>
      <c r="B13" s="6" t="s">
        <v>7961</v>
      </c>
      <c r="C13" s="241" t="n">
        <v>5</v>
      </c>
      <c r="D13" s="239"/>
      <c r="E13" s="239"/>
      <c r="F13" s="239" t="s">
        <v>149</v>
      </c>
      <c r="G13" s="239" t="s">
        <v>7950</v>
      </c>
      <c r="H13" s="30" t="s">
        <v>7962</v>
      </c>
      <c r="I13" s="30" t="s">
        <v>7686</v>
      </c>
      <c r="J13" s="6" t="s">
        <v>7952</v>
      </c>
      <c r="K13" s="239" t="n">
        <v>2</v>
      </c>
      <c r="L13" s="239" t="s">
        <v>7551</v>
      </c>
      <c r="M13" s="20" t="s">
        <v>7953</v>
      </c>
      <c r="N13" s="239" t="s">
        <v>7564</v>
      </c>
      <c r="O13" s="30" t="s">
        <v>7554</v>
      </c>
      <c r="P13" s="30" t="s">
        <v>751</v>
      </c>
      <c r="Q13" s="30" t="s">
        <v>5474</v>
      </c>
      <c r="R13" s="30" t="s">
        <v>751</v>
      </c>
      <c r="S13" s="30" t="s">
        <v>751</v>
      </c>
      <c r="T13" s="30" t="s">
        <v>751</v>
      </c>
      <c r="U13" s="30" t="s">
        <v>7954</v>
      </c>
      <c r="V13" s="6" t="s">
        <v>751</v>
      </c>
      <c r="W13" s="6" t="s">
        <v>751</v>
      </c>
      <c r="X13" s="32" t="n">
        <f aca="false">IF($O13="Active",SUMPRODUCT(($AH$5:$AH$71=$AH13)*1),0)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Lambda GPU 折舊年限¦會計政策¦Lambda</v>
      </c>
    </row>
    <row r="14" customFormat="false" ht="29.25" hidden="false" customHeight="true" outlineLevel="0" collapsed="false">
      <c r="A14" s="30" t="s">
        <v>3177</v>
      </c>
      <c r="B14" s="20" t="s">
        <v>7963</v>
      </c>
      <c r="C14" s="239"/>
      <c r="D14" s="241" t="n">
        <v>50</v>
      </c>
      <c r="E14" s="241" t="n">
        <v>60</v>
      </c>
      <c r="F14" s="30" t="s">
        <v>3163</v>
      </c>
      <c r="G14" s="30" t="s">
        <v>7964</v>
      </c>
      <c r="H14" s="30" t="s">
        <v>751</v>
      </c>
      <c r="I14" s="30" t="s">
        <v>7965</v>
      </c>
      <c r="J14" s="6" t="s">
        <v>7966</v>
      </c>
      <c r="K14" s="239" t="n">
        <v>3</v>
      </c>
      <c r="L14" s="239" t="s">
        <v>7551</v>
      </c>
      <c r="M14" s="6" t="s">
        <v>7967</v>
      </c>
      <c r="N14" s="239" t="s">
        <v>7564</v>
      </c>
      <c r="O14" s="30" t="s">
        <v>7554</v>
      </c>
      <c r="P14" s="30" t="s">
        <v>751</v>
      </c>
      <c r="Q14" s="30" t="s">
        <v>7968</v>
      </c>
      <c r="R14" s="30" t="s">
        <v>751</v>
      </c>
      <c r="S14" s="30" t="s">
        <v>751</v>
      </c>
      <c r="T14" s="30" t="s">
        <v>751</v>
      </c>
      <c r="U14" s="30" t="s">
        <v>7969</v>
      </c>
      <c r="V14" s="6" t="s">
        <v>7970</v>
      </c>
      <c r="W14" s="6" t="s">
        <v>751</v>
      </c>
      <c r="X14" s="32" t="n">
        <f aca="false">IF($O14="Active",SUMPRODUCT(($AH$5:$AH$71=$AH14)*1),0)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每 GW 建置成本（黃仁勳）¦GW 口徑未明¦—</v>
      </c>
    </row>
    <row r="15" customFormat="false" ht="29.25" hidden="false" customHeight="true" outlineLevel="0" collapsed="false">
      <c r="A15" s="30" t="s">
        <v>3185</v>
      </c>
      <c r="B15" s="20" t="s">
        <v>7971</v>
      </c>
      <c r="C15" s="241" t="n">
        <v>35</v>
      </c>
      <c r="D15" s="239"/>
      <c r="E15" s="239"/>
      <c r="F15" s="30" t="s">
        <v>3163</v>
      </c>
      <c r="G15" s="30" t="s">
        <v>7964</v>
      </c>
      <c r="H15" s="30" t="s">
        <v>751</v>
      </c>
      <c r="I15" s="30" t="s">
        <v>7965</v>
      </c>
      <c r="J15" s="6" t="s">
        <v>7966</v>
      </c>
      <c r="K15" s="239" t="n">
        <v>3</v>
      </c>
      <c r="L15" s="239" t="s">
        <v>7551</v>
      </c>
      <c r="M15" s="6" t="s">
        <v>7967</v>
      </c>
      <c r="N15" s="239" t="s">
        <v>7564</v>
      </c>
      <c r="O15" s="30" t="s">
        <v>7554</v>
      </c>
      <c r="P15" s="30" t="s">
        <v>751</v>
      </c>
      <c r="Q15" s="30" t="s">
        <v>7968</v>
      </c>
      <c r="R15" s="30" t="s">
        <v>751</v>
      </c>
      <c r="S15" s="30" t="s">
        <v>751</v>
      </c>
      <c r="T15" s="30" t="s">
        <v>751</v>
      </c>
      <c r="U15" s="30" t="s">
        <v>7969</v>
      </c>
      <c r="V15" s="6" t="s">
        <v>7972</v>
      </c>
      <c r="W15" s="6" t="s">
        <v>751</v>
      </c>
      <c r="X15" s="32" t="n">
        <f aca="false">IF($O15="Active",SUMPRODUCT(($AH$5:$AH$71=$AH15)*1),0)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每 GW 中 NVIDIA 晶片與系統¦GW 口徑未明¦—</v>
      </c>
    </row>
    <row r="16" customFormat="false" ht="29.25" hidden="false" customHeight="true" outlineLevel="0" collapsed="false">
      <c r="A16" s="30" t="s">
        <v>3220</v>
      </c>
      <c r="B16" s="6" t="s">
        <v>7973</v>
      </c>
      <c r="C16" s="241" t="n">
        <v>2.21</v>
      </c>
      <c r="D16" s="239"/>
      <c r="E16" s="239"/>
      <c r="F16" s="30" t="s">
        <v>985</v>
      </c>
      <c r="G16" s="239" t="s">
        <v>7974</v>
      </c>
      <c r="H16" s="30" t="s">
        <v>188</v>
      </c>
      <c r="I16" s="30" t="s">
        <v>7656</v>
      </c>
      <c r="J16" s="6" t="s">
        <v>7975</v>
      </c>
      <c r="K16" s="239" t="n">
        <v>2</v>
      </c>
      <c r="L16" s="239" t="s">
        <v>7551</v>
      </c>
      <c r="M16" s="6" t="s">
        <v>7976</v>
      </c>
      <c r="N16" s="239" t="s">
        <v>7977</v>
      </c>
      <c r="O16" s="30" t="s">
        <v>7554</v>
      </c>
      <c r="P16" s="30" t="s">
        <v>751</v>
      </c>
      <c r="Q16" s="30" t="s">
        <v>7978</v>
      </c>
      <c r="R16" s="30" t="s">
        <v>751</v>
      </c>
      <c r="S16" s="30" t="s">
        <v>751</v>
      </c>
      <c r="T16" s="30" t="s">
        <v>751</v>
      </c>
      <c r="U16" s="30" t="s">
        <v>7979</v>
      </c>
      <c r="V16" s="6" t="s">
        <v>7980</v>
      </c>
      <c r="W16" s="20" t="s">
        <v>7981</v>
      </c>
      <c r="X16" s="32" t="n">
        <f aca="false">IF($O16="Active",SUMPRODUCT(($AH$5:$AH$71=$AH16)*1),0)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GB200 NVL72 每 GPU 小時 TCO（SemiAnalysis）¦假設未公開¦GB200 NVL72</v>
      </c>
    </row>
    <row r="17" customFormat="false" ht="29.25" hidden="false" customHeight="true" outlineLevel="0" collapsed="false">
      <c r="A17" s="30" t="s">
        <v>3225</v>
      </c>
      <c r="B17" s="6" t="s">
        <v>7982</v>
      </c>
      <c r="C17" s="241" t="n">
        <v>2.65</v>
      </c>
      <c r="D17" s="239"/>
      <c r="E17" s="239"/>
      <c r="F17" s="30" t="s">
        <v>985</v>
      </c>
      <c r="G17" s="239" t="s">
        <v>7974</v>
      </c>
      <c r="H17" s="30" t="s">
        <v>189</v>
      </c>
      <c r="I17" s="30" t="s">
        <v>7656</v>
      </c>
      <c r="J17" s="6" t="s">
        <v>7975</v>
      </c>
      <c r="K17" s="239" t="n">
        <v>2</v>
      </c>
      <c r="L17" s="239" t="s">
        <v>7551</v>
      </c>
      <c r="M17" s="6" t="s">
        <v>7976</v>
      </c>
      <c r="N17" s="239" t="s">
        <v>7977</v>
      </c>
      <c r="O17" s="30" t="s">
        <v>7554</v>
      </c>
      <c r="P17" s="30" t="s">
        <v>751</v>
      </c>
      <c r="Q17" s="30" t="s">
        <v>7978</v>
      </c>
      <c r="R17" s="30" t="s">
        <v>751</v>
      </c>
      <c r="S17" s="30" t="s">
        <v>751</v>
      </c>
      <c r="T17" s="30" t="s">
        <v>751</v>
      </c>
      <c r="U17" s="30" t="s">
        <v>7979</v>
      </c>
      <c r="V17" s="6" t="s">
        <v>7983</v>
      </c>
      <c r="W17" s="20" t="s">
        <v>7981</v>
      </c>
      <c r="X17" s="32" t="n">
        <f aca="false">IF($O17="Active",SUMPRODUCT(($AH$5:$AH$71=$AH17)*1),0)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GB300 NVL72 每 GPU 小時 TCO（SemiAnalysis）¦假設未公開¦GB300 NVL72</v>
      </c>
    </row>
    <row r="18" customFormat="false" ht="86.25" hidden="false" customHeight="true" outlineLevel="0" collapsed="false">
      <c r="A18" s="30" t="s">
        <v>3632</v>
      </c>
      <c r="B18" s="243" t="s">
        <v>7984</v>
      </c>
      <c r="C18" s="241" t="n">
        <v>29</v>
      </c>
      <c r="D18" s="205"/>
      <c r="E18" s="205"/>
      <c r="F18" s="30" t="s">
        <v>3628</v>
      </c>
      <c r="G18" s="205" t="s">
        <v>7985</v>
      </c>
      <c r="H18" s="30" t="s">
        <v>7986</v>
      </c>
      <c r="I18" s="30" t="s">
        <v>7987</v>
      </c>
      <c r="J18" s="6" t="s">
        <v>7988</v>
      </c>
      <c r="K18" s="205" t="n">
        <v>1</v>
      </c>
      <c r="L18" s="205" t="s">
        <v>7551</v>
      </c>
      <c r="M18" s="243" t="s">
        <v>7989</v>
      </c>
      <c r="N18" s="205" t="s">
        <v>7553</v>
      </c>
      <c r="O18" s="30" t="s">
        <v>7554</v>
      </c>
      <c r="P18" s="30" t="s">
        <v>751</v>
      </c>
      <c r="Q18" s="30" t="s">
        <v>7990</v>
      </c>
      <c r="R18" s="30" t="s">
        <v>751</v>
      </c>
      <c r="S18" s="30" t="s">
        <v>751</v>
      </c>
      <c r="T18" s="30" t="s">
        <v>751</v>
      </c>
      <c r="U18" s="30" t="s">
        <v>7901</v>
      </c>
      <c r="V18" s="6" t="s">
        <v>7991</v>
      </c>
      <c r="W18" s="6" t="s">
        <v>7992</v>
      </c>
      <c r="X18" s="32" t="n">
        <f aca="false">IF($O18="Active",SUMPRODUCT(($AH$5:$AH$71=$AH18)*1),0)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每 IT MW 的 GPU 與附屬設備資本支出（IREN 公司揭露）¦公司揭露：向 Dell 採購 GB300 設備 $5.8bn（含伺服器、InfiniBand、線材、軟體授權、部署服務）÷ 200 MW 關鍵 IT¦GB300 NVL72（IREN／Microsoft 合約）</v>
      </c>
    </row>
    <row r="19" customFormat="false" ht="100.5" hidden="false" customHeight="true" outlineLevel="0" collapsed="false">
      <c r="A19" s="30" t="s">
        <v>6216</v>
      </c>
      <c r="B19" s="6" t="s">
        <v>7993</v>
      </c>
      <c r="C19" s="241" t="n">
        <v>3</v>
      </c>
      <c r="D19" s="205"/>
      <c r="E19" s="205"/>
      <c r="F19" s="205" t="s">
        <v>149</v>
      </c>
      <c r="G19" s="205" t="s">
        <v>7994</v>
      </c>
      <c r="H19" s="30" t="s">
        <v>7995</v>
      </c>
      <c r="I19" s="30" t="s">
        <v>7996</v>
      </c>
      <c r="J19" s="6" t="s">
        <v>7997</v>
      </c>
      <c r="K19" s="205" t="n">
        <v>1</v>
      </c>
      <c r="L19" s="205" t="s">
        <v>7551</v>
      </c>
      <c r="M19" s="243" t="s">
        <v>7998</v>
      </c>
      <c r="N19" s="205" t="s">
        <v>7553</v>
      </c>
      <c r="O19" s="30" t="s">
        <v>7554</v>
      </c>
      <c r="P19" s="30" t="s">
        <v>751</v>
      </c>
      <c r="Q19" s="30" t="s">
        <v>7999</v>
      </c>
      <c r="R19" s="30" t="s">
        <v>8000</v>
      </c>
      <c r="S19" s="30" t="s">
        <v>751</v>
      </c>
      <c r="T19" s="30" t="s">
        <v>751</v>
      </c>
      <c r="U19" s="30" t="s">
        <v>7901</v>
      </c>
      <c r="V19" s="6" t="s">
        <v>8001</v>
      </c>
      <c r="W19" s="6" t="s">
        <v>8002</v>
      </c>
      <c r="X19" s="32" t="n">
        <f aca="false">IF($O19="Active",SUMPRODUCT(($AH$5:$AH$71=$AH19)*1),0)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GPU 機架原廠標準保固年限（HPE GB300 NVL72）¦原廠標準保固：3 年零件、3 年人工、3 年到場（含在售價）¦GB300 NVL72（HPE）</v>
      </c>
    </row>
    <row r="20" customFormat="false" ht="57.75" hidden="false" customHeight="true" outlineLevel="0" collapsed="false">
      <c r="A20" s="30" t="s">
        <v>8000</v>
      </c>
      <c r="B20" s="6" t="s">
        <v>8003</v>
      </c>
      <c r="C20" s="241" t="n">
        <v>3</v>
      </c>
      <c r="D20" s="205"/>
      <c r="E20" s="205"/>
      <c r="F20" s="205" t="s">
        <v>149</v>
      </c>
      <c r="G20" s="205" t="s">
        <v>8004</v>
      </c>
      <c r="H20" s="30" t="s">
        <v>8005</v>
      </c>
      <c r="I20" s="30" t="s">
        <v>3944</v>
      </c>
      <c r="J20" s="6" t="s">
        <v>8006</v>
      </c>
      <c r="K20" s="205" t="n">
        <v>1</v>
      </c>
      <c r="L20" s="205" t="s">
        <v>7551</v>
      </c>
      <c r="M20" s="243" t="s">
        <v>7998</v>
      </c>
      <c r="N20" s="205" t="s">
        <v>7553</v>
      </c>
      <c r="O20" s="30" t="s">
        <v>7554</v>
      </c>
      <c r="P20" s="30" t="s">
        <v>751</v>
      </c>
      <c r="Q20" s="30" t="s">
        <v>8007</v>
      </c>
      <c r="R20" s="30" t="s">
        <v>6216</v>
      </c>
      <c r="S20" s="30" t="s">
        <v>751</v>
      </c>
      <c r="T20" s="30" t="s">
        <v>751</v>
      </c>
      <c r="U20" s="30" t="s">
        <v>7901</v>
      </c>
      <c r="V20" s="243" t="s">
        <v>8008</v>
      </c>
      <c r="W20" s="6" t="s">
        <v>8009</v>
      </c>
      <c r="X20" s="32" t="n">
        <f aca="false">IF($O20="Active",SUMPRODUCT(($AH$5:$AH$71=$AH20)*1),0)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GPU 系統原廠標準保固年限（Supermicro，人工）¦原廠通則（發票無特約時）：人工 3 年（本筆值）、零件 1 年、預先換貨 1 年¦Supermicro GPU 系統</v>
      </c>
    </row>
    <row r="21" customFormat="false" ht="72" hidden="false" customHeight="true" outlineLevel="0" collapsed="false">
      <c r="A21" s="30" t="s">
        <v>6231</v>
      </c>
      <c r="B21" s="6" t="s">
        <v>8010</v>
      </c>
      <c r="C21" s="241" t="n">
        <v>0.038</v>
      </c>
      <c r="D21" s="205"/>
      <c r="E21" s="205"/>
      <c r="F21" s="30" t="s">
        <v>8011</v>
      </c>
      <c r="G21" s="205" t="s">
        <v>8012</v>
      </c>
      <c r="H21" s="30" t="s">
        <v>8013</v>
      </c>
      <c r="I21" s="30" t="s">
        <v>3944</v>
      </c>
      <c r="J21" s="6" t="s">
        <v>8014</v>
      </c>
      <c r="K21" s="205" t="n">
        <v>2</v>
      </c>
      <c r="L21" s="205" t="s">
        <v>7551</v>
      </c>
      <c r="M21" s="243" t="s">
        <v>8015</v>
      </c>
      <c r="N21" s="205" t="s">
        <v>8016</v>
      </c>
      <c r="O21" s="30" t="s">
        <v>7554</v>
      </c>
      <c r="P21" s="30" t="s">
        <v>751</v>
      </c>
      <c r="Q21" s="30" t="s">
        <v>8017</v>
      </c>
      <c r="R21" s="30" t="s">
        <v>751</v>
      </c>
      <c r="S21" s="30" t="s">
        <v>751</v>
      </c>
      <c r="T21" s="30" t="s">
        <v>751</v>
      </c>
      <c r="U21" s="30" t="s">
        <v>7901</v>
      </c>
      <c r="V21" s="243" t="s">
        <v>8018</v>
      </c>
      <c r="W21" s="6" t="s">
        <v>8019</v>
      </c>
      <c r="X21" s="32" t="n">
        <f aca="false">IF($O21="Active",SUMPRODUCT(($AH$5:$AH$71=$AH21)*1),0)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GPU 系統原廠支援續約年費 ÷ 系統價（NVIDIA DGX B200）¦英國經銷牌價：1 年續約 £18,599.99 ÷ 系統（含 3 年 Business Standard 支援）£489,999（皆含 VAT）¦DGX B200 8 GPU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6" t="s">
        <v>8020</v>
      </c>
    </row>
    <row r="2" customFormat="false" ht="15" hidden="false" customHeight="true" outlineLevel="0" collapsed="false">
      <c r="A2" s="248" t="s">
        <v>7525</v>
      </c>
    </row>
    <row r="3" customFormat="false" ht="15" hidden="false" customHeight="true" outlineLevel="0" collapsed="false">
      <c r="A3" s="248" t="s">
        <v>7526</v>
      </c>
    </row>
    <row r="4" customFormat="false" ht="43.5" hidden="false" customHeight="true" outlineLevel="0" collapsed="false">
      <c r="A4" s="84" t="s">
        <v>7527</v>
      </c>
      <c r="B4" s="237" t="s">
        <v>2763</v>
      </c>
      <c r="C4" s="237" t="s">
        <v>7528</v>
      </c>
      <c r="D4" s="237" t="s">
        <v>1308</v>
      </c>
      <c r="E4" s="237" t="s">
        <v>1309</v>
      </c>
      <c r="F4" s="237" t="s">
        <v>95</v>
      </c>
      <c r="G4" s="237" t="s">
        <v>497</v>
      </c>
      <c r="H4" s="237" t="s">
        <v>7529</v>
      </c>
      <c r="I4" s="237" t="s">
        <v>6566</v>
      </c>
      <c r="J4" s="237" t="s">
        <v>6569</v>
      </c>
      <c r="K4" s="237" t="s">
        <v>6741</v>
      </c>
      <c r="L4" s="237" t="s">
        <v>7530</v>
      </c>
      <c r="M4" s="237" t="s">
        <v>7531</v>
      </c>
      <c r="N4" s="237" t="s">
        <v>7532</v>
      </c>
      <c r="O4" s="237" t="s">
        <v>738</v>
      </c>
      <c r="P4" s="237" t="s">
        <v>7533</v>
      </c>
      <c r="Q4" s="84" t="s">
        <v>7534</v>
      </c>
      <c r="R4" s="237" t="s">
        <v>7535</v>
      </c>
      <c r="S4" s="237" t="s">
        <v>7536</v>
      </c>
      <c r="T4" s="84" t="s">
        <v>7537</v>
      </c>
      <c r="U4" s="237" t="s">
        <v>7538</v>
      </c>
      <c r="V4" s="237" t="s">
        <v>7539</v>
      </c>
      <c r="W4" s="237" t="s">
        <v>7540</v>
      </c>
      <c r="X4" s="237" t="s">
        <v>7541</v>
      </c>
      <c r="Y4" s="237" t="s">
        <v>7542</v>
      </c>
      <c r="Z4" s="237" t="s">
        <v>7543</v>
      </c>
      <c r="AH4" s="83" t="s">
        <v>7544</v>
      </c>
    </row>
    <row r="5" customFormat="false" ht="29.25" hidden="false" customHeight="true" outlineLevel="0" collapsed="false">
      <c r="A5" s="30" t="s">
        <v>5015</v>
      </c>
      <c r="B5" s="6" t="s">
        <v>8021</v>
      </c>
      <c r="C5" s="241" t="n">
        <v>1600</v>
      </c>
      <c r="D5" s="239"/>
      <c r="E5" s="239"/>
      <c r="F5" s="30" t="s">
        <v>287</v>
      </c>
      <c r="G5" s="30" t="s">
        <v>751</v>
      </c>
      <c r="H5" s="30" t="s">
        <v>8022</v>
      </c>
      <c r="I5" s="30" t="s">
        <v>7561</v>
      </c>
      <c r="J5" s="6" t="s">
        <v>8023</v>
      </c>
      <c r="K5" s="239" t="n">
        <v>3</v>
      </c>
      <c r="L5" s="239" t="s">
        <v>7551</v>
      </c>
      <c r="M5" s="6" t="s">
        <v>8024</v>
      </c>
      <c r="N5" s="239" t="s">
        <v>7564</v>
      </c>
      <c r="O5" s="30" t="s">
        <v>7554</v>
      </c>
      <c r="P5" s="30" t="s">
        <v>751</v>
      </c>
      <c r="Q5" s="30" t="s">
        <v>8025</v>
      </c>
      <c r="R5" s="30" t="s">
        <v>751</v>
      </c>
      <c r="S5" s="30" t="s">
        <v>751</v>
      </c>
      <c r="T5" s="30" t="s">
        <v>751</v>
      </c>
      <c r="U5" s="30" t="s">
        <v>4183</v>
      </c>
      <c r="V5" s="6" t="s">
        <v>8026</v>
      </c>
      <c r="W5" s="20" t="s">
        <v>8027</v>
      </c>
      <c r="X5" s="32" t="n">
        <f aca="false">IF($O5="Active",SUMPRODUCT(($AH$5:$AH$115=$AH5)*1),0)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DeepSeek V4-Pro 總參數¦—¦DeepSeek V4-Pro（Sol 代表）</v>
      </c>
    </row>
    <row r="6" customFormat="false" ht="29.25" hidden="false" customHeight="true" outlineLevel="0" collapsed="false">
      <c r="A6" s="30" t="s">
        <v>5021</v>
      </c>
      <c r="B6" s="6" t="s">
        <v>8028</v>
      </c>
      <c r="C6" s="241" t="n">
        <v>49</v>
      </c>
      <c r="D6" s="239"/>
      <c r="E6" s="239"/>
      <c r="F6" s="30" t="s">
        <v>287</v>
      </c>
      <c r="G6" s="30" t="s">
        <v>751</v>
      </c>
      <c r="H6" s="30" t="s">
        <v>8022</v>
      </c>
      <c r="I6" s="30" t="s">
        <v>7561</v>
      </c>
      <c r="J6" s="6" t="s">
        <v>8023</v>
      </c>
      <c r="K6" s="239" t="n">
        <v>1</v>
      </c>
      <c r="L6" s="239" t="s">
        <v>7551</v>
      </c>
      <c r="M6" s="6" t="s">
        <v>8024</v>
      </c>
      <c r="N6" s="239" t="s">
        <v>7553</v>
      </c>
      <c r="O6" s="30" t="s">
        <v>7554</v>
      </c>
      <c r="P6" s="30" t="s">
        <v>751</v>
      </c>
      <c r="Q6" s="30" t="s">
        <v>8029</v>
      </c>
      <c r="R6" s="30" t="s">
        <v>751</v>
      </c>
      <c r="S6" s="30" t="s">
        <v>6868</v>
      </c>
      <c r="T6" s="30" t="s">
        <v>751</v>
      </c>
      <c r="U6" s="30" t="s">
        <v>4183</v>
      </c>
      <c r="V6" s="6" t="s">
        <v>8030</v>
      </c>
      <c r="W6" s="6" t="s">
        <v>8031</v>
      </c>
      <c r="X6" s="32" t="n">
        <f aca="false">IF($O6="Active",SUMPRODUCT(($AH$5:$AH$115=$AH6)*1),0)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DeepSeek V4-Pro 啟用參數¦—¦DeepSeek V4-Pro（Sol 代表）</v>
      </c>
    </row>
    <row r="7" customFormat="false" ht="29.25" hidden="false" customHeight="true" outlineLevel="0" collapsed="false">
      <c r="A7" s="30" t="s">
        <v>5025</v>
      </c>
      <c r="B7" s="6" t="s">
        <v>8032</v>
      </c>
      <c r="C7" s="241" t="n">
        <v>61</v>
      </c>
      <c r="D7" s="239"/>
      <c r="E7" s="239"/>
      <c r="F7" s="239" t="s">
        <v>293</v>
      </c>
      <c r="G7" s="30" t="s">
        <v>751</v>
      </c>
      <c r="H7" s="30" t="s">
        <v>8022</v>
      </c>
      <c r="I7" s="30" t="s">
        <v>7561</v>
      </c>
      <c r="J7" s="6" t="s">
        <v>8023</v>
      </c>
      <c r="K7" s="239" t="n">
        <v>3</v>
      </c>
      <c r="L7" s="239" t="s">
        <v>7551</v>
      </c>
      <c r="M7" s="6" t="s">
        <v>8024</v>
      </c>
      <c r="N7" s="239" t="s">
        <v>7564</v>
      </c>
      <c r="O7" s="30" t="s">
        <v>7554</v>
      </c>
      <c r="P7" s="30" t="s">
        <v>751</v>
      </c>
      <c r="Q7" s="30" t="s">
        <v>8025</v>
      </c>
      <c r="R7" s="30" t="s">
        <v>751</v>
      </c>
      <c r="S7" s="30" t="s">
        <v>751</v>
      </c>
      <c r="T7" s="30" t="s">
        <v>751</v>
      </c>
      <c r="U7" s="30" t="s">
        <v>4183</v>
      </c>
      <c r="V7" s="6" t="s">
        <v>8033</v>
      </c>
      <c r="W7" s="6" t="s">
        <v>751</v>
      </c>
      <c r="X7" s="32" t="n">
        <f aca="false">IF($O7="Active",SUMPRODUCT(($AH$5:$AH$115=$AH7)*1),0)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DeepSeek V4-Pro 層數¦—¦DeepSeek V4-Pro（Sol 代表）</v>
      </c>
    </row>
    <row r="8" customFormat="false" ht="29.25" hidden="false" customHeight="true" outlineLevel="0" collapsed="false">
      <c r="A8" s="30" t="s">
        <v>5059</v>
      </c>
      <c r="B8" s="6" t="s">
        <v>8034</v>
      </c>
      <c r="C8" s="241" t="n">
        <v>7168</v>
      </c>
      <c r="D8" s="239"/>
      <c r="E8" s="239"/>
      <c r="F8" s="239" t="s">
        <v>8035</v>
      </c>
      <c r="G8" s="30" t="s">
        <v>751</v>
      </c>
      <c r="H8" s="30" t="s">
        <v>8022</v>
      </c>
      <c r="I8" s="30" t="s">
        <v>7561</v>
      </c>
      <c r="J8" s="6" t="s">
        <v>8023</v>
      </c>
      <c r="K8" s="239" t="n">
        <v>3</v>
      </c>
      <c r="L8" s="239" t="s">
        <v>7551</v>
      </c>
      <c r="M8" s="6" t="s">
        <v>8024</v>
      </c>
      <c r="N8" s="239" t="s">
        <v>7564</v>
      </c>
      <c r="O8" s="30" t="s">
        <v>7554</v>
      </c>
      <c r="P8" s="30" t="s">
        <v>751</v>
      </c>
      <c r="Q8" s="30" t="s">
        <v>8025</v>
      </c>
      <c r="R8" s="30" t="s">
        <v>751</v>
      </c>
      <c r="S8" s="30" t="s">
        <v>751</v>
      </c>
      <c r="T8" s="30" t="s">
        <v>751</v>
      </c>
      <c r="U8" s="30" t="s">
        <v>4183</v>
      </c>
      <c r="V8" s="6" t="s">
        <v>8036</v>
      </c>
      <c r="W8" s="6" t="s">
        <v>751</v>
      </c>
      <c r="X8" s="32" t="n">
        <f aca="false">IF($O8="Active",SUMPRODUCT(($AH$5:$AH$115=$AH8)*1),0)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DeepSeek V4-Pro d_model¦—¦DeepSeek V4-Pro（Sol 代表）</v>
      </c>
    </row>
    <row r="9" customFormat="false" ht="29.25" hidden="false" customHeight="true" outlineLevel="0" collapsed="false">
      <c r="A9" s="30" t="s">
        <v>5013</v>
      </c>
      <c r="B9" s="6" t="s">
        <v>8037</v>
      </c>
      <c r="C9" s="241" t="n">
        <v>284</v>
      </c>
      <c r="D9" s="239"/>
      <c r="E9" s="239"/>
      <c r="F9" s="30" t="s">
        <v>287</v>
      </c>
      <c r="G9" s="30" t="s">
        <v>751</v>
      </c>
      <c r="H9" s="30" t="s">
        <v>8038</v>
      </c>
      <c r="I9" s="30" t="s">
        <v>7561</v>
      </c>
      <c r="J9" s="6" t="s">
        <v>8023</v>
      </c>
      <c r="K9" s="239" t="n">
        <v>3</v>
      </c>
      <c r="L9" s="239" t="s">
        <v>7551</v>
      </c>
      <c r="M9" s="6" t="s">
        <v>8024</v>
      </c>
      <c r="N9" s="239" t="s">
        <v>7564</v>
      </c>
      <c r="O9" s="30" t="s">
        <v>7554</v>
      </c>
      <c r="P9" s="30" t="s">
        <v>751</v>
      </c>
      <c r="Q9" s="30" t="s">
        <v>8025</v>
      </c>
      <c r="R9" s="30" t="s">
        <v>751</v>
      </c>
      <c r="S9" s="30" t="s">
        <v>751</v>
      </c>
      <c r="T9" s="30" t="s">
        <v>751</v>
      </c>
      <c r="U9" s="30" t="s">
        <v>4183</v>
      </c>
      <c r="V9" s="6" t="s">
        <v>8039</v>
      </c>
      <c r="W9" s="6" t="s">
        <v>751</v>
      </c>
      <c r="X9" s="32" t="n">
        <f aca="false">IF($O9="Active",SUMPRODUCT(($AH$5:$AH$115=$AH9)*1),0)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DeepSeek V4-Flash 總參數¦—¦DeepSeek V4-Flash（Luna 代表）</v>
      </c>
    </row>
    <row r="10" customFormat="false" ht="29.25" hidden="false" customHeight="true" outlineLevel="0" collapsed="false">
      <c r="A10" s="30" t="s">
        <v>5018</v>
      </c>
      <c r="B10" s="6" t="s">
        <v>8040</v>
      </c>
      <c r="C10" s="241" t="n">
        <v>13</v>
      </c>
      <c r="D10" s="239"/>
      <c r="E10" s="239"/>
      <c r="F10" s="30" t="s">
        <v>287</v>
      </c>
      <c r="G10" s="30" t="s">
        <v>751</v>
      </c>
      <c r="H10" s="30" t="s">
        <v>8038</v>
      </c>
      <c r="I10" s="30" t="s">
        <v>7561</v>
      </c>
      <c r="J10" s="6" t="s">
        <v>8023</v>
      </c>
      <c r="K10" s="239" t="n">
        <v>1</v>
      </c>
      <c r="L10" s="239" t="s">
        <v>7551</v>
      </c>
      <c r="M10" s="6" t="s">
        <v>8024</v>
      </c>
      <c r="N10" s="239" t="s">
        <v>7553</v>
      </c>
      <c r="O10" s="30" t="s">
        <v>7554</v>
      </c>
      <c r="P10" s="30" t="s">
        <v>751</v>
      </c>
      <c r="Q10" s="30" t="s">
        <v>8041</v>
      </c>
      <c r="R10" s="30" t="s">
        <v>751</v>
      </c>
      <c r="S10" s="30" t="s">
        <v>6868</v>
      </c>
      <c r="T10" s="30" t="s">
        <v>751</v>
      </c>
      <c r="U10" s="30" t="s">
        <v>4183</v>
      </c>
      <c r="V10" s="6" t="s">
        <v>8042</v>
      </c>
      <c r="W10" s="6" t="s">
        <v>8043</v>
      </c>
      <c r="X10" s="32" t="n">
        <f aca="false">IF($O10="Active",SUMPRODUCT(($AH$5:$AH$115=$AH10)*1),0)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DeepSeek V4-Flash 啟用參數¦—¦DeepSeek V4-Flash（Luna 代表）</v>
      </c>
    </row>
    <row r="11" customFormat="false" ht="43.5" hidden="false" customHeight="true" outlineLevel="0" collapsed="false">
      <c r="A11" s="30" t="s">
        <v>5023</v>
      </c>
      <c r="B11" s="6" t="s">
        <v>8044</v>
      </c>
      <c r="C11" s="241" t="n">
        <v>43</v>
      </c>
      <c r="D11" s="239"/>
      <c r="E11" s="239"/>
      <c r="F11" s="239" t="s">
        <v>293</v>
      </c>
      <c r="G11" s="239" t="s">
        <v>7564</v>
      </c>
      <c r="H11" s="30" t="s">
        <v>8045</v>
      </c>
      <c r="I11" s="30" t="s">
        <v>751</v>
      </c>
      <c r="J11" s="6" t="s">
        <v>8046</v>
      </c>
      <c r="K11" s="239" t="n">
        <v>1</v>
      </c>
      <c r="L11" s="239" t="s">
        <v>7551</v>
      </c>
      <c r="M11" s="6" t="s">
        <v>8047</v>
      </c>
      <c r="N11" s="239" t="s">
        <v>7553</v>
      </c>
      <c r="O11" s="30" t="s">
        <v>7554</v>
      </c>
      <c r="P11" s="30" t="s">
        <v>751</v>
      </c>
      <c r="Q11" s="30" t="s">
        <v>8048</v>
      </c>
      <c r="R11" s="30" t="s">
        <v>751</v>
      </c>
      <c r="S11" s="30" t="s">
        <v>6868</v>
      </c>
      <c r="T11" s="30" t="s">
        <v>751</v>
      </c>
      <c r="U11" s="30" t="s">
        <v>8049</v>
      </c>
      <c r="V11" s="6" t="s">
        <v>8050</v>
      </c>
      <c r="W11" s="6" t="s">
        <v>8051</v>
      </c>
      <c r="X11" s="32" t="n">
        <f aca="false">IF($O11="Active",SUMPRODUCT(($AH$5:$AH$115=$AH11)*1),0)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DeepSeek V4-Flash 層數¦二手¦DeepSeek V4-Flash</v>
      </c>
    </row>
    <row r="12" customFormat="false" ht="43.5" hidden="false" customHeight="true" outlineLevel="0" collapsed="false">
      <c r="A12" s="30" t="s">
        <v>5061</v>
      </c>
      <c r="B12" s="6" t="s">
        <v>8052</v>
      </c>
      <c r="C12" s="241" t="n">
        <v>128</v>
      </c>
      <c r="D12" s="239"/>
      <c r="E12" s="239"/>
      <c r="F12" s="239" t="s">
        <v>345</v>
      </c>
      <c r="G12" s="30" t="s">
        <v>751</v>
      </c>
      <c r="H12" s="30" t="s">
        <v>8053</v>
      </c>
      <c r="I12" s="30" t="s">
        <v>751</v>
      </c>
      <c r="J12" s="6" t="s">
        <v>8046</v>
      </c>
      <c r="K12" s="239" t="n">
        <v>3</v>
      </c>
      <c r="L12" s="239" t="s">
        <v>7551</v>
      </c>
      <c r="M12" s="6" t="s">
        <v>8047</v>
      </c>
      <c r="N12" s="239" t="s">
        <v>7689</v>
      </c>
      <c r="O12" s="30" t="s">
        <v>7554</v>
      </c>
      <c r="P12" s="30" t="s">
        <v>751</v>
      </c>
      <c r="Q12" s="30" t="s">
        <v>8054</v>
      </c>
      <c r="R12" s="30" t="s">
        <v>751</v>
      </c>
      <c r="S12" s="30" t="s">
        <v>751</v>
      </c>
      <c r="T12" s="30" t="s">
        <v>751</v>
      </c>
      <c r="U12" s="30" t="s">
        <v>8049</v>
      </c>
      <c r="V12" s="6" t="s">
        <v>8055</v>
      </c>
      <c r="W12" s="6" t="s">
        <v>8056</v>
      </c>
      <c r="X12" s="32" t="n">
        <f aca="false">IF($O12="Active",SUMPRODUCT(($AH$5:$AH$115=$AH12)*1),0)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DeepSeek V4-Pro query heads¦—¦DeepSeek V4-Pro</v>
      </c>
    </row>
    <row r="13" customFormat="false" ht="43.5" hidden="false" customHeight="true" outlineLevel="0" collapsed="false">
      <c r="A13" s="30" t="s">
        <v>5027</v>
      </c>
      <c r="B13" s="6" t="s">
        <v>8057</v>
      </c>
      <c r="C13" s="241" t="n">
        <v>512</v>
      </c>
      <c r="D13" s="239"/>
      <c r="E13" s="239"/>
      <c r="F13" s="239" t="s">
        <v>8035</v>
      </c>
      <c r="G13" s="239" t="s">
        <v>8058</v>
      </c>
      <c r="H13" s="30" t="s">
        <v>8059</v>
      </c>
      <c r="I13" s="30" t="s">
        <v>751</v>
      </c>
      <c r="J13" s="6" t="s">
        <v>8046</v>
      </c>
      <c r="K13" s="239" t="n">
        <v>1</v>
      </c>
      <c r="L13" s="239" t="s">
        <v>7551</v>
      </c>
      <c r="M13" s="6" t="s">
        <v>8047</v>
      </c>
      <c r="N13" s="239" t="s">
        <v>7553</v>
      </c>
      <c r="O13" s="30" t="s">
        <v>7554</v>
      </c>
      <c r="P13" s="30" t="s">
        <v>751</v>
      </c>
      <c r="Q13" s="30" t="s">
        <v>8060</v>
      </c>
      <c r="R13" s="30" t="s">
        <v>751</v>
      </c>
      <c r="S13" s="30" t="s">
        <v>6868</v>
      </c>
      <c r="T13" s="30" t="s">
        <v>751</v>
      </c>
      <c r="U13" s="30" t="s">
        <v>8049</v>
      </c>
      <c r="V13" s="6" t="s">
        <v>8061</v>
      </c>
      <c r="W13" s="6" t="s">
        <v>8062</v>
      </c>
      <c r="X13" s="32" t="n">
        <f aca="false">IF($O13="Active",SUMPRODUCT(($AH$5:$AH$115=$AH13)*1),0)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DeepSeek V4 KV head 維度¦單一 KV head¦DeepSeek V4</v>
      </c>
    </row>
    <row r="14" customFormat="false" ht="43.5" hidden="false" customHeight="true" outlineLevel="0" collapsed="false">
      <c r="A14" s="30" t="s">
        <v>5030</v>
      </c>
      <c r="B14" s="6" t="s">
        <v>8063</v>
      </c>
      <c r="C14" s="241" t="n">
        <v>256</v>
      </c>
      <c r="D14" s="239"/>
      <c r="E14" s="239"/>
      <c r="F14" s="239" t="s">
        <v>345</v>
      </c>
      <c r="G14" s="30" t="s">
        <v>751</v>
      </c>
      <c r="H14" s="30" t="s">
        <v>8045</v>
      </c>
      <c r="I14" s="30" t="s">
        <v>751</v>
      </c>
      <c r="J14" s="6" t="s">
        <v>8046</v>
      </c>
      <c r="K14" s="239" t="n">
        <v>1</v>
      </c>
      <c r="L14" s="239" t="s">
        <v>7551</v>
      </c>
      <c r="M14" s="6" t="s">
        <v>8047</v>
      </c>
      <c r="N14" s="239" t="s">
        <v>7553</v>
      </c>
      <c r="O14" s="30" t="s">
        <v>7554</v>
      </c>
      <c r="P14" s="30" t="s">
        <v>751</v>
      </c>
      <c r="Q14" s="30" t="s">
        <v>8064</v>
      </c>
      <c r="R14" s="30" t="s">
        <v>751</v>
      </c>
      <c r="S14" s="30" t="s">
        <v>6868</v>
      </c>
      <c r="T14" s="30" t="s">
        <v>751</v>
      </c>
      <c r="U14" s="30" t="s">
        <v>8049</v>
      </c>
      <c r="V14" s="6" t="s">
        <v>8065</v>
      </c>
      <c r="W14" s="6" t="s">
        <v>8066</v>
      </c>
      <c r="X14" s="32" t="n">
        <f aca="false">IF($O14="Active",SUMPRODUCT(($AH$5:$AH$115=$AH14)*1),0)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DeepSeek V4-Flash routed experts¦—¦DeepSeek V4-Flash</v>
      </c>
    </row>
    <row r="15" customFormat="false" ht="43.5" hidden="false" customHeight="true" outlineLevel="0" collapsed="false">
      <c r="A15" s="30" t="s">
        <v>5032</v>
      </c>
      <c r="B15" s="6" t="s">
        <v>8067</v>
      </c>
      <c r="C15" s="241" t="n">
        <v>384</v>
      </c>
      <c r="D15" s="239"/>
      <c r="E15" s="239"/>
      <c r="F15" s="239" t="s">
        <v>345</v>
      </c>
      <c r="G15" s="30" t="s">
        <v>751</v>
      </c>
      <c r="H15" s="30" t="s">
        <v>8053</v>
      </c>
      <c r="I15" s="30" t="s">
        <v>751</v>
      </c>
      <c r="J15" s="6" t="s">
        <v>8046</v>
      </c>
      <c r="K15" s="239" t="n">
        <v>1</v>
      </c>
      <c r="L15" s="239" t="s">
        <v>7551</v>
      </c>
      <c r="M15" s="6" t="s">
        <v>8047</v>
      </c>
      <c r="N15" s="239" t="s">
        <v>7553</v>
      </c>
      <c r="O15" s="30" t="s">
        <v>7554</v>
      </c>
      <c r="P15" s="30" t="s">
        <v>751</v>
      </c>
      <c r="Q15" s="30" t="s">
        <v>8068</v>
      </c>
      <c r="R15" s="30" t="s">
        <v>751</v>
      </c>
      <c r="S15" s="30" t="s">
        <v>6868</v>
      </c>
      <c r="T15" s="30" t="s">
        <v>751</v>
      </c>
      <c r="U15" s="30" t="s">
        <v>8049</v>
      </c>
      <c r="V15" s="6" t="s">
        <v>8069</v>
      </c>
      <c r="W15" s="6" t="s">
        <v>8070</v>
      </c>
      <c r="X15" s="32" t="n">
        <f aca="false">IF($O15="Active",SUMPRODUCT(($AH$5:$AH$115=$AH15)*1),0)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DeepSeek V4-Pro routed experts¦—¦DeepSeek V4-Pro</v>
      </c>
    </row>
    <row r="16" customFormat="false" ht="43.5" hidden="false" customHeight="true" outlineLevel="0" collapsed="false">
      <c r="A16" s="30" t="s">
        <v>5035</v>
      </c>
      <c r="B16" s="6" t="s">
        <v>8071</v>
      </c>
      <c r="C16" s="241" t="n">
        <v>6</v>
      </c>
      <c r="D16" s="239"/>
      <c r="E16" s="239"/>
      <c r="F16" s="239" t="s">
        <v>345</v>
      </c>
      <c r="G16" s="30" t="s">
        <v>751</v>
      </c>
      <c r="H16" s="30" t="s">
        <v>8059</v>
      </c>
      <c r="I16" s="30" t="s">
        <v>751</v>
      </c>
      <c r="J16" s="6" t="s">
        <v>8046</v>
      </c>
      <c r="K16" s="239" t="n">
        <v>1</v>
      </c>
      <c r="L16" s="239" t="s">
        <v>7551</v>
      </c>
      <c r="M16" s="6" t="s">
        <v>8047</v>
      </c>
      <c r="N16" s="239" t="s">
        <v>7553</v>
      </c>
      <c r="O16" s="30" t="s">
        <v>7554</v>
      </c>
      <c r="P16" s="30" t="s">
        <v>751</v>
      </c>
      <c r="Q16" s="30" t="s">
        <v>8072</v>
      </c>
      <c r="R16" s="30" t="s">
        <v>751</v>
      </c>
      <c r="S16" s="30" t="s">
        <v>6868</v>
      </c>
      <c r="T16" s="30" t="s">
        <v>751</v>
      </c>
      <c r="U16" s="30" t="s">
        <v>8049</v>
      </c>
      <c r="V16" s="6" t="s">
        <v>8073</v>
      </c>
      <c r="W16" s="6" t="s">
        <v>8074</v>
      </c>
      <c r="X16" s="32" t="n">
        <f aca="false">IF($O16="Active",SUMPRODUCT(($AH$5:$AH$115=$AH16)*1),0)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DeepSeek V4 每 token 啟用 routed experts¦—¦DeepSeek V4</v>
      </c>
    </row>
    <row r="17" customFormat="false" ht="43.5" hidden="false" customHeight="true" outlineLevel="0" collapsed="false">
      <c r="A17" s="30" t="s">
        <v>5039</v>
      </c>
      <c r="B17" s="6" t="s">
        <v>8075</v>
      </c>
      <c r="C17" s="241" t="n">
        <v>1</v>
      </c>
      <c r="D17" s="239"/>
      <c r="E17" s="239"/>
      <c r="F17" s="239" t="s">
        <v>345</v>
      </c>
      <c r="G17" s="30" t="s">
        <v>751</v>
      </c>
      <c r="H17" s="30" t="s">
        <v>8059</v>
      </c>
      <c r="I17" s="30" t="s">
        <v>751</v>
      </c>
      <c r="J17" s="6" t="s">
        <v>8046</v>
      </c>
      <c r="K17" s="239" t="n">
        <v>1</v>
      </c>
      <c r="L17" s="239" t="s">
        <v>7551</v>
      </c>
      <c r="M17" s="6" t="s">
        <v>8047</v>
      </c>
      <c r="N17" s="239" t="s">
        <v>7553</v>
      </c>
      <c r="O17" s="30" t="s">
        <v>7554</v>
      </c>
      <c r="P17" s="30" t="s">
        <v>751</v>
      </c>
      <c r="Q17" s="30" t="s">
        <v>8076</v>
      </c>
      <c r="R17" s="30" t="s">
        <v>751</v>
      </c>
      <c r="S17" s="30" t="s">
        <v>6868</v>
      </c>
      <c r="T17" s="30" t="s">
        <v>751</v>
      </c>
      <c r="U17" s="30" t="s">
        <v>8049</v>
      </c>
      <c r="V17" s="6" t="s">
        <v>8077</v>
      </c>
      <c r="W17" s="6" t="s">
        <v>8078</v>
      </c>
      <c r="X17" s="32" t="n">
        <f aca="false">IF($O17="Active",SUMPRODUCT(($AH$5:$AH$115=$AH17)*1),0)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DeepSeek V4 shared experts¦—¦DeepSeek V4</v>
      </c>
    </row>
    <row r="18" customFormat="false" ht="43.5" hidden="false" customHeight="true" outlineLevel="0" collapsed="false">
      <c r="A18" s="30" t="s">
        <v>5043</v>
      </c>
      <c r="B18" s="6" t="s">
        <v>8079</v>
      </c>
      <c r="C18" s="241" t="n">
        <v>129280</v>
      </c>
      <c r="D18" s="239"/>
      <c r="E18" s="239"/>
      <c r="F18" s="30" t="s">
        <v>8080</v>
      </c>
      <c r="G18" s="30" t="s">
        <v>751</v>
      </c>
      <c r="H18" s="30" t="s">
        <v>8059</v>
      </c>
      <c r="I18" s="30" t="s">
        <v>751</v>
      </c>
      <c r="J18" s="6" t="s">
        <v>8046</v>
      </c>
      <c r="K18" s="239" t="n">
        <v>1</v>
      </c>
      <c r="L18" s="239" t="s">
        <v>7551</v>
      </c>
      <c r="M18" s="6" t="s">
        <v>8047</v>
      </c>
      <c r="N18" s="239" t="s">
        <v>7553</v>
      </c>
      <c r="O18" s="30" t="s">
        <v>7554</v>
      </c>
      <c r="P18" s="30" t="s">
        <v>751</v>
      </c>
      <c r="Q18" s="30" t="s">
        <v>8081</v>
      </c>
      <c r="R18" s="30" t="s">
        <v>751</v>
      </c>
      <c r="S18" s="30" t="s">
        <v>6868</v>
      </c>
      <c r="T18" s="30" t="s">
        <v>751</v>
      </c>
      <c r="U18" s="30" t="s">
        <v>8049</v>
      </c>
      <c r="V18" s="6" t="s">
        <v>8082</v>
      </c>
      <c r="W18" s="6" t="s">
        <v>8083</v>
      </c>
      <c r="X18" s="32" t="n">
        <f aca="false">IF($O18="Active",SUMPRODUCT(($AH$5:$AH$115=$AH18)*1),0)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DeepSeek V4 vocab¦—¦DeepSeek V4</v>
      </c>
    </row>
    <row r="19" customFormat="false" ht="43.5" hidden="false" customHeight="true" outlineLevel="0" collapsed="false">
      <c r="A19" s="30" t="s">
        <v>5048</v>
      </c>
      <c r="B19" s="6" t="s">
        <v>8084</v>
      </c>
      <c r="C19" s="241" t="n">
        <v>0.512</v>
      </c>
      <c r="D19" s="239"/>
      <c r="E19" s="239"/>
      <c r="F19" s="30" t="s">
        <v>113</v>
      </c>
      <c r="G19" s="239" t="s">
        <v>8085</v>
      </c>
      <c r="H19" s="30" t="s">
        <v>8045</v>
      </c>
      <c r="I19" s="30" t="s">
        <v>751</v>
      </c>
      <c r="J19" s="6" t="s">
        <v>8046</v>
      </c>
      <c r="K19" s="239" t="n">
        <v>1</v>
      </c>
      <c r="L19" s="239" t="s">
        <v>7551</v>
      </c>
      <c r="M19" s="6" t="s">
        <v>8047</v>
      </c>
      <c r="N19" s="239" t="s">
        <v>7553</v>
      </c>
      <c r="O19" s="30" t="s">
        <v>7554</v>
      </c>
      <c r="P19" s="30" t="s">
        <v>751</v>
      </c>
      <c r="Q19" s="30" t="s">
        <v>8086</v>
      </c>
      <c r="R19" s="30" t="s">
        <v>751</v>
      </c>
      <c r="S19" s="30" t="s">
        <v>6868</v>
      </c>
      <c r="T19" s="30" t="s">
        <v>751</v>
      </c>
      <c r="U19" s="30" t="s">
        <v>8049</v>
      </c>
      <c r="V19" s="6" t="s">
        <v>8087</v>
      </c>
      <c r="W19" s="6" t="s">
        <v>8088</v>
      </c>
      <c r="X19" s="32" t="n">
        <f aca="false">IF($O19="Active",SUMPRODUCT(($AH$5:$AH$115=$AH19)*1),0)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DeepSeek V4-Flash 全注意力層比例（壓縮比 4 層／（壓縮比 4＋128 層）＝21/41）¦config.json compress_ratios 前 43 個元素；MTP 層不計¦DeepSeek V4-Flash</v>
      </c>
    </row>
    <row r="20" customFormat="false" ht="43.5" hidden="false" customHeight="true" outlineLevel="0" collapsed="false">
      <c r="A20" s="30" t="s">
        <v>5052</v>
      </c>
      <c r="B20" s="6" t="s">
        <v>8089</v>
      </c>
      <c r="C20" s="241" t="n">
        <v>128</v>
      </c>
      <c r="D20" s="239"/>
      <c r="E20" s="239"/>
      <c r="F20" s="30" t="s">
        <v>118</v>
      </c>
      <c r="G20" s="30" t="s">
        <v>751</v>
      </c>
      <c r="H20" s="30" t="s">
        <v>8059</v>
      </c>
      <c r="I20" s="30" t="s">
        <v>751</v>
      </c>
      <c r="J20" s="6" t="s">
        <v>8046</v>
      </c>
      <c r="K20" s="239" t="n">
        <v>1</v>
      </c>
      <c r="L20" s="239" t="s">
        <v>7551</v>
      </c>
      <c r="M20" s="6" t="s">
        <v>8047</v>
      </c>
      <c r="N20" s="239" t="s">
        <v>7553</v>
      </c>
      <c r="O20" s="30" t="s">
        <v>7554</v>
      </c>
      <c r="P20" s="30" t="s">
        <v>751</v>
      </c>
      <c r="Q20" s="30" t="s">
        <v>8090</v>
      </c>
      <c r="R20" s="30" t="s">
        <v>751</v>
      </c>
      <c r="S20" s="30" t="s">
        <v>6868</v>
      </c>
      <c r="T20" s="30" t="s">
        <v>751</v>
      </c>
      <c r="U20" s="30" t="s">
        <v>8049</v>
      </c>
      <c r="V20" s="6" t="s">
        <v>8091</v>
      </c>
      <c r="W20" s="6" t="s">
        <v>8092</v>
      </c>
      <c r="X20" s="32" t="n">
        <f aca="false">IF($O20="Active",SUMPRODUCT(($AH$5:$AH$115=$AH20)*1),0)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DeepSeek V4 HCA 壓縮比¦—¦DeepSeek V4</v>
      </c>
    </row>
    <row r="21" customFormat="false" ht="43.5" hidden="false" customHeight="true" outlineLevel="0" collapsed="false">
      <c r="A21" s="30" t="s">
        <v>5056</v>
      </c>
      <c r="B21" s="6" t="s">
        <v>8093</v>
      </c>
      <c r="C21" s="241" t="n">
        <v>128</v>
      </c>
      <c r="D21" s="239"/>
      <c r="E21" s="239"/>
      <c r="F21" s="30" t="s">
        <v>308</v>
      </c>
      <c r="G21" s="30" t="s">
        <v>751</v>
      </c>
      <c r="H21" s="30" t="s">
        <v>8059</v>
      </c>
      <c r="I21" s="30" t="s">
        <v>751</v>
      </c>
      <c r="J21" s="6" t="s">
        <v>8046</v>
      </c>
      <c r="K21" s="239" t="n">
        <v>1</v>
      </c>
      <c r="L21" s="239" t="s">
        <v>7551</v>
      </c>
      <c r="M21" s="6" t="s">
        <v>8047</v>
      </c>
      <c r="N21" s="239" t="s">
        <v>7553</v>
      </c>
      <c r="O21" s="30" t="s">
        <v>7554</v>
      </c>
      <c r="P21" s="30" t="s">
        <v>751</v>
      </c>
      <c r="Q21" s="30" t="s">
        <v>8094</v>
      </c>
      <c r="R21" s="30" t="s">
        <v>751</v>
      </c>
      <c r="S21" s="30" t="s">
        <v>6868</v>
      </c>
      <c r="T21" s="30" t="s">
        <v>751</v>
      </c>
      <c r="U21" s="30" t="s">
        <v>8049</v>
      </c>
      <c r="V21" s="6" t="s">
        <v>8095</v>
      </c>
      <c r="W21" s="6" t="s">
        <v>8096</v>
      </c>
      <c r="X21" s="32" t="n">
        <f aca="false">IF($O21="Active",SUMPRODUCT(($AH$5:$AH$115=$AH21)*1),0)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DeepSeek V4 滑動窗¦—¦DeepSeek V4</v>
      </c>
    </row>
    <row r="22" customFormat="false" ht="43.5" hidden="false" customHeight="true" outlineLevel="0" collapsed="false">
      <c r="A22" s="30" t="s">
        <v>5071</v>
      </c>
      <c r="B22" s="6" t="s">
        <v>8097</v>
      </c>
      <c r="C22" s="241" t="n">
        <v>1024</v>
      </c>
      <c r="D22" s="239"/>
      <c r="E22" s="239"/>
      <c r="F22" s="239" t="s">
        <v>8098</v>
      </c>
      <c r="G22" s="30" t="s">
        <v>751</v>
      </c>
      <c r="H22" s="30" t="s">
        <v>8059</v>
      </c>
      <c r="I22" s="30" t="s">
        <v>751</v>
      </c>
      <c r="J22" s="6" t="s">
        <v>8046</v>
      </c>
      <c r="K22" s="239" t="n">
        <v>3</v>
      </c>
      <c r="L22" s="239" t="s">
        <v>7551</v>
      </c>
      <c r="M22" s="6" t="s">
        <v>8047</v>
      </c>
      <c r="N22" s="239" t="s">
        <v>7689</v>
      </c>
      <c r="O22" s="30" t="s">
        <v>7554</v>
      </c>
      <c r="P22" s="30" t="s">
        <v>751</v>
      </c>
      <c r="Q22" s="30" t="s">
        <v>8054</v>
      </c>
      <c r="R22" s="30" t="s">
        <v>751</v>
      </c>
      <c r="S22" s="30" t="s">
        <v>751</v>
      </c>
      <c r="T22" s="30" t="s">
        <v>751</v>
      </c>
      <c r="U22" s="30" t="s">
        <v>8049</v>
      </c>
      <c r="V22" s="6" t="s">
        <v>8099</v>
      </c>
      <c r="W22" s="6" t="s">
        <v>8100</v>
      </c>
      <c r="X22" s="32" t="n">
        <f aca="false">IF($O22="Active",SUMPRODUCT(($AH$5:$AH$115=$AH22)*1),0)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DeepSeek V4 CSA top-k 壓縮塊數¦—¦DeepSeek V4</v>
      </c>
    </row>
    <row r="23" customFormat="false" ht="43.5" hidden="false" customHeight="true" outlineLevel="0" collapsed="false">
      <c r="A23" s="30" t="s">
        <v>8101</v>
      </c>
      <c r="B23" s="6" t="s">
        <v>8102</v>
      </c>
      <c r="C23" s="241" t="n">
        <v>4</v>
      </c>
      <c r="D23" s="239"/>
      <c r="E23" s="239"/>
      <c r="F23" s="30" t="s">
        <v>8103</v>
      </c>
      <c r="G23" s="30" t="s">
        <v>751</v>
      </c>
      <c r="H23" s="30" t="s">
        <v>8059</v>
      </c>
      <c r="I23" s="30" t="s">
        <v>751</v>
      </c>
      <c r="J23" s="6" t="s">
        <v>8046</v>
      </c>
      <c r="K23" s="239" t="n">
        <v>3</v>
      </c>
      <c r="L23" s="239" t="s">
        <v>7551</v>
      </c>
      <c r="M23" s="6" t="s">
        <v>8047</v>
      </c>
      <c r="N23" s="239" t="s">
        <v>7689</v>
      </c>
      <c r="O23" s="30" t="s">
        <v>7554</v>
      </c>
      <c r="P23" s="30" t="s">
        <v>751</v>
      </c>
      <c r="Q23" s="30" t="s">
        <v>8054</v>
      </c>
      <c r="R23" s="30" t="s">
        <v>751</v>
      </c>
      <c r="S23" s="30" t="s">
        <v>751</v>
      </c>
      <c r="T23" s="30" t="s">
        <v>751</v>
      </c>
      <c r="U23" s="30" t="s">
        <v>8049</v>
      </c>
      <c r="V23" s="6" t="s">
        <v>8099</v>
      </c>
      <c r="W23" s="6" t="s">
        <v>751</v>
      </c>
      <c r="X23" s="32" t="n">
        <f aca="false">IF($O23="Active",SUMPRODUCT(($AH$5:$AH$115=$AH23)*1),0)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DeepSeek V4 CSA 壓縮塊長度¦—¦DeepSeek V4</v>
      </c>
    </row>
    <row r="24" customFormat="false" ht="43.5" hidden="false" customHeight="true" outlineLevel="0" collapsed="false">
      <c r="A24" s="30" t="s">
        <v>5402</v>
      </c>
      <c r="B24" s="6" t="s">
        <v>8104</v>
      </c>
      <c r="C24" s="241" t="n">
        <v>671</v>
      </c>
      <c r="D24" s="239"/>
      <c r="E24" s="239"/>
      <c r="F24" s="30" t="s">
        <v>287</v>
      </c>
      <c r="G24" s="30" t="s">
        <v>751</v>
      </c>
      <c r="H24" s="30" t="s">
        <v>8105</v>
      </c>
      <c r="I24" s="30" t="s">
        <v>751</v>
      </c>
      <c r="J24" s="6" t="s">
        <v>8046</v>
      </c>
      <c r="K24" s="239" t="n">
        <v>3</v>
      </c>
      <c r="L24" s="239" t="s">
        <v>7551</v>
      </c>
      <c r="M24" s="6" t="s">
        <v>8047</v>
      </c>
      <c r="N24" s="239" t="s">
        <v>7689</v>
      </c>
      <c r="O24" s="30" t="s">
        <v>7554</v>
      </c>
      <c r="P24" s="30" t="s">
        <v>751</v>
      </c>
      <c r="Q24" s="30" t="s">
        <v>8054</v>
      </c>
      <c r="R24" s="30" t="s">
        <v>751</v>
      </c>
      <c r="S24" s="30" t="s">
        <v>751</v>
      </c>
      <c r="T24" s="30" t="s">
        <v>751</v>
      </c>
      <c r="U24" s="30" t="s">
        <v>8049</v>
      </c>
      <c r="V24" s="6" t="s">
        <v>8106</v>
      </c>
      <c r="W24" s="6" t="s">
        <v>751</v>
      </c>
      <c r="X24" s="32" t="n">
        <f aca="false">IF($O24="Active",SUMPRODUCT(($AH$5:$AH$115=$AH24)*1),0)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DeepSeek-V3／R1 總參數¦—¦DeepSeek-V3／R1</v>
      </c>
    </row>
    <row r="25" customFormat="false" ht="43.5" hidden="false" customHeight="true" outlineLevel="0" collapsed="false">
      <c r="A25" s="30" t="s">
        <v>5405</v>
      </c>
      <c r="B25" s="6" t="s">
        <v>8107</v>
      </c>
      <c r="C25" s="241" t="n">
        <v>37</v>
      </c>
      <c r="D25" s="239"/>
      <c r="E25" s="239"/>
      <c r="F25" s="30" t="s">
        <v>287</v>
      </c>
      <c r="G25" s="30" t="s">
        <v>751</v>
      </c>
      <c r="H25" s="30" t="s">
        <v>8105</v>
      </c>
      <c r="I25" s="30" t="s">
        <v>751</v>
      </c>
      <c r="J25" s="6" t="s">
        <v>8046</v>
      </c>
      <c r="K25" s="239" t="n">
        <v>3</v>
      </c>
      <c r="L25" s="239" t="s">
        <v>7551</v>
      </c>
      <c r="M25" s="6" t="s">
        <v>8047</v>
      </c>
      <c r="N25" s="239" t="s">
        <v>7689</v>
      </c>
      <c r="O25" s="30" t="s">
        <v>7554</v>
      </c>
      <c r="P25" s="30" t="s">
        <v>751</v>
      </c>
      <c r="Q25" s="30" t="s">
        <v>8054</v>
      </c>
      <c r="R25" s="30" t="s">
        <v>751</v>
      </c>
      <c r="S25" s="30" t="s">
        <v>751</v>
      </c>
      <c r="T25" s="30" t="s">
        <v>751</v>
      </c>
      <c r="U25" s="30" t="s">
        <v>8049</v>
      </c>
      <c r="V25" s="6" t="s">
        <v>8108</v>
      </c>
      <c r="W25" s="6" t="s">
        <v>751</v>
      </c>
      <c r="X25" s="32" t="n">
        <f aca="false">IF($O25="Active",SUMPRODUCT(($AH$5:$AH$115=$AH25)*1),0)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DeepSeek-V3／R1 啟用參數¦—¦DeepSeek-V3／R1</v>
      </c>
    </row>
    <row r="26" customFormat="false" ht="43.5" hidden="false" customHeight="true" outlineLevel="0" collapsed="false">
      <c r="A26" s="30" t="s">
        <v>5408</v>
      </c>
      <c r="B26" s="6" t="s">
        <v>8109</v>
      </c>
      <c r="C26" s="241" t="n">
        <v>61</v>
      </c>
      <c r="D26" s="239"/>
      <c r="E26" s="239"/>
      <c r="F26" s="239" t="s">
        <v>293</v>
      </c>
      <c r="G26" s="30" t="s">
        <v>751</v>
      </c>
      <c r="H26" s="30" t="s">
        <v>8105</v>
      </c>
      <c r="I26" s="30" t="s">
        <v>751</v>
      </c>
      <c r="J26" s="6" t="s">
        <v>8046</v>
      </c>
      <c r="K26" s="239" t="n">
        <v>3</v>
      </c>
      <c r="L26" s="239" t="s">
        <v>7551</v>
      </c>
      <c r="M26" s="6" t="s">
        <v>8047</v>
      </c>
      <c r="N26" s="239" t="s">
        <v>7689</v>
      </c>
      <c r="O26" s="30" t="s">
        <v>7554</v>
      </c>
      <c r="P26" s="30" t="s">
        <v>751</v>
      </c>
      <c r="Q26" s="30" t="s">
        <v>8054</v>
      </c>
      <c r="R26" s="30" t="s">
        <v>751</v>
      </c>
      <c r="S26" s="30" t="s">
        <v>751</v>
      </c>
      <c r="T26" s="30" t="s">
        <v>751</v>
      </c>
      <c r="U26" s="30" t="s">
        <v>8049</v>
      </c>
      <c r="V26" s="6" t="s">
        <v>8110</v>
      </c>
      <c r="W26" s="6" t="s">
        <v>751</v>
      </c>
      <c r="X26" s="32" t="n">
        <f aca="false">IF($O26="Active",SUMPRODUCT(($AH$5:$AH$115=$AH26)*1),0)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DeepSeek-V3／R1 層數¦—¦DeepSeek-V3／R1</v>
      </c>
    </row>
    <row r="27" customFormat="false" ht="43.5" hidden="false" customHeight="true" outlineLevel="0" collapsed="false">
      <c r="A27" s="30" t="s">
        <v>5411</v>
      </c>
      <c r="B27" s="6" t="s">
        <v>8111</v>
      </c>
      <c r="C27" s="241" t="n">
        <v>7168</v>
      </c>
      <c r="D27" s="239"/>
      <c r="E27" s="239"/>
      <c r="F27" s="239" t="s">
        <v>8035</v>
      </c>
      <c r="G27" s="30" t="s">
        <v>751</v>
      </c>
      <c r="H27" s="30" t="s">
        <v>8105</v>
      </c>
      <c r="I27" s="30" t="s">
        <v>751</v>
      </c>
      <c r="J27" s="6" t="s">
        <v>8046</v>
      </c>
      <c r="K27" s="239" t="n">
        <v>3</v>
      </c>
      <c r="L27" s="239" t="s">
        <v>7551</v>
      </c>
      <c r="M27" s="6" t="s">
        <v>8047</v>
      </c>
      <c r="N27" s="239" t="s">
        <v>7689</v>
      </c>
      <c r="O27" s="30" t="s">
        <v>7554</v>
      </c>
      <c r="P27" s="30" t="s">
        <v>751</v>
      </c>
      <c r="Q27" s="30" t="s">
        <v>8054</v>
      </c>
      <c r="R27" s="30" t="s">
        <v>751</v>
      </c>
      <c r="S27" s="30" t="s">
        <v>751</v>
      </c>
      <c r="T27" s="30" t="s">
        <v>751</v>
      </c>
      <c r="U27" s="30" t="s">
        <v>8049</v>
      </c>
      <c r="V27" s="6" t="s">
        <v>8112</v>
      </c>
      <c r="W27" s="6" t="s">
        <v>751</v>
      </c>
      <c r="X27" s="32" t="n">
        <f aca="false">IF($O27="Active",SUMPRODUCT(($AH$5:$AH$115=$AH27)*1),0)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DeepSeek-V3／R1 d_model¦—¦DeepSeek-V3／R1</v>
      </c>
    </row>
    <row r="28" customFormat="false" ht="43.5" hidden="false" customHeight="true" outlineLevel="0" collapsed="false">
      <c r="A28" s="30" t="s">
        <v>5414</v>
      </c>
      <c r="B28" s="6" t="s">
        <v>8113</v>
      </c>
      <c r="C28" s="241" t="n">
        <v>256</v>
      </c>
      <c r="D28" s="239"/>
      <c r="E28" s="239"/>
      <c r="F28" s="239" t="s">
        <v>345</v>
      </c>
      <c r="G28" s="30" t="s">
        <v>751</v>
      </c>
      <c r="H28" s="30" t="s">
        <v>8105</v>
      </c>
      <c r="I28" s="30" t="s">
        <v>751</v>
      </c>
      <c r="J28" s="6" t="s">
        <v>8046</v>
      </c>
      <c r="K28" s="239" t="n">
        <v>3</v>
      </c>
      <c r="L28" s="239" t="s">
        <v>7551</v>
      </c>
      <c r="M28" s="6" t="s">
        <v>8047</v>
      </c>
      <c r="N28" s="239" t="s">
        <v>7689</v>
      </c>
      <c r="O28" s="30" t="s">
        <v>7554</v>
      </c>
      <c r="P28" s="30" t="s">
        <v>751</v>
      </c>
      <c r="Q28" s="30" t="s">
        <v>8054</v>
      </c>
      <c r="R28" s="30" t="s">
        <v>751</v>
      </c>
      <c r="S28" s="30" t="s">
        <v>751</v>
      </c>
      <c r="T28" s="30" t="s">
        <v>751</v>
      </c>
      <c r="U28" s="30" t="s">
        <v>8049</v>
      </c>
      <c r="V28" s="6" t="s">
        <v>8114</v>
      </c>
      <c r="W28" s="6" t="s">
        <v>751</v>
      </c>
      <c r="X28" s="32" t="n">
        <f aca="false">IF($O28="Active",SUMPRODUCT(($AH$5:$AH$115=$AH28)*1),0)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DeepSeek-V3／R1 routed experts¦—¦DeepSeek-V3／R1</v>
      </c>
    </row>
    <row r="29" customFormat="false" ht="43.5" hidden="false" customHeight="true" outlineLevel="0" collapsed="false">
      <c r="A29" s="30" t="s">
        <v>5418</v>
      </c>
      <c r="B29" s="6" t="s">
        <v>8115</v>
      </c>
      <c r="C29" s="241" t="n">
        <v>8</v>
      </c>
      <c r="D29" s="239"/>
      <c r="E29" s="239"/>
      <c r="F29" s="239" t="s">
        <v>345</v>
      </c>
      <c r="G29" s="30" t="s">
        <v>751</v>
      </c>
      <c r="H29" s="30" t="s">
        <v>8105</v>
      </c>
      <c r="I29" s="30" t="s">
        <v>751</v>
      </c>
      <c r="J29" s="6" t="s">
        <v>8046</v>
      </c>
      <c r="K29" s="239" t="n">
        <v>3</v>
      </c>
      <c r="L29" s="239" t="s">
        <v>7551</v>
      </c>
      <c r="M29" s="6" t="s">
        <v>8047</v>
      </c>
      <c r="N29" s="239" t="s">
        <v>7689</v>
      </c>
      <c r="O29" s="30" t="s">
        <v>7554</v>
      </c>
      <c r="P29" s="30" t="s">
        <v>751</v>
      </c>
      <c r="Q29" s="30" t="s">
        <v>8054</v>
      </c>
      <c r="R29" s="30" t="s">
        <v>751</v>
      </c>
      <c r="S29" s="30" t="s">
        <v>751</v>
      </c>
      <c r="T29" s="30" t="s">
        <v>751</v>
      </c>
      <c r="U29" s="30" t="s">
        <v>8049</v>
      </c>
      <c r="V29" s="6" t="s">
        <v>8116</v>
      </c>
      <c r="W29" s="6" t="s">
        <v>751</v>
      </c>
      <c r="X29" s="32" t="n">
        <f aca="false">IF($O29="Active",SUMPRODUCT(($AH$5:$AH$115=$AH29)*1),0)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DeepSeek-V3／R1 每 token 啟用 experts¦—¦DeepSeek-V3／R1</v>
      </c>
    </row>
    <row r="30" customFormat="false" ht="43.5" hidden="false" customHeight="true" outlineLevel="0" collapsed="false">
      <c r="A30" s="30" t="s">
        <v>5421</v>
      </c>
      <c r="B30" s="6" t="s">
        <v>8117</v>
      </c>
      <c r="C30" s="241" t="n">
        <v>1</v>
      </c>
      <c r="D30" s="239"/>
      <c r="E30" s="239"/>
      <c r="F30" s="239" t="s">
        <v>345</v>
      </c>
      <c r="G30" s="30" t="s">
        <v>751</v>
      </c>
      <c r="H30" s="30" t="s">
        <v>8105</v>
      </c>
      <c r="I30" s="30" t="s">
        <v>751</v>
      </c>
      <c r="J30" s="6" t="s">
        <v>8046</v>
      </c>
      <c r="K30" s="239" t="n">
        <v>3</v>
      </c>
      <c r="L30" s="239" t="s">
        <v>7551</v>
      </c>
      <c r="M30" s="6" t="s">
        <v>8047</v>
      </c>
      <c r="N30" s="239" t="s">
        <v>7689</v>
      </c>
      <c r="O30" s="30" t="s">
        <v>7554</v>
      </c>
      <c r="P30" s="30" t="s">
        <v>751</v>
      </c>
      <c r="Q30" s="30" t="s">
        <v>8054</v>
      </c>
      <c r="R30" s="30" t="s">
        <v>751</v>
      </c>
      <c r="S30" s="30" t="s">
        <v>751</v>
      </c>
      <c r="T30" s="30" t="s">
        <v>751</v>
      </c>
      <c r="U30" s="30" t="s">
        <v>8049</v>
      </c>
      <c r="V30" s="6" t="s">
        <v>8118</v>
      </c>
      <c r="W30" s="6" t="s">
        <v>751</v>
      </c>
      <c r="X30" s="32" t="n">
        <f aca="false">IF($O30="Active",SUMPRODUCT(($AH$5:$AH$115=$AH30)*1),0)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DeepSeek-V3／R1 shared experts¦—¦DeepSeek-V3／R1</v>
      </c>
    </row>
    <row r="31" customFormat="false" ht="43.5" hidden="false" customHeight="true" outlineLevel="0" collapsed="false">
      <c r="A31" s="30" t="s">
        <v>5424</v>
      </c>
      <c r="B31" s="6" t="s">
        <v>8119</v>
      </c>
      <c r="C31" s="241" t="n">
        <v>129280</v>
      </c>
      <c r="D31" s="239"/>
      <c r="E31" s="239"/>
      <c r="F31" s="30" t="s">
        <v>8080</v>
      </c>
      <c r="G31" s="30" t="s">
        <v>751</v>
      </c>
      <c r="H31" s="30" t="s">
        <v>8105</v>
      </c>
      <c r="I31" s="30" t="s">
        <v>751</v>
      </c>
      <c r="J31" s="6" t="s">
        <v>8046</v>
      </c>
      <c r="K31" s="239" t="n">
        <v>3</v>
      </c>
      <c r="L31" s="239" t="s">
        <v>7551</v>
      </c>
      <c r="M31" s="6" t="s">
        <v>8047</v>
      </c>
      <c r="N31" s="239" t="s">
        <v>7689</v>
      </c>
      <c r="O31" s="30" t="s">
        <v>7554</v>
      </c>
      <c r="P31" s="30" t="s">
        <v>751</v>
      </c>
      <c r="Q31" s="30" t="s">
        <v>8054</v>
      </c>
      <c r="R31" s="30" t="s">
        <v>751</v>
      </c>
      <c r="S31" s="30" t="s">
        <v>751</v>
      </c>
      <c r="T31" s="30" t="s">
        <v>751</v>
      </c>
      <c r="U31" s="30" t="s">
        <v>8049</v>
      </c>
      <c r="V31" s="6" t="s">
        <v>8120</v>
      </c>
      <c r="W31" s="6" t="s">
        <v>751</v>
      </c>
      <c r="X31" s="32" t="n">
        <f aca="false">IF($O31="Active",SUMPRODUCT(($AH$5:$AH$115=$AH31)*1),0)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DeepSeek-V3／R1 vocab¦—¦DeepSeek-V3／R1</v>
      </c>
    </row>
    <row r="32" customFormat="false" ht="43.5" hidden="false" customHeight="true" outlineLevel="0" collapsed="false">
      <c r="A32" s="30" t="s">
        <v>5427</v>
      </c>
      <c r="B32" s="6" t="s">
        <v>8121</v>
      </c>
      <c r="C32" s="241" t="n">
        <v>576</v>
      </c>
      <c r="D32" s="239"/>
      <c r="E32" s="239"/>
      <c r="F32" s="239" t="s">
        <v>8035</v>
      </c>
      <c r="G32" s="30" t="s">
        <v>8122</v>
      </c>
      <c r="H32" s="30" t="s">
        <v>8105</v>
      </c>
      <c r="I32" s="30" t="s">
        <v>751</v>
      </c>
      <c r="J32" s="6" t="s">
        <v>8046</v>
      </c>
      <c r="K32" s="239" t="n">
        <v>3</v>
      </c>
      <c r="L32" s="239" t="s">
        <v>7551</v>
      </c>
      <c r="M32" s="6" t="s">
        <v>8047</v>
      </c>
      <c r="N32" s="239" t="s">
        <v>7689</v>
      </c>
      <c r="O32" s="30" t="s">
        <v>7554</v>
      </c>
      <c r="P32" s="30" t="s">
        <v>751</v>
      </c>
      <c r="Q32" s="30" t="s">
        <v>8054</v>
      </c>
      <c r="R32" s="30" t="s">
        <v>751</v>
      </c>
      <c r="S32" s="30" t="s">
        <v>751</v>
      </c>
      <c r="T32" s="30" t="s">
        <v>751</v>
      </c>
      <c r="U32" s="30" t="s">
        <v>8049</v>
      </c>
      <c r="V32" s="6" t="s">
        <v>8123</v>
      </c>
      <c r="W32" s="6" t="s">
        <v>8124</v>
      </c>
      <c r="X32" s="32" t="n">
        <f aca="false">IF($O32="Active",SUMPRODUCT(($AH$5:$AH$115=$AH32)*1),0)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DeepSeek-V3／R1 MLA KV 維度（每層）¦FP8 時 bytes＝維¦DeepSeek-V3／R1</v>
      </c>
    </row>
    <row r="33" customFormat="false" ht="15" hidden="false" customHeight="true" outlineLevel="0" collapsed="false">
      <c r="A33" s="30" t="s">
        <v>5562</v>
      </c>
      <c r="B33" s="6" t="s">
        <v>8125</v>
      </c>
      <c r="C33" s="241" t="n">
        <v>32</v>
      </c>
      <c r="D33" s="239"/>
      <c r="E33" s="239"/>
      <c r="F33" s="30" t="s">
        <v>1103</v>
      </c>
      <c r="G33" s="30" t="s">
        <v>751</v>
      </c>
      <c r="H33" s="30" t="s">
        <v>8038</v>
      </c>
      <c r="I33" s="30" t="s">
        <v>7575</v>
      </c>
      <c r="J33" s="6" t="s">
        <v>8126</v>
      </c>
      <c r="K33" s="239" t="n">
        <v>1</v>
      </c>
      <c r="L33" s="239" t="s">
        <v>7551</v>
      </c>
      <c r="M33" s="6" t="s">
        <v>8127</v>
      </c>
      <c r="N33" s="239" t="s">
        <v>8128</v>
      </c>
      <c r="O33" s="30" t="s">
        <v>7554</v>
      </c>
      <c r="P33" s="30" t="s">
        <v>751</v>
      </c>
      <c r="Q33" s="30" t="s">
        <v>8129</v>
      </c>
      <c r="R33" s="30" t="s">
        <v>751</v>
      </c>
      <c r="S33" s="30" t="s">
        <v>751</v>
      </c>
      <c r="T33" s="30" t="s">
        <v>751</v>
      </c>
      <c r="U33" s="30" t="s">
        <v>8130</v>
      </c>
      <c r="V33" s="6" t="s">
        <v>8131</v>
      </c>
      <c r="W33" s="6" t="s">
        <v>751</v>
      </c>
      <c r="X33" s="32" t="n">
        <f aca="false">IF($O33="Active",SUMPRODUCT(($AH$5:$AH$115=$AH33)*1),0)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DeepSeek V4-Flash 預訓練 token¦—¦DeepSeek V4-Flash（Luna 代表）</v>
      </c>
    </row>
    <row r="34" customFormat="false" ht="15" hidden="false" customHeight="true" outlineLevel="0" collapsed="false">
      <c r="A34" s="30" t="s">
        <v>5564</v>
      </c>
      <c r="B34" s="6" t="s">
        <v>8132</v>
      </c>
      <c r="C34" s="241" t="n">
        <v>33</v>
      </c>
      <c r="D34" s="239"/>
      <c r="E34" s="239"/>
      <c r="F34" s="30" t="s">
        <v>1103</v>
      </c>
      <c r="G34" s="30" t="s">
        <v>751</v>
      </c>
      <c r="H34" s="30" t="s">
        <v>8022</v>
      </c>
      <c r="I34" s="30" t="s">
        <v>7575</v>
      </c>
      <c r="J34" s="6" t="s">
        <v>8126</v>
      </c>
      <c r="K34" s="239" t="n">
        <v>1</v>
      </c>
      <c r="L34" s="239" t="s">
        <v>7551</v>
      </c>
      <c r="M34" s="6" t="s">
        <v>8127</v>
      </c>
      <c r="N34" s="239" t="s">
        <v>8128</v>
      </c>
      <c r="O34" s="30" t="s">
        <v>7554</v>
      </c>
      <c r="P34" s="30" t="s">
        <v>751</v>
      </c>
      <c r="Q34" s="30" t="s">
        <v>8129</v>
      </c>
      <c r="R34" s="30" t="s">
        <v>751</v>
      </c>
      <c r="S34" s="30" t="s">
        <v>751</v>
      </c>
      <c r="T34" s="30" t="s">
        <v>751</v>
      </c>
      <c r="U34" s="30" t="s">
        <v>8130</v>
      </c>
      <c r="V34" s="6" t="s">
        <v>8133</v>
      </c>
      <c r="W34" s="6" t="s">
        <v>751</v>
      </c>
      <c r="X34" s="32" t="n">
        <f aca="false">IF($O34="Active",SUMPRODUCT(($AH$5:$AH$115=$AH34)*1),0)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DeepSeek V4-Pro 預訓練 token¦—¦DeepSeek V4-Pro（Sol 代表）</v>
      </c>
    </row>
    <row r="35" customFormat="false" ht="29.25" hidden="false" customHeight="true" outlineLevel="0" collapsed="false">
      <c r="A35" s="30" t="s">
        <v>5567</v>
      </c>
      <c r="B35" s="6" t="s">
        <v>8134</v>
      </c>
      <c r="C35" s="241" t="n">
        <v>4096</v>
      </c>
      <c r="D35" s="239"/>
      <c r="E35" s="239"/>
      <c r="F35" s="30" t="s">
        <v>308</v>
      </c>
      <c r="G35" s="30" t="s">
        <v>8135</v>
      </c>
      <c r="H35" s="30" t="s">
        <v>8059</v>
      </c>
      <c r="I35" s="30" t="s">
        <v>7575</v>
      </c>
      <c r="J35" s="6" t="s">
        <v>8126</v>
      </c>
      <c r="K35" s="239" t="n">
        <v>1</v>
      </c>
      <c r="L35" s="239" t="s">
        <v>7551</v>
      </c>
      <c r="M35" s="6" t="s">
        <v>8127</v>
      </c>
      <c r="N35" s="239" t="s">
        <v>8128</v>
      </c>
      <c r="O35" s="30" t="s">
        <v>7554</v>
      </c>
      <c r="P35" s="30" t="s">
        <v>751</v>
      </c>
      <c r="Q35" s="30" t="s">
        <v>8129</v>
      </c>
      <c r="R35" s="30" t="s">
        <v>751</v>
      </c>
      <c r="S35" s="30" t="s">
        <v>751</v>
      </c>
      <c r="T35" s="30" t="s">
        <v>751</v>
      </c>
      <c r="U35" s="30" t="s">
        <v>8130</v>
      </c>
      <c r="V35" s="6" t="s">
        <v>8136</v>
      </c>
      <c r="W35" s="6" t="s">
        <v>751</v>
      </c>
      <c r="X35" s="32" t="n">
        <f aca="false">IF($O35="Active",SUMPRODUCT(($AH$5:$AH$115=$AH35)*1),0)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DeepSeek V4 dense 注意力預訓練序列長（起點）¦4K → 16K 漸增¦DeepSeek V4</v>
      </c>
    </row>
    <row r="36" customFormat="false" ht="29.25" hidden="false" customHeight="true" outlineLevel="0" collapsed="false">
      <c r="A36" s="30" t="s">
        <v>8137</v>
      </c>
      <c r="B36" s="6" t="s">
        <v>8138</v>
      </c>
      <c r="C36" s="241" t="n">
        <v>16384</v>
      </c>
      <c r="D36" s="239"/>
      <c r="E36" s="239"/>
      <c r="F36" s="30" t="s">
        <v>308</v>
      </c>
      <c r="G36" s="239" t="s">
        <v>8139</v>
      </c>
      <c r="H36" s="30" t="s">
        <v>8059</v>
      </c>
      <c r="I36" s="30" t="s">
        <v>7575</v>
      </c>
      <c r="J36" s="6" t="s">
        <v>8126</v>
      </c>
      <c r="K36" s="239" t="n">
        <v>1</v>
      </c>
      <c r="L36" s="239" t="s">
        <v>7551</v>
      </c>
      <c r="M36" s="6" t="s">
        <v>8127</v>
      </c>
      <c r="N36" s="239" t="s">
        <v>8128</v>
      </c>
      <c r="O36" s="30" t="s">
        <v>7554</v>
      </c>
      <c r="P36" s="30" t="s">
        <v>751</v>
      </c>
      <c r="Q36" s="30" t="s">
        <v>8129</v>
      </c>
      <c r="R36" s="30" t="s">
        <v>751</v>
      </c>
      <c r="S36" s="30" t="s">
        <v>751</v>
      </c>
      <c r="T36" s="30" t="s">
        <v>751</v>
      </c>
      <c r="U36" s="30" t="s">
        <v>8130</v>
      </c>
      <c r="V36" s="6" t="s">
        <v>751</v>
      </c>
      <c r="W36" s="6" t="s">
        <v>751</v>
      </c>
      <c r="X36" s="32" t="n">
        <f aca="false">IF($O36="Active",SUMPRODUCT(($AH$5:$AH$115=$AH36)*1),0)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DeepSeek V4 dense 注意力預訓練序列長（終點）¦切換稀疏前¦DeepSeek V4</v>
      </c>
    </row>
    <row r="37" customFormat="false" ht="29.25" hidden="false" customHeight="true" outlineLevel="0" collapsed="false">
      <c r="A37" s="30" t="s">
        <v>6016</v>
      </c>
      <c r="B37" s="6" t="s">
        <v>8140</v>
      </c>
      <c r="C37" s="241" t="n">
        <v>4.6E+026</v>
      </c>
      <c r="D37" s="239"/>
      <c r="E37" s="239"/>
      <c r="F37" s="30" t="s">
        <v>330</v>
      </c>
      <c r="G37" s="239" t="s">
        <v>8141</v>
      </c>
      <c r="H37" s="30" t="s">
        <v>8142</v>
      </c>
      <c r="I37" s="30" t="s">
        <v>8143</v>
      </c>
      <c r="J37" s="6" t="s">
        <v>8144</v>
      </c>
      <c r="K37" s="239" t="n">
        <v>1</v>
      </c>
      <c r="L37" s="239" t="s">
        <v>7658</v>
      </c>
      <c r="M37" s="6" t="s">
        <v>8145</v>
      </c>
      <c r="N37" s="239" t="s">
        <v>8146</v>
      </c>
      <c r="O37" s="30" t="s">
        <v>7554</v>
      </c>
      <c r="P37" s="30" t="s">
        <v>751</v>
      </c>
      <c r="Q37" s="30" t="s">
        <v>8147</v>
      </c>
      <c r="R37" s="30" t="s">
        <v>751</v>
      </c>
      <c r="S37" s="30" t="s">
        <v>751</v>
      </c>
      <c r="T37" s="30" t="s">
        <v>751</v>
      </c>
      <c r="U37" s="30" t="s">
        <v>8148</v>
      </c>
      <c r="V37" s="6" t="s">
        <v>8149</v>
      </c>
      <c r="W37" s="20" t="s">
        <v>8150</v>
      </c>
      <c r="X37" s="32" t="n">
        <f aca="false">IF($O37="Active",SUMPRODUCT(($AH$5:$AH$115=$AH37)*1),0)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Grok-3 預訓練算力（Epoch 估計）¦誤差 2–5 倍¦Grok-3</v>
      </c>
    </row>
    <row r="38" customFormat="false" ht="15" hidden="false" customHeight="true" outlineLevel="0" collapsed="false">
      <c r="A38" s="30" t="s">
        <v>3299</v>
      </c>
      <c r="B38" s="6" t="s">
        <v>8151</v>
      </c>
      <c r="C38" s="241" t="n">
        <v>0.147</v>
      </c>
      <c r="D38" s="239"/>
      <c r="E38" s="239"/>
      <c r="F38" s="30" t="s">
        <v>8152</v>
      </c>
      <c r="G38" s="30" t="s">
        <v>8153</v>
      </c>
      <c r="H38" s="30" t="s">
        <v>8154</v>
      </c>
      <c r="I38" s="30" t="s">
        <v>8155</v>
      </c>
      <c r="J38" s="6" t="s">
        <v>8156</v>
      </c>
      <c r="K38" s="239" t="n">
        <v>2</v>
      </c>
      <c r="L38" s="239" t="s">
        <v>7551</v>
      </c>
      <c r="M38" s="6" t="s">
        <v>8157</v>
      </c>
      <c r="N38" s="239" t="s">
        <v>7564</v>
      </c>
      <c r="O38" s="30" t="s">
        <v>7554</v>
      </c>
      <c r="P38" s="30" t="s">
        <v>751</v>
      </c>
      <c r="Q38" s="30" t="s">
        <v>8158</v>
      </c>
      <c r="R38" s="30" t="s">
        <v>751</v>
      </c>
      <c r="S38" s="30" t="s">
        <v>751</v>
      </c>
      <c r="T38" s="30" t="s">
        <v>751</v>
      </c>
      <c r="U38" s="30" t="s">
        <v>8159</v>
      </c>
      <c r="V38" s="6" t="s">
        <v>8160</v>
      </c>
      <c r="W38" s="6" t="s">
        <v>8161</v>
      </c>
      <c r="X38" s="32" t="n">
        <f aca="false">IF($O38="Active",SUMPRODUCT(($AH$5:$AH$115=$AH38)*1),0)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DeepSeek R1 RL GPU 小時¦GPU 小時¦DeepSeek R1</v>
      </c>
    </row>
    <row r="39" customFormat="false" ht="23.25" hidden="false" customHeight="true" outlineLevel="0" collapsed="false">
      <c r="A39" s="30" t="s">
        <v>8162</v>
      </c>
      <c r="B39" s="6" t="s">
        <v>8163</v>
      </c>
      <c r="C39" s="241" t="n">
        <v>0.14</v>
      </c>
      <c r="D39" s="239"/>
      <c r="E39" s="239"/>
      <c r="F39" s="30" t="s">
        <v>8164</v>
      </c>
      <c r="G39" s="239" t="s">
        <v>8165</v>
      </c>
      <c r="H39" s="30" t="s">
        <v>8166</v>
      </c>
      <c r="I39" s="30" t="s">
        <v>8167</v>
      </c>
      <c r="J39" s="6" t="s">
        <v>8168</v>
      </c>
      <c r="K39" s="239" t="n">
        <v>2</v>
      </c>
      <c r="L39" s="239" t="s">
        <v>7551</v>
      </c>
      <c r="M39" s="6" t="s">
        <v>8169</v>
      </c>
      <c r="N39" s="239" t="s">
        <v>7564</v>
      </c>
      <c r="O39" s="30" t="s">
        <v>7554</v>
      </c>
      <c r="P39" s="30" t="s">
        <v>751</v>
      </c>
      <c r="Q39" s="30" t="s">
        <v>8170</v>
      </c>
      <c r="R39" s="30" t="s">
        <v>751</v>
      </c>
      <c r="S39" s="30" t="s">
        <v>751</v>
      </c>
      <c r="T39" s="30" t="s">
        <v>751</v>
      </c>
      <c r="U39" s="30" t="s">
        <v>8171</v>
      </c>
      <c r="V39" s="6" t="s">
        <v>751</v>
      </c>
      <c r="W39" s="6" t="s">
        <v>751</v>
      </c>
      <c r="X39" s="32" t="n">
        <f aca="false">IF($O39="Active",SUMPRODUCT(($AH$5:$AH$115=$AH39)*1),0)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Nemotron Ultra RL GPU 小時¦不到預訓練 1%¦Nemotron Ultra</v>
      </c>
    </row>
    <row r="40" customFormat="false" ht="29.25" hidden="false" customHeight="true" outlineLevel="0" collapsed="false">
      <c r="A40" s="30" t="s">
        <v>3308</v>
      </c>
      <c r="B40" s="6" t="s">
        <v>8172</v>
      </c>
      <c r="C40" s="241" t="n">
        <v>1</v>
      </c>
      <c r="D40" s="239"/>
      <c r="E40" s="239"/>
      <c r="F40" s="30" t="s">
        <v>118</v>
      </c>
      <c r="G40" s="239" t="s">
        <v>8173</v>
      </c>
      <c r="H40" s="30" t="s">
        <v>8174</v>
      </c>
      <c r="I40" s="30" t="s">
        <v>8175</v>
      </c>
      <c r="J40" s="6" t="s">
        <v>8176</v>
      </c>
      <c r="K40" s="239" t="n">
        <v>1</v>
      </c>
      <c r="L40" s="239" t="s">
        <v>7551</v>
      </c>
      <c r="M40" s="6" t="s">
        <v>8177</v>
      </c>
      <c r="N40" s="239" t="s">
        <v>8128</v>
      </c>
      <c r="O40" s="30" t="s">
        <v>7554</v>
      </c>
      <c r="P40" s="30" t="s">
        <v>751</v>
      </c>
      <c r="Q40" s="30" t="s">
        <v>8178</v>
      </c>
      <c r="R40" s="30" t="s">
        <v>751</v>
      </c>
      <c r="S40" s="30" t="s">
        <v>751</v>
      </c>
      <c r="T40" s="30" t="s">
        <v>751</v>
      </c>
      <c r="U40" s="30" t="s">
        <v>8179</v>
      </c>
      <c r="V40" s="6" t="s">
        <v>8180</v>
      </c>
      <c r="W40" s="20" t="s">
        <v>8181</v>
      </c>
      <c r="X40" s="32" t="n">
        <f aca="false">IF($O40="Active",SUMPRODUCT(($AH$5:$AH$115=$AH40)*1),0)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Grok 4 RL 算力 ÷ 預訓練（「預訓練規模」）¦口徑不明（解讀值）¦Grok 4</v>
      </c>
    </row>
    <row r="41" customFormat="false" ht="29.25" hidden="false" customHeight="true" outlineLevel="0" collapsed="false">
      <c r="A41" s="30" t="s">
        <v>8182</v>
      </c>
      <c r="B41" s="6" t="s">
        <v>8183</v>
      </c>
      <c r="C41" s="241" t="n">
        <v>200000</v>
      </c>
      <c r="D41" s="239"/>
      <c r="E41" s="239"/>
      <c r="F41" s="30" t="s">
        <v>697</v>
      </c>
      <c r="G41" s="30" t="s">
        <v>751</v>
      </c>
      <c r="H41" s="30" t="s">
        <v>8174</v>
      </c>
      <c r="I41" s="30" t="s">
        <v>8175</v>
      </c>
      <c r="J41" s="6" t="s">
        <v>8176</v>
      </c>
      <c r="K41" s="239" t="n">
        <v>1</v>
      </c>
      <c r="L41" s="239" t="s">
        <v>7551</v>
      </c>
      <c r="M41" s="6" t="s">
        <v>8177</v>
      </c>
      <c r="N41" s="239" t="s">
        <v>8128</v>
      </c>
      <c r="O41" s="30" t="s">
        <v>7554</v>
      </c>
      <c r="P41" s="30" t="s">
        <v>751</v>
      </c>
      <c r="Q41" s="30" t="s">
        <v>8178</v>
      </c>
      <c r="R41" s="30" t="s">
        <v>751</v>
      </c>
      <c r="S41" s="30" t="s">
        <v>751</v>
      </c>
      <c r="T41" s="30" t="s">
        <v>751</v>
      </c>
      <c r="U41" s="30" t="s">
        <v>8179</v>
      </c>
      <c r="V41" s="6" t="s">
        <v>751</v>
      </c>
      <c r="W41" s="6" t="s">
        <v>751</v>
      </c>
      <c r="X41" s="32" t="n">
        <f aca="false">IF($O41="Active",SUMPRODUCT(($AH$5:$AH$115=$AH41)*1),0)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Grok 4 RL 叢集 GPU 數¦—¦Grok 4</v>
      </c>
    </row>
    <row r="42" customFormat="false" ht="29.25" hidden="false" customHeight="true" outlineLevel="0" collapsed="false">
      <c r="A42" s="30" t="s">
        <v>8184</v>
      </c>
      <c r="B42" s="6" t="s">
        <v>8185</v>
      </c>
      <c r="C42" s="241" t="n">
        <v>10</v>
      </c>
      <c r="D42" s="239"/>
      <c r="E42" s="239"/>
      <c r="F42" s="30" t="s">
        <v>118</v>
      </c>
      <c r="G42" s="239" t="s">
        <v>8186</v>
      </c>
      <c r="H42" s="30" t="s">
        <v>8174</v>
      </c>
      <c r="I42" s="30" t="s">
        <v>8175</v>
      </c>
      <c r="J42" s="6" t="s">
        <v>8176</v>
      </c>
      <c r="K42" s="239" t="n">
        <v>1</v>
      </c>
      <c r="L42" s="239" t="s">
        <v>7551</v>
      </c>
      <c r="M42" s="6" t="s">
        <v>8177</v>
      </c>
      <c r="N42" s="239" t="s">
        <v>8128</v>
      </c>
      <c r="O42" s="30" t="s">
        <v>7554</v>
      </c>
      <c r="P42" s="30" t="s">
        <v>751</v>
      </c>
      <c r="Q42" s="30" t="s">
        <v>8178</v>
      </c>
      <c r="R42" s="30" t="s">
        <v>751</v>
      </c>
      <c r="S42" s="30" t="s">
        <v>751</v>
      </c>
      <c r="T42" s="30" t="s">
        <v>751</v>
      </c>
      <c r="U42" s="30" t="s">
        <v>8179</v>
      </c>
      <c r="V42" s="6" t="s">
        <v>751</v>
      </c>
      <c r="W42" s="6" t="s">
        <v>751</v>
      </c>
      <c r="X42" s="32" t="n">
        <f aca="false">IF($O42="Active",SUMPRODUCT(($AH$5:$AH$115=$AH42)*1),0)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Grok 4 RL 算力 ÷ 前一代¦下限（10 倍以上）¦Grok 4</v>
      </c>
    </row>
    <row r="43" customFormat="false" ht="29.25" hidden="false" customHeight="true" outlineLevel="0" collapsed="false">
      <c r="A43" s="30" t="s">
        <v>5570</v>
      </c>
      <c r="B43" s="6" t="s">
        <v>8187</v>
      </c>
      <c r="C43" s="241" t="n">
        <v>14.8</v>
      </c>
      <c r="D43" s="239"/>
      <c r="E43" s="239"/>
      <c r="F43" s="30" t="s">
        <v>1103</v>
      </c>
      <c r="G43" s="30" t="s">
        <v>751</v>
      </c>
      <c r="H43" s="30" t="s">
        <v>8188</v>
      </c>
      <c r="I43" s="30" t="s">
        <v>8189</v>
      </c>
      <c r="J43" s="6" t="s">
        <v>8190</v>
      </c>
      <c r="K43" s="239" t="n">
        <v>3</v>
      </c>
      <c r="L43" s="239" t="s">
        <v>7551</v>
      </c>
      <c r="M43" s="6" t="s">
        <v>8191</v>
      </c>
      <c r="N43" s="239" t="s">
        <v>7689</v>
      </c>
      <c r="O43" s="30" t="s">
        <v>7554</v>
      </c>
      <c r="P43" s="30" t="s">
        <v>751</v>
      </c>
      <c r="Q43" s="30" t="s">
        <v>8192</v>
      </c>
      <c r="R43" s="30" t="s">
        <v>751</v>
      </c>
      <c r="S43" s="30" t="s">
        <v>751</v>
      </c>
      <c r="T43" s="30" t="s">
        <v>751</v>
      </c>
      <c r="U43" s="30" t="s">
        <v>1134</v>
      </c>
      <c r="V43" s="6" t="s">
        <v>8193</v>
      </c>
      <c r="W43" s="6" t="s">
        <v>751</v>
      </c>
      <c r="X43" s="32" t="n">
        <f aca="false">IF($O43="Active",SUMPRODUCT(($AH$5:$AH$115=$AH43)*1),0)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DeepSeek-V3 預訓練 token¦—¦DeepSeek-V3</v>
      </c>
    </row>
    <row r="44" customFormat="false" ht="29.25" hidden="false" customHeight="true" outlineLevel="0" collapsed="false">
      <c r="A44" s="30" t="s">
        <v>5573</v>
      </c>
      <c r="B44" s="6" t="s">
        <v>8194</v>
      </c>
      <c r="C44" s="241" t="n">
        <v>2.664</v>
      </c>
      <c r="D44" s="239"/>
      <c r="E44" s="239"/>
      <c r="F44" s="30" t="s">
        <v>8195</v>
      </c>
      <c r="G44" s="239" t="s">
        <v>8196</v>
      </c>
      <c r="H44" s="30" t="s">
        <v>8188</v>
      </c>
      <c r="I44" s="30" t="s">
        <v>8189</v>
      </c>
      <c r="J44" s="6" t="s">
        <v>8190</v>
      </c>
      <c r="K44" s="239" t="n">
        <v>3</v>
      </c>
      <c r="L44" s="239" t="s">
        <v>7551</v>
      </c>
      <c r="M44" s="6" t="s">
        <v>8191</v>
      </c>
      <c r="N44" s="239" t="s">
        <v>7689</v>
      </c>
      <c r="O44" s="30" t="s">
        <v>7554</v>
      </c>
      <c r="P44" s="30" t="s">
        <v>751</v>
      </c>
      <c r="Q44" s="30" t="s">
        <v>8192</v>
      </c>
      <c r="R44" s="30" t="s">
        <v>751</v>
      </c>
      <c r="S44" s="30" t="s">
        <v>751</v>
      </c>
      <c r="T44" s="30" t="s">
        <v>751</v>
      </c>
      <c r="U44" s="30" t="s">
        <v>1134</v>
      </c>
      <c r="V44" s="6" t="s">
        <v>8197</v>
      </c>
      <c r="W44" s="6" t="s">
        <v>751</v>
      </c>
      <c r="X44" s="32" t="n">
        <f aca="false">IF($O44="Active",SUMPRODUCT(($AH$5:$AH$115=$AH44)*1),0)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DeepSeek-V3 預訓練 H800 GPU 小時¦預訓練¦DeepSeek-V3</v>
      </c>
    </row>
    <row r="45" customFormat="false" ht="29.25" hidden="false" customHeight="true" outlineLevel="0" collapsed="false">
      <c r="A45" s="30" t="s">
        <v>8198</v>
      </c>
      <c r="B45" s="6" t="s">
        <v>8199</v>
      </c>
      <c r="C45" s="241" t="n">
        <v>2.788</v>
      </c>
      <c r="D45" s="239"/>
      <c r="E45" s="239"/>
      <c r="F45" s="30" t="s">
        <v>8195</v>
      </c>
      <c r="G45" s="239" t="s">
        <v>8200</v>
      </c>
      <c r="H45" s="30" t="s">
        <v>8188</v>
      </c>
      <c r="I45" s="30" t="s">
        <v>8189</v>
      </c>
      <c r="J45" s="6" t="s">
        <v>8190</v>
      </c>
      <c r="K45" s="239" t="n">
        <v>3</v>
      </c>
      <c r="L45" s="239" t="s">
        <v>7551</v>
      </c>
      <c r="M45" s="6" t="s">
        <v>8191</v>
      </c>
      <c r="N45" s="239" t="s">
        <v>7689</v>
      </c>
      <c r="O45" s="30" t="s">
        <v>7554</v>
      </c>
      <c r="P45" s="30" t="s">
        <v>751</v>
      </c>
      <c r="Q45" s="30" t="s">
        <v>8192</v>
      </c>
      <c r="R45" s="30" t="s">
        <v>751</v>
      </c>
      <c r="S45" s="30" t="s">
        <v>751</v>
      </c>
      <c r="T45" s="30" t="s">
        <v>751</v>
      </c>
      <c r="U45" s="30" t="s">
        <v>1134</v>
      </c>
      <c r="V45" s="6" t="s">
        <v>751</v>
      </c>
      <c r="W45" s="6" t="s">
        <v>751</v>
      </c>
      <c r="X45" s="32" t="n">
        <f aca="false">IF($O45="Active",SUMPRODUCT(($AH$5:$AH$115=$AH45)*1),0)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DeepSeek-V3 全部 H800 GPU 小時¦含長上下文 0.119M、後訓練 0.005M¦DeepSeek-V3</v>
      </c>
    </row>
    <row r="46" customFormat="false" ht="29.25" hidden="false" customHeight="true" outlineLevel="0" collapsed="false">
      <c r="A46" s="30" t="s">
        <v>5576</v>
      </c>
      <c r="B46" s="6" t="s">
        <v>8201</v>
      </c>
      <c r="C46" s="241" t="n">
        <v>4096</v>
      </c>
      <c r="D46" s="239"/>
      <c r="E46" s="239"/>
      <c r="F46" s="30" t="s">
        <v>308</v>
      </c>
      <c r="G46" s="30" t="s">
        <v>751</v>
      </c>
      <c r="H46" s="30" t="s">
        <v>8188</v>
      </c>
      <c r="I46" s="30" t="s">
        <v>8189</v>
      </c>
      <c r="J46" s="6" t="s">
        <v>8190</v>
      </c>
      <c r="K46" s="239" t="n">
        <v>3</v>
      </c>
      <c r="L46" s="239" t="s">
        <v>7551</v>
      </c>
      <c r="M46" s="6" t="s">
        <v>8191</v>
      </c>
      <c r="N46" s="239" t="s">
        <v>7689</v>
      </c>
      <c r="O46" s="30" t="s">
        <v>7554</v>
      </c>
      <c r="P46" s="30" t="s">
        <v>751</v>
      </c>
      <c r="Q46" s="30" t="s">
        <v>8192</v>
      </c>
      <c r="R46" s="30" t="s">
        <v>751</v>
      </c>
      <c r="S46" s="30" t="s">
        <v>751</v>
      </c>
      <c r="T46" s="30" t="s">
        <v>751</v>
      </c>
      <c r="U46" s="30" t="s">
        <v>1134</v>
      </c>
      <c r="V46" s="6" t="s">
        <v>8202</v>
      </c>
      <c r="W46" s="6" t="s">
        <v>751</v>
      </c>
      <c r="X46" s="32" t="n">
        <f aca="false">IF($O46="Active",SUMPRODUCT(($AH$5:$AH$115=$AH46)*1),0)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DeepSeek-V3 預訓練序列長¦—¦DeepSeek-V3</v>
      </c>
    </row>
    <row r="47" customFormat="false" ht="15" hidden="false" customHeight="true" outlineLevel="0" collapsed="false">
      <c r="A47" s="30" t="s">
        <v>5581</v>
      </c>
      <c r="B47" s="20" t="s">
        <v>8203</v>
      </c>
      <c r="C47" s="241" t="n">
        <v>1</v>
      </c>
      <c r="D47" s="239"/>
      <c r="E47" s="239"/>
      <c r="F47" s="30" t="s">
        <v>8204</v>
      </c>
      <c r="G47" s="239" t="s">
        <v>8205</v>
      </c>
      <c r="H47" s="30" t="s">
        <v>1392</v>
      </c>
      <c r="I47" s="30" t="s">
        <v>1382</v>
      </c>
      <c r="J47" s="6" t="s">
        <v>8206</v>
      </c>
      <c r="K47" s="239" t="n">
        <v>1</v>
      </c>
      <c r="L47" s="239" t="s">
        <v>7551</v>
      </c>
      <c r="M47" s="6" t="s">
        <v>8127</v>
      </c>
      <c r="N47" s="239" t="s">
        <v>8128</v>
      </c>
      <c r="O47" s="30" t="s">
        <v>7554</v>
      </c>
      <c r="P47" s="30" t="s">
        <v>751</v>
      </c>
      <c r="Q47" s="30" t="s">
        <v>8207</v>
      </c>
      <c r="R47" s="30" t="s">
        <v>751</v>
      </c>
      <c r="S47" s="30" t="s">
        <v>751</v>
      </c>
      <c r="T47" s="30" t="s">
        <v>751</v>
      </c>
      <c r="U47" s="30" t="s">
        <v>8208</v>
      </c>
      <c r="V47" s="6" t="s">
        <v>8209</v>
      </c>
      <c r="W47" s="6" t="s">
        <v>8210</v>
      </c>
      <c r="X47" s="32" t="n">
        <f aca="false">IF($O47="Active",SUMPRODUCT(($AH$5:$AH$115=$AH47)*1),0)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非同步 RL 公開採用：DeepSeek（V4.1）¦旗艦模型揭露¦DeepSeek</v>
      </c>
    </row>
    <row r="48" customFormat="false" ht="15" hidden="false" customHeight="true" outlineLevel="0" collapsed="false">
      <c r="A48" s="30" t="s">
        <v>8211</v>
      </c>
      <c r="B48" s="20" t="s">
        <v>8212</v>
      </c>
      <c r="C48" s="241" t="n">
        <v>1</v>
      </c>
      <c r="D48" s="239"/>
      <c r="E48" s="239"/>
      <c r="F48" s="30" t="s">
        <v>8204</v>
      </c>
      <c r="G48" s="239" t="s">
        <v>8205</v>
      </c>
      <c r="H48" s="30" t="s">
        <v>8213</v>
      </c>
      <c r="I48" s="30" t="s">
        <v>8214</v>
      </c>
      <c r="J48" s="6" t="s">
        <v>8215</v>
      </c>
      <c r="K48" s="239" t="n">
        <v>1</v>
      </c>
      <c r="L48" s="239" t="s">
        <v>7551</v>
      </c>
      <c r="M48" s="6" t="s">
        <v>8216</v>
      </c>
      <c r="N48" s="239" t="s">
        <v>8128</v>
      </c>
      <c r="O48" s="30" t="s">
        <v>7554</v>
      </c>
      <c r="P48" s="30" t="s">
        <v>751</v>
      </c>
      <c r="Q48" s="30" t="s">
        <v>8217</v>
      </c>
      <c r="R48" s="30" t="s">
        <v>751</v>
      </c>
      <c r="S48" s="30" t="s">
        <v>751</v>
      </c>
      <c r="T48" s="30" t="s">
        <v>751</v>
      </c>
      <c r="U48" s="30" t="s">
        <v>8218</v>
      </c>
      <c r="V48" s="6" t="s">
        <v>8209</v>
      </c>
      <c r="W48" s="6" t="s">
        <v>751</v>
      </c>
      <c r="X48" s="32" t="n">
        <f aca="false">IF($O48="Active",SUMPRODUCT(($AH$5:$AH$115=$AH48)*1),0)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非同步 RL 公開採用：Zhipu（GLM-5）¦旗艦模型揭露¦Zhipu</v>
      </c>
    </row>
    <row r="49" customFormat="false" ht="29.25" hidden="false" customHeight="true" outlineLevel="0" collapsed="false">
      <c r="A49" s="30" t="s">
        <v>8219</v>
      </c>
      <c r="B49" s="20" t="s">
        <v>8220</v>
      </c>
      <c r="C49" s="241" t="n">
        <v>1</v>
      </c>
      <c r="D49" s="239"/>
      <c r="E49" s="239"/>
      <c r="F49" s="30" t="s">
        <v>8204</v>
      </c>
      <c r="G49" s="239" t="s">
        <v>8205</v>
      </c>
      <c r="H49" s="30" t="s">
        <v>1409</v>
      </c>
      <c r="I49" s="30" t="s">
        <v>8155</v>
      </c>
      <c r="J49" s="6" t="s">
        <v>8221</v>
      </c>
      <c r="K49" s="239" t="n">
        <v>2</v>
      </c>
      <c r="L49" s="239" t="s">
        <v>7551</v>
      </c>
      <c r="M49" s="6" t="s">
        <v>8221</v>
      </c>
      <c r="N49" s="239" t="s">
        <v>7564</v>
      </c>
      <c r="O49" s="30" t="s">
        <v>7554</v>
      </c>
      <c r="P49" s="30" t="s">
        <v>751</v>
      </c>
      <c r="Q49" s="30" t="s">
        <v>8222</v>
      </c>
      <c r="R49" s="30" t="s">
        <v>751</v>
      </c>
      <c r="S49" s="30" t="s">
        <v>751</v>
      </c>
      <c r="T49" s="30" t="s">
        <v>751</v>
      </c>
      <c r="U49" s="30" t="s">
        <v>8223</v>
      </c>
      <c r="V49" s="6" t="s">
        <v>8209</v>
      </c>
      <c r="W49" s="6" t="s">
        <v>751</v>
      </c>
      <c r="X49" s="32" t="n">
        <f aca="false">IF($O49="Active",SUMPRODUCT(($AH$5:$AH$115=$AH49)*1),0)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非同步 RL 公開採用：Moonshot（Kimi-Researcher）¦旗艦模型揭露¦Moonshot</v>
      </c>
    </row>
    <row r="50" customFormat="false" ht="29.25" hidden="false" customHeight="true" outlineLevel="0" collapsed="false">
      <c r="A50" s="30" t="s">
        <v>5886</v>
      </c>
      <c r="B50" s="6" t="s">
        <v>8224</v>
      </c>
      <c r="C50" s="241" t="n">
        <v>1.5</v>
      </c>
      <c r="D50" s="239"/>
      <c r="E50" s="239"/>
      <c r="F50" s="30" t="s">
        <v>118</v>
      </c>
      <c r="G50" s="239" t="s">
        <v>8225</v>
      </c>
      <c r="H50" s="30" t="s">
        <v>1409</v>
      </c>
      <c r="I50" s="30" t="s">
        <v>8155</v>
      </c>
      <c r="J50" s="6" t="s">
        <v>8221</v>
      </c>
      <c r="K50" s="239" t="n">
        <v>2</v>
      </c>
      <c r="L50" s="239" t="s">
        <v>7551</v>
      </c>
      <c r="M50" s="6" t="s">
        <v>8221</v>
      </c>
      <c r="N50" s="239" t="s">
        <v>7564</v>
      </c>
      <c r="O50" s="30" t="s">
        <v>7554</v>
      </c>
      <c r="P50" s="30" t="s">
        <v>751</v>
      </c>
      <c r="Q50" s="30" t="s">
        <v>8222</v>
      </c>
      <c r="R50" s="30" t="s">
        <v>751</v>
      </c>
      <c r="S50" s="30" t="s">
        <v>751</v>
      </c>
      <c r="T50" s="30" t="s">
        <v>751</v>
      </c>
      <c r="U50" s="30" t="s">
        <v>8223</v>
      </c>
      <c r="V50" s="6" t="s">
        <v>751</v>
      </c>
      <c r="W50" s="6" t="s">
        <v>751</v>
      </c>
      <c r="X50" s="32" t="n">
        <f aca="false">IF($O50="Active",SUMPRODUCT(($AH$5:$AH$115=$AH50)*1),0)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Kimi 完全非同步 rollout 加速¦下限（至少 1.5 倍）¦Moonshot</v>
      </c>
    </row>
    <row r="51" customFormat="false" ht="15" hidden="false" customHeight="true" outlineLevel="0" collapsed="false">
      <c r="A51" s="30" t="s">
        <v>8226</v>
      </c>
      <c r="B51" s="20" t="s">
        <v>8227</v>
      </c>
      <c r="C51" s="241" t="n">
        <v>1</v>
      </c>
      <c r="D51" s="239"/>
      <c r="E51" s="239"/>
      <c r="F51" s="30" t="s">
        <v>8204</v>
      </c>
      <c r="G51" s="239" t="s">
        <v>8205</v>
      </c>
      <c r="H51" s="30" t="s">
        <v>8228</v>
      </c>
      <c r="I51" s="30" t="s">
        <v>8175</v>
      </c>
      <c r="J51" s="6" t="s">
        <v>8229</v>
      </c>
      <c r="K51" s="239" t="n">
        <v>1</v>
      </c>
      <c r="L51" s="239" t="s">
        <v>7551</v>
      </c>
      <c r="M51" s="6" t="s">
        <v>8230</v>
      </c>
      <c r="N51" s="239" t="s">
        <v>8128</v>
      </c>
      <c r="O51" s="30" t="s">
        <v>7554</v>
      </c>
      <c r="P51" s="30" t="s">
        <v>751</v>
      </c>
      <c r="Q51" s="30" t="s">
        <v>8231</v>
      </c>
      <c r="R51" s="30" t="s">
        <v>751</v>
      </c>
      <c r="S51" s="30" t="s">
        <v>751</v>
      </c>
      <c r="T51" s="30" t="s">
        <v>751</v>
      </c>
      <c r="U51" s="30" t="s">
        <v>8232</v>
      </c>
      <c r="V51" s="6" t="s">
        <v>8209</v>
      </c>
      <c r="W51" s="6" t="s">
        <v>751</v>
      </c>
      <c r="X51" s="32" t="n">
        <f aca="false">IF($O51="Active",SUMPRODUCT(($AH$5:$AH$115=$AH51)*1),0)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非同步 RL 公開採用：Meta（Llama 3 後訓練）¦旗艦模型揭露¦Meta</v>
      </c>
    </row>
    <row r="52" customFormat="false" ht="15" hidden="false" customHeight="true" outlineLevel="0" collapsed="false">
      <c r="A52" s="30" t="s">
        <v>8233</v>
      </c>
      <c r="B52" s="6" t="s">
        <v>8234</v>
      </c>
      <c r="C52" s="241" t="n">
        <v>10.7</v>
      </c>
      <c r="D52" s="239"/>
      <c r="E52" s="239"/>
      <c r="F52" s="30" t="s">
        <v>118</v>
      </c>
      <c r="G52" s="239" t="s">
        <v>8235</v>
      </c>
      <c r="H52" s="30" t="s">
        <v>8228</v>
      </c>
      <c r="I52" s="30" t="s">
        <v>8175</v>
      </c>
      <c r="J52" s="6" t="s">
        <v>8229</v>
      </c>
      <c r="K52" s="239" t="n">
        <v>1</v>
      </c>
      <c r="L52" s="239" t="s">
        <v>7551</v>
      </c>
      <c r="M52" s="6" t="s">
        <v>8230</v>
      </c>
      <c r="N52" s="239" t="s">
        <v>8128</v>
      </c>
      <c r="O52" s="30" t="s">
        <v>7554</v>
      </c>
      <c r="P52" s="30" t="s">
        <v>751</v>
      </c>
      <c r="Q52" s="30" t="s">
        <v>8231</v>
      </c>
      <c r="R52" s="30" t="s">
        <v>751</v>
      </c>
      <c r="S52" s="30" t="s">
        <v>751</v>
      </c>
      <c r="T52" s="30" t="s">
        <v>751</v>
      </c>
      <c r="U52" s="30" t="s">
        <v>8232</v>
      </c>
      <c r="V52" s="6" t="s">
        <v>751</v>
      </c>
      <c r="W52" s="6" t="s">
        <v>751</v>
      </c>
      <c r="X52" s="32" t="n">
        <f aca="false">IF($O52="Active",SUMPRODUCT(($AH$5:$AH$115=$AH52)*1),0)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LlamaRL 相對 DeepSpeed-Chat 類加速（405B）¦上限；基準線較弱¦Meta</v>
      </c>
    </row>
    <row r="53" customFormat="false" ht="29.25" hidden="false" customHeight="true" outlineLevel="0" collapsed="false">
      <c r="A53" s="30" t="s">
        <v>5431</v>
      </c>
      <c r="B53" s="6" t="s">
        <v>8236</v>
      </c>
      <c r="C53" s="241" t="n">
        <v>128</v>
      </c>
      <c r="D53" s="239"/>
      <c r="E53" s="239"/>
      <c r="F53" s="239" t="s">
        <v>345</v>
      </c>
      <c r="G53" s="30" t="s">
        <v>8237</v>
      </c>
      <c r="H53" s="30" t="s">
        <v>8105</v>
      </c>
      <c r="I53" s="30" t="s">
        <v>751</v>
      </c>
      <c r="J53" s="6" t="s">
        <v>7840</v>
      </c>
      <c r="K53" s="239" t="n">
        <v>3</v>
      </c>
      <c r="L53" s="239" t="s">
        <v>7551</v>
      </c>
      <c r="M53" s="6" t="s">
        <v>8238</v>
      </c>
      <c r="N53" s="239" t="s">
        <v>7689</v>
      </c>
      <c r="O53" s="30" t="s">
        <v>7554</v>
      </c>
      <c r="P53" s="30" t="s">
        <v>751</v>
      </c>
      <c r="Q53" s="30" t="s">
        <v>7849</v>
      </c>
      <c r="R53" s="30" t="s">
        <v>751</v>
      </c>
      <c r="S53" s="30" t="s">
        <v>751</v>
      </c>
      <c r="T53" s="30" t="s">
        <v>751</v>
      </c>
      <c r="U53" s="30" t="s">
        <v>7842</v>
      </c>
      <c r="V53" s="6" t="s">
        <v>751</v>
      </c>
      <c r="W53" s="6" t="s">
        <v>7853</v>
      </c>
      <c r="X53" s="32" t="n">
        <f aca="false">IF($O53="Active",SUMPRODUCT(($AH$5:$AH$115=$AH53)*1),0)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DeepSeek-V3／R1 注意力 heads¦MLA¦DeepSeek-V3／R1</v>
      </c>
    </row>
    <row r="54" customFormat="false" ht="29.25" hidden="false" customHeight="true" outlineLevel="0" collapsed="false">
      <c r="A54" s="30" t="s">
        <v>8239</v>
      </c>
      <c r="B54" s="6" t="s">
        <v>8240</v>
      </c>
      <c r="C54" s="241" t="n">
        <v>192</v>
      </c>
      <c r="D54" s="239"/>
      <c r="E54" s="239"/>
      <c r="F54" s="239" t="s">
        <v>8035</v>
      </c>
      <c r="G54" s="30" t="s">
        <v>8237</v>
      </c>
      <c r="H54" s="30" t="s">
        <v>8105</v>
      </c>
      <c r="I54" s="30" t="s">
        <v>751</v>
      </c>
      <c r="J54" s="6" t="s">
        <v>7840</v>
      </c>
      <c r="K54" s="239" t="n">
        <v>3</v>
      </c>
      <c r="L54" s="239" t="s">
        <v>7551</v>
      </c>
      <c r="M54" s="6" t="s">
        <v>8238</v>
      </c>
      <c r="N54" s="239" t="s">
        <v>7689</v>
      </c>
      <c r="O54" s="30" t="s">
        <v>7554</v>
      </c>
      <c r="P54" s="30" t="s">
        <v>751</v>
      </c>
      <c r="Q54" s="30" t="s">
        <v>7849</v>
      </c>
      <c r="R54" s="30" t="s">
        <v>751</v>
      </c>
      <c r="S54" s="30" t="s">
        <v>751</v>
      </c>
      <c r="T54" s="30" t="s">
        <v>751</v>
      </c>
      <c r="U54" s="30" t="s">
        <v>7842</v>
      </c>
      <c r="V54" s="6" t="s">
        <v>751</v>
      </c>
      <c r="W54" s="6" t="s">
        <v>7853</v>
      </c>
      <c r="X54" s="32" t="n">
        <f aca="false">IF($O54="Active",SUMPRODUCT(($AH$5:$AH$115=$AH54)*1),0)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DeepSeek-V3／R1 qk head 維度（128 nope＋64 RoPE）¦MLA¦DeepSeek-V3／R1</v>
      </c>
    </row>
    <row r="55" customFormat="false" ht="29.25" hidden="false" customHeight="true" outlineLevel="0" collapsed="false">
      <c r="A55" s="30" t="s">
        <v>8241</v>
      </c>
      <c r="B55" s="6" t="s">
        <v>8242</v>
      </c>
      <c r="C55" s="241" t="n">
        <v>128</v>
      </c>
      <c r="D55" s="239"/>
      <c r="E55" s="239"/>
      <c r="F55" s="239" t="s">
        <v>8035</v>
      </c>
      <c r="G55" s="30" t="s">
        <v>8237</v>
      </c>
      <c r="H55" s="30" t="s">
        <v>8105</v>
      </c>
      <c r="I55" s="30" t="s">
        <v>751</v>
      </c>
      <c r="J55" s="6" t="s">
        <v>7840</v>
      </c>
      <c r="K55" s="239" t="n">
        <v>3</v>
      </c>
      <c r="L55" s="239" t="s">
        <v>7551</v>
      </c>
      <c r="M55" s="6" t="s">
        <v>8238</v>
      </c>
      <c r="N55" s="239" t="s">
        <v>7689</v>
      </c>
      <c r="O55" s="30" t="s">
        <v>7554</v>
      </c>
      <c r="P55" s="30" t="s">
        <v>751</v>
      </c>
      <c r="Q55" s="30" t="s">
        <v>7849</v>
      </c>
      <c r="R55" s="30" t="s">
        <v>751</v>
      </c>
      <c r="S55" s="30" t="s">
        <v>751</v>
      </c>
      <c r="T55" s="30" t="s">
        <v>751</v>
      </c>
      <c r="U55" s="30" t="s">
        <v>7842</v>
      </c>
      <c r="V55" s="6" t="s">
        <v>751</v>
      </c>
      <c r="W55" s="6" t="s">
        <v>7853</v>
      </c>
      <c r="X55" s="32" t="n">
        <f aca="false">IF($O55="Active",SUMPRODUCT(($AH$5:$AH$115=$AH55)*1),0)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DeepSeek-V3／R1 v head 維度¦MLA¦DeepSeek-V3／R1</v>
      </c>
    </row>
    <row r="56" customFormat="false" ht="40.5" hidden="false" customHeight="true" outlineLevel="0" collapsed="false">
      <c r="A56" s="30" t="s">
        <v>5063</v>
      </c>
      <c r="B56" s="6" t="s">
        <v>8243</v>
      </c>
      <c r="C56" s="241" t="n">
        <v>4096</v>
      </c>
      <c r="D56" s="239"/>
      <c r="E56" s="239"/>
      <c r="F56" s="239" t="s">
        <v>8035</v>
      </c>
      <c r="G56" s="30" t="s">
        <v>8244</v>
      </c>
      <c r="H56" s="30" t="s">
        <v>8045</v>
      </c>
      <c r="I56" s="30" t="s">
        <v>7561</v>
      </c>
      <c r="J56" s="6" t="s">
        <v>8245</v>
      </c>
      <c r="K56" s="239" t="n">
        <v>1</v>
      </c>
      <c r="L56" s="239" t="s">
        <v>7551</v>
      </c>
      <c r="M56" s="6" t="s">
        <v>8246</v>
      </c>
      <c r="N56" s="239" t="s">
        <v>8128</v>
      </c>
      <c r="O56" s="30" t="s">
        <v>7554</v>
      </c>
      <c r="P56" s="30" t="s">
        <v>751</v>
      </c>
      <c r="Q56" s="30" t="s">
        <v>8247</v>
      </c>
      <c r="R56" s="30" t="s">
        <v>751</v>
      </c>
      <c r="S56" s="30" t="s">
        <v>751</v>
      </c>
      <c r="T56" s="30" t="s">
        <v>751</v>
      </c>
      <c r="U56" s="30" t="s">
        <v>8248</v>
      </c>
      <c r="V56" s="6" t="s">
        <v>8249</v>
      </c>
      <c r="W56" s="20" t="s">
        <v>8250</v>
      </c>
      <c r="X56" s="32" t="n">
        <f aca="false">IF($O56="Active",SUMPRODUCT(($AH$5:$AH$115=$AH56)*1),0)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1</v>
      </c>
      <c r="AH56" s="44" t="str">
        <f aca="false">IF($O56="Active",$B56&amp;"¦"&amp;$G56&amp;"¦"&amp;$H56,"")</f>
        <v>DeepSeek V4-Flash d_model（hidden_size）¦config.json hidden_size¦DeepSeek V4-Flash</v>
      </c>
    </row>
    <row r="57" customFormat="false" ht="40.5" hidden="false" customHeight="true" outlineLevel="0" collapsed="false">
      <c r="A57" s="30" t="s">
        <v>5066</v>
      </c>
      <c r="B57" s="6" t="s">
        <v>8251</v>
      </c>
      <c r="C57" s="241" t="n">
        <v>64</v>
      </c>
      <c r="D57" s="239"/>
      <c r="E57" s="239"/>
      <c r="F57" s="239" t="s">
        <v>345</v>
      </c>
      <c r="G57" s="30" t="s">
        <v>8252</v>
      </c>
      <c r="H57" s="30" t="s">
        <v>8045</v>
      </c>
      <c r="I57" s="30" t="s">
        <v>7561</v>
      </c>
      <c r="J57" s="6" t="s">
        <v>8245</v>
      </c>
      <c r="K57" s="239" t="n">
        <v>1</v>
      </c>
      <c r="L57" s="239" t="s">
        <v>7551</v>
      </c>
      <c r="M57" s="6" t="s">
        <v>8246</v>
      </c>
      <c r="N57" s="239" t="s">
        <v>8128</v>
      </c>
      <c r="O57" s="30" t="s">
        <v>7554</v>
      </c>
      <c r="P57" s="30" t="s">
        <v>751</v>
      </c>
      <c r="Q57" s="30" t="s">
        <v>8247</v>
      </c>
      <c r="R57" s="30" t="s">
        <v>751</v>
      </c>
      <c r="S57" s="30" t="s">
        <v>751</v>
      </c>
      <c r="T57" s="30" t="s">
        <v>751</v>
      </c>
      <c r="U57" s="30" t="s">
        <v>8248</v>
      </c>
      <c r="V57" s="6" t="s">
        <v>8253</v>
      </c>
      <c r="W57" s="20" t="s">
        <v>8254</v>
      </c>
      <c r="X57" s="32" t="n">
        <f aca="false">IF($O57="Active",SUMPRODUCT(($AH$5:$AH$115=$AH57)*1),0)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1</v>
      </c>
      <c r="AH57" s="44" t="str">
        <f aca="false">IF($O57="Active",$B57&amp;"¦"&amp;$G57&amp;"¦"&amp;$H57,"")</f>
        <v>DeepSeek V4-Flash query heads（num_attention_heads）¦config.json num_attention_heads¦DeepSeek V4-Flash</v>
      </c>
    </row>
    <row r="58" customFormat="false" ht="26.25" hidden="false" customHeight="true" outlineLevel="0" collapsed="false">
      <c r="A58" s="30" t="s">
        <v>8255</v>
      </c>
      <c r="B58" s="6" t="s">
        <v>8256</v>
      </c>
      <c r="C58" s="241" t="n">
        <v>0.492</v>
      </c>
      <c r="D58" s="239"/>
      <c r="E58" s="239"/>
      <c r="F58" s="30" t="s">
        <v>113</v>
      </c>
      <c r="G58" s="30" t="s">
        <v>8257</v>
      </c>
      <c r="H58" s="30" t="s">
        <v>8053</v>
      </c>
      <c r="I58" s="30" t="s">
        <v>7561</v>
      </c>
      <c r="J58" s="6" t="s">
        <v>8258</v>
      </c>
      <c r="K58" s="239" t="n">
        <v>1</v>
      </c>
      <c r="L58" s="239" t="s">
        <v>7551</v>
      </c>
      <c r="M58" s="6" t="s">
        <v>8259</v>
      </c>
      <c r="N58" s="239" t="s">
        <v>7553</v>
      </c>
      <c r="O58" s="30" t="s">
        <v>7554</v>
      </c>
      <c r="P58" s="30" t="s">
        <v>751</v>
      </c>
      <c r="Q58" s="30" t="s">
        <v>8260</v>
      </c>
      <c r="R58" s="30" t="s">
        <v>751</v>
      </c>
      <c r="S58" s="30" t="s">
        <v>751</v>
      </c>
      <c r="T58" s="30" t="s">
        <v>751</v>
      </c>
      <c r="U58" s="30" t="s">
        <v>7870</v>
      </c>
      <c r="V58" s="6" t="s">
        <v>8261</v>
      </c>
      <c r="W58" s="6" t="s">
        <v>8262</v>
      </c>
      <c r="X58" s="32" t="n">
        <f aca="false">IF($O58="Active",SUMPRODUCT(($AH$5:$AH$115=$AH58)*1),0)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DeepSeek V4-Pro 全注意力層比例（壓縮比 4 層／（壓縮比 4＋128 層）＝30/61）¦config.json compress_ratios 前 61 個元素¦DeepSeek V4-Pro</v>
      </c>
    </row>
    <row r="59" customFormat="false" ht="328.5" hidden="false" customHeight="true" outlineLevel="0" collapsed="false">
      <c r="A59" s="30" t="s">
        <v>3343</v>
      </c>
      <c r="B59" s="6" t="s">
        <v>8263</v>
      </c>
      <c r="C59" s="241" t="n">
        <v>1.0001E+027</v>
      </c>
      <c r="D59" s="241" t="n">
        <v>5E+026</v>
      </c>
      <c r="E59" s="241" t="n">
        <v>2E+027</v>
      </c>
      <c r="F59" s="30" t="s">
        <v>330</v>
      </c>
      <c r="G59" s="205" t="s">
        <v>8264</v>
      </c>
      <c r="H59" s="30" t="s">
        <v>1377</v>
      </c>
      <c r="I59" s="30" t="s">
        <v>8265</v>
      </c>
      <c r="J59" s="6" t="s">
        <v>8266</v>
      </c>
      <c r="K59" s="205" t="n">
        <v>1</v>
      </c>
      <c r="L59" s="205" t="s">
        <v>7658</v>
      </c>
      <c r="M59" s="6" t="s">
        <v>8267</v>
      </c>
      <c r="N59" s="205" t="s">
        <v>7553</v>
      </c>
      <c r="O59" s="30" t="s">
        <v>7554</v>
      </c>
      <c r="P59" s="30" t="s">
        <v>751</v>
      </c>
      <c r="Q59" s="30" t="s">
        <v>8268</v>
      </c>
      <c r="R59" s="30" t="s">
        <v>751</v>
      </c>
      <c r="S59" s="30" t="s">
        <v>751</v>
      </c>
      <c r="T59" s="30" t="s">
        <v>751</v>
      </c>
      <c r="U59" s="30" t="s">
        <v>8269</v>
      </c>
      <c r="V59" s="6" t="s">
        <v>8270</v>
      </c>
      <c r="W59" s="6" t="s">
        <v>8271</v>
      </c>
      <c r="X59" s="32" t="n">
        <f aca="false">IF($O59="Active",SUMPRODUCT(($AH$5:$AH$115=$AH59)*1),0)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GPT-6 Astra 訓練算力（Epoch 估計）¦訓練總算力（硬體推估；GB200 數為下限；Epoch 信度 Likely）¦GPT-6 Astra</v>
      </c>
    </row>
    <row r="60" customFormat="false" ht="97.5" hidden="false" customHeight="true" outlineLevel="0" collapsed="false">
      <c r="A60" s="30" t="s">
        <v>8272</v>
      </c>
      <c r="B60" s="6" t="s">
        <v>8273</v>
      </c>
      <c r="C60" s="241" t="n">
        <v>2800</v>
      </c>
      <c r="D60" s="205"/>
      <c r="E60" s="205"/>
      <c r="F60" s="30" t="s">
        <v>287</v>
      </c>
      <c r="G60" s="205" t="s">
        <v>8274</v>
      </c>
      <c r="H60" s="30" t="s">
        <v>8275</v>
      </c>
      <c r="I60" s="30" t="s">
        <v>7561</v>
      </c>
      <c r="J60" s="6" t="s">
        <v>8276</v>
      </c>
      <c r="K60" s="205" t="n">
        <v>1</v>
      </c>
      <c r="L60" s="205" t="s">
        <v>7551</v>
      </c>
      <c r="M60" s="6" t="s">
        <v>8277</v>
      </c>
      <c r="N60" s="205" t="s">
        <v>7553</v>
      </c>
      <c r="O60" s="30" t="s">
        <v>7554</v>
      </c>
      <c r="P60" s="30" t="s">
        <v>751</v>
      </c>
      <c r="Q60" s="30" t="s">
        <v>8278</v>
      </c>
      <c r="R60" s="30" t="s">
        <v>751</v>
      </c>
      <c r="S60" s="30" t="s">
        <v>751</v>
      </c>
      <c r="T60" s="30" t="s">
        <v>751</v>
      </c>
      <c r="U60" s="30" t="s">
        <v>8279</v>
      </c>
      <c r="V60" s="6" t="s">
        <v>751</v>
      </c>
      <c r="W60" s="6" t="s">
        <v>8280</v>
      </c>
      <c r="X60" s="32" t="n">
        <f aca="false">IF($O60="Active",SUMPRODUCT(($AH$5:$AH$115=$AH60)*1),0)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Kimi K3 總參數¦模型卡 Model Summary（config.json 未載明參數量）¦Kimi K3（Moonshot，開放權重；Astra 架構可比）</v>
      </c>
    </row>
    <row r="61" customFormat="false" ht="97.5" hidden="false" customHeight="true" outlineLevel="0" collapsed="false">
      <c r="A61" s="30" t="s">
        <v>8281</v>
      </c>
      <c r="B61" s="6" t="s">
        <v>8282</v>
      </c>
      <c r="C61" s="241" t="n">
        <v>104</v>
      </c>
      <c r="D61" s="205"/>
      <c r="E61" s="205"/>
      <c r="F61" s="30" t="s">
        <v>287</v>
      </c>
      <c r="G61" s="205" t="s">
        <v>8274</v>
      </c>
      <c r="H61" s="30" t="s">
        <v>8275</v>
      </c>
      <c r="I61" s="30" t="s">
        <v>7561</v>
      </c>
      <c r="J61" s="6" t="s">
        <v>8276</v>
      </c>
      <c r="K61" s="205" t="n">
        <v>1</v>
      </c>
      <c r="L61" s="205" t="s">
        <v>7551</v>
      </c>
      <c r="M61" s="6" t="s">
        <v>8277</v>
      </c>
      <c r="N61" s="205" t="s">
        <v>7553</v>
      </c>
      <c r="O61" s="30" t="s">
        <v>7554</v>
      </c>
      <c r="P61" s="30" t="s">
        <v>751</v>
      </c>
      <c r="Q61" s="30" t="s">
        <v>8278</v>
      </c>
      <c r="R61" s="30" t="s">
        <v>751</v>
      </c>
      <c r="S61" s="30" t="s">
        <v>751</v>
      </c>
      <c r="T61" s="30" t="s">
        <v>751</v>
      </c>
      <c r="U61" s="30" t="s">
        <v>8279</v>
      </c>
      <c r="V61" s="6" t="s">
        <v>751</v>
      </c>
      <c r="W61" s="6" t="s">
        <v>8283</v>
      </c>
      <c r="X61" s="32" t="n">
        <f aca="false">IF($O61="Active",SUMPRODUCT(($AH$5:$AH$115=$AH61)*1),0)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Kimi K3 啟用參數¦模型卡 Model Summary（config.json 未載明參數量）¦Kimi K3（Moonshot，開放權重；Astra 架構可比）</v>
      </c>
    </row>
    <row r="62" customFormat="false" ht="97.5" hidden="false" customHeight="true" outlineLevel="0" collapsed="false">
      <c r="A62" s="30" t="s">
        <v>8284</v>
      </c>
      <c r="B62" s="6" t="s">
        <v>8285</v>
      </c>
      <c r="C62" s="241" t="n">
        <v>93</v>
      </c>
      <c r="D62" s="205"/>
      <c r="E62" s="205"/>
      <c r="F62" s="205" t="s">
        <v>293</v>
      </c>
      <c r="G62" s="30" t="s">
        <v>8286</v>
      </c>
      <c r="H62" s="30" t="s">
        <v>8275</v>
      </c>
      <c r="I62" s="30" t="s">
        <v>7561</v>
      </c>
      <c r="J62" s="6" t="s">
        <v>8276</v>
      </c>
      <c r="K62" s="205" t="n">
        <v>1</v>
      </c>
      <c r="L62" s="205" t="s">
        <v>7551</v>
      </c>
      <c r="M62" s="6" t="s">
        <v>8277</v>
      </c>
      <c r="N62" s="205" t="s">
        <v>7553</v>
      </c>
      <c r="O62" s="30" t="s">
        <v>7554</v>
      </c>
      <c r="P62" s="30" t="s">
        <v>751</v>
      </c>
      <c r="Q62" s="30" t="s">
        <v>8278</v>
      </c>
      <c r="R62" s="30" t="s">
        <v>751</v>
      </c>
      <c r="S62" s="30" t="s">
        <v>751</v>
      </c>
      <c r="T62" s="30" t="s">
        <v>751</v>
      </c>
      <c r="U62" s="30" t="s">
        <v>8279</v>
      </c>
      <c r="V62" s="6" t="s">
        <v>751</v>
      </c>
      <c r="W62" s="6" t="s">
        <v>8287</v>
      </c>
      <c r="X62" s="32" t="n">
        <f aca="false">IF($O62="Active",SUMPRODUCT(($AH$5:$AH$115=$AH62)*1),0)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Kimi K3 層數（num_hidden_layers）¦config.json text_config.num_hidden_layers¦Kimi K3（Moonshot，開放權重；Astra 架構可比）</v>
      </c>
    </row>
    <row r="63" customFormat="false" ht="97.5" hidden="false" customHeight="true" outlineLevel="0" collapsed="false">
      <c r="A63" s="30" t="s">
        <v>8288</v>
      </c>
      <c r="B63" s="6" t="s">
        <v>8289</v>
      </c>
      <c r="C63" s="241" t="n">
        <v>7168</v>
      </c>
      <c r="D63" s="205"/>
      <c r="E63" s="205"/>
      <c r="F63" s="205" t="s">
        <v>8035</v>
      </c>
      <c r="G63" s="30" t="s">
        <v>8290</v>
      </c>
      <c r="H63" s="30" t="s">
        <v>8275</v>
      </c>
      <c r="I63" s="30" t="s">
        <v>7561</v>
      </c>
      <c r="J63" s="6" t="s">
        <v>8276</v>
      </c>
      <c r="K63" s="205" t="n">
        <v>1</v>
      </c>
      <c r="L63" s="205" t="s">
        <v>7551</v>
      </c>
      <c r="M63" s="6" t="s">
        <v>8277</v>
      </c>
      <c r="N63" s="205" t="s">
        <v>7553</v>
      </c>
      <c r="O63" s="30" t="s">
        <v>7554</v>
      </c>
      <c r="P63" s="30" t="s">
        <v>751</v>
      </c>
      <c r="Q63" s="30" t="s">
        <v>8278</v>
      </c>
      <c r="R63" s="30" t="s">
        <v>751</v>
      </c>
      <c r="S63" s="30" t="s">
        <v>751</v>
      </c>
      <c r="T63" s="30" t="s">
        <v>751</v>
      </c>
      <c r="U63" s="30" t="s">
        <v>8279</v>
      </c>
      <c r="V63" s="6" t="s">
        <v>751</v>
      </c>
      <c r="W63" s="6" t="s">
        <v>8291</v>
      </c>
      <c r="X63" s="32" t="n">
        <f aca="false">IF($O63="Active",SUMPRODUCT(($AH$5:$AH$115=$AH63)*1),0)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1</v>
      </c>
      <c r="AH63" s="44" t="str">
        <f aca="false">IF($O63="Active",$B63&amp;"¦"&amp;$G63&amp;"¦"&amp;$H63,"")</f>
        <v>Kimi K3 d_model（hidden_size）¦config.json text_config.hidden_size¦Kimi K3（Moonshot，開放權重；Astra 架構可比）</v>
      </c>
    </row>
    <row r="64" customFormat="false" ht="97.5" hidden="false" customHeight="true" outlineLevel="0" collapsed="false">
      <c r="A64" s="30" t="s">
        <v>8292</v>
      </c>
      <c r="B64" s="6" t="s">
        <v>8293</v>
      </c>
      <c r="C64" s="241" t="n">
        <v>896</v>
      </c>
      <c r="D64" s="205"/>
      <c r="E64" s="205"/>
      <c r="F64" s="205" t="s">
        <v>345</v>
      </c>
      <c r="G64" s="30" t="s">
        <v>8294</v>
      </c>
      <c r="H64" s="30" t="s">
        <v>8275</v>
      </c>
      <c r="I64" s="30" t="s">
        <v>7561</v>
      </c>
      <c r="J64" s="6" t="s">
        <v>8276</v>
      </c>
      <c r="K64" s="205" t="n">
        <v>1</v>
      </c>
      <c r="L64" s="205" t="s">
        <v>7551</v>
      </c>
      <c r="M64" s="6" t="s">
        <v>8277</v>
      </c>
      <c r="N64" s="205" t="s">
        <v>7553</v>
      </c>
      <c r="O64" s="30" t="s">
        <v>7554</v>
      </c>
      <c r="P64" s="30" t="s">
        <v>751</v>
      </c>
      <c r="Q64" s="30" t="s">
        <v>8278</v>
      </c>
      <c r="R64" s="30" t="s">
        <v>751</v>
      </c>
      <c r="S64" s="30" t="s">
        <v>751</v>
      </c>
      <c r="T64" s="30" t="s">
        <v>751</v>
      </c>
      <c r="U64" s="30" t="s">
        <v>8279</v>
      </c>
      <c r="V64" s="6" t="s">
        <v>751</v>
      </c>
      <c r="W64" s="6" t="s">
        <v>8295</v>
      </c>
      <c r="X64" s="32" t="n">
        <f aca="false">IF($O64="Active",SUMPRODUCT(($AH$5:$AH$115=$AH64)*1),0)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Kimi K3 routed experts（num_experts）¦config.json text_config.num_experts¦Kimi K3（Moonshot，開放權重；Astra 架構可比）</v>
      </c>
    </row>
    <row r="65" customFormat="false" ht="97.5" hidden="false" customHeight="true" outlineLevel="0" collapsed="false">
      <c r="A65" s="30" t="s">
        <v>8296</v>
      </c>
      <c r="B65" s="6" t="s">
        <v>8297</v>
      </c>
      <c r="C65" s="241" t="n">
        <v>16</v>
      </c>
      <c r="D65" s="205"/>
      <c r="E65" s="205"/>
      <c r="F65" s="205" t="s">
        <v>345</v>
      </c>
      <c r="G65" s="30" t="s">
        <v>8298</v>
      </c>
      <c r="H65" s="30" t="s">
        <v>8275</v>
      </c>
      <c r="I65" s="30" t="s">
        <v>7561</v>
      </c>
      <c r="J65" s="6" t="s">
        <v>8276</v>
      </c>
      <c r="K65" s="205" t="n">
        <v>1</v>
      </c>
      <c r="L65" s="205" t="s">
        <v>7551</v>
      </c>
      <c r="M65" s="6" t="s">
        <v>8277</v>
      </c>
      <c r="N65" s="205" t="s">
        <v>7553</v>
      </c>
      <c r="O65" s="30" t="s">
        <v>7554</v>
      </c>
      <c r="P65" s="30" t="s">
        <v>751</v>
      </c>
      <c r="Q65" s="30" t="s">
        <v>8278</v>
      </c>
      <c r="R65" s="30" t="s">
        <v>751</v>
      </c>
      <c r="S65" s="30" t="s">
        <v>751</v>
      </c>
      <c r="T65" s="30" t="s">
        <v>751</v>
      </c>
      <c r="U65" s="30" t="s">
        <v>8279</v>
      </c>
      <c r="V65" s="6" t="s">
        <v>751</v>
      </c>
      <c r="W65" s="6" t="s">
        <v>8299</v>
      </c>
      <c r="X65" s="32" t="n">
        <f aca="false">IF($O65="Active",SUMPRODUCT(($AH$5:$AH$115=$AH65)*1),0)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Kimi K3 每 token 啟用 routed experts（num_experts_per_token）¦config.json text_config.num_experts_per_token¦Kimi K3（Moonshot，開放權重；Astra 架構可比）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8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27" min="27" style="1" width="16"/>
    <col collapsed="false" customWidth="true" hidden="false" outlineLevel="0" max="28" min="28" style="1" width="22"/>
    <col collapsed="false" customWidth="true" hidden="false" outlineLevel="0" max="30" min="29" style="1" width="7"/>
    <col collapsed="false" customWidth="true" hidden="false" outlineLevel="0" max="31" min="31" style="1" width="9"/>
    <col collapsed="false" customWidth="true" hidden="false" outlineLevel="0" max="32" min="32" style="1" width="8"/>
    <col collapsed="false" customWidth="true" hidden="false" outlineLevel="0" max="33" min="33" style="1" width="14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6" t="s">
        <v>8300</v>
      </c>
    </row>
    <row r="2" customFormat="false" ht="15" hidden="false" customHeight="true" outlineLevel="0" collapsed="false">
      <c r="A2" s="248" t="s">
        <v>7525</v>
      </c>
    </row>
    <row r="3" customFormat="false" ht="15" hidden="false" customHeight="true" outlineLevel="0" collapsed="false">
      <c r="A3" s="248" t="s">
        <v>7526</v>
      </c>
    </row>
    <row r="4" customFormat="false" ht="43.5" hidden="false" customHeight="true" outlineLevel="0" collapsed="false">
      <c r="A4" s="84" t="s">
        <v>7527</v>
      </c>
      <c r="B4" s="237" t="s">
        <v>2763</v>
      </c>
      <c r="C4" s="237" t="s">
        <v>7528</v>
      </c>
      <c r="D4" s="237" t="s">
        <v>1308</v>
      </c>
      <c r="E4" s="237" t="s">
        <v>1309</v>
      </c>
      <c r="F4" s="237" t="s">
        <v>95</v>
      </c>
      <c r="G4" s="237" t="s">
        <v>497</v>
      </c>
      <c r="H4" s="237" t="s">
        <v>7529</v>
      </c>
      <c r="I4" s="237" t="s">
        <v>6566</v>
      </c>
      <c r="J4" s="237" t="s">
        <v>6569</v>
      </c>
      <c r="K4" s="237" t="s">
        <v>6741</v>
      </c>
      <c r="L4" s="237" t="s">
        <v>7530</v>
      </c>
      <c r="M4" s="237" t="s">
        <v>7531</v>
      </c>
      <c r="N4" s="237" t="s">
        <v>7532</v>
      </c>
      <c r="O4" s="237" t="s">
        <v>738</v>
      </c>
      <c r="P4" s="237" t="s">
        <v>7533</v>
      </c>
      <c r="Q4" s="84" t="s">
        <v>7534</v>
      </c>
      <c r="R4" s="237" t="s">
        <v>7535</v>
      </c>
      <c r="S4" s="237" t="s">
        <v>7536</v>
      </c>
      <c r="T4" s="84" t="s">
        <v>7537</v>
      </c>
      <c r="U4" s="237" t="s">
        <v>7538</v>
      </c>
      <c r="V4" s="237" t="s">
        <v>7539</v>
      </c>
      <c r="W4" s="237" t="s">
        <v>7540</v>
      </c>
      <c r="X4" s="237" t="s">
        <v>7541</v>
      </c>
      <c r="Y4" s="237" t="s">
        <v>7542</v>
      </c>
      <c r="Z4" s="237" t="s">
        <v>7543</v>
      </c>
      <c r="AA4" s="237" t="s">
        <v>8301</v>
      </c>
      <c r="AB4" s="237" t="s">
        <v>472</v>
      </c>
      <c r="AC4" s="84" t="s">
        <v>481</v>
      </c>
      <c r="AD4" s="84" t="s">
        <v>483</v>
      </c>
      <c r="AE4" s="237" t="s">
        <v>8302</v>
      </c>
      <c r="AF4" s="84" t="s">
        <v>8303</v>
      </c>
      <c r="AG4" s="84" t="s">
        <v>8304</v>
      </c>
      <c r="AH4" s="83" t="s">
        <v>7544</v>
      </c>
    </row>
    <row r="5" customFormat="false" ht="29.25" hidden="false" customHeight="true" outlineLevel="0" collapsed="false">
      <c r="A5" s="30" t="s">
        <v>5313</v>
      </c>
      <c r="B5" s="6" t="s">
        <v>8305</v>
      </c>
      <c r="C5" s="241" t="n">
        <v>6182</v>
      </c>
      <c r="D5" s="239"/>
      <c r="E5" s="239"/>
      <c r="F5" s="30" t="s">
        <v>8306</v>
      </c>
      <c r="G5" s="30" t="s">
        <v>8307</v>
      </c>
      <c r="H5" s="30" t="s">
        <v>189</v>
      </c>
      <c r="I5" s="30" t="s">
        <v>8308</v>
      </c>
      <c r="J5" s="6" t="s">
        <v>8309</v>
      </c>
      <c r="K5" s="239" t="n">
        <v>1</v>
      </c>
      <c r="L5" s="239" t="s">
        <v>7551</v>
      </c>
      <c r="M5" s="6" t="s">
        <v>8310</v>
      </c>
      <c r="N5" s="239" t="s">
        <v>8128</v>
      </c>
      <c r="O5" s="30" t="s">
        <v>7554</v>
      </c>
      <c r="P5" s="30" t="s">
        <v>751</v>
      </c>
      <c r="Q5" s="30" t="s">
        <v>8311</v>
      </c>
      <c r="R5" s="30" t="s">
        <v>751</v>
      </c>
      <c r="S5" s="30" t="s">
        <v>751</v>
      </c>
      <c r="T5" s="30" t="s">
        <v>751</v>
      </c>
      <c r="U5" s="30" t="s">
        <v>490</v>
      </c>
      <c r="V5" s="6" t="s">
        <v>8312</v>
      </c>
      <c r="W5" s="20" t="s">
        <v>8313</v>
      </c>
      <c r="X5" s="32" t="n">
        <f aca="false">IF($O5="Active",SUMPRODUCT(($AH$5:$AH$132=$AH5)*1),0)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A5" s="30" t="s">
        <v>8314</v>
      </c>
      <c r="AB5" s="30" t="s">
        <v>8315</v>
      </c>
      <c r="AC5" s="241" t="n">
        <v>8192</v>
      </c>
      <c r="AD5" s="241" t="n">
        <v>1024</v>
      </c>
      <c r="AE5" s="241" t="n">
        <v>27</v>
      </c>
      <c r="AF5" s="241" t="n">
        <v>0</v>
      </c>
      <c r="AG5" s="239" t="s">
        <v>8316</v>
      </c>
      <c r="AH5" s="44" t="str">
        <f aca="false">IF($O5="Active",$B5&amp;"¦"&amp;$G5&amp;"¦"&amp;$H5,"")</f>
        <v>InferenceX GB300 V4-Pro（vLLM 無 MTP）@27 tok/s/user¦ISL 8192／OSL 1024¦GB300 NVL72</v>
      </c>
    </row>
    <row r="6" customFormat="false" ht="29.25" hidden="false" customHeight="true" outlineLevel="0" collapsed="false">
      <c r="A6" s="30" t="s">
        <v>5320</v>
      </c>
      <c r="B6" s="6" t="s">
        <v>8317</v>
      </c>
      <c r="C6" s="241" t="n">
        <v>2189</v>
      </c>
      <c r="D6" s="239"/>
      <c r="E6" s="239"/>
      <c r="F6" s="30" t="s">
        <v>8306</v>
      </c>
      <c r="G6" s="30" t="s">
        <v>8307</v>
      </c>
      <c r="H6" s="30" t="s">
        <v>188</v>
      </c>
      <c r="I6" s="30" t="s">
        <v>8308</v>
      </c>
      <c r="J6" s="6" t="s">
        <v>8309</v>
      </c>
      <c r="K6" s="239" t="n">
        <v>1</v>
      </c>
      <c r="L6" s="239" t="s">
        <v>7551</v>
      </c>
      <c r="M6" s="6" t="s">
        <v>8310</v>
      </c>
      <c r="N6" s="239" t="s">
        <v>8128</v>
      </c>
      <c r="O6" s="30" t="s">
        <v>7554</v>
      </c>
      <c r="P6" s="30" t="s">
        <v>751</v>
      </c>
      <c r="Q6" s="30" t="s">
        <v>8311</v>
      </c>
      <c r="R6" s="30" t="s">
        <v>751</v>
      </c>
      <c r="S6" s="30" t="s">
        <v>751</v>
      </c>
      <c r="T6" s="30" t="s">
        <v>751</v>
      </c>
      <c r="U6" s="30" t="s">
        <v>490</v>
      </c>
      <c r="V6" s="6" t="s">
        <v>8318</v>
      </c>
      <c r="W6" s="20" t="s">
        <v>8319</v>
      </c>
      <c r="X6" s="32" t="n">
        <f aca="false">IF($O6="Active",SUMPRODUCT(($AH$5:$AH$132=$AH6)*1),0)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A6" s="30" t="s">
        <v>8314</v>
      </c>
      <c r="AB6" s="30" t="s">
        <v>8315</v>
      </c>
      <c r="AC6" s="241" t="n">
        <v>8192</v>
      </c>
      <c r="AD6" s="241" t="n">
        <v>1024</v>
      </c>
      <c r="AE6" s="241" t="n">
        <v>27</v>
      </c>
      <c r="AF6" s="241" t="n">
        <v>0</v>
      </c>
      <c r="AG6" s="239" t="s">
        <v>8316</v>
      </c>
      <c r="AH6" s="44" t="str">
        <f aca="false">IF($O6="Active",$B6&amp;"¦"&amp;$G6&amp;"¦"&amp;$H6,"")</f>
        <v>InferenceX GB200 V4-Pro（vLLM 無 MTP）@27 tok/s/user¦ISL 8192／OSL 1024¦GB200 NVL72</v>
      </c>
    </row>
    <row r="7" customFormat="false" ht="29.25" hidden="false" customHeight="true" outlineLevel="0" collapsed="false">
      <c r="A7" s="30" t="s">
        <v>8320</v>
      </c>
      <c r="B7" s="6" t="s">
        <v>8321</v>
      </c>
      <c r="C7" s="241" t="n">
        <v>11056</v>
      </c>
      <c r="D7" s="239"/>
      <c r="E7" s="239"/>
      <c r="F7" s="30" t="s">
        <v>655</v>
      </c>
      <c r="G7" s="30" t="s">
        <v>751</v>
      </c>
      <c r="H7" s="30" t="s">
        <v>189</v>
      </c>
      <c r="I7" s="30" t="s">
        <v>8308</v>
      </c>
      <c r="J7" s="6" t="s">
        <v>8309</v>
      </c>
      <c r="K7" s="239" t="n">
        <v>1</v>
      </c>
      <c r="L7" s="239" t="s">
        <v>7551</v>
      </c>
      <c r="M7" s="6" t="s">
        <v>8310</v>
      </c>
      <c r="N7" s="239" t="s">
        <v>8128</v>
      </c>
      <c r="O7" s="30" t="s">
        <v>7554</v>
      </c>
      <c r="P7" s="30" t="s">
        <v>751</v>
      </c>
      <c r="Q7" s="30" t="s">
        <v>8311</v>
      </c>
      <c r="R7" s="30" t="s">
        <v>751</v>
      </c>
      <c r="S7" s="30" t="s">
        <v>751</v>
      </c>
      <c r="T7" s="30" t="s">
        <v>751</v>
      </c>
      <c r="U7" s="30" t="s">
        <v>490</v>
      </c>
      <c r="V7" s="6" t="s">
        <v>751</v>
      </c>
      <c r="W7" s="6" t="s">
        <v>751</v>
      </c>
      <c r="X7" s="32" t="n">
        <f aca="false">IF($O7="Active",SUMPRODUCT(($AH$5:$AH$132=$AH7)*1),0)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InferenceX GB300 V4-Pro 峰值吞吐（@13.1 tok/s/user）¦—¦GB300 NVL72</v>
      </c>
    </row>
    <row r="8" customFormat="false" ht="23.25" hidden="false" customHeight="true" outlineLevel="0" collapsed="false">
      <c r="A8" s="30" t="s">
        <v>5307</v>
      </c>
      <c r="B8" s="6" t="s">
        <v>8322</v>
      </c>
      <c r="C8" s="241" t="n">
        <v>11200</v>
      </c>
      <c r="D8" s="239"/>
      <c r="E8" s="239"/>
      <c r="F8" s="30" t="s">
        <v>8306</v>
      </c>
      <c r="G8" s="30" t="s">
        <v>8307</v>
      </c>
      <c r="H8" s="30" t="s">
        <v>189</v>
      </c>
      <c r="I8" s="30" t="s">
        <v>8323</v>
      </c>
      <c r="J8" s="6" t="s">
        <v>8324</v>
      </c>
      <c r="K8" s="239" t="n">
        <v>1</v>
      </c>
      <c r="L8" s="239" t="s">
        <v>7551</v>
      </c>
      <c r="M8" s="6" t="s">
        <v>8325</v>
      </c>
      <c r="N8" s="239" t="s">
        <v>8128</v>
      </c>
      <c r="O8" s="30" t="s">
        <v>7554</v>
      </c>
      <c r="P8" s="30" t="s">
        <v>751</v>
      </c>
      <c r="Q8" s="30" t="s">
        <v>8326</v>
      </c>
      <c r="R8" s="30" t="s">
        <v>751</v>
      </c>
      <c r="S8" s="30" t="s">
        <v>751</v>
      </c>
      <c r="T8" s="30" t="s">
        <v>751</v>
      </c>
      <c r="U8" s="30" t="s">
        <v>489</v>
      </c>
      <c r="V8" s="6" t="s">
        <v>8327</v>
      </c>
      <c r="W8" s="6" t="s">
        <v>751</v>
      </c>
      <c r="X8" s="32" t="n">
        <f aca="false">IF($O8="Active",SUMPRODUCT(($AH$5:$AH$132=$AH8)*1),0)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A8" s="30" t="s">
        <v>8314</v>
      </c>
      <c r="AB8" s="30" t="s">
        <v>8328</v>
      </c>
      <c r="AC8" s="241" t="n">
        <v>8192</v>
      </c>
      <c r="AD8" s="241" t="n">
        <v>1024</v>
      </c>
      <c r="AE8" s="241" t="n">
        <v>50</v>
      </c>
      <c r="AF8" s="241" t="n">
        <v>1</v>
      </c>
      <c r="AG8" s="239" t="s">
        <v>8316</v>
      </c>
      <c r="AH8" s="44" t="str">
        <f aca="false">IF($O8="Active",$B8&amp;"¦"&amp;$G8&amp;"¦"&amp;$H8,"")</f>
        <v>SGLang＋MTP V4 on GB300 @約 50 tok/s/user¦ISL 8192／OSL 1024¦GB300 NVL72</v>
      </c>
    </row>
    <row r="9" customFormat="false" ht="23.25" hidden="false" customHeight="true" outlineLevel="0" collapsed="false">
      <c r="A9" s="30" t="s">
        <v>5129</v>
      </c>
      <c r="B9" s="6" t="s">
        <v>8329</v>
      </c>
      <c r="C9" s="241" t="n">
        <v>0.7</v>
      </c>
      <c r="D9" s="239"/>
      <c r="E9" s="239"/>
      <c r="F9" s="30" t="s">
        <v>113</v>
      </c>
      <c r="G9" s="30" t="s">
        <v>8330</v>
      </c>
      <c r="H9" s="30" t="s">
        <v>8059</v>
      </c>
      <c r="I9" s="30" t="s">
        <v>8323</v>
      </c>
      <c r="J9" s="6" t="s">
        <v>8324</v>
      </c>
      <c r="K9" s="239" t="n">
        <v>1</v>
      </c>
      <c r="L9" s="239" t="s">
        <v>7551</v>
      </c>
      <c r="M9" s="6" t="s">
        <v>8325</v>
      </c>
      <c r="N9" s="239" t="s">
        <v>8128</v>
      </c>
      <c r="O9" s="30" t="s">
        <v>7554</v>
      </c>
      <c r="P9" s="30" t="s">
        <v>751</v>
      </c>
      <c r="Q9" s="30" t="s">
        <v>8326</v>
      </c>
      <c r="R9" s="30" t="s">
        <v>751</v>
      </c>
      <c r="S9" s="30" t="s">
        <v>751</v>
      </c>
      <c r="T9" s="30" t="s">
        <v>751</v>
      </c>
      <c r="U9" s="30" t="s">
        <v>489</v>
      </c>
      <c r="V9" s="6" t="s">
        <v>8331</v>
      </c>
      <c r="W9" s="20" t="s">
        <v>8332</v>
      </c>
      <c r="X9" s="32" t="n">
        <f aca="false">IF($O9="Active",SUMPRODUCT(($AH$5:$AH$132=$AH9)*1),0)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MTP 草稿接受率（修正後）¦SGLang 修正後¦DeepSeek V4</v>
      </c>
    </row>
    <row r="10" customFormat="false" ht="23.25" hidden="false" customHeight="true" outlineLevel="0" collapsed="false">
      <c r="A10" s="30" t="s">
        <v>8333</v>
      </c>
      <c r="B10" s="6" t="s">
        <v>8334</v>
      </c>
      <c r="C10" s="241" t="n">
        <v>0.57</v>
      </c>
      <c r="D10" s="239"/>
      <c r="E10" s="239"/>
      <c r="F10" s="30" t="s">
        <v>113</v>
      </c>
      <c r="G10" s="30" t="s">
        <v>8335</v>
      </c>
      <c r="H10" s="30" t="s">
        <v>8059</v>
      </c>
      <c r="I10" s="30" t="s">
        <v>8323</v>
      </c>
      <c r="J10" s="6" t="s">
        <v>8324</v>
      </c>
      <c r="K10" s="239" t="n">
        <v>1</v>
      </c>
      <c r="L10" s="239" t="s">
        <v>7551</v>
      </c>
      <c r="M10" s="6" t="s">
        <v>8325</v>
      </c>
      <c r="N10" s="239" t="s">
        <v>8128</v>
      </c>
      <c r="O10" s="30" t="s">
        <v>7641</v>
      </c>
      <c r="P10" s="30" t="s">
        <v>751</v>
      </c>
      <c r="Q10" s="30" t="s">
        <v>8326</v>
      </c>
      <c r="R10" s="30" t="s">
        <v>751</v>
      </c>
      <c r="S10" s="30" t="s">
        <v>751</v>
      </c>
      <c r="T10" s="30" t="s">
        <v>751</v>
      </c>
      <c r="U10" s="30" t="s">
        <v>489</v>
      </c>
      <c r="V10" s="6" t="s">
        <v>751</v>
      </c>
      <c r="W10" s="20" t="s">
        <v>8336</v>
      </c>
      <c r="X10" s="32" t="n">
        <f aca="false">IF($O10="Active",SUMPRODUCT(($AH$5:$AH$132=$AH10)*1),0)</f>
        <v>0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/>
      </c>
    </row>
    <row r="11" customFormat="false" ht="23.25" hidden="false" customHeight="true" outlineLevel="0" collapsed="false">
      <c r="A11" s="30" t="s">
        <v>4937</v>
      </c>
      <c r="B11" s="6" t="s">
        <v>8337</v>
      </c>
      <c r="C11" s="241" t="n">
        <v>4</v>
      </c>
      <c r="D11" s="239"/>
      <c r="E11" s="239"/>
      <c r="F11" s="30" t="s">
        <v>697</v>
      </c>
      <c r="G11" s="30" t="s">
        <v>8338</v>
      </c>
      <c r="H11" s="30" t="s">
        <v>189</v>
      </c>
      <c r="I11" s="30" t="s">
        <v>8323</v>
      </c>
      <c r="J11" s="6" t="s">
        <v>8324</v>
      </c>
      <c r="K11" s="239" t="n">
        <v>1</v>
      </c>
      <c r="L11" s="239" t="s">
        <v>7551</v>
      </c>
      <c r="M11" s="6" t="s">
        <v>8325</v>
      </c>
      <c r="N11" s="239" t="s">
        <v>8128</v>
      </c>
      <c r="O11" s="30" t="s">
        <v>7554</v>
      </c>
      <c r="P11" s="30" t="s">
        <v>751</v>
      </c>
      <c r="Q11" s="30" t="s">
        <v>8326</v>
      </c>
      <c r="R11" s="30" t="s">
        <v>751</v>
      </c>
      <c r="S11" s="30" t="s">
        <v>751</v>
      </c>
      <c r="T11" s="30" t="s">
        <v>751</v>
      </c>
      <c r="U11" s="30" t="s">
        <v>489</v>
      </c>
      <c r="V11" s="6" t="s">
        <v>8339</v>
      </c>
      <c r="W11" s="6" t="s">
        <v>8340</v>
      </c>
      <c r="X11" s="32" t="n">
        <f aca="false">IF($O11="Active",SUMPRODUCT(($AH$5:$AH$132=$AH11)*1),0)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GB300 公開配方 prefill 實例 GPU 數¦10p1d dep4¦GB300 NVL72</v>
      </c>
    </row>
    <row r="12" customFormat="false" ht="23.25" hidden="false" customHeight="true" outlineLevel="0" collapsed="false">
      <c r="A12" s="30" t="s">
        <v>4900</v>
      </c>
      <c r="B12" s="6" t="s">
        <v>8341</v>
      </c>
      <c r="C12" s="241" t="n">
        <v>32</v>
      </c>
      <c r="D12" s="239"/>
      <c r="E12" s="239"/>
      <c r="F12" s="30" t="s">
        <v>697</v>
      </c>
      <c r="G12" s="30" t="s">
        <v>8342</v>
      </c>
      <c r="H12" s="30" t="s">
        <v>189</v>
      </c>
      <c r="I12" s="30" t="s">
        <v>8323</v>
      </c>
      <c r="J12" s="6" t="s">
        <v>8324</v>
      </c>
      <c r="K12" s="239" t="n">
        <v>1</v>
      </c>
      <c r="L12" s="239" t="s">
        <v>7551</v>
      </c>
      <c r="M12" s="6" t="s">
        <v>8325</v>
      </c>
      <c r="N12" s="239" t="s">
        <v>8128</v>
      </c>
      <c r="O12" s="30" t="s">
        <v>7554</v>
      </c>
      <c r="P12" s="30" t="s">
        <v>751</v>
      </c>
      <c r="Q12" s="30" t="s">
        <v>8326</v>
      </c>
      <c r="R12" s="30" t="s">
        <v>751</v>
      </c>
      <c r="S12" s="30" t="s">
        <v>751</v>
      </c>
      <c r="T12" s="30" t="s">
        <v>751</v>
      </c>
      <c r="U12" s="30" t="s">
        <v>489</v>
      </c>
      <c r="V12" s="6" t="s">
        <v>8343</v>
      </c>
      <c r="W12" s="6" t="s">
        <v>8340</v>
      </c>
      <c r="X12" s="32" t="n">
        <f aca="false">IF($O12="Active",SUMPRODUCT(($AH$5:$AH$132=$AH12)*1),0)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GB300 公開配方 decode EP 寬度¦dep32¦GB300 NVL72</v>
      </c>
    </row>
    <row r="13" customFormat="false" ht="29.25" hidden="false" customHeight="true" outlineLevel="0" collapsed="false">
      <c r="A13" s="30" t="s">
        <v>5290</v>
      </c>
      <c r="B13" s="6" t="s">
        <v>8344</v>
      </c>
      <c r="C13" s="241" t="n">
        <v>9342.1</v>
      </c>
      <c r="D13" s="239"/>
      <c r="E13" s="239"/>
      <c r="F13" s="30" t="s">
        <v>8306</v>
      </c>
      <c r="G13" s="30" t="s">
        <v>8345</v>
      </c>
      <c r="H13" s="30" t="s">
        <v>189</v>
      </c>
      <c r="I13" s="239" t="s">
        <v>8346</v>
      </c>
      <c r="J13" s="6" t="s">
        <v>8347</v>
      </c>
      <c r="K13" s="239" t="n">
        <v>2</v>
      </c>
      <c r="L13" s="239" t="s">
        <v>7551</v>
      </c>
      <c r="M13" s="6" t="s">
        <v>8348</v>
      </c>
      <c r="N13" s="239" t="s">
        <v>7553</v>
      </c>
      <c r="O13" s="30" t="s">
        <v>7554</v>
      </c>
      <c r="P13" s="30" t="s">
        <v>751</v>
      </c>
      <c r="Q13" s="30" t="s">
        <v>8349</v>
      </c>
      <c r="R13" s="30" t="s">
        <v>751</v>
      </c>
      <c r="S13" s="30" t="s">
        <v>6868</v>
      </c>
      <c r="T13" s="30" t="s">
        <v>751</v>
      </c>
      <c r="U13" s="30" t="s">
        <v>488</v>
      </c>
      <c r="V13" s="6" t="s">
        <v>8350</v>
      </c>
      <c r="W13" s="20" t="s">
        <v>8351</v>
      </c>
      <c r="X13" s="32" t="n">
        <f aca="false">IF($O13="Active",SUMPRODUCT(($AH$5:$AH$132=$AH13)*1),0)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A13" s="30" t="s">
        <v>8314</v>
      </c>
      <c r="AB13" s="30" t="s">
        <v>8352</v>
      </c>
      <c r="AC13" s="241" t="n">
        <v>8192</v>
      </c>
      <c r="AD13" s="241" t="n">
        <v>1024</v>
      </c>
      <c r="AE13" s="241" t="n">
        <v>72</v>
      </c>
      <c r="AF13" s="241" t="n">
        <v>1</v>
      </c>
      <c r="AG13" s="239" t="s">
        <v>8316</v>
      </c>
      <c r="AH13" s="44" t="str">
        <f aca="false">IF($O13="Active",$B13&amp;"¦"&amp;$G13&amp;"¦"&amp;$H13,"")</f>
        <v>InferenceX GB300 V4-Pro @72 tok/s/user¦ISL 8192／OSL 1024；MTP¦GB300 NVL72</v>
      </c>
    </row>
    <row r="14" customFormat="false" ht="29.25" hidden="false" customHeight="true" outlineLevel="0" collapsed="false">
      <c r="A14" s="30" t="s">
        <v>5299</v>
      </c>
      <c r="B14" s="6" t="s">
        <v>8353</v>
      </c>
      <c r="C14" s="241" t="n">
        <v>3405.2</v>
      </c>
      <c r="D14" s="239"/>
      <c r="E14" s="239"/>
      <c r="F14" s="30" t="s">
        <v>8306</v>
      </c>
      <c r="G14" s="30" t="s">
        <v>8345</v>
      </c>
      <c r="H14" s="30" t="s">
        <v>189</v>
      </c>
      <c r="I14" s="239" t="s">
        <v>8346</v>
      </c>
      <c r="J14" s="6" t="s">
        <v>8347</v>
      </c>
      <c r="K14" s="239" t="n">
        <v>2</v>
      </c>
      <c r="L14" s="239" t="s">
        <v>7551</v>
      </c>
      <c r="M14" s="6" t="s">
        <v>8348</v>
      </c>
      <c r="N14" s="239" t="s">
        <v>7553</v>
      </c>
      <c r="O14" s="30" t="s">
        <v>7554</v>
      </c>
      <c r="P14" s="30" t="s">
        <v>751</v>
      </c>
      <c r="Q14" s="30" t="s">
        <v>8354</v>
      </c>
      <c r="R14" s="30" t="s">
        <v>751</v>
      </c>
      <c r="S14" s="30" t="s">
        <v>6868</v>
      </c>
      <c r="T14" s="30" t="s">
        <v>751</v>
      </c>
      <c r="U14" s="30" t="s">
        <v>488</v>
      </c>
      <c r="V14" s="6" t="s">
        <v>8355</v>
      </c>
      <c r="W14" s="20" t="s">
        <v>8356</v>
      </c>
      <c r="X14" s="32" t="n">
        <f aca="false">IF($O14="Active",SUMPRODUCT(($AH$5:$AH$132=$AH14)*1),0)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A14" s="30" t="s">
        <v>8314</v>
      </c>
      <c r="AB14" s="30" t="s">
        <v>8352</v>
      </c>
      <c r="AC14" s="241" t="n">
        <v>8192</v>
      </c>
      <c r="AD14" s="241" t="n">
        <v>1024</v>
      </c>
      <c r="AE14" s="241" t="n">
        <v>130</v>
      </c>
      <c r="AF14" s="241" t="n">
        <v>1</v>
      </c>
      <c r="AG14" s="239" t="s">
        <v>8316</v>
      </c>
      <c r="AH14" s="44" t="str">
        <f aca="false">IF($O14="Active",$B14&amp;"¦"&amp;$G14&amp;"¦"&amp;$H14,"")</f>
        <v>InferenceX GB300 V4-Pro @130 tok/s/user¦ISL 8192／OSL 1024；MTP¦GB300 NVL72</v>
      </c>
    </row>
    <row r="15" customFormat="false" ht="29.25" hidden="false" customHeight="true" outlineLevel="0" collapsed="false">
      <c r="A15" s="30" t="s">
        <v>3255</v>
      </c>
      <c r="B15" s="6" t="s">
        <v>8357</v>
      </c>
      <c r="C15" s="241" t="n">
        <v>0.078</v>
      </c>
      <c r="D15" s="239"/>
      <c r="E15" s="239"/>
      <c r="F15" s="30" t="s">
        <v>8358</v>
      </c>
      <c r="G15" s="30" t="s">
        <v>8359</v>
      </c>
      <c r="H15" s="30" t="s">
        <v>189</v>
      </c>
      <c r="I15" s="239" t="s">
        <v>8346</v>
      </c>
      <c r="J15" s="6" t="s">
        <v>8347</v>
      </c>
      <c r="K15" s="239" t="n">
        <v>3</v>
      </c>
      <c r="L15" s="239" t="s">
        <v>7551</v>
      </c>
      <c r="M15" s="6" t="s">
        <v>8348</v>
      </c>
      <c r="N15" s="239" t="s">
        <v>8360</v>
      </c>
      <c r="O15" s="30" t="s">
        <v>7554</v>
      </c>
      <c r="P15" s="30" t="s">
        <v>751</v>
      </c>
      <c r="Q15" s="30" t="s">
        <v>8361</v>
      </c>
      <c r="R15" s="30" t="s">
        <v>751</v>
      </c>
      <c r="S15" s="30" t="s">
        <v>751</v>
      </c>
      <c r="T15" s="30" t="s">
        <v>751</v>
      </c>
      <c r="U15" s="30" t="s">
        <v>488</v>
      </c>
      <c r="V15" s="6" t="s">
        <v>8362</v>
      </c>
      <c r="W15" s="6" t="s">
        <v>751</v>
      </c>
      <c r="X15" s="32" t="n">
        <f aca="false">IF($O15="Active",SUMPRODUCT(($AH$5:$AH$132=$AH15)*1),0)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InferenceX GB300 每 M token 成本 @72 tok/s¦SemiAnalysis TCO 口徑¦GB300 NVL72</v>
      </c>
    </row>
    <row r="16" customFormat="false" ht="29.25" hidden="false" customHeight="true" outlineLevel="0" collapsed="false">
      <c r="A16" s="30" t="s">
        <v>8363</v>
      </c>
      <c r="B16" s="6" t="s">
        <v>8364</v>
      </c>
      <c r="C16" s="241" t="n">
        <v>0.216</v>
      </c>
      <c r="D16" s="239"/>
      <c r="E16" s="239"/>
      <c r="F16" s="30" t="s">
        <v>8358</v>
      </c>
      <c r="G16" s="30" t="s">
        <v>8359</v>
      </c>
      <c r="H16" s="30" t="s">
        <v>189</v>
      </c>
      <c r="I16" s="239" t="s">
        <v>8346</v>
      </c>
      <c r="J16" s="6" t="s">
        <v>8347</v>
      </c>
      <c r="K16" s="239" t="n">
        <v>3</v>
      </c>
      <c r="L16" s="239" t="s">
        <v>7551</v>
      </c>
      <c r="M16" s="6" t="s">
        <v>8348</v>
      </c>
      <c r="N16" s="239" t="s">
        <v>8360</v>
      </c>
      <c r="O16" s="30" t="s">
        <v>7554</v>
      </c>
      <c r="P16" s="30" t="s">
        <v>751</v>
      </c>
      <c r="Q16" s="30" t="s">
        <v>8361</v>
      </c>
      <c r="R16" s="30" t="s">
        <v>751</v>
      </c>
      <c r="S16" s="30" t="s">
        <v>751</v>
      </c>
      <c r="T16" s="30" t="s">
        <v>751</v>
      </c>
      <c r="U16" s="30" t="s">
        <v>488</v>
      </c>
      <c r="V16" s="6" t="s">
        <v>751</v>
      </c>
      <c r="W16" s="6" t="s">
        <v>751</v>
      </c>
      <c r="X16" s="32" t="n">
        <f aca="false">IF($O16="Active",SUMPRODUCT(($AH$5:$AH$132=$AH16)*1),0)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InferenceX GB300 每 M token 成本 @130 tok/s¦SemiAnalysis TCO 口徑¦GB300 NVL72</v>
      </c>
    </row>
    <row r="17" customFormat="false" ht="29.25" hidden="false" customHeight="true" outlineLevel="0" collapsed="false">
      <c r="A17" s="30" t="s">
        <v>8365</v>
      </c>
      <c r="B17" s="6" t="s">
        <v>8366</v>
      </c>
      <c r="C17" s="241" t="n">
        <v>1.436</v>
      </c>
      <c r="D17" s="239"/>
      <c r="E17" s="239"/>
      <c r="F17" s="30" t="s">
        <v>8358</v>
      </c>
      <c r="G17" s="30" t="s">
        <v>8359</v>
      </c>
      <c r="H17" s="30" t="s">
        <v>189</v>
      </c>
      <c r="I17" s="239" t="s">
        <v>8346</v>
      </c>
      <c r="J17" s="6" t="s">
        <v>8347</v>
      </c>
      <c r="K17" s="239" t="n">
        <v>3</v>
      </c>
      <c r="L17" s="239" t="s">
        <v>7551</v>
      </c>
      <c r="M17" s="6" t="s">
        <v>8348</v>
      </c>
      <c r="N17" s="239" t="s">
        <v>8360</v>
      </c>
      <c r="O17" s="30" t="s">
        <v>7554</v>
      </c>
      <c r="P17" s="30" t="s">
        <v>751</v>
      </c>
      <c r="Q17" s="30" t="s">
        <v>8361</v>
      </c>
      <c r="R17" s="30" t="s">
        <v>751</v>
      </c>
      <c r="S17" s="30" t="s">
        <v>751</v>
      </c>
      <c r="T17" s="30" t="s">
        <v>751</v>
      </c>
      <c r="U17" s="30" t="s">
        <v>488</v>
      </c>
      <c r="V17" s="6" t="s">
        <v>751</v>
      </c>
      <c r="W17" s="6" t="s">
        <v>751</v>
      </c>
      <c r="X17" s="32" t="n">
        <f aca="false">IF($O17="Active",SUMPRODUCT(($AH$5:$AH$132=$AH17)*1),0)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1</v>
      </c>
      <c r="AH17" s="44" t="str">
        <f aca="false">IF($O17="Active",$B17&amp;"¦"&amp;$G17&amp;"¦"&amp;$H17,"")</f>
        <v>InferenceX GB300 每 M token 成本 @187 tok/s¦SemiAnalysis TCO 口徑¦GB300 NVL72</v>
      </c>
    </row>
    <row r="18" customFormat="false" ht="29.25" hidden="false" customHeight="true" outlineLevel="0" collapsed="false">
      <c r="A18" s="30" t="s">
        <v>5330</v>
      </c>
      <c r="B18" s="6" t="s">
        <v>8367</v>
      </c>
      <c r="C18" s="241" t="n">
        <v>3795.5</v>
      </c>
      <c r="D18" s="239"/>
      <c r="E18" s="239"/>
      <c r="F18" s="30" t="s">
        <v>655</v>
      </c>
      <c r="G18" s="239" t="s">
        <v>8368</v>
      </c>
      <c r="H18" s="30" t="s">
        <v>188</v>
      </c>
      <c r="I18" s="30" t="s">
        <v>8369</v>
      </c>
      <c r="J18" s="6" t="s">
        <v>8370</v>
      </c>
      <c r="K18" s="239" t="n">
        <v>1</v>
      </c>
      <c r="L18" s="239" t="s">
        <v>7551</v>
      </c>
      <c r="M18" s="6" t="s">
        <v>8371</v>
      </c>
      <c r="N18" s="239" t="s">
        <v>8128</v>
      </c>
      <c r="O18" s="30" t="s">
        <v>7554</v>
      </c>
      <c r="P18" s="30" t="s">
        <v>751</v>
      </c>
      <c r="Q18" s="30" t="s">
        <v>8372</v>
      </c>
      <c r="R18" s="30" t="s">
        <v>751</v>
      </c>
      <c r="S18" s="30" t="s">
        <v>751</v>
      </c>
      <c r="T18" s="30" t="s">
        <v>751</v>
      </c>
      <c r="U18" s="30" t="s">
        <v>491</v>
      </c>
      <c r="V18" s="6" t="s">
        <v>8373</v>
      </c>
      <c r="W18" s="20" t="s">
        <v>4150</v>
      </c>
      <c r="X18" s="32" t="n">
        <f aca="false">IF($O18="Active",SUMPRODUCT(($AH$5:$AH$132=$AH18)*1),0)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A18" s="30" t="s">
        <v>8314</v>
      </c>
      <c r="AB18" s="30" t="s">
        <v>8374</v>
      </c>
      <c r="AC18" s="241" t="n">
        <v>8192</v>
      </c>
      <c r="AD18" s="241" t="n">
        <v>1024</v>
      </c>
      <c r="AE18" s="241" t="n">
        <v>110</v>
      </c>
      <c r="AF18" s="241" t="n">
        <v>1</v>
      </c>
      <c r="AG18" s="239" t="s">
        <v>8316</v>
      </c>
      <c r="AH18" s="44" t="str">
        <f aca="false">IF($O18="Active",$B18&amp;"¦"&amp;$G18&amp;"¦"&amp;$H18,"")</f>
        <v>InferenceX GB200 V4-Pro-0813 @110 tok/s/user¦頁面預設可能為 agentic traces¦GB200 NVL72</v>
      </c>
    </row>
    <row r="19" customFormat="false" ht="29.25" hidden="false" customHeight="true" outlineLevel="0" collapsed="false">
      <c r="A19" s="30" t="s">
        <v>5341</v>
      </c>
      <c r="B19" s="6" t="s">
        <v>8375</v>
      </c>
      <c r="C19" s="241" t="n">
        <v>6522.4</v>
      </c>
      <c r="D19" s="239"/>
      <c r="E19" s="239"/>
      <c r="F19" s="30" t="s">
        <v>655</v>
      </c>
      <c r="G19" s="239" t="s">
        <v>140</v>
      </c>
      <c r="H19" s="30" t="s">
        <v>189</v>
      </c>
      <c r="I19" s="30" t="s">
        <v>8369</v>
      </c>
      <c r="J19" s="6" t="s">
        <v>8370</v>
      </c>
      <c r="K19" s="239" t="n">
        <v>1</v>
      </c>
      <c r="L19" s="239" t="s">
        <v>7551</v>
      </c>
      <c r="M19" s="6" t="s">
        <v>8371</v>
      </c>
      <c r="N19" s="239" t="s">
        <v>8128</v>
      </c>
      <c r="O19" s="30" t="s">
        <v>7554</v>
      </c>
      <c r="P19" s="30" t="s">
        <v>751</v>
      </c>
      <c r="Q19" s="30" t="s">
        <v>8372</v>
      </c>
      <c r="R19" s="30" t="s">
        <v>751</v>
      </c>
      <c r="S19" s="30" t="s">
        <v>751</v>
      </c>
      <c r="T19" s="30" t="s">
        <v>751</v>
      </c>
      <c r="U19" s="30" t="s">
        <v>491</v>
      </c>
      <c r="V19" s="6" t="s">
        <v>8376</v>
      </c>
      <c r="W19" s="20" t="s">
        <v>4150</v>
      </c>
      <c r="X19" s="32" t="n">
        <f aca="false">IF($O19="Active",SUMPRODUCT(($AH$5:$AH$132=$AH19)*1),0)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A19" s="30" t="s">
        <v>8314</v>
      </c>
      <c r="AB19" s="30" t="s">
        <v>8374</v>
      </c>
      <c r="AC19" s="241" t="n">
        <v>8192</v>
      </c>
      <c r="AD19" s="241" t="n">
        <v>1024</v>
      </c>
      <c r="AE19" s="241" t="n">
        <v>110</v>
      </c>
      <c r="AF19" s="241" t="n">
        <v>1</v>
      </c>
      <c r="AG19" s="239" t="s">
        <v>8316</v>
      </c>
      <c r="AH19" s="44" t="str">
        <f aca="false">IF($O19="Active",$B19&amp;"¦"&amp;$G19&amp;"¦"&amp;$H19,"")</f>
        <v>InferenceX GB300 V4-Pro-0813 @110 tok/s/user¦同上¦GB300 NVL72</v>
      </c>
    </row>
    <row r="20" customFormat="false" ht="29.25" hidden="false" customHeight="true" outlineLevel="0" collapsed="false">
      <c r="A20" s="30" t="s">
        <v>8377</v>
      </c>
      <c r="B20" s="6" t="s">
        <v>8378</v>
      </c>
      <c r="C20" s="241" t="n">
        <v>4036</v>
      </c>
      <c r="D20" s="239"/>
      <c r="E20" s="239"/>
      <c r="F20" s="30" t="s">
        <v>655</v>
      </c>
      <c r="G20" s="239" t="s">
        <v>4150</v>
      </c>
      <c r="H20" s="30" t="s">
        <v>8379</v>
      </c>
      <c r="I20" s="30" t="s">
        <v>1385</v>
      </c>
      <c r="J20" s="6" t="s">
        <v>8380</v>
      </c>
      <c r="K20" s="239" t="n">
        <v>1</v>
      </c>
      <c r="L20" s="239" t="s">
        <v>7551</v>
      </c>
      <c r="M20" s="6" t="s">
        <v>8381</v>
      </c>
      <c r="N20" s="239" t="s">
        <v>8128</v>
      </c>
      <c r="O20" s="30" t="s">
        <v>7554</v>
      </c>
      <c r="P20" s="30" t="s">
        <v>751</v>
      </c>
      <c r="Q20" s="30" t="s">
        <v>8382</v>
      </c>
      <c r="R20" s="30" t="s">
        <v>751</v>
      </c>
      <c r="S20" s="30" t="s">
        <v>751</v>
      </c>
      <c r="T20" s="30" t="s">
        <v>751</v>
      </c>
      <c r="U20" s="30" t="s">
        <v>8383</v>
      </c>
      <c r="V20" s="6" t="s">
        <v>751</v>
      </c>
      <c r="W20" s="20" t="s">
        <v>8384</v>
      </c>
      <c r="X20" s="32" t="n">
        <f aca="false">IF($O20="Active",SUMPRODUCT(($AH$5:$AH$132=$AH20)*1),0)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InferenceX H200 V4-Pro（FP8）@75 tok/s/user¦口徑待查¦H200</v>
      </c>
    </row>
    <row r="21" customFormat="false" ht="29.25" hidden="false" customHeight="true" outlineLevel="0" collapsed="false">
      <c r="A21" s="30" t="s">
        <v>8385</v>
      </c>
      <c r="B21" s="6" t="s">
        <v>8386</v>
      </c>
      <c r="C21" s="241" t="n">
        <v>3102</v>
      </c>
      <c r="D21" s="239"/>
      <c r="E21" s="239"/>
      <c r="F21" s="30" t="s">
        <v>655</v>
      </c>
      <c r="G21" s="239" t="s">
        <v>4150</v>
      </c>
      <c r="H21" s="30" t="s">
        <v>8379</v>
      </c>
      <c r="I21" s="30" t="s">
        <v>1385</v>
      </c>
      <c r="J21" s="6" t="s">
        <v>8380</v>
      </c>
      <c r="K21" s="239" t="n">
        <v>1</v>
      </c>
      <c r="L21" s="239" t="s">
        <v>7551</v>
      </c>
      <c r="M21" s="6" t="s">
        <v>8381</v>
      </c>
      <c r="N21" s="239" t="s">
        <v>8128</v>
      </c>
      <c r="O21" s="30" t="s">
        <v>7554</v>
      </c>
      <c r="P21" s="30" t="s">
        <v>751</v>
      </c>
      <c r="Q21" s="30" t="s">
        <v>8382</v>
      </c>
      <c r="R21" s="30" t="s">
        <v>751</v>
      </c>
      <c r="S21" s="30" t="s">
        <v>751</v>
      </c>
      <c r="T21" s="30" t="s">
        <v>751</v>
      </c>
      <c r="U21" s="30" t="s">
        <v>8383</v>
      </c>
      <c r="V21" s="6" t="s">
        <v>751</v>
      </c>
      <c r="W21" s="20" t="s">
        <v>8384</v>
      </c>
      <c r="X21" s="32" t="n">
        <f aca="false">IF($O21="Active",SUMPRODUCT(($AH$5:$AH$132=$AH21)*1),0)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InferenceX H200 V4-Pro（FP8）@100 tok/s/user¦口徑待查¦H200</v>
      </c>
    </row>
    <row r="22" customFormat="false" ht="29.25" hidden="false" customHeight="true" outlineLevel="0" collapsed="false">
      <c r="A22" s="30" t="s">
        <v>8387</v>
      </c>
      <c r="B22" s="20" t="s">
        <v>8388</v>
      </c>
      <c r="C22" s="241" t="n">
        <v>120</v>
      </c>
      <c r="D22" s="239"/>
      <c r="E22" s="239"/>
      <c r="F22" s="30" t="s">
        <v>8389</v>
      </c>
      <c r="G22" s="239" t="s">
        <v>8390</v>
      </c>
      <c r="H22" s="30" t="s">
        <v>8391</v>
      </c>
      <c r="I22" s="30" t="s">
        <v>1382</v>
      </c>
      <c r="J22" s="6" t="s">
        <v>8392</v>
      </c>
      <c r="K22" s="239" t="n">
        <v>1</v>
      </c>
      <c r="L22" s="239" t="s">
        <v>7658</v>
      </c>
      <c r="M22" s="6" t="s">
        <v>8393</v>
      </c>
      <c r="N22" s="239" t="s">
        <v>8128</v>
      </c>
      <c r="O22" s="30" t="s">
        <v>7554</v>
      </c>
      <c r="P22" s="30" t="s">
        <v>751</v>
      </c>
      <c r="Q22" s="30" t="s">
        <v>8394</v>
      </c>
      <c r="R22" s="30" t="s">
        <v>751</v>
      </c>
      <c r="S22" s="30" t="s">
        <v>751</v>
      </c>
      <c r="T22" s="30" t="s">
        <v>751</v>
      </c>
      <c r="U22" s="30" t="s">
        <v>8395</v>
      </c>
      <c r="V22" s="6" t="s">
        <v>8396</v>
      </c>
      <c r="W22" s="6" t="s">
        <v>8397</v>
      </c>
      <c r="X22" s="32" t="n">
        <f aca="false">IF($O22="Active",SUMPRODUCT(($AH$5:$AH$132=$AH22)*1),0)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輸出速度：GPT-5.6 Luna¦供應商服務觀測¦GPT-5.6 Luna</v>
      </c>
    </row>
    <row r="23" customFormat="false" ht="29.25" hidden="false" customHeight="true" outlineLevel="0" collapsed="false">
      <c r="A23" s="30" t="s">
        <v>8398</v>
      </c>
      <c r="B23" s="20" t="s">
        <v>8399</v>
      </c>
      <c r="C23" s="241" t="n">
        <v>68</v>
      </c>
      <c r="D23" s="239"/>
      <c r="E23" s="239"/>
      <c r="F23" s="30" t="s">
        <v>8389</v>
      </c>
      <c r="G23" s="239" t="s">
        <v>8390</v>
      </c>
      <c r="H23" s="30" t="s">
        <v>8400</v>
      </c>
      <c r="I23" s="30" t="s">
        <v>1382</v>
      </c>
      <c r="J23" s="6" t="s">
        <v>8392</v>
      </c>
      <c r="K23" s="239" t="n">
        <v>1</v>
      </c>
      <c r="L23" s="239" t="s">
        <v>7658</v>
      </c>
      <c r="M23" s="6" t="s">
        <v>8393</v>
      </c>
      <c r="N23" s="239" t="s">
        <v>8128</v>
      </c>
      <c r="O23" s="30" t="s">
        <v>7554</v>
      </c>
      <c r="P23" s="30" t="s">
        <v>751</v>
      </c>
      <c r="Q23" s="30" t="s">
        <v>8394</v>
      </c>
      <c r="R23" s="30" t="s">
        <v>751</v>
      </c>
      <c r="S23" s="30" t="s">
        <v>751</v>
      </c>
      <c r="T23" s="30" t="s">
        <v>751</v>
      </c>
      <c r="U23" s="30" t="s">
        <v>8395</v>
      </c>
      <c r="V23" s="6" t="s">
        <v>8401</v>
      </c>
      <c r="W23" s="6" t="s">
        <v>8402</v>
      </c>
      <c r="X23" s="32" t="n">
        <f aca="false">IF($O23="Active",SUMPRODUCT(($AH$5:$AH$132=$AH23)*1),0)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輸出速度：GPT-5.6 Sol¦供應商服務觀測¦GPT-5.6 Sol</v>
      </c>
    </row>
    <row r="24" customFormat="false" ht="29.25" hidden="false" customHeight="true" outlineLevel="0" collapsed="false">
      <c r="A24" s="30" t="s">
        <v>8403</v>
      </c>
      <c r="B24" s="20" t="s">
        <v>8404</v>
      </c>
      <c r="C24" s="239"/>
      <c r="D24" s="241" t="n">
        <v>52</v>
      </c>
      <c r="E24" s="241" t="n">
        <v>56</v>
      </c>
      <c r="F24" s="30" t="s">
        <v>8389</v>
      </c>
      <c r="G24" s="239" t="s">
        <v>8390</v>
      </c>
      <c r="H24" s="30" t="s">
        <v>1377</v>
      </c>
      <c r="I24" s="30" t="s">
        <v>1382</v>
      </c>
      <c r="J24" s="6" t="s">
        <v>8392</v>
      </c>
      <c r="K24" s="239" t="n">
        <v>1</v>
      </c>
      <c r="L24" s="239" t="s">
        <v>7658</v>
      </c>
      <c r="M24" s="6" t="s">
        <v>8393</v>
      </c>
      <c r="N24" s="239" t="s">
        <v>8128</v>
      </c>
      <c r="O24" s="30" t="s">
        <v>7554</v>
      </c>
      <c r="P24" s="30" t="s">
        <v>751</v>
      </c>
      <c r="Q24" s="30" t="s">
        <v>8394</v>
      </c>
      <c r="R24" s="30" t="s">
        <v>751</v>
      </c>
      <c r="S24" s="30" t="s">
        <v>751</v>
      </c>
      <c r="T24" s="30" t="s">
        <v>751</v>
      </c>
      <c r="U24" s="30" t="s">
        <v>8395</v>
      </c>
      <c r="V24" s="6" t="s">
        <v>8405</v>
      </c>
      <c r="W24" s="6" t="s">
        <v>8406</v>
      </c>
      <c r="X24" s="32" t="n">
        <f aca="false">IF($O24="Active",SUMPRODUCT(($AH$5:$AH$132=$AH24)*1),0)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輸出速度：GPT-6 Astra¦供應商服務觀測¦GPT-6 Astra</v>
      </c>
    </row>
    <row r="25" customFormat="false" ht="29.25" hidden="false" customHeight="true" outlineLevel="0" collapsed="false">
      <c r="A25" s="30" t="s">
        <v>8407</v>
      </c>
      <c r="B25" s="20" t="s">
        <v>8408</v>
      </c>
      <c r="C25" s="241" t="n">
        <v>54</v>
      </c>
      <c r="D25" s="239"/>
      <c r="E25" s="239"/>
      <c r="F25" s="30" t="s">
        <v>8389</v>
      </c>
      <c r="G25" s="239" t="s">
        <v>8390</v>
      </c>
      <c r="H25" s="30" t="s">
        <v>1384</v>
      </c>
      <c r="I25" s="30" t="s">
        <v>1382</v>
      </c>
      <c r="J25" s="6" t="s">
        <v>8392</v>
      </c>
      <c r="K25" s="239" t="n">
        <v>1</v>
      </c>
      <c r="L25" s="239" t="s">
        <v>7658</v>
      </c>
      <c r="M25" s="6" t="s">
        <v>8393</v>
      </c>
      <c r="N25" s="239" t="s">
        <v>8128</v>
      </c>
      <c r="O25" s="30" t="s">
        <v>7554</v>
      </c>
      <c r="P25" s="30" t="s">
        <v>751</v>
      </c>
      <c r="Q25" s="30" t="s">
        <v>8394</v>
      </c>
      <c r="R25" s="30" t="s">
        <v>751</v>
      </c>
      <c r="S25" s="30" t="s">
        <v>751</v>
      </c>
      <c r="T25" s="30" t="s">
        <v>751</v>
      </c>
      <c r="U25" s="30" t="s">
        <v>8395</v>
      </c>
      <c r="V25" s="6" t="s">
        <v>751</v>
      </c>
      <c r="W25" s="6" t="s">
        <v>751</v>
      </c>
      <c r="X25" s="32" t="n">
        <f aca="false">IF($O25="Active",SUMPRODUCT(($AH$5:$AH$132=$AH25)*1),0)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輸出速度：Claude Opus 5¦供應商服務觀測¦Claude Opus 5</v>
      </c>
    </row>
    <row r="26" customFormat="false" ht="29.25" hidden="false" customHeight="true" outlineLevel="0" collapsed="false">
      <c r="A26" s="30" t="s">
        <v>8409</v>
      </c>
      <c r="B26" s="20" t="s">
        <v>8410</v>
      </c>
      <c r="C26" s="239"/>
      <c r="D26" s="241" t="n">
        <v>290</v>
      </c>
      <c r="E26" s="241" t="n">
        <v>350</v>
      </c>
      <c r="F26" s="30" t="s">
        <v>8389</v>
      </c>
      <c r="G26" s="239" t="s">
        <v>8390</v>
      </c>
      <c r="H26" s="30" t="s">
        <v>8411</v>
      </c>
      <c r="I26" s="30" t="s">
        <v>1382</v>
      </c>
      <c r="J26" s="6" t="s">
        <v>8392</v>
      </c>
      <c r="K26" s="239" t="n">
        <v>1</v>
      </c>
      <c r="L26" s="239" t="s">
        <v>7658</v>
      </c>
      <c r="M26" s="6" t="s">
        <v>8393</v>
      </c>
      <c r="N26" s="239" t="s">
        <v>8128</v>
      </c>
      <c r="O26" s="30" t="s">
        <v>7554</v>
      </c>
      <c r="P26" s="30" t="s">
        <v>751</v>
      </c>
      <c r="Q26" s="30" t="s">
        <v>8394</v>
      </c>
      <c r="R26" s="30" t="s">
        <v>751</v>
      </c>
      <c r="S26" s="30" t="s">
        <v>751</v>
      </c>
      <c r="T26" s="30" t="s">
        <v>751</v>
      </c>
      <c r="U26" s="30" t="s">
        <v>8395</v>
      </c>
      <c r="V26" s="6" t="s">
        <v>751</v>
      </c>
      <c r="W26" s="6" t="s">
        <v>751</v>
      </c>
      <c r="X26" s="32" t="n">
        <f aca="false">IF($O26="Active",SUMPRODUCT(($AH$5:$AH$132=$AH26)*1),0)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0</v>
      </c>
      <c r="AH26" s="44" t="str">
        <f aca="false">IF($O26="Active",$B26&amp;"¦"&amp;$G26&amp;"¦"&amp;$H26,"")</f>
        <v>輸出速度：Gemini 3.8 Flash¦供應商服務觀測¦Gemini 3.8 Flash</v>
      </c>
    </row>
    <row r="27" customFormat="false" ht="29.25" hidden="false" customHeight="true" outlineLevel="0" collapsed="false">
      <c r="A27" s="30" t="s">
        <v>8412</v>
      </c>
      <c r="B27" s="6" t="s">
        <v>8413</v>
      </c>
      <c r="C27" s="241" t="n">
        <v>20</v>
      </c>
      <c r="D27" s="239"/>
      <c r="E27" s="239"/>
      <c r="F27" s="30" t="s">
        <v>8389</v>
      </c>
      <c r="G27" s="239" t="s">
        <v>8414</v>
      </c>
      <c r="H27" s="30" t="s">
        <v>8415</v>
      </c>
      <c r="I27" s="30" t="s">
        <v>8416</v>
      </c>
      <c r="J27" s="6" t="s">
        <v>8417</v>
      </c>
      <c r="K27" s="239" t="n">
        <v>3</v>
      </c>
      <c r="L27" s="239" t="s">
        <v>7551</v>
      </c>
      <c r="M27" s="6" t="s">
        <v>8418</v>
      </c>
      <c r="N27" s="239" t="s">
        <v>7689</v>
      </c>
      <c r="O27" s="30" t="s">
        <v>7554</v>
      </c>
      <c r="P27" s="30" t="s">
        <v>751</v>
      </c>
      <c r="Q27" s="30" t="s">
        <v>8419</v>
      </c>
      <c r="R27" s="30" t="s">
        <v>751</v>
      </c>
      <c r="S27" s="30" t="s">
        <v>751</v>
      </c>
      <c r="T27" s="30" t="s">
        <v>751</v>
      </c>
      <c r="U27" s="30" t="s">
        <v>8420</v>
      </c>
      <c r="V27" s="6" t="s">
        <v>751</v>
      </c>
      <c r="W27" s="20" t="s">
        <v>8421</v>
      </c>
      <c r="X27" s="32" t="n">
        <f aca="false">IF($O27="Active",SUMPRODUCT(($AH$5:$AH$132=$AH27)*1),0)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DeepSeek 線上每用戶 decode 速度（H800）¦線上服務¦DeepSeek V3／R1（H800）</v>
      </c>
    </row>
    <row r="28" customFormat="false" ht="29.25" hidden="false" customHeight="true" outlineLevel="0" collapsed="false">
      <c r="A28" s="30" t="s">
        <v>8422</v>
      </c>
      <c r="B28" s="6" t="s">
        <v>8423</v>
      </c>
      <c r="C28" s="241" t="n">
        <v>250634</v>
      </c>
      <c r="D28" s="239"/>
      <c r="E28" s="239"/>
      <c r="F28" s="30" t="s">
        <v>8424</v>
      </c>
      <c r="G28" s="30" t="s">
        <v>8425</v>
      </c>
      <c r="H28" s="30" t="s">
        <v>189</v>
      </c>
      <c r="I28" s="30" t="s">
        <v>8426</v>
      </c>
      <c r="J28" s="6" t="s">
        <v>8427</v>
      </c>
      <c r="K28" s="239" t="n">
        <v>2</v>
      </c>
      <c r="L28" s="239" t="s">
        <v>7551</v>
      </c>
      <c r="M28" s="6" t="s">
        <v>8428</v>
      </c>
      <c r="N28" s="239" t="s">
        <v>8429</v>
      </c>
      <c r="O28" s="30" t="s">
        <v>7554</v>
      </c>
      <c r="P28" s="30" t="s">
        <v>751</v>
      </c>
      <c r="Q28" s="30" t="s">
        <v>8430</v>
      </c>
      <c r="R28" s="30" t="s">
        <v>751</v>
      </c>
      <c r="S28" s="30" t="s">
        <v>751</v>
      </c>
      <c r="T28" s="30" t="s">
        <v>751</v>
      </c>
      <c r="U28" s="30" t="s">
        <v>8431</v>
      </c>
      <c r="V28" s="6" t="s">
        <v>751</v>
      </c>
      <c r="W28" s="20" t="s">
        <v>8432</v>
      </c>
      <c r="X28" s="32" t="n">
        <f aca="false">IF($O28="Active",SUMPRODUCT(($AH$5:$AH$132=$AH28)*1),0)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MLPerf v6.0 DeepSeek-R1 interactive：GB300 NVL72¦interactive¦GB300 NVL72</v>
      </c>
    </row>
    <row r="29" customFormat="false" ht="29.25" hidden="false" customHeight="true" outlineLevel="0" collapsed="false">
      <c r="A29" s="30" t="s">
        <v>5472</v>
      </c>
      <c r="B29" s="6" t="s">
        <v>8433</v>
      </c>
      <c r="C29" s="241" t="n">
        <v>240318</v>
      </c>
      <c r="D29" s="239"/>
      <c r="E29" s="239"/>
      <c r="F29" s="30" t="s">
        <v>8424</v>
      </c>
      <c r="G29" s="30" t="s">
        <v>8425</v>
      </c>
      <c r="H29" s="30" t="s">
        <v>188</v>
      </c>
      <c r="I29" s="30" t="s">
        <v>8426</v>
      </c>
      <c r="J29" s="6" t="s">
        <v>8427</v>
      </c>
      <c r="K29" s="239" t="n">
        <v>2</v>
      </c>
      <c r="L29" s="239" t="s">
        <v>7551</v>
      </c>
      <c r="M29" s="6" t="s">
        <v>8428</v>
      </c>
      <c r="N29" s="239" t="s">
        <v>8429</v>
      </c>
      <c r="O29" s="30" t="s">
        <v>7554</v>
      </c>
      <c r="P29" s="30" t="s">
        <v>751</v>
      </c>
      <c r="Q29" s="30" t="s">
        <v>8430</v>
      </c>
      <c r="R29" s="30" t="s">
        <v>751</v>
      </c>
      <c r="S29" s="30" t="s">
        <v>751</v>
      </c>
      <c r="T29" s="30" t="s">
        <v>751</v>
      </c>
      <c r="U29" s="30" t="s">
        <v>8431</v>
      </c>
      <c r="V29" s="6" t="s">
        <v>8434</v>
      </c>
      <c r="W29" s="20" t="s">
        <v>8435</v>
      </c>
      <c r="X29" s="32" t="n">
        <f aca="false">IF($O29="Active",SUMPRODUCT(($AH$5:$AH$132=$AH29)*1),0)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MLPerf v6.0 DeepSeek-R1 interactive：GB200 NVL72¦interactive¦GB200 NVL72</v>
      </c>
    </row>
    <row r="30" customFormat="false" ht="29.25" hidden="false" customHeight="true" outlineLevel="0" collapsed="false">
      <c r="A30" s="30" t="s">
        <v>8436</v>
      </c>
      <c r="B30" s="6" t="s">
        <v>8437</v>
      </c>
      <c r="C30" s="241" t="n">
        <v>8064</v>
      </c>
      <c r="D30" s="239"/>
      <c r="E30" s="239"/>
      <c r="F30" s="30" t="s">
        <v>8438</v>
      </c>
      <c r="G30" s="30" t="s">
        <v>8439</v>
      </c>
      <c r="H30" s="30" t="s">
        <v>189</v>
      </c>
      <c r="I30" s="30" t="s">
        <v>8426</v>
      </c>
      <c r="J30" s="6" t="s">
        <v>8427</v>
      </c>
      <c r="K30" s="239" t="n">
        <v>2</v>
      </c>
      <c r="L30" s="239" t="s">
        <v>7551</v>
      </c>
      <c r="M30" s="6" t="s">
        <v>8428</v>
      </c>
      <c r="N30" s="239" t="s">
        <v>8429</v>
      </c>
      <c r="O30" s="30" t="s">
        <v>7554</v>
      </c>
      <c r="P30" s="30" t="s">
        <v>751</v>
      </c>
      <c r="Q30" s="30" t="s">
        <v>8430</v>
      </c>
      <c r="R30" s="30" t="s">
        <v>751</v>
      </c>
      <c r="S30" s="30" t="s">
        <v>751</v>
      </c>
      <c r="T30" s="30" t="s">
        <v>751</v>
      </c>
      <c r="U30" s="30" t="s">
        <v>8431</v>
      </c>
      <c r="V30" s="6" t="s">
        <v>8440</v>
      </c>
      <c r="W30" s="6" t="s">
        <v>751</v>
      </c>
      <c r="X30" s="32" t="n">
        <f aca="false">IF($O30="Active",SUMPRODUCT(($AH$5:$AH$132=$AH30)*1),0)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MLPerf v6.0 DeepSeek-R1 server：GB300¦server¦GB300 NVL72</v>
      </c>
    </row>
    <row r="31" customFormat="false" ht="29.25" hidden="false" customHeight="true" outlineLevel="0" collapsed="false">
      <c r="A31" s="30" t="s">
        <v>5475</v>
      </c>
      <c r="B31" s="6" t="s">
        <v>8441</v>
      </c>
      <c r="C31" s="241" t="n">
        <v>652750</v>
      </c>
      <c r="D31" s="239"/>
      <c r="E31" s="239"/>
      <c r="F31" s="30" t="s">
        <v>8424</v>
      </c>
      <c r="G31" s="30" t="s">
        <v>8442</v>
      </c>
      <c r="H31" s="30" t="s">
        <v>190</v>
      </c>
      <c r="I31" s="30" t="s">
        <v>8443</v>
      </c>
      <c r="J31" s="6" t="s">
        <v>8444</v>
      </c>
      <c r="K31" s="239" t="n">
        <v>1</v>
      </c>
      <c r="L31" s="239" t="s">
        <v>7551</v>
      </c>
      <c r="M31" s="6" t="s">
        <v>8445</v>
      </c>
      <c r="N31" s="239" t="s">
        <v>7553</v>
      </c>
      <c r="O31" s="30" t="s">
        <v>7554</v>
      </c>
      <c r="P31" s="30" t="s">
        <v>751</v>
      </c>
      <c r="Q31" s="30" t="s">
        <v>8446</v>
      </c>
      <c r="R31" s="30" t="s">
        <v>751</v>
      </c>
      <c r="S31" s="30" t="s">
        <v>6889</v>
      </c>
      <c r="T31" s="30" t="s">
        <v>751</v>
      </c>
      <c r="U31" s="30" t="s">
        <v>4169</v>
      </c>
      <c r="V31" s="6" t="s">
        <v>8447</v>
      </c>
      <c r="W31" s="20" t="s">
        <v>8448</v>
      </c>
      <c r="X31" s="32" t="n">
        <f aca="false">IF($O31="Active",SUMPRODUCT(($AH$5:$AH$132=$AH31)*1),0)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MLPerf v6.1 DeepSeek-R1 interactive：VR200 NVL72¦interactive；預覽類¦VR200 NVL72</v>
      </c>
    </row>
    <row r="32" customFormat="false" ht="29.25" hidden="false" customHeight="true" outlineLevel="0" collapsed="false">
      <c r="A32" s="30" t="s">
        <v>5469</v>
      </c>
      <c r="B32" s="6" t="s">
        <v>8449</v>
      </c>
      <c r="C32" s="241" t="n">
        <v>253506</v>
      </c>
      <c r="D32" s="239"/>
      <c r="E32" s="239"/>
      <c r="F32" s="30" t="s">
        <v>8424</v>
      </c>
      <c r="G32" s="30" t="s">
        <v>8425</v>
      </c>
      <c r="H32" s="30" t="s">
        <v>189</v>
      </c>
      <c r="I32" s="30" t="s">
        <v>8443</v>
      </c>
      <c r="J32" s="6" t="s">
        <v>8444</v>
      </c>
      <c r="K32" s="239" t="n">
        <v>1</v>
      </c>
      <c r="L32" s="239" t="s">
        <v>7551</v>
      </c>
      <c r="M32" s="6" t="s">
        <v>8445</v>
      </c>
      <c r="N32" s="239" t="s">
        <v>7553</v>
      </c>
      <c r="O32" s="30" t="s">
        <v>7554</v>
      </c>
      <c r="P32" s="30" t="s">
        <v>751</v>
      </c>
      <c r="Q32" s="30" t="s">
        <v>8446</v>
      </c>
      <c r="R32" s="30" t="s">
        <v>751</v>
      </c>
      <c r="S32" s="30" t="s">
        <v>6889</v>
      </c>
      <c r="T32" s="30" t="s">
        <v>751</v>
      </c>
      <c r="U32" s="30" t="s">
        <v>4169</v>
      </c>
      <c r="V32" s="6" t="s">
        <v>8450</v>
      </c>
      <c r="W32" s="20" t="s">
        <v>8451</v>
      </c>
      <c r="X32" s="32" t="n">
        <f aca="false">IF($O32="Active",SUMPRODUCT(($AH$5:$AH$132=$AH32)*1),0)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MLPerf v6.1 DeepSeek-R1 interactive：GB300 NVL72¦interactive¦GB300 NVL72</v>
      </c>
    </row>
    <row r="33" customFormat="false" ht="15" hidden="false" customHeight="true" outlineLevel="0" collapsed="false">
      <c r="A33" s="30" t="s">
        <v>5435</v>
      </c>
      <c r="B33" s="6" t="s">
        <v>8452</v>
      </c>
      <c r="C33" s="241" t="n">
        <v>800</v>
      </c>
      <c r="D33" s="239"/>
      <c r="E33" s="239"/>
      <c r="F33" s="30" t="s">
        <v>308</v>
      </c>
      <c r="G33" s="239" t="s">
        <v>8453</v>
      </c>
      <c r="H33" s="30" t="s">
        <v>8454</v>
      </c>
      <c r="I33" s="30" t="s">
        <v>8455</v>
      </c>
      <c r="J33" s="6" t="s">
        <v>8456</v>
      </c>
      <c r="K33" s="239" t="n">
        <v>1</v>
      </c>
      <c r="L33" s="239" t="s">
        <v>7658</v>
      </c>
      <c r="M33" s="6" t="s">
        <v>8457</v>
      </c>
      <c r="N33" s="239" t="s">
        <v>8128</v>
      </c>
      <c r="O33" s="30" t="s">
        <v>7554</v>
      </c>
      <c r="P33" s="30" t="s">
        <v>751</v>
      </c>
      <c r="Q33" s="30" t="s">
        <v>8458</v>
      </c>
      <c r="R33" s="30" t="s">
        <v>751</v>
      </c>
      <c r="S33" s="30" t="s">
        <v>751</v>
      </c>
      <c r="T33" s="30" t="s">
        <v>751</v>
      </c>
      <c r="U33" s="30" t="s">
        <v>8459</v>
      </c>
      <c r="V33" s="6" t="s">
        <v>8460</v>
      </c>
      <c r="W33" s="6" t="s">
        <v>751</v>
      </c>
      <c r="X33" s="32" t="n">
        <f aca="false">IF($O33="Active",SUMPRODUCT(($AH$5:$AH$132=$AH33)*1),0)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0</v>
      </c>
      <c r="AH33" s="44" t="str">
        <f aca="false">IF($O33="Active",$B33&amp;"¦"&amp;$G33&amp;"¦"&amp;$H33,"")</f>
        <v>MLCommons DeepSeek-R1 平均 ISL¦資料集平均¦MLPerf DeepSeek-R1</v>
      </c>
    </row>
    <row r="34" customFormat="false" ht="15" hidden="false" customHeight="true" outlineLevel="0" collapsed="false">
      <c r="A34" s="30" t="s">
        <v>5439</v>
      </c>
      <c r="B34" s="6" t="s">
        <v>8461</v>
      </c>
      <c r="C34" s="241" t="n">
        <v>3880</v>
      </c>
      <c r="D34" s="239"/>
      <c r="E34" s="239"/>
      <c r="F34" s="30" t="s">
        <v>308</v>
      </c>
      <c r="G34" s="239" t="s">
        <v>8453</v>
      </c>
      <c r="H34" s="30" t="s">
        <v>8454</v>
      </c>
      <c r="I34" s="30" t="s">
        <v>8455</v>
      </c>
      <c r="J34" s="6" t="s">
        <v>8456</v>
      </c>
      <c r="K34" s="239" t="n">
        <v>1</v>
      </c>
      <c r="L34" s="239" t="s">
        <v>7658</v>
      </c>
      <c r="M34" s="6" t="s">
        <v>8457</v>
      </c>
      <c r="N34" s="239" t="s">
        <v>8128</v>
      </c>
      <c r="O34" s="30" t="s">
        <v>7554</v>
      </c>
      <c r="P34" s="30" t="s">
        <v>751</v>
      </c>
      <c r="Q34" s="30" t="s">
        <v>8458</v>
      </c>
      <c r="R34" s="30" t="s">
        <v>751</v>
      </c>
      <c r="S34" s="30" t="s">
        <v>751</v>
      </c>
      <c r="T34" s="30" t="s">
        <v>751</v>
      </c>
      <c r="U34" s="30" t="s">
        <v>8459</v>
      </c>
      <c r="V34" s="6" t="s">
        <v>8462</v>
      </c>
      <c r="W34" s="6" t="s">
        <v>751</v>
      </c>
      <c r="X34" s="32" t="n">
        <f aca="false">IF($O34="Active",SUMPRODUCT(($AH$5:$AH$132=$AH34)*1),0)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0</v>
      </c>
      <c r="AH34" s="44" t="str">
        <f aca="false">IF($O34="Active",$B34&amp;"¦"&amp;$G34&amp;"¦"&amp;$H34,"")</f>
        <v>MLCommons DeepSeek-R1 平均 OSL¦資料集平均¦MLPerf DeepSeek-R1</v>
      </c>
    </row>
    <row r="35" customFormat="false" ht="15" hidden="false" customHeight="true" outlineLevel="0" collapsed="false">
      <c r="A35" s="30" t="s">
        <v>5446</v>
      </c>
      <c r="B35" s="6" t="s">
        <v>8463</v>
      </c>
      <c r="C35" s="241" t="n">
        <v>15</v>
      </c>
      <c r="D35" s="239"/>
      <c r="E35" s="239"/>
      <c r="F35" s="30" t="s">
        <v>561</v>
      </c>
      <c r="G35" s="30" t="s">
        <v>8425</v>
      </c>
      <c r="H35" s="30" t="s">
        <v>8454</v>
      </c>
      <c r="I35" s="30" t="s">
        <v>7591</v>
      </c>
      <c r="J35" s="6" t="s">
        <v>8456</v>
      </c>
      <c r="K35" s="239" t="n">
        <v>1</v>
      </c>
      <c r="L35" s="239" t="s">
        <v>7658</v>
      </c>
      <c r="M35" s="6" t="s">
        <v>8457</v>
      </c>
      <c r="N35" s="239" t="s">
        <v>8128</v>
      </c>
      <c r="O35" s="30" t="s">
        <v>7554</v>
      </c>
      <c r="P35" s="30" t="s">
        <v>751</v>
      </c>
      <c r="Q35" s="30" t="s">
        <v>8458</v>
      </c>
      <c r="R35" s="30" t="s">
        <v>751</v>
      </c>
      <c r="S35" s="30" t="s">
        <v>751</v>
      </c>
      <c r="T35" s="30" t="s">
        <v>751</v>
      </c>
      <c r="U35" s="30" t="s">
        <v>8459</v>
      </c>
      <c r="V35" s="6" t="s">
        <v>8464</v>
      </c>
      <c r="W35" s="20" t="s">
        <v>8465</v>
      </c>
      <c r="X35" s="32" t="n">
        <f aca="false">IF($O35="Active",SUMPRODUCT(($AH$5:$AH$132=$AH35)*1),0)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0</v>
      </c>
      <c r="AH35" s="44" t="str">
        <f aca="false">IF($O35="Active",$B35&amp;"¦"&amp;$G35&amp;"¦"&amp;$H35,"")</f>
        <v>MLCommons interactive TPOT 上限（p99）¦interactive¦MLPerf DeepSeek-R1</v>
      </c>
    </row>
    <row r="36" customFormat="false" ht="15" hidden="false" customHeight="true" outlineLevel="0" collapsed="false">
      <c r="A36" s="30" t="s">
        <v>5453</v>
      </c>
      <c r="B36" s="6" t="s">
        <v>8466</v>
      </c>
      <c r="C36" s="241" t="n">
        <v>80</v>
      </c>
      <c r="D36" s="239"/>
      <c r="E36" s="239"/>
      <c r="F36" s="30" t="s">
        <v>561</v>
      </c>
      <c r="G36" s="30" t="s">
        <v>8439</v>
      </c>
      <c r="H36" s="30" t="s">
        <v>8454</v>
      </c>
      <c r="I36" s="30" t="s">
        <v>7591</v>
      </c>
      <c r="J36" s="6" t="s">
        <v>8456</v>
      </c>
      <c r="K36" s="239" t="n">
        <v>1</v>
      </c>
      <c r="L36" s="239" t="s">
        <v>7658</v>
      </c>
      <c r="M36" s="6" t="s">
        <v>8457</v>
      </c>
      <c r="N36" s="239" t="s">
        <v>8128</v>
      </c>
      <c r="O36" s="30" t="s">
        <v>7554</v>
      </c>
      <c r="P36" s="30" t="s">
        <v>751</v>
      </c>
      <c r="Q36" s="30" t="s">
        <v>8458</v>
      </c>
      <c r="R36" s="30" t="s">
        <v>751</v>
      </c>
      <c r="S36" s="30" t="s">
        <v>751</v>
      </c>
      <c r="T36" s="30" t="s">
        <v>751</v>
      </c>
      <c r="U36" s="30" t="s">
        <v>8459</v>
      </c>
      <c r="V36" s="6" t="s">
        <v>8467</v>
      </c>
      <c r="W36" s="20" t="s">
        <v>8468</v>
      </c>
      <c r="X36" s="32" t="n">
        <f aca="false">IF($O36="Active",SUMPRODUCT(($AH$5:$AH$132=$AH36)*1),0)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0</v>
      </c>
      <c r="AH36" s="44" t="str">
        <f aca="false">IF($O36="Active",$B36&amp;"¦"&amp;$G36&amp;"¦"&amp;$H36,"")</f>
        <v>MLCommons server TPOT 上限（p99）¦server¦MLPerf DeepSeek-R1</v>
      </c>
    </row>
    <row r="37" customFormat="false" ht="15" hidden="false" customHeight="true" outlineLevel="0" collapsed="false">
      <c r="A37" s="30" t="s">
        <v>8469</v>
      </c>
      <c r="B37" s="6" t="s">
        <v>8470</v>
      </c>
      <c r="C37" s="241" t="n">
        <v>1.5</v>
      </c>
      <c r="D37" s="239"/>
      <c r="E37" s="239"/>
      <c r="F37" s="30" t="s">
        <v>392</v>
      </c>
      <c r="G37" s="30" t="s">
        <v>8425</v>
      </c>
      <c r="H37" s="30" t="s">
        <v>8454</v>
      </c>
      <c r="I37" s="30" t="s">
        <v>7591</v>
      </c>
      <c r="J37" s="6" t="s">
        <v>8456</v>
      </c>
      <c r="K37" s="239" t="n">
        <v>1</v>
      </c>
      <c r="L37" s="239" t="s">
        <v>7658</v>
      </c>
      <c r="M37" s="6" t="s">
        <v>8457</v>
      </c>
      <c r="N37" s="239" t="s">
        <v>8128</v>
      </c>
      <c r="O37" s="30" t="s">
        <v>7554</v>
      </c>
      <c r="P37" s="30" t="s">
        <v>751</v>
      </c>
      <c r="Q37" s="30" t="s">
        <v>8458</v>
      </c>
      <c r="R37" s="30" t="s">
        <v>751</v>
      </c>
      <c r="S37" s="30" t="s">
        <v>751</v>
      </c>
      <c r="T37" s="30" t="s">
        <v>751</v>
      </c>
      <c r="U37" s="30" t="s">
        <v>8459</v>
      </c>
      <c r="V37" s="6" t="s">
        <v>751</v>
      </c>
      <c r="W37" s="6" t="s">
        <v>751</v>
      </c>
      <c r="X37" s="32" t="n">
        <f aca="false">IF($O37="Active",SUMPRODUCT(($AH$5:$AH$132=$AH37)*1),0)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0</v>
      </c>
      <c r="AH37" s="44" t="str">
        <f aca="false">IF($O37="Active",$B37&amp;"¦"&amp;$G37&amp;"¦"&amp;$H37,"")</f>
        <v>MLCommons interactive TTFT 上限（p99）¦interactive¦MLPerf DeepSeek-R1</v>
      </c>
    </row>
    <row r="38" customFormat="false" ht="15" hidden="false" customHeight="true" outlineLevel="0" collapsed="false">
      <c r="A38" s="30" t="s">
        <v>8471</v>
      </c>
      <c r="B38" s="6" t="s">
        <v>8472</v>
      </c>
      <c r="C38" s="241" t="n">
        <v>2</v>
      </c>
      <c r="D38" s="239"/>
      <c r="E38" s="239"/>
      <c r="F38" s="30" t="s">
        <v>392</v>
      </c>
      <c r="G38" s="30" t="s">
        <v>8439</v>
      </c>
      <c r="H38" s="30" t="s">
        <v>8454</v>
      </c>
      <c r="I38" s="30" t="s">
        <v>7591</v>
      </c>
      <c r="J38" s="6" t="s">
        <v>8456</v>
      </c>
      <c r="K38" s="239" t="n">
        <v>1</v>
      </c>
      <c r="L38" s="239" t="s">
        <v>7658</v>
      </c>
      <c r="M38" s="6" t="s">
        <v>8457</v>
      </c>
      <c r="N38" s="239" t="s">
        <v>8128</v>
      </c>
      <c r="O38" s="30" t="s">
        <v>7554</v>
      </c>
      <c r="P38" s="30" t="s">
        <v>751</v>
      </c>
      <c r="Q38" s="30" t="s">
        <v>8458</v>
      </c>
      <c r="R38" s="30" t="s">
        <v>751</v>
      </c>
      <c r="S38" s="30" t="s">
        <v>751</v>
      </c>
      <c r="T38" s="30" t="s">
        <v>751</v>
      </c>
      <c r="U38" s="30" t="s">
        <v>8459</v>
      </c>
      <c r="V38" s="6" t="s">
        <v>751</v>
      </c>
      <c r="W38" s="6" t="s">
        <v>751</v>
      </c>
      <c r="X38" s="32" t="n">
        <f aca="false">IF($O38="Active",SUMPRODUCT(($AH$5:$AH$132=$AH38)*1),0)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0</v>
      </c>
      <c r="AH38" s="44" t="str">
        <f aca="false">IF($O38="Active",$B38&amp;"¦"&amp;$G38&amp;"¦"&amp;$H38,"")</f>
        <v>MLCommons server TTFT 上限（p99）¦server¦MLPerf DeepSeek-R1</v>
      </c>
    </row>
    <row r="39" customFormat="false" ht="15" hidden="false" customHeight="true" outlineLevel="0" collapsed="false">
      <c r="A39" s="30" t="s">
        <v>5124</v>
      </c>
      <c r="B39" s="6" t="s">
        <v>8473</v>
      </c>
      <c r="C39" s="241" t="n">
        <v>3</v>
      </c>
      <c r="D39" s="239"/>
      <c r="E39" s="239"/>
      <c r="F39" s="239" t="s">
        <v>8474</v>
      </c>
      <c r="G39" s="30" t="s">
        <v>8475</v>
      </c>
      <c r="H39" s="30" t="s">
        <v>8454</v>
      </c>
      <c r="I39" s="30" t="s">
        <v>7591</v>
      </c>
      <c r="J39" s="6" t="s">
        <v>8456</v>
      </c>
      <c r="K39" s="239" t="n">
        <v>1</v>
      </c>
      <c r="L39" s="239" t="s">
        <v>7658</v>
      </c>
      <c r="M39" s="6" t="s">
        <v>8457</v>
      </c>
      <c r="N39" s="239" t="s">
        <v>8128</v>
      </c>
      <c r="O39" s="30" t="s">
        <v>7554</v>
      </c>
      <c r="P39" s="30" t="s">
        <v>751</v>
      </c>
      <c r="Q39" s="30" t="s">
        <v>8458</v>
      </c>
      <c r="R39" s="30" t="s">
        <v>751</v>
      </c>
      <c r="S39" s="30" t="s">
        <v>751</v>
      </c>
      <c r="T39" s="30" t="s">
        <v>751</v>
      </c>
      <c r="U39" s="30" t="s">
        <v>8459</v>
      </c>
      <c r="V39" s="6" t="s">
        <v>8476</v>
      </c>
      <c r="W39" s="20" t="s">
        <v>8477</v>
      </c>
      <c r="X39" s="32" t="n">
        <f aca="false">IF($O39="Active",SUMPRODUCT(($AH$5:$AH$132=$AH39)*1),0)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0</v>
      </c>
      <c r="AH39" s="44" t="str">
        <f aca="false">IF($O39="Active",$B39&amp;"¦"&amp;$G39&amp;"¦"&amp;$H39,"")</f>
        <v>MLCommons interactive 允許 MTP 步數¦interactive；server 未列¦MLPerf DeepSeek-R1</v>
      </c>
    </row>
    <row r="40" customFormat="false" ht="15" hidden="false" customHeight="true" outlineLevel="0" collapsed="false">
      <c r="A40" s="30" t="s">
        <v>5916</v>
      </c>
      <c r="B40" s="6" t="s">
        <v>8478</v>
      </c>
      <c r="C40" s="239"/>
      <c r="D40" s="241" t="n">
        <v>0.38</v>
      </c>
      <c r="E40" s="241" t="n">
        <v>0.43</v>
      </c>
      <c r="F40" s="30" t="s">
        <v>113</v>
      </c>
      <c r="G40" s="30" t="s">
        <v>8479</v>
      </c>
      <c r="H40" s="30" t="s">
        <v>8480</v>
      </c>
      <c r="I40" s="30" t="s">
        <v>8481</v>
      </c>
      <c r="J40" s="6" t="s">
        <v>8482</v>
      </c>
      <c r="K40" s="239" t="n">
        <v>1</v>
      </c>
      <c r="L40" s="239" t="s">
        <v>7551</v>
      </c>
      <c r="M40" s="6" t="s">
        <v>8483</v>
      </c>
      <c r="N40" s="239" t="s">
        <v>7553</v>
      </c>
      <c r="O40" s="30" t="s">
        <v>7554</v>
      </c>
      <c r="P40" s="30" t="s">
        <v>751</v>
      </c>
      <c r="Q40" s="30" t="s">
        <v>8484</v>
      </c>
      <c r="R40" s="30" t="s">
        <v>751</v>
      </c>
      <c r="S40" s="30" t="s">
        <v>6868</v>
      </c>
      <c r="T40" s="30" t="s">
        <v>751</v>
      </c>
      <c r="U40" s="30" t="s">
        <v>8485</v>
      </c>
      <c r="V40" s="6" t="s">
        <v>751</v>
      </c>
      <c r="W40" s="6" t="s">
        <v>8486</v>
      </c>
      <c r="X40" s="32" t="n">
        <f aca="false">IF($O40="Active",SUMPRODUCT(($AH$5:$AH$132=$AH40)*1),0)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Llama 3 405B 預訓練 BF16 MFU¦BF16；16K H100¦Llama 3 405B</v>
      </c>
    </row>
    <row r="41" customFormat="false" ht="15" hidden="false" customHeight="true" outlineLevel="0" collapsed="false">
      <c r="A41" s="30" t="s">
        <v>5921</v>
      </c>
      <c r="B41" s="6" t="s">
        <v>8487</v>
      </c>
      <c r="C41" s="241" t="n">
        <v>0.9</v>
      </c>
      <c r="D41" s="239"/>
      <c r="E41" s="239"/>
      <c r="F41" s="30" t="s">
        <v>113</v>
      </c>
      <c r="G41" s="239" t="s">
        <v>8488</v>
      </c>
      <c r="H41" s="30" t="s">
        <v>8480</v>
      </c>
      <c r="I41" s="30" t="s">
        <v>8481</v>
      </c>
      <c r="J41" s="6" t="s">
        <v>8482</v>
      </c>
      <c r="K41" s="239" t="n">
        <v>1</v>
      </c>
      <c r="L41" s="239" t="s">
        <v>7551</v>
      </c>
      <c r="M41" s="6" t="s">
        <v>8483</v>
      </c>
      <c r="N41" s="239" t="s">
        <v>7553</v>
      </c>
      <c r="O41" s="30" t="s">
        <v>7554</v>
      </c>
      <c r="P41" s="30" t="s">
        <v>751</v>
      </c>
      <c r="Q41" s="30" t="s">
        <v>8489</v>
      </c>
      <c r="R41" s="30" t="s">
        <v>751</v>
      </c>
      <c r="S41" s="30" t="s">
        <v>6868</v>
      </c>
      <c r="T41" s="30" t="s">
        <v>751</v>
      </c>
      <c r="U41" s="30" t="s">
        <v>8485</v>
      </c>
      <c r="V41" s="6" t="s">
        <v>8490</v>
      </c>
      <c r="W41" s="20" t="s">
        <v>8491</v>
      </c>
      <c r="X41" s="32" t="n">
        <f aca="false">IF($O41="Active",SUMPRODUCT(($AH$5:$AH$132=$AH41)*1),0)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Llama 3 有效訓練時間比（goodput）¦下限（&gt;90%）¦Llama 3 405B</v>
      </c>
    </row>
    <row r="42" customFormat="false" ht="15" hidden="false" customHeight="true" outlineLevel="0" collapsed="false">
      <c r="A42" s="30" t="s">
        <v>8492</v>
      </c>
      <c r="B42" s="6" t="s">
        <v>8493</v>
      </c>
      <c r="C42" s="241" t="n">
        <v>2.24</v>
      </c>
      <c r="D42" s="239"/>
      <c r="E42" s="239"/>
      <c r="F42" s="30" t="s">
        <v>118</v>
      </c>
      <c r="G42" s="239" t="s">
        <v>8494</v>
      </c>
      <c r="H42" s="30" t="s">
        <v>8495</v>
      </c>
      <c r="I42" s="30" t="s">
        <v>7686</v>
      </c>
      <c r="J42" s="6" t="s">
        <v>8496</v>
      </c>
      <c r="K42" s="239" t="n">
        <v>1</v>
      </c>
      <c r="L42" s="239" t="s">
        <v>7551</v>
      </c>
      <c r="M42" s="20" t="s">
        <v>8497</v>
      </c>
      <c r="N42" s="239" t="s">
        <v>8128</v>
      </c>
      <c r="O42" s="30" t="s">
        <v>7554</v>
      </c>
      <c r="P42" s="30" t="s">
        <v>751</v>
      </c>
      <c r="Q42" s="30" t="s">
        <v>8498</v>
      </c>
      <c r="R42" s="30" t="s">
        <v>751</v>
      </c>
      <c r="S42" s="30" t="s">
        <v>751</v>
      </c>
      <c r="T42" s="30" t="s">
        <v>751</v>
      </c>
      <c r="U42" s="30" t="s">
        <v>8499</v>
      </c>
      <c r="V42" s="6" t="s">
        <v>751</v>
      </c>
      <c r="W42" s="20" t="s">
        <v>8500</v>
      </c>
      <c r="X42" s="32" t="n">
        <f aca="false">IF($O42="Active",SUMPRODUCT(($AH$5:$AH$132=$AH42)*1),0)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ROLL Flash RLVR 加速（同 GPU 預算）¦框架基準¦ROLL Flash</v>
      </c>
    </row>
    <row r="43" customFormat="false" ht="15" hidden="false" customHeight="true" outlineLevel="0" collapsed="false">
      <c r="A43" s="30" t="s">
        <v>8501</v>
      </c>
      <c r="B43" s="6" t="s">
        <v>8502</v>
      </c>
      <c r="C43" s="241" t="n">
        <v>2.72</v>
      </c>
      <c r="D43" s="239"/>
      <c r="E43" s="239"/>
      <c r="F43" s="30" t="s">
        <v>118</v>
      </c>
      <c r="G43" s="239" t="s">
        <v>8494</v>
      </c>
      <c r="H43" s="30" t="s">
        <v>8495</v>
      </c>
      <c r="I43" s="30" t="s">
        <v>7686</v>
      </c>
      <c r="J43" s="6" t="s">
        <v>8496</v>
      </c>
      <c r="K43" s="239" t="n">
        <v>1</v>
      </c>
      <c r="L43" s="239" t="s">
        <v>7551</v>
      </c>
      <c r="M43" s="20" t="s">
        <v>8497</v>
      </c>
      <c r="N43" s="239" t="s">
        <v>8128</v>
      </c>
      <c r="O43" s="30" t="s">
        <v>7554</v>
      </c>
      <c r="P43" s="30" t="s">
        <v>751</v>
      </c>
      <c r="Q43" s="30" t="s">
        <v>8498</v>
      </c>
      <c r="R43" s="30" t="s">
        <v>751</v>
      </c>
      <c r="S43" s="30" t="s">
        <v>751</v>
      </c>
      <c r="T43" s="30" t="s">
        <v>751</v>
      </c>
      <c r="U43" s="30" t="s">
        <v>8499</v>
      </c>
      <c r="V43" s="6" t="s">
        <v>751</v>
      </c>
      <c r="W43" s="6" t="s">
        <v>751</v>
      </c>
      <c r="X43" s="32" t="n">
        <f aca="false">IF($O43="Active",SUMPRODUCT(($AH$5:$AH$132=$AH43)*1),0)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ROLL Flash agentic 加速¦框架基準¦ROLL Flash</v>
      </c>
    </row>
    <row r="44" customFormat="false" ht="15" hidden="false" customHeight="true" outlineLevel="0" collapsed="false">
      <c r="A44" s="30" t="s">
        <v>8503</v>
      </c>
      <c r="B44" s="6" t="s">
        <v>8504</v>
      </c>
      <c r="C44" s="241" t="n">
        <v>2</v>
      </c>
      <c r="D44" s="239"/>
      <c r="E44" s="239"/>
      <c r="F44" s="30" t="s">
        <v>118</v>
      </c>
      <c r="G44" s="239" t="s">
        <v>7639</v>
      </c>
      <c r="H44" s="30" t="s">
        <v>8505</v>
      </c>
      <c r="I44" s="30" t="s">
        <v>7686</v>
      </c>
      <c r="J44" s="6" t="s">
        <v>8496</v>
      </c>
      <c r="K44" s="239" t="n">
        <v>1</v>
      </c>
      <c r="L44" s="239" t="s">
        <v>7551</v>
      </c>
      <c r="M44" s="20" t="s">
        <v>8497</v>
      </c>
      <c r="N44" s="239" t="s">
        <v>8128</v>
      </c>
      <c r="O44" s="30" t="s">
        <v>7554</v>
      </c>
      <c r="P44" s="30" t="s">
        <v>751</v>
      </c>
      <c r="Q44" s="30" t="s">
        <v>8498</v>
      </c>
      <c r="R44" s="30" t="s">
        <v>751</v>
      </c>
      <c r="S44" s="30" t="s">
        <v>751</v>
      </c>
      <c r="T44" s="30" t="s">
        <v>751</v>
      </c>
      <c r="U44" s="30" t="s">
        <v>8499</v>
      </c>
      <c r="V44" s="6" t="s">
        <v>751</v>
      </c>
      <c r="W44" s="6" t="s">
        <v>751</v>
      </c>
      <c r="X44" s="32" t="n">
        <f aca="false">IF($O44="Active",SUMPRODUCT(($AH$5:$AH$132=$AH44)*1),0)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AReaL 同步 ÷ 非同步耗時¦約值¦AReaL</v>
      </c>
    </row>
    <row r="45" customFormat="false" ht="66" hidden="false" customHeight="true" outlineLevel="0" collapsed="false">
      <c r="A45" s="30" t="s">
        <v>5281</v>
      </c>
      <c r="B45" s="6" t="s">
        <v>8506</v>
      </c>
      <c r="C45" s="241" t="n">
        <v>73700</v>
      </c>
      <c r="D45" s="239"/>
      <c r="E45" s="239"/>
      <c r="F45" s="30" t="s">
        <v>8507</v>
      </c>
      <c r="G45" s="30" t="s">
        <v>8508</v>
      </c>
      <c r="H45" s="30" t="s">
        <v>8509</v>
      </c>
      <c r="I45" s="30" t="s">
        <v>8510</v>
      </c>
      <c r="J45" s="6" t="s">
        <v>8511</v>
      </c>
      <c r="K45" s="239" t="n">
        <v>1</v>
      </c>
      <c r="L45" s="239" t="s">
        <v>7551</v>
      </c>
      <c r="M45" s="6" t="s">
        <v>8512</v>
      </c>
      <c r="N45" s="239" t="s">
        <v>8128</v>
      </c>
      <c r="O45" s="30" t="s">
        <v>7554</v>
      </c>
      <c r="P45" s="30" t="s">
        <v>751</v>
      </c>
      <c r="Q45" s="30" t="s">
        <v>8513</v>
      </c>
      <c r="R45" s="30" t="s">
        <v>751</v>
      </c>
      <c r="S45" s="30" t="s">
        <v>751</v>
      </c>
      <c r="T45" s="30" t="s">
        <v>751</v>
      </c>
      <c r="U45" s="30" t="s">
        <v>8420</v>
      </c>
      <c r="V45" s="20" t="s">
        <v>8514</v>
      </c>
      <c r="W45" s="20" t="s">
        <v>8515</v>
      </c>
      <c r="X45" s="32" t="n">
        <f aca="false">IF($O45="Active",SUMPRODUCT(($AH$5:$AH$132=$AH45)*1),0)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A45" s="30" t="s">
        <v>8516</v>
      </c>
      <c r="AB45" s="30" t="s">
        <v>8517</v>
      </c>
      <c r="AG45" s="239" t="s">
        <v>8518</v>
      </c>
      <c r="AH45" s="44" t="str">
        <f aca="false">IF($O45="Active",$B45&amp;"¦"&amp;$G45&amp;"¦"&amp;$H45,"")</f>
        <v>DeepSeek 線上服務：每節點平均輸入吞吐（prefill，含快取命中）¦24 小時統計（UTC+8 2025-02-27 12:00 至 02-28 12:00）；V3＋R1，web／APP／API 全部請求；prefill 期間；原文「~73.7k」¦DeepSeek-V3/R1 線上服務（H800，每節點 8 GPU）</v>
      </c>
    </row>
    <row r="46" customFormat="false" ht="66" hidden="false" customHeight="true" outlineLevel="0" collapsed="false">
      <c r="A46" s="30" t="s">
        <v>5352</v>
      </c>
      <c r="B46" s="6" t="s">
        <v>8519</v>
      </c>
      <c r="C46" s="241" t="n">
        <v>14800</v>
      </c>
      <c r="D46" s="239"/>
      <c r="E46" s="239"/>
      <c r="F46" s="30" t="s">
        <v>8507</v>
      </c>
      <c r="G46" s="30" t="s">
        <v>8520</v>
      </c>
      <c r="H46" s="30" t="s">
        <v>8509</v>
      </c>
      <c r="I46" s="30" t="s">
        <v>8510</v>
      </c>
      <c r="J46" s="6" t="s">
        <v>8511</v>
      </c>
      <c r="K46" s="239" t="n">
        <v>1</v>
      </c>
      <c r="L46" s="239" t="s">
        <v>7551</v>
      </c>
      <c r="M46" s="6" t="s">
        <v>8512</v>
      </c>
      <c r="N46" s="239" t="s">
        <v>8128</v>
      </c>
      <c r="O46" s="30" t="s">
        <v>7554</v>
      </c>
      <c r="P46" s="30" t="s">
        <v>751</v>
      </c>
      <c r="Q46" s="30" t="s">
        <v>8513</v>
      </c>
      <c r="R46" s="30" t="s">
        <v>751</v>
      </c>
      <c r="S46" s="30" t="s">
        <v>751</v>
      </c>
      <c r="T46" s="30" t="s">
        <v>751</v>
      </c>
      <c r="U46" s="30" t="s">
        <v>8420</v>
      </c>
      <c r="V46" s="20" t="s">
        <v>8521</v>
      </c>
      <c r="W46" s="20" t="s">
        <v>8522</v>
      </c>
      <c r="X46" s="32" t="n">
        <f aca="false">IF($O46="Active",SUMPRODUCT(($AH$5:$AH$132=$AH46)*1),0)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A46" s="30" t="s">
        <v>8516</v>
      </c>
      <c r="AB46" s="30" t="s">
        <v>8517</v>
      </c>
      <c r="AG46" s="239" t="s">
        <v>8523</v>
      </c>
      <c r="AH46" s="44" t="str">
        <f aca="false">IF($O46="Active",$B46&amp;"¦"&amp;$G46&amp;"¦"&amp;$H46,"")</f>
        <v>DeepSeek 線上服務：每節點平均輸出吞吐（decode）¦24 小時統計（UTC+8 2025-02-27 12:00 至 02-28 12:00）；V3＋R1，web／APP／API 全部請求；decode 期間；原文「~14.8k」¦DeepSeek-V3/R1 線上服務（H800，每節點 8 GPU）</v>
      </c>
    </row>
    <row r="47" customFormat="false" ht="66" hidden="false" customHeight="true" outlineLevel="0" collapsed="false">
      <c r="A47" s="30" t="s">
        <v>8524</v>
      </c>
      <c r="B47" s="6" t="s">
        <v>8525</v>
      </c>
      <c r="C47" s="241" t="n">
        <v>608</v>
      </c>
      <c r="D47" s="239"/>
      <c r="E47" s="239"/>
      <c r="F47" s="30" t="s">
        <v>8526</v>
      </c>
      <c r="G47" s="30" t="s">
        <v>8527</v>
      </c>
      <c r="H47" s="30" t="s">
        <v>8509</v>
      </c>
      <c r="I47" s="30" t="s">
        <v>8510</v>
      </c>
      <c r="J47" s="6" t="s">
        <v>8511</v>
      </c>
      <c r="K47" s="239" t="n">
        <v>1</v>
      </c>
      <c r="L47" s="239" t="s">
        <v>7551</v>
      </c>
      <c r="M47" s="6" t="s">
        <v>8512</v>
      </c>
      <c r="N47" s="239" t="s">
        <v>8128</v>
      </c>
      <c r="O47" s="30" t="s">
        <v>7554</v>
      </c>
      <c r="P47" s="30" t="s">
        <v>751</v>
      </c>
      <c r="Q47" s="30" t="s">
        <v>8513</v>
      </c>
      <c r="R47" s="30" t="s">
        <v>751</v>
      </c>
      <c r="S47" s="30" t="s">
        <v>751</v>
      </c>
      <c r="T47" s="30" t="s">
        <v>751</v>
      </c>
      <c r="U47" s="30" t="s">
        <v>8420</v>
      </c>
      <c r="V47" s="6" t="s">
        <v>751</v>
      </c>
      <c r="W47" s="6" t="s">
        <v>751</v>
      </c>
      <c r="X47" s="32" t="n">
        <f aca="false">IF($O47="Active",SUMPRODUCT(($AH$5:$AH$132=$AH47)*1),0)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DeepSeek 線上服務：24 小時輸入 token 總量¦24 小時統計（UTC+8 2025-02-27 12:00 至 02-28 12:00）；V3＋R1，web／APP／API 全部請求¦DeepSeek-V3/R1 線上服務（H800，每節點 8 GPU）</v>
      </c>
    </row>
    <row r="48" customFormat="false" ht="66" hidden="false" customHeight="true" outlineLevel="0" collapsed="false">
      <c r="A48" s="30" t="s">
        <v>8528</v>
      </c>
      <c r="B48" s="6" t="s">
        <v>8529</v>
      </c>
      <c r="C48" s="241" t="n">
        <v>0.563</v>
      </c>
      <c r="D48" s="239"/>
      <c r="E48" s="239"/>
      <c r="F48" s="30" t="s">
        <v>113</v>
      </c>
      <c r="G48" s="30" t="s">
        <v>8530</v>
      </c>
      <c r="H48" s="30" t="s">
        <v>8509</v>
      </c>
      <c r="I48" s="30" t="s">
        <v>8510</v>
      </c>
      <c r="J48" s="6" t="s">
        <v>8511</v>
      </c>
      <c r="K48" s="239" t="n">
        <v>1</v>
      </c>
      <c r="L48" s="239" t="s">
        <v>7551</v>
      </c>
      <c r="M48" s="6" t="s">
        <v>8512</v>
      </c>
      <c r="N48" s="239" t="s">
        <v>8128</v>
      </c>
      <c r="O48" s="30" t="s">
        <v>7554</v>
      </c>
      <c r="P48" s="30" t="s">
        <v>751</v>
      </c>
      <c r="Q48" s="30" t="s">
        <v>8513</v>
      </c>
      <c r="R48" s="30" t="s">
        <v>751</v>
      </c>
      <c r="S48" s="30" t="s">
        <v>751</v>
      </c>
      <c r="T48" s="30" t="s">
        <v>751</v>
      </c>
      <c r="U48" s="30" t="s">
        <v>8420</v>
      </c>
      <c r="V48" s="20" t="s">
        <v>8531</v>
      </c>
      <c r="W48" s="20" t="s">
        <v>8532</v>
      </c>
      <c r="X48" s="32" t="n">
        <f aca="false">IF($O48="Active",SUMPRODUCT(($AH$5:$AH$132=$AH48)*1),0)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DeepSeek 線上服務：輸入 token 命中磁碟 KV 快取比例¦24 小時統計（UTC+8 2025-02-27 12:00 至 02-28 12:00）；V3＋R1，web／APP／API 全部請求；342B ÷ 608B（原文直接給 56.3%）¦DeepSeek-V3/R1 線上服務（H800，每節點 8 GPU）</v>
      </c>
    </row>
    <row r="49" customFormat="false" ht="66" hidden="false" customHeight="true" outlineLevel="0" collapsed="false">
      <c r="A49" s="30" t="s">
        <v>8533</v>
      </c>
      <c r="B49" s="6" t="s">
        <v>8534</v>
      </c>
      <c r="C49" s="241" t="n">
        <v>168</v>
      </c>
      <c r="D49" s="239"/>
      <c r="E49" s="239"/>
      <c r="F49" s="30" t="s">
        <v>8526</v>
      </c>
      <c r="G49" s="30" t="s">
        <v>8527</v>
      </c>
      <c r="H49" s="30" t="s">
        <v>8509</v>
      </c>
      <c r="I49" s="30" t="s">
        <v>8510</v>
      </c>
      <c r="J49" s="6" t="s">
        <v>8511</v>
      </c>
      <c r="K49" s="239" t="n">
        <v>1</v>
      </c>
      <c r="L49" s="239" t="s">
        <v>7551</v>
      </c>
      <c r="M49" s="6" t="s">
        <v>8512</v>
      </c>
      <c r="N49" s="239" t="s">
        <v>8128</v>
      </c>
      <c r="O49" s="30" t="s">
        <v>7554</v>
      </c>
      <c r="P49" s="30" t="s">
        <v>751</v>
      </c>
      <c r="Q49" s="30" t="s">
        <v>8513</v>
      </c>
      <c r="R49" s="30" t="s">
        <v>751</v>
      </c>
      <c r="S49" s="30" t="s">
        <v>751</v>
      </c>
      <c r="T49" s="30" t="s">
        <v>751</v>
      </c>
      <c r="U49" s="30" t="s">
        <v>8420</v>
      </c>
      <c r="V49" s="6" t="s">
        <v>751</v>
      </c>
      <c r="W49" s="6" t="s">
        <v>751</v>
      </c>
      <c r="X49" s="32" t="n">
        <f aca="false">IF($O49="Active",SUMPRODUCT(($AH$5:$AH$132=$AH49)*1),0)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DeepSeek 線上服務：24 小時輸出 token 總量¦24 小時統計（UTC+8 2025-02-27 12:00 至 02-28 12:00）；V3＋R1，web／APP／API 全部請求¦DeepSeek-V3/R1 線上服務（H800，每節點 8 GPU）</v>
      </c>
    </row>
    <row r="50" customFormat="false" ht="66" hidden="false" customHeight="true" outlineLevel="0" collapsed="false">
      <c r="A50" s="30" t="s">
        <v>8535</v>
      </c>
      <c r="B50" s="6" t="s">
        <v>8536</v>
      </c>
      <c r="C50" s="239"/>
      <c r="D50" s="241" t="n">
        <v>20</v>
      </c>
      <c r="E50" s="241" t="n">
        <v>22</v>
      </c>
      <c r="F50" s="30" t="s">
        <v>389</v>
      </c>
      <c r="G50" s="30" t="s">
        <v>8527</v>
      </c>
      <c r="H50" s="30" t="s">
        <v>8509</v>
      </c>
      <c r="I50" s="30" t="s">
        <v>8510</v>
      </c>
      <c r="J50" s="6" t="s">
        <v>8511</v>
      </c>
      <c r="K50" s="239" t="n">
        <v>1</v>
      </c>
      <c r="L50" s="239" t="s">
        <v>7551</v>
      </c>
      <c r="M50" s="6" t="s">
        <v>8512</v>
      </c>
      <c r="N50" s="239" t="s">
        <v>8128</v>
      </c>
      <c r="O50" s="30" t="s">
        <v>7554</v>
      </c>
      <c r="P50" s="30" t="s">
        <v>751</v>
      </c>
      <c r="Q50" s="30" t="s">
        <v>8513</v>
      </c>
      <c r="R50" s="30" t="s">
        <v>751</v>
      </c>
      <c r="S50" s="30" t="s">
        <v>751</v>
      </c>
      <c r="T50" s="30" t="s">
        <v>751</v>
      </c>
      <c r="U50" s="30" t="s">
        <v>8420</v>
      </c>
      <c r="V50" s="20" t="s">
        <v>8537</v>
      </c>
      <c r="W50" s="20" t="s">
        <v>8538</v>
      </c>
      <c r="X50" s="32" t="n">
        <f aca="false">IF($O50="Active",SUMPRODUCT(($AH$5:$AH$132=$AH50)*1),0)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1</v>
      </c>
      <c r="AH50" s="44" t="str">
        <f aca="false">IF($O50="Active",$B50&amp;"¦"&amp;$G50&amp;"¦"&amp;$H50,"")</f>
        <v>DeepSeek 線上服務：平均每用戶輸出速度¦24 小時統計（UTC+8 2025-02-27 12:00 至 02-28 12:00）；V3＋R1，web／APP／API 全部請求¦DeepSeek-V3/R1 線上服務（H800，每節點 8 GPU）</v>
      </c>
    </row>
    <row r="51" customFormat="false" ht="66" hidden="false" customHeight="true" outlineLevel="0" collapsed="false">
      <c r="A51" s="30" t="s">
        <v>8539</v>
      </c>
      <c r="B51" s="6" t="s">
        <v>8540</v>
      </c>
      <c r="C51" s="241" t="n">
        <v>4989</v>
      </c>
      <c r="D51" s="239"/>
      <c r="E51" s="239"/>
      <c r="F51" s="30" t="s">
        <v>308</v>
      </c>
      <c r="G51" s="30" t="s">
        <v>8527</v>
      </c>
      <c r="H51" s="30" t="s">
        <v>8509</v>
      </c>
      <c r="I51" s="30" t="s">
        <v>8510</v>
      </c>
      <c r="J51" s="6" t="s">
        <v>8511</v>
      </c>
      <c r="K51" s="239" t="n">
        <v>1</v>
      </c>
      <c r="L51" s="239" t="s">
        <v>7551</v>
      </c>
      <c r="M51" s="6" t="s">
        <v>8512</v>
      </c>
      <c r="N51" s="239" t="s">
        <v>8128</v>
      </c>
      <c r="O51" s="30" t="s">
        <v>7554</v>
      </c>
      <c r="P51" s="30" t="s">
        <v>751</v>
      </c>
      <c r="Q51" s="30" t="s">
        <v>8513</v>
      </c>
      <c r="R51" s="30" t="s">
        <v>751</v>
      </c>
      <c r="S51" s="30" t="s">
        <v>751</v>
      </c>
      <c r="T51" s="30" t="s">
        <v>751</v>
      </c>
      <c r="U51" s="30" t="s">
        <v>8420</v>
      </c>
      <c r="V51" s="6" t="s">
        <v>751</v>
      </c>
      <c r="W51" s="6" t="s">
        <v>751</v>
      </c>
      <c r="X51" s="32" t="n">
        <f aca="false">IF($O51="Active",SUMPRODUCT(($AH$5:$AH$132=$AH51)*1),0)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1</v>
      </c>
      <c r="AH51" s="44" t="str">
        <f aca="false">IF($O51="Active",$B51&amp;"¦"&amp;$G51&amp;"¦"&amp;$H51,"")</f>
        <v>DeepSeek 線上服務：每輸出 token 平均 KV 長度¦24 小時統計（UTC+8 2025-02-27 12:00 至 02-28 12:00）；V3＋R1，web／APP／API 全部請求¦DeepSeek-V3/R1 線上服務（H800，每節點 8 GPU）</v>
      </c>
    </row>
    <row r="52" customFormat="false" ht="66" hidden="false" customHeight="true" outlineLevel="0" collapsed="false">
      <c r="A52" s="30" t="s">
        <v>8541</v>
      </c>
      <c r="B52" s="6" t="s">
        <v>8542</v>
      </c>
      <c r="C52" s="241" t="n">
        <v>278</v>
      </c>
      <c r="D52" s="239"/>
      <c r="E52" s="239"/>
      <c r="F52" s="239" t="s">
        <v>8543</v>
      </c>
      <c r="G52" s="30" t="s">
        <v>8544</v>
      </c>
      <c r="H52" s="30" t="s">
        <v>8509</v>
      </c>
      <c r="I52" s="30" t="s">
        <v>8510</v>
      </c>
      <c r="J52" s="6" t="s">
        <v>8511</v>
      </c>
      <c r="K52" s="239" t="n">
        <v>1</v>
      </c>
      <c r="L52" s="239" t="s">
        <v>7551</v>
      </c>
      <c r="M52" s="6" t="s">
        <v>8512</v>
      </c>
      <c r="N52" s="239" t="s">
        <v>8128</v>
      </c>
      <c r="O52" s="30" t="s">
        <v>7554</v>
      </c>
      <c r="P52" s="30" t="s">
        <v>751</v>
      </c>
      <c r="Q52" s="30" t="s">
        <v>8513</v>
      </c>
      <c r="R52" s="30" t="s">
        <v>751</v>
      </c>
      <c r="S52" s="30" t="s">
        <v>751</v>
      </c>
      <c r="T52" s="30" t="s">
        <v>751</v>
      </c>
      <c r="U52" s="30" t="s">
        <v>8420</v>
      </c>
      <c r="V52" s="6" t="s">
        <v>751</v>
      </c>
      <c r="W52" s="20" t="s">
        <v>8545</v>
      </c>
      <c r="X52" s="32" t="n">
        <f aca="false">IF($O52="Active",SUMPRODUCT(($AH$5:$AH$132=$AH52)*1),0)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DeepSeek 線上服務：推論服務尖峰節點數¦24 小時統計（UTC+8 2025-02-27 12:00 至 02-28 12:00）；V3＋R1，web／APP／API 全部請求；V3＋R1 合計¦DeepSeek-V3/R1 線上服務（H800，每節點 8 GPU）</v>
      </c>
    </row>
    <row r="53" customFormat="false" ht="66" hidden="false" customHeight="true" outlineLevel="0" collapsed="false">
      <c r="A53" s="30" t="s">
        <v>8546</v>
      </c>
      <c r="B53" s="6" t="s">
        <v>8547</v>
      </c>
      <c r="C53" s="241" t="n">
        <v>226.75</v>
      </c>
      <c r="D53" s="239"/>
      <c r="E53" s="239"/>
      <c r="F53" s="239" t="s">
        <v>8543</v>
      </c>
      <c r="G53" s="30" t="s">
        <v>8544</v>
      </c>
      <c r="H53" s="30" t="s">
        <v>8509</v>
      </c>
      <c r="I53" s="30" t="s">
        <v>8510</v>
      </c>
      <c r="J53" s="6" t="s">
        <v>8511</v>
      </c>
      <c r="K53" s="239" t="n">
        <v>1</v>
      </c>
      <c r="L53" s="239" t="s">
        <v>7551</v>
      </c>
      <c r="M53" s="6" t="s">
        <v>8512</v>
      </c>
      <c r="N53" s="239" t="s">
        <v>8128</v>
      </c>
      <c r="O53" s="30" t="s">
        <v>7554</v>
      </c>
      <c r="P53" s="30" t="s">
        <v>751</v>
      </c>
      <c r="Q53" s="30" t="s">
        <v>8513</v>
      </c>
      <c r="R53" s="30" t="s">
        <v>751</v>
      </c>
      <c r="S53" s="30" t="s">
        <v>751</v>
      </c>
      <c r="T53" s="30" t="s">
        <v>751</v>
      </c>
      <c r="U53" s="30" t="s">
        <v>8420</v>
      </c>
      <c r="V53" s="6" t="s">
        <v>751</v>
      </c>
      <c r="W53" s="6" t="s">
        <v>751</v>
      </c>
      <c r="X53" s="32" t="n">
        <f aca="false">IF($O53="Active",SUMPRODUCT(($AH$5:$AH$132=$AH53)*1),0)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DeepSeek 線上服務：推論服務平均節點數¦24 小時統計（UTC+8 2025-02-27 12:00 至 02-28 12:00）；V3＋R1，web／APP／API 全部請求；V3＋R1 合計¦DeepSeek-V3/R1 線上服務（H800，每節點 8 GPU）</v>
      </c>
    </row>
    <row r="54" customFormat="false" ht="66" hidden="false" customHeight="true" outlineLevel="0" collapsed="false">
      <c r="A54" s="30" t="s">
        <v>8548</v>
      </c>
      <c r="B54" s="6" t="s">
        <v>8549</v>
      </c>
      <c r="C54" s="241" t="n">
        <v>4</v>
      </c>
      <c r="D54" s="239"/>
      <c r="E54" s="239"/>
      <c r="F54" s="239" t="s">
        <v>8543</v>
      </c>
      <c r="G54" s="30" t="s">
        <v>8550</v>
      </c>
      <c r="H54" s="30" t="s">
        <v>8509</v>
      </c>
      <c r="I54" s="30" t="s">
        <v>8510</v>
      </c>
      <c r="J54" s="6" t="s">
        <v>8511</v>
      </c>
      <c r="K54" s="239" t="n">
        <v>1</v>
      </c>
      <c r="L54" s="239" t="s">
        <v>7551</v>
      </c>
      <c r="M54" s="6" t="s">
        <v>8512</v>
      </c>
      <c r="N54" s="239" t="s">
        <v>8128</v>
      </c>
      <c r="O54" s="30" t="s">
        <v>7554</v>
      </c>
      <c r="P54" s="30" t="s">
        <v>751</v>
      </c>
      <c r="Q54" s="30" t="s">
        <v>8513</v>
      </c>
      <c r="R54" s="30" t="s">
        <v>751</v>
      </c>
      <c r="S54" s="30" t="s">
        <v>751</v>
      </c>
      <c r="T54" s="30" t="s">
        <v>751</v>
      </c>
      <c r="U54" s="30" t="s">
        <v>8420</v>
      </c>
      <c r="V54" s="20" t="s">
        <v>8551</v>
      </c>
      <c r="W54" s="20" t="s">
        <v>8552</v>
      </c>
      <c r="X54" s="32" t="n">
        <f aca="false">IF($O54="Active",SUMPRODUCT(($AH$5:$AH$132=$AH54)*1),0)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DeepSeek 線上服務：prefill 部署單元節點數¦24 小時統計（UTC+8 2025-02-27 12:00 至 02-28 12:00）；V3＋R1，web／APP／API 全部請求；路由專家 EP32、MLA／共享專家 DP32¦DeepSeek-V3/R1 線上服務（H800，每節點 8 GPU）</v>
      </c>
    </row>
    <row r="55" customFormat="false" ht="66" hidden="false" customHeight="true" outlineLevel="0" collapsed="false">
      <c r="A55" s="30" t="s">
        <v>4894</v>
      </c>
      <c r="B55" s="6" t="s">
        <v>8553</v>
      </c>
      <c r="C55" s="241" t="n">
        <v>18</v>
      </c>
      <c r="D55" s="239"/>
      <c r="E55" s="239"/>
      <c r="F55" s="239" t="s">
        <v>8543</v>
      </c>
      <c r="G55" s="30" t="s">
        <v>8554</v>
      </c>
      <c r="H55" s="30" t="s">
        <v>8509</v>
      </c>
      <c r="I55" s="30" t="s">
        <v>8510</v>
      </c>
      <c r="J55" s="6" t="s">
        <v>8511</v>
      </c>
      <c r="K55" s="239" t="n">
        <v>1</v>
      </c>
      <c r="L55" s="239" t="s">
        <v>7551</v>
      </c>
      <c r="M55" s="6" t="s">
        <v>8512</v>
      </c>
      <c r="N55" s="239" t="s">
        <v>8128</v>
      </c>
      <c r="O55" s="30" t="s">
        <v>7554</v>
      </c>
      <c r="P55" s="30" t="s">
        <v>751</v>
      </c>
      <c r="Q55" s="30" t="s">
        <v>8513</v>
      </c>
      <c r="R55" s="30" t="s">
        <v>751</v>
      </c>
      <c r="S55" s="30" t="s">
        <v>751</v>
      </c>
      <c r="T55" s="30" t="s">
        <v>751</v>
      </c>
      <c r="U55" s="30" t="s">
        <v>8420</v>
      </c>
      <c r="V55" s="20" t="s">
        <v>8555</v>
      </c>
      <c r="W55" s="20" t="s">
        <v>8556</v>
      </c>
      <c r="X55" s="32" t="n">
        <f aca="false">IF($O55="Active",SUMPRODUCT(($AH$5:$AH$132=$AH55)*1),0)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DeepSeek 線上服務：decode 部署單元節點數¦24 小時統計（UTC+8 2025-02-27 12:00 至 02-28 12:00）；V3＋R1，web／APP／API 全部請求；路由專家 EP144、MLA／共享專家 DP144¦DeepSeek-V3/R1 線上服務（H800，每節點 8 GPU）</v>
      </c>
    </row>
    <row r="56" customFormat="false" ht="133.5" hidden="false" customHeight="true" outlineLevel="0" collapsed="false">
      <c r="A56" s="30" t="s">
        <v>8557</v>
      </c>
      <c r="B56" s="6" t="s">
        <v>8558</v>
      </c>
      <c r="C56" s="241" t="n">
        <v>558802.8</v>
      </c>
      <c r="D56" s="239"/>
      <c r="E56" s="239"/>
      <c r="F56" s="30" t="s">
        <v>8559</v>
      </c>
      <c r="G56" s="30" t="s">
        <v>8560</v>
      </c>
      <c r="H56" s="30" t="s">
        <v>8561</v>
      </c>
      <c r="I56" s="30" t="s">
        <v>8562</v>
      </c>
      <c r="J56" s="6" t="s">
        <v>8444</v>
      </c>
      <c r="K56" s="239" t="n">
        <v>1</v>
      </c>
      <c r="L56" s="239" t="s">
        <v>7551</v>
      </c>
      <c r="M56" s="6" t="s">
        <v>8563</v>
      </c>
      <c r="N56" s="239" t="s">
        <v>7553</v>
      </c>
      <c r="O56" s="30" t="s">
        <v>7554</v>
      </c>
      <c r="P56" s="30" t="s">
        <v>751</v>
      </c>
      <c r="Q56" s="30" t="s">
        <v>8564</v>
      </c>
      <c r="R56" s="30" t="s">
        <v>6188</v>
      </c>
      <c r="S56" s="30" t="s">
        <v>751</v>
      </c>
      <c r="T56" s="30" t="s">
        <v>751</v>
      </c>
      <c r="U56" s="30" t="s">
        <v>8565</v>
      </c>
      <c r="V56" s="6" t="s">
        <v>751</v>
      </c>
      <c r="W56" s="6" t="s">
        <v>8566</v>
      </c>
      <c r="X56" s="32" t="n">
        <f aca="false">IF($O56="Active",SUMPRODUCT(($AH$5:$AH$132=$AH56)*1),0)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MLPerf v6.1 DeepSeek-R1 offline：VR200 NVL72（Nebius）¦offline；預覽類（preview）；inferred=1¦Nebius VR200 NVL72（Nebius 提交；36 GPU）</v>
      </c>
    </row>
    <row r="57" customFormat="false" ht="133.5" hidden="false" customHeight="true" outlineLevel="0" collapsed="false">
      <c r="A57" s="30" t="s">
        <v>8567</v>
      </c>
      <c r="B57" s="6" t="s">
        <v>8568</v>
      </c>
      <c r="C57" s="241" t="n">
        <v>591368.3</v>
      </c>
      <c r="D57" s="239"/>
      <c r="E57" s="239"/>
      <c r="F57" s="30" t="s">
        <v>8559</v>
      </c>
      <c r="G57" s="30" t="s">
        <v>8569</v>
      </c>
      <c r="H57" s="30" t="s">
        <v>8561</v>
      </c>
      <c r="I57" s="30" t="s">
        <v>8562</v>
      </c>
      <c r="J57" s="6" t="s">
        <v>8444</v>
      </c>
      <c r="K57" s="239" t="n">
        <v>1</v>
      </c>
      <c r="L57" s="239" t="s">
        <v>7551</v>
      </c>
      <c r="M57" s="6" t="s">
        <v>8563</v>
      </c>
      <c r="N57" s="239" t="s">
        <v>7553</v>
      </c>
      <c r="O57" s="30" t="s">
        <v>7554</v>
      </c>
      <c r="P57" s="30" t="s">
        <v>751</v>
      </c>
      <c r="Q57" s="30" t="s">
        <v>8564</v>
      </c>
      <c r="R57" s="30" t="s">
        <v>8570</v>
      </c>
      <c r="S57" s="30" t="s">
        <v>751</v>
      </c>
      <c r="T57" s="30" t="s">
        <v>751</v>
      </c>
      <c r="U57" s="30" t="s">
        <v>8565</v>
      </c>
      <c r="V57" s="6" t="s">
        <v>751</v>
      </c>
      <c r="W57" s="6" t="s">
        <v>8566</v>
      </c>
      <c r="X57" s="32" t="n">
        <f aca="false">IF($O57="Active",SUMPRODUCT(($AH$5:$AH$132=$AH57)*1),0)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MLPerf v6.1 DeepSeek-R1 server：VR200 NVL72（Nebius）¦server；預覽類（preview）；inferred=1¦Nebius VR200 NVL72（Nebius 提交；36 GPU）</v>
      </c>
    </row>
    <row r="58" customFormat="false" ht="133.5" hidden="false" customHeight="true" outlineLevel="0" collapsed="false">
      <c r="A58" s="30" t="s">
        <v>8571</v>
      </c>
      <c r="B58" s="6" t="s">
        <v>8572</v>
      </c>
      <c r="C58" s="241" t="n">
        <v>689961</v>
      </c>
      <c r="D58" s="239"/>
      <c r="E58" s="239"/>
      <c r="F58" s="30" t="s">
        <v>8424</v>
      </c>
      <c r="G58" s="30" t="s">
        <v>8573</v>
      </c>
      <c r="H58" s="30" t="s">
        <v>8574</v>
      </c>
      <c r="I58" s="30" t="s">
        <v>8562</v>
      </c>
      <c r="J58" s="6" t="s">
        <v>8444</v>
      </c>
      <c r="K58" s="239" t="n">
        <v>1</v>
      </c>
      <c r="L58" s="239" t="s">
        <v>7551</v>
      </c>
      <c r="M58" s="6" t="s">
        <v>8575</v>
      </c>
      <c r="N58" s="239" t="s">
        <v>7553</v>
      </c>
      <c r="O58" s="30" t="s">
        <v>7554</v>
      </c>
      <c r="P58" s="30" t="s">
        <v>751</v>
      </c>
      <c r="Q58" s="30" t="s">
        <v>8564</v>
      </c>
      <c r="R58" s="30" t="s">
        <v>8576</v>
      </c>
      <c r="S58" s="30" t="s">
        <v>751</v>
      </c>
      <c r="T58" s="30" t="s">
        <v>751</v>
      </c>
      <c r="U58" s="30" t="s">
        <v>8565</v>
      </c>
      <c r="V58" s="6" t="s">
        <v>751</v>
      </c>
      <c r="W58" s="6" t="s">
        <v>8577</v>
      </c>
      <c r="X58" s="32" t="n">
        <f aca="false">IF($O58="Active",SUMPRODUCT(($AH$5:$AH$132=$AH58)*1),0)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0</v>
      </c>
      <c r="AH58" s="44" t="str">
        <f aca="false">IF($O58="Active",$B58&amp;"¦"&amp;$G58&amp;"¦"&amp;$H58,"")</f>
        <v>MLPerf v6.1 DeepSeek-R1 offline：GB300 NVL72（Nebius）¦offline；available；inferred=0¦Nebius GB300 NVL72（Nebius 提交；72 GPU）</v>
      </c>
    </row>
    <row r="59" customFormat="false" ht="133.5" hidden="false" customHeight="true" outlineLevel="0" collapsed="false">
      <c r="A59" s="30" t="s">
        <v>8578</v>
      </c>
      <c r="B59" s="6" t="s">
        <v>8579</v>
      </c>
      <c r="C59" s="241" t="n">
        <v>603023</v>
      </c>
      <c r="D59" s="239"/>
      <c r="E59" s="239"/>
      <c r="F59" s="30" t="s">
        <v>8424</v>
      </c>
      <c r="G59" s="30" t="s">
        <v>8580</v>
      </c>
      <c r="H59" s="30" t="s">
        <v>8574</v>
      </c>
      <c r="I59" s="30" t="s">
        <v>8562</v>
      </c>
      <c r="J59" s="6" t="s">
        <v>8444</v>
      </c>
      <c r="K59" s="239" t="n">
        <v>1</v>
      </c>
      <c r="L59" s="239" t="s">
        <v>7551</v>
      </c>
      <c r="M59" s="6" t="s">
        <v>8575</v>
      </c>
      <c r="N59" s="239" t="s">
        <v>7553</v>
      </c>
      <c r="O59" s="30" t="s">
        <v>7554</v>
      </c>
      <c r="P59" s="30" t="s">
        <v>751</v>
      </c>
      <c r="Q59" s="30" t="s">
        <v>8564</v>
      </c>
      <c r="R59" s="30" t="s">
        <v>8581</v>
      </c>
      <c r="S59" s="30" t="s">
        <v>751</v>
      </c>
      <c r="T59" s="30" t="s">
        <v>751</v>
      </c>
      <c r="U59" s="30" t="s">
        <v>8565</v>
      </c>
      <c r="V59" s="6" t="s">
        <v>751</v>
      </c>
      <c r="W59" s="6" t="s">
        <v>8577</v>
      </c>
      <c r="X59" s="32" t="n">
        <f aca="false">IF($O59="Active",SUMPRODUCT(($AH$5:$AH$132=$AH59)*1),0)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0</v>
      </c>
      <c r="AH59" s="44" t="str">
        <f aca="false">IF($O59="Active",$B59&amp;"¦"&amp;$G59&amp;"¦"&amp;$H59,"")</f>
        <v>MLPerf v6.1 DeepSeek-R1 server：GB300 NVL72（Nebius）¦server；available；inferred=0¦Nebius GB300 NVL72（Nebius 提交；72 GPU）</v>
      </c>
    </row>
    <row r="60" customFormat="false" ht="133.5" hidden="false" customHeight="true" outlineLevel="0" collapsed="false">
      <c r="A60" s="30" t="s">
        <v>6188</v>
      </c>
      <c r="B60" s="6" t="s">
        <v>8582</v>
      </c>
      <c r="C60" s="241" t="n">
        <v>1183326.9</v>
      </c>
      <c r="D60" s="239"/>
      <c r="E60" s="239"/>
      <c r="F60" s="30" t="s">
        <v>8424</v>
      </c>
      <c r="G60" s="30" t="s">
        <v>8560</v>
      </c>
      <c r="H60" s="30" t="s">
        <v>8583</v>
      </c>
      <c r="I60" s="30" t="s">
        <v>8562</v>
      </c>
      <c r="J60" s="6" t="s">
        <v>8444</v>
      </c>
      <c r="K60" s="239" t="n">
        <v>1</v>
      </c>
      <c r="L60" s="239" t="s">
        <v>7551</v>
      </c>
      <c r="M60" s="6" t="s">
        <v>8563</v>
      </c>
      <c r="N60" s="239" t="s">
        <v>7553</v>
      </c>
      <c r="O60" s="30" t="s">
        <v>7554</v>
      </c>
      <c r="P60" s="30" t="s">
        <v>751</v>
      </c>
      <c r="Q60" s="30" t="s">
        <v>8564</v>
      </c>
      <c r="R60" s="30" t="s">
        <v>8557</v>
      </c>
      <c r="S60" s="30" t="s">
        <v>751</v>
      </c>
      <c r="T60" s="30" t="s">
        <v>751</v>
      </c>
      <c r="U60" s="30" t="s">
        <v>8565</v>
      </c>
      <c r="V60" s="6" t="s">
        <v>751</v>
      </c>
      <c r="W60" s="6" t="s">
        <v>8584</v>
      </c>
      <c r="X60" s="32" t="n">
        <f aca="false">IF($O60="Active",SUMPRODUCT(($AH$5:$AH$132=$AH60)*1),0)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0</v>
      </c>
      <c r="AH60" s="44" t="str">
        <f aca="false">IF($O60="Active",$B60&amp;"¦"&amp;$G60&amp;"¦"&amp;$H60,"")</f>
        <v>MLPerf v6.1 DeepSeek-R1 offline：VR200 NVL72（NVIDIA）¦offline；預覽類（preview）；inferred=1¦NVIDIA Vera Rubin NVL72（NVIDIA 提交；72 GPU）</v>
      </c>
    </row>
    <row r="61" customFormat="false" ht="133.5" hidden="false" customHeight="true" outlineLevel="0" collapsed="false">
      <c r="A61" s="30" t="s">
        <v>8570</v>
      </c>
      <c r="B61" s="6" t="s">
        <v>8585</v>
      </c>
      <c r="C61" s="241" t="n">
        <v>1175890.2</v>
      </c>
      <c r="D61" s="239"/>
      <c r="E61" s="239"/>
      <c r="F61" s="30" t="s">
        <v>8424</v>
      </c>
      <c r="G61" s="30" t="s">
        <v>8569</v>
      </c>
      <c r="H61" s="30" t="s">
        <v>8583</v>
      </c>
      <c r="I61" s="30" t="s">
        <v>8562</v>
      </c>
      <c r="J61" s="6" t="s">
        <v>8444</v>
      </c>
      <c r="K61" s="239" t="n">
        <v>1</v>
      </c>
      <c r="L61" s="239" t="s">
        <v>7551</v>
      </c>
      <c r="M61" s="6" t="s">
        <v>8563</v>
      </c>
      <c r="N61" s="239" t="s">
        <v>7553</v>
      </c>
      <c r="O61" s="30" t="s">
        <v>7554</v>
      </c>
      <c r="P61" s="30" t="s">
        <v>751</v>
      </c>
      <c r="Q61" s="30" t="s">
        <v>8564</v>
      </c>
      <c r="R61" s="30" t="s">
        <v>8567</v>
      </c>
      <c r="S61" s="30" t="s">
        <v>751</v>
      </c>
      <c r="T61" s="30" t="s">
        <v>751</v>
      </c>
      <c r="U61" s="30" t="s">
        <v>8565</v>
      </c>
      <c r="V61" s="6" t="s">
        <v>751</v>
      </c>
      <c r="W61" s="6" t="s">
        <v>8584</v>
      </c>
      <c r="X61" s="32" t="n">
        <f aca="false">IF($O61="Active",SUMPRODUCT(($AH$5:$AH$132=$AH61)*1),0)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0</v>
      </c>
      <c r="AH61" s="44" t="str">
        <f aca="false">IF($O61="Active",$B61&amp;"¦"&amp;$G61&amp;"¦"&amp;$H61,"")</f>
        <v>MLPerf v6.1 DeepSeek-R1 server：VR200 NVL72（NVIDIA）¦server；預覽類（preview）；inferred=1¦NVIDIA Vera Rubin NVL72（NVIDIA 提交；72 GPU）</v>
      </c>
    </row>
    <row r="62" customFormat="false" ht="133.5" hidden="false" customHeight="true" outlineLevel="0" collapsed="false">
      <c r="A62" s="30" t="s">
        <v>8576</v>
      </c>
      <c r="B62" s="6" t="s">
        <v>8586</v>
      </c>
      <c r="C62" s="241" t="n">
        <v>679740</v>
      </c>
      <c r="D62" s="239"/>
      <c r="E62" s="239"/>
      <c r="F62" s="30" t="s">
        <v>8424</v>
      </c>
      <c r="G62" s="30" t="s">
        <v>8573</v>
      </c>
      <c r="H62" s="30" t="s">
        <v>8587</v>
      </c>
      <c r="I62" s="30" t="s">
        <v>8562</v>
      </c>
      <c r="J62" s="6" t="s">
        <v>8444</v>
      </c>
      <c r="K62" s="239" t="n">
        <v>1</v>
      </c>
      <c r="L62" s="239" t="s">
        <v>7551</v>
      </c>
      <c r="M62" s="6" t="s">
        <v>8575</v>
      </c>
      <c r="N62" s="239" t="s">
        <v>7553</v>
      </c>
      <c r="O62" s="30" t="s">
        <v>7554</v>
      </c>
      <c r="P62" s="30" t="s">
        <v>751</v>
      </c>
      <c r="Q62" s="30" t="s">
        <v>8564</v>
      </c>
      <c r="R62" s="30" t="s">
        <v>8571</v>
      </c>
      <c r="S62" s="30" t="s">
        <v>751</v>
      </c>
      <c r="T62" s="30" t="s">
        <v>751</v>
      </c>
      <c r="U62" s="30" t="s">
        <v>8565</v>
      </c>
      <c r="V62" s="6" t="s">
        <v>751</v>
      </c>
      <c r="W62" s="6" t="s">
        <v>8588</v>
      </c>
      <c r="X62" s="32" t="n">
        <f aca="false">IF($O62="Active",SUMPRODUCT(($AH$5:$AH$132=$AH62)*1),0)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0</v>
      </c>
      <c r="AH62" s="44" t="str">
        <f aca="false">IF($O62="Active",$B62&amp;"¦"&amp;$G62&amp;"¦"&amp;$H62,"")</f>
        <v>MLPerf v6.1 DeepSeek-R1 offline：GB300 NVL72（NVIDIA）¦offline；available；inferred=0¦NVIDIA GB300 NVL72（NVIDIA 提交；72 GPU）</v>
      </c>
    </row>
    <row r="63" customFormat="false" ht="133.5" hidden="false" customHeight="true" outlineLevel="0" collapsed="false">
      <c r="A63" s="30" t="s">
        <v>8581</v>
      </c>
      <c r="B63" s="6" t="s">
        <v>8589</v>
      </c>
      <c r="C63" s="241" t="n">
        <v>596944</v>
      </c>
      <c r="D63" s="239"/>
      <c r="E63" s="239"/>
      <c r="F63" s="30" t="s">
        <v>8424</v>
      </c>
      <c r="G63" s="30" t="s">
        <v>8580</v>
      </c>
      <c r="H63" s="30" t="s">
        <v>8587</v>
      </c>
      <c r="I63" s="30" t="s">
        <v>8562</v>
      </c>
      <c r="J63" s="6" t="s">
        <v>8444</v>
      </c>
      <c r="K63" s="239" t="n">
        <v>1</v>
      </c>
      <c r="L63" s="239" t="s">
        <v>7551</v>
      </c>
      <c r="M63" s="6" t="s">
        <v>8575</v>
      </c>
      <c r="N63" s="239" t="s">
        <v>7553</v>
      </c>
      <c r="O63" s="30" t="s">
        <v>7554</v>
      </c>
      <c r="P63" s="30" t="s">
        <v>751</v>
      </c>
      <c r="Q63" s="30" t="s">
        <v>8564</v>
      </c>
      <c r="R63" s="30" t="s">
        <v>8578</v>
      </c>
      <c r="S63" s="30" t="s">
        <v>751</v>
      </c>
      <c r="T63" s="30" t="s">
        <v>751</v>
      </c>
      <c r="U63" s="30" t="s">
        <v>8565</v>
      </c>
      <c r="V63" s="6" t="s">
        <v>751</v>
      </c>
      <c r="W63" s="6" t="s">
        <v>8588</v>
      </c>
      <c r="X63" s="32" t="n">
        <f aca="false">IF($O63="Active",SUMPRODUCT(($AH$5:$AH$132=$AH63)*1),0)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MLPerf v6.1 DeepSeek-R1 server：GB300 NVL72（NVIDIA）¦server；available；inferred=0¦NVIDIA GB300 NVL72（NVIDIA 提交；72 GPU）</v>
      </c>
    </row>
    <row r="64" customFormat="false" ht="57.75" hidden="false" customHeight="true" outlineLevel="0" collapsed="false">
      <c r="A64" s="30" t="s">
        <v>8590</v>
      </c>
      <c r="B64" s="6" t="s">
        <v>8591</v>
      </c>
      <c r="C64" s="241" t="n">
        <v>556</v>
      </c>
      <c r="D64" s="205"/>
      <c r="E64" s="205"/>
      <c r="F64" s="30" t="s">
        <v>8438</v>
      </c>
      <c r="G64" s="30" t="s">
        <v>8592</v>
      </c>
      <c r="H64" s="30" t="s">
        <v>8593</v>
      </c>
      <c r="I64" s="30" t="s">
        <v>8455</v>
      </c>
      <c r="J64" s="6" t="s">
        <v>8594</v>
      </c>
      <c r="K64" s="205" t="n">
        <v>2</v>
      </c>
      <c r="L64" s="205" t="s">
        <v>7551</v>
      </c>
      <c r="M64" s="6" t="s">
        <v>8595</v>
      </c>
      <c r="N64" s="205" t="s">
        <v>8596</v>
      </c>
      <c r="O64" s="30" t="s">
        <v>7554</v>
      </c>
      <c r="P64" s="30" t="s">
        <v>751</v>
      </c>
      <c r="Q64" s="30" t="s">
        <v>8597</v>
      </c>
      <c r="R64" s="30" t="s">
        <v>751</v>
      </c>
      <c r="S64" s="30" t="s">
        <v>751</v>
      </c>
      <c r="T64" s="30" t="s">
        <v>751</v>
      </c>
      <c r="U64" s="30" t="s">
        <v>8598</v>
      </c>
      <c r="V64" s="6" t="s">
        <v>8599</v>
      </c>
      <c r="W64" s="6" t="s">
        <v>8600</v>
      </c>
      <c r="X64" s="32" t="n">
        <f aca="false">IF($O64="Active",SUMPRODUCT(($AH$5:$AH$132=$AH64)*1),0)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MLPerf v5.1 DeepSeek-R1 server：DGX H200（8 GPU）每 GPU¦server；Closed；NVIDIA 註明 Hopper 結果未經 MLCommons 驗證¦DGX H200（8 GPU；NVIDIA 提交）</v>
      </c>
    </row>
    <row r="65" customFormat="false" ht="43.5" hidden="false" customHeight="true" outlineLevel="0" collapsed="false">
      <c r="A65" s="30" t="s">
        <v>8601</v>
      </c>
      <c r="B65" s="6" t="s">
        <v>8602</v>
      </c>
      <c r="C65" s="241" t="n">
        <v>2327</v>
      </c>
      <c r="D65" s="205"/>
      <c r="E65" s="205"/>
      <c r="F65" s="30" t="s">
        <v>8438</v>
      </c>
      <c r="G65" s="30" t="s">
        <v>8603</v>
      </c>
      <c r="H65" s="30" t="s">
        <v>8604</v>
      </c>
      <c r="I65" s="30" t="s">
        <v>8455</v>
      </c>
      <c r="J65" s="6" t="s">
        <v>8594</v>
      </c>
      <c r="K65" s="205" t="n">
        <v>2</v>
      </c>
      <c r="L65" s="205" t="s">
        <v>7551</v>
      </c>
      <c r="M65" s="6" t="s">
        <v>8605</v>
      </c>
      <c r="N65" s="205" t="s">
        <v>8596</v>
      </c>
      <c r="O65" s="30" t="s">
        <v>7554</v>
      </c>
      <c r="P65" s="30" t="s">
        <v>751</v>
      </c>
      <c r="Q65" s="30" t="s">
        <v>8597</v>
      </c>
      <c r="R65" s="30" t="s">
        <v>751</v>
      </c>
      <c r="S65" s="30" t="s">
        <v>751</v>
      </c>
      <c r="T65" s="30" t="s">
        <v>751</v>
      </c>
      <c r="U65" s="30" t="s">
        <v>8598</v>
      </c>
      <c r="V65" s="6" t="s">
        <v>8606</v>
      </c>
      <c r="W65" s="6" t="s">
        <v>8607</v>
      </c>
      <c r="X65" s="32" t="n">
        <f aca="false">IF($O65="Active",SUMPRODUCT(($AH$5:$AH$132=$AH65)*1),0)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MLPerf v5.1 DeepSeek-R1 server：GB200 NVL72（72 GPU）每 GPU¦server；Closed¦GB200 NVL72（NVIDIA 提交）</v>
      </c>
    </row>
    <row r="66" customFormat="false" ht="43.5" hidden="false" customHeight="true" outlineLevel="0" collapsed="false">
      <c r="A66" s="30" t="s">
        <v>8608</v>
      </c>
      <c r="B66" s="6" t="s">
        <v>8609</v>
      </c>
      <c r="C66" s="241" t="n">
        <v>2785</v>
      </c>
      <c r="D66" s="205"/>
      <c r="E66" s="205"/>
      <c r="F66" s="30" t="s">
        <v>8610</v>
      </c>
      <c r="G66" s="205" t="s">
        <v>8611</v>
      </c>
      <c r="H66" s="30" t="s">
        <v>8612</v>
      </c>
      <c r="I66" s="30" t="s">
        <v>8167</v>
      </c>
      <c r="J66" s="6" t="s">
        <v>8594</v>
      </c>
      <c r="K66" s="205" t="n">
        <v>2</v>
      </c>
      <c r="L66" s="205" t="s">
        <v>7551</v>
      </c>
      <c r="M66" s="243" t="s">
        <v>8613</v>
      </c>
      <c r="N66" s="205" t="s">
        <v>8596</v>
      </c>
      <c r="O66" s="30" t="s">
        <v>7554</v>
      </c>
      <c r="P66" s="30" t="s">
        <v>751</v>
      </c>
      <c r="Q66" s="30" t="s">
        <v>8597</v>
      </c>
      <c r="R66" s="30" t="s">
        <v>751</v>
      </c>
      <c r="S66" s="30" t="s">
        <v>751</v>
      </c>
      <c r="T66" s="30" t="s">
        <v>751</v>
      </c>
      <c r="U66" s="30" t="s">
        <v>8598</v>
      </c>
      <c r="V66" s="6" t="s">
        <v>8614</v>
      </c>
      <c r="W66" s="6" t="s">
        <v>8615</v>
      </c>
      <c r="X66" s="32" t="n">
        <f aca="false">IF($O66="Active",SUMPRODUCT(($AH$5:$AH$132=$AH66)*1),0)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LMSYS／SGLang DeepSeek-V3 decode：96×H100 每 GPU¦輸入 2,000；ITL 約 100 ms；TTFT 2–5 秒；無明確 SLO；PD 分離¦Hopper H100（Atlas Cloud 機器）</v>
      </c>
    </row>
    <row r="67" customFormat="false" ht="43.5" hidden="false" customHeight="true" outlineLevel="0" collapsed="false">
      <c r="A67" s="30" t="s">
        <v>8616</v>
      </c>
      <c r="B67" s="6" t="s">
        <v>8617</v>
      </c>
      <c r="C67" s="241" t="n">
        <v>13386</v>
      </c>
      <c r="D67" s="205"/>
      <c r="E67" s="205"/>
      <c r="F67" s="30" t="s">
        <v>8610</v>
      </c>
      <c r="G67" s="30" t="s">
        <v>8618</v>
      </c>
      <c r="H67" s="30" t="s">
        <v>188</v>
      </c>
      <c r="I67" s="30" t="s">
        <v>8455</v>
      </c>
      <c r="J67" s="6" t="s">
        <v>8594</v>
      </c>
      <c r="K67" s="205" t="n">
        <v>2</v>
      </c>
      <c r="L67" s="205" t="s">
        <v>7551</v>
      </c>
      <c r="M67" s="243" t="s">
        <v>8619</v>
      </c>
      <c r="N67" s="205" t="s">
        <v>8596</v>
      </c>
      <c r="O67" s="30" t="s">
        <v>7554</v>
      </c>
      <c r="P67" s="30" t="s">
        <v>751</v>
      </c>
      <c r="Q67" s="30" t="s">
        <v>8597</v>
      </c>
      <c r="R67" s="30" t="s">
        <v>751</v>
      </c>
      <c r="S67" s="30" t="s">
        <v>751</v>
      </c>
      <c r="T67" s="30" t="s">
        <v>751</v>
      </c>
      <c r="U67" s="30" t="s">
        <v>8598</v>
      </c>
      <c r="V67" s="6" t="s">
        <v>8620</v>
      </c>
      <c r="W67" s="6" t="s">
        <v>8621</v>
      </c>
      <c r="X67" s="32" t="n">
        <f aca="false">IF($O67="Active",SUMPRODUCT(($AH$5:$AH$132=$AH67)*1),0)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LMSYS／SGLang DeepSeek decode：GB200 NVL72 每 GPU（NVFP4）¦NVFP4；輸入 2,000；decode 48 rank；無 TPOT；原精度為 9,087¦GB200 NVL72</v>
      </c>
    </row>
    <row r="68" customFormat="false" ht="43.5" hidden="false" customHeight="true" outlineLevel="0" collapsed="false">
      <c r="A68" s="30" t="s">
        <v>8622</v>
      </c>
      <c r="B68" s="6" t="s">
        <v>8623</v>
      </c>
      <c r="C68" s="241" t="n">
        <v>0.11</v>
      </c>
      <c r="D68" s="205"/>
      <c r="E68" s="205"/>
      <c r="F68" s="30" t="s">
        <v>118</v>
      </c>
      <c r="G68" s="30" t="s">
        <v>8624</v>
      </c>
      <c r="H68" s="30" t="s">
        <v>8625</v>
      </c>
      <c r="I68" s="30" t="s">
        <v>8626</v>
      </c>
      <c r="J68" s="6" t="s">
        <v>8627</v>
      </c>
      <c r="K68" s="205" t="n">
        <v>2</v>
      </c>
      <c r="L68" s="205" t="s">
        <v>7658</v>
      </c>
      <c r="M68" s="243" t="s">
        <v>8628</v>
      </c>
      <c r="N68" s="205" t="s">
        <v>8596</v>
      </c>
      <c r="O68" s="30" t="s">
        <v>7554</v>
      </c>
      <c r="P68" s="30" t="s">
        <v>751</v>
      </c>
      <c r="Q68" s="30" t="s">
        <v>8597</v>
      </c>
      <c r="R68" s="30" t="s">
        <v>751</v>
      </c>
      <c r="S68" s="30" t="s">
        <v>751</v>
      </c>
      <c r="T68" s="30" t="s">
        <v>751</v>
      </c>
      <c r="U68" s="30" t="s">
        <v>8598</v>
      </c>
      <c r="V68" s="6" t="s">
        <v>8629</v>
      </c>
      <c r="W68" s="6" t="s">
        <v>8630</v>
      </c>
      <c r="X68" s="32" t="n">
        <f aca="false">IF($O68="Active",SUMPRODUCT(($AH$5:$AH$132=$AH68)*1),0)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0</v>
      </c>
      <c r="AH68" s="44" t="str">
        <f aca="false">IF($O68="Active",$B68&amp;"¦"&amp;$G68&amp;"¦"&amp;$H68,"")</f>
        <v>Olmo 3 32B Think：RL ÷ 預訓練 GPU 時間¦GPU 天比（RL continuation 21 天 × 224 GPU ÷ 預訓練約 43,300 GPU 天，3A 本表相除）¦Olmo 3 32B Think（AI2）</v>
      </c>
    </row>
    <row r="69" customFormat="false" ht="43.5" hidden="false" customHeight="true" outlineLevel="0" collapsed="false">
      <c r="A69" s="30" t="s">
        <v>8631</v>
      </c>
      <c r="B69" s="6" t="s">
        <v>8632</v>
      </c>
      <c r="C69" s="205"/>
      <c r="D69" s="241" t="n">
        <v>0.1</v>
      </c>
      <c r="E69" s="205"/>
      <c r="F69" s="30" t="s">
        <v>118</v>
      </c>
      <c r="G69" s="205" t="s">
        <v>8633</v>
      </c>
      <c r="H69" s="30" t="s">
        <v>8634</v>
      </c>
      <c r="I69" s="30" t="s">
        <v>8626</v>
      </c>
      <c r="J69" s="6" t="s">
        <v>8627</v>
      </c>
      <c r="K69" s="205" t="n">
        <v>2</v>
      </c>
      <c r="L69" s="205" t="s">
        <v>7551</v>
      </c>
      <c r="M69" s="243" t="s">
        <v>8635</v>
      </c>
      <c r="N69" s="205" t="s">
        <v>8596</v>
      </c>
      <c r="O69" s="30" t="s">
        <v>7554</v>
      </c>
      <c r="P69" s="30" t="s">
        <v>751</v>
      </c>
      <c r="Q69" s="30" t="s">
        <v>8597</v>
      </c>
      <c r="R69" s="30" t="s">
        <v>751</v>
      </c>
      <c r="S69" s="30" t="s">
        <v>751</v>
      </c>
      <c r="T69" s="30" t="s">
        <v>751</v>
      </c>
      <c r="U69" s="30" t="s">
        <v>8598</v>
      </c>
      <c r="V69" s="6" t="s">
        <v>8629</v>
      </c>
      <c r="W69" s="6" t="s">
        <v>8636</v>
      </c>
      <c r="X69" s="32" t="n">
        <f aca="false">IF($O69="Active",SUMPRODUCT(($AH$5:$AH$132=$AH69)*1),0)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DeepSeek-V3.2：後訓練預算 ÷ 預訓練成本（下限式）¦成本口徑（下限式：超過 10%）¦DeepSeek-V3.2</v>
      </c>
    </row>
    <row r="70" customFormat="false" ht="29.85" hidden="false" customHeight="false" outlineLevel="0" collapsed="false">
      <c r="A70" s="62" t="s">
        <v>5158</v>
      </c>
      <c r="B70" s="5" t="s">
        <v>8637</v>
      </c>
      <c r="C70" s="136" t="n">
        <v>116.5</v>
      </c>
      <c r="D70" s="61"/>
      <c r="E70" s="61"/>
      <c r="F70" s="62" t="s">
        <v>8389</v>
      </c>
      <c r="G70" s="61" t="s">
        <v>8638</v>
      </c>
      <c r="H70" s="62" t="s">
        <v>1369</v>
      </c>
      <c r="I70" s="62" t="s">
        <v>8639</v>
      </c>
      <c r="J70" s="6" t="s">
        <v>8640</v>
      </c>
      <c r="K70" s="61" t="n">
        <v>2</v>
      </c>
      <c r="L70" s="61" t="s">
        <v>7658</v>
      </c>
      <c r="M70" s="5" t="s">
        <v>8641</v>
      </c>
      <c r="N70" s="61" t="s">
        <v>8642</v>
      </c>
      <c r="O70" s="62" t="s">
        <v>7554</v>
      </c>
      <c r="P70" s="62" t="s">
        <v>751</v>
      </c>
      <c r="Q70" s="62" t="s">
        <v>8643</v>
      </c>
      <c r="R70" s="62" t="s">
        <v>8644</v>
      </c>
      <c r="S70" s="62" t="s">
        <v>751</v>
      </c>
      <c r="T70" s="62" t="s">
        <v>751</v>
      </c>
      <c r="U70" s="62" t="s">
        <v>8645</v>
      </c>
      <c r="V70" s="6" t="s">
        <v>8646</v>
      </c>
      <c r="W70" s="6" t="s">
        <v>8647</v>
      </c>
      <c r="X70" s="105" t="n">
        <f aca="false">IF($O70="Active",SUMPRODUCT(($AH$5:$AH$132=$AH70)*1),0)</f>
        <v>1</v>
      </c>
      <c r="Y70" s="105" t="n">
        <f aca="false">IF(AND($O70="Active",OR($Q70="—",$Q70="")),1,0)</f>
        <v>0</v>
      </c>
      <c r="Z70" s="105" t="n">
        <f aca="false">IF(AND($O70="Active",$L70="利害關係方",OR($R70="—",$R70="")),1,0)</f>
        <v>0</v>
      </c>
      <c r="AH70" s="61" t="str">
        <f aca="false">IF($O70="Active",$B70&amp;"¦"&amp;$G70&amp;"¦"&amp;$H70,"")</f>
        <v>輸出速度（AA 中位）：GPT-6 Luna¦每用戶輸出速度（首 chunk 之後）；Artificial Analysis（第三方量測商；以 API 探測請求量測，OpenAI 端點，72 小時中位數，10K 輸入探測）¦GPT-6 Luna</v>
      </c>
    </row>
    <row r="71" customFormat="false" ht="44" hidden="false" customHeight="false" outlineLevel="0" collapsed="false">
      <c r="A71" s="62" t="s">
        <v>8644</v>
      </c>
      <c r="B71" s="5" t="s">
        <v>8648</v>
      </c>
      <c r="C71" s="136" t="n">
        <v>61</v>
      </c>
      <c r="D71" s="61"/>
      <c r="E71" s="61"/>
      <c r="F71" s="62" t="s">
        <v>8389</v>
      </c>
      <c r="G71" s="61" t="s">
        <v>8649</v>
      </c>
      <c r="H71" s="62" t="s">
        <v>1369</v>
      </c>
      <c r="I71" s="62" t="s">
        <v>8639</v>
      </c>
      <c r="J71" s="6" t="s">
        <v>8650</v>
      </c>
      <c r="K71" s="61" t="n">
        <v>2</v>
      </c>
      <c r="L71" s="61" t="s">
        <v>7658</v>
      </c>
      <c r="M71" s="5" t="s">
        <v>8651</v>
      </c>
      <c r="N71" s="61" t="s">
        <v>8642</v>
      </c>
      <c r="O71" s="62" t="s">
        <v>7554</v>
      </c>
      <c r="P71" s="62" t="s">
        <v>751</v>
      </c>
      <c r="Q71" s="62" t="s">
        <v>8643</v>
      </c>
      <c r="R71" s="62" t="s">
        <v>5158</v>
      </c>
      <c r="S71" s="62" t="s">
        <v>751</v>
      </c>
      <c r="T71" s="62" t="s">
        <v>751</v>
      </c>
      <c r="U71" s="62" t="s">
        <v>8645</v>
      </c>
      <c r="V71" s="6" t="s">
        <v>8646</v>
      </c>
      <c r="W71" s="6" t="s">
        <v>8652</v>
      </c>
      <c r="X71" s="105" t="n">
        <f aca="false">IF($O71="Active",SUMPRODUCT(($AH$5:$AH$132=$AH71)*1),0)</f>
        <v>1</v>
      </c>
      <c r="Y71" s="105" t="n">
        <f aca="false">IF(AND($O71="Active",OR($Q71="—",$Q71="")),1,0)</f>
        <v>0</v>
      </c>
      <c r="Z71" s="105" t="n">
        <f aca="false">IF(AND($O71="Active",$L71="利害關係方",OR($R71="—",$R71="")),1,0)</f>
        <v>0</v>
      </c>
      <c r="AH71" s="61" t="str">
        <f aca="false">IF($O71="Active",$B71&amp;"¦"&amp;$G71&amp;"¦"&amp;$H71,"")</f>
        <v>輸出速度（OpenRouter P50）：GPT-6 Luna¦每用戶輸出速度；OpenRouter（路由商；OpenAI 端點，實際流量 P50）¦GPT-6 Luna</v>
      </c>
    </row>
    <row r="72" customFormat="false" ht="44" hidden="false" customHeight="false" outlineLevel="0" collapsed="false">
      <c r="A72" s="62" t="s">
        <v>5165</v>
      </c>
      <c r="B72" s="5" t="s">
        <v>8653</v>
      </c>
      <c r="C72" s="136" t="n">
        <v>50.7</v>
      </c>
      <c r="D72" s="61"/>
      <c r="E72" s="61"/>
      <c r="F72" s="62" t="s">
        <v>8389</v>
      </c>
      <c r="G72" s="61" t="s">
        <v>8638</v>
      </c>
      <c r="H72" s="62" t="s">
        <v>8654</v>
      </c>
      <c r="I72" s="62" t="s">
        <v>8639</v>
      </c>
      <c r="J72" s="6" t="s">
        <v>8655</v>
      </c>
      <c r="K72" s="61" t="n">
        <v>2</v>
      </c>
      <c r="L72" s="61" t="s">
        <v>7658</v>
      </c>
      <c r="M72" s="5" t="s">
        <v>8656</v>
      </c>
      <c r="N72" s="61" t="s">
        <v>8642</v>
      </c>
      <c r="O72" s="62" t="s">
        <v>7554</v>
      </c>
      <c r="P72" s="62" t="s">
        <v>751</v>
      </c>
      <c r="Q72" s="62" t="s">
        <v>8643</v>
      </c>
      <c r="R72" s="62" t="s">
        <v>8657</v>
      </c>
      <c r="S72" s="62" t="s">
        <v>751</v>
      </c>
      <c r="T72" s="62" t="s">
        <v>751</v>
      </c>
      <c r="U72" s="62" t="s">
        <v>8645</v>
      </c>
      <c r="V72" s="6" t="s">
        <v>8658</v>
      </c>
      <c r="W72" s="6" t="s">
        <v>8659</v>
      </c>
      <c r="X72" s="105" t="n">
        <f aca="false">IF($O72="Active",SUMPRODUCT(($AH$5:$AH$132=$AH72)*1),0)</f>
        <v>1</v>
      </c>
      <c r="Y72" s="105" t="n">
        <f aca="false">IF(AND($O72="Active",OR($Q72="—",$Q72="")),1,0)</f>
        <v>0</v>
      </c>
      <c r="Z72" s="105" t="n">
        <f aca="false">IF(AND($O72="Active",$L72="利害關係方",OR($R72="—",$R72="")),1,0)</f>
        <v>0</v>
      </c>
      <c r="AH72" s="61" t="str">
        <f aca="false">IF($O72="Active",$B72&amp;"¦"&amp;$G72&amp;"¦"&amp;$H72,"")</f>
        <v>輸出速度（AA 中位）：GPT-6.1 Sol (medium)¦每用戶輸出速度（首 chunk 之後）；Artificial Analysis（第三方量測商；以 API 探測請求量測，OpenAI 端點，72 小時中位數，10K 輸入探測）¦GPT-6.1 Sol (medium)</v>
      </c>
    </row>
    <row r="73" customFormat="false" ht="29.85" hidden="false" customHeight="false" outlineLevel="0" collapsed="false">
      <c r="A73" s="62" t="s">
        <v>8657</v>
      </c>
      <c r="B73" s="5" t="s">
        <v>8660</v>
      </c>
      <c r="C73" s="136" t="n">
        <v>37</v>
      </c>
      <c r="D73" s="61"/>
      <c r="E73" s="61"/>
      <c r="F73" s="62" t="s">
        <v>8389</v>
      </c>
      <c r="G73" s="61" t="s">
        <v>8649</v>
      </c>
      <c r="H73" s="62" t="s">
        <v>8661</v>
      </c>
      <c r="I73" s="62" t="s">
        <v>8639</v>
      </c>
      <c r="J73" s="6" t="s">
        <v>8662</v>
      </c>
      <c r="K73" s="61" t="n">
        <v>2</v>
      </c>
      <c r="L73" s="61" t="s">
        <v>7658</v>
      </c>
      <c r="M73" s="5" t="s">
        <v>8663</v>
      </c>
      <c r="N73" s="61" t="s">
        <v>8642</v>
      </c>
      <c r="O73" s="62" t="s">
        <v>7554</v>
      </c>
      <c r="P73" s="62" t="s">
        <v>751</v>
      </c>
      <c r="Q73" s="62" t="s">
        <v>8643</v>
      </c>
      <c r="R73" s="62" t="s">
        <v>5165</v>
      </c>
      <c r="S73" s="62" t="s">
        <v>751</v>
      </c>
      <c r="T73" s="62" t="s">
        <v>751</v>
      </c>
      <c r="U73" s="62" t="s">
        <v>8645</v>
      </c>
      <c r="V73" s="6" t="s">
        <v>8658</v>
      </c>
      <c r="W73" s="6" t="s">
        <v>8664</v>
      </c>
      <c r="X73" s="105" t="n">
        <f aca="false">IF($O73="Active",SUMPRODUCT(($AH$5:$AH$132=$AH73)*1),0)</f>
        <v>1</v>
      </c>
      <c r="Y73" s="105" t="n">
        <f aca="false">IF(AND($O73="Active",OR($Q73="—",$Q73="")),1,0)</f>
        <v>0</v>
      </c>
      <c r="Z73" s="105" t="n">
        <f aca="false">IF(AND($O73="Active",$L73="利害關係方",OR($R73="—",$R73="")),1,0)</f>
        <v>0</v>
      </c>
      <c r="AH73" s="61" t="str">
        <f aca="false">IF($O73="Active",$B73&amp;"¦"&amp;$G73&amp;"¦"&amp;$H73,"")</f>
        <v>輸出速度（OpenRouter P50）：GPT-6.1 Sol¦每用戶輸出速度；OpenRouter（路由商；OpenAI 端點，實際流量 P50）¦GPT-6.1 Sol</v>
      </c>
    </row>
    <row r="74" customFormat="false" ht="29.85" hidden="false" customHeight="false" outlineLevel="0" collapsed="false">
      <c r="A74" s="62" t="s">
        <v>5170</v>
      </c>
      <c r="B74" s="5" t="s">
        <v>8665</v>
      </c>
      <c r="C74" s="136" t="n">
        <v>52.1</v>
      </c>
      <c r="D74" s="61"/>
      <c r="E74" s="61"/>
      <c r="F74" s="62" t="s">
        <v>8389</v>
      </c>
      <c r="G74" s="61" t="s">
        <v>8638</v>
      </c>
      <c r="H74" s="62" t="s">
        <v>8666</v>
      </c>
      <c r="I74" s="62" t="s">
        <v>8639</v>
      </c>
      <c r="J74" s="6" t="s">
        <v>8667</v>
      </c>
      <c r="K74" s="61" t="n">
        <v>2</v>
      </c>
      <c r="L74" s="61" t="s">
        <v>7658</v>
      </c>
      <c r="M74" s="5" t="s">
        <v>8656</v>
      </c>
      <c r="N74" s="61" t="s">
        <v>8642</v>
      </c>
      <c r="O74" s="62" t="s">
        <v>7554</v>
      </c>
      <c r="P74" s="62" t="s">
        <v>751</v>
      </c>
      <c r="Q74" s="62" t="s">
        <v>8643</v>
      </c>
      <c r="R74" s="62" t="s">
        <v>8668</v>
      </c>
      <c r="S74" s="62" t="s">
        <v>751</v>
      </c>
      <c r="T74" s="62" t="s">
        <v>751</v>
      </c>
      <c r="U74" s="62" t="s">
        <v>8645</v>
      </c>
      <c r="V74" s="6" t="s">
        <v>8669</v>
      </c>
      <c r="W74" s="6" t="s">
        <v>8670</v>
      </c>
      <c r="X74" s="105" t="n">
        <f aca="false">IF($O74="Active",SUMPRODUCT(($AH$5:$AH$132=$AH74)*1),0)</f>
        <v>1</v>
      </c>
      <c r="Y74" s="105" t="n">
        <f aca="false">IF(AND($O74="Active",OR($Q74="—",$Q74="")),1,0)</f>
        <v>0</v>
      </c>
      <c r="Z74" s="105" t="n">
        <f aca="false">IF(AND($O74="Active",$L74="利害關係方",OR($R74="—",$R74="")),1,0)</f>
        <v>0</v>
      </c>
      <c r="AH74" s="61" t="str">
        <f aca="false">IF($O74="Active",$B74&amp;"¦"&amp;$G74&amp;"¦"&amp;$H74,"")</f>
        <v>輸出速度（AA 中位）：GPT-6 Astra (high)¦每用戶輸出速度（首 chunk 之後）；Artificial Analysis（第三方量測商；以 API 探測請求量測，OpenAI 端點，72 小時中位數，10K 輸入探測）¦GPT-6 Astra (high)</v>
      </c>
    </row>
    <row r="75" customFormat="false" ht="29.85" hidden="false" customHeight="false" outlineLevel="0" collapsed="false">
      <c r="A75" s="62" t="s">
        <v>8668</v>
      </c>
      <c r="B75" s="5" t="s">
        <v>8671</v>
      </c>
      <c r="C75" s="136" t="n">
        <v>32</v>
      </c>
      <c r="D75" s="61"/>
      <c r="E75" s="61"/>
      <c r="F75" s="62" t="s">
        <v>8389</v>
      </c>
      <c r="G75" s="61" t="s">
        <v>8649</v>
      </c>
      <c r="H75" s="62" t="s">
        <v>1377</v>
      </c>
      <c r="I75" s="62" t="s">
        <v>8639</v>
      </c>
      <c r="J75" s="6" t="s">
        <v>8672</v>
      </c>
      <c r="K75" s="61" t="n">
        <v>2</v>
      </c>
      <c r="L75" s="61" t="s">
        <v>7658</v>
      </c>
      <c r="M75" s="5" t="s">
        <v>8673</v>
      </c>
      <c r="N75" s="61" t="s">
        <v>8642</v>
      </c>
      <c r="O75" s="62" t="s">
        <v>7554</v>
      </c>
      <c r="P75" s="62" t="s">
        <v>751</v>
      </c>
      <c r="Q75" s="62" t="s">
        <v>8643</v>
      </c>
      <c r="R75" s="62" t="s">
        <v>5170</v>
      </c>
      <c r="S75" s="62" t="s">
        <v>751</v>
      </c>
      <c r="T75" s="62" t="s">
        <v>751</v>
      </c>
      <c r="U75" s="62" t="s">
        <v>8645</v>
      </c>
      <c r="V75" s="6" t="s">
        <v>8669</v>
      </c>
      <c r="W75" s="6" t="s">
        <v>8674</v>
      </c>
      <c r="X75" s="105" t="n">
        <f aca="false">IF($O75="Active",SUMPRODUCT(($AH$5:$AH$132=$AH75)*1),0)</f>
        <v>1</v>
      </c>
      <c r="Y75" s="105" t="n">
        <f aca="false">IF(AND($O75="Active",OR($Q75="—",$Q75="")),1,0)</f>
        <v>0</v>
      </c>
      <c r="Z75" s="105" t="n">
        <f aca="false">IF(AND($O75="Active",$L75="利害關係方",OR($R75="—",$R75="")),1,0)</f>
        <v>0</v>
      </c>
      <c r="AH75" s="61" t="str">
        <f aca="false">IF($O75="Active",$B75&amp;"¦"&amp;$G75&amp;"¦"&amp;$H75,"")</f>
        <v>輸出速度（OpenRouter P50）：GPT-6 Astra¦每用戶輸出速度；OpenRouter（路由商；OpenAI 端點，實際流量 P50）¦GPT-6 Astra</v>
      </c>
    </row>
    <row r="76" customFormat="false" ht="44" hidden="false" customHeight="false" outlineLevel="0" collapsed="false">
      <c r="A76" s="62" t="s">
        <v>8675</v>
      </c>
      <c r="B76" s="6" t="s">
        <v>8676</v>
      </c>
      <c r="C76" s="136" t="n">
        <v>2324</v>
      </c>
      <c r="D76" s="61"/>
      <c r="E76" s="61"/>
      <c r="F76" s="62" t="s">
        <v>8677</v>
      </c>
      <c r="G76" s="61" t="s">
        <v>8678</v>
      </c>
      <c r="H76" s="62" t="s">
        <v>8679</v>
      </c>
      <c r="I76" s="62" t="s">
        <v>8416</v>
      </c>
      <c r="J76" s="6" t="s">
        <v>8680</v>
      </c>
      <c r="K76" s="61" t="n">
        <v>1</v>
      </c>
      <c r="L76" s="61" t="s">
        <v>7551</v>
      </c>
      <c r="M76" s="6" t="s">
        <v>8681</v>
      </c>
      <c r="N76" s="61" t="s">
        <v>8682</v>
      </c>
      <c r="O76" s="62" t="s">
        <v>7554</v>
      </c>
      <c r="P76" s="62" t="s">
        <v>751</v>
      </c>
      <c r="Q76" s="62" t="s">
        <v>8643</v>
      </c>
      <c r="R76" s="62" t="s">
        <v>751</v>
      </c>
      <c r="S76" s="62" t="s">
        <v>751</v>
      </c>
      <c r="T76" s="62" t="s">
        <v>751</v>
      </c>
      <c r="U76" s="62" t="s">
        <v>8645</v>
      </c>
      <c r="V76" s="6" t="s">
        <v>8683</v>
      </c>
      <c r="W76" s="6" t="s">
        <v>8684</v>
      </c>
      <c r="X76" s="105" t="n">
        <f aca="false">IF($O76="Active",SUMPRODUCT(($AH$5:$AH$132=$AH76)*1),0)</f>
        <v>1</v>
      </c>
      <c r="Y76" s="105" t="n">
        <f aca="false">IF(AND($O76="Active",OR($Q76="—",$Q76="")),1,0)</f>
        <v>0</v>
      </c>
      <c r="Z76" s="105" t="n">
        <f aca="false">IF(AND($O76="Active",$L76="利害關係方",OR($R76="—",$R76="")),1,0)</f>
        <v>1</v>
      </c>
      <c r="AH76" s="61" t="str">
        <f aca="false">IF($O76="Active",$B76&amp;"¦"&amp;$G76&amp;"¦"&amp;$H76,"")</f>
        <v>DeepSeek profile decode 每 GPU（H800，EP128，批次 128，4K）¦官方 profile 配置；每 GPU 批次 128；提示長度 4K；兩個 micro-batch 重疊；TPOT 約 55 ms¦DeepSeek-V3/R1 on H800（EP128）</v>
      </c>
    </row>
    <row r="77" customFormat="false" ht="46.25" hidden="false" customHeight="false" outlineLevel="0" collapsed="false">
      <c r="A77" s="62" t="s">
        <v>8685</v>
      </c>
      <c r="B77" s="6" t="s">
        <v>8686</v>
      </c>
      <c r="C77" s="136" t="n">
        <v>1850</v>
      </c>
      <c r="D77" s="61"/>
      <c r="E77" s="61"/>
      <c r="F77" s="62" t="s">
        <v>8677</v>
      </c>
      <c r="G77" s="62" t="s">
        <v>8687</v>
      </c>
      <c r="H77" s="62" t="s">
        <v>8688</v>
      </c>
      <c r="I77" s="62" t="s">
        <v>8689</v>
      </c>
      <c r="J77" s="6" t="s">
        <v>8690</v>
      </c>
      <c r="K77" s="61" t="n">
        <v>1</v>
      </c>
      <c r="L77" s="61" t="s">
        <v>7551</v>
      </c>
      <c r="M77" s="6" t="s">
        <v>8691</v>
      </c>
      <c r="N77" s="61" t="s">
        <v>8692</v>
      </c>
      <c r="O77" s="62" t="s">
        <v>7554</v>
      </c>
      <c r="P77" s="62" t="s">
        <v>751</v>
      </c>
      <c r="Q77" s="62" t="s">
        <v>8643</v>
      </c>
      <c r="R77" s="62" t="s">
        <v>751</v>
      </c>
      <c r="S77" s="62" t="s">
        <v>751</v>
      </c>
      <c r="T77" s="62" t="s">
        <v>751</v>
      </c>
      <c r="U77" s="62" t="s">
        <v>8645</v>
      </c>
      <c r="V77" s="6" t="s">
        <v>8693</v>
      </c>
      <c r="W77" s="6" t="s">
        <v>8694</v>
      </c>
      <c r="X77" s="105" t="n">
        <f aca="false">IF($O77="Active",SUMPRODUCT(($AH$5:$AH$132=$AH77)*1),0)</f>
        <v>1</v>
      </c>
      <c r="Y77" s="105" t="n">
        <f aca="false">IF(AND($O77="Active",OR($Q77="—",$Q77="")),1,0)</f>
        <v>0</v>
      </c>
      <c r="Z77" s="105" t="n">
        <f aca="false">IF(AND($O77="Active",$L77="利害關係方",OR($R77="—",$R77="")),1,0)</f>
        <v>1</v>
      </c>
      <c r="AH77" s="61" t="str">
        <f aca="false">IF($O77="Active",$B77&amp;"¦"&amp;$G77&amp;"¦"&amp;$H77,"")</f>
        <v>DeepSeek 線上服務 decode 每 GPU（H800，24 小時平均）¦24 小時平均（2025-02-27 至 02-28）；平均每用戶輸出 20–22 tok/s；每輸出 token 平均 KV 長度 4,989；decode 單元 18 節點（EP144）¦DeepSeek-V3/R1 on H800（線上服務）</v>
      </c>
    </row>
    <row r="78" customFormat="false" ht="44" hidden="false" customHeight="false" outlineLevel="0" collapsed="false">
      <c r="A78" s="62" t="s">
        <v>8695</v>
      </c>
      <c r="B78" s="6" t="s">
        <v>8696</v>
      </c>
      <c r="C78" s="136" t="n">
        <v>10100</v>
      </c>
      <c r="D78" s="61"/>
      <c r="E78" s="61"/>
      <c r="F78" s="62" t="s">
        <v>8677</v>
      </c>
      <c r="G78" s="62" t="s">
        <v>8697</v>
      </c>
      <c r="H78" s="62" t="s">
        <v>8698</v>
      </c>
      <c r="I78" s="62" t="s">
        <v>8214</v>
      </c>
      <c r="J78" s="6" t="s">
        <v>8699</v>
      </c>
      <c r="K78" s="61" t="n">
        <v>1</v>
      </c>
      <c r="L78" s="61" t="s">
        <v>7551</v>
      </c>
      <c r="M78" s="6" t="s">
        <v>8700</v>
      </c>
      <c r="N78" s="61" t="s">
        <v>8642</v>
      </c>
      <c r="O78" s="62" t="s">
        <v>7554</v>
      </c>
      <c r="P78" s="62" t="s">
        <v>751</v>
      </c>
      <c r="Q78" s="62" t="s">
        <v>8643</v>
      </c>
      <c r="R78" s="62" t="s">
        <v>751</v>
      </c>
      <c r="S78" s="62" t="s">
        <v>751</v>
      </c>
      <c r="T78" s="62" t="s">
        <v>751</v>
      </c>
      <c r="U78" s="62" t="s">
        <v>8645</v>
      </c>
      <c r="V78" s="6" t="s">
        <v>8701</v>
      </c>
      <c r="W78" s="6" t="s">
        <v>8702</v>
      </c>
      <c r="X78" s="105" t="n">
        <f aca="false">IF($O78="Active",SUMPRODUCT(($AH$5:$AH$132=$AH78)*1),0)</f>
        <v>1</v>
      </c>
      <c r="Y78" s="105" t="n">
        <f aca="false">IF(AND($O78="Active",OR($Q78="—",$Q78="")),1,0)</f>
        <v>0</v>
      </c>
      <c r="Z78" s="105" t="n">
        <f aca="false">IF(AND($O78="Active",$L78="利害關係方",OR($R78="—",$R78="")),1,0)</f>
        <v>1</v>
      </c>
      <c r="AH78" s="61" t="str">
        <f aca="false">IF($O78="Active",$B78&amp;"¦"&amp;$G78&amp;"¦"&amp;$H78,"")</f>
        <v>vLLM WideEP on GB200：decode 每 GPU（DeepSeek-R1 類，2K／2K，專家 FP4）¦decode 1 個 8 GPU 實例；批次填滿 HBM；無 ITL／SLO；是否只算輸出未寫¦GB200 NVL72（vLLM wide-EP）</v>
      </c>
    </row>
    <row r="79" customFormat="false" ht="58.2" hidden="false" customHeight="false" outlineLevel="0" collapsed="false">
      <c r="A79" s="62" t="s">
        <v>8703</v>
      </c>
      <c r="B79" s="6" t="s">
        <v>8704</v>
      </c>
      <c r="C79" s="136" t="n">
        <v>4668.1</v>
      </c>
      <c r="D79" s="61"/>
      <c r="E79" s="61"/>
      <c r="F79" s="62" t="s">
        <v>8438</v>
      </c>
      <c r="G79" s="62" t="s">
        <v>8705</v>
      </c>
      <c r="H79" s="62" t="s">
        <v>8706</v>
      </c>
      <c r="I79" s="62" t="s">
        <v>8707</v>
      </c>
      <c r="J79" s="6" t="s">
        <v>8708</v>
      </c>
      <c r="K79" s="61" t="n">
        <v>1</v>
      </c>
      <c r="L79" s="61" t="s">
        <v>7551</v>
      </c>
      <c r="M79" s="6" t="s">
        <v>8709</v>
      </c>
      <c r="N79" s="61" t="s">
        <v>8710</v>
      </c>
      <c r="O79" s="62" t="s">
        <v>7554</v>
      </c>
      <c r="P79" s="62" t="s">
        <v>751</v>
      </c>
      <c r="Q79" s="62" t="s">
        <v>8643</v>
      </c>
      <c r="R79" s="62" t="s">
        <v>8711</v>
      </c>
      <c r="S79" s="62" t="s">
        <v>751</v>
      </c>
      <c r="T79" s="62" t="s">
        <v>751</v>
      </c>
      <c r="U79" s="62" t="s">
        <v>8645</v>
      </c>
      <c r="V79" s="6" t="s">
        <v>8712</v>
      </c>
      <c r="W79" s="6" t="s">
        <v>8713</v>
      </c>
      <c r="X79" s="105" t="n">
        <f aca="false">IF($O79="Active",SUMPRODUCT(($AH$5:$AH$132=$AH79)*1),0)</f>
        <v>1</v>
      </c>
      <c r="Y79" s="105" t="n">
        <f aca="false">IF(AND($O79="Active",OR($Q79="—",$Q79="")),1,0)</f>
        <v>0</v>
      </c>
      <c r="Z79" s="105" t="n">
        <f aca="false">IF(AND($O79="Active",$L79="利害關係方",OR($R79="—",$R79="")),1,0)</f>
        <v>0</v>
      </c>
      <c r="AH79" s="61" t="str">
        <f aca="false">IF($O79="Active",$B79&amp;"¦"&amp;$G79&amp;"¦"&amp;$H79,"")</f>
        <v>MLPerf v6.0 DeepSeek-R1 server：NVIDIA GB200 NVL72（72 GPU）每 GPU¦server；Closed；available；TPOT p99 80 ms；336,106 ÷ 72；MLCommons summary_results.json¦GB200 NVL72（NVIDIA 提交 6.0-0075）</v>
      </c>
    </row>
    <row r="80" customFormat="false" ht="58.2" hidden="false" customHeight="false" outlineLevel="0" collapsed="false">
      <c r="A80" s="62" t="s">
        <v>5479</v>
      </c>
      <c r="B80" s="6" t="s">
        <v>8714</v>
      </c>
      <c r="C80" s="136" t="n">
        <v>5561.6</v>
      </c>
      <c r="D80" s="61"/>
      <c r="E80" s="61"/>
      <c r="F80" s="62" t="s">
        <v>8438</v>
      </c>
      <c r="G80" s="62" t="s">
        <v>8715</v>
      </c>
      <c r="H80" s="62" t="s">
        <v>8716</v>
      </c>
      <c r="I80" s="62" t="s">
        <v>8707</v>
      </c>
      <c r="J80" s="6" t="s">
        <v>8708</v>
      </c>
      <c r="K80" s="61" t="n">
        <v>1</v>
      </c>
      <c r="L80" s="61" t="s">
        <v>7551</v>
      </c>
      <c r="M80" s="6" t="s">
        <v>8717</v>
      </c>
      <c r="N80" s="61" t="s">
        <v>8710</v>
      </c>
      <c r="O80" s="62" t="s">
        <v>7554</v>
      </c>
      <c r="P80" s="62" t="s">
        <v>751</v>
      </c>
      <c r="Q80" s="62" t="s">
        <v>8643</v>
      </c>
      <c r="R80" s="62" t="s">
        <v>8718</v>
      </c>
      <c r="S80" s="62" t="s">
        <v>751</v>
      </c>
      <c r="T80" s="62" t="s">
        <v>751</v>
      </c>
      <c r="U80" s="62" t="s">
        <v>8645</v>
      </c>
      <c r="V80" s="6" t="s">
        <v>8719</v>
      </c>
      <c r="W80" s="6" t="s">
        <v>8720</v>
      </c>
      <c r="X80" s="105" t="n">
        <f aca="false">IF($O80="Active",SUMPRODUCT(($AH$5:$AH$132=$AH80)*1),0)</f>
        <v>1</v>
      </c>
      <c r="Y80" s="105" t="n">
        <f aca="false">IF(AND($O80="Active",OR($Q80="—",$Q80="")),1,0)</f>
        <v>0</v>
      </c>
      <c r="Z80" s="105" t="n">
        <f aca="false">IF(AND($O80="Active",$L80="利害關係方",OR($R80="—",$R80="")),1,0)</f>
        <v>0</v>
      </c>
      <c r="AH80" s="61" t="str">
        <f aca="false">IF($O80="Active",$B80&amp;"¦"&amp;$G80&amp;"¦"&amp;$H80,"")</f>
        <v>MLPerf v6.0 DeepSeek-R1 server：NVIDIA GB300 NVL72（72 GPU）每 GPU¦server；Closed；available；400,437 ÷ 72；MLCommons summary_results.json¦GB300 NVL72（NVIDIA 提交 6.0-0078）</v>
      </c>
    </row>
    <row r="81" customFormat="false" ht="35.05" hidden="false" customHeight="false" outlineLevel="0" collapsed="false">
      <c r="A81" s="62" t="s">
        <v>8711</v>
      </c>
      <c r="B81" s="6" t="s">
        <v>8721</v>
      </c>
      <c r="C81" s="136" t="n">
        <v>4867.7</v>
      </c>
      <c r="D81" s="61"/>
      <c r="E81" s="61"/>
      <c r="F81" s="62" t="s">
        <v>8438</v>
      </c>
      <c r="G81" s="62" t="s">
        <v>8722</v>
      </c>
      <c r="H81" s="62" t="s">
        <v>8723</v>
      </c>
      <c r="I81" s="62" t="s">
        <v>8707</v>
      </c>
      <c r="J81" s="6" t="s">
        <v>8708</v>
      </c>
      <c r="K81" s="61" t="n">
        <v>1</v>
      </c>
      <c r="L81" s="61" t="s">
        <v>7551</v>
      </c>
      <c r="M81" s="6" t="s">
        <v>8724</v>
      </c>
      <c r="N81" s="61" t="s">
        <v>8710</v>
      </c>
      <c r="O81" s="62" t="s">
        <v>7554</v>
      </c>
      <c r="P81" s="62" t="s">
        <v>751</v>
      </c>
      <c r="Q81" s="62" t="s">
        <v>8643</v>
      </c>
      <c r="R81" s="62" t="s">
        <v>8703</v>
      </c>
      <c r="S81" s="62" t="s">
        <v>751</v>
      </c>
      <c r="T81" s="62" t="s">
        <v>751</v>
      </c>
      <c r="U81" s="62" t="s">
        <v>8645</v>
      </c>
      <c r="V81" s="6" t="s">
        <v>8725</v>
      </c>
      <c r="W81" s="6" t="s">
        <v>8726</v>
      </c>
      <c r="X81" s="105" t="n">
        <f aca="false">IF($O81="Active",SUMPRODUCT(($AH$5:$AH$132=$AH81)*1),0)</f>
        <v>1</v>
      </c>
      <c r="Y81" s="105" t="n">
        <f aca="false">IF(AND($O81="Active",OR($Q81="—",$Q81="")),1,0)</f>
        <v>0</v>
      </c>
      <c r="Z81" s="105" t="n">
        <f aca="false">IF(AND($O81="Active",$L81="利害關係方",OR($R81="—",$R81="")),1,0)</f>
        <v>0</v>
      </c>
      <c r="AH81" s="61" t="str">
        <f aca="false">IF($O81="Active",$B81&amp;"¦"&amp;$G81&amp;"¦"&amp;$H81,"")</f>
        <v>MLPerf v6.0 DeepSeek-R1 server：CoreWeave GB200 NVL72（64 GPU）每 GPU¦server；Closed；available；311,531 ÷ 64¦GB200 NVL72（CoreWeave 提交 6.0-0015）</v>
      </c>
    </row>
    <row r="82" customFormat="false" ht="35.05" hidden="false" customHeight="false" outlineLevel="0" collapsed="false">
      <c r="A82" s="62" t="s">
        <v>8718</v>
      </c>
      <c r="B82" s="6" t="s">
        <v>8727</v>
      </c>
      <c r="C82" s="136" t="n">
        <v>7994.2</v>
      </c>
      <c r="D82" s="61"/>
      <c r="E82" s="61"/>
      <c r="F82" s="62" t="s">
        <v>8438</v>
      </c>
      <c r="G82" s="62" t="s">
        <v>8728</v>
      </c>
      <c r="H82" s="62" t="s">
        <v>8729</v>
      </c>
      <c r="I82" s="62" t="s">
        <v>8707</v>
      </c>
      <c r="J82" s="6" t="s">
        <v>8708</v>
      </c>
      <c r="K82" s="61" t="n">
        <v>1</v>
      </c>
      <c r="L82" s="61" t="s">
        <v>7551</v>
      </c>
      <c r="M82" s="6" t="s">
        <v>8730</v>
      </c>
      <c r="N82" s="61" t="s">
        <v>8710</v>
      </c>
      <c r="O82" s="62" t="s">
        <v>7554</v>
      </c>
      <c r="P82" s="62" t="s">
        <v>751</v>
      </c>
      <c r="Q82" s="62" t="s">
        <v>8643</v>
      </c>
      <c r="R82" s="62" t="s">
        <v>5479</v>
      </c>
      <c r="S82" s="62" t="s">
        <v>751</v>
      </c>
      <c r="T82" s="62" t="s">
        <v>751</v>
      </c>
      <c r="U82" s="62" t="s">
        <v>8645</v>
      </c>
      <c r="V82" s="6" t="s">
        <v>8731</v>
      </c>
      <c r="W82" s="6" t="s">
        <v>8732</v>
      </c>
      <c r="X82" s="105" t="n">
        <f aca="false">IF($O82="Active",SUMPRODUCT(($AH$5:$AH$132=$AH82)*1),0)</f>
        <v>1</v>
      </c>
      <c r="Y82" s="105" t="n">
        <f aca="false">IF(AND($O82="Active",OR($Q82="—",$Q82="")),1,0)</f>
        <v>0</v>
      </c>
      <c r="Z82" s="105" t="n">
        <f aca="false">IF(AND($O82="Active",$L82="利害關係方",OR($R82="—",$R82="")),1,0)</f>
        <v>0</v>
      </c>
      <c r="AH82" s="61" t="str">
        <f aca="false">IF($O82="Active",$B82&amp;"¦"&amp;$G82&amp;"¦"&amp;$H82,"")</f>
        <v>MLPerf v6.0 DeepSeek-R1 server：Nebius GB300 NVL72（72 GPU）每 GPU¦server；Closed；available；575,580 ÷ 72¦GB300 NVL72（Nebius 提交 6.0-0081）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8" min="24" style="1" width="14"/>
    <col collapsed="false" customWidth="true" hidden="false" outlineLevel="0" max="34" min="34" style="1" width="12"/>
    <col collapsed="false" customWidth="true" hidden="false" outlineLevel="0" max="39" min="39" style="1" width="12"/>
  </cols>
  <sheetData>
    <row r="1" customFormat="false" ht="19.5" hidden="false" customHeight="true" outlineLevel="0" collapsed="false">
      <c r="A1" s="236" t="s">
        <v>8733</v>
      </c>
    </row>
    <row r="2" customFormat="false" ht="15" hidden="false" customHeight="true" outlineLevel="0" collapsed="false">
      <c r="A2" s="248" t="s">
        <v>7525</v>
      </c>
    </row>
    <row r="3" customFormat="false" ht="15" hidden="false" customHeight="true" outlineLevel="0" collapsed="false">
      <c r="A3" s="248" t="s">
        <v>8734</v>
      </c>
    </row>
    <row r="4" customFormat="false" ht="43.5" hidden="false" customHeight="true" outlineLevel="0" collapsed="false">
      <c r="A4" s="84" t="s">
        <v>7527</v>
      </c>
      <c r="B4" s="237" t="s">
        <v>2763</v>
      </c>
      <c r="C4" s="237" t="s">
        <v>7528</v>
      </c>
      <c r="D4" s="237" t="s">
        <v>1308</v>
      </c>
      <c r="E4" s="237" t="s">
        <v>1309</v>
      </c>
      <c r="F4" s="237" t="s">
        <v>95</v>
      </c>
      <c r="G4" s="237" t="s">
        <v>497</v>
      </c>
      <c r="H4" s="237" t="s">
        <v>7529</v>
      </c>
      <c r="I4" s="237" t="s">
        <v>6566</v>
      </c>
      <c r="J4" s="237" t="s">
        <v>6569</v>
      </c>
      <c r="K4" s="237" t="s">
        <v>6741</v>
      </c>
      <c r="L4" s="237" t="s">
        <v>7530</v>
      </c>
      <c r="M4" s="237" t="s">
        <v>7531</v>
      </c>
      <c r="N4" s="237" t="s">
        <v>7532</v>
      </c>
      <c r="O4" s="237" t="s">
        <v>738</v>
      </c>
      <c r="P4" s="237" t="s">
        <v>7533</v>
      </c>
      <c r="Q4" s="84" t="s">
        <v>7534</v>
      </c>
      <c r="R4" s="237" t="s">
        <v>7535</v>
      </c>
      <c r="S4" s="237" t="s">
        <v>7536</v>
      </c>
      <c r="T4" s="84" t="s">
        <v>7537</v>
      </c>
      <c r="U4" s="237" t="s">
        <v>7538</v>
      </c>
      <c r="V4" s="237" t="s">
        <v>7539</v>
      </c>
      <c r="W4" s="237" t="s">
        <v>7540</v>
      </c>
      <c r="X4" s="238" t="s">
        <v>8735</v>
      </c>
      <c r="Y4" s="238" t="s">
        <v>8736</v>
      </c>
      <c r="Z4" s="238" t="s">
        <v>8737</v>
      </c>
      <c r="AA4" s="238" t="s">
        <v>8738</v>
      </c>
      <c r="AB4" s="238" t="s">
        <v>8739</v>
      </c>
      <c r="AC4" s="237" t="s">
        <v>7541</v>
      </c>
      <c r="AD4" s="237" t="s">
        <v>7542</v>
      </c>
      <c r="AE4" s="237" t="s">
        <v>7543</v>
      </c>
      <c r="AM4" s="83" t="s">
        <v>7544</v>
      </c>
    </row>
    <row r="5" customFormat="false" ht="29.25" hidden="false" customHeight="true" outlineLevel="0" collapsed="false">
      <c r="A5" s="30" t="s">
        <v>3279</v>
      </c>
      <c r="B5" s="6" t="s">
        <v>8740</v>
      </c>
      <c r="C5" s="241" t="n">
        <v>42</v>
      </c>
      <c r="D5" s="239"/>
      <c r="E5" s="239"/>
      <c r="F5" s="30" t="s">
        <v>8741</v>
      </c>
      <c r="G5" s="239" t="s">
        <v>8742</v>
      </c>
      <c r="H5" s="30" t="s">
        <v>8743</v>
      </c>
      <c r="I5" s="30" t="s">
        <v>7656</v>
      </c>
      <c r="J5" s="6" t="s">
        <v>8744</v>
      </c>
      <c r="K5" s="239" t="n">
        <v>3</v>
      </c>
      <c r="L5" s="239" t="s">
        <v>7551</v>
      </c>
      <c r="M5" s="6" t="s">
        <v>8745</v>
      </c>
      <c r="N5" s="239" t="s">
        <v>7564</v>
      </c>
      <c r="O5" s="30" t="s">
        <v>7554</v>
      </c>
      <c r="P5" s="30" t="s">
        <v>751</v>
      </c>
      <c r="Q5" s="30" t="s">
        <v>8746</v>
      </c>
      <c r="R5" s="30" t="s">
        <v>751</v>
      </c>
      <c r="S5" s="30" t="s">
        <v>751</v>
      </c>
      <c r="T5" s="30" t="s">
        <v>751</v>
      </c>
      <c r="U5" s="30" t="s">
        <v>8747</v>
      </c>
      <c r="V5" s="6" t="s">
        <v>8748</v>
      </c>
      <c r="W5" s="6" t="s">
        <v>8749</v>
      </c>
      <c r="AC5" s="32" t="n">
        <f aca="false">IF($O5="Active",SUMPRODUCT(($AM$5:$AM$98=$AM5)*1),0)</f>
        <v>1</v>
      </c>
      <c r="AD5" s="32" t="n">
        <f aca="false">IF(AND($O5="Active",OR($Q5="—",$Q5="")),1,0)</f>
        <v>0</v>
      </c>
      <c r="AE5" s="32" t="n">
        <f aca="false">IF(AND($O5="Active",$L5="利害關係方",OR($R5="—",$R5="")),1,0)</f>
        <v>1</v>
      </c>
      <c r="AM5" s="44" t="str">
        <f aca="false">IF($O5="Active",$B5&amp;"¦"&amp;$G5&amp;"¦"&amp;$H5,"")</f>
        <v>CoreWeave GB200 4-GPU 執行個體牌價¦隨需牌價¦GB200（CoreWeave）</v>
      </c>
    </row>
    <row r="6" customFormat="false" ht="29.25" hidden="false" customHeight="true" outlineLevel="0" collapsed="false">
      <c r="A6" s="30" t="s">
        <v>3288</v>
      </c>
      <c r="B6" s="20" t="s">
        <v>8750</v>
      </c>
      <c r="C6" s="241" t="n">
        <v>3.57</v>
      </c>
      <c r="D6" s="239"/>
      <c r="E6" s="239"/>
      <c r="F6" s="30" t="s">
        <v>985</v>
      </c>
      <c r="G6" s="30" t="s">
        <v>8751</v>
      </c>
      <c r="H6" s="239" t="s">
        <v>8752</v>
      </c>
      <c r="I6" s="30" t="s">
        <v>1382</v>
      </c>
      <c r="J6" s="6" t="s">
        <v>8753</v>
      </c>
      <c r="K6" s="239" t="n">
        <v>2</v>
      </c>
      <c r="L6" s="239" t="s">
        <v>7658</v>
      </c>
      <c r="M6" s="20" t="s">
        <v>8754</v>
      </c>
      <c r="N6" s="239" t="s">
        <v>8755</v>
      </c>
      <c r="O6" s="30" t="s">
        <v>7554</v>
      </c>
      <c r="P6" s="30" t="s">
        <v>751</v>
      </c>
      <c r="Q6" s="30" t="s">
        <v>8756</v>
      </c>
      <c r="R6" s="30" t="s">
        <v>751</v>
      </c>
      <c r="S6" s="30" t="s">
        <v>751</v>
      </c>
      <c r="T6" s="30" t="s">
        <v>751</v>
      </c>
      <c r="U6" s="30" t="s">
        <v>8757</v>
      </c>
      <c r="V6" s="6" t="s">
        <v>8758</v>
      </c>
      <c r="W6" s="20" t="s">
        <v>8759</v>
      </c>
      <c r="AC6" s="32" t="n">
        <f aca="false">IF($O6="Active",SUMPRODUCT(($AM$5:$AM$98=$AM6)*1),0)</f>
        <v>1</v>
      </c>
      <c r="AD6" s="32" t="n">
        <f aca="false">IF(AND($O6="Active",OR($Q6="—",$Q6="")),1,0)</f>
        <v>0</v>
      </c>
      <c r="AE6" s="32" t="n">
        <f aca="false">IF(AND($O6="Active",$L6="利害關係方",OR($R6="—",$R6="")),1,0)</f>
        <v>0</v>
      </c>
      <c r="AM6" s="44" t="str">
        <f aca="false">IF($O6="Active",$B6&amp;"¦"&amp;$G6&amp;"¦"&amp;$H6,"")</f>
        <v>新雲損益兩平租金（Cape Fear）¦85% 利用率、9.12% 資金成本、6 年¦機型未明</v>
      </c>
    </row>
    <row r="7" customFormat="false" ht="29.25" hidden="false" customHeight="true" outlineLevel="0" collapsed="false">
      <c r="A7" s="30" t="s">
        <v>8760</v>
      </c>
      <c r="B7" s="6" t="s">
        <v>8761</v>
      </c>
      <c r="C7" s="241" t="n">
        <v>0.1</v>
      </c>
      <c r="D7" s="239"/>
      <c r="E7" s="239"/>
      <c r="F7" s="30" t="s">
        <v>976</v>
      </c>
      <c r="G7" s="30" t="s">
        <v>8762</v>
      </c>
      <c r="H7" s="30" t="s">
        <v>1369</v>
      </c>
      <c r="I7" s="30" t="s">
        <v>1373</v>
      </c>
      <c r="J7" s="6" t="s">
        <v>8763</v>
      </c>
      <c r="K7" s="239" t="n">
        <v>1</v>
      </c>
      <c r="L7" s="239" t="s">
        <v>7551</v>
      </c>
      <c r="M7" s="6" t="s">
        <v>8764</v>
      </c>
      <c r="N7" s="239" t="s">
        <v>8128</v>
      </c>
      <c r="O7" s="30" t="s">
        <v>7554</v>
      </c>
      <c r="P7" s="30" t="s">
        <v>751</v>
      </c>
      <c r="Q7" s="30" t="s">
        <v>8765</v>
      </c>
      <c r="R7" s="30" t="s">
        <v>751</v>
      </c>
      <c r="S7" s="30" t="s">
        <v>751</v>
      </c>
      <c r="T7" s="30" t="s">
        <v>751</v>
      </c>
      <c r="U7" s="30" t="s">
        <v>8766</v>
      </c>
      <c r="V7" s="6" t="s">
        <v>8767</v>
      </c>
      <c r="W7" s="6" t="s">
        <v>751</v>
      </c>
      <c r="AC7" s="32" t="n">
        <f aca="false">IF($O7="Active",SUMPRODUCT(($AM$5:$AM$98=$AM7)*1),0)</f>
        <v>1</v>
      </c>
      <c r="AD7" s="32" t="n">
        <f aca="false">IF(AND($O7="Active",OR($Q7="—",$Q7="")),1,0)</f>
        <v>0</v>
      </c>
      <c r="AE7" s="32" t="n">
        <f aca="false">IF(AND($O7="Active",$L7="利害關係方",OR($R7="—",$R7="")),1,0)</f>
        <v>1</v>
      </c>
      <c r="AM7" s="44" t="str">
        <f aca="false">IF($O7="Active",$B7&amp;"¦"&amp;$G7&amp;"¦"&amp;$H7,"")</f>
        <v>GPT-6 Luna 新鮮輸入¦Standard¦GPT-6 Luna</v>
      </c>
    </row>
    <row r="8" customFormat="false" ht="29.25" hidden="false" customHeight="true" outlineLevel="0" collapsed="false">
      <c r="A8" s="30" t="s">
        <v>8768</v>
      </c>
      <c r="B8" s="6" t="s">
        <v>8769</v>
      </c>
      <c r="C8" s="241" t="n">
        <v>0.01</v>
      </c>
      <c r="D8" s="239"/>
      <c r="E8" s="239"/>
      <c r="F8" s="30" t="s">
        <v>976</v>
      </c>
      <c r="G8" s="30" t="s">
        <v>8762</v>
      </c>
      <c r="H8" s="30" t="s">
        <v>1369</v>
      </c>
      <c r="I8" s="30" t="s">
        <v>1373</v>
      </c>
      <c r="J8" s="6" t="s">
        <v>8763</v>
      </c>
      <c r="K8" s="239" t="n">
        <v>1</v>
      </c>
      <c r="L8" s="239" t="s">
        <v>7551</v>
      </c>
      <c r="M8" s="6" t="s">
        <v>8764</v>
      </c>
      <c r="N8" s="239" t="s">
        <v>8128</v>
      </c>
      <c r="O8" s="30" t="s">
        <v>7554</v>
      </c>
      <c r="P8" s="30" t="s">
        <v>751</v>
      </c>
      <c r="Q8" s="30" t="s">
        <v>8765</v>
      </c>
      <c r="R8" s="30" t="s">
        <v>751</v>
      </c>
      <c r="S8" s="30" t="s">
        <v>751</v>
      </c>
      <c r="T8" s="30" t="s">
        <v>751</v>
      </c>
      <c r="U8" s="30" t="s">
        <v>8766</v>
      </c>
      <c r="V8" s="6" t="s">
        <v>8770</v>
      </c>
      <c r="W8" s="6" t="s">
        <v>751</v>
      </c>
      <c r="AC8" s="32" t="n">
        <f aca="false">IF($O8="Active",SUMPRODUCT(($AM$5:$AM$98=$AM8)*1),0)</f>
        <v>1</v>
      </c>
      <c r="AD8" s="32" t="n">
        <f aca="false">IF(AND($O8="Active",OR($Q8="—",$Q8="")),1,0)</f>
        <v>0</v>
      </c>
      <c r="AE8" s="32" t="n">
        <f aca="false">IF(AND($O8="Active",$L8="利害關係方",OR($R8="—",$R8="")),1,0)</f>
        <v>1</v>
      </c>
      <c r="AM8" s="44" t="str">
        <f aca="false">IF($O8="Active",$B8&amp;"¦"&amp;$G8&amp;"¦"&amp;$H8,"")</f>
        <v>GPT-6 Luna 快取輸入¦Standard¦GPT-6 Luna</v>
      </c>
    </row>
    <row r="9" customFormat="false" ht="29.25" hidden="false" customHeight="true" outlineLevel="0" collapsed="false">
      <c r="A9" s="30" t="s">
        <v>8771</v>
      </c>
      <c r="B9" s="6" t="s">
        <v>8772</v>
      </c>
      <c r="C9" s="241" t="n">
        <v>0.5</v>
      </c>
      <c r="D9" s="239"/>
      <c r="E9" s="239"/>
      <c r="F9" s="30" t="s">
        <v>976</v>
      </c>
      <c r="G9" s="30" t="s">
        <v>8762</v>
      </c>
      <c r="H9" s="30" t="s">
        <v>1369</v>
      </c>
      <c r="I9" s="30" t="s">
        <v>1373</v>
      </c>
      <c r="J9" s="6" t="s">
        <v>8763</v>
      </c>
      <c r="K9" s="239" t="n">
        <v>1</v>
      </c>
      <c r="L9" s="239" t="s">
        <v>7551</v>
      </c>
      <c r="M9" s="6" t="s">
        <v>8764</v>
      </c>
      <c r="N9" s="239" t="s">
        <v>8128</v>
      </c>
      <c r="O9" s="30" t="s">
        <v>7554</v>
      </c>
      <c r="P9" s="30" t="s">
        <v>751</v>
      </c>
      <c r="Q9" s="30" t="s">
        <v>8765</v>
      </c>
      <c r="R9" s="30" t="s">
        <v>751</v>
      </c>
      <c r="S9" s="30" t="s">
        <v>751</v>
      </c>
      <c r="T9" s="30" t="s">
        <v>751</v>
      </c>
      <c r="U9" s="30" t="s">
        <v>8766</v>
      </c>
      <c r="V9" s="6" t="s">
        <v>8773</v>
      </c>
      <c r="W9" s="6" t="s">
        <v>751</v>
      </c>
      <c r="AC9" s="32" t="n">
        <f aca="false">IF($O9="Active",SUMPRODUCT(($AM$5:$AM$98=$AM9)*1),0)</f>
        <v>1</v>
      </c>
      <c r="AD9" s="32" t="n">
        <f aca="false">IF(AND($O9="Active",OR($Q9="—",$Q9="")),1,0)</f>
        <v>0</v>
      </c>
      <c r="AE9" s="32" t="n">
        <f aca="false">IF(AND($O9="Active",$L9="利害關係方",OR($R9="—",$R9="")),1,0)</f>
        <v>1</v>
      </c>
      <c r="AM9" s="44" t="str">
        <f aca="false">IF($O9="Active",$B9&amp;"¦"&amp;$G9&amp;"¦"&amp;$H9,"")</f>
        <v>GPT-6 Luna 輸出（含思考）¦Standard¦GPT-6 Luna</v>
      </c>
    </row>
    <row r="10" customFormat="false" ht="29.25" hidden="false" customHeight="true" outlineLevel="0" collapsed="false">
      <c r="A10" s="30" t="s">
        <v>8774</v>
      </c>
      <c r="B10" s="6" t="s">
        <v>8775</v>
      </c>
      <c r="C10" s="241" t="n">
        <v>2</v>
      </c>
      <c r="D10" s="239"/>
      <c r="E10" s="239"/>
      <c r="F10" s="30" t="s">
        <v>976</v>
      </c>
      <c r="G10" s="30" t="s">
        <v>8762</v>
      </c>
      <c r="H10" s="30" t="s">
        <v>1375</v>
      </c>
      <c r="I10" s="30" t="s">
        <v>1373</v>
      </c>
      <c r="J10" s="6" t="s">
        <v>8763</v>
      </c>
      <c r="K10" s="239" t="n">
        <v>1</v>
      </c>
      <c r="L10" s="239" t="s">
        <v>7551</v>
      </c>
      <c r="M10" s="6" t="s">
        <v>8764</v>
      </c>
      <c r="N10" s="239" t="s">
        <v>8128</v>
      </c>
      <c r="O10" s="30" t="s">
        <v>7554</v>
      </c>
      <c r="P10" s="30" t="s">
        <v>751</v>
      </c>
      <c r="Q10" s="30" t="s">
        <v>8765</v>
      </c>
      <c r="R10" s="30" t="s">
        <v>751</v>
      </c>
      <c r="S10" s="30" t="s">
        <v>751</v>
      </c>
      <c r="T10" s="30" t="s">
        <v>751</v>
      </c>
      <c r="U10" s="30" t="s">
        <v>8766</v>
      </c>
      <c r="V10" s="6" t="s">
        <v>8776</v>
      </c>
      <c r="W10" s="6" t="s">
        <v>751</v>
      </c>
      <c r="AC10" s="32" t="n">
        <f aca="false">IF($O10="Active",SUMPRODUCT(($AM$5:$AM$98=$AM10)*1),0)</f>
        <v>1</v>
      </c>
      <c r="AD10" s="32" t="n">
        <f aca="false">IF(AND($O10="Active",OR($Q10="—",$Q10="")),1,0)</f>
        <v>0</v>
      </c>
      <c r="AE10" s="32" t="n">
        <f aca="false">IF(AND($O10="Active",$L10="利害關係方",OR($R10="—",$R10="")),1,0)</f>
        <v>1</v>
      </c>
      <c r="AM10" s="44" t="str">
        <f aca="false">IF($O10="Active",$B10&amp;"¦"&amp;$G10&amp;"¦"&amp;$H10,"")</f>
        <v>GPT-6 Sol 新鮮輸入¦Standard¦GPT-6 Sol</v>
      </c>
    </row>
    <row r="11" customFormat="false" ht="29.25" hidden="false" customHeight="true" outlineLevel="0" collapsed="false">
      <c r="A11" s="30" t="s">
        <v>8777</v>
      </c>
      <c r="B11" s="6" t="s">
        <v>8778</v>
      </c>
      <c r="C11" s="241" t="n">
        <v>0.2</v>
      </c>
      <c r="D11" s="239"/>
      <c r="E11" s="239"/>
      <c r="F11" s="30" t="s">
        <v>976</v>
      </c>
      <c r="G11" s="30" t="s">
        <v>8762</v>
      </c>
      <c r="H11" s="30" t="s">
        <v>1375</v>
      </c>
      <c r="I11" s="30" t="s">
        <v>1373</v>
      </c>
      <c r="J11" s="6" t="s">
        <v>8763</v>
      </c>
      <c r="K11" s="239" t="n">
        <v>1</v>
      </c>
      <c r="L11" s="239" t="s">
        <v>7551</v>
      </c>
      <c r="M11" s="6" t="s">
        <v>8764</v>
      </c>
      <c r="N11" s="239" t="s">
        <v>8128</v>
      </c>
      <c r="O11" s="30" t="s">
        <v>7554</v>
      </c>
      <c r="P11" s="30" t="s">
        <v>751</v>
      </c>
      <c r="Q11" s="30" t="s">
        <v>8765</v>
      </c>
      <c r="R11" s="30" t="s">
        <v>751</v>
      </c>
      <c r="S11" s="30" t="s">
        <v>751</v>
      </c>
      <c r="T11" s="30" t="s">
        <v>751</v>
      </c>
      <c r="U11" s="30" t="s">
        <v>8766</v>
      </c>
      <c r="V11" s="6" t="s">
        <v>8779</v>
      </c>
      <c r="W11" s="6" t="s">
        <v>751</v>
      </c>
      <c r="AC11" s="32" t="n">
        <f aca="false">IF($O11="Active",SUMPRODUCT(($AM$5:$AM$98=$AM11)*1),0)</f>
        <v>1</v>
      </c>
      <c r="AD11" s="32" t="n">
        <f aca="false">IF(AND($O11="Active",OR($Q11="—",$Q11="")),1,0)</f>
        <v>0</v>
      </c>
      <c r="AE11" s="32" t="n">
        <f aca="false">IF(AND($O11="Active",$L11="利害關係方",OR($R11="—",$R11="")),1,0)</f>
        <v>1</v>
      </c>
      <c r="AM11" s="44" t="str">
        <f aca="false">IF($O11="Active",$B11&amp;"¦"&amp;$G11&amp;"¦"&amp;$H11,"")</f>
        <v>GPT-6 Sol 快取輸入¦Standard¦GPT-6 Sol</v>
      </c>
    </row>
    <row r="12" customFormat="false" ht="29.25" hidden="false" customHeight="true" outlineLevel="0" collapsed="false">
      <c r="A12" s="30" t="s">
        <v>8780</v>
      </c>
      <c r="B12" s="6" t="s">
        <v>8781</v>
      </c>
      <c r="C12" s="241" t="n">
        <v>10</v>
      </c>
      <c r="D12" s="239"/>
      <c r="E12" s="239"/>
      <c r="F12" s="30" t="s">
        <v>976</v>
      </c>
      <c r="G12" s="30" t="s">
        <v>8762</v>
      </c>
      <c r="H12" s="30" t="s">
        <v>1375</v>
      </c>
      <c r="I12" s="30" t="s">
        <v>1373</v>
      </c>
      <c r="J12" s="6" t="s">
        <v>8763</v>
      </c>
      <c r="K12" s="239" t="n">
        <v>1</v>
      </c>
      <c r="L12" s="239" t="s">
        <v>7551</v>
      </c>
      <c r="M12" s="6" t="s">
        <v>8764</v>
      </c>
      <c r="N12" s="239" t="s">
        <v>8128</v>
      </c>
      <c r="O12" s="30" t="s">
        <v>7554</v>
      </c>
      <c r="P12" s="30" t="s">
        <v>751</v>
      </c>
      <c r="Q12" s="30" t="s">
        <v>8765</v>
      </c>
      <c r="R12" s="30" t="s">
        <v>751</v>
      </c>
      <c r="S12" s="30" t="s">
        <v>751</v>
      </c>
      <c r="T12" s="30" t="s">
        <v>751</v>
      </c>
      <c r="U12" s="30" t="s">
        <v>8766</v>
      </c>
      <c r="V12" s="6" t="s">
        <v>8782</v>
      </c>
      <c r="W12" s="6" t="s">
        <v>751</v>
      </c>
      <c r="AC12" s="32" t="n">
        <f aca="false">IF($O12="Active",SUMPRODUCT(($AM$5:$AM$98=$AM12)*1),0)</f>
        <v>1</v>
      </c>
      <c r="AD12" s="32" t="n">
        <f aca="false">IF(AND($O12="Active",OR($Q12="—",$Q12="")),1,0)</f>
        <v>0</v>
      </c>
      <c r="AE12" s="32" t="n">
        <f aca="false">IF(AND($O12="Active",$L12="利害關係方",OR($R12="—",$R12="")),1,0)</f>
        <v>1</v>
      </c>
      <c r="AM12" s="44" t="str">
        <f aca="false">IF($O12="Active",$B12&amp;"¦"&amp;$G12&amp;"¦"&amp;$H12,"")</f>
        <v>GPT-6 Sol 輸出（含思考）¦Standard¦GPT-6 Sol</v>
      </c>
    </row>
    <row r="13" customFormat="false" ht="29.25" hidden="false" customHeight="true" outlineLevel="0" collapsed="false">
      <c r="A13" s="30" t="s">
        <v>8783</v>
      </c>
      <c r="B13" s="6" t="s">
        <v>8784</v>
      </c>
      <c r="C13" s="241" t="n">
        <v>10</v>
      </c>
      <c r="D13" s="239"/>
      <c r="E13" s="239"/>
      <c r="F13" s="30" t="s">
        <v>976</v>
      </c>
      <c r="G13" s="30" t="s">
        <v>8762</v>
      </c>
      <c r="H13" s="30" t="s">
        <v>1377</v>
      </c>
      <c r="I13" s="30" t="s">
        <v>1373</v>
      </c>
      <c r="J13" s="6" t="s">
        <v>8763</v>
      </c>
      <c r="K13" s="239" t="n">
        <v>1</v>
      </c>
      <c r="L13" s="239" t="s">
        <v>7551</v>
      </c>
      <c r="M13" s="6" t="s">
        <v>8764</v>
      </c>
      <c r="N13" s="239" t="s">
        <v>8128</v>
      </c>
      <c r="O13" s="30" t="s">
        <v>7554</v>
      </c>
      <c r="P13" s="30" t="s">
        <v>751</v>
      </c>
      <c r="Q13" s="30" t="s">
        <v>8765</v>
      </c>
      <c r="R13" s="30" t="s">
        <v>751</v>
      </c>
      <c r="S13" s="30" t="s">
        <v>751</v>
      </c>
      <c r="T13" s="30" t="s">
        <v>751</v>
      </c>
      <c r="U13" s="30" t="s">
        <v>8766</v>
      </c>
      <c r="V13" s="6" t="s">
        <v>8785</v>
      </c>
      <c r="W13" s="6" t="s">
        <v>751</v>
      </c>
      <c r="AC13" s="32" t="n">
        <f aca="false">IF($O13="Active",SUMPRODUCT(($AM$5:$AM$98=$AM13)*1),0)</f>
        <v>1</v>
      </c>
      <c r="AD13" s="32" t="n">
        <f aca="false">IF(AND($O13="Active",OR($Q13="—",$Q13="")),1,0)</f>
        <v>0</v>
      </c>
      <c r="AE13" s="32" t="n">
        <f aca="false">IF(AND($O13="Active",$L13="利害關係方",OR($R13="—",$R13="")),1,0)</f>
        <v>1</v>
      </c>
      <c r="AM13" s="44" t="str">
        <f aca="false">IF($O13="Active",$B13&amp;"¦"&amp;$G13&amp;"¦"&amp;$H13,"")</f>
        <v>GPT-6 Astra 新鮮輸入¦Standard¦GPT-6 Astra</v>
      </c>
    </row>
    <row r="14" customFormat="false" ht="29.25" hidden="false" customHeight="true" outlineLevel="0" collapsed="false">
      <c r="A14" s="30" t="s">
        <v>8786</v>
      </c>
      <c r="B14" s="6" t="s">
        <v>8787</v>
      </c>
      <c r="C14" s="241" t="n">
        <v>1</v>
      </c>
      <c r="D14" s="239"/>
      <c r="E14" s="239"/>
      <c r="F14" s="30" t="s">
        <v>976</v>
      </c>
      <c r="G14" s="30" t="s">
        <v>8762</v>
      </c>
      <c r="H14" s="30" t="s">
        <v>1377</v>
      </c>
      <c r="I14" s="30" t="s">
        <v>1373</v>
      </c>
      <c r="J14" s="6" t="s">
        <v>8763</v>
      </c>
      <c r="K14" s="239" t="n">
        <v>1</v>
      </c>
      <c r="L14" s="239" t="s">
        <v>7551</v>
      </c>
      <c r="M14" s="6" t="s">
        <v>8764</v>
      </c>
      <c r="N14" s="239" t="s">
        <v>8128</v>
      </c>
      <c r="O14" s="30" t="s">
        <v>7554</v>
      </c>
      <c r="P14" s="30" t="s">
        <v>751</v>
      </c>
      <c r="Q14" s="30" t="s">
        <v>8765</v>
      </c>
      <c r="R14" s="30" t="s">
        <v>751</v>
      </c>
      <c r="S14" s="30" t="s">
        <v>751</v>
      </c>
      <c r="T14" s="30" t="s">
        <v>751</v>
      </c>
      <c r="U14" s="30" t="s">
        <v>8766</v>
      </c>
      <c r="V14" s="6" t="s">
        <v>8788</v>
      </c>
      <c r="W14" s="6" t="s">
        <v>751</v>
      </c>
      <c r="AC14" s="32" t="n">
        <f aca="false">IF($O14="Active",SUMPRODUCT(($AM$5:$AM$98=$AM14)*1),0)</f>
        <v>1</v>
      </c>
      <c r="AD14" s="32" t="n">
        <f aca="false">IF(AND($O14="Active",OR($Q14="—",$Q14="")),1,0)</f>
        <v>0</v>
      </c>
      <c r="AE14" s="32" t="n">
        <f aca="false">IF(AND($O14="Active",$L14="利害關係方",OR($R14="—",$R14="")),1,0)</f>
        <v>1</v>
      </c>
      <c r="AM14" s="44" t="str">
        <f aca="false">IF($O14="Active",$B14&amp;"¦"&amp;$G14&amp;"¦"&amp;$H14,"")</f>
        <v>GPT-6 Astra 快取輸入¦Standard¦GPT-6 Astra</v>
      </c>
    </row>
    <row r="15" customFormat="false" ht="29.25" hidden="false" customHeight="true" outlineLevel="0" collapsed="false">
      <c r="A15" s="30" t="s">
        <v>8789</v>
      </c>
      <c r="B15" s="6" t="s">
        <v>8790</v>
      </c>
      <c r="C15" s="241" t="n">
        <v>50</v>
      </c>
      <c r="D15" s="239"/>
      <c r="E15" s="239"/>
      <c r="F15" s="30" t="s">
        <v>976</v>
      </c>
      <c r="G15" s="30" t="s">
        <v>8762</v>
      </c>
      <c r="H15" s="30" t="s">
        <v>1377</v>
      </c>
      <c r="I15" s="30" t="s">
        <v>1373</v>
      </c>
      <c r="J15" s="6" t="s">
        <v>8763</v>
      </c>
      <c r="K15" s="239" t="n">
        <v>1</v>
      </c>
      <c r="L15" s="239" t="s">
        <v>7551</v>
      </c>
      <c r="M15" s="6" t="s">
        <v>8764</v>
      </c>
      <c r="N15" s="239" t="s">
        <v>8128</v>
      </c>
      <c r="O15" s="30" t="s">
        <v>7554</v>
      </c>
      <c r="P15" s="30" t="s">
        <v>751</v>
      </c>
      <c r="Q15" s="30" t="s">
        <v>8765</v>
      </c>
      <c r="R15" s="30" t="s">
        <v>751</v>
      </c>
      <c r="S15" s="30" t="s">
        <v>751</v>
      </c>
      <c r="T15" s="30" t="s">
        <v>751</v>
      </c>
      <c r="U15" s="30" t="s">
        <v>8766</v>
      </c>
      <c r="V15" s="6" t="s">
        <v>8791</v>
      </c>
      <c r="W15" s="6" t="s">
        <v>751</v>
      </c>
      <c r="AC15" s="32" t="n">
        <f aca="false">IF($O15="Active",SUMPRODUCT(($AM$5:$AM$98=$AM15)*1),0)</f>
        <v>1</v>
      </c>
      <c r="AD15" s="32" t="n">
        <f aca="false">IF(AND($O15="Active",OR($Q15="—",$Q15="")),1,0)</f>
        <v>0</v>
      </c>
      <c r="AE15" s="32" t="n">
        <f aca="false">IF(AND($O15="Active",$L15="利害關係方",OR($R15="—",$R15="")),1,0)</f>
        <v>1</v>
      </c>
      <c r="AM15" s="44" t="str">
        <f aca="false">IF($O15="Active",$B15&amp;"¦"&amp;$G15&amp;"¦"&amp;$H15,"")</f>
        <v>GPT-6 Astra 輸出（含思考）¦Standard¦GPT-6 Astra</v>
      </c>
    </row>
    <row r="16" customFormat="false" ht="29.25" hidden="false" customHeight="true" outlineLevel="0" collapsed="false">
      <c r="A16" s="30" t="s">
        <v>8792</v>
      </c>
      <c r="B16" s="6" t="s">
        <v>8793</v>
      </c>
      <c r="C16" s="241" t="n">
        <v>10</v>
      </c>
      <c r="D16" s="239"/>
      <c r="E16" s="239"/>
      <c r="F16" s="30" t="s">
        <v>976</v>
      </c>
      <c r="G16" s="30" t="s">
        <v>8762</v>
      </c>
      <c r="H16" s="30" t="s">
        <v>1380</v>
      </c>
      <c r="I16" s="30" t="s">
        <v>1382</v>
      </c>
      <c r="J16" s="6" t="s">
        <v>8794</v>
      </c>
      <c r="K16" s="239" t="n">
        <v>2</v>
      </c>
      <c r="L16" s="239" t="s">
        <v>7551</v>
      </c>
      <c r="M16" s="6" t="s">
        <v>8795</v>
      </c>
      <c r="N16" s="239" t="s">
        <v>7564</v>
      </c>
      <c r="O16" s="30" t="s">
        <v>7554</v>
      </c>
      <c r="P16" s="30" t="s">
        <v>751</v>
      </c>
      <c r="Q16" s="30" t="s">
        <v>8796</v>
      </c>
      <c r="R16" s="30" t="s">
        <v>751</v>
      </c>
      <c r="S16" s="30" t="s">
        <v>751</v>
      </c>
      <c r="T16" s="30" t="s">
        <v>751</v>
      </c>
      <c r="U16" s="30" t="s">
        <v>8797</v>
      </c>
      <c r="V16" s="6" t="s">
        <v>8798</v>
      </c>
      <c r="W16" s="6" t="s">
        <v>751</v>
      </c>
      <c r="AC16" s="32" t="n">
        <f aca="false">IF($O16="Active",SUMPRODUCT(($AM$5:$AM$98=$AM16)*1),0)</f>
        <v>1</v>
      </c>
      <c r="AD16" s="32" t="n">
        <f aca="false">IF(AND($O16="Active",OR($Q16="—",$Q16="")),1,0)</f>
        <v>0</v>
      </c>
      <c r="AE16" s="32" t="n">
        <f aca="false">IF(AND($O16="Active",$L16="利害關係方",OR($R16="—",$R16="")),1,0)</f>
        <v>1</v>
      </c>
      <c r="AM16" s="44" t="str">
        <f aca="false">IF($O16="Active",$B16&amp;"¦"&amp;$G16&amp;"¦"&amp;$H16,"")</f>
        <v>Claude Fable 5.1 輸入¦Standard¦Claude Fable 5.1</v>
      </c>
    </row>
    <row r="17" customFormat="false" ht="29.25" hidden="false" customHeight="true" outlineLevel="0" collapsed="false">
      <c r="A17" s="30" t="s">
        <v>8799</v>
      </c>
      <c r="B17" s="6" t="s">
        <v>8800</v>
      </c>
      <c r="C17" s="241" t="n">
        <v>0.25</v>
      </c>
      <c r="D17" s="239"/>
      <c r="E17" s="239"/>
      <c r="F17" s="30" t="s">
        <v>976</v>
      </c>
      <c r="G17" s="30" t="s">
        <v>8762</v>
      </c>
      <c r="H17" s="30" t="s">
        <v>1380</v>
      </c>
      <c r="I17" s="30" t="s">
        <v>1382</v>
      </c>
      <c r="J17" s="6" t="s">
        <v>8794</v>
      </c>
      <c r="K17" s="239" t="n">
        <v>2</v>
      </c>
      <c r="L17" s="239" t="s">
        <v>7551</v>
      </c>
      <c r="M17" s="6" t="s">
        <v>8795</v>
      </c>
      <c r="N17" s="239" t="s">
        <v>7564</v>
      </c>
      <c r="O17" s="30" t="s">
        <v>7554</v>
      </c>
      <c r="P17" s="30" t="s">
        <v>751</v>
      </c>
      <c r="Q17" s="30" t="s">
        <v>8796</v>
      </c>
      <c r="R17" s="30" t="s">
        <v>751</v>
      </c>
      <c r="S17" s="30" t="s">
        <v>751</v>
      </c>
      <c r="T17" s="30" t="s">
        <v>751</v>
      </c>
      <c r="U17" s="30" t="s">
        <v>8797</v>
      </c>
      <c r="V17" s="6" t="s">
        <v>8801</v>
      </c>
      <c r="W17" s="20" t="s">
        <v>8802</v>
      </c>
      <c r="AC17" s="32" t="n">
        <f aca="false">IF($O17="Active",SUMPRODUCT(($AM$5:$AM$98=$AM17)*1),0)</f>
        <v>1</v>
      </c>
      <c r="AD17" s="32" t="n">
        <f aca="false">IF(AND($O17="Active",OR($Q17="—",$Q17="")),1,0)</f>
        <v>0</v>
      </c>
      <c r="AE17" s="32" t="n">
        <f aca="false">IF(AND($O17="Active",$L17="利害關係方",OR($R17="—",$R17="")),1,0)</f>
        <v>1</v>
      </c>
      <c r="AM17" s="44" t="str">
        <f aca="false">IF($O17="Active",$B17&amp;"¦"&amp;$G17&amp;"¦"&amp;$H17,"")</f>
        <v>Claude Fable 5.1 快取讀取¦Standard¦Claude Fable 5.1</v>
      </c>
    </row>
    <row r="18" customFormat="false" ht="29.25" hidden="false" customHeight="true" outlineLevel="0" collapsed="false">
      <c r="A18" s="30" t="s">
        <v>8803</v>
      </c>
      <c r="B18" s="6" t="s">
        <v>8804</v>
      </c>
      <c r="C18" s="241" t="n">
        <v>50</v>
      </c>
      <c r="D18" s="239"/>
      <c r="E18" s="239"/>
      <c r="F18" s="30" t="s">
        <v>976</v>
      </c>
      <c r="G18" s="30" t="s">
        <v>8762</v>
      </c>
      <c r="H18" s="30" t="s">
        <v>1380</v>
      </c>
      <c r="I18" s="30" t="s">
        <v>1382</v>
      </c>
      <c r="J18" s="6" t="s">
        <v>8794</v>
      </c>
      <c r="K18" s="239" t="n">
        <v>2</v>
      </c>
      <c r="L18" s="239" t="s">
        <v>7551</v>
      </c>
      <c r="M18" s="6" t="s">
        <v>8795</v>
      </c>
      <c r="N18" s="239" t="s">
        <v>7564</v>
      </c>
      <c r="O18" s="30" t="s">
        <v>7554</v>
      </c>
      <c r="P18" s="30" t="s">
        <v>751</v>
      </c>
      <c r="Q18" s="30" t="s">
        <v>8796</v>
      </c>
      <c r="R18" s="30" t="s">
        <v>751</v>
      </c>
      <c r="S18" s="30" t="s">
        <v>751</v>
      </c>
      <c r="T18" s="30" t="s">
        <v>751</v>
      </c>
      <c r="U18" s="30" t="s">
        <v>8797</v>
      </c>
      <c r="V18" s="6" t="s">
        <v>8805</v>
      </c>
      <c r="W18" s="6" t="s">
        <v>751</v>
      </c>
      <c r="AC18" s="32" t="n">
        <f aca="false">IF($O18="Active",SUMPRODUCT(($AM$5:$AM$98=$AM18)*1),0)</f>
        <v>1</v>
      </c>
      <c r="AD18" s="32" t="n">
        <f aca="false">IF(AND($O18="Active",OR($Q18="—",$Q18="")),1,0)</f>
        <v>0</v>
      </c>
      <c r="AE18" s="32" t="n">
        <f aca="false">IF(AND($O18="Active",$L18="利害關係方",OR($R18="—",$R18="")),1,0)</f>
        <v>1</v>
      </c>
      <c r="AM18" s="44" t="str">
        <f aca="false">IF($O18="Active",$B18&amp;"¦"&amp;$G18&amp;"¦"&amp;$H18,"")</f>
        <v>Claude Fable 5.1 輸出¦Standard¦Claude Fable 5.1</v>
      </c>
    </row>
    <row r="19" customFormat="false" ht="29.25" hidden="false" customHeight="true" outlineLevel="0" collapsed="false">
      <c r="A19" s="30" t="s">
        <v>8806</v>
      </c>
      <c r="B19" s="6" t="s">
        <v>8807</v>
      </c>
      <c r="C19" s="241" t="n">
        <v>5</v>
      </c>
      <c r="D19" s="239"/>
      <c r="E19" s="239"/>
      <c r="F19" s="30" t="s">
        <v>976</v>
      </c>
      <c r="G19" s="30" t="s">
        <v>8762</v>
      </c>
      <c r="H19" s="30" t="s">
        <v>1384</v>
      </c>
      <c r="I19" s="30" t="s">
        <v>8808</v>
      </c>
      <c r="J19" s="6" t="s">
        <v>8794</v>
      </c>
      <c r="K19" s="239" t="n">
        <v>2</v>
      </c>
      <c r="L19" s="239" t="s">
        <v>7551</v>
      </c>
      <c r="M19" s="6" t="s">
        <v>8795</v>
      </c>
      <c r="N19" s="239" t="s">
        <v>7564</v>
      </c>
      <c r="O19" s="30" t="s">
        <v>7554</v>
      </c>
      <c r="P19" s="30" t="s">
        <v>751</v>
      </c>
      <c r="Q19" s="30" t="s">
        <v>8796</v>
      </c>
      <c r="R19" s="30" t="s">
        <v>751</v>
      </c>
      <c r="S19" s="30" t="s">
        <v>751</v>
      </c>
      <c r="T19" s="30" t="s">
        <v>751</v>
      </c>
      <c r="U19" s="30" t="s">
        <v>8797</v>
      </c>
      <c r="V19" s="6" t="s">
        <v>8809</v>
      </c>
      <c r="W19" s="20" t="s">
        <v>8810</v>
      </c>
      <c r="AC19" s="32" t="n">
        <f aca="false">IF($O19="Active",SUMPRODUCT(($AM$5:$AM$98=$AM19)*1),0)</f>
        <v>1</v>
      </c>
      <c r="AD19" s="32" t="n">
        <f aca="false">IF(AND($O19="Active",OR($Q19="—",$Q19="")),1,0)</f>
        <v>0</v>
      </c>
      <c r="AE19" s="32" t="n">
        <f aca="false">IF(AND($O19="Active",$L19="利害關係方",OR($R19="—",$R19="")),1,0)</f>
        <v>1</v>
      </c>
      <c r="AM19" s="44" t="str">
        <f aca="false">IF($O19="Active",$B19&amp;"¦"&amp;$G19&amp;"¦"&amp;$H19,"")</f>
        <v>Claude Opus 5 輸入¦Standard¦Claude Opus 5</v>
      </c>
    </row>
    <row r="20" customFormat="false" ht="29.25" hidden="false" customHeight="true" outlineLevel="0" collapsed="false">
      <c r="A20" s="30" t="s">
        <v>8811</v>
      </c>
      <c r="B20" s="6" t="s">
        <v>8812</v>
      </c>
      <c r="C20" s="241" t="n">
        <v>25</v>
      </c>
      <c r="D20" s="239"/>
      <c r="E20" s="239"/>
      <c r="F20" s="30" t="s">
        <v>976</v>
      </c>
      <c r="G20" s="30" t="s">
        <v>8762</v>
      </c>
      <c r="H20" s="30" t="s">
        <v>1384</v>
      </c>
      <c r="I20" s="30" t="s">
        <v>8808</v>
      </c>
      <c r="J20" s="6" t="s">
        <v>8794</v>
      </c>
      <c r="K20" s="239" t="n">
        <v>2</v>
      </c>
      <c r="L20" s="239" t="s">
        <v>7551</v>
      </c>
      <c r="M20" s="6" t="s">
        <v>8795</v>
      </c>
      <c r="N20" s="239" t="s">
        <v>7564</v>
      </c>
      <c r="O20" s="30" t="s">
        <v>7554</v>
      </c>
      <c r="P20" s="30" t="s">
        <v>751</v>
      </c>
      <c r="Q20" s="30" t="s">
        <v>8796</v>
      </c>
      <c r="R20" s="30" t="s">
        <v>751</v>
      </c>
      <c r="S20" s="30" t="s">
        <v>751</v>
      </c>
      <c r="T20" s="30" t="s">
        <v>751</v>
      </c>
      <c r="U20" s="30" t="s">
        <v>8797</v>
      </c>
      <c r="V20" s="6" t="s">
        <v>8813</v>
      </c>
      <c r="W20" s="6" t="s">
        <v>751</v>
      </c>
      <c r="AC20" s="32" t="n">
        <f aca="false">IF($O20="Active",SUMPRODUCT(($AM$5:$AM$98=$AM20)*1),0)</f>
        <v>1</v>
      </c>
      <c r="AD20" s="32" t="n">
        <f aca="false">IF(AND($O20="Active",OR($Q20="—",$Q20="")),1,0)</f>
        <v>0</v>
      </c>
      <c r="AE20" s="32" t="n">
        <f aca="false">IF(AND($O20="Active",$L20="利害關係方",OR($R20="—",$R20="")),1,0)</f>
        <v>1</v>
      </c>
      <c r="AM20" s="44" t="str">
        <f aca="false">IF($O20="Active",$B20&amp;"¦"&amp;$G20&amp;"¦"&amp;$H20,"")</f>
        <v>Claude Opus 5 輸出¦Standard¦Claude Opus 5</v>
      </c>
    </row>
    <row r="21" customFormat="false" ht="29.25" hidden="false" customHeight="true" outlineLevel="0" collapsed="false">
      <c r="A21" s="30" t="s">
        <v>8814</v>
      </c>
      <c r="B21" s="6" t="s">
        <v>8815</v>
      </c>
      <c r="C21" s="241" t="n">
        <v>4</v>
      </c>
      <c r="D21" s="239"/>
      <c r="E21" s="239"/>
      <c r="F21" s="30" t="s">
        <v>976</v>
      </c>
      <c r="G21" s="30" t="s">
        <v>8762</v>
      </c>
      <c r="H21" s="30" t="s">
        <v>1387</v>
      </c>
      <c r="I21" s="30" t="s">
        <v>1389</v>
      </c>
      <c r="J21" s="6" t="s">
        <v>8794</v>
      </c>
      <c r="K21" s="239" t="n">
        <v>2</v>
      </c>
      <c r="L21" s="239" t="s">
        <v>7551</v>
      </c>
      <c r="M21" s="6" t="s">
        <v>8795</v>
      </c>
      <c r="N21" s="239" t="s">
        <v>7564</v>
      </c>
      <c r="O21" s="30" t="s">
        <v>7554</v>
      </c>
      <c r="P21" s="30" t="s">
        <v>751</v>
      </c>
      <c r="Q21" s="30" t="s">
        <v>8796</v>
      </c>
      <c r="R21" s="30" t="s">
        <v>751</v>
      </c>
      <c r="S21" s="30" t="s">
        <v>751</v>
      </c>
      <c r="T21" s="30" t="s">
        <v>751</v>
      </c>
      <c r="U21" s="30" t="s">
        <v>8797</v>
      </c>
      <c r="V21" s="6" t="s">
        <v>8816</v>
      </c>
      <c r="W21" s="20" t="s">
        <v>8817</v>
      </c>
      <c r="AC21" s="32" t="n">
        <f aca="false">IF($O21="Active",SUMPRODUCT(($AM$5:$AM$98=$AM21)*1),0)</f>
        <v>1</v>
      </c>
      <c r="AD21" s="32" t="n">
        <f aca="false">IF(AND($O21="Active",OR($Q21="—",$Q21="")),1,0)</f>
        <v>0</v>
      </c>
      <c r="AE21" s="32" t="n">
        <f aca="false">IF(AND($O21="Active",$L21="利害關係方",OR($R21="—",$R21="")),1,0)</f>
        <v>1</v>
      </c>
      <c r="AM21" s="44" t="str">
        <f aca="false">IF($O21="Active",$B21&amp;"¦"&amp;$G21&amp;"¦"&amp;$H21,"")</f>
        <v>Claude Opus 5.5 輸入¦Standard¦Claude Opus 5.5</v>
      </c>
    </row>
    <row r="22" customFormat="false" ht="29.25" hidden="false" customHeight="true" outlineLevel="0" collapsed="false">
      <c r="A22" s="30" t="s">
        <v>8818</v>
      </c>
      <c r="B22" s="6" t="s">
        <v>8819</v>
      </c>
      <c r="C22" s="241" t="n">
        <v>20</v>
      </c>
      <c r="D22" s="239"/>
      <c r="E22" s="239"/>
      <c r="F22" s="30" t="s">
        <v>976</v>
      </c>
      <c r="G22" s="30" t="s">
        <v>8762</v>
      </c>
      <c r="H22" s="30" t="s">
        <v>1387</v>
      </c>
      <c r="I22" s="30" t="s">
        <v>1389</v>
      </c>
      <c r="J22" s="6" t="s">
        <v>8794</v>
      </c>
      <c r="K22" s="239" t="n">
        <v>2</v>
      </c>
      <c r="L22" s="239" t="s">
        <v>7551</v>
      </c>
      <c r="M22" s="6" t="s">
        <v>8795</v>
      </c>
      <c r="N22" s="239" t="s">
        <v>7564</v>
      </c>
      <c r="O22" s="30" t="s">
        <v>7554</v>
      </c>
      <c r="P22" s="30" t="s">
        <v>751</v>
      </c>
      <c r="Q22" s="30" t="s">
        <v>8796</v>
      </c>
      <c r="R22" s="30" t="s">
        <v>751</v>
      </c>
      <c r="S22" s="30" t="s">
        <v>751</v>
      </c>
      <c r="T22" s="30" t="s">
        <v>751</v>
      </c>
      <c r="U22" s="30" t="s">
        <v>8797</v>
      </c>
      <c r="V22" s="6" t="s">
        <v>8820</v>
      </c>
      <c r="W22" s="6" t="s">
        <v>751</v>
      </c>
      <c r="AC22" s="32" t="n">
        <f aca="false">IF($O22="Active",SUMPRODUCT(($AM$5:$AM$98=$AM22)*1),0)</f>
        <v>1</v>
      </c>
      <c r="AD22" s="32" t="n">
        <f aca="false">IF(AND($O22="Active",OR($Q22="—",$Q22="")),1,0)</f>
        <v>0</v>
      </c>
      <c r="AE22" s="32" t="n">
        <f aca="false">IF(AND($O22="Active",$L22="利害關係方",OR($R22="—",$R22="")),1,0)</f>
        <v>1</v>
      </c>
      <c r="AM22" s="44" t="str">
        <f aca="false">IF($O22="Active",$B22&amp;"¦"&amp;$G22&amp;"¦"&amp;$H22,"")</f>
        <v>Claude Opus 5.5 輸出¦Standard¦Claude Opus 5.5</v>
      </c>
    </row>
    <row r="23" customFormat="false" ht="29.25" hidden="false" customHeight="true" outlineLevel="0" collapsed="false">
      <c r="A23" s="30" t="s">
        <v>8821</v>
      </c>
      <c r="B23" s="6" t="s">
        <v>8822</v>
      </c>
      <c r="C23" s="241" t="n">
        <v>1.25</v>
      </c>
      <c r="D23" s="239"/>
      <c r="E23" s="239"/>
      <c r="F23" s="30" t="s">
        <v>8823</v>
      </c>
      <c r="G23" s="30" t="s">
        <v>751</v>
      </c>
      <c r="H23" s="30" t="s">
        <v>1381</v>
      </c>
      <c r="I23" s="30" t="s">
        <v>8808</v>
      </c>
      <c r="J23" s="6" t="s">
        <v>8794</v>
      </c>
      <c r="K23" s="239" t="n">
        <v>2</v>
      </c>
      <c r="L23" s="239" t="s">
        <v>7551</v>
      </c>
      <c r="M23" s="6" t="s">
        <v>8795</v>
      </c>
      <c r="N23" s="239" t="s">
        <v>7564</v>
      </c>
      <c r="O23" s="30" t="s">
        <v>7554</v>
      </c>
      <c r="P23" s="30" t="s">
        <v>751</v>
      </c>
      <c r="Q23" s="30" t="s">
        <v>8796</v>
      </c>
      <c r="R23" s="30" t="s">
        <v>751</v>
      </c>
      <c r="S23" s="30" t="s">
        <v>751</v>
      </c>
      <c r="T23" s="30" t="s">
        <v>751</v>
      </c>
      <c r="U23" s="30" t="s">
        <v>8797</v>
      </c>
      <c r="V23" s="6" t="s">
        <v>751</v>
      </c>
      <c r="W23" s="6" t="s">
        <v>751</v>
      </c>
      <c r="AC23" s="32" t="n">
        <f aca="false">IF($O23="Active",SUMPRODUCT(($AM$5:$AM$98=$AM23)*1),0)</f>
        <v>1</v>
      </c>
      <c r="AD23" s="32" t="n">
        <f aca="false">IF(AND($O23="Active",OR($Q23="—",$Q23="")),1,0)</f>
        <v>0</v>
      </c>
      <c r="AE23" s="32" t="n">
        <f aca="false">IF(AND($O23="Active",$L23="利害關係方",OR($R23="—",$R23="")),1,0)</f>
        <v>1</v>
      </c>
      <c r="AM23" s="44" t="str">
        <f aca="false">IF($O23="Active",$B23&amp;"¦"&amp;$G23&amp;"¦"&amp;$H23,"")</f>
        <v>Anthropic 快取寫入倍數（5 分鐘）¦—¦Anthropic</v>
      </c>
    </row>
    <row r="24" customFormat="false" ht="29.25" hidden="false" customHeight="true" outlineLevel="0" collapsed="false">
      <c r="A24" s="30" t="s">
        <v>8824</v>
      </c>
      <c r="B24" s="6" t="s">
        <v>8825</v>
      </c>
      <c r="C24" s="241" t="n">
        <v>2</v>
      </c>
      <c r="D24" s="239"/>
      <c r="E24" s="239"/>
      <c r="F24" s="30" t="s">
        <v>8823</v>
      </c>
      <c r="G24" s="30" t="s">
        <v>751</v>
      </c>
      <c r="H24" s="30" t="s">
        <v>1381</v>
      </c>
      <c r="I24" s="30" t="s">
        <v>8808</v>
      </c>
      <c r="J24" s="6" t="s">
        <v>8794</v>
      </c>
      <c r="K24" s="239" t="n">
        <v>2</v>
      </c>
      <c r="L24" s="239" t="s">
        <v>7551</v>
      </c>
      <c r="M24" s="6" t="s">
        <v>8795</v>
      </c>
      <c r="N24" s="239" t="s">
        <v>7564</v>
      </c>
      <c r="O24" s="30" t="s">
        <v>7554</v>
      </c>
      <c r="P24" s="30" t="s">
        <v>751</v>
      </c>
      <c r="Q24" s="30" t="s">
        <v>8796</v>
      </c>
      <c r="R24" s="30" t="s">
        <v>751</v>
      </c>
      <c r="S24" s="30" t="s">
        <v>751</v>
      </c>
      <c r="T24" s="30" t="s">
        <v>751</v>
      </c>
      <c r="U24" s="30" t="s">
        <v>8797</v>
      </c>
      <c r="V24" s="6" t="s">
        <v>751</v>
      </c>
      <c r="W24" s="6" t="s">
        <v>751</v>
      </c>
      <c r="AC24" s="32" t="n">
        <f aca="false">IF($O24="Active",SUMPRODUCT(($AM$5:$AM$98=$AM24)*1),0)</f>
        <v>1</v>
      </c>
      <c r="AD24" s="32" t="n">
        <f aca="false">IF(AND($O24="Active",OR($Q24="—",$Q24="")),1,0)</f>
        <v>0</v>
      </c>
      <c r="AE24" s="32" t="n">
        <f aca="false">IF(AND($O24="Active",$L24="利害關係方",OR($R24="—",$R24="")),1,0)</f>
        <v>1</v>
      </c>
      <c r="AM24" s="44" t="str">
        <f aca="false">IF($O24="Active",$B24&amp;"¦"&amp;$G24&amp;"¦"&amp;$H24,"")</f>
        <v>Anthropic 快取寫入倍數（1 小時）¦—¦Anthropic</v>
      </c>
    </row>
    <row r="25" customFormat="false" ht="15" hidden="false" customHeight="true" outlineLevel="0" collapsed="false">
      <c r="A25" s="30" t="s">
        <v>8826</v>
      </c>
      <c r="B25" s="6" t="s">
        <v>8827</v>
      </c>
      <c r="C25" s="241" t="n">
        <v>0.3</v>
      </c>
      <c r="D25" s="239"/>
      <c r="E25" s="239"/>
      <c r="F25" s="30" t="s">
        <v>976</v>
      </c>
      <c r="G25" s="239" t="s">
        <v>8828</v>
      </c>
      <c r="H25" s="30" t="s">
        <v>1391</v>
      </c>
      <c r="I25" s="30" t="s">
        <v>1394</v>
      </c>
      <c r="J25" s="6" t="s">
        <v>8829</v>
      </c>
      <c r="K25" s="239" t="n">
        <v>1</v>
      </c>
      <c r="L25" s="239" t="s">
        <v>7551</v>
      </c>
      <c r="M25" s="6" t="s">
        <v>8830</v>
      </c>
      <c r="N25" s="239" t="s">
        <v>8128</v>
      </c>
      <c r="O25" s="30" t="s">
        <v>7554</v>
      </c>
      <c r="P25" s="30" t="s">
        <v>751</v>
      </c>
      <c r="Q25" s="30" t="s">
        <v>8831</v>
      </c>
      <c r="R25" s="30" t="s">
        <v>751</v>
      </c>
      <c r="S25" s="30" t="s">
        <v>751</v>
      </c>
      <c r="T25" s="30" t="s">
        <v>751</v>
      </c>
      <c r="U25" s="30" t="s">
        <v>4221</v>
      </c>
      <c r="V25" s="6" t="s">
        <v>8832</v>
      </c>
      <c r="W25" s="6" t="s">
        <v>751</v>
      </c>
      <c r="AC25" s="32" t="n">
        <f aca="false">IF($O25="Active",SUMPRODUCT(($AM$5:$AM$98=$AM25)*1),0)</f>
        <v>1</v>
      </c>
      <c r="AD25" s="32" t="n">
        <f aca="false">IF(AND($O25="Active",OR($Q25="—",$Q25="")),1,0)</f>
        <v>0</v>
      </c>
      <c r="AE25" s="32" t="n">
        <f aca="false">IF(AND($O25="Active",$L25="利害關係方",OR($R25="—",$R25="")),1,0)</f>
        <v>1</v>
      </c>
      <c r="AM25" s="44" t="str">
        <f aca="false">IF($O25="Active",$B25&amp;"¦"&amp;$G25&amp;"¦"&amp;$H25,"")</f>
        <v>DeepSeek V4.1-Flash 輸入（尖峰）¦尖峰；國際站美元¦DeepSeek V4.1-Flash</v>
      </c>
    </row>
    <row r="26" customFormat="false" ht="15" hidden="false" customHeight="true" outlineLevel="0" collapsed="false">
      <c r="A26" s="30" t="s">
        <v>8833</v>
      </c>
      <c r="B26" s="6" t="s">
        <v>8834</v>
      </c>
      <c r="C26" s="241" t="n">
        <v>0.006</v>
      </c>
      <c r="D26" s="239"/>
      <c r="E26" s="239"/>
      <c r="F26" s="30" t="s">
        <v>976</v>
      </c>
      <c r="G26" s="239" t="s">
        <v>8835</v>
      </c>
      <c r="H26" s="30" t="s">
        <v>1391</v>
      </c>
      <c r="I26" s="30" t="s">
        <v>1394</v>
      </c>
      <c r="J26" s="6" t="s">
        <v>8829</v>
      </c>
      <c r="K26" s="239" t="n">
        <v>1</v>
      </c>
      <c r="L26" s="239" t="s">
        <v>7551</v>
      </c>
      <c r="M26" s="6" t="s">
        <v>8830</v>
      </c>
      <c r="N26" s="239" t="s">
        <v>8128</v>
      </c>
      <c r="O26" s="30" t="s">
        <v>7554</v>
      </c>
      <c r="P26" s="30" t="s">
        <v>751</v>
      </c>
      <c r="Q26" s="30" t="s">
        <v>8831</v>
      </c>
      <c r="R26" s="30" t="s">
        <v>751</v>
      </c>
      <c r="S26" s="30" t="s">
        <v>751</v>
      </c>
      <c r="T26" s="30" t="s">
        <v>751</v>
      </c>
      <c r="U26" s="30" t="s">
        <v>4221</v>
      </c>
      <c r="V26" s="6" t="s">
        <v>8836</v>
      </c>
      <c r="W26" s="6" t="s">
        <v>751</v>
      </c>
      <c r="AC26" s="32" t="n">
        <f aca="false">IF($O26="Active",SUMPRODUCT(($AM$5:$AM$98=$AM26)*1),0)</f>
        <v>1</v>
      </c>
      <c r="AD26" s="32" t="n">
        <f aca="false">IF(AND($O26="Active",OR($Q26="—",$Q26="")),1,0)</f>
        <v>0</v>
      </c>
      <c r="AE26" s="32" t="n">
        <f aca="false">IF(AND($O26="Active",$L26="利害關係方",OR($R26="—",$R26="")),1,0)</f>
        <v>1</v>
      </c>
      <c r="AM26" s="44" t="str">
        <f aca="false">IF($O26="Active",$B26&amp;"¦"&amp;$G26&amp;"¦"&amp;$H26,"")</f>
        <v>DeepSeek V4.1-Flash 快取輸入（尖峰）¦尖峰¦DeepSeek V4.1-Flash</v>
      </c>
    </row>
    <row r="27" customFormat="false" ht="15" hidden="false" customHeight="true" outlineLevel="0" collapsed="false">
      <c r="A27" s="30" t="s">
        <v>8837</v>
      </c>
      <c r="B27" s="6" t="s">
        <v>8838</v>
      </c>
      <c r="C27" s="241" t="n">
        <v>1.2</v>
      </c>
      <c r="D27" s="239"/>
      <c r="E27" s="239"/>
      <c r="F27" s="30" t="s">
        <v>976</v>
      </c>
      <c r="G27" s="239" t="s">
        <v>8835</v>
      </c>
      <c r="H27" s="30" t="s">
        <v>1391</v>
      </c>
      <c r="I27" s="30" t="s">
        <v>1394</v>
      </c>
      <c r="J27" s="6" t="s">
        <v>8829</v>
      </c>
      <c r="K27" s="239" t="n">
        <v>1</v>
      </c>
      <c r="L27" s="239" t="s">
        <v>7551</v>
      </c>
      <c r="M27" s="6" t="s">
        <v>8830</v>
      </c>
      <c r="N27" s="239" t="s">
        <v>8128</v>
      </c>
      <c r="O27" s="30" t="s">
        <v>7554</v>
      </c>
      <c r="P27" s="30" t="s">
        <v>751</v>
      </c>
      <c r="Q27" s="30" t="s">
        <v>8831</v>
      </c>
      <c r="R27" s="30" t="s">
        <v>751</v>
      </c>
      <c r="S27" s="30" t="s">
        <v>751</v>
      </c>
      <c r="T27" s="30" t="s">
        <v>751</v>
      </c>
      <c r="U27" s="30" t="s">
        <v>4221</v>
      </c>
      <c r="V27" s="6" t="s">
        <v>8839</v>
      </c>
      <c r="W27" s="6" t="s">
        <v>751</v>
      </c>
      <c r="AC27" s="32" t="n">
        <f aca="false">IF($O27="Active",SUMPRODUCT(($AM$5:$AM$98=$AM27)*1),0)</f>
        <v>1</v>
      </c>
      <c r="AD27" s="32" t="n">
        <f aca="false">IF(AND($O27="Active",OR($Q27="—",$Q27="")),1,0)</f>
        <v>0</v>
      </c>
      <c r="AE27" s="32" t="n">
        <f aca="false">IF(AND($O27="Active",$L27="利害關係方",OR($R27="—",$R27="")),1,0)</f>
        <v>1</v>
      </c>
      <c r="AM27" s="44" t="str">
        <f aca="false">IF($O27="Active",$B27&amp;"¦"&amp;$G27&amp;"¦"&amp;$H27,"")</f>
        <v>DeepSeek V4.1-Flash 輸出（尖峰）¦尖峰¦DeepSeek V4.1-Flash</v>
      </c>
    </row>
    <row r="28" customFormat="false" ht="15" hidden="false" customHeight="true" outlineLevel="0" collapsed="false">
      <c r="A28" s="30" t="s">
        <v>8840</v>
      </c>
      <c r="B28" s="6" t="s">
        <v>8841</v>
      </c>
      <c r="C28" s="241" t="n">
        <v>1.32</v>
      </c>
      <c r="D28" s="239"/>
      <c r="E28" s="239"/>
      <c r="F28" s="30" t="s">
        <v>976</v>
      </c>
      <c r="G28" s="239" t="s">
        <v>8835</v>
      </c>
      <c r="H28" s="30" t="s">
        <v>1396</v>
      </c>
      <c r="I28" s="30" t="s">
        <v>1394</v>
      </c>
      <c r="J28" s="6" t="s">
        <v>8829</v>
      </c>
      <c r="K28" s="239" t="n">
        <v>1</v>
      </c>
      <c r="L28" s="239" t="s">
        <v>7551</v>
      </c>
      <c r="M28" s="6" t="s">
        <v>8830</v>
      </c>
      <c r="N28" s="239" t="s">
        <v>8128</v>
      </c>
      <c r="O28" s="30" t="s">
        <v>7554</v>
      </c>
      <c r="P28" s="30" t="s">
        <v>751</v>
      </c>
      <c r="Q28" s="30" t="s">
        <v>8831</v>
      </c>
      <c r="R28" s="30" t="s">
        <v>751</v>
      </c>
      <c r="S28" s="30" t="s">
        <v>751</v>
      </c>
      <c r="T28" s="30" t="s">
        <v>751</v>
      </c>
      <c r="U28" s="30" t="s">
        <v>4221</v>
      </c>
      <c r="V28" s="6" t="s">
        <v>8842</v>
      </c>
      <c r="W28" s="6" t="s">
        <v>751</v>
      </c>
      <c r="AC28" s="32" t="n">
        <f aca="false">IF($O28="Active",SUMPRODUCT(($AM$5:$AM$98=$AM28)*1),0)</f>
        <v>1</v>
      </c>
      <c r="AD28" s="32" t="n">
        <f aca="false">IF(AND($O28="Active",OR($Q28="—",$Q28="")),1,0)</f>
        <v>0</v>
      </c>
      <c r="AE28" s="32" t="n">
        <f aca="false">IF(AND($O28="Active",$L28="利害關係方",OR($R28="—",$R28="")),1,0)</f>
        <v>1</v>
      </c>
      <c r="AM28" s="44" t="str">
        <f aca="false">IF($O28="Active",$B28&amp;"¦"&amp;$G28&amp;"¦"&amp;$H28,"")</f>
        <v>DeepSeek V4-Pro-0813 輸入（尖峰）¦尖峰¦DeepSeek V4-Pro-0813</v>
      </c>
    </row>
    <row r="29" customFormat="false" ht="15" hidden="false" customHeight="true" outlineLevel="0" collapsed="false">
      <c r="A29" s="30" t="s">
        <v>8843</v>
      </c>
      <c r="B29" s="6" t="s">
        <v>8844</v>
      </c>
      <c r="C29" s="241" t="n">
        <v>0.044</v>
      </c>
      <c r="D29" s="239"/>
      <c r="E29" s="239"/>
      <c r="F29" s="30" t="s">
        <v>976</v>
      </c>
      <c r="G29" s="239" t="s">
        <v>8835</v>
      </c>
      <c r="H29" s="30" t="s">
        <v>1396</v>
      </c>
      <c r="I29" s="30" t="s">
        <v>1394</v>
      </c>
      <c r="J29" s="6" t="s">
        <v>8829</v>
      </c>
      <c r="K29" s="239" t="n">
        <v>1</v>
      </c>
      <c r="L29" s="239" t="s">
        <v>7551</v>
      </c>
      <c r="M29" s="6" t="s">
        <v>8830</v>
      </c>
      <c r="N29" s="239" t="s">
        <v>8128</v>
      </c>
      <c r="O29" s="30" t="s">
        <v>7554</v>
      </c>
      <c r="P29" s="30" t="s">
        <v>751</v>
      </c>
      <c r="Q29" s="30" t="s">
        <v>8831</v>
      </c>
      <c r="R29" s="30" t="s">
        <v>751</v>
      </c>
      <c r="S29" s="30" t="s">
        <v>751</v>
      </c>
      <c r="T29" s="30" t="s">
        <v>751</v>
      </c>
      <c r="U29" s="30" t="s">
        <v>4221</v>
      </c>
      <c r="V29" s="6" t="s">
        <v>8845</v>
      </c>
      <c r="W29" s="6" t="s">
        <v>751</v>
      </c>
      <c r="AC29" s="32" t="n">
        <f aca="false">IF($O29="Active",SUMPRODUCT(($AM$5:$AM$98=$AM29)*1),0)</f>
        <v>1</v>
      </c>
      <c r="AD29" s="32" t="n">
        <f aca="false">IF(AND($O29="Active",OR($Q29="—",$Q29="")),1,0)</f>
        <v>0</v>
      </c>
      <c r="AE29" s="32" t="n">
        <f aca="false">IF(AND($O29="Active",$L29="利害關係方",OR($R29="—",$R29="")),1,0)</f>
        <v>1</v>
      </c>
      <c r="AM29" s="44" t="str">
        <f aca="false">IF($O29="Active",$B29&amp;"¦"&amp;$G29&amp;"¦"&amp;$H29,"")</f>
        <v>DeepSeek V4-Pro-0813 快取輸入（尖峰）¦尖峰¦DeepSeek V4-Pro-0813</v>
      </c>
    </row>
    <row r="30" customFormat="false" ht="15" hidden="false" customHeight="true" outlineLevel="0" collapsed="false">
      <c r="A30" s="30" t="s">
        <v>8846</v>
      </c>
      <c r="B30" s="6" t="s">
        <v>8847</v>
      </c>
      <c r="C30" s="241" t="n">
        <v>3.96</v>
      </c>
      <c r="D30" s="239"/>
      <c r="E30" s="239"/>
      <c r="F30" s="30" t="s">
        <v>976</v>
      </c>
      <c r="G30" s="239" t="s">
        <v>8835</v>
      </c>
      <c r="H30" s="30" t="s">
        <v>1396</v>
      </c>
      <c r="I30" s="30" t="s">
        <v>1394</v>
      </c>
      <c r="J30" s="6" t="s">
        <v>8829</v>
      </c>
      <c r="K30" s="239" t="n">
        <v>1</v>
      </c>
      <c r="L30" s="239" t="s">
        <v>7551</v>
      </c>
      <c r="M30" s="6" t="s">
        <v>8830</v>
      </c>
      <c r="N30" s="239" t="s">
        <v>8128</v>
      </c>
      <c r="O30" s="30" t="s">
        <v>7554</v>
      </c>
      <c r="P30" s="30" t="s">
        <v>751</v>
      </c>
      <c r="Q30" s="30" t="s">
        <v>8831</v>
      </c>
      <c r="R30" s="30" t="s">
        <v>751</v>
      </c>
      <c r="S30" s="30" t="s">
        <v>751</v>
      </c>
      <c r="T30" s="30" t="s">
        <v>751</v>
      </c>
      <c r="U30" s="30" t="s">
        <v>4221</v>
      </c>
      <c r="V30" s="6" t="s">
        <v>8848</v>
      </c>
      <c r="W30" s="6" t="s">
        <v>751</v>
      </c>
      <c r="AC30" s="32" t="n">
        <f aca="false">IF($O30="Active",SUMPRODUCT(($AM$5:$AM$98=$AM30)*1),0)</f>
        <v>1</v>
      </c>
      <c r="AD30" s="32" t="n">
        <f aca="false">IF(AND($O30="Active",OR($Q30="—",$Q30="")),1,0)</f>
        <v>0</v>
      </c>
      <c r="AE30" s="32" t="n">
        <f aca="false">IF(AND($O30="Active",$L30="利害關係方",OR($R30="—",$R30="")),1,0)</f>
        <v>1</v>
      </c>
      <c r="AM30" s="44" t="str">
        <f aca="false">IF($O30="Active",$B30&amp;"¦"&amp;$G30&amp;"¦"&amp;$H30,"")</f>
        <v>DeepSeek V4-Pro-0813 輸出（尖峰）¦尖峰¦DeepSeek V4-Pro-0813</v>
      </c>
    </row>
    <row r="31" customFormat="false" ht="15" hidden="false" customHeight="true" outlineLevel="0" collapsed="false">
      <c r="A31" s="30" t="s">
        <v>5720</v>
      </c>
      <c r="B31" s="6" t="s">
        <v>8849</v>
      </c>
      <c r="C31" s="241" t="n">
        <v>0.5</v>
      </c>
      <c r="D31" s="239"/>
      <c r="E31" s="239"/>
      <c r="F31" s="30" t="s">
        <v>118</v>
      </c>
      <c r="G31" s="30" t="s">
        <v>751</v>
      </c>
      <c r="H31" s="30" t="s">
        <v>1392</v>
      </c>
      <c r="I31" s="30" t="s">
        <v>1394</v>
      </c>
      <c r="J31" s="6" t="s">
        <v>8829</v>
      </c>
      <c r="K31" s="239" t="n">
        <v>1</v>
      </c>
      <c r="L31" s="239" t="s">
        <v>7551</v>
      </c>
      <c r="M31" s="6" t="s">
        <v>8830</v>
      </c>
      <c r="N31" s="239" t="s">
        <v>8128</v>
      </c>
      <c r="O31" s="30" t="s">
        <v>7554</v>
      </c>
      <c r="P31" s="30" t="s">
        <v>751</v>
      </c>
      <c r="Q31" s="30" t="s">
        <v>8831</v>
      </c>
      <c r="R31" s="30" t="s">
        <v>751</v>
      </c>
      <c r="S31" s="30" t="s">
        <v>751</v>
      </c>
      <c r="T31" s="30" t="s">
        <v>751</v>
      </c>
      <c r="U31" s="30" t="s">
        <v>4221</v>
      </c>
      <c r="V31" s="6" t="s">
        <v>8850</v>
      </c>
      <c r="W31" s="6" t="s">
        <v>751</v>
      </c>
      <c r="AC31" s="32" t="n">
        <f aca="false">IF($O31="Active",SUMPRODUCT(($AM$5:$AM$98=$AM31)*1),0)</f>
        <v>1</v>
      </c>
      <c r="AD31" s="32" t="n">
        <f aca="false">IF(AND($O31="Active",OR($Q31="—",$Q31="")),1,0)</f>
        <v>0</v>
      </c>
      <c r="AE31" s="32" t="n">
        <f aca="false">IF(AND($O31="Active",$L31="利害關係方",OR($R31="—",$R31="")),1,0)</f>
        <v>1</v>
      </c>
      <c r="AM31" s="44" t="str">
        <f aca="false">IF($O31="Active",$B31&amp;"¦"&amp;$G31&amp;"¦"&amp;$H31,"")</f>
        <v>DeepSeek 離峰價 ÷ 尖峰價¦—¦DeepSeek</v>
      </c>
    </row>
    <row r="32" customFormat="false" ht="15" hidden="false" customHeight="true" outlineLevel="0" collapsed="false">
      <c r="A32" s="30" t="s">
        <v>8851</v>
      </c>
      <c r="B32" s="6" t="s">
        <v>8852</v>
      </c>
      <c r="C32" s="241" t="n">
        <v>35</v>
      </c>
      <c r="D32" s="239"/>
      <c r="E32" s="239"/>
      <c r="F32" s="30" t="s">
        <v>8853</v>
      </c>
      <c r="G32" s="239" t="s">
        <v>8854</v>
      </c>
      <c r="H32" s="30" t="s">
        <v>1392</v>
      </c>
      <c r="I32" s="30" t="s">
        <v>1394</v>
      </c>
      <c r="J32" s="6" t="s">
        <v>8829</v>
      </c>
      <c r="K32" s="239" t="n">
        <v>1</v>
      </c>
      <c r="L32" s="239" t="s">
        <v>7551</v>
      </c>
      <c r="M32" s="6" t="s">
        <v>8830</v>
      </c>
      <c r="N32" s="239" t="s">
        <v>8128</v>
      </c>
      <c r="O32" s="30" t="s">
        <v>7554</v>
      </c>
      <c r="P32" s="30" t="s">
        <v>751</v>
      </c>
      <c r="Q32" s="30" t="s">
        <v>8831</v>
      </c>
      <c r="R32" s="30" t="s">
        <v>751</v>
      </c>
      <c r="S32" s="30" t="s">
        <v>751</v>
      </c>
      <c r="T32" s="30" t="s">
        <v>751</v>
      </c>
      <c r="U32" s="30" t="s">
        <v>4221</v>
      </c>
      <c r="V32" s="6" t="s">
        <v>8855</v>
      </c>
      <c r="W32" s="20" t="s">
        <v>8856</v>
      </c>
      <c r="AC32" s="32" t="n">
        <f aca="false">IF($O32="Active",SUMPRODUCT(($AM$5:$AM$98=$AM32)*1),0)</f>
        <v>1</v>
      </c>
      <c r="AD32" s="32" t="n">
        <f aca="false">IF(AND($O32="Active",OR($Q32="—",$Q32="")),1,0)</f>
        <v>0</v>
      </c>
      <c r="AE32" s="32" t="n">
        <f aca="false">IF(AND($O32="Active",$L32="利害關係方",OR($R32="—",$R32="")),1,0)</f>
        <v>1</v>
      </c>
      <c r="AM32" s="44" t="str">
        <f aca="false">IF($O32="Active",$B32&amp;"¦"&amp;$G32&amp;"¦"&amp;$H32,"")</f>
        <v>DeepSeek 每週尖峰時數¦週一至五 UTC 01–04、06–10¦DeepSeek</v>
      </c>
    </row>
    <row r="33" customFormat="false" ht="15" hidden="false" customHeight="true" outlineLevel="0" collapsed="false">
      <c r="A33" s="30" t="s">
        <v>8857</v>
      </c>
      <c r="B33" s="6" t="s">
        <v>8858</v>
      </c>
      <c r="C33" s="241" t="n">
        <v>1.4</v>
      </c>
      <c r="D33" s="239"/>
      <c r="E33" s="239"/>
      <c r="F33" s="30" t="s">
        <v>976</v>
      </c>
      <c r="G33" s="30" t="s">
        <v>751</v>
      </c>
      <c r="H33" s="30" t="s">
        <v>1398</v>
      </c>
      <c r="I33" s="30" t="s">
        <v>1394</v>
      </c>
      <c r="J33" s="6" t="s">
        <v>8859</v>
      </c>
      <c r="K33" s="239" t="n">
        <v>1</v>
      </c>
      <c r="L33" s="239" t="s">
        <v>7551</v>
      </c>
      <c r="M33" s="6" t="s">
        <v>8860</v>
      </c>
      <c r="N33" s="239" t="s">
        <v>8128</v>
      </c>
      <c r="O33" s="30" t="s">
        <v>7554</v>
      </c>
      <c r="P33" s="30" t="s">
        <v>751</v>
      </c>
      <c r="Q33" s="30" t="s">
        <v>8861</v>
      </c>
      <c r="R33" s="30" t="s">
        <v>751</v>
      </c>
      <c r="S33" s="30" t="s">
        <v>751</v>
      </c>
      <c r="T33" s="30" t="s">
        <v>751</v>
      </c>
      <c r="U33" s="30" t="s">
        <v>8862</v>
      </c>
      <c r="V33" s="6" t="s">
        <v>8863</v>
      </c>
      <c r="W33" s="6" t="s">
        <v>751</v>
      </c>
      <c r="AC33" s="32" t="n">
        <f aca="false">IF($O33="Active",SUMPRODUCT(($AM$5:$AM$98=$AM33)*1),0)</f>
        <v>1</v>
      </c>
      <c r="AD33" s="32" t="n">
        <f aca="false">IF(AND($O33="Active",OR($Q33="—",$Q33="")),1,0)</f>
        <v>0</v>
      </c>
      <c r="AE33" s="32" t="n">
        <f aca="false">IF(AND($O33="Active",$L33="利害關係方",OR($R33="—",$R33="")),1,0)</f>
        <v>1</v>
      </c>
      <c r="AM33" s="44" t="str">
        <f aca="false">IF($O33="Active",$B33&amp;"¦"&amp;$G33&amp;"¦"&amp;$H33,"")</f>
        <v>GLM-5.3 輸入¦—¦GLM-5.3</v>
      </c>
    </row>
    <row r="34" customFormat="false" ht="15" hidden="false" customHeight="true" outlineLevel="0" collapsed="false">
      <c r="A34" s="30" t="s">
        <v>8864</v>
      </c>
      <c r="B34" s="6" t="s">
        <v>8865</v>
      </c>
      <c r="C34" s="241" t="n">
        <v>0.26</v>
      </c>
      <c r="D34" s="239"/>
      <c r="E34" s="239"/>
      <c r="F34" s="30" t="s">
        <v>976</v>
      </c>
      <c r="G34" s="30" t="s">
        <v>751</v>
      </c>
      <c r="H34" s="30" t="s">
        <v>1398</v>
      </c>
      <c r="I34" s="30" t="s">
        <v>1394</v>
      </c>
      <c r="J34" s="6" t="s">
        <v>8859</v>
      </c>
      <c r="K34" s="239" t="n">
        <v>1</v>
      </c>
      <c r="L34" s="239" t="s">
        <v>7551</v>
      </c>
      <c r="M34" s="6" t="s">
        <v>8860</v>
      </c>
      <c r="N34" s="239" t="s">
        <v>8128</v>
      </c>
      <c r="O34" s="30" t="s">
        <v>7554</v>
      </c>
      <c r="P34" s="30" t="s">
        <v>751</v>
      </c>
      <c r="Q34" s="30" t="s">
        <v>8861</v>
      </c>
      <c r="R34" s="30" t="s">
        <v>751</v>
      </c>
      <c r="S34" s="30" t="s">
        <v>751</v>
      </c>
      <c r="T34" s="30" t="s">
        <v>751</v>
      </c>
      <c r="U34" s="30" t="s">
        <v>8862</v>
      </c>
      <c r="V34" s="6" t="s">
        <v>8866</v>
      </c>
      <c r="W34" s="6" t="s">
        <v>751</v>
      </c>
      <c r="AC34" s="32" t="n">
        <f aca="false">IF($O34="Active",SUMPRODUCT(($AM$5:$AM$98=$AM34)*1),0)</f>
        <v>1</v>
      </c>
      <c r="AD34" s="32" t="n">
        <f aca="false">IF(AND($O34="Active",OR($Q34="—",$Q34="")),1,0)</f>
        <v>0</v>
      </c>
      <c r="AE34" s="32" t="n">
        <f aca="false">IF(AND($O34="Active",$L34="利害關係方",OR($R34="—",$R34="")),1,0)</f>
        <v>1</v>
      </c>
      <c r="AM34" s="44" t="str">
        <f aca="false">IF($O34="Active",$B34&amp;"¦"&amp;$G34&amp;"¦"&amp;$H34,"")</f>
        <v>GLM-5.3 快取輸入¦—¦GLM-5.3</v>
      </c>
    </row>
    <row r="35" customFormat="false" ht="15" hidden="false" customHeight="true" outlineLevel="0" collapsed="false">
      <c r="A35" s="30" t="s">
        <v>8867</v>
      </c>
      <c r="B35" s="6" t="s">
        <v>8868</v>
      </c>
      <c r="C35" s="241" t="n">
        <v>4.4</v>
      </c>
      <c r="D35" s="239"/>
      <c r="E35" s="239"/>
      <c r="F35" s="30" t="s">
        <v>976</v>
      </c>
      <c r="G35" s="30" t="s">
        <v>751</v>
      </c>
      <c r="H35" s="30" t="s">
        <v>1398</v>
      </c>
      <c r="I35" s="30" t="s">
        <v>1394</v>
      </c>
      <c r="J35" s="6" t="s">
        <v>8859</v>
      </c>
      <c r="K35" s="239" t="n">
        <v>1</v>
      </c>
      <c r="L35" s="239" t="s">
        <v>7551</v>
      </c>
      <c r="M35" s="6" t="s">
        <v>8860</v>
      </c>
      <c r="N35" s="239" t="s">
        <v>8128</v>
      </c>
      <c r="O35" s="30" t="s">
        <v>7554</v>
      </c>
      <c r="P35" s="30" t="s">
        <v>751</v>
      </c>
      <c r="Q35" s="30" t="s">
        <v>8861</v>
      </c>
      <c r="R35" s="30" t="s">
        <v>751</v>
      </c>
      <c r="S35" s="30" t="s">
        <v>751</v>
      </c>
      <c r="T35" s="30" t="s">
        <v>751</v>
      </c>
      <c r="U35" s="30" t="s">
        <v>8862</v>
      </c>
      <c r="V35" s="6" t="s">
        <v>8869</v>
      </c>
      <c r="W35" s="6" t="s">
        <v>751</v>
      </c>
      <c r="AC35" s="32" t="n">
        <f aca="false">IF($O35="Active",SUMPRODUCT(($AM$5:$AM$98=$AM35)*1),0)</f>
        <v>1</v>
      </c>
      <c r="AD35" s="32" t="n">
        <f aca="false">IF(AND($O35="Active",OR($Q35="—",$Q35="")),1,0)</f>
        <v>0</v>
      </c>
      <c r="AE35" s="32" t="n">
        <f aca="false">IF(AND($O35="Active",$L35="利害關係方",OR($R35="—",$R35="")),1,0)</f>
        <v>1</v>
      </c>
      <c r="AM35" s="44" t="str">
        <f aca="false">IF($O35="Active",$B35&amp;"¦"&amp;$G35&amp;"¦"&amp;$H35,"")</f>
        <v>GLM-5.3 輸出¦—¦GLM-5.3</v>
      </c>
    </row>
    <row r="36" customFormat="false" ht="15" hidden="false" customHeight="true" outlineLevel="0" collapsed="false">
      <c r="A36" s="30" t="s">
        <v>8870</v>
      </c>
      <c r="B36" s="6" t="s">
        <v>8871</v>
      </c>
      <c r="C36" s="241" t="n">
        <v>0.15</v>
      </c>
      <c r="D36" s="239"/>
      <c r="E36" s="239"/>
      <c r="F36" s="30" t="s">
        <v>976</v>
      </c>
      <c r="G36" s="30" t="s">
        <v>751</v>
      </c>
      <c r="H36" s="30" t="s">
        <v>1402</v>
      </c>
      <c r="I36" s="30" t="s">
        <v>1394</v>
      </c>
      <c r="J36" s="6" t="s">
        <v>8859</v>
      </c>
      <c r="K36" s="239" t="n">
        <v>1</v>
      </c>
      <c r="L36" s="239" t="s">
        <v>7551</v>
      </c>
      <c r="M36" s="6" t="s">
        <v>8860</v>
      </c>
      <c r="N36" s="239" t="s">
        <v>8128</v>
      </c>
      <c r="O36" s="30" t="s">
        <v>7554</v>
      </c>
      <c r="P36" s="30" t="s">
        <v>751</v>
      </c>
      <c r="Q36" s="30" t="s">
        <v>8861</v>
      </c>
      <c r="R36" s="30" t="s">
        <v>751</v>
      </c>
      <c r="S36" s="30" t="s">
        <v>751</v>
      </c>
      <c r="T36" s="30" t="s">
        <v>751</v>
      </c>
      <c r="U36" s="30" t="s">
        <v>8862</v>
      </c>
      <c r="V36" s="6" t="s">
        <v>8872</v>
      </c>
      <c r="W36" s="6" t="s">
        <v>751</v>
      </c>
      <c r="AC36" s="32" t="n">
        <f aca="false">IF($O36="Active",SUMPRODUCT(($AM$5:$AM$98=$AM36)*1),0)</f>
        <v>1</v>
      </c>
      <c r="AD36" s="32" t="n">
        <f aca="false">IF(AND($O36="Active",OR($Q36="—",$Q36="")),1,0)</f>
        <v>0</v>
      </c>
      <c r="AE36" s="32" t="n">
        <f aca="false">IF(AND($O36="Active",$L36="利害關係方",OR($R36="—",$R36="")),1,0)</f>
        <v>1</v>
      </c>
      <c r="AM36" s="44" t="str">
        <f aca="false">IF($O36="Active",$B36&amp;"¦"&amp;$G36&amp;"¦"&amp;$H36,"")</f>
        <v>GLM-5.3-Flash 輸入¦—¦GLM-5.3-Flash</v>
      </c>
    </row>
    <row r="37" customFormat="false" ht="15" hidden="false" customHeight="true" outlineLevel="0" collapsed="false">
      <c r="A37" s="30" t="s">
        <v>8873</v>
      </c>
      <c r="B37" s="6" t="s">
        <v>8874</v>
      </c>
      <c r="C37" s="241" t="n">
        <v>0.03</v>
      </c>
      <c r="D37" s="239"/>
      <c r="E37" s="239"/>
      <c r="F37" s="30" t="s">
        <v>976</v>
      </c>
      <c r="G37" s="30" t="s">
        <v>751</v>
      </c>
      <c r="H37" s="30" t="s">
        <v>1402</v>
      </c>
      <c r="I37" s="30" t="s">
        <v>1394</v>
      </c>
      <c r="J37" s="6" t="s">
        <v>8859</v>
      </c>
      <c r="K37" s="239" t="n">
        <v>1</v>
      </c>
      <c r="L37" s="239" t="s">
        <v>7551</v>
      </c>
      <c r="M37" s="6" t="s">
        <v>8860</v>
      </c>
      <c r="N37" s="239" t="s">
        <v>8128</v>
      </c>
      <c r="O37" s="30" t="s">
        <v>7554</v>
      </c>
      <c r="P37" s="30" t="s">
        <v>751</v>
      </c>
      <c r="Q37" s="30" t="s">
        <v>8861</v>
      </c>
      <c r="R37" s="30" t="s">
        <v>751</v>
      </c>
      <c r="S37" s="30" t="s">
        <v>751</v>
      </c>
      <c r="T37" s="30" t="s">
        <v>751</v>
      </c>
      <c r="U37" s="30" t="s">
        <v>8862</v>
      </c>
      <c r="V37" s="6" t="s">
        <v>8875</v>
      </c>
      <c r="W37" s="6" t="s">
        <v>751</v>
      </c>
      <c r="AC37" s="32" t="n">
        <f aca="false">IF($O37="Active",SUMPRODUCT(($AM$5:$AM$98=$AM37)*1),0)</f>
        <v>1</v>
      </c>
      <c r="AD37" s="32" t="n">
        <f aca="false">IF(AND($O37="Active",OR($Q37="—",$Q37="")),1,0)</f>
        <v>0</v>
      </c>
      <c r="AE37" s="32" t="n">
        <f aca="false">IF(AND($O37="Active",$L37="利害關係方",OR($R37="—",$R37="")),1,0)</f>
        <v>1</v>
      </c>
      <c r="AM37" s="44" t="str">
        <f aca="false">IF($O37="Active",$B37&amp;"¦"&amp;$G37&amp;"¦"&amp;$H37,"")</f>
        <v>GLM-5.3-Flash 快取輸入¦—¦GLM-5.3-Flash</v>
      </c>
    </row>
    <row r="38" customFormat="false" ht="15" hidden="false" customHeight="true" outlineLevel="0" collapsed="false">
      <c r="A38" s="30" t="s">
        <v>8876</v>
      </c>
      <c r="B38" s="6" t="s">
        <v>8877</v>
      </c>
      <c r="C38" s="241" t="n">
        <v>0.5</v>
      </c>
      <c r="D38" s="239"/>
      <c r="E38" s="239"/>
      <c r="F38" s="30" t="s">
        <v>976</v>
      </c>
      <c r="G38" s="30" t="s">
        <v>751</v>
      </c>
      <c r="H38" s="30" t="s">
        <v>1402</v>
      </c>
      <c r="I38" s="30" t="s">
        <v>1394</v>
      </c>
      <c r="J38" s="6" t="s">
        <v>8859</v>
      </c>
      <c r="K38" s="239" t="n">
        <v>1</v>
      </c>
      <c r="L38" s="239" t="s">
        <v>7551</v>
      </c>
      <c r="M38" s="6" t="s">
        <v>8860</v>
      </c>
      <c r="N38" s="239" t="s">
        <v>8128</v>
      </c>
      <c r="O38" s="30" t="s">
        <v>7554</v>
      </c>
      <c r="P38" s="30" t="s">
        <v>751</v>
      </c>
      <c r="Q38" s="30" t="s">
        <v>8861</v>
      </c>
      <c r="R38" s="30" t="s">
        <v>751</v>
      </c>
      <c r="S38" s="30" t="s">
        <v>751</v>
      </c>
      <c r="T38" s="30" t="s">
        <v>751</v>
      </c>
      <c r="U38" s="30" t="s">
        <v>8862</v>
      </c>
      <c r="V38" s="6" t="s">
        <v>8878</v>
      </c>
      <c r="W38" s="6" t="s">
        <v>751</v>
      </c>
      <c r="AC38" s="32" t="n">
        <f aca="false">IF($O38="Active",SUMPRODUCT(($AM$5:$AM$98=$AM38)*1),0)</f>
        <v>1</v>
      </c>
      <c r="AD38" s="32" t="n">
        <f aca="false">IF(AND($O38="Active",OR($Q38="—",$Q38="")),1,0)</f>
        <v>0</v>
      </c>
      <c r="AE38" s="32" t="n">
        <f aca="false">IF(AND($O38="Active",$L38="利害關係方",OR($R38="—",$R38="")),1,0)</f>
        <v>1</v>
      </c>
      <c r="AM38" s="44" t="str">
        <f aca="false">IF($O38="Active",$B38&amp;"¦"&amp;$G38&amp;"¦"&amp;$H38,"")</f>
        <v>GLM-5.3-Flash 輸出¦—¦GLM-5.3-Flash</v>
      </c>
    </row>
    <row r="39" customFormat="false" ht="29.25" hidden="false" customHeight="true" outlineLevel="0" collapsed="false">
      <c r="A39" s="30" t="s">
        <v>8879</v>
      </c>
      <c r="B39" s="6" t="s">
        <v>8880</v>
      </c>
      <c r="C39" s="241" t="n">
        <v>3</v>
      </c>
      <c r="D39" s="239"/>
      <c r="E39" s="239"/>
      <c r="F39" s="30" t="s">
        <v>976</v>
      </c>
      <c r="G39" s="30" t="s">
        <v>751</v>
      </c>
      <c r="H39" s="30" t="s">
        <v>1408</v>
      </c>
      <c r="I39" s="30" t="s">
        <v>8808</v>
      </c>
      <c r="J39" s="6" t="s">
        <v>8881</v>
      </c>
      <c r="K39" s="239" t="n">
        <v>2</v>
      </c>
      <c r="L39" s="239" t="s">
        <v>7551</v>
      </c>
      <c r="M39" s="6" t="s">
        <v>8882</v>
      </c>
      <c r="N39" s="239" t="s">
        <v>7564</v>
      </c>
      <c r="O39" s="30" t="s">
        <v>7554</v>
      </c>
      <c r="P39" s="30" t="s">
        <v>751</v>
      </c>
      <c r="Q39" s="30" t="s">
        <v>8883</v>
      </c>
      <c r="R39" s="30" t="s">
        <v>751</v>
      </c>
      <c r="S39" s="30" t="s">
        <v>751</v>
      </c>
      <c r="T39" s="30" t="s">
        <v>751</v>
      </c>
      <c r="U39" s="30" t="s">
        <v>8884</v>
      </c>
      <c r="V39" s="6" t="s">
        <v>8885</v>
      </c>
      <c r="W39" s="6" t="s">
        <v>751</v>
      </c>
      <c r="AC39" s="32" t="n">
        <f aca="false">IF($O39="Active",SUMPRODUCT(($AM$5:$AM$98=$AM39)*1),0)</f>
        <v>1</v>
      </c>
      <c r="AD39" s="32" t="n">
        <f aca="false">IF(AND($O39="Active",OR($Q39="—",$Q39="")),1,0)</f>
        <v>0</v>
      </c>
      <c r="AE39" s="32" t="n">
        <f aca="false">IF(AND($O39="Active",$L39="利害關係方",OR($R39="—",$R39="")),1,0)</f>
        <v>1</v>
      </c>
      <c r="AM39" s="44" t="str">
        <f aca="false">IF($O39="Active",$B39&amp;"¦"&amp;$G39&amp;"¦"&amp;$H39,"")</f>
        <v>Kimi K3 輸入¦—¦Kimi K3</v>
      </c>
    </row>
    <row r="40" customFormat="false" ht="29.25" hidden="false" customHeight="true" outlineLevel="0" collapsed="false">
      <c r="A40" s="30" t="s">
        <v>8886</v>
      </c>
      <c r="B40" s="6" t="s">
        <v>8887</v>
      </c>
      <c r="C40" s="241" t="n">
        <v>0.3</v>
      </c>
      <c r="D40" s="239"/>
      <c r="E40" s="239"/>
      <c r="F40" s="30" t="s">
        <v>976</v>
      </c>
      <c r="G40" s="30" t="s">
        <v>751</v>
      </c>
      <c r="H40" s="30" t="s">
        <v>1408</v>
      </c>
      <c r="I40" s="30" t="s">
        <v>8808</v>
      </c>
      <c r="J40" s="6" t="s">
        <v>8881</v>
      </c>
      <c r="K40" s="239" t="n">
        <v>2</v>
      </c>
      <c r="L40" s="239" t="s">
        <v>7551</v>
      </c>
      <c r="M40" s="6" t="s">
        <v>8882</v>
      </c>
      <c r="N40" s="239" t="s">
        <v>7564</v>
      </c>
      <c r="O40" s="30" t="s">
        <v>7554</v>
      </c>
      <c r="P40" s="30" t="s">
        <v>751</v>
      </c>
      <c r="Q40" s="30" t="s">
        <v>8883</v>
      </c>
      <c r="R40" s="30" t="s">
        <v>751</v>
      </c>
      <c r="S40" s="30" t="s">
        <v>751</v>
      </c>
      <c r="T40" s="30" t="s">
        <v>751</v>
      </c>
      <c r="U40" s="30" t="s">
        <v>8884</v>
      </c>
      <c r="V40" s="6" t="s">
        <v>8888</v>
      </c>
      <c r="W40" s="6" t="s">
        <v>751</v>
      </c>
      <c r="AC40" s="32" t="n">
        <f aca="false">IF($O40="Active",SUMPRODUCT(($AM$5:$AM$98=$AM40)*1),0)</f>
        <v>1</v>
      </c>
      <c r="AD40" s="32" t="n">
        <f aca="false">IF(AND($O40="Active",OR($Q40="—",$Q40="")),1,0)</f>
        <v>0</v>
      </c>
      <c r="AE40" s="32" t="n">
        <f aca="false">IF(AND($O40="Active",$L40="利害關係方",OR($R40="—",$R40="")),1,0)</f>
        <v>1</v>
      </c>
      <c r="AM40" s="44" t="str">
        <f aca="false">IF($O40="Active",$B40&amp;"¦"&amp;$G40&amp;"¦"&amp;$H40,"")</f>
        <v>Kimi K3 快取輸入¦—¦Kimi K3</v>
      </c>
    </row>
    <row r="41" customFormat="false" ht="29.25" hidden="false" customHeight="true" outlineLevel="0" collapsed="false">
      <c r="A41" s="30" t="s">
        <v>8889</v>
      </c>
      <c r="B41" s="6" t="s">
        <v>8890</v>
      </c>
      <c r="C41" s="241" t="n">
        <v>15</v>
      </c>
      <c r="D41" s="239"/>
      <c r="E41" s="239"/>
      <c r="F41" s="30" t="s">
        <v>976</v>
      </c>
      <c r="G41" s="30" t="s">
        <v>751</v>
      </c>
      <c r="H41" s="30" t="s">
        <v>1408</v>
      </c>
      <c r="I41" s="30" t="s">
        <v>8808</v>
      </c>
      <c r="J41" s="6" t="s">
        <v>8881</v>
      </c>
      <c r="K41" s="239" t="n">
        <v>2</v>
      </c>
      <c r="L41" s="239" t="s">
        <v>7551</v>
      </c>
      <c r="M41" s="6" t="s">
        <v>8882</v>
      </c>
      <c r="N41" s="239" t="s">
        <v>7564</v>
      </c>
      <c r="O41" s="30" t="s">
        <v>7554</v>
      </c>
      <c r="P41" s="30" t="s">
        <v>751</v>
      </c>
      <c r="Q41" s="30" t="s">
        <v>8883</v>
      </c>
      <c r="R41" s="30" t="s">
        <v>751</v>
      </c>
      <c r="S41" s="30" t="s">
        <v>751</v>
      </c>
      <c r="T41" s="30" t="s">
        <v>751</v>
      </c>
      <c r="U41" s="30" t="s">
        <v>8884</v>
      </c>
      <c r="V41" s="6" t="s">
        <v>8891</v>
      </c>
      <c r="W41" s="6" t="s">
        <v>751</v>
      </c>
      <c r="AC41" s="32" t="n">
        <f aca="false">IF($O41="Active",SUMPRODUCT(($AM$5:$AM$98=$AM41)*1),0)</f>
        <v>1</v>
      </c>
      <c r="AD41" s="32" t="n">
        <f aca="false">IF(AND($O41="Active",OR($Q41="—",$Q41="")),1,0)</f>
        <v>0</v>
      </c>
      <c r="AE41" s="32" t="n">
        <f aca="false">IF(AND($O41="Active",$L41="利害關係方",OR($R41="—",$R41="")),1,0)</f>
        <v>1</v>
      </c>
      <c r="AM41" s="44" t="str">
        <f aca="false">IF($O41="Active",$B41&amp;"¦"&amp;$G41&amp;"¦"&amp;$H41,"")</f>
        <v>Kimi K3 輸出¦—¦Kimi K3</v>
      </c>
    </row>
    <row r="42" customFormat="false" ht="29.25" hidden="false" customHeight="true" outlineLevel="0" collapsed="false">
      <c r="A42" s="30" t="s">
        <v>8892</v>
      </c>
      <c r="B42" s="6" t="s">
        <v>8893</v>
      </c>
      <c r="C42" s="241" t="n">
        <v>2</v>
      </c>
      <c r="D42" s="239"/>
      <c r="E42" s="239"/>
      <c r="F42" s="30" t="s">
        <v>976</v>
      </c>
      <c r="G42" s="239" t="s">
        <v>8894</v>
      </c>
      <c r="H42" s="30" t="s">
        <v>1404</v>
      </c>
      <c r="I42" s="30" t="s">
        <v>1382</v>
      </c>
      <c r="J42" s="6" t="s">
        <v>8881</v>
      </c>
      <c r="K42" s="239" t="n">
        <v>2</v>
      </c>
      <c r="L42" s="239" t="s">
        <v>7551</v>
      </c>
      <c r="M42" s="6" t="s">
        <v>8882</v>
      </c>
      <c r="N42" s="239" t="s">
        <v>7564</v>
      </c>
      <c r="O42" s="30" t="s">
        <v>7554</v>
      </c>
      <c r="P42" s="30" t="s">
        <v>751</v>
      </c>
      <c r="Q42" s="30" t="s">
        <v>8883</v>
      </c>
      <c r="R42" s="30" t="s">
        <v>751</v>
      </c>
      <c r="S42" s="30" t="s">
        <v>751</v>
      </c>
      <c r="T42" s="30" t="s">
        <v>751</v>
      </c>
      <c r="U42" s="30" t="s">
        <v>8884</v>
      </c>
      <c r="V42" s="6" t="s">
        <v>8895</v>
      </c>
      <c r="W42" s="6" t="s">
        <v>751</v>
      </c>
      <c r="AC42" s="32" t="n">
        <f aca="false">IF($O42="Active",SUMPRODUCT(($AM$5:$AM$98=$AM42)*1),0)</f>
        <v>1</v>
      </c>
      <c r="AD42" s="32" t="n">
        <f aca="false">IF(AND($O42="Active",OR($Q42="—",$Q42="")),1,0)</f>
        <v>0</v>
      </c>
      <c r="AE42" s="32" t="n">
        <f aca="false">IF(AND($O42="Active",$L42="利害關係方",OR($R42="—",$R42="")),1,0)</f>
        <v>1</v>
      </c>
      <c r="AM42" s="44" t="str">
        <f aca="false">IF($O42="Active",$B42&amp;"¦"&amp;$G42&amp;"¦"&amp;$H42,"")</f>
        <v>Qwen3.8-Max 輸入（國際站）¦國際站¦Qwen3.8-Max</v>
      </c>
    </row>
    <row r="43" customFormat="false" ht="29.25" hidden="false" customHeight="true" outlineLevel="0" collapsed="false">
      <c r="A43" s="30" t="s">
        <v>8896</v>
      </c>
      <c r="B43" s="6" t="s">
        <v>8897</v>
      </c>
      <c r="C43" s="241" t="n">
        <v>0.25</v>
      </c>
      <c r="D43" s="239"/>
      <c r="E43" s="239"/>
      <c r="F43" s="30" t="s">
        <v>976</v>
      </c>
      <c r="G43" s="239" t="s">
        <v>8894</v>
      </c>
      <c r="H43" s="30" t="s">
        <v>1404</v>
      </c>
      <c r="I43" s="30" t="s">
        <v>1382</v>
      </c>
      <c r="J43" s="6" t="s">
        <v>8881</v>
      </c>
      <c r="K43" s="239" t="n">
        <v>2</v>
      </c>
      <c r="L43" s="239" t="s">
        <v>7551</v>
      </c>
      <c r="M43" s="6" t="s">
        <v>8882</v>
      </c>
      <c r="N43" s="239" t="s">
        <v>7564</v>
      </c>
      <c r="O43" s="30" t="s">
        <v>7554</v>
      </c>
      <c r="P43" s="30" t="s">
        <v>751</v>
      </c>
      <c r="Q43" s="30" t="s">
        <v>8883</v>
      </c>
      <c r="R43" s="30" t="s">
        <v>751</v>
      </c>
      <c r="S43" s="30" t="s">
        <v>751</v>
      </c>
      <c r="T43" s="30" t="s">
        <v>751</v>
      </c>
      <c r="U43" s="30" t="s">
        <v>8884</v>
      </c>
      <c r="V43" s="6" t="s">
        <v>8898</v>
      </c>
      <c r="W43" s="6" t="s">
        <v>751</v>
      </c>
      <c r="AC43" s="32" t="n">
        <f aca="false">IF($O43="Active",SUMPRODUCT(($AM$5:$AM$98=$AM43)*1),0)</f>
        <v>1</v>
      </c>
      <c r="AD43" s="32" t="n">
        <f aca="false">IF(AND($O43="Active",OR($Q43="—",$Q43="")),1,0)</f>
        <v>0</v>
      </c>
      <c r="AE43" s="32" t="n">
        <f aca="false">IF(AND($O43="Active",$L43="利害關係方",OR($R43="—",$R43="")),1,0)</f>
        <v>1</v>
      </c>
      <c r="AM43" s="44" t="str">
        <f aca="false">IF($O43="Active",$B43&amp;"¦"&amp;$G43&amp;"¦"&amp;$H43,"")</f>
        <v>Qwen3.8-Max 快取輸入（國際站）¦國際站¦Qwen3.8-Max</v>
      </c>
    </row>
    <row r="44" customFormat="false" ht="29.25" hidden="false" customHeight="true" outlineLevel="0" collapsed="false">
      <c r="A44" s="30" t="s">
        <v>8899</v>
      </c>
      <c r="B44" s="6" t="s">
        <v>8900</v>
      </c>
      <c r="C44" s="241" t="n">
        <v>6</v>
      </c>
      <c r="D44" s="239"/>
      <c r="E44" s="239"/>
      <c r="F44" s="30" t="s">
        <v>976</v>
      </c>
      <c r="G44" s="239" t="s">
        <v>8894</v>
      </c>
      <c r="H44" s="30" t="s">
        <v>1404</v>
      </c>
      <c r="I44" s="30" t="s">
        <v>1382</v>
      </c>
      <c r="J44" s="6" t="s">
        <v>8881</v>
      </c>
      <c r="K44" s="239" t="n">
        <v>2</v>
      </c>
      <c r="L44" s="239" t="s">
        <v>7551</v>
      </c>
      <c r="M44" s="6" t="s">
        <v>8882</v>
      </c>
      <c r="N44" s="239" t="s">
        <v>7564</v>
      </c>
      <c r="O44" s="30" t="s">
        <v>7554</v>
      </c>
      <c r="P44" s="30" t="s">
        <v>751</v>
      </c>
      <c r="Q44" s="30" t="s">
        <v>8883</v>
      </c>
      <c r="R44" s="30" t="s">
        <v>751</v>
      </c>
      <c r="S44" s="30" t="s">
        <v>751</v>
      </c>
      <c r="T44" s="30" t="s">
        <v>751</v>
      </c>
      <c r="U44" s="30" t="s">
        <v>8884</v>
      </c>
      <c r="V44" s="6" t="s">
        <v>8901</v>
      </c>
      <c r="W44" s="6" t="s">
        <v>751</v>
      </c>
      <c r="AC44" s="32" t="n">
        <f aca="false">IF($O44="Active",SUMPRODUCT(($AM$5:$AM$98=$AM44)*1),0)</f>
        <v>1</v>
      </c>
      <c r="AD44" s="32" t="n">
        <f aca="false">IF(AND($O44="Active",OR($Q44="—",$Q44="")),1,0)</f>
        <v>0</v>
      </c>
      <c r="AE44" s="32" t="n">
        <f aca="false">IF(AND($O44="Active",$L44="利害關係方",OR($R44="—",$R44="")),1,0)</f>
        <v>1</v>
      </c>
      <c r="AM44" s="44" t="str">
        <f aca="false">IF($O44="Active",$B44&amp;"¦"&amp;$G44&amp;"¦"&amp;$H44,"")</f>
        <v>Qwen3.8-Max 輸出（國際站）¦國際站¦Qwen3.8-Max</v>
      </c>
    </row>
    <row r="45" customFormat="false" ht="29.25" hidden="false" customHeight="true" outlineLevel="0" collapsed="false">
      <c r="A45" s="30" t="s">
        <v>8902</v>
      </c>
      <c r="B45" s="6" t="s">
        <v>8903</v>
      </c>
      <c r="C45" s="241" t="n">
        <v>2.5</v>
      </c>
      <c r="D45" s="239"/>
      <c r="E45" s="239"/>
      <c r="F45" s="30" t="s">
        <v>976</v>
      </c>
      <c r="G45" s="239" t="s">
        <v>8904</v>
      </c>
      <c r="H45" s="30" t="s">
        <v>1404</v>
      </c>
      <c r="I45" s="30" t="s">
        <v>1382</v>
      </c>
      <c r="J45" s="6" t="s">
        <v>8881</v>
      </c>
      <c r="K45" s="239" t="n">
        <v>2</v>
      </c>
      <c r="L45" s="239" t="s">
        <v>7551</v>
      </c>
      <c r="M45" s="6" t="s">
        <v>8882</v>
      </c>
      <c r="N45" s="239" t="s">
        <v>7564</v>
      </c>
      <c r="O45" s="30" t="s">
        <v>7600</v>
      </c>
      <c r="P45" s="30" t="s">
        <v>751</v>
      </c>
      <c r="Q45" s="30" t="s">
        <v>8883</v>
      </c>
      <c r="R45" s="30" t="s">
        <v>751</v>
      </c>
      <c r="S45" s="30" t="s">
        <v>751</v>
      </c>
      <c r="T45" s="30" t="s">
        <v>751</v>
      </c>
      <c r="U45" s="30" t="s">
        <v>8884</v>
      </c>
      <c r="V45" s="6" t="s">
        <v>751</v>
      </c>
      <c r="W45" s="20" t="s">
        <v>8905</v>
      </c>
      <c r="AC45" s="32" t="n">
        <f aca="false">IF($O45="Active",SUMPRODUCT(($AM$5:$AM$98=$AM45)*1),0)</f>
        <v>0</v>
      </c>
      <c r="AD45" s="32" t="n">
        <f aca="false">IF(AND($O45="Active",OR($Q45="—",$Q45="")),1,0)</f>
        <v>0</v>
      </c>
      <c r="AE45" s="32" t="n">
        <f aca="false">IF(AND($O45="Active",$L45="利害關係方",OR($R45="—",$R45="")),1,0)</f>
        <v>0</v>
      </c>
      <c r="AM45" s="44" t="str">
        <f aca="false">IF($O45="Active",$B45&amp;"¦"&amp;$G45&amp;"¦"&amp;$H45,"")</f>
        <v/>
      </c>
    </row>
    <row r="46" customFormat="false" ht="29.25" hidden="false" customHeight="true" outlineLevel="0" collapsed="false">
      <c r="A46" s="30" t="s">
        <v>8906</v>
      </c>
      <c r="B46" s="6" t="s">
        <v>8907</v>
      </c>
      <c r="C46" s="241" t="n">
        <v>7.5</v>
      </c>
      <c r="D46" s="239"/>
      <c r="E46" s="239"/>
      <c r="F46" s="30" t="s">
        <v>976</v>
      </c>
      <c r="G46" s="239" t="s">
        <v>8904</v>
      </c>
      <c r="H46" s="30" t="s">
        <v>1404</v>
      </c>
      <c r="I46" s="30" t="s">
        <v>1382</v>
      </c>
      <c r="J46" s="6" t="s">
        <v>8881</v>
      </c>
      <c r="K46" s="239" t="n">
        <v>2</v>
      </c>
      <c r="L46" s="239" t="s">
        <v>7551</v>
      </c>
      <c r="M46" s="6" t="s">
        <v>8882</v>
      </c>
      <c r="N46" s="239" t="s">
        <v>7564</v>
      </c>
      <c r="O46" s="30" t="s">
        <v>7600</v>
      </c>
      <c r="P46" s="30" t="s">
        <v>751</v>
      </c>
      <c r="Q46" s="30" t="s">
        <v>8883</v>
      </c>
      <c r="R46" s="30" t="s">
        <v>751</v>
      </c>
      <c r="S46" s="30" t="s">
        <v>751</v>
      </c>
      <c r="T46" s="30" t="s">
        <v>751</v>
      </c>
      <c r="U46" s="30" t="s">
        <v>8884</v>
      </c>
      <c r="V46" s="6" t="s">
        <v>751</v>
      </c>
      <c r="W46" s="20" t="s">
        <v>8905</v>
      </c>
      <c r="AC46" s="32" t="n">
        <f aca="false">IF($O46="Active",SUMPRODUCT(($AM$5:$AM$98=$AM46)*1),0)</f>
        <v>0</v>
      </c>
      <c r="AD46" s="32" t="n">
        <f aca="false">IF(AND($O46="Active",OR($Q46="—",$Q46="")),1,0)</f>
        <v>0</v>
      </c>
      <c r="AE46" s="32" t="n">
        <f aca="false">IF(AND($O46="Active",$L46="利害關係方",OR($R46="—",$R46="")),1,0)</f>
        <v>0</v>
      </c>
      <c r="AM46" s="44" t="str">
        <f aca="false">IF($O46="Active",$B46&amp;"¦"&amp;$G46&amp;"¦"&amp;$H46,"")</f>
        <v/>
      </c>
    </row>
    <row r="47" customFormat="false" ht="29.25" hidden="false" customHeight="true" outlineLevel="0" collapsed="false">
      <c r="A47" s="30" t="s">
        <v>8908</v>
      </c>
      <c r="B47" s="6" t="s">
        <v>8909</v>
      </c>
      <c r="C47" s="241" t="n">
        <v>0.3</v>
      </c>
      <c r="D47" s="239"/>
      <c r="E47" s="239"/>
      <c r="F47" s="30" t="s">
        <v>976</v>
      </c>
      <c r="G47" s="30" t="s">
        <v>8910</v>
      </c>
      <c r="H47" s="30" t="s">
        <v>1413</v>
      </c>
      <c r="I47" s="30" t="s">
        <v>1385</v>
      </c>
      <c r="J47" s="6" t="s">
        <v>8881</v>
      </c>
      <c r="K47" s="239" t="n">
        <v>2</v>
      </c>
      <c r="L47" s="239" t="s">
        <v>7551</v>
      </c>
      <c r="M47" s="6" t="s">
        <v>8882</v>
      </c>
      <c r="N47" s="239" t="s">
        <v>7564</v>
      </c>
      <c r="O47" s="30" t="s">
        <v>7554</v>
      </c>
      <c r="P47" s="30" t="s">
        <v>751</v>
      </c>
      <c r="Q47" s="30" t="s">
        <v>8883</v>
      </c>
      <c r="R47" s="30" t="s">
        <v>751</v>
      </c>
      <c r="S47" s="30" t="s">
        <v>751</v>
      </c>
      <c r="T47" s="30" t="s">
        <v>751</v>
      </c>
      <c r="U47" s="30" t="s">
        <v>8884</v>
      </c>
      <c r="V47" s="6" t="s">
        <v>8911</v>
      </c>
      <c r="W47" s="6" t="s">
        <v>751</v>
      </c>
      <c r="AC47" s="32" t="n">
        <f aca="false">IF($O47="Active",SUMPRODUCT(($AM$5:$AM$98=$AM47)*1),0)</f>
        <v>1</v>
      </c>
      <c r="AD47" s="32" t="n">
        <f aca="false">IF(AND($O47="Active",OR($Q47="—",$Q47="")),1,0)</f>
        <v>0</v>
      </c>
      <c r="AE47" s="32" t="n">
        <f aca="false">IF(AND($O47="Active",$L47="利害關係方",OR($R47="—",$R47="")),1,0)</f>
        <v>1</v>
      </c>
      <c r="AM47" s="44" t="str">
        <f aca="false">IF($O47="Active",$B47&amp;"¦"&amp;$G47&amp;"¦"&amp;$H47,"")</f>
        <v>MiniMax M3 輸入¦≤512K 輸入¦MiniMax M3</v>
      </c>
    </row>
    <row r="48" customFormat="false" ht="29.25" hidden="false" customHeight="true" outlineLevel="0" collapsed="false">
      <c r="A48" s="30" t="s">
        <v>8912</v>
      </c>
      <c r="B48" s="6" t="s">
        <v>8913</v>
      </c>
      <c r="C48" s="241" t="n">
        <v>1.2</v>
      </c>
      <c r="D48" s="239"/>
      <c r="E48" s="239"/>
      <c r="F48" s="30" t="s">
        <v>976</v>
      </c>
      <c r="G48" s="30" t="s">
        <v>8910</v>
      </c>
      <c r="H48" s="30" t="s">
        <v>1413</v>
      </c>
      <c r="I48" s="30" t="s">
        <v>1385</v>
      </c>
      <c r="J48" s="6" t="s">
        <v>8881</v>
      </c>
      <c r="K48" s="239" t="n">
        <v>2</v>
      </c>
      <c r="L48" s="239" t="s">
        <v>7551</v>
      </c>
      <c r="M48" s="6" t="s">
        <v>8882</v>
      </c>
      <c r="N48" s="239" t="s">
        <v>7564</v>
      </c>
      <c r="O48" s="30" t="s">
        <v>7554</v>
      </c>
      <c r="P48" s="30" t="s">
        <v>751</v>
      </c>
      <c r="Q48" s="30" t="s">
        <v>8883</v>
      </c>
      <c r="R48" s="30" t="s">
        <v>751</v>
      </c>
      <c r="S48" s="30" t="s">
        <v>751</v>
      </c>
      <c r="T48" s="30" t="s">
        <v>751</v>
      </c>
      <c r="U48" s="30" t="s">
        <v>8884</v>
      </c>
      <c r="V48" s="6" t="s">
        <v>8914</v>
      </c>
      <c r="W48" s="6" t="s">
        <v>751</v>
      </c>
      <c r="AC48" s="32" t="n">
        <f aca="false">IF($O48="Active",SUMPRODUCT(($AM$5:$AM$98=$AM48)*1),0)</f>
        <v>1</v>
      </c>
      <c r="AD48" s="32" t="n">
        <f aca="false">IF(AND($O48="Active",OR($Q48="—",$Q48="")),1,0)</f>
        <v>0</v>
      </c>
      <c r="AE48" s="32" t="n">
        <f aca="false">IF(AND($O48="Active",$L48="利害關係方",OR($R48="—",$R48="")),1,0)</f>
        <v>1</v>
      </c>
      <c r="AM48" s="44" t="str">
        <f aca="false">IF($O48="Active",$B48&amp;"¦"&amp;$G48&amp;"¦"&amp;$H48,"")</f>
        <v>MiniMax M3 輸出¦≤512K 輸入¦MiniMax M3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6" t="s">
        <v>8915</v>
      </c>
    </row>
    <row r="2" customFormat="false" ht="15" hidden="false" customHeight="true" outlineLevel="0" collapsed="false">
      <c r="A2" s="248" t="s">
        <v>7525</v>
      </c>
    </row>
    <row r="3" customFormat="false" ht="15" hidden="false" customHeight="true" outlineLevel="0" collapsed="false">
      <c r="A3" s="248" t="s">
        <v>7526</v>
      </c>
    </row>
    <row r="4" customFormat="false" ht="43.5" hidden="false" customHeight="true" outlineLevel="0" collapsed="false">
      <c r="A4" s="84" t="s">
        <v>7527</v>
      </c>
      <c r="B4" s="237" t="s">
        <v>2763</v>
      </c>
      <c r="C4" s="237" t="s">
        <v>7528</v>
      </c>
      <c r="D4" s="237" t="s">
        <v>1308</v>
      </c>
      <c r="E4" s="237" t="s">
        <v>1309</v>
      </c>
      <c r="F4" s="237" t="s">
        <v>95</v>
      </c>
      <c r="G4" s="237" t="s">
        <v>497</v>
      </c>
      <c r="H4" s="237" t="s">
        <v>7529</v>
      </c>
      <c r="I4" s="237" t="s">
        <v>6566</v>
      </c>
      <c r="J4" s="237" t="s">
        <v>6569</v>
      </c>
      <c r="K4" s="237" t="s">
        <v>6741</v>
      </c>
      <c r="L4" s="237" t="s">
        <v>7530</v>
      </c>
      <c r="M4" s="237" t="s">
        <v>7531</v>
      </c>
      <c r="N4" s="237" t="s">
        <v>7532</v>
      </c>
      <c r="O4" s="237" t="s">
        <v>738</v>
      </c>
      <c r="P4" s="237" t="s">
        <v>7533</v>
      </c>
      <c r="Q4" s="84" t="s">
        <v>7534</v>
      </c>
      <c r="R4" s="237" t="s">
        <v>7535</v>
      </c>
      <c r="S4" s="237" t="s">
        <v>7536</v>
      </c>
      <c r="T4" s="84" t="s">
        <v>7537</v>
      </c>
      <c r="U4" s="237" t="s">
        <v>7538</v>
      </c>
      <c r="V4" s="237" t="s">
        <v>7539</v>
      </c>
      <c r="W4" s="237" t="s">
        <v>7540</v>
      </c>
      <c r="X4" s="237" t="s">
        <v>7541</v>
      </c>
      <c r="Y4" s="237" t="s">
        <v>7542</v>
      </c>
      <c r="Z4" s="237" t="s">
        <v>7543</v>
      </c>
      <c r="AH4" s="83" t="s">
        <v>7544</v>
      </c>
    </row>
    <row r="5" customFormat="false" ht="29.25" hidden="false" customHeight="true" outlineLevel="0" collapsed="false">
      <c r="A5" s="30" t="s">
        <v>8916</v>
      </c>
      <c r="B5" s="6" t="s">
        <v>8917</v>
      </c>
      <c r="C5" s="241" t="n">
        <v>53</v>
      </c>
      <c r="D5" s="239"/>
      <c r="E5" s="239"/>
      <c r="F5" s="239" t="s">
        <v>1927</v>
      </c>
      <c r="G5" s="30" t="s">
        <v>1378</v>
      </c>
      <c r="H5" s="30" t="s">
        <v>1377</v>
      </c>
      <c r="I5" s="30" t="s">
        <v>1382</v>
      </c>
      <c r="J5" s="6" t="s">
        <v>8918</v>
      </c>
      <c r="K5" s="239" t="n">
        <v>2</v>
      </c>
      <c r="L5" s="239" t="s">
        <v>7658</v>
      </c>
      <c r="M5" s="6" t="s">
        <v>8919</v>
      </c>
      <c r="N5" s="239" t="s">
        <v>7564</v>
      </c>
      <c r="O5" s="30" t="s">
        <v>7554</v>
      </c>
      <c r="P5" s="30" t="s">
        <v>751</v>
      </c>
      <c r="Q5" s="30" t="s">
        <v>8920</v>
      </c>
      <c r="R5" s="30" t="s">
        <v>751</v>
      </c>
      <c r="S5" s="30" t="s">
        <v>751</v>
      </c>
      <c r="T5" s="30" t="s">
        <v>751</v>
      </c>
      <c r="U5" s="30" t="s">
        <v>8921</v>
      </c>
      <c r="V5" s="6" t="s">
        <v>8922</v>
      </c>
      <c r="W5" s="6" t="s">
        <v>751</v>
      </c>
      <c r="X5" s="32" t="n">
        <f aca="false">IF($O5="Active",SUMPRODUCT(($AH$5:$AH$75=$AH5)*1),0)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AA Intelligence Index v4.3：GPT-6 Astra¦v4.3¦GPT-6 Astra</v>
      </c>
    </row>
    <row r="6" customFormat="false" ht="29.25" hidden="false" customHeight="true" outlineLevel="0" collapsed="false">
      <c r="A6" s="30" t="s">
        <v>8923</v>
      </c>
      <c r="B6" s="6" t="s">
        <v>8924</v>
      </c>
      <c r="C6" s="241" t="n">
        <v>53</v>
      </c>
      <c r="D6" s="239"/>
      <c r="E6" s="239"/>
      <c r="F6" s="239" t="s">
        <v>1927</v>
      </c>
      <c r="G6" s="30" t="s">
        <v>1378</v>
      </c>
      <c r="H6" s="30" t="s">
        <v>1380</v>
      </c>
      <c r="I6" s="30" t="s">
        <v>1382</v>
      </c>
      <c r="J6" s="6" t="s">
        <v>8918</v>
      </c>
      <c r="K6" s="239" t="n">
        <v>2</v>
      </c>
      <c r="L6" s="239" t="s">
        <v>7658</v>
      </c>
      <c r="M6" s="6" t="s">
        <v>8919</v>
      </c>
      <c r="N6" s="239" t="s">
        <v>7564</v>
      </c>
      <c r="O6" s="30" t="s">
        <v>7554</v>
      </c>
      <c r="P6" s="30" t="s">
        <v>751</v>
      </c>
      <c r="Q6" s="30" t="s">
        <v>8920</v>
      </c>
      <c r="R6" s="30" t="s">
        <v>751</v>
      </c>
      <c r="S6" s="30" t="s">
        <v>751</v>
      </c>
      <c r="T6" s="30" t="s">
        <v>751</v>
      </c>
      <c r="U6" s="30" t="s">
        <v>8921</v>
      </c>
      <c r="V6" s="6" t="s">
        <v>8925</v>
      </c>
      <c r="W6" s="6" t="s">
        <v>751</v>
      </c>
      <c r="X6" s="32" t="n">
        <f aca="false">IF($O6="Active",SUMPRODUCT(($AH$5:$AH$75=$AH6)*1),0)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AA Intelligence Index v4.3：Claude Fable 5.1¦v4.3¦Claude Fable 5.1</v>
      </c>
    </row>
    <row r="7" customFormat="false" ht="29.25" hidden="false" customHeight="true" outlineLevel="0" collapsed="false">
      <c r="A7" s="30" t="s">
        <v>8926</v>
      </c>
      <c r="B7" s="6" t="s">
        <v>8927</v>
      </c>
      <c r="C7" s="241" t="n">
        <v>51</v>
      </c>
      <c r="D7" s="239"/>
      <c r="E7" s="239"/>
      <c r="F7" s="239" t="s">
        <v>1927</v>
      </c>
      <c r="G7" s="30" t="s">
        <v>1378</v>
      </c>
      <c r="H7" s="30" t="s">
        <v>1384</v>
      </c>
      <c r="I7" s="30" t="s">
        <v>1382</v>
      </c>
      <c r="J7" s="6" t="s">
        <v>8918</v>
      </c>
      <c r="K7" s="239" t="n">
        <v>2</v>
      </c>
      <c r="L7" s="239" t="s">
        <v>7658</v>
      </c>
      <c r="M7" s="6" t="s">
        <v>8919</v>
      </c>
      <c r="N7" s="239" t="s">
        <v>7564</v>
      </c>
      <c r="O7" s="30" t="s">
        <v>7554</v>
      </c>
      <c r="P7" s="30" t="s">
        <v>751</v>
      </c>
      <c r="Q7" s="30" t="s">
        <v>8920</v>
      </c>
      <c r="R7" s="30" t="s">
        <v>751</v>
      </c>
      <c r="S7" s="30" t="s">
        <v>751</v>
      </c>
      <c r="T7" s="30" t="s">
        <v>751</v>
      </c>
      <c r="U7" s="30" t="s">
        <v>8921</v>
      </c>
      <c r="V7" s="6" t="s">
        <v>8928</v>
      </c>
      <c r="W7" s="6" t="s">
        <v>751</v>
      </c>
      <c r="X7" s="32" t="n">
        <f aca="false">IF($O7="Active",SUMPRODUCT(($AH$5:$AH$75=$AH7)*1),0)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AA Intelligence Index v4.3：Claude Opus 5¦v4.3¦Claude Opus 5</v>
      </c>
    </row>
    <row r="8" customFormat="false" ht="29.25" hidden="false" customHeight="true" outlineLevel="0" collapsed="false">
      <c r="A8" s="30" t="s">
        <v>8929</v>
      </c>
      <c r="B8" s="6" t="s">
        <v>8930</v>
      </c>
      <c r="C8" s="241" t="n">
        <v>47</v>
      </c>
      <c r="D8" s="239"/>
      <c r="E8" s="239"/>
      <c r="F8" s="239" t="s">
        <v>1927</v>
      </c>
      <c r="G8" s="30" t="s">
        <v>1378</v>
      </c>
      <c r="H8" s="30" t="s">
        <v>8400</v>
      </c>
      <c r="I8" s="30" t="s">
        <v>1382</v>
      </c>
      <c r="J8" s="6" t="s">
        <v>8918</v>
      </c>
      <c r="K8" s="239" t="n">
        <v>2</v>
      </c>
      <c r="L8" s="239" t="s">
        <v>7658</v>
      </c>
      <c r="M8" s="6" t="s">
        <v>8919</v>
      </c>
      <c r="N8" s="239" t="s">
        <v>7564</v>
      </c>
      <c r="O8" s="30" t="s">
        <v>7554</v>
      </c>
      <c r="P8" s="30" t="s">
        <v>751</v>
      </c>
      <c r="Q8" s="30" t="s">
        <v>8920</v>
      </c>
      <c r="R8" s="30" t="s">
        <v>751</v>
      </c>
      <c r="S8" s="30" t="s">
        <v>751</v>
      </c>
      <c r="T8" s="30" t="s">
        <v>751</v>
      </c>
      <c r="U8" s="30" t="s">
        <v>8921</v>
      </c>
      <c r="V8" s="6" t="s">
        <v>751</v>
      </c>
      <c r="W8" s="6" t="s">
        <v>751</v>
      </c>
      <c r="X8" s="32" t="n">
        <f aca="false">IF($O8="Active",SUMPRODUCT(($AH$5:$AH$75=$AH8)*1),0)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0</v>
      </c>
      <c r="AH8" s="44" t="str">
        <f aca="false">IF($O8="Active",$B8&amp;"¦"&amp;$G8&amp;"¦"&amp;$H8,"")</f>
        <v>AA Intelligence Index v4.3：GPT-5.6 Sol¦v4.3¦GPT-5.6 Sol</v>
      </c>
    </row>
    <row r="9" customFormat="false" ht="29.25" hidden="false" customHeight="true" outlineLevel="0" collapsed="false">
      <c r="A9" s="30" t="s">
        <v>8931</v>
      </c>
      <c r="B9" s="6" t="s">
        <v>8932</v>
      </c>
      <c r="C9" s="241" t="n">
        <v>42</v>
      </c>
      <c r="D9" s="239"/>
      <c r="E9" s="239"/>
      <c r="F9" s="239" t="s">
        <v>1927</v>
      </c>
      <c r="G9" s="30" t="s">
        <v>1378</v>
      </c>
      <c r="H9" s="30" t="s">
        <v>1402</v>
      </c>
      <c r="I9" s="30" t="s">
        <v>1382</v>
      </c>
      <c r="J9" s="6" t="s">
        <v>8918</v>
      </c>
      <c r="K9" s="239" t="n">
        <v>2</v>
      </c>
      <c r="L9" s="239" t="s">
        <v>7658</v>
      </c>
      <c r="M9" s="6" t="s">
        <v>8919</v>
      </c>
      <c r="N9" s="239" t="s">
        <v>7564</v>
      </c>
      <c r="O9" s="30" t="s">
        <v>7554</v>
      </c>
      <c r="P9" s="30" t="s">
        <v>751</v>
      </c>
      <c r="Q9" s="30" t="s">
        <v>8920</v>
      </c>
      <c r="R9" s="30" t="s">
        <v>751</v>
      </c>
      <c r="S9" s="30" t="s">
        <v>751</v>
      </c>
      <c r="T9" s="30" t="s">
        <v>751</v>
      </c>
      <c r="U9" s="30" t="s">
        <v>8921</v>
      </c>
      <c r="V9" s="6" t="s">
        <v>8933</v>
      </c>
      <c r="W9" s="6" t="s">
        <v>751</v>
      </c>
      <c r="X9" s="32" t="n">
        <f aca="false">IF($O9="Active",SUMPRODUCT(($AH$5:$AH$75=$AH9)*1),0)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0</v>
      </c>
      <c r="AH9" s="44" t="str">
        <f aca="false">IF($O9="Active",$B9&amp;"¦"&amp;$G9&amp;"¦"&amp;$H9,"")</f>
        <v>AA Intelligence Index v4.3：GLM-5.3-Flash¦v4.3¦GLM-5.3-Flash</v>
      </c>
    </row>
    <row r="10" customFormat="false" ht="29.25" hidden="false" customHeight="true" outlineLevel="0" collapsed="false">
      <c r="A10" s="30" t="s">
        <v>5745</v>
      </c>
      <c r="B10" s="6" t="s">
        <v>8934</v>
      </c>
      <c r="C10" s="241" t="n">
        <v>40</v>
      </c>
      <c r="D10" s="239"/>
      <c r="E10" s="239"/>
      <c r="F10" s="239" t="s">
        <v>1927</v>
      </c>
      <c r="G10" s="30" t="s">
        <v>1378</v>
      </c>
      <c r="H10" s="30" t="s">
        <v>8935</v>
      </c>
      <c r="I10" s="30" t="s">
        <v>1382</v>
      </c>
      <c r="J10" s="6" t="s">
        <v>8918</v>
      </c>
      <c r="K10" s="239" t="n">
        <v>2</v>
      </c>
      <c r="L10" s="239" t="s">
        <v>7658</v>
      </c>
      <c r="M10" s="6" t="s">
        <v>8919</v>
      </c>
      <c r="N10" s="239" t="s">
        <v>7564</v>
      </c>
      <c r="O10" s="30" t="s">
        <v>7554</v>
      </c>
      <c r="P10" s="30" t="s">
        <v>751</v>
      </c>
      <c r="Q10" s="30" t="s">
        <v>8920</v>
      </c>
      <c r="R10" s="30" t="s">
        <v>751</v>
      </c>
      <c r="S10" s="30" t="s">
        <v>751</v>
      </c>
      <c r="T10" s="30" t="s">
        <v>751</v>
      </c>
      <c r="U10" s="30" t="s">
        <v>8921</v>
      </c>
      <c r="V10" s="6" t="s">
        <v>8936</v>
      </c>
      <c r="W10" s="20" t="s">
        <v>8937</v>
      </c>
      <c r="X10" s="32" t="n">
        <f aca="false">IF($O10="Active",SUMPRODUCT(($AH$5:$AH$75=$AH10)*1),0)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0</v>
      </c>
      <c r="AH10" s="44" t="str">
        <f aca="false">IF($O10="Active",$B10&amp;"¦"&amp;$G10&amp;"¦"&amp;$H10,"")</f>
        <v>AA Intelligence Index v4.3：Qwen3.8 2.4T¦v4.3¦Qwen3.8 2.4T</v>
      </c>
    </row>
    <row r="11" customFormat="false" ht="29.25" hidden="false" customHeight="true" outlineLevel="0" collapsed="false">
      <c r="A11" s="30" t="s">
        <v>5738</v>
      </c>
      <c r="B11" s="6" t="s">
        <v>8938</v>
      </c>
      <c r="C11" s="241" t="n">
        <v>36</v>
      </c>
      <c r="D11" s="239"/>
      <c r="E11" s="239"/>
      <c r="F11" s="239" t="s">
        <v>1927</v>
      </c>
      <c r="G11" s="30" t="s">
        <v>1378</v>
      </c>
      <c r="H11" s="30" t="s">
        <v>8939</v>
      </c>
      <c r="I11" s="30" t="s">
        <v>1382</v>
      </c>
      <c r="J11" s="6" t="s">
        <v>8918</v>
      </c>
      <c r="K11" s="239" t="n">
        <v>2</v>
      </c>
      <c r="L11" s="239" t="s">
        <v>7658</v>
      </c>
      <c r="M11" s="6" t="s">
        <v>8919</v>
      </c>
      <c r="N11" s="239" t="s">
        <v>7564</v>
      </c>
      <c r="O11" s="30" t="s">
        <v>7554</v>
      </c>
      <c r="P11" s="30" t="s">
        <v>751</v>
      </c>
      <c r="Q11" s="30" t="s">
        <v>8920</v>
      </c>
      <c r="R11" s="30" t="s">
        <v>751</v>
      </c>
      <c r="S11" s="30" t="s">
        <v>751</v>
      </c>
      <c r="T11" s="30" t="s">
        <v>751</v>
      </c>
      <c r="U11" s="30" t="s">
        <v>8921</v>
      </c>
      <c r="V11" s="6" t="s">
        <v>8940</v>
      </c>
      <c r="W11" s="20" t="s">
        <v>8941</v>
      </c>
      <c r="X11" s="32" t="n">
        <f aca="false">IF($O11="Active",SUMPRODUCT(($AH$5:$AH$75=$AH11)*1),0)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0</v>
      </c>
      <c r="AH11" s="44" t="str">
        <f aca="false">IF($O11="Active",$B11&amp;"¦"&amp;$G11&amp;"¦"&amp;$H11,"")</f>
        <v>AA Intelligence Index v4.3：DeepSeek V4 Pro¦v4.3¦DeepSeek V4 Pro</v>
      </c>
    </row>
    <row r="12" customFormat="false" ht="23.25" hidden="false" customHeight="true" outlineLevel="0" collapsed="false">
      <c r="A12" s="30" t="s">
        <v>8942</v>
      </c>
      <c r="B12" s="6" t="s">
        <v>8943</v>
      </c>
      <c r="C12" s="241" t="n">
        <v>48</v>
      </c>
      <c r="D12" s="239"/>
      <c r="E12" s="239"/>
      <c r="F12" s="239" t="s">
        <v>1927</v>
      </c>
      <c r="G12" s="30" t="s">
        <v>1372</v>
      </c>
      <c r="H12" s="30" t="s">
        <v>1375</v>
      </c>
      <c r="I12" s="30" t="s">
        <v>1382</v>
      </c>
      <c r="J12" s="6" t="s">
        <v>8944</v>
      </c>
      <c r="K12" s="239" t="n">
        <v>1</v>
      </c>
      <c r="L12" s="239" t="s">
        <v>7658</v>
      </c>
      <c r="M12" s="6" t="s">
        <v>8945</v>
      </c>
      <c r="N12" s="239" t="s">
        <v>7553</v>
      </c>
      <c r="O12" s="30" t="s">
        <v>7554</v>
      </c>
      <c r="P12" s="30" t="s">
        <v>751</v>
      </c>
      <c r="Q12" s="30" t="s">
        <v>8946</v>
      </c>
      <c r="R12" s="30" t="s">
        <v>751</v>
      </c>
      <c r="S12" s="30" t="s">
        <v>6868</v>
      </c>
      <c r="T12" s="30" t="s">
        <v>751</v>
      </c>
      <c r="U12" s="30" t="s">
        <v>8947</v>
      </c>
      <c r="V12" s="6" t="s">
        <v>8948</v>
      </c>
      <c r="W12" s="20" t="s">
        <v>8949</v>
      </c>
      <c r="X12" s="32" t="n">
        <f aca="false">IF($O12="Active",SUMPRODUCT(($AH$5:$AH$75=$AH12)*1),0)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0</v>
      </c>
      <c r="AH12" s="44" t="str">
        <f aca="false">IF($O12="Active",$B12&amp;"¦"&amp;$G12&amp;"¦"&amp;$H12,"")</f>
        <v>AA Intelligence Index v4.3.2：GPT-6 Sol¦v4.3.2¦GPT-6 Sol</v>
      </c>
    </row>
    <row r="13" customFormat="false" ht="23.25" hidden="false" customHeight="true" outlineLevel="0" collapsed="false">
      <c r="A13" s="30" t="s">
        <v>8950</v>
      </c>
      <c r="B13" s="6" t="s">
        <v>8951</v>
      </c>
      <c r="C13" s="241" t="n">
        <v>37</v>
      </c>
      <c r="D13" s="239"/>
      <c r="E13" s="239"/>
      <c r="F13" s="239" t="s">
        <v>1927</v>
      </c>
      <c r="G13" s="30" t="s">
        <v>1372</v>
      </c>
      <c r="H13" s="30" t="s">
        <v>1369</v>
      </c>
      <c r="I13" s="30" t="s">
        <v>1382</v>
      </c>
      <c r="J13" s="6" t="s">
        <v>8944</v>
      </c>
      <c r="K13" s="239" t="n">
        <v>3</v>
      </c>
      <c r="L13" s="239" t="s">
        <v>7658</v>
      </c>
      <c r="M13" s="6" t="s">
        <v>8945</v>
      </c>
      <c r="N13" s="239" t="s">
        <v>8360</v>
      </c>
      <c r="O13" s="30" t="s">
        <v>7554</v>
      </c>
      <c r="P13" s="30" t="s">
        <v>751</v>
      </c>
      <c r="Q13" s="30" t="s">
        <v>8952</v>
      </c>
      <c r="R13" s="30" t="s">
        <v>751</v>
      </c>
      <c r="S13" s="30" t="s">
        <v>751</v>
      </c>
      <c r="T13" s="30" t="s">
        <v>751</v>
      </c>
      <c r="U13" s="30" t="s">
        <v>8947</v>
      </c>
      <c r="V13" s="6" t="s">
        <v>8953</v>
      </c>
      <c r="W13" s="6" t="s">
        <v>751</v>
      </c>
      <c r="X13" s="32" t="n">
        <f aca="false">IF($O13="Active",SUMPRODUCT(($AH$5:$AH$75=$AH13)*1),0)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>AA Intelligence Index v4.3.2：GPT-6 Luna¦v4.3.2¦GPT-6 Luna</v>
      </c>
    </row>
    <row r="14" customFormat="false" ht="26.25" hidden="false" customHeight="true" outlineLevel="0" collapsed="false">
      <c r="A14" s="30" t="s">
        <v>8954</v>
      </c>
      <c r="B14" s="6" t="s">
        <v>8955</v>
      </c>
      <c r="C14" s="241" t="n">
        <v>39</v>
      </c>
      <c r="D14" s="239"/>
      <c r="E14" s="239"/>
      <c r="F14" s="239" t="s">
        <v>1927</v>
      </c>
      <c r="G14" s="30" t="s">
        <v>1372</v>
      </c>
      <c r="H14" s="30" t="s">
        <v>1391</v>
      </c>
      <c r="I14" s="30" t="s">
        <v>1382</v>
      </c>
      <c r="J14" s="6" t="s">
        <v>8944</v>
      </c>
      <c r="K14" s="239" t="n">
        <v>3</v>
      </c>
      <c r="L14" s="239" t="s">
        <v>7658</v>
      </c>
      <c r="M14" s="6" t="s">
        <v>8945</v>
      </c>
      <c r="N14" s="239" t="s">
        <v>8360</v>
      </c>
      <c r="O14" s="30" t="s">
        <v>7554</v>
      </c>
      <c r="P14" s="30" t="s">
        <v>751</v>
      </c>
      <c r="Q14" s="30" t="s">
        <v>8952</v>
      </c>
      <c r="R14" s="30" t="s">
        <v>751</v>
      </c>
      <c r="S14" s="30" t="s">
        <v>751</v>
      </c>
      <c r="T14" s="30" t="s">
        <v>751</v>
      </c>
      <c r="U14" s="30" t="s">
        <v>8947</v>
      </c>
      <c r="V14" s="6" t="s">
        <v>8956</v>
      </c>
      <c r="W14" s="6" t="s">
        <v>751</v>
      </c>
      <c r="X14" s="32" t="n">
        <f aca="false">IF($O14="Active",SUMPRODUCT(($AH$5:$AH$75=$AH14)*1),0)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0</v>
      </c>
      <c r="AH14" s="44" t="str">
        <f aca="false">IF($O14="Active",$B14&amp;"¦"&amp;$G14&amp;"¦"&amp;$H14,"")</f>
        <v>AA Intelligence Index v4.3.2：DeepSeek V4.1-Flash¦v4.3.2¦DeepSeek V4.1-Flash</v>
      </c>
    </row>
    <row r="15" customFormat="false" ht="23.25" hidden="false" customHeight="true" outlineLevel="0" collapsed="false">
      <c r="A15" s="30" t="s">
        <v>8957</v>
      </c>
      <c r="B15" s="6" t="s">
        <v>8958</v>
      </c>
      <c r="C15" s="241" t="n">
        <v>45</v>
      </c>
      <c r="D15" s="239"/>
      <c r="E15" s="239"/>
      <c r="F15" s="239" t="s">
        <v>1927</v>
      </c>
      <c r="G15" s="30" t="s">
        <v>8959</v>
      </c>
      <c r="H15" s="30" t="s">
        <v>1398</v>
      </c>
      <c r="I15" s="30" t="s">
        <v>1382</v>
      </c>
      <c r="J15" s="6" t="s">
        <v>8944</v>
      </c>
      <c r="K15" s="239" t="n">
        <v>1</v>
      </c>
      <c r="L15" s="239" t="s">
        <v>7658</v>
      </c>
      <c r="M15" s="6" t="s">
        <v>8945</v>
      </c>
      <c r="N15" s="239" t="s">
        <v>7553</v>
      </c>
      <c r="O15" s="30" t="s">
        <v>7554</v>
      </c>
      <c r="P15" s="30" t="s">
        <v>751</v>
      </c>
      <c r="Q15" s="30" t="s">
        <v>8960</v>
      </c>
      <c r="R15" s="30" t="s">
        <v>751</v>
      </c>
      <c r="S15" s="30" t="s">
        <v>6868</v>
      </c>
      <c r="T15" s="30" t="s">
        <v>751</v>
      </c>
      <c r="U15" s="30" t="s">
        <v>8947</v>
      </c>
      <c r="V15" s="6" t="s">
        <v>8961</v>
      </c>
      <c r="W15" s="6" t="s">
        <v>8962</v>
      </c>
      <c r="X15" s="32" t="n">
        <f aca="false">IF($O15="Active",SUMPRODUCT(($AH$5:$AH$75=$AH15)*1),0)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0</v>
      </c>
      <c r="AH15" s="44" t="str">
        <f aca="false">IF($O15="Active",$B15&amp;"¦"&amp;$G15&amp;"¦"&amp;$H15,"")</f>
        <v>AA Intelligence Index v4.3.2：GLM-5.3（max）¦v4.3.2；max 設定¦GLM-5.3</v>
      </c>
    </row>
    <row r="16" customFormat="false" ht="29.25" hidden="false" customHeight="true" outlineLevel="0" collapsed="false">
      <c r="A16" s="30" t="s">
        <v>5851</v>
      </c>
      <c r="B16" s="6" t="s">
        <v>8963</v>
      </c>
      <c r="C16" s="241" t="n">
        <v>3.5667</v>
      </c>
      <c r="D16" s="239"/>
      <c r="E16" s="239"/>
      <c r="F16" s="239" t="s">
        <v>8964</v>
      </c>
      <c r="G16" s="30" t="s">
        <v>8965</v>
      </c>
      <c r="H16" s="30" t="s">
        <v>2239</v>
      </c>
      <c r="I16" s="30" t="s">
        <v>7561</v>
      </c>
      <c r="J16" s="6" t="s">
        <v>8966</v>
      </c>
      <c r="K16" s="239" t="n">
        <v>2</v>
      </c>
      <c r="L16" s="239" t="s">
        <v>7658</v>
      </c>
      <c r="M16" s="6" t="s">
        <v>8967</v>
      </c>
      <c r="N16" s="239" t="s">
        <v>7564</v>
      </c>
      <c r="O16" s="30" t="s">
        <v>7554</v>
      </c>
      <c r="P16" s="30" t="s">
        <v>751</v>
      </c>
      <c r="Q16" s="30" t="s">
        <v>8968</v>
      </c>
      <c r="R16" s="30" t="s">
        <v>751</v>
      </c>
      <c r="S16" s="30" t="s">
        <v>751</v>
      </c>
      <c r="T16" s="30" t="s">
        <v>751</v>
      </c>
      <c r="U16" s="30" t="s">
        <v>2241</v>
      </c>
      <c r="V16" s="6" t="s">
        <v>8969</v>
      </c>
      <c r="W16" s="6" t="s">
        <v>8970</v>
      </c>
      <c r="X16" s="32" t="n">
        <f aca="false">IF($O16="Active",SUMPRODUCT(($AH$5:$AH$75=$AH16)*1),0)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0</v>
      </c>
      <c r="AH16" s="44" t="str">
        <f aca="false">IF($O16="Active",$B16&amp;"¦"&amp;$G16&amp;"¦"&amp;$H16,"")</f>
        <v>METR 50% 時間範圍：GPT-5¦Time Horizon 1.1¦GPT-5</v>
      </c>
    </row>
    <row r="17" customFormat="false" ht="29.25" hidden="false" customHeight="true" outlineLevel="0" collapsed="false">
      <c r="A17" s="30" t="s">
        <v>8971</v>
      </c>
      <c r="B17" s="6" t="s">
        <v>8972</v>
      </c>
      <c r="C17" s="241" t="n">
        <v>0.5333</v>
      </c>
      <c r="D17" s="239"/>
      <c r="E17" s="239"/>
      <c r="F17" s="239" t="s">
        <v>8964</v>
      </c>
      <c r="G17" s="30" t="s">
        <v>8965</v>
      </c>
      <c r="H17" s="30" t="s">
        <v>2239</v>
      </c>
      <c r="I17" s="30" t="s">
        <v>7561</v>
      </c>
      <c r="J17" s="6" t="s">
        <v>8966</v>
      </c>
      <c r="K17" s="239" t="n">
        <v>2</v>
      </c>
      <c r="L17" s="239" t="s">
        <v>7658</v>
      </c>
      <c r="M17" s="6" t="s">
        <v>8967</v>
      </c>
      <c r="N17" s="239" t="s">
        <v>7564</v>
      </c>
      <c r="O17" s="30" t="s">
        <v>7554</v>
      </c>
      <c r="P17" s="30" t="s">
        <v>751</v>
      </c>
      <c r="Q17" s="30" t="s">
        <v>8968</v>
      </c>
      <c r="R17" s="30" t="s">
        <v>751</v>
      </c>
      <c r="S17" s="30" t="s">
        <v>751</v>
      </c>
      <c r="T17" s="30" t="s">
        <v>751</v>
      </c>
      <c r="U17" s="30" t="s">
        <v>2241</v>
      </c>
      <c r="V17" s="6" t="s">
        <v>8973</v>
      </c>
      <c r="W17" s="6" t="s">
        <v>8974</v>
      </c>
      <c r="X17" s="32" t="n">
        <f aca="false">IF($O17="Active",SUMPRODUCT(($AH$5:$AH$75=$AH17)*1),0)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METR 80% 時間範圍：GPT-5¦Time Horizon 1.1¦GPT-5</v>
      </c>
    </row>
    <row r="18" customFormat="false" ht="29.25" hidden="false" customHeight="true" outlineLevel="0" collapsed="false">
      <c r="A18" s="30" t="s">
        <v>8975</v>
      </c>
      <c r="B18" s="6" t="s">
        <v>8976</v>
      </c>
      <c r="C18" s="241" t="n">
        <v>6.5667</v>
      </c>
      <c r="D18" s="239"/>
      <c r="E18" s="239"/>
      <c r="F18" s="239" t="s">
        <v>8964</v>
      </c>
      <c r="G18" s="30" t="s">
        <v>8977</v>
      </c>
      <c r="H18" s="30" t="s">
        <v>8978</v>
      </c>
      <c r="I18" s="30" t="s">
        <v>7561</v>
      </c>
      <c r="J18" s="6" t="s">
        <v>8966</v>
      </c>
      <c r="K18" s="239" t="n">
        <v>2</v>
      </c>
      <c r="L18" s="239" t="s">
        <v>7658</v>
      </c>
      <c r="M18" s="6" t="s">
        <v>8967</v>
      </c>
      <c r="N18" s="239" t="s">
        <v>7564</v>
      </c>
      <c r="O18" s="30" t="s">
        <v>7554</v>
      </c>
      <c r="P18" s="30" t="s">
        <v>751</v>
      </c>
      <c r="Q18" s="30" t="s">
        <v>8968</v>
      </c>
      <c r="R18" s="30" t="s">
        <v>751</v>
      </c>
      <c r="S18" s="30" t="s">
        <v>751</v>
      </c>
      <c r="T18" s="30" t="s">
        <v>751</v>
      </c>
      <c r="U18" s="30" t="s">
        <v>2241</v>
      </c>
      <c r="V18" s="6" t="s">
        <v>8979</v>
      </c>
      <c r="W18" s="6" t="s">
        <v>751</v>
      </c>
      <c r="X18" s="32" t="n">
        <f aca="false">IF($O18="Active",SUMPRODUCT(($AH$5:$AH$75=$AH18)*1),0)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METR 50% 時間範圍：GPT-5.2（high）¦TH1.1¦GPT-5.2</v>
      </c>
    </row>
    <row r="19" customFormat="false" ht="29.25" hidden="false" customHeight="true" outlineLevel="0" collapsed="false">
      <c r="A19" s="30" t="s">
        <v>8980</v>
      </c>
      <c r="B19" s="6" t="s">
        <v>8981</v>
      </c>
      <c r="C19" s="241" t="n">
        <v>0.9167</v>
      </c>
      <c r="D19" s="239"/>
      <c r="E19" s="239"/>
      <c r="F19" s="239" t="s">
        <v>8964</v>
      </c>
      <c r="G19" s="30" t="s">
        <v>8977</v>
      </c>
      <c r="H19" s="30" t="s">
        <v>8978</v>
      </c>
      <c r="I19" s="30" t="s">
        <v>7561</v>
      </c>
      <c r="J19" s="6" t="s">
        <v>8966</v>
      </c>
      <c r="K19" s="239" t="n">
        <v>2</v>
      </c>
      <c r="L19" s="239" t="s">
        <v>7658</v>
      </c>
      <c r="M19" s="6" t="s">
        <v>8967</v>
      </c>
      <c r="N19" s="239" t="s">
        <v>7564</v>
      </c>
      <c r="O19" s="30" t="s">
        <v>7554</v>
      </c>
      <c r="P19" s="30" t="s">
        <v>751</v>
      </c>
      <c r="Q19" s="30" t="s">
        <v>8968</v>
      </c>
      <c r="R19" s="30" t="s">
        <v>751</v>
      </c>
      <c r="S19" s="30" t="s">
        <v>751</v>
      </c>
      <c r="T19" s="30" t="s">
        <v>751</v>
      </c>
      <c r="U19" s="30" t="s">
        <v>2241</v>
      </c>
      <c r="V19" s="6" t="s">
        <v>8982</v>
      </c>
      <c r="W19" s="6" t="s">
        <v>751</v>
      </c>
      <c r="X19" s="32" t="n">
        <f aca="false">IF($O19="Active",SUMPRODUCT(($AH$5:$AH$75=$AH19)*1),0)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0</v>
      </c>
      <c r="AH19" s="44" t="str">
        <f aca="false">IF($O19="Active",$B19&amp;"¦"&amp;$G19&amp;"¦"&amp;$H19,"")</f>
        <v>METR 80% 時間範圍：GPT-5.2（high）¦TH1.1¦GPT-5.2</v>
      </c>
    </row>
    <row r="20" customFormat="false" ht="29.25" hidden="false" customHeight="true" outlineLevel="0" collapsed="false">
      <c r="A20" s="30" t="s">
        <v>8983</v>
      </c>
      <c r="B20" s="6" t="s">
        <v>8984</v>
      </c>
      <c r="C20" s="241" t="n">
        <v>5.7</v>
      </c>
      <c r="D20" s="239"/>
      <c r="E20" s="239"/>
      <c r="F20" s="239" t="s">
        <v>8964</v>
      </c>
      <c r="G20" s="30" t="s">
        <v>8977</v>
      </c>
      <c r="H20" s="30" t="s">
        <v>8985</v>
      </c>
      <c r="I20" s="30" t="s">
        <v>7561</v>
      </c>
      <c r="J20" s="6" t="s">
        <v>8966</v>
      </c>
      <c r="K20" s="239" t="n">
        <v>2</v>
      </c>
      <c r="L20" s="239" t="s">
        <v>7658</v>
      </c>
      <c r="M20" s="6" t="s">
        <v>8967</v>
      </c>
      <c r="N20" s="239" t="s">
        <v>7564</v>
      </c>
      <c r="O20" s="30" t="s">
        <v>7554</v>
      </c>
      <c r="P20" s="30" t="s">
        <v>751</v>
      </c>
      <c r="Q20" s="30" t="s">
        <v>8968</v>
      </c>
      <c r="R20" s="30" t="s">
        <v>751</v>
      </c>
      <c r="S20" s="30" t="s">
        <v>751</v>
      </c>
      <c r="T20" s="30" t="s">
        <v>751</v>
      </c>
      <c r="U20" s="30" t="s">
        <v>2241</v>
      </c>
      <c r="V20" s="6" t="s">
        <v>8986</v>
      </c>
      <c r="W20" s="6" t="s">
        <v>751</v>
      </c>
      <c r="X20" s="32" t="n">
        <f aca="false">IF($O20="Active",SUMPRODUCT(($AH$5:$AH$75=$AH20)*1),0)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METR 50% 時間範圍：GPT-5.4（xhigh）¦TH1.1¦GPT-5.4</v>
      </c>
    </row>
    <row r="21" customFormat="false" ht="29.25" hidden="false" customHeight="true" outlineLevel="0" collapsed="false">
      <c r="A21" s="30" t="s">
        <v>8987</v>
      </c>
      <c r="B21" s="6" t="s">
        <v>8988</v>
      </c>
      <c r="C21" s="241" t="n">
        <v>0.9</v>
      </c>
      <c r="D21" s="239"/>
      <c r="E21" s="239"/>
      <c r="F21" s="239" t="s">
        <v>8964</v>
      </c>
      <c r="G21" s="30" t="s">
        <v>8977</v>
      </c>
      <c r="H21" s="30" t="s">
        <v>8985</v>
      </c>
      <c r="I21" s="30" t="s">
        <v>7561</v>
      </c>
      <c r="J21" s="6" t="s">
        <v>8966</v>
      </c>
      <c r="K21" s="239" t="n">
        <v>2</v>
      </c>
      <c r="L21" s="239" t="s">
        <v>7658</v>
      </c>
      <c r="M21" s="6" t="s">
        <v>8967</v>
      </c>
      <c r="N21" s="239" t="s">
        <v>7564</v>
      </c>
      <c r="O21" s="30" t="s">
        <v>7554</v>
      </c>
      <c r="P21" s="30" t="s">
        <v>751</v>
      </c>
      <c r="Q21" s="30" t="s">
        <v>8968</v>
      </c>
      <c r="R21" s="30" t="s">
        <v>751</v>
      </c>
      <c r="S21" s="30" t="s">
        <v>751</v>
      </c>
      <c r="T21" s="30" t="s">
        <v>751</v>
      </c>
      <c r="U21" s="30" t="s">
        <v>2241</v>
      </c>
      <c r="V21" s="6" t="s">
        <v>8989</v>
      </c>
      <c r="W21" s="6" t="s">
        <v>751</v>
      </c>
      <c r="X21" s="32" t="n">
        <f aca="false">IF($O21="Active",SUMPRODUCT(($AH$5:$AH$75=$AH21)*1),0)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0</v>
      </c>
      <c r="AH21" s="44" t="str">
        <f aca="false">IF($O21="Active",$B21&amp;"¦"&amp;$G21&amp;"¦"&amp;$H21,"")</f>
        <v>METR 80% 時間範圍：GPT-5.4（xhigh）¦TH1.1¦GPT-5.4</v>
      </c>
    </row>
    <row r="22" customFormat="false" ht="29.25" hidden="false" customHeight="true" outlineLevel="0" collapsed="false">
      <c r="A22" s="30" t="s">
        <v>8990</v>
      </c>
      <c r="B22" s="6" t="s">
        <v>8991</v>
      </c>
      <c r="C22" s="241" t="n">
        <v>5.8333</v>
      </c>
      <c r="D22" s="239"/>
      <c r="E22" s="239"/>
      <c r="F22" s="239" t="s">
        <v>8964</v>
      </c>
      <c r="G22" s="30" t="s">
        <v>8977</v>
      </c>
      <c r="H22" s="30" t="s">
        <v>2244</v>
      </c>
      <c r="I22" s="30" t="s">
        <v>7561</v>
      </c>
      <c r="J22" s="6" t="s">
        <v>8966</v>
      </c>
      <c r="K22" s="239" t="n">
        <v>2</v>
      </c>
      <c r="L22" s="239" t="s">
        <v>7658</v>
      </c>
      <c r="M22" s="6" t="s">
        <v>8967</v>
      </c>
      <c r="N22" s="239" t="s">
        <v>7564</v>
      </c>
      <c r="O22" s="30" t="s">
        <v>7554</v>
      </c>
      <c r="P22" s="30" t="s">
        <v>751</v>
      </c>
      <c r="Q22" s="30" t="s">
        <v>8968</v>
      </c>
      <c r="R22" s="30" t="s">
        <v>751</v>
      </c>
      <c r="S22" s="30" t="s">
        <v>751</v>
      </c>
      <c r="T22" s="30" t="s">
        <v>751</v>
      </c>
      <c r="U22" s="30" t="s">
        <v>2241</v>
      </c>
      <c r="V22" s="6" t="s">
        <v>8992</v>
      </c>
      <c r="W22" s="6" t="s">
        <v>751</v>
      </c>
      <c r="X22" s="32" t="n">
        <f aca="false">IF($O22="Active",SUMPRODUCT(($AH$5:$AH$75=$AH22)*1),0)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0</v>
      </c>
      <c r="AH22" s="44" t="str">
        <f aca="false">IF($O22="Active",$B22&amp;"¦"&amp;$G22&amp;"¦"&amp;$H22,"")</f>
        <v>METR 50% 時間範圍：Gemini 3.1 Pro¦TH1.1¦Gemini 3.1 Pro</v>
      </c>
    </row>
    <row r="23" customFormat="false" ht="29.25" hidden="false" customHeight="true" outlineLevel="0" collapsed="false">
      <c r="A23" s="30" t="s">
        <v>8993</v>
      </c>
      <c r="B23" s="6" t="s">
        <v>8994</v>
      </c>
      <c r="C23" s="241" t="n">
        <v>1.5</v>
      </c>
      <c r="D23" s="239"/>
      <c r="E23" s="239"/>
      <c r="F23" s="239" t="s">
        <v>8964</v>
      </c>
      <c r="G23" s="30" t="s">
        <v>8977</v>
      </c>
      <c r="H23" s="30" t="s">
        <v>2244</v>
      </c>
      <c r="I23" s="30" t="s">
        <v>7561</v>
      </c>
      <c r="J23" s="6" t="s">
        <v>8966</v>
      </c>
      <c r="K23" s="239" t="n">
        <v>2</v>
      </c>
      <c r="L23" s="239" t="s">
        <v>7658</v>
      </c>
      <c r="M23" s="6" t="s">
        <v>8967</v>
      </c>
      <c r="N23" s="239" t="s">
        <v>7564</v>
      </c>
      <c r="O23" s="30" t="s">
        <v>7554</v>
      </c>
      <c r="P23" s="30" t="s">
        <v>751</v>
      </c>
      <c r="Q23" s="30" t="s">
        <v>8968</v>
      </c>
      <c r="R23" s="30" t="s">
        <v>751</v>
      </c>
      <c r="S23" s="30" t="s">
        <v>751</v>
      </c>
      <c r="T23" s="30" t="s">
        <v>751</v>
      </c>
      <c r="U23" s="30" t="s">
        <v>2241</v>
      </c>
      <c r="V23" s="6" t="s">
        <v>8995</v>
      </c>
      <c r="W23" s="6" t="s">
        <v>751</v>
      </c>
      <c r="X23" s="32" t="n">
        <f aca="false">IF($O23="Active",SUMPRODUCT(($AH$5:$AH$75=$AH23)*1),0)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0</v>
      </c>
      <c r="AH23" s="44" t="str">
        <f aca="false">IF($O23="Active",$B23&amp;"¦"&amp;$G23&amp;"¦"&amp;$H23,"")</f>
        <v>METR 80% 時間範圍：Gemini 3.1 Pro¦TH1.1¦Gemini 3.1 Pro</v>
      </c>
    </row>
    <row r="24" customFormat="false" ht="29.25" hidden="false" customHeight="true" outlineLevel="0" collapsed="false">
      <c r="A24" s="30" t="s">
        <v>5836</v>
      </c>
      <c r="B24" s="6" t="s">
        <v>8996</v>
      </c>
      <c r="C24" s="241" t="n">
        <v>11.3</v>
      </c>
      <c r="D24" s="239"/>
      <c r="E24" s="239"/>
      <c r="F24" s="239" t="s">
        <v>8964</v>
      </c>
      <c r="G24" s="30" t="s">
        <v>8977</v>
      </c>
      <c r="H24" s="30" t="s">
        <v>8400</v>
      </c>
      <c r="I24" s="30" t="s">
        <v>7561</v>
      </c>
      <c r="J24" s="6" t="s">
        <v>8966</v>
      </c>
      <c r="K24" s="239" t="n">
        <v>2</v>
      </c>
      <c r="L24" s="239" t="s">
        <v>7658</v>
      </c>
      <c r="M24" s="6" t="s">
        <v>8967</v>
      </c>
      <c r="N24" s="239" t="s">
        <v>7564</v>
      </c>
      <c r="O24" s="30" t="s">
        <v>7554</v>
      </c>
      <c r="P24" s="30" t="s">
        <v>751</v>
      </c>
      <c r="Q24" s="30" t="s">
        <v>8968</v>
      </c>
      <c r="R24" s="30" t="s">
        <v>751</v>
      </c>
      <c r="S24" s="30" t="s">
        <v>751</v>
      </c>
      <c r="T24" s="30" t="s">
        <v>751</v>
      </c>
      <c r="U24" s="30" t="s">
        <v>2241</v>
      </c>
      <c r="V24" s="6" t="s">
        <v>751</v>
      </c>
      <c r="W24" s="6" t="s">
        <v>8997</v>
      </c>
      <c r="X24" s="32" t="n">
        <f aca="false">IF($O24="Active",SUMPRODUCT(($AH$5:$AH$75=$AH24)*1),0)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0</v>
      </c>
      <c r="AH24" s="44" t="str">
        <f aca="false">IF($O24="Active",$B24&amp;"¦"&amp;$G24&amp;"¦"&amp;$H24,"")</f>
        <v>METR 50% 時間範圍：GPT-5.6 Sol¦TH1.1¦GPT-5.6 Sol</v>
      </c>
    </row>
    <row r="25" customFormat="false" ht="29.25" hidden="false" customHeight="true" outlineLevel="0" collapsed="false">
      <c r="A25" s="30" t="s">
        <v>5845</v>
      </c>
      <c r="B25" s="6" t="s">
        <v>8998</v>
      </c>
      <c r="C25" s="241" t="n">
        <v>17.4</v>
      </c>
      <c r="D25" s="239"/>
      <c r="E25" s="239"/>
      <c r="F25" s="239" t="s">
        <v>8964</v>
      </c>
      <c r="G25" s="30" t="s">
        <v>8999</v>
      </c>
      <c r="H25" s="30" t="s">
        <v>9000</v>
      </c>
      <c r="I25" s="30" t="s">
        <v>7561</v>
      </c>
      <c r="J25" s="6" t="s">
        <v>8966</v>
      </c>
      <c r="K25" s="239" t="n">
        <v>2</v>
      </c>
      <c r="L25" s="239" t="s">
        <v>7658</v>
      </c>
      <c r="M25" s="6" t="s">
        <v>8967</v>
      </c>
      <c r="N25" s="239" t="s">
        <v>7564</v>
      </c>
      <c r="O25" s="30" t="s">
        <v>7554</v>
      </c>
      <c r="P25" s="30" t="s">
        <v>751</v>
      </c>
      <c r="Q25" s="30" t="s">
        <v>8968</v>
      </c>
      <c r="R25" s="30" t="s">
        <v>751</v>
      </c>
      <c r="S25" s="30" t="s">
        <v>751</v>
      </c>
      <c r="T25" s="30" t="s">
        <v>751</v>
      </c>
      <c r="U25" s="30" t="s">
        <v>2241</v>
      </c>
      <c r="V25" s="6" t="s">
        <v>751</v>
      </c>
      <c r="W25" s="6" t="s">
        <v>751</v>
      </c>
      <c r="X25" s="32" t="n">
        <f aca="false">IF($O25="Active",SUMPRODUCT(($AH$5:$AH$75=$AH25)*1),0)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0</v>
      </c>
      <c r="AH25" s="44" t="str">
        <f aca="false">IF($O25="Active",$B25&amp;"¦"&amp;$G25&amp;"¦"&amp;$H25,"")</f>
        <v>METR 50% 時間範圍：Claude Mythos Preview¦TH1.1；&gt;16 小時量不準¦Claude Mythos Preview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6" t="s">
        <v>9001</v>
      </c>
    </row>
    <row r="2" customFormat="false" ht="15" hidden="false" customHeight="true" outlineLevel="0" collapsed="false">
      <c r="A2" s="248" t="s">
        <v>7525</v>
      </c>
    </row>
    <row r="3" customFormat="false" ht="15" hidden="false" customHeight="true" outlineLevel="0" collapsed="false">
      <c r="A3" s="248" t="s">
        <v>7526</v>
      </c>
    </row>
    <row r="4" customFormat="false" ht="43.5" hidden="false" customHeight="true" outlineLevel="0" collapsed="false">
      <c r="A4" s="84" t="s">
        <v>7527</v>
      </c>
      <c r="B4" s="237" t="s">
        <v>2763</v>
      </c>
      <c r="C4" s="237" t="s">
        <v>7528</v>
      </c>
      <c r="D4" s="237" t="s">
        <v>1308</v>
      </c>
      <c r="E4" s="237" t="s">
        <v>1309</v>
      </c>
      <c r="F4" s="237" t="s">
        <v>95</v>
      </c>
      <c r="G4" s="237" t="s">
        <v>497</v>
      </c>
      <c r="H4" s="237" t="s">
        <v>7529</v>
      </c>
      <c r="I4" s="237" t="s">
        <v>6566</v>
      </c>
      <c r="J4" s="237" t="s">
        <v>6569</v>
      </c>
      <c r="K4" s="237" t="s">
        <v>6741</v>
      </c>
      <c r="L4" s="237" t="s">
        <v>7530</v>
      </c>
      <c r="M4" s="237" t="s">
        <v>7531</v>
      </c>
      <c r="N4" s="237" t="s">
        <v>7532</v>
      </c>
      <c r="O4" s="237" t="s">
        <v>738</v>
      </c>
      <c r="P4" s="237" t="s">
        <v>7533</v>
      </c>
      <c r="Q4" s="84" t="s">
        <v>7534</v>
      </c>
      <c r="R4" s="237" t="s">
        <v>7535</v>
      </c>
      <c r="S4" s="237" t="s">
        <v>7536</v>
      </c>
      <c r="T4" s="84" t="s">
        <v>7537</v>
      </c>
      <c r="U4" s="237" t="s">
        <v>7538</v>
      </c>
      <c r="V4" s="237" t="s">
        <v>7539</v>
      </c>
      <c r="W4" s="237" t="s">
        <v>7540</v>
      </c>
      <c r="X4" s="237" t="s">
        <v>7541</v>
      </c>
      <c r="Y4" s="237" t="s">
        <v>7542</v>
      </c>
      <c r="Z4" s="237" t="s">
        <v>7543</v>
      </c>
      <c r="AH4" s="83" t="s">
        <v>7544</v>
      </c>
    </row>
    <row r="5" customFormat="false" ht="15" hidden="false" customHeight="true" outlineLevel="0" collapsed="false">
      <c r="A5" s="30" t="s">
        <v>5275</v>
      </c>
      <c r="B5" s="6" t="s">
        <v>9002</v>
      </c>
      <c r="C5" s="241" t="n">
        <v>4</v>
      </c>
      <c r="D5" s="239"/>
      <c r="E5" s="239"/>
      <c r="F5" s="30" t="s">
        <v>118</v>
      </c>
      <c r="G5" s="239" t="s">
        <v>9003</v>
      </c>
      <c r="H5" s="30" t="s">
        <v>9004</v>
      </c>
      <c r="I5" s="30" t="s">
        <v>8143</v>
      </c>
      <c r="J5" s="6" t="s">
        <v>9005</v>
      </c>
      <c r="K5" s="239" t="n">
        <v>2</v>
      </c>
      <c r="L5" s="239" t="s">
        <v>7551</v>
      </c>
      <c r="M5" s="6" t="s">
        <v>9006</v>
      </c>
      <c r="N5" s="239" t="s">
        <v>7564</v>
      </c>
      <c r="O5" s="30" t="s">
        <v>7554</v>
      </c>
      <c r="P5" s="30" t="s">
        <v>751</v>
      </c>
      <c r="Q5" s="30" t="s">
        <v>9007</v>
      </c>
      <c r="R5" s="30" t="s">
        <v>751</v>
      </c>
      <c r="S5" s="30" t="s">
        <v>751</v>
      </c>
      <c r="T5" s="30" t="s">
        <v>751</v>
      </c>
      <c r="U5" s="30" t="s">
        <v>9008</v>
      </c>
      <c r="V5" s="6" t="s">
        <v>9009</v>
      </c>
      <c r="W5" s="6" t="s">
        <v>751</v>
      </c>
      <c r="X5" s="32" t="n">
        <f aca="false">IF($O5="Active",SUMPRODUCT(($AH$5:$AH$70=$AH5)*1),0)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1</v>
      </c>
      <c r="AH5" s="44" t="str">
        <f aca="false">IF($O5="Active",$B5&amp;"¦"&amp;$G5&amp;"¦"&amp;$H5,"")</f>
        <v>Anthropic：單代理 token ÷ 聊天¦約值；「聊天」是否含思考未說明¦Anthropic 研究系統</v>
      </c>
    </row>
    <row r="6" customFormat="false" ht="29.25" hidden="false" customHeight="true" outlineLevel="0" collapsed="false">
      <c r="A6" s="30" t="s">
        <v>5278</v>
      </c>
      <c r="B6" s="6" t="s">
        <v>9010</v>
      </c>
      <c r="C6" s="241" t="n">
        <v>15</v>
      </c>
      <c r="D6" s="239"/>
      <c r="E6" s="239"/>
      <c r="F6" s="30" t="s">
        <v>118</v>
      </c>
      <c r="G6" s="239" t="s">
        <v>7639</v>
      </c>
      <c r="H6" s="30" t="s">
        <v>9004</v>
      </c>
      <c r="I6" s="30" t="s">
        <v>8143</v>
      </c>
      <c r="J6" s="6" t="s">
        <v>9005</v>
      </c>
      <c r="K6" s="239" t="n">
        <v>2</v>
      </c>
      <c r="L6" s="239" t="s">
        <v>7551</v>
      </c>
      <c r="M6" s="6" t="s">
        <v>9006</v>
      </c>
      <c r="N6" s="239" t="s">
        <v>7564</v>
      </c>
      <c r="O6" s="30" t="s">
        <v>7554</v>
      </c>
      <c r="P6" s="30" t="s">
        <v>751</v>
      </c>
      <c r="Q6" s="30" t="s">
        <v>9007</v>
      </c>
      <c r="R6" s="30" t="s">
        <v>751</v>
      </c>
      <c r="S6" s="30" t="s">
        <v>751</v>
      </c>
      <c r="T6" s="30" t="s">
        <v>751</v>
      </c>
      <c r="U6" s="30" t="s">
        <v>9008</v>
      </c>
      <c r="V6" s="6" t="s">
        <v>9011</v>
      </c>
      <c r="W6" s="6" t="s">
        <v>9012</v>
      </c>
      <c r="X6" s="32" t="n">
        <f aca="false">IF($O6="Active",SUMPRODUCT(($AH$5:$AH$70=$AH6)*1),0)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1</v>
      </c>
      <c r="AH6" s="44" t="str">
        <f aca="false">IF($O6="Active",$B6&amp;"¦"&amp;$G6&amp;"¦"&amp;$H6,"")</f>
        <v>Anthropic：多代理 token ÷ 聊天¦約值¦Anthropic 研究系統</v>
      </c>
    </row>
    <row r="7" customFormat="false" ht="29.25" hidden="false" customHeight="true" outlineLevel="0" collapsed="false">
      <c r="A7" s="30" t="s">
        <v>5791</v>
      </c>
      <c r="B7" s="6" t="s">
        <v>9013</v>
      </c>
      <c r="C7" s="241" t="n">
        <v>0.627</v>
      </c>
      <c r="D7" s="239"/>
      <c r="E7" s="239"/>
      <c r="F7" s="30" t="s">
        <v>113</v>
      </c>
      <c r="G7" s="30" t="s">
        <v>9014</v>
      </c>
      <c r="H7" s="30" t="s">
        <v>1377</v>
      </c>
      <c r="I7" s="30" t="s">
        <v>1382</v>
      </c>
      <c r="J7" s="6" t="s">
        <v>9015</v>
      </c>
      <c r="K7" s="239" t="n">
        <v>2</v>
      </c>
      <c r="L7" s="239" t="s">
        <v>7551</v>
      </c>
      <c r="M7" s="6" t="s">
        <v>9016</v>
      </c>
      <c r="N7" s="239" t="s">
        <v>7564</v>
      </c>
      <c r="O7" s="30" t="s">
        <v>7554</v>
      </c>
      <c r="P7" s="30" t="s">
        <v>751</v>
      </c>
      <c r="Q7" s="30" t="s">
        <v>9017</v>
      </c>
      <c r="R7" s="30" t="s">
        <v>751</v>
      </c>
      <c r="S7" s="30" t="s">
        <v>751</v>
      </c>
      <c r="T7" s="30" t="s">
        <v>751</v>
      </c>
      <c r="U7" s="30" t="s">
        <v>2221</v>
      </c>
      <c r="V7" s="6" t="s">
        <v>9018</v>
      </c>
      <c r="W7" s="6" t="s">
        <v>751</v>
      </c>
      <c r="X7" s="32" t="n">
        <f aca="false">IF($O7="Active",SUMPRODUCT(($AH$5:$AH$70=$AH7)*1),0)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1</v>
      </c>
      <c r="AH7" s="44" t="str">
        <f aca="false">IF($O7="Active",$B7&amp;"¦"&amp;$G7&amp;"¦"&amp;$H7,"")</f>
        <v>ARC-AGI-3：GPT-6 Astra 標準 harness 成功率（最高推理）¦ARC Prize 自測¦GPT-6 Astra</v>
      </c>
    </row>
    <row r="8" customFormat="false" ht="29.25" hidden="false" customHeight="true" outlineLevel="0" collapsed="false">
      <c r="A8" s="30" t="s">
        <v>9019</v>
      </c>
      <c r="B8" s="6" t="s">
        <v>9020</v>
      </c>
      <c r="C8" s="241" t="n">
        <v>26098</v>
      </c>
      <c r="D8" s="239"/>
      <c r="E8" s="239"/>
      <c r="F8" s="30" t="s">
        <v>452</v>
      </c>
      <c r="G8" s="239" t="s">
        <v>140</v>
      </c>
      <c r="H8" s="30" t="s">
        <v>1377</v>
      </c>
      <c r="I8" s="30" t="s">
        <v>1382</v>
      </c>
      <c r="J8" s="6" t="s">
        <v>9015</v>
      </c>
      <c r="K8" s="239" t="n">
        <v>2</v>
      </c>
      <c r="L8" s="239" t="s">
        <v>7551</v>
      </c>
      <c r="M8" s="6" t="s">
        <v>9016</v>
      </c>
      <c r="N8" s="239" t="s">
        <v>7564</v>
      </c>
      <c r="O8" s="30" t="s">
        <v>7554</v>
      </c>
      <c r="P8" s="30" t="s">
        <v>751</v>
      </c>
      <c r="Q8" s="30" t="s">
        <v>9017</v>
      </c>
      <c r="R8" s="30" t="s">
        <v>751</v>
      </c>
      <c r="S8" s="30" t="s">
        <v>751</v>
      </c>
      <c r="T8" s="30" t="s">
        <v>751</v>
      </c>
      <c r="U8" s="30" t="s">
        <v>2221</v>
      </c>
      <c r="V8" s="6" t="s">
        <v>9021</v>
      </c>
      <c r="W8" s="6" t="s">
        <v>751</v>
      </c>
      <c r="X8" s="32" t="n">
        <f aca="false">IF($O8="Active",SUMPRODUCT(($AH$5:$AH$70=$AH8)*1),0)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ARC-AGI-3：GPT-6 Astra 標準 harness 成本¦同上¦GPT-6 Astra</v>
      </c>
    </row>
    <row r="9" customFormat="false" ht="29.25" hidden="false" customHeight="true" outlineLevel="0" collapsed="false">
      <c r="A9" s="30" t="s">
        <v>9022</v>
      </c>
      <c r="B9" s="6" t="s">
        <v>9023</v>
      </c>
      <c r="C9" s="241" t="n">
        <v>0.986</v>
      </c>
      <c r="D9" s="239"/>
      <c r="E9" s="239"/>
      <c r="F9" s="30" t="s">
        <v>113</v>
      </c>
      <c r="G9" s="239" t="s">
        <v>140</v>
      </c>
      <c r="H9" s="30" t="s">
        <v>1377</v>
      </c>
      <c r="I9" s="30" t="s">
        <v>1382</v>
      </c>
      <c r="J9" s="6" t="s">
        <v>9015</v>
      </c>
      <c r="K9" s="239" t="n">
        <v>2</v>
      </c>
      <c r="L9" s="239" t="s">
        <v>7551</v>
      </c>
      <c r="M9" s="6" t="s">
        <v>9016</v>
      </c>
      <c r="N9" s="239" t="s">
        <v>7564</v>
      </c>
      <c r="O9" s="30" t="s">
        <v>7554</v>
      </c>
      <c r="P9" s="30" t="s">
        <v>751</v>
      </c>
      <c r="Q9" s="30" t="s">
        <v>9017</v>
      </c>
      <c r="R9" s="30" t="s">
        <v>751</v>
      </c>
      <c r="S9" s="30" t="s">
        <v>751</v>
      </c>
      <c r="T9" s="30" t="s">
        <v>751</v>
      </c>
      <c r="U9" s="30" t="s">
        <v>2221</v>
      </c>
      <c r="V9" s="6" t="s">
        <v>9024</v>
      </c>
      <c r="W9" s="6" t="s">
        <v>751</v>
      </c>
      <c r="X9" s="32" t="n">
        <f aca="false">IF($O9="Active",SUMPRODUCT(($AH$5:$AH$70=$AH9)*1),0)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ARC-AGI-3：Provider Adapter 最高推理成功率¦同上¦GPT-6 Astra</v>
      </c>
    </row>
    <row r="10" customFormat="false" ht="29.25" hidden="false" customHeight="true" outlineLevel="0" collapsed="false">
      <c r="A10" s="30" t="s">
        <v>9025</v>
      </c>
      <c r="B10" s="6" t="s">
        <v>9026</v>
      </c>
      <c r="C10" s="241" t="n">
        <v>17332</v>
      </c>
      <c r="D10" s="239"/>
      <c r="E10" s="239"/>
      <c r="F10" s="30" t="s">
        <v>452</v>
      </c>
      <c r="G10" s="239" t="s">
        <v>140</v>
      </c>
      <c r="H10" s="30" t="s">
        <v>1377</v>
      </c>
      <c r="I10" s="30" t="s">
        <v>1382</v>
      </c>
      <c r="J10" s="6" t="s">
        <v>9015</v>
      </c>
      <c r="K10" s="239" t="n">
        <v>2</v>
      </c>
      <c r="L10" s="239" t="s">
        <v>7551</v>
      </c>
      <c r="M10" s="6" t="s">
        <v>9016</v>
      </c>
      <c r="N10" s="239" t="s">
        <v>7564</v>
      </c>
      <c r="O10" s="30" t="s">
        <v>7554</v>
      </c>
      <c r="P10" s="30" t="s">
        <v>751</v>
      </c>
      <c r="Q10" s="30" t="s">
        <v>9017</v>
      </c>
      <c r="R10" s="30" t="s">
        <v>751</v>
      </c>
      <c r="S10" s="30" t="s">
        <v>751</v>
      </c>
      <c r="T10" s="30" t="s">
        <v>751</v>
      </c>
      <c r="U10" s="30" t="s">
        <v>2221</v>
      </c>
      <c r="V10" s="6" t="s">
        <v>9027</v>
      </c>
      <c r="W10" s="6" t="s">
        <v>751</v>
      </c>
      <c r="X10" s="32" t="n">
        <f aca="false">IF($O10="Active",SUMPRODUCT(($AH$5:$AH$70=$AH10)*1),0)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ARC-AGI-3：Provider Adapter 最高推理成本¦同上¦GPT-6 Astra</v>
      </c>
    </row>
    <row r="11" customFormat="false" ht="29.25" hidden="false" customHeight="true" outlineLevel="0" collapsed="false">
      <c r="A11" s="30" t="s">
        <v>9028</v>
      </c>
      <c r="B11" s="6" t="s">
        <v>9029</v>
      </c>
      <c r="C11" s="241" t="n">
        <v>0.999</v>
      </c>
      <c r="D11" s="239"/>
      <c r="E11" s="239"/>
      <c r="F11" s="30" t="s">
        <v>113</v>
      </c>
      <c r="G11" s="30" t="s">
        <v>9030</v>
      </c>
      <c r="H11" s="30" t="s">
        <v>1377</v>
      </c>
      <c r="I11" s="30" t="s">
        <v>1382</v>
      </c>
      <c r="J11" s="6" t="s">
        <v>9015</v>
      </c>
      <c r="K11" s="239" t="n">
        <v>2</v>
      </c>
      <c r="L11" s="239" t="s">
        <v>7551</v>
      </c>
      <c r="M11" s="6" t="s">
        <v>9016</v>
      </c>
      <c r="N11" s="239" t="s">
        <v>7564</v>
      </c>
      <c r="O11" s="30" t="s">
        <v>7554</v>
      </c>
      <c r="P11" s="30" t="s">
        <v>751</v>
      </c>
      <c r="Q11" s="30" t="s">
        <v>9017</v>
      </c>
      <c r="R11" s="30" t="s">
        <v>751</v>
      </c>
      <c r="S11" s="30" t="s">
        <v>751</v>
      </c>
      <c r="T11" s="30" t="s">
        <v>751</v>
      </c>
      <c r="U11" s="30" t="s">
        <v>2221</v>
      </c>
      <c r="V11" s="6" t="s">
        <v>9031</v>
      </c>
      <c r="W11" s="6" t="s">
        <v>751</v>
      </c>
      <c r="X11" s="32" t="n">
        <f aca="false">IF($O11="Active",SUMPRODUCT(($AH$5:$AH$70=$AH11)*1),0)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ARC-AGI-3：Provider Adapter 高推理成功率¦OpenAI 發布¦GPT-6 Astra</v>
      </c>
    </row>
    <row r="12" customFormat="false" ht="29.25" hidden="false" customHeight="true" outlineLevel="0" collapsed="false">
      <c r="A12" s="30" t="s">
        <v>9032</v>
      </c>
      <c r="B12" s="6" t="s">
        <v>9033</v>
      </c>
      <c r="C12" s="241" t="n">
        <v>18817</v>
      </c>
      <c r="D12" s="239"/>
      <c r="E12" s="239"/>
      <c r="F12" s="30" t="s">
        <v>452</v>
      </c>
      <c r="G12" s="239" t="s">
        <v>140</v>
      </c>
      <c r="H12" s="30" t="s">
        <v>1377</v>
      </c>
      <c r="I12" s="30" t="s">
        <v>1382</v>
      </c>
      <c r="J12" s="6" t="s">
        <v>9015</v>
      </c>
      <c r="K12" s="239" t="n">
        <v>2</v>
      </c>
      <c r="L12" s="239" t="s">
        <v>7551</v>
      </c>
      <c r="M12" s="6" t="s">
        <v>9016</v>
      </c>
      <c r="N12" s="239" t="s">
        <v>7564</v>
      </c>
      <c r="O12" s="30" t="s">
        <v>7554</v>
      </c>
      <c r="P12" s="30" t="s">
        <v>751</v>
      </c>
      <c r="Q12" s="30" t="s">
        <v>9017</v>
      </c>
      <c r="R12" s="30" t="s">
        <v>751</v>
      </c>
      <c r="S12" s="30" t="s">
        <v>751</v>
      </c>
      <c r="T12" s="30" t="s">
        <v>751</v>
      </c>
      <c r="U12" s="30" t="s">
        <v>2221</v>
      </c>
      <c r="V12" s="6" t="s">
        <v>9034</v>
      </c>
      <c r="W12" s="20" t="s">
        <v>9035</v>
      </c>
      <c r="X12" s="32" t="n">
        <f aca="false">IF($O12="Active",SUMPRODUCT(($AH$5:$AH$70=$AH12)*1),0)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ARC-AGI-3：Provider Adapter 高推理成本¦同上¦GPT-6 Astra</v>
      </c>
    </row>
    <row r="13" customFormat="false" ht="29.25" hidden="false" customHeight="true" outlineLevel="0" collapsed="false">
      <c r="A13" s="30" t="s">
        <v>9036</v>
      </c>
      <c r="B13" s="6" t="s">
        <v>9037</v>
      </c>
      <c r="C13" s="241" t="n">
        <v>19302</v>
      </c>
      <c r="D13" s="239"/>
      <c r="E13" s="239"/>
      <c r="F13" s="30" t="s">
        <v>452</v>
      </c>
      <c r="G13" s="239" t="s">
        <v>140</v>
      </c>
      <c r="H13" s="30" t="s">
        <v>1377</v>
      </c>
      <c r="I13" s="30" t="s">
        <v>1382</v>
      </c>
      <c r="J13" s="6" t="s">
        <v>9015</v>
      </c>
      <c r="K13" s="239" t="n">
        <v>2</v>
      </c>
      <c r="L13" s="239" t="s">
        <v>7551</v>
      </c>
      <c r="M13" s="6" t="s">
        <v>9016</v>
      </c>
      <c r="N13" s="239" t="s">
        <v>7564</v>
      </c>
      <c r="O13" s="30" t="s">
        <v>7600</v>
      </c>
      <c r="P13" s="30" t="s">
        <v>751</v>
      </c>
      <c r="Q13" s="30" t="s">
        <v>9017</v>
      </c>
      <c r="R13" s="30" t="s">
        <v>751</v>
      </c>
      <c r="S13" s="30" t="s">
        <v>751</v>
      </c>
      <c r="T13" s="30" t="s">
        <v>751</v>
      </c>
      <c r="U13" s="30" t="s">
        <v>2221</v>
      </c>
      <c r="V13" s="6" t="s">
        <v>751</v>
      </c>
      <c r="W13" s="20" t="s">
        <v>9038</v>
      </c>
      <c r="X13" s="32" t="n">
        <f aca="false">IF($O13="Active",SUMPRODUCT(($AH$5:$AH$70=$AH13)*1),0)</f>
        <v>0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0</v>
      </c>
      <c r="AH13" s="44" t="str">
        <f aca="false">IF($O13="Active",$B13&amp;"¦"&amp;$G13&amp;"¦"&amp;$H13,"")</f>
        <v/>
      </c>
    </row>
    <row r="14" customFormat="false" ht="29.25" hidden="false" customHeight="true" outlineLevel="0" collapsed="false">
      <c r="A14" s="30" t="s">
        <v>9039</v>
      </c>
      <c r="B14" s="6" t="s">
        <v>9040</v>
      </c>
      <c r="C14" s="241" t="n">
        <v>0.51</v>
      </c>
      <c r="D14" s="239"/>
      <c r="E14" s="239"/>
      <c r="F14" s="30" t="s">
        <v>118</v>
      </c>
      <c r="G14" s="239" t="s">
        <v>9041</v>
      </c>
      <c r="H14" s="30" t="s">
        <v>1377</v>
      </c>
      <c r="I14" s="30" t="s">
        <v>1382</v>
      </c>
      <c r="J14" s="6" t="s">
        <v>9015</v>
      </c>
      <c r="K14" s="239" t="n">
        <v>2</v>
      </c>
      <c r="L14" s="239" t="s">
        <v>7551</v>
      </c>
      <c r="M14" s="6" t="s">
        <v>9016</v>
      </c>
      <c r="N14" s="239" t="s">
        <v>7564</v>
      </c>
      <c r="O14" s="30" t="s">
        <v>7554</v>
      </c>
      <c r="P14" s="30" t="s">
        <v>751</v>
      </c>
      <c r="Q14" s="30" t="s">
        <v>9017</v>
      </c>
      <c r="R14" s="30" t="s">
        <v>751</v>
      </c>
      <c r="S14" s="30" t="s">
        <v>751</v>
      </c>
      <c r="T14" s="30" t="s">
        <v>751</v>
      </c>
      <c r="U14" s="30" t="s">
        <v>2221</v>
      </c>
      <c r="V14" s="6" t="s">
        <v>9042</v>
      </c>
      <c r="W14" s="6" t="s">
        <v>751</v>
      </c>
      <c r="X14" s="32" t="n">
        <f aca="false">IF($O14="Active",SUMPRODUCT(($AH$5:$AH$70=$AH14)*1),0)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ARC-AGI-3：Adapter token ÷ 標準¦「少用約 49%」，範圍不明¦GPT-6 Astra</v>
      </c>
    </row>
    <row r="15" customFormat="false" ht="29.25" hidden="false" customHeight="true" outlineLevel="0" collapsed="false">
      <c r="A15" s="30" t="s">
        <v>9043</v>
      </c>
      <c r="B15" s="6" t="s">
        <v>9044</v>
      </c>
      <c r="C15" s="241" t="n">
        <v>3.66</v>
      </c>
      <c r="D15" s="239"/>
      <c r="E15" s="239"/>
      <c r="F15" s="30" t="s">
        <v>118</v>
      </c>
      <c r="G15" s="30" t="s">
        <v>751</v>
      </c>
      <c r="H15" s="30" t="s">
        <v>1377</v>
      </c>
      <c r="I15" s="30" t="s">
        <v>1382</v>
      </c>
      <c r="J15" s="6" t="s">
        <v>9015</v>
      </c>
      <c r="K15" s="239" t="n">
        <v>2</v>
      </c>
      <c r="L15" s="239" t="s">
        <v>7551</v>
      </c>
      <c r="M15" s="6" t="s">
        <v>9016</v>
      </c>
      <c r="N15" s="239" t="s">
        <v>7564</v>
      </c>
      <c r="O15" s="30" t="s">
        <v>7554</v>
      </c>
      <c r="P15" s="30" t="s">
        <v>751</v>
      </c>
      <c r="Q15" s="30" t="s">
        <v>9017</v>
      </c>
      <c r="R15" s="30" t="s">
        <v>751</v>
      </c>
      <c r="S15" s="30" t="s">
        <v>751</v>
      </c>
      <c r="T15" s="30" t="s">
        <v>751</v>
      </c>
      <c r="U15" s="30" t="s">
        <v>2221</v>
      </c>
      <c r="V15" s="6" t="s">
        <v>751</v>
      </c>
      <c r="W15" s="6" t="s">
        <v>751</v>
      </c>
      <c r="X15" s="32" t="n">
        <f aca="false">IF($O15="Active",SUMPRODUCT(($AH$5:$AH$70=$AH15)*1),0)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ARC-AGI-3：Adapter 耗時加速¦—¦GPT-6 Astra</v>
      </c>
    </row>
    <row r="16" customFormat="false" ht="29.25" hidden="false" customHeight="true" outlineLevel="0" collapsed="false">
      <c r="A16" s="30" t="s">
        <v>9045</v>
      </c>
      <c r="B16" s="6" t="s">
        <v>9046</v>
      </c>
      <c r="C16" s="241" t="n">
        <v>0.302</v>
      </c>
      <c r="D16" s="239"/>
      <c r="E16" s="239"/>
      <c r="F16" s="30" t="s">
        <v>113</v>
      </c>
      <c r="G16" s="30" t="s">
        <v>9047</v>
      </c>
      <c r="H16" s="30" t="s">
        <v>1384</v>
      </c>
      <c r="I16" s="30" t="s">
        <v>1382</v>
      </c>
      <c r="J16" s="6" t="s">
        <v>9015</v>
      </c>
      <c r="K16" s="239" t="n">
        <v>2</v>
      </c>
      <c r="L16" s="239" t="s">
        <v>7551</v>
      </c>
      <c r="M16" s="6" t="s">
        <v>9016</v>
      </c>
      <c r="N16" s="239" t="s">
        <v>7564</v>
      </c>
      <c r="O16" s="30" t="s">
        <v>7554</v>
      </c>
      <c r="P16" s="30" t="s">
        <v>751</v>
      </c>
      <c r="Q16" s="30" t="s">
        <v>9017</v>
      </c>
      <c r="R16" s="30" t="s">
        <v>751</v>
      </c>
      <c r="S16" s="30" t="s">
        <v>751</v>
      </c>
      <c r="T16" s="30" t="s">
        <v>751</v>
      </c>
      <c r="U16" s="30" t="s">
        <v>2221</v>
      </c>
      <c r="V16" s="6" t="s">
        <v>9048</v>
      </c>
      <c r="W16" s="6" t="s">
        <v>751</v>
      </c>
      <c r="X16" s="32" t="n">
        <f aca="false">IF($O16="Active",SUMPRODUCT(($AH$5:$AH$70=$AH16)*1),0)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ARC-AGI-3：Claude Opus 5 標準 harness 成功率¦ARC Prize¦Claude Opus 5</v>
      </c>
    </row>
    <row r="17" customFormat="false" ht="29.25" hidden="false" customHeight="true" outlineLevel="0" collapsed="false">
      <c r="A17" s="30" t="s">
        <v>9049</v>
      </c>
      <c r="B17" s="6" t="s">
        <v>9050</v>
      </c>
      <c r="C17" s="241" t="n">
        <v>4.72</v>
      </c>
      <c r="D17" s="239"/>
      <c r="E17" s="239"/>
      <c r="F17" s="30" t="s">
        <v>9051</v>
      </c>
      <c r="G17" s="30" t="s">
        <v>9052</v>
      </c>
      <c r="H17" s="30" t="s">
        <v>1377</v>
      </c>
      <c r="I17" s="30" t="s">
        <v>1382</v>
      </c>
      <c r="J17" s="6" t="s">
        <v>9053</v>
      </c>
      <c r="K17" s="239" t="n">
        <v>2</v>
      </c>
      <c r="L17" s="239" t="s">
        <v>7658</v>
      </c>
      <c r="M17" s="6" t="s">
        <v>9054</v>
      </c>
      <c r="N17" s="239" t="s">
        <v>7564</v>
      </c>
      <c r="O17" s="30" t="s">
        <v>7554</v>
      </c>
      <c r="P17" s="30" t="s">
        <v>751</v>
      </c>
      <c r="Q17" s="30" t="s">
        <v>9055</v>
      </c>
      <c r="R17" s="30" t="s">
        <v>751</v>
      </c>
      <c r="S17" s="30" t="s">
        <v>751</v>
      </c>
      <c r="T17" s="30" t="s">
        <v>751</v>
      </c>
      <c r="U17" s="30" t="s">
        <v>9056</v>
      </c>
      <c r="V17" s="6" t="s">
        <v>751</v>
      </c>
      <c r="W17" s="20" t="s">
        <v>9057</v>
      </c>
      <c r="X17" s="32" t="n">
        <f aca="false">IF($O17="Active",SUMPRODUCT(($AH$5:$AH$70=$AH17)*1),0)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AA 每任務成本：GPT-6 Astra¦AA agent 評測¦GPT-6 Astra</v>
      </c>
    </row>
    <row r="18" customFormat="false" ht="29.25" hidden="false" customHeight="true" outlineLevel="0" collapsed="false">
      <c r="A18" s="30" t="s">
        <v>9058</v>
      </c>
      <c r="B18" s="6" t="s">
        <v>9059</v>
      </c>
      <c r="C18" s="241" t="n">
        <v>9.18</v>
      </c>
      <c r="D18" s="239"/>
      <c r="E18" s="239"/>
      <c r="F18" s="30" t="s">
        <v>9051</v>
      </c>
      <c r="G18" s="30" t="s">
        <v>9052</v>
      </c>
      <c r="H18" s="30" t="s">
        <v>1380</v>
      </c>
      <c r="I18" s="30" t="s">
        <v>1382</v>
      </c>
      <c r="J18" s="6" t="s">
        <v>9053</v>
      </c>
      <c r="K18" s="239" t="n">
        <v>2</v>
      </c>
      <c r="L18" s="239" t="s">
        <v>7658</v>
      </c>
      <c r="M18" s="6" t="s">
        <v>9054</v>
      </c>
      <c r="N18" s="239" t="s">
        <v>7564</v>
      </c>
      <c r="O18" s="30" t="s">
        <v>7554</v>
      </c>
      <c r="P18" s="30" t="s">
        <v>751</v>
      </c>
      <c r="Q18" s="30" t="s">
        <v>9055</v>
      </c>
      <c r="R18" s="30" t="s">
        <v>751</v>
      </c>
      <c r="S18" s="30" t="s">
        <v>751</v>
      </c>
      <c r="T18" s="30" t="s">
        <v>751</v>
      </c>
      <c r="U18" s="30" t="s">
        <v>9056</v>
      </c>
      <c r="V18" s="6" t="s">
        <v>751</v>
      </c>
      <c r="W18" s="20" t="s">
        <v>9057</v>
      </c>
      <c r="X18" s="32" t="n">
        <f aca="false">IF($O18="Active",SUMPRODUCT(($AH$5:$AH$70=$AH18)*1),0)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0</v>
      </c>
      <c r="AH18" s="44" t="str">
        <f aca="false">IF($O18="Active",$B18&amp;"¦"&amp;$G18&amp;"¦"&amp;$H18,"")</f>
        <v>AA 每任務成本：Claude Fable 5.1¦AA agent 評測¦Claude Fable 5.1</v>
      </c>
    </row>
    <row r="19" customFormat="false" ht="29.25" hidden="false" customHeight="true" outlineLevel="0" collapsed="false">
      <c r="A19" s="30" t="s">
        <v>9060</v>
      </c>
      <c r="B19" s="6" t="s">
        <v>9061</v>
      </c>
      <c r="C19" s="241" t="n">
        <v>1</v>
      </c>
      <c r="D19" s="239"/>
      <c r="E19" s="239"/>
      <c r="F19" s="30" t="s">
        <v>113</v>
      </c>
      <c r="G19" s="239" t="s">
        <v>9062</v>
      </c>
      <c r="H19" s="30" t="s">
        <v>1384</v>
      </c>
      <c r="I19" s="30" t="s">
        <v>1382</v>
      </c>
      <c r="J19" s="6" t="s">
        <v>9063</v>
      </c>
      <c r="K19" s="239" t="n">
        <v>2</v>
      </c>
      <c r="L19" s="239" t="s">
        <v>7551</v>
      </c>
      <c r="M19" s="6" t="s">
        <v>9064</v>
      </c>
      <c r="N19" s="239" t="s">
        <v>7564</v>
      </c>
      <c r="O19" s="30" t="s">
        <v>7554</v>
      </c>
      <c r="P19" s="30" t="s">
        <v>751</v>
      </c>
      <c r="Q19" s="30" t="s">
        <v>9065</v>
      </c>
      <c r="R19" s="30" t="s">
        <v>751</v>
      </c>
      <c r="S19" s="30" t="s">
        <v>751</v>
      </c>
      <c r="T19" s="30" t="s">
        <v>751</v>
      </c>
      <c r="U19" s="30" t="s">
        <v>9066</v>
      </c>
      <c r="V19" s="6" t="s">
        <v>9067</v>
      </c>
      <c r="W19" s="20" t="s">
        <v>9068</v>
      </c>
      <c r="X19" s="32" t="n">
        <f aca="false">IF($O19="Active",SUMPRODUCT(($AH$5:$AH$70=$AH19)*1),0)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ARC-AGI-3：Opus 5＋Nvidia harness 成功率¦全部關卡通關¦Claude Opus 5</v>
      </c>
    </row>
    <row r="20" customFormat="false" ht="43.5" hidden="false" customHeight="true" outlineLevel="0" collapsed="false">
      <c r="A20" s="30" t="s">
        <v>9069</v>
      </c>
      <c r="B20" s="6" t="s">
        <v>9070</v>
      </c>
      <c r="C20" s="205"/>
      <c r="D20" s="241" t="n">
        <v>1.5</v>
      </c>
      <c r="E20" s="241" t="n">
        <v>2</v>
      </c>
      <c r="F20" s="30" t="s">
        <v>118</v>
      </c>
      <c r="G20" s="30" t="s">
        <v>9071</v>
      </c>
      <c r="H20" s="30" t="s">
        <v>9072</v>
      </c>
      <c r="I20" s="30" t="s">
        <v>7656</v>
      </c>
      <c r="J20" s="6" t="s">
        <v>8627</v>
      </c>
      <c r="K20" s="205" t="n">
        <v>2</v>
      </c>
      <c r="L20" s="205" t="s">
        <v>7658</v>
      </c>
      <c r="M20" s="243" t="s">
        <v>9073</v>
      </c>
      <c r="N20" s="205" t="s">
        <v>8596</v>
      </c>
      <c r="O20" s="30" t="s">
        <v>7554</v>
      </c>
      <c r="P20" s="30" t="s">
        <v>751</v>
      </c>
      <c r="Q20" s="30" t="s">
        <v>8597</v>
      </c>
      <c r="R20" s="30" t="s">
        <v>751</v>
      </c>
      <c r="S20" s="30" t="s">
        <v>751</v>
      </c>
      <c r="T20" s="30" t="s">
        <v>751</v>
      </c>
      <c r="U20" s="30" t="s">
        <v>8598</v>
      </c>
      <c r="V20" s="6" t="s">
        <v>9074</v>
      </c>
      <c r="W20" s="6" t="s">
        <v>9075</v>
      </c>
      <c r="X20" s="32" t="n">
        <f aca="false">IF($O20="Active",SUMPRODUCT(($AH$5:$AH$70=$AH20)*1),0)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0</v>
      </c>
      <c r="AH20" s="44" t="str">
        <f aca="false">IF($O20="Active",$B20&amp;"¦"&amp;$G20&amp;"¦"&amp;$H20,"")</f>
        <v>SWE Atlas：原生 scaffold ÷ mini-SWE-agent 工具呼叫數¦Opus 4.6：Claude Code 約 100 對 56；GPT-5.4：Codex 約 82 對 58（讀自圖上標籤）；工具呼叫數不等於輪數¦SWE Atlas（arXiv 2605.08366）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40"/>
    <col collapsed="false" customWidth="true" hidden="false" outlineLevel="0" max="3" min="3" style="1" width="11"/>
    <col collapsed="false" customWidth="true" hidden="false" outlineLevel="0" max="5" min="4" style="1" width="9"/>
    <col collapsed="false" customWidth="true" hidden="false" outlineLevel="0" max="6" min="6" style="1" width="13"/>
    <col collapsed="false" customWidth="true" hidden="false" outlineLevel="0" max="7" min="7" style="1" width="22"/>
    <col collapsed="false" customWidth="true" hidden="false" outlineLevel="0" max="8" min="8" style="1" width="20"/>
    <col collapsed="false" customWidth="true" hidden="false" outlineLevel="0" max="9" min="9" style="1" width="11"/>
    <col collapsed="false" customWidth="true" hidden="false" outlineLevel="0" max="10" min="10" style="1" width="40"/>
    <col collapsed="false" customWidth="true" hidden="false" outlineLevel="0" max="11" min="11" style="1" width="6"/>
    <col collapsed="false" customWidth="true" hidden="false" outlineLevel="0" max="12" min="12" style="1" width="10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6" min="15" style="1" width="10"/>
    <col collapsed="false" customWidth="true" hidden="false" outlineLevel="0" max="17" min="17" style="1" width="16"/>
    <col collapsed="false" customWidth="true" hidden="false" outlineLevel="0" max="18" min="18" style="1" width="14"/>
    <col collapsed="false" customWidth="true" hidden="false" outlineLevel="0" max="19" min="19" style="1" width="9"/>
    <col collapsed="false" customWidth="true" hidden="false" outlineLevel="0" max="20" min="20" style="1" width="12"/>
    <col collapsed="false" customWidth="true" hidden="false" outlineLevel="0" max="21" min="21" style="1" width="8"/>
    <col collapsed="false" customWidth="true" hidden="false" outlineLevel="0" max="22" min="22" style="1" width="30"/>
    <col collapsed="false" customWidth="true" hidden="false" outlineLevel="0" max="23" min="23" style="1" width="36"/>
    <col collapsed="false" customWidth="true" hidden="false" outlineLevel="0" max="26" min="24" style="1" width="10"/>
    <col collapsed="false" customWidth="true" hidden="false" outlineLevel="0" max="34" min="34" style="1" width="12"/>
  </cols>
  <sheetData>
    <row r="1" customFormat="false" ht="19.5" hidden="false" customHeight="true" outlineLevel="0" collapsed="false">
      <c r="A1" s="236" t="s">
        <v>9076</v>
      </c>
    </row>
    <row r="2" customFormat="false" ht="15" hidden="false" customHeight="true" outlineLevel="0" collapsed="false">
      <c r="A2" s="248" t="s">
        <v>7525</v>
      </c>
    </row>
    <row r="3" customFormat="false" ht="15" hidden="false" customHeight="true" outlineLevel="0" collapsed="false">
      <c r="A3" s="248" t="s">
        <v>7526</v>
      </c>
    </row>
    <row r="4" customFormat="false" ht="43.5" hidden="false" customHeight="true" outlineLevel="0" collapsed="false">
      <c r="A4" s="84" t="s">
        <v>7527</v>
      </c>
      <c r="B4" s="237" t="s">
        <v>2763</v>
      </c>
      <c r="C4" s="237" t="s">
        <v>7528</v>
      </c>
      <c r="D4" s="237" t="s">
        <v>1308</v>
      </c>
      <c r="E4" s="237" t="s">
        <v>1309</v>
      </c>
      <c r="F4" s="237" t="s">
        <v>95</v>
      </c>
      <c r="G4" s="237" t="s">
        <v>497</v>
      </c>
      <c r="H4" s="237" t="s">
        <v>7529</v>
      </c>
      <c r="I4" s="237" t="s">
        <v>6566</v>
      </c>
      <c r="J4" s="237" t="s">
        <v>6569</v>
      </c>
      <c r="K4" s="237" t="s">
        <v>6741</v>
      </c>
      <c r="L4" s="237" t="s">
        <v>7530</v>
      </c>
      <c r="M4" s="237" t="s">
        <v>7531</v>
      </c>
      <c r="N4" s="237" t="s">
        <v>7532</v>
      </c>
      <c r="O4" s="237" t="s">
        <v>738</v>
      </c>
      <c r="P4" s="237" t="s">
        <v>7533</v>
      </c>
      <c r="Q4" s="84" t="s">
        <v>7534</v>
      </c>
      <c r="R4" s="237" t="s">
        <v>7535</v>
      </c>
      <c r="S4" s="237" t="s">
        <v>7536</v>
      </c>
      <c r="T4" s="84" t="s">
        <v>7537</v>
      </c>
      <c r="U4" s="237" t="s">
        <v>7538</v>
      </c>
      <c r="V4" s="237" t="s">
        <v>7539</v>
      </c>
      <c r="W4" s="237" t="s">
        <v>7540</v>
      </c>
      <c r="X4" s="237" t="s">
        <v>7541</v>
      </c>
      <c r="Y4" s="237" t="s">
        <v>7542</v>
      </c>
      <c r="Z4" s="237" t="s">
        <v>7543</v>
      </c>
      <c r="AH4" s="83" t="s">
        <v>7544</v>
      </c>
    </row>
    <row r="5" customFormat="false" ht="29.25" hidden="false" customHeight="true" outlineLevel="0" collapsed="false">
      <c r="A5" s="30" t="s">
        <v>3319</v>
      </c>
      <c r="B5" s="20" t="s">
        <v>9077</v>
      </c>
      <c r="C5" s="241" t="n">
        <v>0.096</v>
      </c>
      <c r="D5" s="239"/>
      <c r="E5" s="239"/>
      <c r="F5" s="30" t="s">
        <v>113</v>
      </c>
      <c r="G5" s="239" t="s">
        <v>9078</v>
      </c>
      <c r="H5" s="30" t="s">
        <v>1370</v>
      </c>
      <c r="I5" s="30" t="s">
        <v>7591</v>
      </c>
      <c r="J5" s="6" t="s">
        <v>9079</v>
      </c>
      <c r="K5" s="239" t="n">
        <v>1</v>
      </c>
      <c r="L5" s="239" t="s">
        <v>7658</v>
      </c>
      <c r="M5" s="6" t="s">
        <v>9080</v>
      </c>
      <c r="N5" s="239" t="s">
        <v>8146</v>
      </c>
      <c r="O5" s="30" t="s">
        <v>7554</v>
      </c>
      <c r="P5" s="30" t="s">
        <v>751</v>
      </c>
      <c r="Q5" s="30" t="s">
        <v>9081</v>
      </c>
      <c r="R5" s="30" t="s">
        <v>751</v>
      </c>
      <c r="S5" s="30" t="s">
        <v>751</v>
      </c>
      <c r="T5" s="30" t="s">
        <v>751</v>
      </c>
      <c r="U5" s="30" t="s">
        <v>9082</v>
      </c>
      <c r="V5" s="6" t="s">
        <v>9083</v>
      </c>
      <c r="W5" s="20" t="s">
        <v>9084</v>
      </c>
      <c r="X5" s="32" t="n">
        <f aca="false">IF($O5="Active",SUMPRODUCT(($AH$5:$AH$127=$AH5)*1),0)</f>
        <v>1</v>
      </c>
      <c r="Y5" s="32" t="n">
        <f aca="false">IF(AND($O5="Active",OR($Q5="—",$Q5="")),1,0)</f>
        <v>0</v>
      </c>
      <c r="Z5" s="32" t="n">
        <f aca="false">IF(AND($O5="Active",$L5="利害關係方",OR($R5="—",$R5="")),1,0)</f>
        <v>0</v>
      </c>
      <c r="AH5" s="44" t="str">
        <f aca="false">IF($O5="Active",$B5&amp;"¦"&amp;$G5&amp;"¦"&amp;$H5,"")</f>
        <v>最終訓練占研發支出：OpenAI¦支出口徑；Epoch 推估¦OpenAI</v>
      </c>
    </row>
    <row r="6" customFormat="false" ht="29.25" hidden="false" customHeight="true" outlineLevel="0" collapsed="false">
      <c r="A6" s="30" t="s">
        <v>9085</v>
      </c>
      <c r="B6" s="20" t="s">
        <v>9086</v>
      </c>
      <c r="C6" s="241" t="n">
        <v>0.226</v>
      </c>
      <c r="D6" s="239"/>
      <c r="E6" s="239"/>
      <c r="F6" s="30" t="s">
        <v>113</v>
      </c>
      <c r="G6" s="239" t="s">
        <v>140</v>
      </c>
      <c r="H6" s="30" t="s">
        <v>1414</v>
      </c>
      <c r="I6" s="30" t="s">
        <v>7591</v>
      </c>
      <c r="J6" s="6" t="s">
        <v>9079</v>
      </c>
      <c r="K6" s="239" t="n">
        <v>1</v>
      </c>
      <c r="L6" s="239" t="s">
        <v>7658</v>
      </c>
      <c r="M6" s="6" t="s">
        <v>9080</v>
      </c>
      <c r="N6" s="239" t="s">
        <v>8146</v>
      </c>
      <c r="O6" s="30" t="s">
        <v>7554</v>
      </c>
      <c r="P6" s="30" t="s">
        <v>751</v>
      </c>
      <c r="Q6" s="30" t="s">
        <v>9081</v>
      </c>
      <c r="R6" s="30" t="s">
        <v>751</v>
      </c>
      <c r="S6" s="30" t="s">
        <v>751</v>
      </c>
      <c r="T6" s="30" t="s">
        <v>751</v>
      </c>
      <c r="U6" s="30" t="s">
        <v>9082</v>
      </c>
      <c r="V6" s="6" t="s">
        <v>9083</v>
      </c>
      <c r="W6" s="6" t="s">
        <v>751</v>
      </c>
      <c r="X6" s="32" t="n">
        <f aca="false">IF($O6="Active",SUMPRODUCT(($AH$5:$AH$127=$AH6)*1),0)</f>
        <v>1</v>
      </c>
      <c r="Y6" s="32" t="n">
        <f aca="false">IF(AND($O6="Active",OR($Q6="—",$Q6="")),1,0)</f>
        <v>0</v>
      </c>
      <c r="Z6" s="32" t="n">
        <f aca="false">IF(AND($O6="Active",$L6="利害關係方",OR($R6="—",$R6="")),1,0)</f>
        <v>0</v>
      </c>
      <c r="AH6" s="44" t="str">
        <f aca="false">IF($O6="Active",$B6&amp;"¦"&amp;$G6&amp;"¦"&amp;$H6,"")</f>
        <v>最終訓練占研發支出：MiniMax¦同上¦MiniMax</v>
      </c>
    </row>
    <row r="7" customFormat="false" ht="29.25" hidden="false" customHeight="true" outlineLevel="0" collapsed="false">
      <c r="A7" s="30" t="s">
        <v>9087</v>
      </c>
      <c r="B7" s="20" t="s">
        <v>9088</v>
      </c>
      <c r="C7" s="241" t="n">
        <v>0.123</v>
      </c>
      <c r="D7" s="239"/>
      <c r="E7" s="239"/>
      <c r="F7" s="30" t="s">
        <v>113</v>
      </c>
      <c r="G7" s="239" t="s">
        <v>140</v>
      </c>
      <c r="H7" s="30" t="s">
        <v>1399</v>
      </c>
      <c r="I7" s="30" t="s">
        <v>7591</v>
      </c>
      <c r="J7" s="6" t="s">
        <v>9079</v>
      </c>
      <c r="K7" s="239" t="n">
        <v>1</v>
      </c>
      <c r="L7" s="239" t="s">
        <v>7658</v>
      </c>
      <c r="M7" s="6" t="s">
        <v>9080</v>
      </c>
      <c r="N7" s="239" t="s">
        <v>8146</v>
      </c>
      <c r="O7" s="30" t="s">
        <v>7554</v>
      </c>
      <c r="P7" s="30" t="s">
        <v>751</v>
      </c>
      <c r="Q7" s="30" t="s">
        <v>9081</v>
      </c>
      <c r="R7" s="30" t="s">
        <v>751</v>
      </c>
      <c r="S7" s="30" t="s">
        <v>751</v>
      </c>
      <c r="T7" s="30" t="s">
        <v>751</v>
      </c>
      <c r="U7" s="30" t="s">
        <v>9082</v>
      </c>
      <c r="V7" s="6" t="s">
        <v>751</v>
      </c>
      <c r="W7" s="6" t="s">
        <v>751</v>
      </c>
      <c r="X7" s="32" t="n">
        <f aca="false">IF($O7="Active",SUMPRODUCT(($AH$5:$AH$127=$AH7)*1),0)</f>
        <v>1</v>
      </c>
      <c r="Y7" s="32" t="n">
        <f aca="false">IF(AND($O7="Active",OR($Q7="—",$Q7="")),1,0)</f>
        <v>0</v>
      </c>
      <c r="Z7" s="32" t="n">
        <f aca="false">IF(AND($O7="Active",$L7="利害關係方",OR($R7="—",$R7="")),1,0)</f>
        <v>0</v>
      </c>
      <c r="AH7" s="44" t="str">
        <f aca="false">IF($O7="Active",$B7&amp;"¦"&amp;$G7&amp;"¦"&amp;$H7,"")</f>
        <v>最終訓練占研發支出：Z.ai¦同上¦Z.ai</v>
      </c>
    </row>
    <row r="8" customFormat="false" ht="43.5" hidden="false" customHeight="true" outlineLevel="0" collapsed="false">
      <c r="A8" s="30" t="s">
        <v>3425</v>
      </c>
      <c r="B8" s="6" t="s">
        <v>9089</v>
      </c>
      <c r="C8" s="241" t="n">
        <v>8.4</v>
      </c>
      <c r="D8" s="241" t="n">
        <v>7.5</v>
      </c>
      <c r="E8" s="241" t="n">
        <v>8.8</v>
      </c>
      <c r="F8" s="30" t="s">
        <v>1023</v>
      </c>
      <c r="G8" s="239" t="s">
        <v>9090</v>
      </c>
      <c r="H8" s="30" t="s">
        <v>1370</v>
      </c>
      <c r="I8" s="30" t="s">
        <v>8155</v>
      </c>
      <c r="J8" s="6" t="s">
        <v>9091</v>
      </c>
      <c r="K8" s="239" t="n">
        <v>2</v>
      </c>
      <c r="L8" s="239" t="s">
        <v>7551</v>
      </c>
      <c r="M8" s="6" t="s">
        <v>9092</v>
      </c>
      <c r="N8" s="239" t="s">
        <v>7564</v>
      </c>
      <c r="O8" s="30" t="s">
        <v>7554</v>
      </c>
      <c r="P8" s="30" t="s">
        <v>751</v>
      </c>
      <c r="Q8" s="30" t="s">
        <v>9093</v>
      </c>
      <c r="R8" s="30" t="s">
        <v>751</v>
      </c>
      <c r="S8" s="30" t="s">
        <v>751</v>
      </c>
      <c r="T8" s="30" t="s">
        <v>751</v>
      </c>
      <c r="U8" s="30" t="s">
        <v>9094</v>
      </c>
      <c r="V8" s="6" t="s">
        <v>9095</v>
      </c>
      <c r="W8" s="20" t="s">
        <v>9096</v>
      </c>
      <c r="X8" s="32" t="n">
        <f aca="false">IF($O8="Active",SUMPRODUCT(($AH$5:$AH$127=$AH8)*1),0)</f>
        <v>1</v>
      </c>
      <c r="Y8" s="32" t="n">
        <f aca="false">IF(AND($O8="Active",OR($Q8="—",$Q8="")),1,0)</f>
        <v>0</v>
      </c>
      <c r="Z8" s="32" t="n">
        <f aca="false">IF(AND($O8="Active",$L8="利害關係方",OR($R8="—",$R8="")),1,0)</f>
        <v>1</v>
      </c>
      <c r="AH8" s="44" t="str">
        <f aca="false">IF($O8="Active",$B8&amp;"¦"&amp;$G8&amp;"¦"&amp;$H8,"")</f>
        <v>OpenAI 2025 推論支出¦年度；json 一致集（與 005／006／007 同源）¦OpenAI</v>
      </c>
    </row>
    <row r="9" customFormat="false" ht="43.5" hidden="false" customHeight="true" outlineLevel="0" collapsed="false">
      <c r="A9" s="30" t="s">
        <v>3436</v>
      </c>
      <c r="B9" s="6" t="s">
        <v>9097</v>
      </c>
      <c r="C9" s="241" t="n">
        <v>3.9</v>
      </c>
      <c r="D9" s="239"/>
      <c r="E9" s="239"/>
      <c r="F9" s="30" t="s">
        <v>1023</v>
      </c>
      <c r="G9" s="239" t="s">
        <v>9098</v>
      </c>
      <c r="H9" s="30" t="s">
        <v>1370</v>
      </c>
      <c r="I9" s="30" t="s">
        <v>8155</v>
      </c>
      <c r="J9" s="6" t="s">
        <v>9091</v>
      </c>
      <c r="K9" s="239" t="n">
        <v>2</v>
      </c>
      <c r="L9" s="239" t="s">
        <v>7551</v>
      </c>
      <c r="M9" s="6" t="s">
        <v>9092</v>
      </c>
      <c r="N9" s="239" t="s">
        <v>7564</v>
      </c>
      <c r="O9" s="30" t="s">
        <v>7554</v>
      </c>
      <c r="P9" s="30" t="s">
        <v>751</v>
      </c>
      <c r="Q9" s="30" t="s">
        <v>9093</v>
      </c>
      <c r="R9" s="30" t="s">
        <v>751</v>
      </c>
      <c r="S9" s="30" t="s">
        <v>751</v>
      </c>
      <c r="T9" s="30" t="s">
        <v>751</v>
      </c>
      <c r="U9" s="30" t="s">
        <v>9094</v>
      </c>
      <c r="V9" s="6" t="s">
        <v>9099</v>
      </c>
      <c r="W9" s="20" t="s">
        <v>9100</v>
      </c>
      <c r="X9" s="32" t="n">
        <f aca="false">IF($O9="Active",SUMPRODUCT(($AH$5:$AH$127=$AH9)*1),0)</f>
        <v>1</v>
      </c>
      <c r="Y9" s="32" t="n">
        <f aca="false">IF(AND($O9="Active",OR($Q9="—",$Q9="")),1,0)</f>
        <v>0</v>
      </c>
      <c r="Z9" s="32" t="n">
        <f aca="false">IF(AND($O9="Active",$L9="利害關係方",OR($R9="—",$R9="")),1,0)</f>
        <v>1</v>
      </c>
      <c r="AH9" s="44" t="str">
        <f aca="false">IF($O9="Active",$B9&amp;"¦"&amp;$G9&amp;"¦"&amp;$H9,"")</f>
        <v>OpenAI 2025 非付費用戶推論支出¦年度¦OpenAI</v>
      </c>
    </row>
    <row r="10" customFormat="false" ht="43.5" hidden="false" customHeight="true" outlineLevel="0" collapsed="false">
      <c r="A10" s="30" t="s">
        <v>3372</v>
      </c>
      <c r="B10" s="6" t="s">
        <v>9101</v>
      </c>
      <c r="C10" s="241" t="n">
        <v>12</v>
      </c>
      <c r="D10" s="239"/>
      <c r="E10" s="239"/>
      <c r="F10" s="30" t="s">
        <v>1023</v>
      </c>
      <c r="G10" s="239" t="s">
        <v>9102</v>
      </c>
      <c r="H10" s="30" t="s">
        <v>1370</v>
      </c>
      <c r="I10" s="30" t="s">
        <v>8155</v>
      </c>
      <c r="J10" s="6" t="s">
        <v>9091</v>
      </c>
      <c r="K10" s="239" t="n">
        <v>2</v>
      </c>
      <c r="L10" s="239" t="s">
        <v>7551</v>
      </c>
      <c r="M10" s="6" t="s">
        <v>9092</v>
      </c>
      <c r="N10" s="239" t="s">
        <v>7564</v>
      </c>
      <c r="O10" s="30" t="s">
        <v>7554</v>
      </c>
      <c r="P10" s="30" t="s">
        <v>751</v>
      </c>
      <c r="Q10" s="30" t="s">
        <v>9093</v>
      </c>
      <c r="R10" s="30" t="s">
        <v>751</v>
      </c>
      <c r="S10" s="30" t="s">
        <v>751</v>
      </c>
      <c r="T10" s="30" t="s">
        <v>751</v>
      </c>
      <c r="U10" s="30" t="s">
        <v>9094</v>
      </c>
      <c r="V10" s="6" t="s">
        <v>9103</v>
      </c>
      <c r="W10" s="6" t="s">
        <v>751</v>
      </c>
      <c r="X10" s="32" t="n">
        <f aca="false">IF($O10="Active",SUMPRODUCT(($AH$5:$AH$127=$AH10)*1),0)</f>
        <v>1</v>
      </c>
      <c r="Y10" s="32" t="n">
        <f aca="false">IF(AND($O10="Active",OR($Q10="—",$Q10="")),1,0)</f>
        <v>0</v>
      </c>
      <c r="Z10" s="32" t="n">
        <f aca="false">IF(AND($O10="Active",$L10="利害關係方",OR($R10="—",$R10="")),1,0)</f>
        <v>1</v>
      </c>
      <c r="AH10" s="44" t="str">
        <f aca="false">IF($O10="Active",$B10&amp;"¦"&amp;$G10&amp;"¦"&amp;$H10,"")</f>
        <v>OpenAI 2025 訓練支出¦年度；約值¦OpenAI</v>
      </c>
    </row>
    <row r="11" customFormat="false" ht="43.5" hidden="false" customHeight="true" outlineLevel="0" collapsed="false">
      <c r="A11" s="30" t="s">
        <v>3332</v>
      </c>
      <c r="B11" s="6" t="s">
        <v>9104</v>
      </c>
      <c r="C11" s="241" t="n">
        <v>13.07</v>
      </c>
      <c r="D11" s="239"/>
      <c r="E11" s="239"/>
      <c r="F11" s="30" t="s">
        <v>1023</v>
      </c>
      <c r="G11" s="239" t="s">
        <v>9098</v>
      </c>
      <c r="H11" s="30" t="s">
        <v>1370</v>
      </c>
      <c r="I11" s="30" t="s">
        <v>8155</v>
      </c>
      <c r="J11" s="6" t="s">
        <v>9091</v>
      </c>
      <c r="K11" s="239" t="n">
        <v>2</v>
      </c>
      <c r="L11" s="239" t="s">
        <v>7551</v>
      </c>
      <c r="M11" s="6" t="s">
        <v>9092</v>
      </c>
      <c r="N11" s="239" t="s">
        <v>7564</v>
      </c>
      <c r="O11" s="30" t="s">
        <v>7554</v>
      </c>
      <c r="P11" s="30" t="s">
        <v>751</v>
      </c>
      <c r="Q11" s="30" t="s">
        <v>9093</v>
      </c>
      <c r="R11" s="30" t="s">
        <v>751</v>
      </c>
      <c r="S11" s="30" t="s">
        <v>751</v>
      </c>
      <c r="T11" s="30" t="s">
        <v>751</v>
      </c>
      <c r="U11" s="30" t="s">
        <v>9094</v>
      </c>
      <c r="V11" s="6" t="s">
        <v>9105</v>
      </c>
      <c r="W11" s="6" t="s">
        <v>9106</v>
      </c>
      <c r="X11" s="32" t="n">
        <f aca="false">IF($O11="Active",SUMPRODUCT(($AH$5:$AH$127=$AH11)*1),0)</f>
        <v>1</v>
      </c>
      <c r="Y11" s="32" t="n">
        <f aca="false">IF(AND($O11="Active",OR($Q11="—",$Q11="")),1,0)</f>
        <v>0</v>
      </c>
      <c r="Z11" s="32" t="n">
        <f aca="false">IF(AND($O11="Active",$L11="利害關係方",OR($R11="—",$R11="")),1,0)</f>
        <v>1</v>
      </c>
      <c r="AH11" s="44" t="str">
        <f aca="false">IF($O11="Active",$B11&amp;"¦"&amp;$G11&amp;"¦"&amp;$H11,"")</f>
        <v>OpenAI 2025 營收¦年度¦OpenAI</v>
      </c>
    </row>
    <row r="12" customFormat="false" ht="43.5" hidden="false" customHeight="true" outlineLevel="0" collapsed="false">
      <c r="A12" s="30" t="s">
        <v>9107</v>
      </c>
      <c r="B12" s="6" t="s">
        <v>9108</v>
      </c>
      <c r="C12" s="241" t="n">
        <v>0.6</v>
      </c>
      <c r="D12" s="239"/>
      <c r="E12" s="239"/>
      <c r="F12" s="30" t="s">
        <v>103</v>
      </c>
      <c r="G12" s="30" t="s">
        <v>9109</v>
      </c>
      <c r="H12" s="30" t="s">
        <v>1370</v>
      </c>
      <c r="I12" s="30" t="s">
        <v>9110</v>
      </c>
      <c r="J12" s="6" t="s">
        <v>9091</v>
      </c>
      <c r="K12" s="239" t="n">
        <v>2</v>
      </c>
      <c r="L12" s="239" t="s">
        <v>7551</v>
      </c>
      <c r="M12" s="6" t="s">
        <v>9092</v>
      </c>
      <c r="N12" s="239" t="s">
        <v>7564</v>
      </c>
      <c r="O12" s="30" t="s">
        <v>7554</v>
      </c>
      <c r="P12" s="30" t="s">
        <v>751</v>
      </c>
      <c r="Q12" s="30" t="s">
        <v>9093</v>
      </c>
      <c r="R12" s="30" t="s">
        <v>751</v>
      </c>
      <c r="S12" s="30" t="s">
        <v>751</v>
      </c>
      <c r="T12" s="30" t="s">
        <v>751</v>
      </c>
      <c r="U12" s="30" t="s">
        <v>9094</v>
      </c>
      <c r="V12" s="6" t="s">
        <v>9105</v>
      </c>
      <c r="W12" s="6" t="s">
        <v>751</v>
      </c>
      <c r="X12" s="32" t="n">
        <f aca="false">IF($O12="Active",SUMPRODUCT(($AH$5:$AH$127=$AH12)*1),0)</f>
        <v>1</v>
      </c>
      <c r="Y12" s="32" t="n">
        <f aca="false">IF(AND($O12="Active",OR($Q12="—",$Q12="")),1,0)</f>
        <v>0</v>
      </c>
      <c r="Z12" s="32" t="n">
        <f aca="false">IF(AND($O12="Active",$L12="利害關係方",OR($R12="—",$R12="")),1,0)</f>
        <v>1</v>
      </c>
      <c r="AH12" s="44" t="str">
        <f aca="false">IF($O12="Active",$B12&amp;"¦"&amp;$G12&amp;"¦"&amp;$H12,"")</f>
        <v>OpenAI 算力規模 2024 年底¦GW 口徑未明（D1）¦OpenAI</v>
      </c>
    </row>
    <row r="13" customFormat="false" ht="43.5" hidden="false" customHeight="true" outlineLevel="0" collapsed="false">
      <c r="A13" s="30" t="s">
        <v>9111</v>
      </c>
      <c r="B13" s="6" t="s">
        <v>9112</v>
      </c>
      <c r="C13" s="241" t="n">
        <v>1.9</v>
      </c>
      <c r="D13" s="239"/>
      <c r="E13" s="239"/>
      <c r="F13" s="30" t="s">
        <v>103</v>
      </c>
      <c r="G13" s="239" t="s">
        <v>9113</v>
      </c>
      <c r="H13" s="30" t="s">
        <v>1370</v>
      </c>
      <c r="I13" s="30" t="s">
        <v>8155</v>
      </c>
      <c r="J13" s="6" t="s">
        <v>9091</v>
      </c>
      <c r="K13" s="239" t="n">
        <v>2</v>
      </c>
      <c r="L13" s="239" t="s">
        <v>7551</v>
      </c>
      <c r="M13" s="6" t="s">
        <v>9092</v>
      </c>
      <c r="N13" s="239" t="s">
        <v>7564</v>
      </c>
      <c r="O13" s="30" t="s">
        <v>7554</v>
      </c>
      <c r="P13" s="30" t="s">
        <v>751</v>
      </c>
      <c r="Q13" s="30" t="s">
        <v>9093</v>
      </c>
      <c r="R13" s="30" t="s">
        <v>751</v>
      </c>
      <c r="S13" s="30" t="s">
        <v>751</v>
      </c>
      <c r="T13" s="30" t="s">
        <v>751</v>
      </c>
      <c r="U13" s="30" t="s">
        <v>9094</v>
      </c>
      <c r="V13" s="6" t="s">
        <v>9105</v>
      </c>
      <c r="W13" s="6" t="s">
        <v>9114</v>
      </c>
      <c r="X13" s="32" t="n">
        <f aca="false">IF($O13="Active",SUMPRODUCT(($AH$5:$AH$127=$AH13)*1),0)</f>
        <v>1</v>
      </c>
      <c r="Y13" s="32" t="n">
        <f aca="false">IF(AND($O13="Active",OR($Q13="—",$Q13="")),1,0)</f>
        <v>0</v>
      </c>
      <c r="Z13" s="32" t="n">
        <f aca="false">IF(AND($O13="Active",$L13="利害關係方",OR($R13="—",$R13="")),1,0)</f>
        <v>1</v>
      </c>
      <c r="AH13" s="44" t="str">
        <f aca="false">IF($O13="Active",$B13&amp;"¦"&amp;$G13&amp;"¦"&amp;$H13,"")</f>
        <v>OpenAI 算力規模 2025 年底¦約值；口徑未明¦OpenAI</v>
      </c>
    </row>
    <row r="14" customFormat="false" ht="26.25" hidden="false" customHeight="true" outlineLevel="0" collapsed="false">
      <c r="A14" s="30" t="s">
        <v>6140</v>
      </c>
      <c r="B14" s="6" t="s">
        <v>9115</v>
      </c>
      <c r="C14" s="241" t="n">
        <v>6</v>
      </c>
      <c r="D14" s="239"/>
      <c r="E14" s="239"/>
      <c r="F14" s="30" t="s">
        <v>9116</v>
      </c>
      <c r="G14" s="239" t="s">
        <v>9117</v>
      </c>
      <c r="H14" s="30" t="s">
        <v>1370</v>
      </c>
      <c r="I14" s="30" t="s">
        <v>9118</v>
      </c>
      <c r="J14" s="6" t="s">
        <v>9119</v>
      </c>
      <c r="K14" s="239" t="n">
        <v>2</v>
      </c>
      <c r="L14" s="239" t="s">
        <v>7551</v>
      </c>
      <c r="M14" s="6" t="s">
        <v>9120</v>
      </c>
      <c r="N14" s="239" t="s">
        <v>7564</v>
      </c>
      <c r="O14" s="30" t="s">
        <v>7554</v>
      </c>
      <c r="P14" s="30" t="s">
        <v>751</v>
      </c>
      <c r="Q14" s="30" t="s">
        <v>9121</v>
      </c>
      <c r="R14" s="30" t="s">
        <v>751</v>
      </c>
      <c r="S14" s="30" t="s">
        <v>751</v>
      </c>
      <c r="T14" s="30" t="s">
        <v>751</v>
      </c>
      <c r="U14" s="30" t="s">
        <v>9122</v>
      </c>
      <c r="V14" s="6" t="s">
        <v>9123</v>
      </c>
      <c r="W14" s="6" t="s">
        <v>9124</v>
      </c>
      <c r="X14" s="32" t="n">
        <f aca="false">IF($O14="Active",SUMPRODUCT(($AH$5:$AH$127=$AH14)*1),0)</f>
        <v>1</v>
      </c>
      <c r="Y14" s="32" t="n">
        <f aca="false">IF(AND($O14="Active",OR($Q14="—",$Q14="")),1,0)</f>
        <v>0</v>
      </c>
      <c r="Z14" s="32" t="n">
        <f aca="false">IF(AND($O14="Active",$L14="利害關係方",OR($R14="—",$R14="")),1,0)</f>
        <v>1</v>
      </c>
      <c r="AH14" s="44" t="str">
        <f aca="false">IF($O14="Active",$B14&amp;"¦"&amp;$G14&amp;"¦"&amp;$H14,"")</f>
        <v>OpenAI API 處理量¦時點值；API 全部¦OpenAI</v>
      </c>
    </row>
    <row r="15" customFormat="false" ht="39" hidden="false" customHeight="true" outlineLevel="0" collapsed="false">
      <c r="A15" s="30" t="s">
        <v>6339</v>
      </c>
      <c r="B15" s="6" t="s">
        <v>9115</v>
      </c>
      <c r="C15" s="241" t="n">
        <v>15</v>
      </c>
      <c r="D15" s="239"/>
      <c r="E15" s="239"/>
      <c r="F15" s="30" t="s">
        <v>9116</v>
      </c>
      <c r="G15" s="239" t="s">
        <v>9125</v>
      </c>
      <c r="H15" s="30" t="s">
        <v>1370</v>
      </c>
      <c r="I15" s="30" t="s">
        <v>9126</v>
      </c>
      <c r="J15" s="6" t="s">
        <v>9127</v>
      </c>
      <c r="K15" s="239" t="n">
        <v>1</v>
      </c>
      <c r="L15" s="239" t="s">
        <v>7551</v>
      </c>
      <c r="M15" s="6" t="s">
        <v>9128</v>
      </c>
      <c r="N15" s="239" t="s">
        <v>7553</v>
      </c>
      <c r="O15" s="30" t="s">
        <v>7554</v>
      </c>
      <c r="P15" s="30" t="s">
        <v>751</v>
      </c>
      <c r="Q15" s="30" t="s">
        <v>9129</v>
      </c>
      <c r="R15" s="30" t="s">
        <v>751</v>
      </c>
      <c r="S15" s="30" t="s">
        <v>6868</v>
      </c>
      <c r="T15" s="30" t="s">
        <v>751</v>
      </c>
      <c r="U15" s="30" t="s">
        <v>9122</v>
      </c>
      <c r="V15" s="20" t="s">
        <v>9130</v>
      </c>
      <c r="W15" s="6" t="s">
        <v>9131</v>
      </c>
      <c r="X15" s="32" t="n">
        <f aca="false">IF($O15="Active",SUMPRODUCT(($AH$5:$AH$127=$AH15)*1),0)</f>
        <v>1</v>
      </c>
      <c r="Y15" s="32" t="n">
        <f aca="false">IF(AND($O15="Active",OR($Q15="—",$Q15="")),1,0)</f>
        <v>0</v>
      </c>
      <c r="Z15" s="32" t="n">
        <f aca="false">IF(AND($O15="Active",$L15="利害關係方",OR($R15="—",$R15="")),1,0)</f>
        <v>1</v>
      </c>
      <c r="AH15" s="44" t="str">
        <f aca="false">IF($O15="Active",$B15&amp;"¦"&amp;$G15&amp;"¦"&amp;$H15,"")</f>
        <v>OpenAI API 處理量¦時點值；「超過」；API 全部¦OpenAI</v>
      </c>
    </row>
    <row r="16" customFormat="false" ht="26.25" hidden="false" customHeight="true" outlineLevel="0" collapsed="false">
      <c r="A16" s="30" t="s">
        <v>6147</v>
      </c>
      <c r="B16" s="6" t="s">
        <v>9132</v>
      </c>
      <c r="C16" s="241" t="n">
        <v>2.5</v>
      </c>
      <c r="D16" s="239"/>
      <c r="E16" s="239"/>
      <c r="F16" s="30" t="s">
        <v>1705</v>
      </c>
      <c r="G16" s="239" t="s">
        <v>9133</v>
      </c>
      <c r="H16" s="30" t="s">
        <v>1370</v>
      </c>
      <c r="I16" s="30" t="s">
        <v>9134</v>
      </c>
      <c r="J16" s="6" t="s">
        <v>9135</v>
      </c>
      <c r="K16" s="239" t="n">
        <v>2</v>
      </c>
      <c r="L16" s="239" t="s">
        <v>7551</v>
      </c>
      <c r="M16" s="6" t="s">
        <v>9120</v>
      </c>
      <c r="N16" s="239" t="s">
        <v>7564</v>
      </c>
      <c r="O16" s="30" t="s">
        <v>7554</v>
      </c>
      <c r="P16" s="30" t="s">
        <v>751</v>
      </c>
      <c r="Q16" s="30" t="s">
        <v>9136</v>
      </c>
      <c r="R16" s="30" t="s">
        <v>751</v>
      </c>
      <c r="S16" s="30" t="s">
        <v>751</v>
      </c>
      <c r="T16" s="30" t="s">
        <v>751</v>
      </c>
      <c r="U16" s="30" t="s">
        <v>9122</v>
      </c>
      <c r="V16" s="6" t="s">
        <v>9137</v>
      </c>
      <c r="W16" s="6" t="s">
        <v>9138</v>
      </c>
      <c r="X16" s="32" t="n">
        <f aca="false">IF($O16="Active",SUMPRODUCT(($AH$5:$AH$127=$AH16)*1),0)</f>
        <v>1</v>
      </c>
      <c r="Y16" s="32" t="n">
        <f aca="false">IF(AND($O16="Active",OR($Q16="—",$Q16="")),1,0)</f>
        <v>0</v>
      </c>
      <c r="Z16" s="32" t="n">
        <f aca="false">IF(AND($O16="Active",$L16="利害關係方",OR($R16="—",$R16="")),1,0)</f>
        <v>1</v>
      </c>
      <c r="AH16" s="44" t="str">
        <f aca="false">IF($O16="Active",$B16&amp;"¦"&amp;$G16&amp;"¦"&amp;$H16,"")</f>
        <v>ChatGPT 每日提示數¦全球；其中美國約 0.33B¦OpenAI</v>
      </c>
    </row>
    <row r="17" customFormat="false" ht="26.25" hidden="false" customHeight="true" outlineLevel="0" collapsed="false">
      <c r="A17" s="30" t="s">
        <v>3444</v>
      </c>
      <c r="B17" s="20" t="s">
        <v>9139</v>
      </c>
      <c r="C17" s="239"/>
      <c r="D17" s="241" t="n">
        <v>10</v>
      </c>
      <c r="E17" s="241" t="n">
        <v>100</v>
      </c>
      <c r="F17" s="30" t="s">
        <v>1469</v>
      </c>
      <c r="G17" s="239" t="s">
        <v>9140</v>
      </c>
      <c r="H17" s="30" t="s">
        <v>9141</v>
      </c>
      <c r="I17" s="30" t="s">
        <v>8155</v>
      </c>
      <c r="J17" s="6" t="s">
        <v>9142</v>
      </c>
      <c r="K17" s="239" t="n">
        <v>1</v>
      </c>
      <c r="L17" s="239" t="s">
        <v>7658</v>
      </c>
      <c r="M17" s="6" t="s">
        <v>9143</v>
      </c>
      <c r="N17" s="239" t="s">
        <v>7553</v>
      </c>
      <c r="O17" s="30" t="s">
        <v>7554</v>
      </c>
      <c r="P17" s="30" t="s">
        <v>751</v>
      </c>
      <c r="Q17" s="30" t="s">
        <v>9144</v>
      </c>
      <c r="R17" s="30" t="s">
        <v>751</v>
      </c>
      <c r="S17" s="30" t="s">
        <v>6868</v>
      </c>
      <c r="T17" s="30" t="s">
        <v>751</v>
      </c>
      <c r="U17" s="30" t="s">
        <v>9122</v>
      </c>
      <c r="V17" s="6" t="s">
        <v>9145</v>
      </c>
      <c r="W17" s="20" t="s">
        <v>9146</v>
      </c>
      <c r="X17" s="32" t="n">
        <f aca="false">IF($O17="Active",SUMPRODUCT(($AH$5:$AH$127=$AH17)*1),0)</f>
        <v>1</v>
      </c>
      <c r="Y17" s="32" t="n">
        <f aca="false">IF(AND($O17="Active",OR($Q17="—",$Q17="")),1,0)</f>
        <v>0</v>
      </c>
      <c r="Z17" s="32" t="n">
        <f aca="false">IF(AND($O17="Active",$L17="利害關係方",OR($R17="—",$R17="")),1,0)</f>
        <v>0</v>
      </c>
      <c r="AH17" s="44" t="str">
        <f aca="false">IF($O17="Active",$B17&amp;"¦"&amp;$G17&amp;"¦"&amp;$H17,"")</f>
        <v>前沿實驗室（OpenAI）每日 token¦由算力推估¦OpenAI（前沿實驗室）</v>
      </c>
    </row>
    <row r="18" customFormat="false" ht="94.5" hidden="false" customHeight="true" outlineLevel="0" collapsed="false">
      <c r="A18" s="30" t="s">
        <v>9147</v>
      </c>
      <c r="B18" s="6" t="s">
        <v>9148</v>
      </c>
      <c r="C18" s="241" t="n">
        <v>6000</v>
      </c>
      <c r="D18" s="205"/>
      <c r="E18" s="205"/>
      <c r="F18" s="30" t="s">
        <v>9149</v>
      </c>
      <c r="G18" s="205" t="s">
        <v>9150</v>
      </c>
      <c r="H18" s="30" t="s">
        <v>9151</v>
      </c>
      <c r="I18" s="30" t="s">
        <v>9152</v>
      </c>
      <c r="J18" s="6" t="s">
        <v>9153</v>
      </c>
      <c r="K18" s="205" t="n">
        <v>1</v>
      </c>
      <c r="L18" s="205" t="s">
        <v>7551</v>
      </c>
      <c r="M18" s="6" t="s">
        <v>9154</v>
      </c>
      <c r="N18" s="205" t="s">
        <v>7553</v>
      </c>
      <c r="O18" s="30" t="s">
        <v>7554</v>
      </c>
      <c r="P18" s="30" t="s">
        <v>751</v>
      </c>
      <c r="Q18" s="30" t="s">
        <v>9155</v>
      </c>
      <c r="R18" s="30" t="s">
        <v>751</v>
      </c>
      <c r="S18" s="30" t="s">
        <v>751</v>
      </c>
      <c r="T18" s="30" t="s">
        <v>751</v>
      </c>
      <c r="U18" s="30" t="s">
        <v>8269</v>
      </c>
      <c r="V18" s="6" t="s">
        <v>751</v>
      </c>
      <c r="W18" s="6" t="s">
        <v>9156</v>
      </c>
      <c r="X18" s="32" t="n">
        <f aca="false">IF($O18="Active",SUMPRODUCT(($AH$5:$AH$127=$AH18)*1),0)</f>
        <v>1</v>
      </c>
      <c r="Y18" s="32" t="n">
        <f aca="false">IF(AND($O18="Active",OR($Q18="—",$Q18="")),1,0)</f>
        <v>0</v>
      </c>
      <c r="Z18" s="32" t="n">
        <f aca="false">IF(AND($O18="Active",$L18="利害關係方",OR($R18="—",$R18="")),1,0)</f>
        <v>1</v>
      </c>
      <c r="AH18" s="44" t="str">
        <f aca="false">IF($O18="Active",$B18&amp;"¦"&amp;$G18&amp;"¦"&amp;$H18,"")</f>
        <v>OpenRouter 每請求平均輸入 token（2025 年末）¦平均值（非中位數）；2025 年末；資料期間 2024-11-03 至 2025-11-30（2.5 節）¦OpenRouter 全市場路由流量</v>
      </c>
    </row>
    <row r="19" customFormat="false" ht="72" hidden="false" customHeight="true" outlineLevel="0" collapsed="false">
      <c r="A19" s="30" t="s">
        <v>9157</v>
      </c>
      <c r="B19" s="6" t="s">
        <v>9158</v>
      </c>
      <c r="C19" s="241" t="n">
        <v>400</v>
      </c>
      <c r="D19" s="205"/>
      <c r="E19" s="205"/>
      <c r="F19" s="30" t="s">
        <v>9149</v>
      </c>
      <c r="G19" s="205" t="s">
        <v>9159</v>
      </c>
      <c r="H19" s="30" t="s">
        <v>9151</v>
      </c>
      <c r="I19" s="30" t="s">
        <v>9152</v>
      </c>
      <c r="J19" s="6" t="s">
        <v>9153</v>
      </c>
      <c r="K19" s="205" t="n">
        <v>1</v>
      </c>
      <c r="L19" s="205" t="s">
        <v>7551</v>
      </c>
      <c r="M19" s="6" t="s">
        <v>9154</v>
      </c>
      <c r="N19" s="205" t="s">
        <v>7553</v>
      </c>
      <c r="O19" s="30" t="s">
        <v>7554</v>
      </c>
      <c r="P19" s="30" t="s">
        <v>751</v>
      </c>
      <c r="Q19" s="30" t="s">
        <v>9155</v>
      </c>
      <c r="R19" s="30" t="s">
        <v>751</v>
      </c>
      <c r="S19" s="30" t="s">
        <v>751</v>
      </c>
      <c r="T19" s="30" t="s">
        <v>751</v>
      </c>
      <c r="U19" s="30" t="s">
        <v>8269</v>
      </c>
      <c r="V19" s="6" t="s">
        <v>751</v>
      </c>
      <c r="W19" s="6" t="s">
        <v>9160</v>
      </c>
      <c r="X19" s="32" t="n">
        <f aca="false">IF($O19="Active",SUMPRODUCT(($AH$5:$AH$127=$AH19)*1),0)</f>
        <v>1</v>
      </c>
      <c r="Y19" s="32" t="n">
        <f aca="false">IF(AND($O19="Active",OR($Q19="—",$Q19="")),1,0)</f>
        <v>0</v>
      </c>
      <c r="Z19" s="32" t="n">
        <f aca="false">IF(AND($O19="Active",$L19="利害關係方",OR($R19="—",$R19="")),1,0)</f>
        <v>1</v>
      </c>
      <c r="AH19" s="44" t="str">
        <f aca="false">IF($O19="Active",$B19&amp;"¦"&amp;$G19&amp;"¦"&amp;$H19,"")</f>
        <v>OpenRouter 每請求平均輸出 token（含推理 token；2025 年末）¦平均值（非中位數）；含推理 token；2025 年末；資料期間 2024-11-03 至 2025-11-30（2.5 節）¦OpenRouter 全市場路由流量</v>
      </c>
    </row>
    <row r="20" customFormat="false" ht="72" hidden="false" customHeight="true" outlineLevel="0" collapsed="false">
      <c r="A20" s="30" t="s">
        <v>9161</v>
      </c>
      <c r="B20" s="6" t="s">
        <v>9162</v>
      </c>
      <c r="C20" s="241" t="n">
        <v>3.5</v>
      </c>
      <c r="D20" s="241" t="n">
        <v>3</v>
      </c>
      <c r="E20" s="241" t="n">
        <v>4</v>
      </c>
      <c r="F20" s="205" t="s">
        <v>9163</v>
      </c>
      <c r="G20" s="205" t="s">
        <v>9164</v>
      </c>
      <c r="H20" s="30" t="s">
        <v>9151</v>
      </c>
      <c r="I20" s="30" t="s">
        <v>9152</v>
      </c>
      <c r="J20" s="6" t="s">
        <v>9153</v>
      </c>
      <c r="K20" s="205" t="n">
        <v>1</v>
      </c>
      <c r="L20" s="205" t="s">
        <v>7551</v>
      </c>
      <c r="M20" s="6" t="s">
        <v>9154</v>
      </c>
      <c r="N20" s="205" t="s">
        <v>7553</v>
      </c>
      <c r="O20" s="30" t="s">
        <v>7554</v>
      </c>
      <c r="P20" s="30" t="s">
        <v>751</v>
      </c>
      <c r="Q20" s="30" t="s">
        <v>9155</v>
      </c>
      <c r="R20" s="30" t="s">
        <v>751</v>
      </c>
      <c r="S20" s="30" t="s">
        <v>751</v>
      </c>
      <c r="T20" s="30" t="s">
        <v>751</v>
      </c>
      <c r="U20" s="30" t="s">
        <v>8269</v>
      </c>
      <c r="V20" s="6" t="s">
        <v>751</v>
      </c>
      <c r="W20" s="6" t="s">
        <v>9165</v>
      </c>
      <c r="X20" s="32" t="n">
        <f aca="false">IF($O20="Active",SUMPRODUCT(($AH$5:$AH$127=$AH20)*1),0)</f>
        <v>1</v>
      </c>
      <c r="Y20" s="32" t="n">
        <f aca="false">IF(AND($O20="Active",OR($Q20="—",$Q20="")),1,0)</f>
        <v>0</v>
      </c>
      <c r="Z20" s="32" t="n">
        <f aca="false">IF(AND($O20="Active",$L20="利害關係方",OR($R20="—",$R20="")),1,0)</f>
        <v>1</v>
      </c>
      <c r="AH20" s="44" t="str">
        <f aca="false">IF($O20="Active",$B20&amp;"¦"&amp;$G20&amp;"¦"&amp;$H20,"")</f>
        <v>OpenRouter 程式類輸入長度 ÷ 一般類¦平均值（非中位數）；程式類 ÷ 一般類的提示長度；資料期間 2024-11-03 至 2025-11-30（2.5 節）¦OpenRouter 全市場路由流量</v>
      </c>
    </row>
    <row r="21" customFormat="false" ht="72" hidden="false" customHeight="true" outlineLevel="0" collapsed="false">
      <c r="A21" s="30" t="s">
        <v>9166</v>
      </c>
      <c r="B21" s="6" t="s">
        <v>9167</v>
      </c>
      <c r="C21" s="241" t="n">
        <v>0.5</v>
      </c>
      <c r="D21" s="241" t="n">
        <v>0.5</v>
      </c>
      <c r="E21" s="205"/>
      <c r="F21" s="30" t="s">
        <v>113</v>
      </c>
      <c r="G21" s="205" t="s">
        <v>9168</v>
      </c>
      <c r="H21" s="30" t="s">
        <v>9151</v>
      </c>
      <c r="I21" s="30" t="s">
        <v>9152</v>
      </c>
      <c r="J21" s="6" t="s">
        <v>9153</v>
      </c>
      <c r="K21" s="205" t="n">
        <v>1</v>
      </c>
      <c r="L21" s="205" t="s">
        <v>7551</v>
      </c>
      <c r="M21" s="6" t="s">
        <v>9154</v>
      </c>
      <c r="N21" s="205" t="s">
        <v>7553</v>
      </c>
      <c r="O21" s="30" t="s">
        <v>7554</v>
      </c>
      <c r="P21" s="30" t="s">
        <v>751</v>
      </c>
      <c r="Q21" s="30" t="s">
        <v>9155</v>
      </c>
      <c r="R21" s="30" t="s">
        <v>751</v>
      </c>
      <c r="S21" s="30" t="s">
        <v>751</v>
      </c>
      <c r="T21" s="30" t="s">
        <v>751</v>
      </c>
      <c r="U21" s="30" t="s">
        <v>8269</v>
      </c>
      <c r="V21" s="6" t="s">
        <v>751</v>
      </c>
      <c r="W21" s="6" t="s">
        <v>9169</v>
      </c>
      <c r="X21" s="32" t="n">
        <f aca="false">IF($O21="Active",SUMPRODUCT(($AH$5:$AH$127=$AH21)*1),0)</f>
        <v>1</v>
      </c>
      <c r="Y21" s="32" t="n">
        <f aca="false">IF(AND($O21="Active",OR($Q21="—",$Q21="")),1,0)</f>
        <v>0</v>
      </c>
      <c r="Z21" s="32" t="n">
        <f aca="false">IF(AND($O21="Active",$L21="利害關係方",OR($R21="—",$R21="")),1,0)</f>
        <v>1</v>
      </c>
      <c r="AH21" s="44" t="str">
        <f aca="false">IF($O21="Active",$B21&amp;"¦"&amp;$G21&amp;"¦"&amp;$H21,"")</f>
        <v>OpenRouter 推理模型 token 占比（2025 年末）¦平均值（非中位數）；全部 token 中經推理模型路由的占比；下限值；資料期間 2024-11-03 至 2025-11-30（2.5 節）¦OpenRouter 全市場路由流量</v>
      </c>
    </row>
    <row r="22" customFormat="false" ht="171" hidden="false" customHeight="true" outlineLevel="0" collapsed="false">
      <c r="A22" s="30" t="s">
        <v>9170</v>
      </c>
      <c r="B22" s="6" t="s">
        <v>9171</v>
      </c>
      <c r="C22" s="241" t="n">
        <v>12.6</v>
      </c>
      <c r="D22" s="241" t="n">
        <v>12.3</v>
      </c>
      <c r="E22" s="241" t="n">
        <v>13</v>
      </c>
      <c r="F22" s="30" t="s">
        <v>1023</v>
      </c>
      <c r="G22" s="30" t="s">
        <v>9172</v>
      </c>
      <c r="H22" s="30" t="s">
        <v>1370</v>
      </c>
      <c r="I22" s="30" t="s">
        <v>8155</v>
      </c>
      <c r="J22" s="6" t="s">
        <v>9173</v>
      </c>
      <c r="K22" s="205" t="n">
        <v>2</v>
      </c>
      <c r="L22" s="205" t="s">
        <v>7551</v>
      </c>
      <c r="M22" s="6" t="s">
        <v>9174</v>
      </c>
      <c r="N22" s="205" t="s">
        <v>9175</v>
      </c>
      <c r="O22" s="30" t="s">
        <v>7554</v>
      </c>
      <c r="P22" s="30" t="s">
        <v>751</v>
      </c>
      <c r="Q22" s="30" t="s">
        <v>9176</v>
      </c>
      <c r="R22" s="30" t="s">
        <v>751</v>
      </c>
      <c r="S22" s="30" t="s">
        <v>751</v>
      </c>
      <c r="T22" s="30" t="s">
        <v>751</v>
      </c>
      <c r="U22" s="30" t="s">
        <v>9177</v>
      </c>
      <c r="V22" s="6" t="s">
        <v>9178</v>
      </c>
      <c r="W22" s="6" t="s">
        <v>9179</v>
      </c>
      <c r="X22" s="32" t="n">
        <f aca="false">IF($O22="Active",SUMPRODUCT(($AH$5:$AH$127=$AH22)*1),0)</f>
        <v>1</v>
      </c>
      <c r="Y22" s="32" t="n">
        <f aca="false">IF(AND($O22="Active",OR($Q22="—",$Q22="")),1,0)</f>
        <v>0</v>
      </c>
      <c r="Z22" s="32" t="n">
        <f aca="false">IF(AND($O22="Active",$L22="利害關係方",OR($R22="—",$R22="")),1,0)</f>
        <v>1</v>
      </c>
      <c r="AH22" s="44" t="str">
        <f aca="false">IF($O22="Active",$B22&amp;"¦"&amp;$G22&amp;"¦"&amp;$H22,"")</f>
        <v>OpenAI 2025 推論支出（Azure 帳單，全年推估）¦Azure 計價，含 Microsoft 利潤與資本回收；Q1–Q3 實際 8.67（Q1 2.075、Q2 2.947、Q3 3.648）＋ Q4 以 Q3 run-rate 至 +15% 推估¦OpenAI</v>
      </c>
    </row>
    <row r="23" customFormat="false" ht="72" hidden="false" customHeight="true" outlineLevel="0" collapsed="false">
      <c r="A23" s="30" t="s">
        <v>1449</v>
      </c>
      <c r="B23" s="6" t="s">
        <v>9180</v>
      </c>
      <c r="C23" s="241" t="n">
        <v>50</v>
      </c>
      <c r="D23" s="205"/>
      <c r="E23" s="205"/>
      <c r="F23" s="205" t="s">
        <v>1441</v>
      </c>
      <c r="G23" s="205" t="s">
        <v>9181</v>
      </c>
      <c r="H23" s="30" t="s">
        <v>9182</v>
      </c>
      <c r="I23" s="30" t="s">
        <v>9183</v>
      </c>
      <c r="J23" s="6" t="s">
        <v>9184</v>
      </c>
      <c r="K23" s="205" t="n">
        <v>1</v>
      </c>
      <c r="L23" s="205" t="s">
        <v>7551</v>
      </c>
      <c r="M23" s="6" t="s">
        <v>9185</v>
      </c>
      <c r="N23" s="205" t="s">
        <v>7553</v>
      </c>
      <c r="O23" s="30" t="s">
        <v>7554</v>
      </c>
      <c r="P23" s="30" t="s">
        <v>751</v>
      </c>
      <c r="Q23" s="30" t="s">
        <v>9186</v>
      </c>
      <c r="R23" s="30" t="s">
        <v>751</v>
      </c>
      <c r="S23" s="30" t="s">
        <v>751</v>
      </c>
      <c r="T23" s="30" t="s">
        <v>751</v>
      </c>
      <c r="U23" s="30" t="s">
        <v>9187</v>
      </c>
      <c r="V23" s="6" t="s">
        <v>9188</v>
      </c>
      <c r="W23" s="6" t="s">
        <v>9189</v>
      </c>
      <c r="X23" s="32" t="n">
        <f aca="false">IF($O23="Active",SUMPRODUCT(($AH$5:$AH$127=$AH23)*1),0)</f>
        <v>1</v>
      </c>
      <c r="Y23" s="32" t="n">
        <f aca="false">IF(AND($O23="Active",OR($Q23="—",$Q23="")),1,0)</f>
        <v>0</v>
      </c>
      <c r="Z23" s="32" t="n">
        <f aca="false">IF(AND($O23="Active",$L23="利害關係方",OR($R23="—",$R23="")),1,0)</f>
        <v>1</v>
      </c>
      <c r="AH23" s="44" t="str">
        <f aca="false">IF($O23="Active",$B23&amp;"¦"&amp;$G23&amp;"¦"&amp;$H23,"")</f>
        <v>ChatGPT 消費訂閱數¦時點 2026-02-27；「超過」；消費訂閱（Plus／Pro 等）¦OpenAI ChatGPT</v>
      </c>
    </row>
    <row r="24" customFormat="false" ht="72" hidden="false" customHeight="true" outlineLevel="0" collapsed="false">
      <c r="A24" s="30" t="s">
        <v>9190</v>
      </c>
      <c r="B24" s="6" t="s">
        <v>9191</v>
      </c>
      <c r="C24" s="241" t="n">
        <v>9</v>
      </c>
      <c r="D24" s="205"/>
      <c r="E24" s="205"/>
      <c r="F24" s="205" t="s">
        <v>1441</v>
      </c>
      <c r="G24" s="205" t="s">
        <v>9192</v>
      </c>
      <c r="H24" s="30" t="s">
        <v>9182</v>
      </c>
      <c r="I24" s="30" t="s">
        <v>9183</v>
      </c>
      <c r="J24" s="6" t="s">
        <v>9184</v>
      </c>
      <c r="K24" s="205" t="n">
        <v>1</v>
      </c>
      <c r="L24" s="205" t="s">
        <v>7551</v>
      </c>
      <c r="M24" s="6" t="s">
        <v>9185</v>
      </c>
      <c r="N24" s="205" t="s">
        <v>7553</v>
      </c>
      <c r="O24" s="30" t="s">
        <v>7554</v>
      </c>
      <c r="P24" s="30" t="s">
        <v>751</v>
      </c>
      <c r="Q24" s="30" t="s">
        <v>9186</v>
      </c>
      <c r="R24" s="30" t="s">
        <v>751</v>
      </c>
      <c r="S24" s="30" t="s">
        <v>751</v>
      </c>
      <c r="T24" s="30" t="s">
        <v>751</v>
      </c>
      <c r="U24" s="30" t="s">
        <v>9187</v>
      </c>
      <c r="V24" s="243" t="s">
        <v>9193</v>
      </c>
      <c r="W24" s="6" t="s">
        <v>9194</v>
      </c>
      <c r="X24" s="32" t="n">
        <f aca="false">IF($O24="Active",SUMPRODUCT(($AH$5:$AH$127=$AH24)*1),0)</f>
        <v>1</v>
      </c>
      <c r="Y24" s="32" t="n">
        <f aca="false">IF(AND($O24="Active",OR($Q24="—",$Q24="")),1,0)</f>
        <v>0</v>
      </c>
      <c r="Z24" s="32" t="n">
        <f aca="false">IF(AND($O24="Active",$L24="利害關係方",OR($R24="—",$R24="")),1,0)</f>
        <v>1</v>
      </c>
      <c r="AH24" s="44" t="str">
        <f aca="false">IF($O24="Active",$B24&amp;"¦"&amp;$G24&amp;"¦"&amp;$H24,"")</f>
        <v>ChatGPT 付費商用用戶數¦時點 2026-02-27；「超過」；Business／Enterprise／Edu 付費用戶¦OpenAI ChatGPT</v>
      </c>
    </row>
    <row r="25" customFormat="false" ht="72" hidden="false" customHeight="true" outlineLevel="0" collapsed="false">
      <c r="A25" s="30" t="s">
        <v>9195</v>
      </c>
      <c r="B25" s="6" t="s">
        <v>9196</v>
      </c>
      <c r="C25" s="241" t="n">
        <v>1.6</v>
      </c>
      <c r="D25" s="205"/>
      <c r="E25" s="205"/>
      <c r="F25" s="205" t="s">
        <v>1441</v>
      </c>
      <c r="G25" s="205" t="s">
        <v>9197</v>
      </c>
      <c r="H25" s="30" t="s">
        <v>9198</v>
      </c>
      <c r="I25" s="30" t="s">
        <v>9183</v>
      </c>
      <c r="J25" s="6" t="s">
        <v>9184</v>
      </c>
      <c r="K25" s="205" t="n">
        <v>1</v>
      </c>
      <c r="L25" s="205" t="s">
        <v>7551</v>
      </c>
      <c r="M25" s="6" t="s">
        <v>9185</v>
      </c>
      <c r="N25" s="205" t="s">
        <v>7553</v>
      </c>
      <c r="O25" s="30" t="s">
        <v>7554</v>
      </c>
      <c r="P25" s="30" t="s">
        <v>751</v>
      </c>
      <c r="Q25" s="30" t="s">
        <v>9186</v>
      </c>
      <c r="R25" s="30" t="s">
        <v>751</v>
      </c>
      <c r="S25" s="30" t="s">
        <v>751</v>
      </c>
      <c r="T25" s="30" t="s">
        <v>751</v>
      </c>
      <c r="U25" s="30" t="s">
        <v>9187</v>
      </c>
      <c r="V25" s="243" t="s">
        <v>9193</v>
      </c>
      <c r="W25" s="6" t="s">
        <v>9199</v>
      </c>
      <c r="X25" s="32" t="n">
        <f aca="false">IF($O25="Active",SUMPRODUCT(($AH$5:$AH$127=$AH25)*1),0)</f>
        <v>1</v>
      </c>
      <c r="Y25" s="32" t="n">
        <f aca="false">IF(AND($O25="Active",OR($Q25="—",$Q25="")),1,0)</f>
        <v>0</v>
      </c>
      <c r="Z25" s="32" t="n">
        <f aca="false">IF(AND($O25="Active",$L25="利害關係方",OR($R25="—",$R25="")),1,0)</f>
        <v>1</v>
      </c>
      <c r="AH25" s="44" t="str">
        <f aca="false">IF($O25="Active",$B25&amp;"¦"&amp;$G25&amp;"¦"&amp;$H25,"")</f>
        <v>Codex 每週用戶¦時點 2026-02-27；每週活躍；含訂閱內使用與 API¦OpenAI Codex</v>
      </c>
    </row>
    <row r="26" customFormat="false" ht="72" hidden="false" customHeight="true" outlineLevel="0" collapsed="false">
      <c r="A26" s="30" t="s">
        <v>9200</v>
      </c>
      <c r="B26" s="6" t="s">
        <v>9201</v>
      </c>
      <c r="C26" s="241" t="n">
        <v>2</v>
      </c>
      <c r="D26" s="205"/>
      <c r="E26" s="205"/>
      <c r="F26" s="30" t="s">
        <v>9202</v>
      </c>
      <c r="G26" s="205" t="s">
        <v>9203</v>
      </c>
      <c r="H26" s="30" t="s">
        <v>1370</v>
      </c>
      <c r="I26" s="30" t="s">
        <v>9126</v>
      </c>
      <c r="J26" s="6" t="s">
        <v>9204</v>
      </c>
      <c r="K26" s="205" t="n">
        <v>1</v>
      </c>
      <c r="L26" s="205" t="s">
        <v>7551</v>
      </c>
      <c r="M26" s="6" t="s">
        <v>9185</v>
      </c>
      <c r="N26" s="205" t="s">
        <v>7553</v>
      </c>
      <c r="O26" s="30" t="s">
        <v>7554</v>
      </c>
      <c r="P26" s="30" t="s">
        <v>751</v>
      </c>
      <c r="Q26" s="30" t="s">
        <v>9205</v>
      </c>
      <c r="R26" s="30" t="s">
        <v>751</v>
      </c>
      <c r="S26" s="30" t="s">
        <v>751</v>
      </c>
      <c r="T26" s="30" t="s">
        <v>751</v>
      </c>
      <c r="U26" s="30" t="s">
        <v>9187</v>
      </c>
      <c r="V26" s="243" t="s">
        <v>9193</v>
      </c>
      <c r="W26" s="6" t="s">
        <v>9206</v>
      </c>
      <c r="X26" s="32" t="n">
        <f aca="false">IF($O26="Active",SUMPRODUCT(($AH$5:$AH$127=$AH26)*1),0)</f>
        <v>1</v>
      </c>
      <c r="Y26" s="32" t="n">
        <f aca="false">IF(AND($O26="Active",OR($Q26="—",$Q26="")),1,0)</f>
        <v>0</v>
      </c>
      <c r="Z26" s="32" t="n">
        <f aca="false">IF(AND($O26="Active",$L26="利害關係方",OR($R26="—",$R26="")),1,0)</f>
        <v>1</v>
      </c>
      <c r="AH26" s="44" t="str">
        <f aca="false">IF($O26="Active",$B26&amp;"¦"&amp;$G26&amp;"¦"&amp;$H26,"")</f>
        <v>OpenAI 月營收¦時點 2026-03；月營收¦OpenAI</v>
      </c>
    </row>
    <row r="27" customFormat="false" ht="72" hidden="false" customHeight="true" outlineLevel="0" collapsed="false">
      <c r="A27" s="30" t="s">
        <v>6327</v>
      </c>
      <c r="B27" s="6" t="s">
        <v>9207</v>
      </c>
      <c r="C27" s="241" t="n">
        <v>0.4</v>
      </c>
      <c r="D27" s="205"/>
      <c r="E27" s="205"/>
      <c r="F27" s="30" t="s">
        <v>113</v>
      </c>
      <c r="G27" s="205" t="s">
        <v>9208</v>
      </c>
      <c r="H27" s="30" t="s">
        <v>1370</v>
      </c>
      <c r="I27" s="30" t="s">
        <v>9126</v>
      </c>
      <c r="J27" s="6" t="s">
        <v>9204</v>
      </c>
      <c r="K27" s="205" t="n">
        <v>1</v>
      </c>
      <c r="L27" s="205" t="s">
        <v>7551</v>
      </c>
      <c r="M27" s="6" t="s">
        <v>9185</v>
      </c>
      <c r="N27" s="205" t="s">
        <v>7553</v>
      </c>
      <c r="O27" s="30" t="s">
        <v>7554</v>
      </c>
      <c r="P27" s="30" t="s">
        <v>751</v>
      </c>
      <c r="Q27" s="30" t="s">
        <v>9205</v>
      </c>
      <c r="R27" s="30" t="s">
        <v>751</v>
      </c>
      <c r="S27" s="30" t="s">
        <v>751</v>
      </c>
      <c r="T27" s="30" t="s">
        <v>751</v>
      </c>
      <c r="U27" s="30" t="s">
        <v>9187</v>
      </c>
      <c r="V27" s="243" t="s">
        <v>9193</v>
      </c>
      <c r="W27" s="6" t="s">
        <v>9209</v>
      </c>
      <c r="X27" s="32" t="n">
        <f aca="false">IF($O27="Active",SUMPRODUCT(($AH$5:$AH$127=$AH27)*1),0)</f>
        <v>1</v>
      </c>
      <c r="Y27" s="32" t="n">
        <f aca="false">IF(AND($O27="Active",OR($Q27="—",$Q27="")),1,0)</f>
        <v>0</v>
      </c>
      <c r="Z27" s="32" t="n">
        <f aca="false">IF(AND($O27="Active",$L27="利害關係方",OR($R27="—",$R27="")),1,0)</f>
        <v>1</v>
      </c>
      <c r="AH27" s="44" t="str">
        <f aca="false">IF($O27="Active",$B27&amp;"¦"&amp;$G27&amp;"¦"&amp;$H27,"")</f>
        <v>OpenAI 營收中「企業」占比¦時點 2026-03；「超過」；「企業」口徑未定義（可能含商用席次＋API）¦OpenAI</v>
      </c>
    </row>
    <row r="28" customFormat="false" ht="72" hidden="false" customHeight="true" outlineLevel="0" collapsed="false">
      <c r="A28" s="30" t="s">
        <v>1442</v>
      </c>
      <c r="B28" s="6" t="s">
        <v>9180</v>
      </c>
      <c r="C28" s="241" t="n">
        <v>15.5</v>
      </c>
      <c r="D28" s="205"/>
      <c r="E28" s="205"/>
      <c r="F28" s="205" t="s">
        <v>1441</v>
      </c>
      <c r="G28" s="205" t="s">
        <v>9210</v>
      </c>
      <c r="H28" s="30" t="s">
        <v>9182</v>
      </c>
      <c r="I28" s="30" t="s">
        <v>9211</v>
      </c>
      <c r="J28" s="6" t="s">
        <v>9212</v>
      </c>
      <c r="K28" s="205" t="n">
        <v>2</v>
      </c>
      <c r="L28" s="205" t="s">
        <v>7551</v>
      </c>
      <c r="M28" s="6" t="s">
        <v>9213</v>
      </c>
      <c r="N28" s="205" t="s">
        <v>7564</v>
      </c>
      <c r="O28" s="30" t="s">
        <v>7554</v>
      </c>
      <c r="P28" s="30" t="s">
        <v>751</v>
      </c>
      <c r="Q28" s="30" t="s">
        <v>9214</v>
      </c>
      <c r="R28" s="30" t="s">
        <v>751</v>
      </c>
      <c r="S28" s="30" t="s">
        <v>751</v>
      </c>
      <c r="T28" s="30" t="s">
        <v>751</v>
      </c>
      <c r="U28" s="30" t="s">
        <v>9187</v>
      </c>
      <c r="V28" s="6" t="s">
        <v>9215</v>
      </c>
      <c r="W28" s="6" t="s">
        <v>9216</v>
      </c>
      <c r="X28" s="32" t="n">
        <f aca="false">IF($O28="Active",SUMPRODUCT(($AH$5:$AH$127=$AH28)*1),0)</f>
        <v>1</v>
      </c>
      <c r="Y28" s="32" t="n">
        <f aca="false">IF(AND($O28="Active",OR($Q28="—",$Q28="")),1,0)</f>
        <v>0</v>
      </c>
      <c r="Z28" s="32" t="n">
        <f aca="false">IF(AND($O28="Active",$L28="利害關係方",OR($R28="—",$R28="")),1,0)</f>
        <v>1</v>
      </c>
      <c r="AH28" s="44" t="str">
        <f aca="false">IF($O28="Active",$B28&amp;"¦"&amp;$G28&amp;"¦"&amp;$H28,"")</f>
        <v>ChatGPT 消費訂閱數¦時點 2025-01；消費訂閱（Plus＋Pro）¦OpenAI ChatGPT</v>
      </c>
    </row>
    <row r="29" customFormat="false" ht="72" hidden="false" customHeight="true" outlineLevel="0" collapsed="false">
      <c r="A29" s="30" t="s">
        <v>1444</v>
      </c>
      <c r="B29" s="6" t="s">
        <v>9180</v>
      </c>
      <c r="C29" s="241" t="n">
        <v>20</v>
      </c>
      <c r="D29" s="205"/>
      <c r="E29" s="205"/>
      <c r="F29" s="205" t="s">
        <v>1441</v>
      </c>
      <c r="G29" s="205" t="s">
        <v>9217</v>
      </c>
      <c r="H29" s="30" t="s">
        <v>9182</v>
      </c>
      <c r="I29" s="30" t="s">
        <v>9211</v>
      </c>
      <c r="J29" s="6" t="s">
        <v>9218</v>
      </c>
      <c r="K29" s="205" t="n">
        <v>2</v>
      </c>
      <c r="L29" s="205" t="s">
        <v>7551</v>
      </c>
      <c r="M29" s="6" t="s">
        <v>9213</v>
      </c>
      <c r="N29" s="205" t="s">
        <v>7564</v>
      </c>
      <c r="O29" s="30" t="s">
        <v>7554</v>
      </c>
      <c r="P29" s="30" t="s">
        <v>751</v>
      </c>
      <c r="Q29" s="30" t="s">
        <v>9214</v>
      </c>
      <c r="R29" s="30" t="s">
        <v>751</v>
      </c>
      <c r="S29" s="30" t="s">
        <v>751</v>
      </c>
      <c r="T29" s="30" t="s">
        <v>751</v>
      </c>
      <c r="U29" s="30" t="s">
        <v>9187</v>
      </c>
      <c r="V29" s="6" t="s">
        <v>9219</v>
      </c>
      <c r="W29" s="6" t="s">
        <v>9220</v>
      </c>
      <c r="X29" s="32" t="n">
        <f aca="false">IF($O29="Active",SUMPRODUCT(($AH$5:$AH$127=$AH29)*1),0)</f>
        <v>1</v>
      </c>
      <c r="Y29" s="32" t="n">
        <f aca="false">IF(AND($O29="Active",OR($Q29="—",$Q29="")),1,0)</f>
        <v>0</v>
      </c>
      <c r="Z29" s="32" t="n">
        <f aca="false">IF(AND($O29="Active",$L29="利害關係方",OR($R29="—",$R29="")),1,0)</f>
        <v>1</v>
      </c>
      <c r="AH29" s="44" t="str">
        <f aca="false">IF($O29="Active",$B29&amp;"¦"&amp;$G29&amp;"¦"&amp;$H29,"")</f>
        <v>ChatGPT 消費訂閱數¦時點 2025-03／04；「超過」；消費訂閱¦OpenAI ChatGPT</v>
      </c>
    </row>
    <row r="30" customFormat="false" ht="57.75" hidden="false" customHeight="true" outlineLevel="0" collapsed="false">
      <c r="A30" s="30" t="s">
        <v>1446</v>
      </c>
      <c r="B30" s="6" t="s">
        <v>9180</v>
      </c>
      <c r="C30" s="241" t="n">
        <v>35</v>
      </c>
      <c r="D30" s="205"/>
      <c r="E30" s="205"/>
      <c r="F30" s="205" t="s">
        <v>1441</v>
      </c>
      <c r="G30" s="205" t="s">
        <v>9221</v>
      </c>
      <c r="H30" s="30" t="s">
        <v>9182</v>
      </c>
      <c r="I30" s="30" t="s">
        <v>9222</v>
      </c>
      <c r="J30" s="6" t="s">
        <v>9223</v>
      </c>
      <c r="K30" s="205" t="n">
        <v>2</v>
      </c>
      <c r="L30" s="205" t="s">
        <v>7551</v>
      </c>
      <c r="M30" s="6" t="s">
        <v>9224</v>
      </c>
      <c r="N30" s="205" t="s">
        <v>7564</v>
      </c>
      <c r="O30" s="30" t="s">
        <v>7554</v>
      </c>
      <c r="P30" s="30" t="s">
        <v>751</v>
      </c>
      <c r="Q30" s="30" t="s">
        <v>9225</v>
      </c>
      <c r="R30" s="30" t="s">
        <v>751</v>
      </c>
      <c r="S30" s="30" t="s">
        <v>751</v>
      </c>
      <c r="T30" s="30" t="s">
        <v>751</v>
      </c>
      <c r="U30" s="30" t="s">
        <v>9187</v>
      </c>
      <c r="V30" s="6" t="s">
        <v>9219</v>
      </c>
      <c r="W30" s="6" t="s">
        <v>9226</v>
      </c>
      <c r="X30" s="32" t="n">
        <f aca="false">IF($O30="Active",SUMPRODUCT(($AH$5:$AH$127=$AH30)*1),0)</f>
        <v>1</v>
      </c>
      <c r="Y30" s="32" t="n">
        <f aca="false">IF(AND($O30="Active",OR($Q30="—",$Q30="")),1,0)</f>
        <v>0</v>
      </c>
      <c r="Z30" s="32" t="n">
        <f aca="false">IF(AND($O30="Active",$L30="利害關係方",OR($R30="—",$R30="")),1,0)</f>
        <v>1</v>
      </c>
      <c r="AH30" s="44" t="str">
        <f aca="false">IF($O30="Active",$B30&amp;"¦"&amp;$G30&amp;"¦"&amp;$H30,"")</f>
        <v>ChatGPT 消費訂閱數¦時點 2025-07；消費訂閱（Plus 或 Pro）¦OpenAI ChatGPT</v>
      </c>
    </row>
    <row r="31" customFormat="false" ht="72" hidden="false" customHeight="true" outlineLevel="0" collapsed="false">
      <c r="A31" s="30" t="s">
        <v>9227</v>
      </c>
      <c r="B31" s="6" t="s">
        <v>9191</v>
      </c>
      <c r="C31" s="241" t="n">
        <v>2</v>
      </c>
      <c r="D31" s="205"/>
      <c r="E31" s="205"/>
      <c r="F31" s="205" t="s">
        <v>1441</v>
      </c>
      <c r="G31" s="205" t="s">
        <v>9228</v>
      </c>
      <c r="H31" s="30" t="s">
        <v>9182</v>
      </c>
      <c r="I31" s="30" t="s">
        <v>9229</v>
      </c>
      <c r="J31" s="6" t="s">
        <v>9230</v>
      </c>
      <c r="K31" s="205" t="n">
        <v>2</v>
      </c>
      <c r="L31" s="205" t="s">
        <v>7551</v>
      </c>
      <c r="M31" s="6" t="s">
        <v>9231</v>
      </c>
      <c r="N31" s="205" t="s">
        <v>7564</v>
      </c>
      <c r="O31" s="30" t="s">
        <v>7554</v>
      </c>
      <c r="P31" s="30" t="s">
        <v>751</v>
      </c>
      <c r="Q31" s="30" t="s">
        <v>9232</v>
      </c>
      <c r="R31" s="30" t="s">
        <v>751</v>
      </c>
      <c r="S31" s="30" t="s">
        <v>751</v>
      </c>
      <c r="T31" s="30" t="s">
        <v>751</v>
      </c>
      <c r="U31" s="30" t="s">
        <v>9187</v>
      </c>
      <c r="V31" s="243" t="s">
        <v>9193</v>
      </c>
      <c r="W31" s="6" t="s">
        <v>9233</v>
      </c>
      <c r="X31" s="32" t="n">
        <f aca="false">IF($O31="Active",SUMPRODUCT(($AH$5:$AH$127=$AH31)*1),0)</f>
        <v>1</v>
      </c>
      <c r="Y31" s="32" t="n">
        <f aca="false">IF(AND($O31="Active",OR($Q31="—",$Q31="")),1,0)</f>
        <v>0</v>
      </c>
      <c r="Z31" s="32" t="n">
        <f aca="false">IF(AND($O31="Active",$L31="利害關係方",OR($R31="—",$R31="")),1,0)</f>
        <v>1</v>
      </c>
      <c r="AH31" s="44" t="str">
        <f aca="false">IF($O31="Active",$B31&amp;"¦"&amp;$G31&amp;"¦"&amp;$H31,"")</f>
        <v>ChatGPT 付費商用用戶數¦時點 2025-02¦OpenAI ChatGPT</v>
      </c>
    </row>
    <row r="32" customFormat="false" ht="96.75" hidden="false" customHeight="true" outlineLevel="0" collapsed="false">
      <c r="A32" s="30" t="s">
        <v>9234</v>
      </c>
      <c r="B32" s="6" t="s">
        <v>9191</v>
      </c>
      <c r="C32" s="241" t="n">
        <v>3</v>
      </c>
      <c r="D32" s="205"/>
      <c r="E32" s="205"/>
      <c r="F32" s="205" t="s">
        <v>1441</v>
      </c>
      <c r="G32" s="205" t="s">
        <v>9235</v>
      </c>
      <c r="H32" s="30" t="s">
        <v>9182</v>
      </c>
      <c r="I32" s="30" t="s">
        <v>9236</v>
      </c>
      <c r="J32" s="6" t="s">
        <v>9237</v>
      </c>
      <c r="K32" s="205" t="n">
        <v>2</v>
      </c>
      <c r="L32" s="205" t="s">
        <v>7551</v>
      </c>
      <c r="M32" s="6" t="s">
        <v>9238</v>
      </c>
      <c r="N32" s="205" t="s">
        <v>7564</v>
      </c>
      <c r="O32" s="30" t="s">
        <v>7554</v>
      </c>
      <c r="P32" s="30" t="s">
        <v>751</v>
      </c>
      <c r="Q32" s="30" t="s">
        <v>9232</v>
      </c>
      <c r="R32" s="30" t="s">
        <v>751</v>
      </c>
      <c r="S32" s="30" t="s">
        <v>751</v>
      </c>
      <c r="T32" s="30" t="s">
        <v>751</v>
      </c>
      <c r="U32" s="30" t="s">
        <v>9187</v>
      </c>
      <c r="V32" s="243" t="s">
        <v>9193</v>
      </c>
      <c r="W32" s="6" t="s">
        <v>9239</v>
      </c>
      <c r="X32" s="32" t="n">
        <f aca="false">IF($O32="Active",SUMPRODUCT(($AH$5:$AH$127=$AH32)*1),0)</f>
        <v>1</v>
      </c>
      <c r="Y32" s="32" t="n">
        <f aca="false">IF(AND($O32="Active",OR($Q32="—",$Q32="")),1,0)</f>
        <v>0</v>
      </c>
      <c r="Z32" s="32" t="n">
        <f aca="false">IF(AND($O32="Active",$L32="利害關係方",OR($R32="—",$R32="")),1,0)</f>
        <v>1</v>
      </c>
      <c r="AH32" s="44" t="str">
        <f aca="false">IF($O32="Active",$B32&amp;"¦"&amp;$G32&amp;"¦"&amp;$H32,"")</f>
        <v>ChatGPT 付費商用用戶數¦時點 2025-06¦OpenAI ChatGPT</v>
      </c>
    </row>
    <row r="33" customFormat="false" ht="57.75" hidden="false" customHeight="true" outlineLevel="0" collapsed="false">
      <c r="A33" s="30" t="s">
        <v>9240</v>
      </c>
      <c r="B33" s="6" t="s">
        <v>9191</v>
      </c>
      <c r="C33" s="241" t="n">
        <v>5</v>
      </c>
      <c r="D33" s="205"/>
      <c r="E33" s="205"/>
      <c r="F33" s="205" t="s">
        <v>1441</v>
      </c>
      <c r="G33" s="205" t="s">
        <v>9241</v>
      </c>
      <c r="H33" s="30" t="s">
        <v>9182</v>
      </c>
      <c r="I33" s="30" t="s">
        <v>7965</v>
      </c>
      <c r="J33" s="6" t="s">
        <v>9242</v>
      </c>
      <c r="K33" s="205" t="n">
        <v>2</v>
      </c>
      <c r="L33" s="205" t="s">
        <v>7551</v>
      </c>
      <c r="M33" s="6" t="s">
        <v>9243</v>
      </c>
      <c r="N33" s="205" t="s">
        <v>7564</v>
      </c>
      <c r="O33" s="30" t="s">
        <v>7554</v>
      </c>
      <c r="P33" s="30" t="s">
        <v>751</v>
      </c>
      <c r="Q33" s="30" t="s">
        <v>9232</v>
      </c>
      <c r="R33" s="30" t="s">
        <v>751</v>
      </c>
      <c r="S33" s="30" t="s">
        <v>751</v>
      </c>
      <c r="T33" s="30" t="s">
        <v>751</v>
      </c>
      <c r="U33" s="30" t="s">
        <v>9187</v>
      </c>
      <c r="V33" s="243" t="s">
        <v>9193</v>
      </c>
      <c r="W33" s="6" t="s">
        <v>9244</v>
      </c>
      <c r="X33" s="32" t="n">
        <f aca="false">IF($O33="Active",SUMPRODUCT(($AH$5:$AH$127=$AH33)*1),0)</f>
        <v>1</v>
      </c>
      <c r="Y33" s="32" t="n">
        <f aca="false">IF(AND($O33="Active",OR($Q33="—",$Q33="")),1,0)</f>
        <v>0</v>
      </c>
      <c r="Z33" s="32" t="n">
        <f aca="false">IF(AND($O33="Active",$L33="利害關係方",OR($R33="—",$R33="")),1,0)</f>
        <v>1</v>
      </c>
      <c r="AH33" s="44" t="str">
        <f aca="false">IF($O33="Active",$B33&amp;"¦"&amp;$G33&amp;"¦"&amp;$H33,"")</f>
        <v>ChatGPT 付費商用用戶數¦時點 2025-08¦OpenAI ChatGPT</v>
      </c>
    </row>
    <row r="34" customFormat="false" ht="57.75" hidden="false" customHeight="true" outlineLevel="0" collapsed="false">
      <c r="A34" s="30" t="s">
        <v>9245</v>
      </c>
      <c r="B34" s="6" t="s">
        <v>9246</v>
      </c>
      <c r="C34" s="241" t="n">
        <v>7</v>
      </c>
      <c r="D34" s="205"/>
      <c r="E34" s="205"/>
      <c r="F34" s="205" t="s">
        <v>1441</v>
      </c>
      <c r="G34" s="205" t="s">
        <v>9247</v>
      </c>
      <c r="H34" s="30" t="s">
        <v>9182</v>
      </c>
      <c r="I34" s="30" t="s">
        <v>9248</v>
      </c>
      <c r="J34" s="6" t="s">
        <v>9249</v>
      </c>
      <c r="K34" s="205" t="n">
        <v>1</v>
      </c>
      <c r="L34" s="205" t="s">
        <v>7551</v>
      </c>
      <c r="M34" s="6" t="s">
        <v>9185</v>
      </c>
      <c r="N34" s="205" t="s">
        <v>7553</v>
      </c>
      <c r="O34" s="30" t="s">
        <v>7554</v>
      </c>
      <c r="P34" s="30" t="s">
        <v>751</v>
      </c>
      <c r="Q34" s="30" t="s">
        <v>9232</v>
      </c>
      <c r="R34" s="30" t="s">
        <v>751</v>
      </c>
      <c r="S34" s="30" t="s">
        <v>751</v>
      </c>
      <c r="T34" s="30" t="s">
        <v>751</v>
      </c>
      <c r="U34" s="30" t="s">
        <v>9187</v>
      </c>
      <c r="V34" s="243" t="s">
        <v>9193</v>
      </c>
      <c r="W34" s="6" t="s">
        <v>9250</v>
      </c>
      <c r="X34" s="32" t="n">
        <f aca="false">IF($O34="Active",SUMPRODUCT(($AH$5:$AH$127=$AH34)*1),0)</f>
        <v>1</v>
      </c>
      <c r="Y34" s="32" t="n">
        <f aca="false">IF(AND($O34="Active",OR($Q34="—",$Q34="")),1,0)</f>
        <v>0</v>
      </c>
      <c r="Z34" s="32" t="n">
        <f aca="false">IF(AND($O34="Active",$L34="利害關係方",OR($R34="—",$R34="")),1,0)</f>
        <v>1</v>
      </c>
      <c r="AH34" s="44" t="str">
        <f aca="false">IF($O34="Active",$B34&amp;"¦"&amp;$G34&amp;"¦"&amp;$H34,"")</f>
        <v>ChatGPT for Work 席次¦時點 2025-11-05；「超過」；席次（非用戶；口徑與前後點不同）¦OpenAI ChatGPT</v>
      </c>
    </row>
    <row r="35" customFormat="false" ht="72" hidden="false" customHeight="true" outlineLevel="0" collapsed="false">
      <c r="A35" s="30" t="s">
        <v>9251</v>
      </c>
      <c r="B35" s="6" t="s">
        <v>9252</v>
      </c>
      <c r="C35" s="241" t="n">
        <v>4</v>
      </c>
      <c r="D35" s="205"/>
      <c r="E35" s="205"/>
      <c r="F35" s="205" t="s">
        <v>1441</v>
      </c>
      <c r="G35" s="205" t="s">
        <v>9253</v>
      </c>
      <c r="H35" s="30" t="s">
        <v>9254</v>
      </c>
      <c r="I35" s="30" t="s">
        <v>9118</v>
      </c>
      <c r="J35" s="6" t="s">
        <v>9255</v>
      </c>
      <c r="K35" s="205" t="n">
        <v>2</v>
      </c>
      <c r="L35" s="205" t="s">
        <v>7551</v>
      </c>
      <c r="M35" s="6" t="s">
        <v>9256</v>
      </c>
      <c r="N35" s="205" t="s">
        <v>7564</v>
      </c>
      <c r="O35" s="30" t="s">
        <v>7554</v>
      </c>
      <c r="P35" s="30" t="s">
        <v>751</v>
      </c>
      <c r="Q35" s="30" t="s">
        <v>9257</v>
      </c>
      <c r="R35" s="30" t="s">
        <v>751</v>
      </c>
      <c r="S35" s="30" t="s">
        <v>751</v>
      </c>
      <c r="T35" s="30" t="s">
        <v>751</v>
      </c>
      <c r="U35" s="30" t="s">
        <v>9187</v>
      </c>
      <c r="V35" s="243" t="s">
        <v>9258</v>
      </c>
      <c r="W35" s="6" t="s">
        <v>9259</v>
      </c>
      <c r="X35" s="32" t="n">
        <f aca="false">IF($O35="Active",SUMPRODUCT(($AH$5:$AH$127=$AH35)*1),0)</f>
        <v>1</v>
      </c>
      <c r="Y35" s="32" t="n">
        <f aca="false">IF(AND($O35="Active",OR($Q35="—",$Q35="")),1,0)</f>
        <v>0</v>
      </c>
      <c r="Z35" s="32" t="n">
        <f aca="false">IF(AND($O35="Active",$L35="利害關係方",OR($R35="—",$R35="")),1,0)</f>
        <v>1</v>
      </c>
      <c r="AH35" s="44" t="str">
        <f aca="false">IF($O35="Active",$B35&amp;"¦"&amp;$G35&amp;"¦"&amp;$H35,"")</f>
        <v>OpenAI 平台開發者數¦時點 2025-10-06；開發者（非付費 API 組織）¦OpenAI API</v>
      </c>
    </row>
    <row r="36" customFormat="false" ht="57.75" hidden="false" customHeight="true" outlineLevel="0" collapsed="false">
      <c r="A36" s="30" t="s">
        <v>9260</v>
      </c>
      <c r="B36" s="6" t="s">
        <v>9261</v>
      </c>
      <c r="C36" s="241" t="n">
        <v>300000</v>
      </c>
      <c r="D36" s="205"/>
      <c r="E36" s="205"/>
      <c r="F36" s="205" t="s">
        <v>9262</v>
      </c>
      <c r="G36" s="205" t="s">
        <v>9263</v>
      </c>
      <c r="H36" s="30" t="s">
        <v>1381</v>
      </c>
      <c r="I36" s="30" t="s">
        <v>9264</v>
      </c>
      <c r="J36" s="6" t="s">
        <v>9265</v>
      </c>
      <c r="K36" s="205" t="n">
        <v>1</v>
      </c>
      <c r="L36" s="205" t="s">
        <v>7551</v>
      </c>
      <c r="M36" s="6" t="s">
        <v>9266</v>
      </c>
      <c r="N36" s="205" t="s">
        <v>7553</v>
      </c>
      <c r="O36" s="30" t="s">
        <v>7554</v>
      </c>
      <c r="P36" s="30" t="s">
        <v>751</v>
      </c>
      <c r="Q36" s="30" t="s">
        <v>9267</v>
      </c>
      <c r="R36" s="30" t="s">
        <v>751</v>
      </c>
      <c r="S36" s="30" t="s">
        <v>751</v>
      </c>
      <c r="T36" s="30" t="s">
        <v>751</v>
      </c>
      <c r="U36" s="30" t="s">
        <v>9187</v>
      </c>
      <c r="V36" s="243" t="s">
        <v>9268</v>
      </c>
      <c r="W36" s="6" t="s">
        <v>9269</v>
      </c>
      <c r="X36" s="32" t="n">
        <f aca="false">IF($O36="Active",SUMPRODUCT(($AH$5:$AH$127=$AH36)*1),0)</f>
        <v>1</v>
      </c>
      <c r="Y36" s="32" t="n">
        <f aca="false">IF(AND($O36="Active",OR($Q36="—",$Q36="")),1,0)</f>
        <v>0</v>
      </c>
      <c r="Z36" s="32" t="n">
        <f aca="false">IF(AND($O36="Active",$L36="利害關係方",OR($R36="—",$R36="")),1,0)</f>
        <v>1</v>
      </c>
      <c r="AH36" s="44" t="str">
        <f aca="false">IF($O36="Active",$B36&amp;"¦"&amp;$G36&amp;"¦"&amp;$H36,"")</f>
        <v>Anthropic 商用客戶數¦時點 2025-08／09；「超過」；家（非席次）¦Anthropic</v>
      </c>
    </row>
    <row r="37" customFormat="false" ht="72" hidden="false" customHeight="true" outlineLevel="0" collapsed="false">
      <c r="A37" s="30" t="s">
        <v>9270</v>
      </c>
      <c r="B37" s="6" t="s">
        <v>9271</v>
      </c>
      <c r="C37" s="241" t="n">
        <v>500</v>
      </c>
      <c r="D37" s="205"/>
      <c r="E37" s="205"/>
      <c r="F37" s="205" t="s">
        <v>9262</v>
      </c>
      <c r="G37" s="205" t="s">
        <v>9272</v>
      </c>
      <c r="H37" s="30" t="s">
        <v>1381</v>
      </c>
      <c r="I37" s="30" t="s">
        <v>9273</v>
      </c>
      <c r="J37" s="6" t="s">
        <v>9274</v>
      </c>
      <c r="K37" s="205" t="n">
        <v>1</v>
      </c>
      <c r="L37" s="205" t="s">
        <v>7551</v>
      </c>
      <c r="M37" s="6" t="s">
        <v>9266</v>
      </c>
      <c r="N37" s="205" t="s">
        <v>7553</v>
      </c>
      <c r="O37" s="30" t="s">
        <v>7554</v>
      </c>
      <c r="P37" s="30" t="s">
        <v>751</v>
      </c>
      <c r="Q37" s="30" t="s">
        <v>9267</v>
      </c>
      <c r="R37" s="30" t="s">
        <v>751</v>
      </c>
      <c r="S37" s="30" t="s">
        <v>751</v>
      </c>
      <c r="T37" s="30" t="s">
        <v>751</v>
      </c>
      <c r="U37" s="30" t="s">
        <v>9187</v>
      </c>
      <c r="V37" s="243" t="s">
        <v>9275</v>
      </c>
      <c r="W37" s="6" t="s">
        <v>9276</v>
      </c>
      <c r="X37" s="32" t="n">
        <f aca="false">IF($O37="Active",SUMPRODUCT(($AH$5:$AH$127=$AH37)*1),0)</f>
        <v>1</v>
      </c>
      <c r="Y37" s="32" t="n">
        <f aca="false">IF(AND($O37="Active",OR($Q37="—",$Q37="")),1,0)</f>
        <v>0</v>
      </c>
      <c r="Z37" s="32" t="n">
        <f aca="false">IF(AND($O37="Active",$L37="利害關係方",OR($R37="—",$R37="")),1,0)</f>
        <v>1</v>
      </c>
      <c r="AH37" s="44" t="str">
        <f aca="false">IF($O37="Active",$B37&amp;"¦"&amp;$G37&amp;"¦"&amp;$H37,"")</f>
        <v>Anthropic 年付超過 $1M 客戶數¦時點 2026-02-12；「超過」¦Anthropic</v>
      </c>
    </row>
    <row r="38" customFormat="false" ht="66" hidden="false" customHeight="true" outlineLevel="0" collapsed="false">
      <c r="A38" s="30" t="s">
        <v>9277</v>
      </c>
      <c r="B38" s="6" t="s">
        <v>9278</v>
      </c>
      <c r="C38" s="241" t="n">
        <v>3.8</v>
      </c>
      <c r="D38" s="205"/>
      <c r="E38" s="205"/>
      <c r="F38" s="30" t="s">
        <v>1023</v>
      </c>
      <c r="G38" s="30" t="s">
        <v>9279</v>
      </c>
      <c r="H38" s="30" t="s">
        <v>1381</v>
      </c>
      <c r="I38" s="30" t="s">
        <v>8562</v>
      </c>
      <c r="J38" s="6" t="s">
        <v>9280</v>
      </c>
      <c r="K38" s="205" t="n">
        <v>2</v>
      </c>
      <c r="L38" s="205" t="s">
        <v>7551</v>
      </c>
      <c r="M38" s="6" t="s">
        <v>9281</v>
      </c>
      <c r="N38" s="205" t="s">
        <v>7564</v>
      </c>
      <c r="O38" s="30" t="s">
        <v>7554</v>
      </c>
      <c r="P38" s="30" t="s">
        <v>751</v>
      </c>
      <c r="Q38" s="30" t="s">
        <v>9282</v>
      </c>
      <c r="R38" s="30" t="s">
        <v>751</v>
      </c>
      <c r="S38" s="30" t="s">
        <v>751</v>
      </c>
      <c r="T38" s="30" t="s">
        <v>751</v>
      </c>
      <c r="U38" s="30" t="s">
        <v>9187</v>
      </c>
      <c r="V38" s="243" t="s">
        <v>9283</v>
      </c>
      <c r="W38" s="6" t="s">
        <v>9284</v>
      </c>
      <c r="X38" s="32" t="n">
        <f aca="false">IF($O38="Active",SUMPRODUCT(($AH$5:$AH$127=$AH38)*1),0)</f>
        <v>1</v>
      </c>
      <c r="Y38" s="32" t="n">
        <f aca="false">IF(AND($O38="Active",OR($Q38="—",$Q38="")),1,0)</f>
        <v>0</v>
      </c>
      <c r="Z38" s="32" t="n">
        <f aca="false">IF(AND($O38="Active",$L38="利害關係方",OR($R38="—",$R38="")),1,0)</f>
        <v>1</v>
      </c>
      <c r="AH38" s="44" t="str">
        <f aca="false">IF($O38="Active",$B38&amp;"¦"&amp;$G38&amp;"¦"&amp;$H38,"")</f>
        <v>Anthropic 2025 用量計費營收¦2025 年度；用量計費（API 等）¦Anthropic</v>
      </c>
    </row>
    <row r="39" customFormat="false" ht="66" hidden="false" customHeight="true" outlineLevel="0" collapsed="false">
      <c r="A39" s="30" t="s">
        <v>9285</v>
      </c>
      <c r="B39" s="6" t="s">
        <v>9286</v>
      </c>
      <c r="C39" s="241" t="n">
        <v>0.789</v>
      </c>
      <c r="D39" s="205"/>
      <c r="E39" s="205"/>
      <c r="F39" s="30" t="s">
        <v>1023</v>
      </c>
      <c r="G39" s="30" t="s">
        <v>9287</v>
      </c>
      <c r="H39" s="30" t="s">
        <v>1381</v>
      </c>
      <c r="I39" s="30" t="s">
        <v>8562</v>
      </c>
      <c r="J39" s="6" t="s">
        <v>9280</v>
      </c>
      <c r="K39" s="205" t="n">
        <v>2</v>
      </c>
      <c r="L39" s="205" t="s">
        <v>7551</v>
      </c>
      <c r="M39" s="6" t="s">
        <v>9281</v>
      </c>
      <c r="N39" s="205" t="s">
        <v>7564</v>
      </c>
      <c r="O39" s="30" t="s">
        <v>7554</v>
      </c>
      <c r="P39" s="30" t="s">
        <v>751</v>
      </c>
      <c r="Q39" s="30" t="s">
        <v>9282</v>
      </c>
      <c r="R39" s="30" t="s">
        <v>751</v>
      </c>
      <c r="S39" s="30" t="s">
        <v>751</v>
      </c>
      <c r="T39" s="30" t="s">
        <v>751</v>
      </c>
      <c r="U39" s="30" t="s">
        <v>9187</v>
      </c>
      <c r="V39" s="243" t="s">
        <v>9288</v>
      </c>
      <c r="W39" s="6" t="s">
        <v>9284</v>
      </c>
      <c r="X39" s="32" t="n">
        <f aca="false">IF($O39="Active",SUMPRODUCT(($AH$5:$AH$127=$AH39)*1),0)</f>
        <v>1</v>
      </c>
      <c r="Y39" s="32" t="n">
        <f aca="false">IF(AND($O39="Active",OR($Q39="—",$Q39="")),1,0)</f>
        <v>0</v>
      </c>
      <c r="Z39" s="32" t="n">
        <f aca="false">IF(AND($O39="Active",$L39="利害關係方",OR($R39="—",$R39="")),1,0)</f>
        <v>1</v>
      </c>
      <c r="AH39" s="44" t="str">
        <f aca="false">IF($O39="Active",$B39&amp;"¦"&amp;$G39&amp;"¦"&amp;$H39,"")</f>
        <v>Anthropic 2025 訂閱營收¦2025 年度；訂閱（占約 17%）¦Anthropic</v>
      </c>
    </row>
    <row r="40" customFormat="false" ht="66" hidden="false" customHeight="true" outlineLevel="0" collapsed="false">
      <c r="A40" s="30" t="s">
        <v>9289</v>
      </c>
      <c r="B40" s="6" t="s">
        <v>9290</v>
      </c>
      <c r="C40" s="241" t="n">
        <v>2.16</v>
      </c>
      <c r="D40" s="205"/>
      <c r="E40" s="205"/>
      <c r="F40" s="30" t="s">
        <v>1023</v>
      </c>
      <c r="G40" s="30" t="s">
        <v>9291</v>
      </c>
      <c r="H40" s="30" t="s">
        <v>1381</v>
      </c>
      <c r="I40" s="30" t="s">
        <v>8562</v>
      </c>
      <c r="J40" s="6" t="s">
        <v>9280</v>
      </c>
      <c r="K40" s="205" t="n">
        <v>2</v>
      </c>
      <c r="L40" s="205" t="s">
        <v>7551</v>
      </c>
      <c r="M40" s="6" t="s">
        <v>9281</v>
      </c>
      <c r="N40" s="205" t="s">
        <v>7564</v>
      </c>
      <c r="O40" s="30" t="s">
        <v>7554</v>
      </c>
      <c r="P40" s="30" t="s">
        <v>751</v>
      </c>
      <c r="Q40" s="30" t="s">
        <v>9282</v>
      </c>
      <c r="R40" s="30" t="s">
        <v>751</v>
      </c>
      <c r="S40" s="30" t="s">
        <v>751</v>
      </c>
      <c r="T40" s="30" t="s">
        <v>751</v>
      </c>
      <c r="U40" s="30" t="s">
        <v>9187</v>
      </c>
      <c r="V40" s="243" t="s">
        <v>9288</v>
      </c>
      <c r="W40" s="6" t="s">
        <v>9284</v>
      </c>
      <c r="X40" s="32" t="n">
        <f aca="false">IF($O40="Active",SUMPRODUCT(($AH$5:$AH$127=$AH40)*1),0)</f>
        <v>1</v>
      </c>
      <c r="Y40" s="32" t="n">
        <f aca="false">IF(AND($O40="Active",OR($Q40="—",$Q40="")),1,0)</f>
        <v>0</v>
      </c>
      <c r="Z40" s="32" t="n">
        <f aca="false">IF(AND($O40="Active",$L40="利害關係方",OR($R40="—",$R40="")),1,0)</f>
        <v>1</v>
      </c>
      <c r="AH40" s="44" t="str">
        <f aca="false">IF($O40="Active",$B40&amp;"¦"&amp;$G40&amp;"¦"&amp;$H40,"")</f>
        <v>Anthropic 2025 經雲端市集營收（AWS、Google）¦2025 年度；雲端市集（占約 47%；營收為總額）¦Anthropic</v>
      </c>
    </row>
    <row r="41" customFormat="false" ht="80.25" hidden="false" customHeight="true" outlineLevel="0" collapsed="false">
      <c r="A41" s="30" t="s">
        <v>9292</v>
      </c>
      <c r="B41" s="6" t="s">
        <v>9293</v>
      </c>
      <c r="C41" s="241" t="n">
        <v>0.351</v>
      </c>
      <c r="D41" s="205"/>
      <c r="E41" s="205"/>
      <c r="F41" s="30" t="s">
        <v>1023</v>
      </c>
      <c r="G41" s="30" t="s">
        <v>9294</v>
      </c>
      <c r="H41" s="30" t="s">
        <v>1381</v>
      </c>
      <c r="I41" s="30" t="s">
        <v>8562</v>
      </c>
      <c r="J41" s="6" t="s">
        <v>9295</v>
      </c>
      <c r="K41" s="205" t="n">
        <v>2</v>
      </c>
      <c r="L41" s="205" t="s">
        <v>7551</v>
      </c>
      <c r="M41" s="6" t="s">
        <v>9281</v>
      </c>
      <c r="N41" s="205" t="s">
        <v>7564</v>
      </c>
      <c r="O41" s="30" t="s">
        <v>7554</v>
      </c>
      <c r="P41" s="30" t="s">
        <v>751</v>
      </c>
      <c r="Q41" s="30" t="s">
        <v>9282</v>
      </c>
      <c r="R41" s="30" t="s">
        <v>751</v>
      </c>
      <c r="S41" s="30" t="s">
        <v>751</v>
      </c>
      <c r="T41" s="30" t="s">
        <v>751</v>
      </c>
      <c r="U41" s="30" t="s">
        <v>9187</v>
      </c>
      <c r="V41" s="243" t="s">
        <v>9296</v>
      </c>
      <c r="W41" s="6" t="s">
        <v>9284</v>
      </c>
      <c r="X41" s="32" t="n">
        <f aca="false">IF($O41="Active",SUMPRODUCT(($AH$5:$AH$127=$AH41)*1),0)</f>
        <v>1</v>
      </c>
      <c r="Y41" s="32" t="n">
        <f aca="false">IF(AND($O41="Active",OR($Q41="—",$Q41="")),1,0)</f>
        <v>0</v>
      </c>
      <c r="Z41" s="32" t="n">
        <f aca="false">IF(AND($O41="Active",$L41="利害關係方",OR($R41="—",$R41="")),1,0)</f>
        <v>1</v>
      </c>
      <c r="AH41" s="44" t="str">
        <f aca="false">IF($O41="Active",$B41&amp;"¦"&amp;$G41&amp;"¦"&amp;$H41,"")</f>
        <v>Anthropic 2025 付給雲端平台的分潤¦2025 年度；Reuters 自行分析；列為費用（÷ 市集營收＝16%，÷ 總營收＝7.6%，Derived）¦Anthropic</v>
      </c>
    </row>
    <row r="42" customFormat="false" ht="57.75" hidden="false" customHeight="true" outlineLevel="0" collapsed="false">
      <c r="A42" s="30" t="s">
        <v>9297</v>
      </c>
      <c r="B42" s="6" t="s">
        <v>9298</v>
      </c>
      <c r="C42" s="241" t="n">
        <v>0.75</v>
      </c>
      <c r="D42" s="205"/>
      <c r="E42" s="205"/>
      <c r="F42" s="30" t="s">
        <v>113</v>
      </c>
      <c r="G42" s="205" t="s">
        <v>9299</v>
      </c>
      <c r="H42" s="30" t="s">
        <v>1370</v>
      </c>
      <c r="I42" s="30" t="s">
        <v>9300</v>
      </c>
      <c r="J42" s="6" t="s">
        <v>9301</v>
      </c>
      <c r="K42" s="205" t="n">
        <v>2</v>
      </c>
      <c r="L42" s="205" t="s">
        <v>7551</v>
      </c>
      <c r="M42" s="6" t="s">
        <v>9302</v>
      </c>
      <c r="N42" s="205" t="s">
        <v>7564</v>
      </c>
      <c r="O42" s="30" t="s">
        <v>7554</v>
      </c>
      <c r="P42" s="30" t="s">
        <v>751</v>
      </c>
      <c r="Q42" s="30" t="s">
        <v>9303</v>
      </c>
      <c r="R42" s="30" t="s">
        <v>751</v>
      </c>
      <c r="S42" s="30" t="s">
        <v>751</v>
      </c>
      <c r="T42" s="30" t="s">
        <v>751</v>
      </c>
      <c r="U42" s="30" t="s">
        <v>9187</v>
      </c>
      <c r="V42" s="243" t="s">
        <v>9193</v>
      </c>
      <c r="W42" s="6" t="s">
        <v>9304</v>
      </c>
      <c r="X42" s="32" t="n">
        <f aca="false">IF($O42="Active",SUMPRODUCT(($AH$5:$AH$127=$AH42)*1),0)</f>
        <v>1</v>
      </c>
      <c r="Y42" s="32" t="n">
        <f aca="false">IF(AND($O42="Active",OR($Q42="—",$Q42="")),1,0)</f>
        <v>0</v>
      </c>
      <c r="Z42" s="32" t="n">
        <f aca="false">IF(AND($O42="Active",$L42="利害關係方",OR($R42="—",$R42="")),1,0)</f>
        <v>1</v>
      </c>
      <c r="AH42" s="44" t="str">
        <f aca="false">IF($O42="Active",$B42&amp;"¦"&amp;$G42&amp;"¦"&amp;$H42,"")</f>
        <v>OpenAI 營收中消費訂閱占比¦時點 2024-10；約值；CFO 口述¦OpenAI</v>
      </c>
    </row>
    <row r="43" customFormat="false" ht="57.75" hidden="false" customHeight="true" outlineLevel="0" collapsed="false">
      <c r="A43" s="30" t="s">
        <v>6244</v>
      </c>
      <c r="B43" s="6" t="s">
        <v>9298</v>
      </c>
      <c r="C43" s="241" t="n">
        <v>0.7</v>
      </c>
      <c r="D43" s="205"/>
      <c r="E43" s="205"/>
      <c r="F43" s="30" t="s">
        <v>113</v>
      </c>
      <c r="G43" s="30" t="s">
        <v>9305</v>
      </c>
      <c r="H43" s="30" t="s">
        <v>1370</v>
      </c>
      <c r="I43" s="30" t="s">
        <v>9306</v>
      </c>
      <c r="J43" s="6" t="s">
        <v>9307</v>
      </c>
      <c r="K43" s="205" t="n">
        <v>2</v>
      </c>
      <c r="L43" s="205" t="s">
        <v>7551</v>
      </c>
      <c r="M43" s="6" t="s">
        <v>9213</v>
      </c>
      <c r="N43" s="205" t="s">
        <v>7564</v>
      </c>
      <c r="O43" s="30" t="s">
        <v>7554</v>
      </c>
      <c r="P43" s="30" t="s">
        <v>751</v>
      </c>
      <c r="Q43" s="30" t="s">
        <v>9303</v>
      </c>
      <c r="R43" s="30" t="s">
        <v>751</v>
      </c>
      <c r="S43" s="30" t="s">
        <v>751</v>
      </c>
      <c r="T43" s="30" t="s">
        <v>751</v>
      </c>
      <c r="U43" s="30" t="s">
        <v>9187</v>
      </c>
      <c r="V43" s="6" t="s">
        <v>9308</v>
      </c>
      <c r="W43" s="6" t="s">
        <v>9309</v>
      </c>
      <c r="X43" s="32" t="n">
        <f aca="false">IF($O43="Active",SUMPRODUCT(($AH$5:$AH$127=$AH43)*1),0)</f>
        <v>1</v>
      </c>
      <c r="Y43" s="32" t="n">
        <f aca="false">IF(AND($O43="Active",OR($Q43="—",$Q43="")),1,0)</f>
        <v>0</v>
      </c>
      <c r="Z43" s="32" t="n">
        <f aca="false">IF(AND($O43="Active",$L43="利害關係方",OR($R43="—",$R43="")),1,0)</f>
        <v>1</v>
      </c>
      <c r="AH43" s="44" t="str">
        <f aca="false">IF($O43="Active",$B43&amp;"¦"&amp;$G43&amp;"¦"&amp;$H43,"")</f>
        <v>OpenAI 營收中消費訂閱占比¦2025 年度（年營收約 $13B）；約值¦OpenAI</v>
      </c>
    </row>
    <row r="44" customFormat="false" ht="57.75" hidden="false" customHeight="true" outlineLevel="0" collapsed="false">
      <c r="A44" s="30" t="s">
        <v>9310</v>
      </c>
      <c r="B44" s="6" t="s">
        <v>9311</v>
      </c>
      <c r="C44" s="241" t="n">
        <v>2.7</v>
      </c>
      <c r="D44" s="205"/>
      <c r="E44" s="205"/>
      <c r="F44" s="30" t="s">
        <v>1023</v>
      </c>
      <c r="G44" s="30" t="s">
        <v>9312</v>
      </c>
      <c r="H44" s="30" t="s">
        <v>1370</v>
      </c>
      <c r="I44" s="30" t="s">
        <v>9313</v>
      </c>
      <c r="J44" s="6" t="s">
        <v>9314</v>
      </c>
      <c r="K44" s="205" t="n">
        <v>2</v>
      </c>
      <c r="L44" s="205" t="s">
        <v>7551</v>
      </c>
      <c r="M44" s="6" t="s">
        <v>9315</v>
      </c>
      <c r="N44" s="205" t="s">
        <v>7564</v>
      </c>
      <c r="O44" s="30" t="s">
        <v>7554</v>
      </c>
      <c r="P44" s="30" t="s">
        <v>751</v>
      </c>
      <c r="Q44" s="30" t="s">
        <v>9303</v>
      </c>
      <c r="R44" s="30" t="s">
        <v>751</v>
      </c>
      <c r="S44" s="30" t="s">
        <v>751</v>
      </c>
      <c r="T44" s="30" t="s">
        <v>751</v>
      </c>
      <c r="U44" s="30" t="s">
        <v>9187</v>
      </c>
      <c r="V44" s="243" t="s">
        <v>9193</v>
      </c>
      <c r="W44" s="6" t="s">
        <v>9316</v>
      </c>
      <c r="X44" s="32" t="n">
        <f aca="false">IF($O44="Active",SUMPRODUCT(($AH$5:$AH$127=$AH44)*1),0)</f>
        <v>1</v>
      </c>
      <c r="Y44" s="32" t="n">
        <f aca="false">IF(AND($O44="Active",OR($Q44="—",$Q44="")),1,0)</f>
        <v>0</v>
      </c>
      <c r="Z44" s="32" t="n">
        <f aca="false">IF(AND($O44="Active",$L44="利害關係方",OR($R44="—",$R44="")),1,0)</f>
        <v>1</v>
      </c>
      <c r="AH44" s="44" t="str">
        <f aca="false">IF($O44="Active",$B44&amp;"¦"&amp;$G44&amp;"¦"&amp;$H44,"")</f>
        <v>OpenAI 2024 ChatGPT 營收（預期）¦2024 年度預期；其他（API 等）1.0、合計 3.7¦OpenAI</v>
      </c>
    </row>
    <row r="45" customFormat="false" ht="57.75" hidden="false" customHeight="true" outlineLevel="0" collapsed="false">
      <c r="A45" s="30" t="s">
        <v>9317</v>
      </c>
      <c r="B45" s="6" t="s">
        <v>9318</v>
      </c>
      <c r="C45" s="241" t="n">
        <v>8</v>
      </c>
      <c r="D45" s="205"/>
      <c r="E45" s="205"/>
      <c r="F45" s="30" t="s">
        <v>1023</v>
      </c>
      <c r="G45" s="30" t="s">
        <v>9319</v>
      </c>
      <c r="H45" s="30" t="s">
        <v>1370</v>
      </c>
      <c r="I45" s="30" t="s">
        <v>9320</v>
      </c>
      <c r="J45" s="6" t="s">
        <v>9321</v>
      </c>
      <c r="K45" s="205" t="n">
        <v>2</v>
      </c>
      <c r="L45" s="205" t="s">
        <v>7551</v>
      </c>
      <c r="M45" s="6" t="s">
        <v>9322</v>
      </c>
      <c r="N45" s="205" t="s">
        <v>7564</v>
      </c>
      <c r="O45" s="30" t="s">
        <v>7554</v>
      </c>
      <c r="P45" s="30" t="s">
        <v>751</v>
      </c>
      <c r="Q45" s="30" t="s">
        <v>9303</v>
      </c>
      <c r="R45" s="30" t="s">
        <v>751</v>
      </c>
      <c r="S45" s="30" t="s">
        <v>751</v>
      </c>
      <c r="T45" s="30" t="s">
        <v>751</v>
      </c>
      <c r="U45" s="30" t="s">
        <v>9187</v>
      </c>
      <c r="V45" s="6" t="s">
        <v>9323</v>
      </c>
      <c r="W45" s="6" t="s">
        <v>9324</v>
      </c>
      <c r="X45" s="32" t="n">
        <f aca="false">IF($O45="Active",SUMPRODUCT(($AH$5:$AH$127=$AH45)*1),0)</f>
        <v>1</v>
      </c>
      <c r="Y45" s="32" t="n">
        <f aca="false">IF(AND($O45="Active",OR($Q45="—",$Q45="")),1,0)</f>
        <v>0</v>
      </c>
      <c r="Z45" s="32" t="n">
        <f aca="false">IF(AND($O45="Active",$L45="利害關係方",OR($R45="—",$R45="")),1,0)</f>
        <v>1</v>
      </c>
      <c r="AH45" s="44" t="str">
        <f aca="false">IF($O45="Active",$B45&amp;"¦"&amp;$G45&amp;"¦"&amp;$H45,"")</f>
        <v>OpenAI 2025 ChatGPT 營收（預期）¦2025 年度預期（同期營收預期約 12.7）¦OpenAI</v>
      </c>
    </row>
    <row r="46" customFormat="false" ht="72" hidden="false" customHeight="true" outlineLevel="0" collapsed="false">
      <c r="A46" s="30" t="s">
        <v>6320</v>
      </c>
      <c r="B46" s="6" t="s">
        <v>9325</v>
      </c>
      <c r="C46" s="241" t="n">
        <v>6.7</v>
      </c>
      <c r="D46" s="205"/>
      <c r="E46" s="205"/>
      <c r="F46" s="30" t="s">
        <v>1023</v>
      </c>
      <c r="G46" s="30" t="s">
        <v>9326</v>
      </c>
      <c r="H46" s="30" t="s">
        <v>1370</v>
      </c>
      <c r="I46" s="30" t="s">
        <v>9327</v>
      </c>
      <c r="J46" s="6" t="s">
        <v>9328</v>
      </c>
      <c r="K46" s="205" t="n">
        <v>2</v>
      </c>
      <c r="L46" s="205" t="s">
        <v>7551</v>
      </c>
      <c r="M46" s="6" t="s">
        <v>9213</v>
      </c>
      <c r="N46" s="205" t="s">
        <v>7564</v>
      </c>
      <c r="O46" s="30" t="s">
        <v>7554</v>
      </c>
      <c r="P46" s="30" t="s">
        <v>751</v>
      </c>
      <c r="Q46" s="30" t="s">
        <v>9329</v>
      </c>
      <c r="R46" s="30" t="s">
        <v>751</v>
      </c>
      <c r="S46" s="30" t="s">
        <v>751</v>
      </c>
      <c r="T46" s="30" t="s">
        <v>751</v>
      </c>
      <c r="U46" s="30" t="s">
        <v>9187</v>
      </c>
      <c r="V46" s="243" t="s">
        <v>9193</v>
      </c>
      <c r="W46" s="6" t="s">
        <v>9330</v>
      </c>
      <c r="X46" s="32" t="n">
        <f aca="false">IF($O46="Active",SUMPRODUCT(($AH$5:$AH$127=$AH46)*1),0)</f>
        <v>1</v>
      </c>
      <c r="Y46" s="32" t="n">
        <f aca="false">IF(AND($O46="Active",OR($Q46="—",$Q46="")),1,0)</f>
        <v>0</v>
      </c>
      <c r="Z46" s="32" t="n">
        <f aca="false">IF(AND($O46="Active",$L46="利害關係方",OR($R46="—",$R46="")),1,0)</f>
        <v>1</v>
      </c>
      <c r="AH46" s="44" t="str">
        <f aca="false">IF($O46="Active",$B46&amp;"¦"&amp;$G46&amp;"¦"&amp;$H46,"")</f>
        <v>OpenAI 季營收¦2026 Q2；季度¦OpenAI</v>
      </c>
    </row>
    <row r="47" customFormat="false" ht="86.25" hidden="false" customHeight="true" outlineLevel="0" collapsed="false">
      <c r="A47" s="30" t="s">
        <v>9331</v>
      </c>
      <c r="B47" s="6" t="s">
        <v>9332</v>
      </c>
      <c r="C47" s="241" t="n">
        <v>0.2</v>
      </c>
      <c r="D47" s="205"/>
      <c r="E47" s="205"/>
      <c r="F47" s="30" t="s">
        <v>113</v>
      </c>
      <c r="G47" s="30" t="s">
        <v>9333</v>
      </c>
      <c r="H47" s="30" t="s">
        <v>9334</v>
      </c>
      <c r="I47" s="30" t="s">
        <v>9335</v>
      </c>
      <c r="J47" s="6" t="s">
        <v>9336</v>
      </c>
      <c r="K47" s="205" t="n">
        <v>2</v>
      </c>
      <c r="L47" s="205" t="s">
        <v>7551</v>
      </c>
      <c r="M47" s="243" t="s">
        <v>9337</v>
      </c>
      <c r="N47" s="205" t="s">
        <v>7564</v>
      </c>
      <c r="O47" s="30" t="s">
        <v>7554</v>
      </c>
      <c r="P47" s="30" t="s">
        <v>751</v>
      </c>
      <c r="Q47" s="30" t="s">
        <v>9338</v>
      </c>
      <c r="R47" s="30" t="s">
        <v>751</v>
      </c>
      <c r="S47" s="30" t="s">
        <v>751</v>
      </c>
      <c r="T47" s="30" t="s">
        <v>751</v>
      </c>
      <c r="U47" s="30" t="s">
        <v>9187</v>
      </c>
      <c r="V47" s="243" t="s">
        <v>9339</v>
      </c>
      <c r="W47" s="6" t="s">
        <v>9340</v>
      </c>
      <c r="X47" s="32" t="n">
        <f aca="false">IF($O47="Active",SUMPRODUCT(($AH$5:$AH$127=$AH47)*1),0)</f>
        <v>1</v>
      </c>
      <c r="Y47" s="32" t="n">
        <f aca="false">IF(AND($O47="Active",OR($Q47="—",$Q47="")),1,0)</f>
        <v>0</v>
      </c>
      <c r="Z47" s="32" t="n">
        <f aca="false">IF(AND($O47="Active",$L47="利害關係方",OR($R47="—",$R47="")),1,0)</f>
        <v>1</v>
      </c>
      <c r="AH47" s="44" t="str">
        <f aca="false">IF($O47="Active",$B47&amp;"¦"&amp;$G47&amp;"¦"&amp;$H47,"")</f>
        <v>OpenAI 付 Microsoft 營收分成比例¦2025-10 重組後至 2030；上限 $38B（只有二手，待查一手）¦OpenAI／Microsoft</v>
      </c>
    </row>
    <row r="48" customFormat="false" ht="72" hidden="false" customHeight="true" outlineLevel="0" collapsed="false">
      <c r="A48" s="30" t="s">
        <v>9341</v>
      </c>
      <c r="B48" s="6" t="s">
        <v>9342</v>
      </c>
      <c r="C48" s="241" t="n">
        <v>13</v>
      </c>
      <c r="D48" s="205"/>
      <c r="E48" s="241" t="n">
        <v>30</v>
      </c>
      <c r="F48" s="30" t="s">
        <v>1496</v>
      </c>
      <c r="G48" s="205" t="s">
        <v>9343</v>
      </c>
      <c r="H48" s="30" t="s">
        <v>9344</v>
      </c>
      <c r="I48" s="30" t="s">
        <v>7106</v>
      </c>
      <c r="J48" s="6" t="s">
        <v>9345</v>
      </c>
      <c r="K48" s="205" t="n">
        <v>1</v>
      </c>
      <c r="L48" s="205" t="s">
        <v>7551</v>
      </c>
      <c r="M48" s="6" t="s">
        <v>9346</v>
      </c>
      <c r="N48" s="205" t="s">
        <v>7553</v>
      </c>
      <c r="O48" s="30" t="s">
        <v>7554</v>
      </c>
      <c r="P48" s="30" t="s">
        <v>751</v>
      </c>
      <c r="Q48" s="30" t="s">
        <v>9347</v>
      </c>
      <c r="R48" s="30" t="s">
        <v>751</v>
      </c>
      <c r="S48" s="30" t="s">
        <v>751</v>
      </c>
      <c r="T48" s="30" t="s">
        <v>751</v>
      </c>
      <c r="U48" s="30" t="s">
        <v>9187</v>
      </c>
      <c r="V48" s="6" t="s">
        <v>9348</v>
      </c>
      <c r="W48" s="6" t="s">
        <v>9349</v>
      </c>
      <c r="X48" s="32" t="n">
        <f aca="false">IF($O48="Active",SUMPRODUCT(($AH$5:$AH$127=$AH48)*1),0)</f>
        <v>1</v>
      </c>
      <c r="Y48" s="32" t="n">
        <f aca="false">IF(AND($O48="Active",OR($Q48="—",$Q48="")),1,0)</f>
        <v>0</v>
      </c>
      <c r="Z48" s="32" t="n">
        <f aca="false">IF(AND($O48="Active",$L48="利害關係方",OR($R48="—",$R48="")),1,0)</f>
        <v>1</v>
      </c>
      <c r="AH48" s="44" t="str">
        <f aca="false">IF($O48="Active",$B48&amp;"¦"&amp;$G48&amp;"¦"&amp;$H48,"")</f>
        <v>Claude Code 企業部署平均花費¦列價口徑；企業部署平均；高欄＝p90 上限（&lt;$30）；月約 $150–250¦Anthropic Claude Code（企業）</v>
      </c>
    </row>
    <row r="49" customFormat="false" ht="72" hidden="false" customHeight="true" outlineLevel="0" collapsed="false">
      <c r="A49" s="30" t="s">
        <v>9350</v>
      </c>
      <c r="B49" s="6" t="s">
        <v>9351</v>
      </c>
      <c r="C49" s="241" t="n">
        <v>6</v>
      </c>
      <c r="D49" s="205"/>
      <c r="E49" s="205"/>
      <c r="F49" s="205" t="s">
        <v>9163</v>
      </c>
      <c r="G49" s="30" t="s">
        <v>9352</v>
      </c>
      <c r="H49" s="30" t="s">
        <v>9353</v>
      </c>
      <c r="I49" s="30" t="s">
        <v>9354</v>
      </c>
      <c r="J49" s="6" t="s">
        <v>9355</v>
      </c>
      <c r="K49" s="205" t="n">
        <v>1</v>
      </c>
      <c r="L49" s="205" t="s">
        <v>7551</v>
      </c>
      <c r="M49" s="6" t="s">
        <v>9185</v>
      </c>
      <c r="N49" s="205" t="s">
        <v>7553</v>
      </c>
      <c r="O49" s="30" t="s">
        <v>7554</v>
      </c>
      <c r="P49" s="30" t="s">
        <v>751</v>
      </c>
      <c r="Q49" s="30" t="s">
        <v>9356</v>
      </c>
      <c r="R49" s="30" t="s">
        <v>751</v>
      </c>
      <c r="S49" s="30" t="s">
        <v>751</v>
      </c>
      <c r="T49" s="30" t="s">
        <v>751</v>
      </c>
      <c r="U49" s="30" t="s">
        <v>9187</v>
      </c>
      <c r="V49" s="243" t="s">
        <v>9357</v>
      </c>
      <c r="W49" s="6" t="s">
        <v>9358</v>
      </c>
      <c r="X49" s="32" t="n">
        <f aca="false">IF($O49="Active",SUMPRODUCT(($AH$5:$AH$127=$AH49)*1),0)</f>
        <v>1</v>
      </c>
      <c r="Y49" s="32" t="n">
        <f aca="false">IF(AND($O49="Active",OR($Q49="—",$Q49="")),1,0)</f>
        <v>0</v>
      </c>
      <c r="Z49" s="32" t="n">
        <f aca="false">IF(AND($O49="Active",$L49="利害關係方",OR($R49="—",$R49="")),1,0)</f>
        <v>1</v>
      </c>
      <c r="AH49" s="44" t="str">
        <f aca="false">IF($O49="Active",$B49&amp;"¦"&amp;$G49&amp;"¦"&amp;$H49,"")</f>
        <v>ChatGPT Enterprise 員工訊息數 p95 ÷ 中位數¦2025；分布形狀（若對數常態，平均 ÷ 中位數 ≈ 1.8，Derived）¦OpenAI ChatGPT Enterprise</v>
      </c>
    </row>
    <row r="50" customFormat="false" ht="72" hidden="false" customHeight="true" outlineLevel="0" collapsed="false">
      <c r="A50" s="30" t="s">
        <v>9359</v>
      </c>
      <c r="B50" s="243" t="s">
        <v>9360</v>
      </c>
      <c r="C50" s="241" t="n">
        <v>0.993</v>
      </c>
      <c r="D50" s="205"/>
      <c r="E50" s="205"/>
      <c r="F50" s="30" t="s">
        <v>113</v>
      </c>
      <c r="G50" s="30" t="s">
        <v>9361</v>
      </c>
      <c r="H50" s="30" t="s">
        <v>9362</v>
      </c>
      <c r="I50" s="30" t="s">
        <v>9363</v>
      </c>
      <c r="J50" s="6" t="s">
        <v>9364</v>
      </c>
      <c r="K50" s="205" t="n">
        <v>1</v>
      </c>
      <c r="L50" s="205" t="s">
        <v>7658</v>
      </c>
      <c r="M50" s="243" t="s">
        <v>9365</v>
      </c>
      <c r="N50" s="205" t="s">
        <v>7553</v>
      </c>
      <c r="O50" s="30" t="s">
        <v>7554</v>
      </c>
      <c r="P50" s="30" t="s">
        <v>751</v>
      </c>
      <c r="Q50" s="30" t="s">
        <v>9366</v>
      </c>
      <c r="R50" s="30" t="s">
        <v>751</v>
      </c>
      <c r="S50" s="30" t="s">
        <v>751</v>
      </c>
      <c r="T50" s="30" t="s">
        <v>751</v>
      </c>
      <c r="U50" s="30" t="s">
        <v>9187</v>
      </c>
      <c r="V50" s="6" t="s">
        <v>9367</v>
      </c>
      <c r="W50" s="6" t="s">
        <v>9368</v>
      </c>
      <c r="X50" s="32" t="n">
        <f aca="false">IF($O50="Active",SUMPRODUCT(($AH$5:$AH$127=$AH50)*1),0)</f>
        <v>1</v>
      </c>
      <c r="Y50" s="32" t="n">
        <f aca="false">IF(AND($O50="Active",OR($Q50="—",$Q50="")),1,0)</f>
        <v>0</v>
      </c>
      <c r="Z50" s="32" t="n">
        <f aca="false">IF(AND($O50="Active",$L50="利害關係方",OR($R50="—",$R50="")),1,0)</f>
        <v>0</v>
      </c>
      <c r="AH50" s="44" t="str">
        <f aca="false">IF($O50="Active",$B50&amp;"¦"&amp;$G50&amp;"¦"&amp;$H50,"")</f>
        <v>單一開發者 Claude Code 快取讀取占輸入¦2026-05-11～06-07 實測；n＝1；極端重度用戶（548 M tok／日）¦Claude Code＋Opus（單一開發者）</v>
      </c>
    </row>
    <row r="51" customFormat="false" ht="72" hidden="false" customHeight="true" outlineLevel="0" collapsed="false">
      <c r="A51" s="30" t="s">
        <v>9369</v>
      </c>
      <c r="B51" s="243" t="s">
        <v>9370</v>
      </c>
      <c r="C51" s="241" t="n">
        <v>0.9987</v>
      </c>
      <c r="D51" s="205"/>
      <c r="E51" s="205"/>
      <c r="F51" s="30" t="s">
        <v>113</v>
      </c>
      <c r="G51" s="30" t="s">
        <v>9371</v>
      </c>
      <c r="H51" s="30" t="s">
        <v>9362</v>
      </c>
      <c r="I51" s="30" t="s">
        <v>9363</v>
      </c>
      <c r="J51" s="6" t="s">
        <v>9364</v>
      </c>
      <c r="K51" s="205" t="n">
        <v>1</v>
      </c>
      <c r="L51" s="205" t="s">
        <v>7658</v>
      </c>
      <c r="M51" s="243" t="s">
        <v>9365</v>
      </c>
      <c r="N51" s="205" t="s">
        <v>7553</v>
      </c>
      <c r="O51" s="30" t="s">
        <v>7554</v>
      </c>
      <c r="P51" s="30" t="s">
        <v>751</v>
      </c>
      <c r="Q51" s="30" t="s">
        <v>9366</v>
      </c>
      <c r="R51" s="30" t="s">
        <v>751</v>
      </c>
      <c r="S51" s="30" t="s">
        <v>751</v>
      </c>
      <c r="T51" s="30" t="s">
        <v>751</v>
      </c>
      <c r="U51" s="30" t="s">
        <v>9187</v>
      </c>
      <c r="V51" s="6" t="s">
        <v>9372</v>
      </c>
      <c r="W51" s="6" t="s">
        <v>9373</v>
      </c>
      <c r="X51" s="32" t="n">
        <f aca="false">IF($O51="Active",SUMPRODUCT(($AH$5:$AH$127=$AH51)*1),0)</f>
        <v>1</v>
      </c>
      <c r="Y51" s="32" t="n">
        <f aca="false">IF(AND($O51="Active",OR($Q51="—",$Q51="")),1,0)</f>
        <v>0</v>
      </c>
      <c r="Z51" s="32" t="n">
        <f aca="false">IF(AND($O51="Active",$L51="利害關係方",OR($R51="—",$R51="")),1,0)</f>
        <v>0</v>
      </c>
      <c r="AH51" s="44" t="str">
        <f aca="false">IF($O51="Active",$B51&amp;"¦"&amp;$G51&amp;"¦"&amp;$H51,"")</f>
        <v>單一開發者 Claude Code 輸入占全部 token¦2026-05-11～06-07 實測；n＝1；每 1 萬 token 約 9,987 輸入：13 輸出¦Claude Code＋Opus（單一開發者）</v>
      </c>
    </row>
    <row r="52" customFormat="false" ht="72" hidden="false" customHeight="true" outlineLevel="0" collapsed="false">
      <c r="A52" s="30" t="s">
        <v>9374</v>
      </c>
      <c r="B52" s="6" t="s">
        <v>9375</v>
      </c>
      <c r="C52" s="241" t="n">
        <v>0.919</v>
      </c>
      <c r="D52" s="205"/>
      <c r="E52" s="205"/>
      <c r="F52" s="30" t="s">
        <v>113</v>
      </c>
      <c r="G52" s="30" t="s">
        <v>9376</v>
      </c>
      <c r="H52" s="30" t="s">
        <v>9377</v>
      </c>
      <c r="I52" s="30" t="s">
        <v>9378</v>
      </c>
      <c r="J52" s="6" t="s">
        <v>9379</v>
      </c>
      <c r="K52" s="205" t="n">
        <v>2</v>
      </c>
      <c r="L52" s="205" t="s">
        <v>7551</v>
      </c>
      <c r="M52" s="6" t="s">
        <v>9380</v>
      </c>
      <c r="N52" s="205" t="s">
        <v>7553</v>
      </c>
      <c r="O52" s="30" t="s">
        <v>7554</v>
      </c>
      <c r="P52" s="30" t="s">
        <v>751</v>
      </c>
      <c r="Q52" s="30" t="s">
        <v>9381</v>
      </c>
      <c r="R52" s="30" t="s">
        <v>751</v>
      </c>
      <c r="S52" s="30" t="s">
        <v>751</v>
      </c>
      <c r="T52" s="30" t="s">
        <v>751</v>
      </c>
      <c r="U52" s="30" t="s">
        <v>9187</v>
      </c>
      <c r="V52" s="6" t="s">
        <v>9367</v>
      </c>
      <c r="W52" s="6" t="s">
        <v>9382</v>
      </c>
      <c r="X52" s="32" t="n">
        <f aca="false">IF($O52="Active",SUMPRODUCT(($AH$5:$AH$127=$AH52)*1),0)</f>
        <v>1</v>
      </c>
      <c r="Y52" s="32" t="n">
        <f aca="false">IF(AND($O52="Active",OR($Q52="—",$Q52="")),1,0)</f>
        <v>0</v>
      </c>
      <c r="Z52" s="32" t="n">
        <f aca="false">IF(AND($O52="Active",$L52="利害關係方",OR($R52="—",$R52="")),1,0)</f>
        <v>1</v>
      </c>
      <c r="AH52" s="44" t="str">
        <f aca="false">IF($O52="Active",$B52&amp;"¦"&amp;$G52&amp;"¦"&amp;$H52,"")</f>
        <v>Claude Code 快取命中率（cached ÷ input）¦2026-04；路由流量；樣本數未揭露（其他代理 46–89%）¦Claude Code（經 Requesty 路由）</v>
      </c>
    </row>
    <row r="53" customFormat="false" ht="72" hidden="false" customHeight="true" outlineLevel="0" collapsed="false">
      <c r="A53" s="30" t="s">
        <v>9383</v>
      </c>
      <c r="B53" s="6" t="s">
        <v>9384</v>
      </c>
      <c r="C53" s="241" t="n">
        <v>0.451</v>
      </c>
      <c r="D53" s="205"/>
      <c r="E53" s="205"/>
      <c r="F53" s="30" t="s">
        <v>1705</v>
      </c>
      <c r="G53" s="205" t="s">
        <v>9385</v>
      </c>
      <c r="H53" s="30" t="s">
        <v>9182</v>
      </c>
      <c r="I53" s="30" t="s">
        <v>9386</v>
      </c>
      <c r="J53" s="6" t="s">
        <v>9387</v>
      </c>
      <c r="K53" s="205" t="n">
        <v>1</v>
      </c>
      <c r="L53" s="205" t="s">
        <v>7551</v>
      </c>
      <c r="M53" s="6" t="s">
        <v>9388</v>
      </c>
      <c r="N53" s="205" t="s">
        <v>7553</v>
      </c>
      <c r="O53" s="30" t="s">
        <v>7554</v>
      </c>
      <c r="P53" s="30" t="s">
        <v>751</v>
      </c>
      <c r="Q53" s="30" t="s">
        <v>9389</v>
      </c>
      <c r="R53" s="30" t="s">
        <v>751</v>
      </c>
      <c r="S53" s="30" t="s">
        <v>751</v>
      </c>
      <c r="T53" s="30" t="s">
        <v>751</v>
      </c>
      <c r="U53" s="30" t="s">
        <v>9390</v>
      </c>
      <c r="V53" s="243" t="s">
        <v>9193</v>
      </c>
      <c r="W53" s="6" t="s">
        <v>9391</v>
      </c>
      <c r="X53" s="32" t="n">
        <f aca="false">IF($O53="Active",SUMPRODUCT(($AH$5:$AH$127=$AH53)*1),0)</f>
        <v>1</v>
      </c>
      <c r="Y53" s="32" t="n">
        <f aca="false">IF(AND($O53="Active",OR($Q53="—",$Q53="")),1,0)</f>
        <v>0</v>
      </c>
      <c r="Z53" s="32" t="n">
        <f aca="false">IF(AND($O53="Active",$L53="利害關係方",OR($R53="—",$R53="")),1,0)</f>
        <v>1</v>
      </c>
      <c r="AH53" s="44" t="str">
        <f aca="false">IF($O53="Active",$B53&amp;"¦"&amp;$G53&amp;"¦"&amp;$H53,"")</f>
        <v>ChatGPT 每日訊息數（7 日平均）¦時點 2024-06-26 止；消費方案（Free／Plus／Pro；排除 Business／Enterprise／Edu、未登入、18 歲以下）¦OpenAI ChatGPT</v>
      </c>
    </row>
    <row r="54" customFormat="false" ht="86.25" hidden="false" customHeight="true" outlineLevel="0" collapsed="false">
      <c r="A54" s="30" t="s">
        <v>9392</v>
      </c>
      <c r="B54" s="6" t="s">
        <v>9384</v>
      </c>
      <c r="C54" s="241" t="n">
        <v>2.627</v>
      </c>
      <c r="D54" s="205"/>
      <c r="E54" s="205"/>
      <c r="F54" s="30" t="s">
        <v>1705</v>
      </c>
      <c r="G54" s="205" t="s">
        <v>9393</v>
      </c>
      <c r="H54" s="30" t="s">
        <v>9182</v>
      </c>
      <c r="I54" s="30" t="s">
        <v>9386</v>
      </c>
      <c r="J54" s="6" t="s">
        <v>9387</v>
      </c>
      <c r="K54" s="205" t="n">
        <v>1</v>
      </c>
      <c r="L54" s="205" t="s">
        <v>7551</v>
      </c>
      <c r="M54" s="6" t="s">
        <v>9388</v>
      </c>
      <c r="N54" s="205" t="s">
        <v>7553</v>
      </c>
      <c r="O54" s="30" t="s">
        <v>7554</v>
      </c>
      <c r="P54" s="30" t="s">
        <v>751</v>
      </c>
      <c r="Q54" s="30" t="s">
        <v>9389</v>
      </c>
      <c r="R54" s="30" t="s">
        <v>751</v>
      </c>
      <c r="S54" s="30" t="s">
        <v>751</v>
      </c>
      <c r="T54" s="30" t="s">
        <v>751</v>
      </c>
      <c r="U54" s="30" t="s">
        <v>9390</v>
      </c>
      <c r="V54" s="243" t="s">
        <v>9193</v>
      </c>
      <c r="W54" s="6" t="s">
        <v>9394</v>
      </c>
      <c r="X54" s="32" t="n">
        <f aca="false">IF($O54="Active",SUMPRODUCT(($AH$5:$AH$127=$AH54)*1),0)</f>
        <v>1</v>
      </c>
      <c r="Y54" s="32" t="n">
        <f aca="false">IF(AND($O54="Active",OR($Q54="—",$Q54="")),1,0)</f>
        <v>0</v>
      </c>
      <c r="Z54" s="32" t="n">
        <f aca="false">IF(AND($O54="Active",$L54="利害關係方",OR($R54="—",$R54="")),1,0)</f>
        <v>1</v>
      </c>
      <c r="AH54" s="44" t="str">
        <f aca="false">IF($O54="Active",$B54&amp;"¦"&amp;$G54&amp;"¦"&amp;$H54,"")</f>
        <v>ChatGPT 每日訊息數（7 日平均）¦時點 2025-06-26 止；消費方案（同上）；工作相關占比 47% → 27%¦OpenAI ChatGPT</v>
      </c>
    </row>
    <row r="55" customFormat="false" ht="86.25" hidden="false" customHeight="true" outlineLevel="0" collapsed="false">
      <c r="A55" s="30" t="s">
        <v>6264</v>
      </c>
      <c r="B55" s="6" t="s">
        <v>9395</v>
      </c>
      <c r="C55" s="241" t="n">
        <v>0.07</v>
      </c>
      <c r="D55" s="241" t="n">
        <v>0.02</v>
      </c>
      <c r="E55" s="241" t="n">
        <v>0.07</v>
      </c>
      <c r="F55" s="30" t="s">
        <v>113</v>
      </c>
      <c r="G55" s="205" t="s">
        <v>9396</v>
      </c>
      <c r="H55" s="30" t="s">
        <v>9182</v>
      </c>
      <c r="I55" s="30" t="s">
        <v>9386</v>
      </c>
      <c r="J55" s="6" t="s">
        <v>9397</v>
      </c>
      <c r="K55" s="205" t="n">
        <v>1</v>
      </c>
      <c r="L55" s="205" t="s">
        <v>7551</v>
      </c>
      <c r="M55" s="6" t="s">
        <v>9185</v>
      </c>
      <c r="N55" s="205" t="s">
        <v>7553</v>
      </c>
      <c r="O55" s="30" t="s">
        <v>7554</v>
      </c>
      <c r="P55" s="30" t="s">
        <v>751</v>
      </c>
      <c r="Q55" s="30" t="s">
        <v>9398</v>
      </c>
      <c r="R55" s="30" t="s">
        <v>751</v>
      </c>
      <c r="S55" s="30" t="s">
        <v>751</v>
      </c>
      <c r="T55" s="30" t="s">
        <v>751</v>
      </c>
      <c r="U55" s="30" t="s">
        <v>9390</v>
      </c>
      <c r="V55" s="6" t="s">
        <v>9399</v>
      </c>
      <c r="W55" s="6" t="s">
        <v>9400</v>
      </c>
      <c r="X55" s="32" t="n">
        <f aca="false">IF($O55="Active",SUMPRODUCT(($AH$5:$AH$127=$AH55)*1),0)</f>
        <v>1</v>
      </c>
      <c r="Y55" s="32" t="n">
        <f aca="false">IF(AND($O55="Active",OR($Q55="—",$Q55="")),1,0)</f>
        <v>0</v>
      </c>
      <c r="Z55" s="32" t="n">
        <f aca="false">IF(AND($O55="Active",$L55="利害關係方",OR($R55="—",$R55="")),1,0)</f>
        <v>1</v>
      </c>
      <c r="AH55" s="44" t="str">
        <f aca="false">IF($O55="Active",$B55&amp;"¦"&amp;$G55&amp;"¦"&amp;$H55,"")</f>
        <v>ChatGPT 多媒體類訊息占比¦消費方案；2024-07 2% → 2025-06「略超過 7%」；訊息口徑，非營收口徑¦OpenAI ChatGPT</v>
      </c>
    </row>
    <row r="56" customFormat="false" ht="86.25" hidden="false" customHeight="true" outlineLevel="0" collapsed="false">
      <c r="A56" s="30" t="s">
        <v>9401</v>
      </c>
      <c r="B56" s="6" t="s">
        <v>9402</v>
      </c>
      <c r="C56" s="241" t="n">
        <v>69.5</v>
      </c>
      <c r="D56" s="205"/>
      <c r="E56" s="205"/>
      <c r="F56" s="30" t="s">
        <v>308</v>
      </c>
      <c r="G56" s="30" t="s">
        <v>9403</v>
      </c>
      <c r="H56" s="30" t="s">
        <v>9404</v>
      </c>
      <c r="I56" s="30" t="s">
        <v>9405</v>
      </c>
      <c r="J56" s="6" t="s">
        <v>9406</v>
      </c>
      <c r="K56" s="205" t="n">
        <v>1</v>
      </c>
      <c r="L56" s="205" t="s">
        <v>7658</v>
      </c>
      <c r="M56" s="6" t="s">
        <v>9407</v>
      </c>
      <c r="N56" s="205" t="s">
        <v>7553</v>
      </c>
      <c r="O56" s="30" t="s">
        <v>7554</v>
      </c>
      <c r="P56" s="30" t="s">
        <v>751</v>
      </c>
      <c r="Q56" s="30" t="s">
        <v>9408</v>
      </c>
      <c r="R56" s="30" t="s">
        <v>751</v>
      </c>
      <c r="S56" s="30" t="s">
        <v>751</v>
      </c>
      <c r="T56" s="30" t="s">
        <v>751</v>
      </c>
      <c r="U56" s="30" t="s">
        <v>9390</v>
      </c>
      <c r="V56" s="243" t="s">
        <v>9409</v>
      </c>
      <c r="W56" s="6" t="s">
        <v>9410</v>
      </c>
      <c r="X56" s="32" t="n">
        <f aca="false">IF($O56="Active",SUMPRODUCT(($AH$5:$AH$127=$AH56)*1),0)</f>
        <v>1</v>
      </c>
      <c r="Y56" s="32" t="n">
        <f aca="false">IF(AND($O56="Active",OR($Q56="—",$Q56="")),1,0)</f>
        <v>0</v>
      </c>
      <c r="Z56" s="32" t="n">
        <f aca="false">IF(AND($O56="Active",$L56="利害關係方",OR($R56="—",$R56="")),1,0)</f>
        <v>0</v>
      </c>
      <c r="AH56" s="44" t="str">
        <f aca="false">IF($O56="Active",$B56&amp;"¦"&amp;$G56&amp;"¦"&amp;$H56,"")</f>
        <v>LMSYS-Chat-1M 每則提示 token 數¦2023-04～08；Llama-2 tokenizer；每則回覆 214.5 tok；每對話 2.0 輪（本筆值＝提示；回覆與輪數見口徑）¦LMSYS Chatbot Arena（類比，非 ChatGPT）</v>
      </c>
    </row>
    <row r="57" customFormat="false" ht="72" hidden="false" customHeight="true" outlineLevel="0" collapsed="false">
      <c r="A57" s="30" t="s">
        <v>9411</v>
      </c>
      <c r="B57" s="6" t="s">
        <v>9412</v>
      </c>
      <c r="C57" s="241" t="n">
        <v>295.6</v>
      </c>
      <c r="D57" s="205"/>
      <c r="E57" s="205"/>
      <c r="F57" s="30" t="s">
        <v>308</v>
      </c>
      <c r="G57" s="30" t="s">
        <v>9413</v>
      </c>
      <c r="H57" s="30" t="s">
        <v>9414</v>
      </c>
      <c r="I57" s="30" t="s">
        <v>9415</v>
      </c>
      <c r="J57" s="6" t="s">
        <v>9416</v>
      </c>
      <c r="K57" s="205" t="n">
        <v>1</v>
      </c>
      <c r="L57" s="205" t="s">
        <v>7658</v>
      </c>
      <c r="M57" s="6" t="s">
        <v>9417</v>
      </c>
      <c r="N57" s="205" t="s">
        <v>7553</v>
      </c>
      <c r="O57" s="30" t="s">
        <v>7554</v>
      </c>
      <c r="P57" s="30" t="s">
        <v>751</v>
      </c>
      <c r="Q57" s="30" t="s">
        <v>9418</v>
      </c>
      <c r="R57" s="30" t="s">
        <v>751</v>
      </c>
      <c r="S57" s="30" t="s">
        <v>751</v>
      </c>
      <c r="T57" s="30" t="s">
        <v>751</v>
      </c>
      <c r="U57" s="30" t="s">
        <v>9390</v>
      </c>
      <c r="V57" s="243" t="s">
        <v>9419</v>
      </c>
      <c r="W57" s="6" t="s">
        <v>9420</v>
      </c>
      <c r="X57" s="32" t="n">
        <f aca="false">IF($O57="Active",SUMPRODUCT(($AH$5:$AH$127=$AH57)*1),0)</f>
        <v>1</v>
      </c>
      <c r="Y57" s="32" t="n">
        <f aca="false">IF(AND($O57="Active",OR($Q57="—",$Q57="")),1,0)</f>
        <v>0</v>
      </c>
      <c r="Z57" s="32" t="n">
        <f aca="false">IF(AND($O57="Active",$L57="利害關係方",OR($R57="—",$R57="")),1,0)</f>
        <v>0</v>
      </c>
      <c r="AH57" s="44" t="str">
        <f aca="false">IF($O57="Active",$B57&amp;"¦"&amp;$G57&amp;"¦"&amp;$H57,"")</f>
        <v>WildChat 每則用戶 token 數¦2023-04～2024-05；GPT-3.5／GPT-4 API 免費代理；每則回覆 441.3 tok；每對話 2.54 輪；標準差 1,609（本筆值＝用戶；回覆與輪數見口徑）¦WildChat（AI2；類比，非 ChatGPT）</v>
      </c>
    </row>
    <row r="58" customFormat="false" ht="72" hidden="false" customHeight="true" outlineLevel="0" collapsed="false">
      <c r="A58" s="30" t="s">
        <v>9421</v>
      </c>
      <c r="B58" s="243" t="s">
        <v>9422</v>
      </c>
      <c r="C58" s="241" t="n">
        <v>0.07</v>
      </c>
      <c r="D58" s="205"/>
      <c r="E58" s="241" t="n">
        <v>0.24</v>
      </c>
      <c r="F58" s="30" t="s">
        <v>113</v>
      </c>
      <c r="G58" s="30" t="s">
        <v>9423</v>
      </c>
      <c r="H58" s="30" t="s">
        <v>9182</v>
      </c>
      <c r="I58" s="30" t="s">
        <v>9424</v>
      </c>
      <c r="J58" s="6" t="s">
        <v>9425</v>
      </c>
      <c r="K58" s="205" t="n">
        <v>2</v>
      </c>
      <c r="L58" s="205" t="s">
        <v>7551</v>
      </c>
      <c r="M58" s="6" t="s">
        <v>9426</v>
      </c>
      <c r="N58" s="205" t="s">
        <v>9427</v>
      </c>
      <c r="O58" s="30" t="s">
        <v>7554</v>
      </c>
      <c r="P58" s="30" t="s">
        <v>751</v>
      </c>
      <c r="Q58" s="30" t="s">
        <v>9428</v>
      </c>
      <c r="R58" s="30" t="s">
        <v>751</v>
      </c>
      <c r="S58" s="30" t="s">
        <v>751</v>
      </c>
      <c r="T58" s="30" t="s">
        <v>751</v>
      </c>
      <c r="U58" s="30" t="s">
        <v>9390</v>
      </c>
      <c r="V58" s="243" t="s">
        <v>9429</v>
      </c>
      <c r="W58" s="6" t="s">
        <v>9430</v>
      </c>
      <c r="X58" s="32" t="n">
        <f aca="false">IF($O58="Active",SUMPRODUCT(($AH$5:$AH$127=$AH58)*1),0)</f>
        <v>1</v>
      </c>
      <c r="Y58" s="32" t="n">
        <f aca="false">IF(AND($O58="Active",OR($Q58="—",$Q58="")),1,0)</f>
        <v>0</v>
      </c>
      <c r="Z58" s="32" t="n">
        <f aca="false">IF(AND($O58="Active",$L58="利害關係方",OR($R58="—",$R58="")),1,0)</f>
        <v>1</v>
      </c>
      <c r="AH58" s="44" t="str">
        <f aca="false">IF($O58="Active",$B58&amp;"¦"&amp;$G58&amp;"¦"&amp;$H58,"")</f>
        <v>推理模型每日用戶占比（免費／Plus）¦GPT-5 發布後（2025-08）；免費 &lt;1% → 7%（本筆值）、Plus 7% → 24%（高欄）；用戶占比，非訊息占比¦OpenAI ChatGPT</v>
      </c>
    </row>
    <row r="59" customFormat="false" ht="72" hidden="false" customHeight="true" outlineLevel="0" collapsed="false">
      <c r="A59" s="30" t="s">
        <v>9431</v>
      </c>
      <c r="B59" s="6" t="s">
        <v>9432</v>
      </c>
      <c r="C59" s="241" t="n">
        <v>27000</v>
      </c>
      <c r="D59" s="205"/>
      <c r="E59" s="241" t="n">
        <v>400000</v>
      </c>
      <c r="F59" s="30" t="s">
        <v>308</v>
      </c>
      <c r="G59" s="205" t="s">
        <v>9433</v>
      </c>
      <c r="H59" s="30" t="s">
        <v>9182</v>
      </c>
      <c r="I59" s="30" t="s">
        <v>9434</v>
      </c>
      <c r="J59" s="6" t="s">
        <v>9435</v>
      </c>
      <c r="K59" s="205" t="n">
        <v>1</v>
      </c>
      <c r="L59" s="205" t="s">
        <v>7551</v>
      </c>
      <c r="M59" s="6" t="s">
        <v>9185</v>
      </c>
      <c r="N59" s="205" t="s">
        <v>7553</v>
      </c>
      <c r="O59" s="30" t="s">
        <v>7554</v>
      </c>
      <c r="P59" s="30" t="s">
        <v>751</v>
      </c>
      <c r="Q59" s="30" t="s">
        <v>9436</v>
      </c>
      <c r="R59" s="30" t="s">
        <v>751</v>
      </c>
      <c r="S59" s="30" t="s">
        <v>751</v>
      </c>
      <c r="T59" s="30" t="s">
        <v>751</v>
      </c>
      <c r="U59" s="30" t="s">
        <v>9390</v>
      </c>
      <c r="V59" s="243" t="s">
        <v>9437</v>
      </c>
      <c r="W59" s="6" t="s">
        <v>9438</v>
      </c>
      <c r="X59" s="32" t="n">
        <f aca="false">IF($O59="Active",SUMPRODUCT(($AH$5:$AH$127=$AH59)*1),0)</f>
        <v>1</v>
      </c>
      <c r="Y59" s="32" t="n">
        <f aca="false">IF(AND($O59="Active",OR($Q59="—",$Q59="")),1,0)</f>
        <v>0</v>
      </c>
      <c r="Z59" s="32" t="n">
        <f aca="false">IF(AND($O59="Active",$L59="利害關係方",OR($R59="—",$R59="")),1,0)</f>
        <v>1</v>
      </c>
      <c r="AH59" s="44" t="str">
        <f aca="false">IF($O59="Active",$B59&amp;"¦"&amp;$G59&amp;"¦"&amp;$H59,"")</f>
        <v>ChatGPT 方案上下文上限¦現行（2026-10）；Instant：Free 27K（本筆值）／Go·Plus 54K／Pro 128K；推理模型：Go·Plus 256K／Pro 400K（高欄）；Free／Go 不限文字訊息（受濫用防護）¦OpenAI ChatGPT</v>
      </c>
    </row>
    <row r="60" customFormat="false" ht="72" hidden="false" customHeight="true" outlineLevel="0" collapsed="false">
      <c r="A60" s="30" t="s">
        <v>9439</v>
      </c>
      <c r="B60" s="6" t="s">
        <v>9440</v>
      </c>
      <c r="C60" s="241" t="n">
        <v>1</v>
      </c>
      <c r="D60" s="205"/>
      <c r="E60" s="205"/>
      <c r="F60" s="30" t="s">
        <v>9441</v>
      </c>
      <c r="G60" s="205" t="s">
        <v>9442</v>
      </c>
      <c r="H60" s="30" t="s">
        <v>9182</v>
      </c>
      <c r="I60" s="30" t="s">
        <v>9443</v>
      </c>
      <c r="J60" s="6" t="s">
        <v>9444</v>
      </c>
      <c r="K60" s="205" t="n">
        <v>2</v>
      </c>
      <c r="L60" s="205" t="s">
        <v>7551</v>
      </c>
      <c r="M60" s="6" t="s">
        <v>9445</v>
      </c>
      <c r="N60" s="205" t="s">
        <v>7564</v>
      </c>
      <c r="O60" s="30" t="s">
        <v>7554</v>
      </c>
      <c r="P60" s="30" t="s">
        <v>751</v>
      </c>
      <c r="Q60" s="30" t="s">
        <v>9446</v>
      </c>
      <c r="R60" s="30" t="s">
        <v>751</v>
      </c>
      <c r="S60" s="30" t="s">
        <v>751</v>
      </c>
      <c r="T60" s="30" t="s">
        <v>751</v>
      </c>
      <c r="U60" s="30" t="s">
        <v>9390</v>
      </c>
      <c r="V60" s="243" t="s">
        <v>9447</v>
      </c>
      <c r="W60" s="6" t="s">
        <v>9448</v>
      </c>
      <c r="X60" s="32" t="n">
        <f aca="false">IF($O60="Active",SUMPRODUCT(($AH$5:$AH$127=$AH60)*1),0)</f>
        <v>1</v>
      </c>
      <c r="Y60" s="32" t="n">
        <f aca="false">IF(AND($O60="Active",OR($Q60="—",$Q60="")),1,0)</f>
        <v>0</v>
      </c>
      <c r="Z60" s="32" t="n">
        <f aca="false">IF(AND($O60="Active",$L60="利害關係方",OR($R60="—",$R60="")),1,0)</f>
        <v>1</v>
      </c>
      <c r="AH60" s="44" t="str">
        <f aca="false">IF($O60="Active",$B60&amp;"¦"&amp;$G60&amp;"¦"&amp;$H60,"")</f>
        <v>ChatGPT 每週網頁搜尋次數¦「超過」；2025-04；÷ 每週 18 B 則 ≈ 5.6% 訊息觸發搜尋（Derived，期間略不同）¦OpenAI ChatGPT</v>
      </c>
    </row>
    <row r="61" customFormat="false" ht="57.75" hidden="false" customHeight="true" outlineLevel="0" collapsed="false">
      <c r="A61" s="30" t="s">
        <v>9449</v>
      </c>
      <c r="B61" s="6" t="s">
        <v>9450</v>
      </c>
      <c r="C61" s="241" t="n">
        <v>0.7</v>
      </c>
      <c r="D61" s="205"/>
      <c r="E61" s="205"/>
      <c r="F61" s="30" t="s">
        <v>9451</v>
      </c>
      <c r="G61" s="30" t="s">
        <v>9452</v>
      </c>
      <c r="H61" s="30" t="s">
        <v>9182</v>
      </c>
      <c r="I61" s="30" t="s">
        <v>9453</v>
      </c>
      <c r="J61" s="6" t="s">
        <v>9454</v>
      </c>
      <c r="K61" s="205" t="n">
        <v>2</v>
      </c>
      <c r="L61" s="205" t="s">
        <v>7551</v>
      </c>
      <c r="M61" s="6" t="s">
        <v>9445</v>
      </c>
      <c r="N61" s="205" t="s">
        <v>7564</v>
      </c>
      <c r="O61" s="30" t="s">
        <v>7554</v>
      </c>
      <c r="P61" s="30" t="s">
        <v>751</v>
      </c>
      <c r="Q61" s="30" t="s">
        <v>9455</v>
      </c>
      <c r="R61" s="30" t="s">
        <v>751</v>
      </c>
      <c r="S61" s="30" t="s">
        <v>751</v>
      </c>
      <c r="T61" s="30" t="s">
        <v>751</v>
      </c>
      <c r="U61" s="30" t="s">
        <v>9390</v>
      </c>
      <c r="V61" s="243" t="s">
        <v>9456</v>
      </c>
      <c r="W61" s="6" t="s">
        <v>9457</v>
      </c>
      <c r="X61" s="32" t="n">
        <f aca="false">IF($O61="Active",SUMPRODUCT(($AH$5:$AH$127=$AH61)*1),0)</f>
        <v>1</v>
      </c>
      <c r="Y61" s="32" t="n">
        <f aca="false">IF(AND($O61="Active",OR($Q61="—",$Q61="")),1,0)</f>
        <v>0</v>
      </c>
      <c r="Z61" s="32" t="n">
        <f aca="false">IF(AND($O61="Active",$L61="利害關係方",OR($R61="—",$R61="")),1,0)</f>
        <v>1</v>
      </c>
      <c r="AH61" s="44" t="str">
        <f aca="false">IF($O61="Active",$B61&amp;"¦"&amp;$G61&amp;"¦"&amp;$H61,"")</f>
        <v>ChatGPT 圖像生成一週張數¦2025-04 初（尖峰週）；1.3 億用戶；÷ 25 億則／日 ≈ 4% 訊息（Derived）¦OpenAI ChatGPT</v>
      </c>
    </row>
    <row r="62" customFormat="false" ht="57.75" hidden="false" customHeight="true" outlineLevel="0" collapsed="false">
      <c r="A62" s="30" t="s">
        <v>9458</v>
      </c>
      <c r="B62" s="6" t="s">
        <v>9459</v>
      </c>
      <c r="C62" s="241" t="n">
        <v>100</v>
      </c>
      <c r="D62" s="205"/>
      <c r="E62" s="205"/>
      <c r="F62" s="30" t="s">
        <v>9460</v>
      </c>
      <c r="G62" s="30" t="s">
        <v>9461</v>
      </c>
      <c r="H62" s="30" t="s">
        <v>1370</v>
      </c>
      <c r="I62" s="30" t="s">
        <v>8143</v>
      </c>
      <c r="J62" s="6" t="s">
        <v>9462</v>
      </c>
      <c r="K62" s="205" t="n">
        <v>2</v>
      </c>
      <c r="L62" s="205" t="s">
        <v>7551</v>
      </c>
      <c r="M62" s="6" t="s">
        <v>9445</v>
      </c>
      <c r="N62" s="205" t="s">
        <v>7564</v>
      </c>
      <c r="O62" s="30" t="s">
        <v>7554</v>
      </c>
      <c r="P62" s="30" t="s">
        <v>751</v>
      </c>
      <c r="Q62" s="30" t="s">
        <v>9463</v>
      </c>
      <c r="R62" s="30" t="s">
        <v>751</v>
      </c>
      <c r="S62" s="30" t="s">
        <v>751</v>
      </c>
      <c r="T62" s="30" t="s">
        <v>751</v>
      </c>
      <c r="U62" s="30" t="s">
        <v>9390</v>
      </c>
      <c r="V62" s="243" t="s">
        <v>9464</v>
      </c>
      <c r="W62" s="6" t="s">
        <v>9465</v>
      </c>
      <c r="X62" s="32" t="n">
        <f aca="false">IF($O62="Active",SUMPRODUCT(($AH$5:$AH$127=$AH62)*1),0)</f>
        <v>1</v>
      </c>
      <c r="Y62" s="32" t="n">
        <f aca="false">IF(AND($O62="Active",OR($Q62="—",$Q62="")),1,0)</f>
        <v>0</v>
      </c>
      <c r="Z62" s="32" t="n">
        <f aca="false">IF(AND($O62="Active",$L62="利害關係方",OR($R62="—",$R62="")),1,0)</f>
        <v>1</v>
      </c>
      <c r="AH62" s="44" t="str">
        <f aca="false">IF($O62="Active",$B62&amp;"¦"&amp;$G62&amp;"¦"&amp;$H62,"")</f>
        <v>OpenAI 每日產生字數¦2024-02；含 API；≈133 B tok（0.75 字／token）；÷ 2024-06 每日 4.51 億則 → 每則可見輸出約 300 tok（Derived，上界含 API）¦OpenAI</v>
      </c>
    </row>
    <row r="63" customFormat="false" ht="57.75" hidden="false" customHeight="true" outlineLevel="0" collapsed="false">
      <c r="A63" s="30" t="s">
        <v>9466</v>
      </c>
      <c r="B63" s="243" t="s">
        <v>9467</v>
      </c>
      <c r="C63" s="241" t="n">
        <v>0.35</v>
      </c>
      <c r="D63" s="205"/>
      <c r="E63" s="205"/>
      <c r="F63" s="30" t="s">
        <v>113</v>
      </c>
      <c r="G63" s="30" t="s">
        <v>9468</v>
      </c>
      <c r="H63" s="30" t="s">
        <v>9469</v>
      </c>
      <c r="I63" s="30" t="s">
        <v>9470</v>
      </c>
      <c r="J63" s="6" t="s">
        <v>9471</v>
      </c>
      <c r="K63" s="205" t="n">
        <v>1</v>
      </c>
      <c r="L63" s="205" t="s">
        <v>7658</v>
      </c>
      <c r="M63" s="6" t="s">
        <v>9472</v>
      </c>
      <c r="N63" s="205" t="s">
        <v>7553</v>
      </c>
      <c r="O63" s="30" t="s">
        <v>7554</v>
      </c>
      <c r="P63" s="30" t="s">
        <v>751</v>
      </c>
      <c r="Q63" s="30" t="s">
        <v>9473</v>
      </c>
      <c r="R63" s="30" t="s">
        <v>751</v>
      </c>
      <c r="S63" s="30" t="s">
        <v>751</v>
      </c>
      <c r="T63" s="30" t="s">
        <v>751</v>
      </c>
      <c r="U63" s="30" t="s">
        <v>9390</v>
      </c>
      <c r="V63" s="243" t="s">
        <v>9474</v>
      </c>
      <c r="W63" s="6" t="s">
        <v>9475</v>
      </c>
      <c r="X63" s="32" t="n">
        <f aca="false">IF($O63="Active",SUMPRODUCT(($AH$5:$AH$127=$AH63)*1),0)</f>
        <v>1</v>
      </c>
      <c r="Y63" s="32" t="n">
        <f aca="false">IF(AND($O63="Active",OR($Q63="—",$Q63="")),1,0)</f>
        <v>0</v>
      </c>
      <c r="Z63" s="32" t="n">
        <f aca="false">IF(AND($O63="Active",$L63="利害關係方",OR($R63="—",$R63="")),1,0)</f>
        <v>0</v>
      </c>
      <c r="AH63" s="44" t="str">
        <f aca="false">IF($O63="Active",$B63&amp;"¦"&amp;$G63&amp;"¦"&amp;$H63,"")</f>
        <v>美國成人上週用過 ChatGPT 的比例¦2025-11／12 調查 5,660 人；同調查：付費 AI 訂閱 &lt;10%、OpenAI 訂閱者占美國成人 4.6%（4.6 ÷ 35＝13% 的美國週用戶付費，Derived）¦ChatGPT（美國）</v>
      </c>
    </row>
    <row r="64" customFormat="false" ht="86.25" hidden="false" customHeight="true" outlineLevel="0" collapsed="false">
      <c r="A64" s="30" t="s">
        <v>9476</v>
      </c>
      <c r="B64" s="6" t="s">
        <v>9196</v>
      </c>
      <c r="C64" s="241" t="n">
        <v>8</v>
      </c>
      <c r="D64" s="205"/>
      <c r="E64" s="205"/>
      <c r="F64" s="205" t="s">
        <v>1441</v>
      </c>
      <c r="G64" s="205" t="s">
        <v>9477</v>
      </c>
      <c r="H64" s="30" t="s">
        <v>9198</v>
      </c>
      <c r="I64" s="30" t="s">
        <v>9478</v>
      </c>
      <c r="J64" s="6" t="s">
        <v>9479</v>
      </c>
      <c r="K64" s="205" t="n">
        <v>2</v>
      </c>
      <c r="L64" s="205" t="s">
        <v>7551</v>
      </c>
      <c r="M64" s="6" t="s">
        <v>9445</v>
      </c>
      <c r="N64" s="205" t="s">
        <v>7564</v>
      </c>
      <c r="O64" s="30" t="s">
        <v>7554</v>
      </c>
      <c r="P64" s="30" t="s">
        <v>751</v>
      </c>
      <c r="Q64" s="30" t="s">
        <v>9480</v>
      </c>
      <c r="R64" s="30" t="s">
        <v>751</v>
      </c>
      <c r="S64" s="30" t="s">
        <v>751</v>
      </c>
      <c r="T64" s="30" t="s">
        <v>751</v>
      </c>
      <c r="U64" s="30" t="s">
        <v>9390</v>
      </c>
      <c r="V64" s="243" t="s">
        <v>9481</v>
      </c>
      <c r="W64" s="6" t="s">
        <v>9482</v>
      </c>
      <c r="X64" s="32" t="n">
        <f aca="false">IF($O64="Active",SUMPRODUCT(($AH$5:$AH$127=$AH64)*1),0)</f>
        <v>1</v>
      </c>
      <c r="Y64" s="32" t="n">
        <f aca="false">IF(AND($O64="Active",OR($Q64="—",$Q64="")),1,0)</f>
        <v>0</v>
      </c>
      <c r="Z64" s="32" t="n">
        <f aca="false">IF(AND($O64="Active",$L64="利害關係方",OR($R64="—",$R64="")),1,0)</f>
        <v>1</v>
      </c>
      <c r="AH64" s="44" t="str">
        <f aca="false">IF($O64="Active",$B64&amp;"¦"&amp;$G64&amp;"¦"&amp;$H64,"")</f>
        <v>Codex 每週用戶¦時點 2026-07-14；序列 2026-02-05 1M → 03-05 2M → 04-21 4M → 05-31 5M → 07-14 8M¦OpenAI Codex</v>
      </c>
    </row>
    <row r="65" customFormat="false" ht="57.75" hidden="false" customHeight="true" outlineLevel="0" collapsed="false">
      <c r="A65" s="30" t="s">
        <v>9483</v>
      </c>
      <c r="B65" s="6" t="s">
        <v>9484</v>
      </c>
      <c r="C65" s="241" t="n">
        <v>3</v>
      </c>
      <c r="D65" s="205"/>
      <c r="E65" s="205"/>
      <c r="F65" s="30" t="s">
        <v>103</v>
      </c>
      <c r="G65" s="30" t="s">
        <v>9485</v>
      </c>
      <c r="H65" s="30" t="s">
        <v>1370</v>
      </c>
      <c r="I65" s="30" t="s">
        <v>9183</v>
      </c>
      <c r="J65" s="6" t="s">
        <v>9486</v>
      </c>
      <c r="K65" s="205" t="n">
        <v>1</v>
      </c>
      <c r="L65" s="205" t="s">
        <v>7551</v>
      </c>
      <c r="M65" s="6" t="s">
        <v>9185</v>
      </c>
      <c r="N65" s="205" t="s">
        <v>7553</v>
      </c>
      <c r="O65" s="30" t="s">
        <v>7554</v>
      </c>
      <c r="P65" s="30" t="s">
        <v>751</v>
      </c>
      <c r="Q65" s="30" t="s">
        <v>9487</v>
      </c>
      <c r="R65" s="30" t="s">
        <v>751</v>
      </c>
      <c r="S65" s="30" t="s">
        <v>751</v>
      </c>
      <c r="T65" s="30" t="s">
        <v>751</v>
      </c>
      <c r="U65" s="30" t="s">
        <v>9390</v>
      </c>
      <c r="V65" s="243" t="s">
        <v>9488</v>
      </c>
      <c r="W65" s="6" t="s">
        <v>9489</v>
      </c>
      <c r="X65" s="32" t="n">
        <f aca="false">IF($O65="Active",SUMPRODUCT(($AH$5:$AH$127=$AH65)*1),0)</f>
        <v>1</v>
      </c>
      <c r="Y65" s="32" t="n">
        <f aca="false">IF(AND($O65="Active",OR($Q65="—",$Q65="")),1,0)</f>
        <v>0</v>
      </c>
      <c r="Z65" s="32" t="n">
        <f aca="false">IF(AND($O65="Active",$L65="利害關係方",OR($R65="—",$R65="")),1,0)</f>
        <v>1</v>
      </c>
      <c r="AH65" s="44" t="str">
        <f aca="false">IF($O65="Active",$B65&amp;"¦"&amp;$G65&amp;"¦"&amp;$H65,"")</f>
        <v>OpenAI 專用推論算力（前瞻承諾）¦2026-02-27 起（前瞻，非 2025 運轉量）；另 2 GW 訓練（Vera Rubin）；口徑未明（IT／設施）；推論 ÷ 總＝60%¦OpenAI</v>
      </c>
    </row>
    <row r="66" customFormat="false" ht="86.25" hidden="false" customHeight="true" outlineLevel="0" collapsed="false">
      <c r="A66" s="30" t="s">
        <v>9490</v>
      </c>
      <c r="B66" s="6" t="s">
        <v>9491</v>
      </c>
      <c r="C66" s="241" t="n">
        <v>50</v>
      </c>
      <c r="D66" s="205"/>
      <c r="E66" s="241" t="n">
        <v>70</v>
      </c>
      <c r="F66" s="30" t="s">
        <v>2048</v>
      </c>
      <c r="G66" s="205" t="s">
        <v>9492</v>
      </c>
      <c r="H66" s="30" t="s">
        <v>1370</v>
      </c>
      <c r="I66" s="30" t="s">
        <v>3944</v>
      </c>
      <c r="J66" s="6" t="s">
        <v>9493</v>
      </c>
      <c r="K66" s="205" t="n">
        <v>2</v>
      </c>
      <c r="L66" s="205" t="s">
        <v>7551</v>
      </c>
      <c r="M66" s="243" t="s">
        <v>9494</v>
      </c>
      <c r="N66" s="205" t="s">
        <v>7564</v>
      </c>
      <c r="O66" s="30" t="s">
        <v>7554</v>
      </c>
      <c r="P66" s="30" t="s">
        <v>751</v>
      </c>
      <c r="Q66" s="30" t="s">
        <v>9495</v>
      </c>
      <c r="R66" s="30" t="s">
        <v>751</v>
      </c>
      <c r="S66" s="30" t="s">
        <v>751</v>
      </c>
      <c r="T66" s="30" t="s">
        <v>751</v>
      </c>
      <c r="U66" s="30" t="s">
        <v>9390</v>
      </c>
      <c r="V66" s="243" t="s">
        <v>9496</v>
      </c>
      <c r="W66" s="6" t="s">
        <v>9497</v>
      </c>
      <c r="X66" s="32" t="n">
        <f aca="false">IF($O66="Active",SUMPRODUCT(($AH$5:$AH$127=$AH66)*1),0)</f>
        <v>1</v>
      </c>
      <c r="Y66" s="32" t="n">
        <f aca="false">IF(AND($O66="Active",OR($Q66="—",$Q66="")),1,0)</f>
        <v>0</v>
      </c>
      <c r="Z66" s="32" t="n">
        <f aca="false">IF(AND($O66="Active",$L66="利害關係方",OR($R66="—",$R66="")),1,0)</f>
        <v>1</v>
      </c>
      <c r="AH66" s="44" t="str">
        <f aca="false">IF($O66="Active",$B66&amp;"¦"&amp;$G66&amp;"¦"&amp;$H66,"")</f>
        <v>OpenAI ARR¦時點 2026-10；OpenAI 自身營收口徑（只記自身份額，不含經雲端夥伴銷售）；高欄 70＝先前報導的毛額口徑（gross up，與 Anthropic 可比）¦OpenAI</v>
      </c>
    </row>
    <row r="67" customFormat="false" ht="57.75" hidden="false" customHeight="true" outlineLevel="0" collapsed="false">
      <c r="A67" s="30" t="s">
        <v>9498</v>
      </c>
      <c r="B67" s="6" t="s">
        <v>9499</v>
      </c>
      <c r="C67" s="241" t="n">
        <v>500</v>
      </c>
      <c r="D67" s="205"/>
      <c r="E67" s="205"/>
      <c r="F67" s="205" t="s">
        <v>1441</v>
      </c>
      <c r="G67" s="205" t="s">
        <v>9500</v>
      </c>
      <c r="H67" s="30" t="s">
        <v>9182</v>
      </c>
      <c r="I67" s="30" t="s">
        <v>9453</v>
      </c>
      <c r="J67" s="6" t="s">
        <v>9501</v>
      </c>
      <c r="K67" s="205" t="n">
        <v>2</v>
      </c>
      <c r="L67" s="205" t="s">
        <v>7551</v>
      </c>
      <c r="M67" s="6" t="s">
        <v>9445</v>
      </c>
      <c r="N67" s="205" t="s">
        <v>7564</v>
      </c>
      <c r="O67" s="30" t="s">
        <v>7554</v>
      </c>
      <c r="P67" s="30" t="s">
        <v>751</v>
      </c>
      <c r="Q67" s="30" t="s">
        <v>9502</v>
      </c>
      <c r="R67" s="30" t="s">
        <v>751</v>
      </c>
      <c r="S67" s="30" t="s">
        <v>751</v>
      </c>
      <c r="T67" s="30" t="s">
        <v>751</v>
      </c>
      <c r="U67" s="30" t="s">
        <v>9390</v>
      </c>
      <c r="V67" s="243" t="s">
        <v>9503</v>
      </c>
      <c r="W67" s="6" t="s">
        <v>9504</v>
      </c>
      <c r="X67" s="32" t="n">
        <f aca="false">IF($O67="Active",SUMPRODUCT(($AH$5:$AH$127=$AH67)*1),0)</f>
        <v>1</v>
      </c>
      <c r="Y67" s="32" t="n">
        <f aca="false">IF(AND($O67="Active",OR($Q67="—",$Q67="")),1,0)</f>
        <v>0</v>
      </c>
      <c r="Z67" s="32" t="n">
        <f aca="false">IF(AND($O67="Active",$L67="利害關係方",OR($R67="—",$R67="")),1,0)</f>
        <v>1</v>
      </c>
      <c r="AH67" s="44" t="str">
        <f aca="false">IF($O67="Active",$B67&amp;"¦"&amp;$G67&amp;"¦"&amp;$H67,"")</f>
        <v>ChatGPT 週活用戶數¦時點 2025-03；每週活躍用戶¦OpenAI ChatGPT</v>
      </c>
    </row>
    <row r="68" customFormat="false" ht="57.75" hidden="false" customHeight="true" outlineLevel="0" collapsed="false">
      <c r="A68" s="30" t="s">
        <v>9505</v>
      </c>
      <c r="B68" s="6" t="s">
        <v>9499</v>
      </c>
      <c r="C68" s="241" t="n">
        <v>700</v>
      </c>
      <c r="D68" s="205"/>
      <c r="E68" s="205"/>
      <c r="F68" s="205" t="s">
        <v>1441</v>
      </c>
      <c r="G68" s="205" t="s">
        <v>9506</v>
      </c>
      <c r="H68" s="30" t="s">
        <v>9182</v>
      </c>
      <c r="I68" s="30" t="s">
        <v>9453</v>
      </c>
      <c r="J68" s="6" t="s">
        <v>9507</v>
      </c>
      <c r="K68" s="205" t="n">
        <v>2</v>
      </c>
      <c r="L68" s="205" t="s">
        <v>7551</v>
      </c>
      <c r="M68" s="6" t="s">
        <v>9445</v>
      </c>
      <c r="N68" s="205" t="s">
        <v>7564</v>
      </c>
      <c r="O68" s="30" t="s">
        <v>7554</v>
      </c>
      <c r="P68" s="30" t="s">
        <v>751</v>
      </c>
      <c r="Q68" s="30" t="s">
        <v>9502</v>
      </c>
      <c r="R68" s="30" t="s">
        <v>751</v>
      </c>
      <c r="S68" s="30" t="s">
        <v>751</v>
      </c>
      <c r="T68" s="30" t="s">
        <v>751</v>
      </c>
      <c r="U68" s="30" t="s">
        <v>9390</v>
      </c>
      <c r="V68" s="243" t="s">
        <v>9503</v>
      </c>
      <c r="W68" s="6" t="s">
        <v>9508</v>
      </c>
      <c r="X68" s="32" t="n">
        <f aca="false">IF($O68="Active",SUMPRODUCT(($AH$5:$AH$127=$AH68)*1),0)</f>
        <v>1</v>
      </c>
      <c r="Y68" s="32" t="n">
        <f aca="false">IF(AND($O68="Active",OR($Q68="—",$Q68="")),1,0)</f>
        <v>0</v>
      </c>
      <c r="Z68" s="32" t="n">
        <f aca="false">IF(AND($O68="Active",$L68="利害關係方",OR($R68="—",$R68="")),1,0)</f>
        <v>1</v>
      </c>
      <c r="AH68" s="44" t="str">
        <f aca="false">IF($O68="Active",$B68&amp;"¦"&amp;$G68&amp;"¦"&amp;$H68,"")</f>
        <v>ChatGPT 週活用戶數¦時點 2025-07；每週活躍用戶¦OpenAI ChatGPT</v>
      </c>
    </row>
    <row r="69" customFormat="false" ht="57.75" hidden="false" customHeight="true" outlineLevel="0" collapsed="false">
      <c r="A69" s="30" t="s">
        <v>9509</v>
      </c>
      <c r="B69" s="6" t="s">
        <v>9499</v>
      </c>
      <c r="C69" s="241" t="n">
        <v>800</v>
      </c>
      <c r="D69" s="205"/>
      <c r="E69" s="205"/>
      <c r="F69" s="205" t="s">
        <v>1441</v>
      </c>
      <c r="G69" s="205" t="s">
        <v>9510</v>
      </c>
      <c r="H69" s="30" t="s">
        <v>9182</v>
      </c>
      <c r="I69" s="30" t="s">
        <v>9118</v>
      </c>
      <c r="J69" s="6" t="s">
        <v>9511</v>
      </c>
      <c r="K69" s="205" t="n">
        <v>2</v>
      </c>
      <c r="L69" s="205" t="s">
        <v>7551</v>
      </c>
      <c r="M69" s="6" t="s">
        <v>9445</v>
      </c>
      <c r="N69" s="205" t="s">
        <v>7564</v>
      </c>
      <c r="O69" s="30" t="s">
        <v>7554</v>
      </c>
      <c r="P69" s="30" t="s">
        <v>751</v>
      </c>
      <c r="Q69" s="30" t="s">
        <v>9502</v>
      </c>
      <c r="R69" s="30" t="s">
        <v>751</v>
      </c>
      <c r="S69" s="30" t="s">
        <v>751</v>
      </c>
      <c r="T69" s="30" t="s">
        <v>751</v>
      </c>
      <c r="U69" s="30" t="s">
        <v>9390</v>
      </c>
      <c r="V69" s="243" t="s">
        <v>9503</v>
      </c>
      <c r="W69" s="6" t="s">
        <v>9512</v>
      </c>
      <c r="X69" s="32" t="n">
        <f aca="false">IF($O69="Active",SUMPRODUCT(($AH$5:$AH$127=$AH69)*1),0)</f>
        <v>1</v>
      </c>
      <c r="Y69" s="32" t="n">
        <f aca="false">IF(AND($O69="Active",OR($Q69="—",$Q69="")),1,0)</f>
        <v>0</v>
      </c>
      <c r="Z69" s="32" t="n">
        <f aca="false">IF(AND($O69="Active",$L69="利害關係方",OR($R69="—",$R69="")),1,0)</f>
        <v>1</v>
      </c>
      <c r="AH69" s="44" t="str">
        <f aca="false">IF($O69="Active",$B69&amp;"¦"&amp;$G69&amp;"¦"&amp;$H69,"")</f>
        <v>ChatGPT 週活用戶數¦時點 2025-10；每週活躍用戶¦OpenAI ChatGPT</v>
      </c>
    </row>
    <row r="70" customFormat="false" ht="57.75" hidden="false" customHeight="true" outlineLevel="0" collapsed="false">
      <c r="A70" s="30" t="s">
        <v>9513</v>
      </c>
      <c r="B70" s="6" t="s">
        <v>9499</v>
      </c>
      <c r="C70" s="241" t="n">
        <v>900</v>
      </c>
      <c r="D70" s="205"/>
      <c r="E70" s="205"/>
      <c r="F70" s="205" t="s">
        <v>1441</v>
      </c>
      <c r="G70" s="205" t="s">
        <v>9514</v>
      </c>
      <c r="H70" s="30" t="s">
        <v>9182</v>
      </c>
      <c r="I70" s="30" t="s">
        <v>9183</v>
      </c>
      <c r="J70" s="6" t="s">
        <v>9184</v>
      </c>
      <c r="K70" s="205" t="n">
        <v>1</v>
      </c>
      <c r="L70" s="205" t="s">
        <v>7551</v>
      </c>
      <c r="M70" s="6" t="s">
        <v>9185</v>
      </c>
      <c r="N70" s="205" t="s">
        <v>7553</v>
      </c>
      <c r="O70" s="30" t="s">
        <v>7554</v>
      </c>
      <c r="P70" s="30" t="s">
        <v>751</v>
      </c>
      <c r="Q70" s="30" t="s">
        <v>9502</v>
      </c>
      <c r="R70" s="30" t="s">
        <v>751</v>
      </c>
      <c r="S70" s="30" t="s">
        <v>751</v>
      </c>
      <c r="T70" s="30" t="s">
        <v>751</v>
      </c>
      <c r="U70" s="30" t="s">
        <v>9390</v>
      </c>
      <c r="V70" s="243" t="s">
        <v>9503</v>
      </c>
      <c r="W70" s="6" t="s">
        <v>9515</v>
      </c>
      <c r="X70" s="32" t="n">
        <f aca="false">IF($O70="Active",SUMPRODUCT(($AH$5:$AH$127=$AH70)*1),0)</f>
        <v>1</v>
      </c>
      <c r="Y70" s="32" t="n">
        <f aca="false">IF(AND($O70="Active",OR($Q70="—",$Q70="")),1,0)</f>
        <v>0</v>
      </c>
      <c r="Z70" s="32" t="n">
        <f aca="false">IF(AND($O70="Active",$L70="利害關係方",OR($R70="—",$R70="")),1,0)</f>
        <v>1</v>
      </c>
      <c r="AH70" s="44" t="str">
        <f aca="false">IF($O70="Active",$B70&amp;"¦"&amp;$G70&amp;"¦"&amp;$H70,"")</f>
        <v>ChatGPT 週活用戶數¦時點 2026-02；每週活躍用戶¦OpenAI ChatGPT</v>
      </c>
    </row>
    <row r="71" customFormat="false" ht="57.75" hidden="false" customHeight="true" outlineLevel="0" collapsed="false">
      <c r="A71" s="30" t="s">
        <v>9516</v>
      </c>
      <c r="B71" s="6" t="s">
        <v>9499</v>
      </c>
      <c r="C71" s="241" t="n">
        <v>1000</v>
      </c>
      <c r="D71" s="205"/>
      <c r="E71" s="205"/>
      <c r="F71" s="205" t="s">
        <v>1441</v>
      </c>
      <c r="G71" s="205" t="s">
        <v>9517</v>
      </c>
      <c r="H71" s="30" t="s">
        <v>9182</v>
      </c>
      <c r="I71" s="30" t="s">
        <v>9518</v>
      </c>
      <c r="J71" s="6" t="s">
        <v>9519</v>
      </c>
      <c r="K71" s="205" t="n">
        <v>2</v>
      </c>
      <c r="L71" s="205" t="s">
        <v>7551</v>
      </c>
      <c r="M71" s="6" t="s">
        <v>9445</v>
      </c>
      <c r="N71" s="205" t="s">
        <v>7564</v>
      </c>
      <c r="O71" s="30" t="s">
        <v>7554</v>
      </c>
      <c r="P71" s="30" t="s">
        <v>751</v>
      </c>
      <c r="Q71" s="30" t="s">
        <v>9502</v>
      </c>
      <c r="R71" s="30" t="s">
        <v>751</v>
      </c>
      <c r="S71" s="30" t="s">
        <v>751</v>
      </c>
      <c r="T71" s="30" t="s">
        <v>751</v>
      </c>
      <c r="U71" s="30" t="s">
        <v>9390</v>
      </c>
      <c r="V71" s="243" t="s">
        <v>9503</v>
      </c>
      <c r="W71" s="6" t="s">
        <v>9520</v>
      </c>
      <c r="X71" s="32" t="n">
        <f aca="false">IF($O71="Active",SUMPRODUCT(($AH$5:$AH$127=$AH71)*1),0)</f>
        <v>1</v>
      </c>
      <c r="Y71" s="32" t="n">
        <f aca="false">IF(AND($O71="Active",OR($Q71="—",$Q71="")),1,0)</f>
        <v>0</v>
      </c>
      <c r="Z71" s="32" t="n">
        <f aca="false">IF(AND($O71="Active",$L71="利害關係方",OR($R71="—",$R71="")),1,0)</f>
        <v>1</v>
      </c>
      <c r="AH71" s="44" t="str">
        <f aca="false">IF($O71="Active",$B71&amp;"¦"&amp;$G71&amp;"¦"&amp;$H71,"")</f>
        <v>ChatGPT 週活用戶數¦時點 2026-07；每週活躍用戶；「超過」¦OpenAI ChatGPT</v>
      </c>
    </row>
    <row r="72" customFormat="false" ht="57.75" hidden="false" customHeight="true" outlineLevel="0" collapsed="false">
      <c r="A72" s="30" t="s">
        <v>9521</v>
      </c>
      <c r="B72" s="6" t="s">
        <v>9499</v>
      </c>
      <c r="C72" s="241" t="n">
        <v>1200</v>
      </c>
      <c r="D72" s="205"/>
      <c r="E72" s="205"/>
      <c r="F72" s="205" t="s">
        <v>1441</v>
      </c>
      <c r="G72" s="205" t="s">
        <v>9522</v>
      </c>
      <c r="H72" s="30" t="s">
        <v>9182</v>
      </c>
      <c r="I72" s="30" t="s">
        <v>6889</v>
      </c>
      <c r="J72" s="6" t="s">
        <v>9523</v>
      </c>
      <c r="K72" s="205" t="n">
        <v>1</v>
      </c>
      <c r="L72" s="205" t="s">
        <v>7551</v>
      </c>
      <c r="M72" s="6" t="s">
        <v>9185</v>
      </c>
      <c r="N72" s="205" t="s">
        <v>7553</v>
      </c>
      <c r="O72" s="30" t="s">
        <v>7554</v>
      </c>
      <c r="P72" s="30" t="s">
        <v>751</v>
      </c>
      <c r="Q72" s="30" t="s">
        <v>9502</v>
      </c>
      <c r="R72" s="30" t="s">
        <v>751</v>
      </c>
      <c r="S72" s="30" t="s">
        <v>751</v>
      </c>
      <c r="T72" s="30" t="s">
        <v>751</v>
      </c>
      <c r="U72" s="30" t="s">
        <v>9390</v>
      </c>
      <c r="V72" s="243" t="s">
        <v>9503</v>
      </c>
      <c r="W72" s="6" t="s">
        <v>9524</v>
      </c>
      <c r="X72" s="32" t="n">
        <f aca="false">IF($O72="Active",SUMPRODUCT(($AH$5:$AH$127=$AH72)*1),0)</f>
        <v>1</v>
      </c>
      <c r="Y72" s="32" t="n">
        <f aca="false">IF(AND($O72="Active",OR($Q72="—",$Q72="")),1,0)</f>
        <v>0</v>
      </c>
      <c r="Z72" s="32" t="n">
        <f aca="false">IF(AND($O72="Active",$L72="利害關係方",OR($R72="—",$R72="")),1,0)</f>
        <v>1</v>
      </c>
      <c r="AH72" s="44" t="str">
        <f aca="false">IF($O72="Active",$B72&amp;"¦"&amp;$G72&amp;"¦"&amp;$H72,"")</f>
        <v>ChatGPT 週活用戶數¦時點 2026-09；每週活躍用戶¦OpenAI ChatGPT</v>
      </c>
    </row>
    <row r="73" customFormat="false" ht="43.5" hidden="false" customHeight="true" outlineLevel="0" collapsed="false">
      <c r="A73" s="30" t="s">
        <v>9525</v>
      </c>
      <c r="B73" s="6" t="s">
        <v>9325</v>
      </c>
      <c r="C73" s="241" t="n">
        <v>5.7</v>
      </c>
      <c r="D73" s="205"/>
      <c r="E73" s="205"/>
      <c r="F73" s="30" t="s">
        <v>1023</v>
      </c>
      <c r="G73" s="30" t="s">
        <v>9526</v>
      </c>
      <c r="H73" s="30" t="s">
        <v>1370</v>
      </c>
      <c r="I73" s="30" t="s">
        <v>8308</v>
      </c>
      <c r="J73" s="6" t="s">
        <v>9527</v>
      </c>
      <c r="K73" s="205" t="n">
        <v>2</v>
      </c>
      <c r="L73" s="205" t="s">
        <v>7551</v>
      </c>
      <c r="M73" s="6" t="s">
        <v>9445</v>
      </c>
      <c r="N73" s="205" t="s">
        <v>7564</v>
      </c>
      <c r="O73" s="30" t="s">
        <v>7554</v>
      </c>
      <c r="P73" s="30" t="s">
        <v>751</v>
      </c>
      <c r="Q73" s="30" t="s">
        <v>9528</v>
      </c>
      <c r="R73" s="30" t="s">
        <v>751</v>
      </c>
      <c r="S73" s="30" t="s">
        <v>751</v>
      </c>
      <c r="T73" s="30" t="s">
        <v>751</v>
      </c>
      <c r="U73" s="30" t="s">
        <v>9529</v>
      </c>
      <c r="V73" s="6" t="s">
        <v>9530</v>
      </c>
      <c r="W73" s="6" t="s">
        <v>9531</v>
      </c>
      <c r="X73" s="32" t="n">
        <f aca="false">IF($O73="Active",SUMPRODUCT(($AH$5:$AH$127=$AH73)*1),0)</f>
        <v>1</v>
      </c>
      <c r="Y73" s="32" t="n">
        <f aca="false">IF(AND($O73="Active",OR($Q73="—",$Q73="")),1,0)</f>
        <v>0</v>
      </c>
      <c r="Z73" s="32" t="n">
        <f aca="false">IF(AND($O73="Active",$L73="利害關係方",OR($R73="—",$R73="")),1,0)</f>
        <v>1</v>
      </c>
      <c r="AH73" s="44" t="str">
        <f aca="false">IF($O73="Active",$B73&amp;"¦"&amp;$G73&amp;"¦"&amp;$H73,"")</f>
        <v>OpenAI 季營收¦2026 Q1；季度（確認值）¦OpenAI</v>
      </c>
    </row>
    <row r="74" customFormat="false" ht="43.5" hidden="false" customHeight="true" outlineLevel="0" collapsed="false">
      <c r="A74" s="30" t="s">
        <v>9532</v>
      </c>
      <c r="B74" s="6" t="s">
        <v>9533</v>
      </c>
      <c r="C74" s="241" t="n">
        <v>14.1</v>
      </c>
      <c r="D74" s="241" t="n">
        <v>12</v>
      </c>
      <c r="E74" s="241" t="n">
        <v>18</v>
      </c>
      <c r="F74" s="30" t="s">
        <v>1023</v>
      </c>
      <c r="G74" s="30" t="s">
        <v>9534</v>
      </c>
      <c r="H74" s="30" t="s">
        <v>1370</v>
      </c>
      <c r="I74" s="30" t="s">
        <v>7561</v>
      </c>
      <c r="J74" s="6" t="s">
        <v>9535</v>
      </c>
      <c r="K74" s="205" t="n">
        <v>3</v>
      </c>
      <c r="L74" s="205" t="s">
        <v>7551</v>
      </c>
      <c r="M74" s="6" t="s">
        <v>9536</v>
      </c>
      <c r="N74" s="205" t="s">
        <v>7564</v>
      </c>
      <c r="O74" s="30" t="s">
        <v>7600</v>
      </c>
      <c r="P74" s="30" t="s">
        <v>751</v>
      </c>
      <c r="Q74" s="30" t="s">
        <v>9537</v>
      </c>
      <c r="R74" s="30" t="s">
        <v>751</v>
      </c>
      <c r="S74" s="30" t="s">
        <v>751</v>
      </c>
      <c r="T74" s="30" t="s">
        <v>751</v>
      </c>
      <c r="U74" s="30" t="s">
        <v>9529</v>
      </c>
      <c r="V74" s="6" t="s">
        <v>9538</v>
      </c>
      <c r="W74" s="6" t="s">
        <v>9539</v>
      </c>
      <c r="X74" s="32" t="n">
        <f aca="false">IF($O74="Active",SUMPRODUCT(($AH$5:$AH$127=$AH74)*1),0)</f>
        <v>0</v>
      </c>
      <c r="Y74" s="32" t="n">
        <f aca="false">IF(AND($O74="Active",OR($Q74="—",$Q74="")),1,0)</f>
        <v>0</v>
      </c>
      <c r="Z74" s="32" t="n">
        <f aca="false">IF(AND($O74="Active",$L74="利害關係方",OR($R74="—",$R74="")),1,0)</f>
        <v>0</v>
      </c>
      <c r="AH74" s="44" t="str">
        <f aca="false">IF($O74="Active",$B74&amp;"¦"&amp;$G74&amp;"¦"&amp;$H74,"")</f>
        <v/>
      </c>
    </row>
    <row r="75" customFormat="false" ht="54.75" hidden="false" customHeight="true" outlineLevel="0" collapsed="false">
      <c r="A75" s="30" t="s">
        <v>6275</v>
      </c>
      <c r="B75" s="6" t="s">
        <v>9540</v>
      </c>
      <c r="C75" s="241" t="n">
        <v>0.2</v>
      </c>
      <c r="D75" s="241" t="n">
        <v>0.15</v>
      </c>
      <c r="E75" s="241" t="n">
        <v>0.2</v>
      </c>
      <c r="F75" s="30" t="s">
        <v>113</v>
      </c>
      <c r="G75" s="30" t="s">
        <v>9541</v>
      </c>
      <c r="H75" s="30" t="s">
        <v>1370</v>
      </c>
      <c r="I75" s="30" t="s">
        <v>7561</v>
      </c>
      <c r="J75" s="6" t="s">
        <v>9542</v>
      </c>
      <c r="K75" s="205" t="n">
        <v>3</v>
      </c>
      <c r="L75" s="205" t="s">
        <v>7551</v>
      </c>
      <c r="M75" s="6" t="s">
        <v>9543</v>
      </c>
      <c r="N75" s="205" t="s">
        <v>7564</v>
      </c>
      <c r="O75" s="30" t="s">
        <v>7554</v>
      </c>
      <c r="P75" s="30" t="s">
        <v>751</v>
      </c>
      <c r="Q75" s="30" t="s">
        <v>9544</v>
      </c>
      <c r="R75" s="30" t="s">
        <v>751</v>
      </c>
      <c r="S75" s="30" t="s">
        <v>751</v>
      </c>
      <c r="T75" s="30" t="s">
        <v>751</v>
      </c>
      <c r="U75" s="30" t="s">
        <v>9529</v>
      </c>
      <c r="V75" s="6" t="s">
        <v>9545</v>
      </c>
      <c r="W75" s="6" t="s">
        <v>9546</v>
      </c>
      <c r="X75" s="32" t="n">
        <f aca="false">IF($O75="Active",SUMPRODUCT(($AH$5:$AH$127=$AH75)*1),0)</f>
        <v>1</v>
      </c>
      <c r="Y75" s="32" t="n">
        <f aca="false">IF(AND($O75="Active",OR($Q75="—",$Q75="")),1,0)</f>
        <v>0</v>
      </c>
      <c r="Z75" s="32" t="n">
        <f aca="false">IF(AND($O75="Active",$L75="利害關係方",OR($R75="—",$R75="")),1,0)</f>
        <v>1</v>
      </c>
      <c r="AH75" s="44" t="str">
        <f aca="false">IF($O75="Active",$B75&amp;"¦"&amp;$G75&amp;"¦"&amp;$H75,"")</f>
        <v>OpenAI API 占營收¦2026 初；Sacra 15–20%（本筆值＝高端 0.20，J18 的 API 份額依據；低欄 0.15）¦OpenAI</v>
      </c>
    </row>
    <row r="76" customFormat="false" ht="43.5" hidden="false" customHeight="true" outlineLevel="0" collapsed="false">
      <c r="A76" s="30" t="s">
        <v>6396</v>
      </c>
      <c r="B76" s="6" t="s">
        <v>9547</v>
      </c>
      <c r="C76" s="241" t="n">
        <v>1</v>
      </c>
      <c r="D76" s="205"/>
      <c r="E76" s="205"/>
      <c r="F76" s="30" t="s">
        <v>1023</v>
      </c>
      <c r="G76" s="205" t="s">
        <v>9548</v>
      </c>
      <c r="H76" s="30" t="s">
        <v>1370</v>
      </c>
      <c r="I76" s="30" t="s">
        <v>9549</v>
      </c>
      <c r="J76" s="6" t="s">
        <v>9550</v>
      </c>
      <c r="K76" s="205" t="n">
        <v>2</v>
      </c>
      <c r="L76" s="205" t="s">
        <v>7551</v>
      </c>
      <c r="M76" s="6" t="s">
        <v>9445</v>
      </c>
      <c r="N76" s="205" t="s">
        <v>7564</v>
      </c>
      <c r="O76" s="30" t="s">
        <v>7554</v>
      </c>
      <c r="P76" s="30" t="s">
        <v>751</v>
      </c>
      <c r="Q76" s="30" t="s">
        <v>9551</v>
      </c>
      <c r="R76" s="30" t="s">
        <v>751</v>
      </c>
      <c r="S76" s="30" t="s">
        <v>751</v>
      </c>
      <c r="T76" s="30" t="s">
        <v>751</v>
      </c>
      <c r="U76" s="30" t="s">
        <v>9552</v>
      </c>
      <c r="V76" s="6" t="s">
        <v>9553</v>
      </c>
      <c r="W76" s="6" t="s">
        <v>9554</v>
      </c>
      <c r="X76" s="32" t="n">
        <f aca="false">IF($O76="Active",SUMPRODUCT(($AH$5:$AH$127=$AH76)*1),0)</f>
        <v>1</v>
      </c>
      <c r="Y76" s="32" t="n">
        <f aca="false">IF(AND($O76="Active",OR($Q76="—",$Q76="")),1,0)</f>
        <v>0</v>
      </c>
      <c r="Z76" s="32" t="n">
        <f aca="false">IF(AND($O76="Active",$L76="利害關係方",OR($R76="—",$R76="")),1,0)</f>
        <v>1</v>
      </c>
      <c r="AH76" s="44" t="str">
        <f aca="false">IF($O76="Active",$B76&amp;"¦"&amp;$G76&amp;"¦"&amp;$H76,"")</f>
        <v>OpenAI 廣告年化營收¦年化（run-rate）；廣告上線約 200 天後；2026-08 時點值¦OpenAI</v>
      </c>
    </row>
    <row r="77" customFormat="false" ht="69" hidden="false" customHeight="true" outlineLevel="0" collapsed="false">
      <c r="A77" s="30" t="s">
        <v>9555</v>
      </c>
      <c r="B77" s="6" t="s">
        <v>9556</v>
      </c>
      <c r="C77" s="241" t="n">
        <v>7.5</v>
      </c>
      <c r="D77" s="205"/>
      <c r="E77" s="205"/>
      <c r="F77" s="30" t="s">
        <v>1023</v>
      </c>
      <c r="G77" s="205" t="s">
        <v>9557</v>
      </c>
      <c r="H77" s="30" t="s">
        <v>1370</v>
      </c>
      <c r="I77" s="30" t="s">
        <v>9558</v>
      </c>
      <c r="J77" s="6" t="s">
        <v>9559</v>
      </c>
      <c r="K77" s="205" t="n">
        <v>2</v>
      </c>
      <c r="L77" s="205" t="s">
        <v>7658</v>
      </c>
      <c r="M77" s="243" t="s">
        <v>9560</v>
      </c>
      <c r="N77" s="205" t="s">
        <v>9561</v>
      </c>
      <c r="O77" s="30" t="s">
        <v>7554</v>
      </c>
      <c r="P77" s="30" t="s">
        <v>751</v>
      </c>
      <c r="Q77" s="30" t="s">
        <v>9562</v>
      </c>
      <c r="R77" s="30" t="s">
        <v>751</v>
      </c>
      <c r="S77" s="30" t="s">
        <v>751</v>
      </c>
      <c r="T77" s="30" t="s">
        <v>751</v>
      </c>
      <c r="U77" s="30" t="s">
        <v>9563</v>
      </c>
      <c r="V77" s="6" t="s">
        <v>9564</v>
      </c>
      <c r="W77" s="6" t="s">
        <v>9565</v>
      </c>
      <c r="X77" s="32" t="n">
        <f aca="false">IF($O77="Active",SUMPRODUCT(($AH$5:$AH$127=$AH77)*1),0)</f>
        <v>1</v>
      </c>
      <c r="Y77" s="32" t="n">
        <f aca="false">IF(AND($O77="Active",OR($Q77="—",$Q77="")),1,0)</f>
        <v>0</v>
      </c>
      <c r="Z77" s="32" t="n">
        <f aca="false">IF(AND($O77="Active",$L77="利害關係方",OR($R77="—",$R77="")),1,0)</f>
        <v>0</v>
      </c>
      <c r="AH77" s="44" t="str">
        <f aca="false">IF($O77="Active",$B77&amp;"¦"&amp;$G77&amp;"¦"&amp;$H77,"")</f>
        <v>OpenAI 2025 營業成本（查核財報）¦年度；經會計師查核之 2025 財務報表的營業成本（含所有供應商）；其中付 Microsoft 6.047；研發 191.8 中付 Microsoft 10.59；付 Microsoft 合計 17.2¦OpenAI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7"/>
    <col collapsed="false" customWidth="true" hidden="false" outlineLevel="0" max="4" min="4" style="0" width="12"/>
    <col collapsed="false" customWidth="true" hidden="false" outlineLevel="0" max="5" min="5" style="0" width="8"/>
    <col collapsed="false" customWidth="true" hidden="false" outlineLevel="0" max="6" min="6" style="0" width="11"/>
  </cols>
  <sheetData>
    <row r="1" customFormat="false" ht="20.1" hidden="false" customHeight="false" outlineLevel="0" collapsed="false">
      <c r="A1" s="58" t="s">
        <v>9566</v>
      </c>
    </row>
    <row r="2" customFormat="false" ht="15" hidden="false" customHeight="false" outlineLevel="0" collapsed="false">
      <c r="A2" s="59" t="s">
        <v>9567</v>
      </c>
    </row>
    <row r="4" customFormat="false" ht="15" hidden="false" customHeight="false" outlineLevel="0" collapsed="false">
      <c r="A4" s="10" t="s">
        <v>7527</v>
      </c>
      <c r="B4" s="60" t="s">
        <v>12</v>
      </c>
      <c r="C4" s="60" t="s">
        <v>9568</v>
      </c>
      <c r="D4" s="60" t="s">
        <v>738</v>
      </c>
      <c r="E4" s="60" t="s">
        <v>4289</v>
      </c>
      <c r="F4" s="60" t="s">
        <v>9569</v>
      </c>
    </row>
    <row r="5" customFormat="false" ht="15" hidden="false" customHeight="false" outlineLevel="0" collapsed="false">
      <c r="A5" s="92" t="str">
        <f aca="false">SRC_HW!$A5&amp;""</f>
        <v>SRC_HW_001</v>
      </c>
      <c r="B5" s="62" t="s">
        <v>9570</v>
      </c>
      <c r="C5" s="61" t="n">
        <v>5</v>
      </c>
      <c r="D5" s="92" t="str">
        <f aca="false">SRC_HW!$O5</f>
        <v>Active</v>
      </c>
      <c r="E5" s="92" t="n">
        <f aca="false">SRC_HW!$K5</f>
        <v>1</v>
      </c>
      <c r="F5" s="92" t="str">
        <f aca="false">SRC_HW!$S5</f>
        <v>2026-10-05</v>
      </c>
    </row>
    <row r="6" customFormat="false" ht="15" hidden="false" customHeight="false" outlineLevel="0" collapsed="false">
      <c r="A6" s="92" t="str">
        <f aca="false">SRC_HW!$A6&amp;""</f>
        <v>SRC_HW_002</v>
      </c>
      <c r="B6" s="62" t="s">
        <v>9570</v>
      </c>
      <c r="C6" s="61" t="n">
        <v>6</v>
      </c>
      <c r="D6" s="92" t="str">
        <f aca="false">SRC_HW!$O6</f>
        <v>Active</v>
      </c>
      <c r="E6" s="92" t="n">
        <f aca="false">SRC_HW!$K6</f>
        <v>3</v>
      </c>
      <c r="F6" s="92" t="str">
        <f aca="false">SRC_HW!$S6</f>
        <v>—</v>
      </c>
    </row>
    <row r="7" customFormat="false" ht="15" hidden="false" customHeight="false" outlineLevel="0" collapsed="false">
      <c r="A7" s="92" t="str">
        <f aca="false">SRC_HW!$A7&amp;""</f>
        <v>SRC_HW_003</v>
      </c>
      <c r="B7" s="62" t="s">
        <v>9570</v>
      </c>
      <c r="C7" s="61" t="n">
        <v>7</v>
      </c>
      <c r="D7" s="92" t="str">
        <f aca="false">SRC_HW!$O7</f>
        <v>Active</v>
      </c>
      <c r="E7" s="92" t="n">
        <f aca="false">SRC_HW!$K7</f>
        <v>2</v>
      </c>
      <c r="F7" s="92" t="str">
        <f aca="false">SRC_HW!$S7</f>
        <v>2026-10-05</v>
      </c>
    </row>
    <row r="8" customFormat="false" ht="15" hidden="false" customHeight="false" outlineLevel="0" collapsed="false">
      <c r="A8" s="92" t="str">
        <f aca="false">SRC_HW!$A8&amp;""</f>
        <v>SRC_HW_004</v>
      </c>
      <c r="B8" s="62" t="s">
        <v>9570</v>
      </c>
      <c r="C8" s="61" t="n">
        <v>8</v>
      </c>
      <c r="D8" s="92" t="str">
        <f aca="false">SRC_HW!$O8</f>
        <v>Active</v>
      </c>
      <c r="E8" s="92" t="n">
        <f aca="false">SRC_HW!$K8</f>
        <v>1</v>
      </c>
      <c r="F8" s="92" t="str">
        <f aca="false">SRC_HW!$S8</f>
        <v>2026-10-05</v>
      </c>
    </row>
    <row r="9" customFormat="false" ht="15" hidden="false" customHeight="false" outlineLevel="0" collapsed="false">
      <c r="A9" s="92" t="str">
        <f aca="false">SRC_HW!$A9&amp;""</f>
        <v>SRC_HW_005</v>
      </c>
      <c r="B9" s="62" t="s">
        <v>9570</v>
      </c>
      <c r="C9" s="61" t="n">
        <v>9</v>
      </c>
      <c r="D9" s="92" t="str">
        <f aca="false">SRC_HW!$O9</f>
        <v>Active</v>
      </c>
      <c r="E9" s="92" t="n">
        <f aca="false">SRC_HW!$K9</f>
        <v>2</v>
      </c>
      <c r="F9" s="92" t="str">
        <f aca="false">SRC_HW!$S9</f>
        <v>2026-10-05</v>
      </c>
    </row>
    <row r="10" customFormat="false" ht="15" hidden="false" customHeight="false" outlineLevel="0" collapsed="false">
      <c r="A10" s="92" t="str">
        <f aca="false">SRC_HW!$A10&amp;""</f>
        <v>SRC_HW_006</v>
      </c>
      <c r="B10" s="62" t="s">
        <v>9570</v>
      </c>
      <c r="C10" s="61" t="n">
        <v>10</v>
      </c>
      <c r="D10" s="92" t="str">
        <f aca="false">SRC_HW!$O10</f>
        <v>Active</v>
      </c>
      <c r="E10" s="92" t="n">
        <f aca="false">SRC_HW!$K10</f>
        <v>2</v>
      </c>
      <c r="F10" s="92" t="str">
        <f aca="false">SRC_HW!$S10</f>
        <v>2026-10-05</v>
      </c>
    </row>
    <row r="11" customFormat="false" ht="15" hidden="false" customHeight="false" outlineLevel="0" collapsed="false">
      <c r="A11" s="92" t="str">
        <f aca="false">SRC_HW!$A11&amp;""</f>
        <v>SRC_HW_007</v>
      </c>
      <c r="B11" s="62" t="s">
        <v>9570</v>
      </c>
      <c r="C11" s="61" t="n">
        <v>11</v>
      </c>
      <c r="D11" s="92" t="str">
        <f aca="false">SRC_HW!$O11</f>
        <v>Alt</v>
      </c>
      <c r="E11" s="92" t="n">
        <f aca="false">SRC_HW!$K11</f>
        <v>3</v>
      </c>
      <c r="F11" s="92" t="str">
        <f aca="false">SRC_HW!$S11</f>
        <v>—</v>
      </c>
    </row>
    <row r="12" customFormat="false" ht="15" hidden="false" customHeight="false" outlineLevel="0" collapsed="false">
      <c r="A12" s="92" t="str">
        <f aca="false">SRC_HW!$A12&amp;""</f>
        <v>SRC_HW_008</v>
      </c>
      <c r="B12" s="62" t="s">
        <v>9570</v>
      </c>
      <c r="C12" s="61" t="n">
        <v>12</v>
      </c>
      <c r="D12" s="92" t="str">
        <f aca="false">SRC_HW!$O12</f>
        <v>Alt</v>
      </c>
      <c r="E12" s="92" t="n">
        <f aca="false">SRC_HW!$K12</f>
        <v>3</v>
      </c>
      <c r="F12" s="92" t="str">
        <f aca="false">SRC_HW!$S12</f>
        <v>—</v>
      </c>
    </row>
    <row r="13" customFormat="false" ht="15" hidden="false" customHeight="false" outlineLevel="0" collapsed="false">
      <c r="A13" s="92" t="str">
        <f aca="false">SRC_HW!$A13&amp;""</f>
        <v>SRC_HW_009</v>
      </c>
      <c r="B13" s="62" t="s">
        <v>9570</v>
      </c>
      <c r="C13" s="61" t="n">
        <v>13</v>
      </c>
      <c r="D13" s="92" t="str">
        <f aca="false">SRC_HW!$O13</f>
        <v>Active</v>
      </c>
      <c r="E13" s="92" t="n">
        <f aca="false">SRC_HW!$K13</f>
        <v>3</v>
      </c>
      <c r="F13" s="92" t="str">
        <f aca="false">SRC_HW!$S13</f>
        <v>—</v>
      </c>
    </row>
    <row r="14" customFormat="false" ht="15" hidden="false" customHeight="false" outlineLevel="0" collapsed="false">
      <c r="A14" s="92" t="str">
        <f aca="false">SRC_HW!$A14&amp;""</f>
        <v>SRC_HW_010</v>
      </c>
      <c r="B14" s="62" t="s">
        <v>9570</v>
      </c>
      <c r="C14" s="61" t="n">
        <v>14</v>
      </c>
      <c r="D14" s="92" t="str">
        <f aca="false">SRC_HW!$O14</f>
        <v>Active</v>
      </c>
      <c r="E14" s="92" t="n">
        <f aca="false">SRC_HW!$K14</f>
        <v>2</v>
      </c>
      <c r="F14" s="92" t="str">
        <f aca="false">SRC_HW!$S14</f>
        <v>2026-10-08</v>
      </c>
    </row>
    <row r="15" customFormat="false" ht="15" hidden="false" customHeight="false" outlineLevel="0" collapsed="false">
      <c r="A15" s="92" t="str">
        <f aca="false">SRC_HW!$A15&amp;""</f>
        <v>SRC_HW_011</v>
      </c>
      <c r="B15" s="62" t="s">
        <v>9570</v>
      </c>
      <c r="C15" s="61" t="n">
        <v>15</v>
      </c>
      <c r="D15" s="92" t="str">
        <f aca="false">SRC_HW!$O15</f>
        <v>Active</v>
      </c>
      <c r="E15" s="92" t="n">
        <f aca="false">SRC_HW!$K15</f>
        <v>1</v>
      </c>
      <c r="F15" s="92" t="str">
        <f aca="false">SRC_HW!$S15</f>
        <v>2026-10-05</v>
      </c>
    </row>
    <row r="16" customFormat="false" ht="15" hidden="false" customHeight="false" outlineLevel="0" collapsed="false">
      <c r="A16" s="92" t="str">
        <f aca="false">SRC_HW!$A16&amp;""</f>
        <v>SRC_HW_012</v>
      </c>
      <c r="B16" s="62" t="s">
        <v>9570</v>
      </c>
      <c r="C16" s="61" t="n">
        <v>16</v>
      </c>
      <c r="D16" s="92" t="str">
        <f aca="false">SRC_HW!$O16</f>
        <v>Active</v>
      </c>
      <c r="E16" s="92" t="n">
        <f aca="false">SRC_HW!$K16</f>
        <v>3</v>
      </c>
      <c r="F16" s="92" t="str">
        <f aca="false">SRC_HW!$S16</f>
        <v>—</v>
      </c>
    </row>
    <row r="17" customFormat="false" ht="15" hidden="false" customHeight="false" outlineLevel="0" collapsed="false">
      <c r="A17" s="92" t="str">
        <f aca="false">SRC_HW!$A17&amp;""</f>
        <v>SRC_HW_013</v>
      </c>
      <c r="B17" s="62" t="s">
        <v>9570</v>
      </c>
      <c r="C17" s="61" t="n">
        <v>17</v>
      </c>
      <c r="D17" s="92" t="str">
        <f aca="false">SRC_HW!$O17</f>
        <v>Superseded</v>
      </c>
      <c r="E17" s="92" t="n">
        <f aca="false">SRC_HW!$K17</f>
        <v>3</v>
      </c>
      <c r="F17" s="92" t="str">
        <f aca="false">SRC_HW!$S17</f>
        <v>—</v>
      </c>
    </row>
    <row r="18" customFormat="false" ht="15" hidden="false" customHeight="false" outlineLevel="0" collapsed="false">
      <c r="A18" s="92" t="str">
        <f aca="false">SRC_HW!$A18&amp;""</f>
        <v>SRC_HW_014</v>
      </c>
      <c r="B18" s="62" t="s">
        <v>9570</v>
      </c>
      <c r="C18" s="61" t="n">
        <v>18</v>
      </c>
      <c r="D18" s="92" t="str">
        <f aca="false">SRC_HW!$O18</f>
        <v>Active</v>
      </c>
      <c r="E18" s="92" t="n">
        <f aca="false">SRC_HW!$K18</f>
        <v>1</v>
      </c>
      <c r="F18" s="92" t="str">
        <f aca="false">SRC_HW!$S18</f>
        <v>2026-10-05</v>
      </c>
    </row>
    <row r="19" customFormat="false" ht="15" hidden="false" customHeight="false" outlineLevel="0" collapsed="false">
      <c r="A19" s="92" t="str">
        <f aca="false">SRC_HW!$A19&amp;""</f>
        <v>SRC_HW_015</v>
      </c>
      <c r="B19" s="62" t="s">
        <v>9570</v>
      </c>
      <c r="C19" s="61" t="n">
        <v>19</v>
      </c>
      <c r="D19" s="92" t="str">
        <f aca="false">SRC_HW!$O19</f>
        <v>Active</v>
      </c>
      <c r="E19" s="92" t="n">
        <f aca="false">SRC_HW!$K19</f>
        <v>2</v>
      </c>
      <c r="F19" s="92" t="str">
        <f aca="false">SRC_HW!$S19</f>
        <v>2026-10-05</v>
      </c>
    </row>
    <row r="20" customFormat="false" ht="15" hidden="false" customHeight="false" outlineLevel="0" collapsed="false">
      <c r="A20" s="92" t="str">
        <f aca="false">SRC_HW!$A20&amp;""</f>
        <v>SRC_HW_016</v>
      </c>
      <c r="B20" s="62" t="s">
        <v>9570</v>
      </c>
      <c r="C20" s="61" t="n">
        <v>20</v>
      </c>
      <c r="D20" s="92" t="str">
        <f aca="false">SRC_HW!$O20</f>
        <v>Alt</v>
      </c>
      <c r="E20" s="92" t="n">
        <f aca="false">SRC_HW!$K20</f>
        <v>3</v>
      </c>
      <c r="F20" s="92" t="str">
        <f aca="false">SRC_HW!$S20</f>
        <v>—</v>
      </c>
    </row>
    <row r="21" customFormat="false" ht="15" hidden="false" customHeight="false" outlineLevel="0" collapsed="false">
      <c r="A21" s="92" t="str">
        <f aca="false">SRC_HW!$A21&amp;""</f>
        <v>SRC_HW_017</v>
      </c>
      <c r="B21" s="62" t="s">
        <v>9570</v>
      </c>
      <c r="C21" s="61" t="n">
        <v>21</v>
      </c>
      <c r="D21" s="92" t="str">
        <f aca="false">SRC_HW!$O21</f>
        <v>Alt</v>
      </c>
      <c r="E21" s="92" t="n">
        <f aca="false">SRC_HW!$K21</f>
        <v>2</v>
      </c>
      <c r="F21" s="92" t="str">
        <f aca="false">SRC_HW!$S21</f>
        <v>2026-10-08</v>
      </c>
    </row>
    <row r="22" customFormat="false" ht="15" hidden="false" customHeight="false" outlineLevel="0" collapsed="false">
      <c r="A22" s="92" t="str">
        <f aca="false">SRC_HW!$A22&amp;""</f>
        <v>SRC_HW_018</v>
      </c>
      <c r="B22" s="62" t="s">
        <v>9570</v>
      </c>
      <c r="C22" s="61" t="n">
        <v>22</v>
      </c>
      <c r="D22" s="92" t="str">
        <f aca="false">SRC_HW!$O22</f>
        <v>Alt</v>
      </c>
      <c r="E22" s="92" t="n">
        <f aca="false">SRC_HW!$K22</f>
        <v>3</v>
      </c>
      <c r="F22" s="92" t="str">
        <f aca="false">SRC_HW!$S22</f>
        <v>—</v>
      </c>
    </row>
    <row r="23" customFormat="false" ht="15" hidden="false" customHeight="false" outlineLevel="0" collapsed="false">
      <c r="A23" s="92" t="str">
        <f aca="false">SRC_HW!$A23&amp;""</f>
        <v>SRC_HW_019</v>
      </c>
      <c r="B23" s="62" t="s">
        <v>9570</v>
      </c>
      <c r="C23" s="61" t="n">
        <v>23</v>
      </c>
      <c r="D23" s="92" t="str">
        <f aca="false">SRC_HW!$O23</f>
        <v>Active</v>
      </c>
      <c r="E23" s="92" t="n">
        <f aca="false">SRC_HW!$K23</f>
        <v>3</v>
      </c>
      <c r="F23" s="92" t="str">
        <f aca="false">SRC_HW!$S23</f>
        <v>—</v>
      </c>
    </row>
    <row r="24" customFormat="false" ht="15" hidden="false" customHeight="false" outlineLevel="0" collapsed="false">
      <c r="A24" s="92" t="str">
        <f aca="false">SRC_HW!$A24&amp;""</f>
        <v>SRC_HW_020</v>
      </c>
      <c r="B24" s="62" t="s">
        <v>9570</v>
      </c>
      <c r="C24" s="61" t="n">
        <v>24</v>
      </c>
      <c r="D24" s="92" t="str">
        <f aca="false">SRC_HW!$O24</f>
        <v>Active</v>
      </c>
      <c r="E24" s="92" t="n">
        <f aca="false">SRC_HW!$K24</f>
        <v>3</v>
      </c>
      <c r="F24" s="92" t="str">
        <f aca="false">SRC_HW!$S24</f>
        <v>—</v>
      </c>
    </row>
    <row r="25" customFormat="false" ht="15" hidden="false" customHeight="false" outlineLevel="0" collapsed="false">
      <c r="A25" s="92" t="str">
        <f aca="false">SRC_HW!$A25&amp;""</f>
        <v>SRC_HW_021</v>
      </c>
      <c r="B25" s="62" t="s">
        <v>9570</v>
      </c>
      <c r="C25" s="61" t="n">
        <v>25</v>
      </c>
      <c r="D25" s="92" t="str">
        <f aca="false">SRC_HW!$O25</f>
        <v>Active</v>
      </c>
      <c r="E25" s="92" t="n">
        <f aca="false">SRC_HW!$K25</f>
        <v>3</v>
      </c>
      <c r="F25" s="92" t="str">
        <f aca="false">SRC_HW!$S25</f>
        <v>—</v>
      </c>
    </row>
    <row r="26" customFormat="false" ht="15" hidden="false" customHeight="false" outlineLevel="0" collapsed="false">
      <c r="A26" s="92" t="str">
        <f aca="false">SRC_HW!$A26&amp;""</f>
        <v>SRC_HW_022</v>
      </c>
      <c r="B26" s="62" t="s">
        <v>9570</v>
      </c>
      <c r="C26" s="61" t="n">
        <v>26</v>
      </c>
      <c r="D26" s="92" t="str">
        <f aca="false">SRC_HW!$O26</f>
        <v>Active</v>
      </c>
      <c r="E26" s="92" t="n">
        <f aca="false">SRC_HW!$K26</f>
        <v>1</v>
      </c>
      <c r="F26" s="92" t="str">
        <f aca="false">SRC_HW!$S26</f>
        <v>2026-10-05</v>
      </c>
    </row>
    <row r="27" customFormat="false" ht="15" hidden="false" customHeight="false" outlineLevel="0" collapsed="false">
      <c r="A27" s="92" t="str">
        <f aca="false">SRC_HW!$A27&amp;""</f>
        <v>SRC_HW_023</v>
      </c>
      <c r="B27" s="62" t="s">
        <v>9570</v>
      </c>
      <c r="C27" s="61" t="n">
        <v>27</v>
      </c>
      <c r="D27" s="92" t="str">
        <f aca="false">SRC_HW!$O27</f>
        <v>Active</v>
      </c>
      <c r="E27" s="92" t="n">
        <f aca="false">SRC_HW!$K27</f>
        <v>3</v>
      </c>
      <c r="F27" s="92" t="str">
        <f aca="false">SRC_HW!$S27</f>
        <v>—</v>
      </c>
    </row>
    <row r="28" customFormat="false" ht="15" hidden="false" customHeight="false" outlineLevel="0" collapsed="false">
      <c r="A28" s="92" t="str">
        <f aca="false">SRC_HW!$A28&amp;""</f>
        <v>SRC_HW_024</v>
      </c>
      <c r="B28" s="62" t="s">
        <v>9570</v>
      </c>
      <c r="C28" s="61" t="n">
        <v>28</v>
      </c>
      <c r="D28" s="92" t="str">
        <f aca="false">SRC_HW!$O28</f>
        <v>Alt</v>
      </c>
      <c r="E28" s="92" t="n">
        <f aca="false">SRC_HW!$K28</f>
        <v>3</v>
      </c>
      <c r="F28" s="92" t="str">
        <f aca="false">SRC_HW!$S28</f>
        <v>—</v>
      </c>
    </row>
    <row r="29" customFormat="false" ht="15" hidden="false" customHeight="false" outlineLevel="0" collapsed="false">
      <c r="A29" s="92" t="str">
        <f aca="false">SRC_HW!$A29&amp;""</f>
        <v>SRC_HW_025</v>
      </c>
      <c r="B29" s="62" t="s">
        <v>9570</v>
      </c>
      <c r="C29" s="61" t="n">
        <v>29</v>
      </c>
      <c r="D29" s="92" t="str">
        <f aca="false">SRC_HW!$O29</f>
        <v>Active</v>
      </c>
      <c r="E29" s="92" t="n">
        <f aca="false">SRC_HW!$K29</f>
        <v>1</v>
      </c>
      <c r="F29" s="92" t="str">
        <f aca="false">SRC_HW!$S29</f>
        <v>2026-10-05</v>
      </c>
    </row>
    <row r="30" customFormat="false" ht="15" hidden="false" customHeight="false" outlineLevel="0" collapsed="false">
      <c r="A30" s="92" t="str">
        <f aca="false">SRC_HW!$A30&amp;""</f>
        <v>SRC_HW_026</v>
      </c>
      <c r="B30" s="62" t="s">
        <v>9570</v>
      </c>
      <c r="C30" s="61" t="n">
        <v>30</v>
      </c>
      <c r="D30" s="92" t="str">
        <f aca="false">SRC_HW!$O30</f>
        <v>Active</v>
      </c>
      <c r="E30" s="92" t="n">
        <f aca="false">SRC_HW!$K30</f>
        <v>3</v>
      </c>
      <c r="F30" s="92" t="str">
        <f aca="false">SRC_HW!$S30</f>
        <v>—</v>
      </c>
    </row>
    <row r="31" customFormat="false" ht="15" hidden="false" customHeight="false" outlineLevel="0" collapsed="false">
      <c r="A31" s="92" t="str">
        <f aca="false">SRC_HW!$A31&amp;""</f>
        <v>SRC_HW_027</v>
      </c>
      <c r="B31" s="62" t="s">
        <v>9570</v>
      </c>
      <c r="C31" s="61" t="n">
        <v>31</v>
      </c>
      <c r="D31" s="92" t="str">
        <f aca="false">SRC_HW!$O31</f>
        <v>Active</v>
      </c>
      <c r="E31" s="92" t="n">
        <f aca="false">SRC_HW!$K31</f>
        <v>1</v>
      </c>
      <c r="F31" s="92" t="str">
        <f aca="false">SRC_HW!$S31</f>
        <v>2026-10-05</v>
      </c>
    </row>
    <row r="32" customFormat="false" ht="15" hidden="false" customHeight="false" outlineLevel="0" collapsed="false">
      <c r="A32" s="92" t="str">
        <f aca="false">SRC_HW!$A32&amp;""</f>
        <v>SRC_HW_028</v>
      </c>
      <c r="B32" s="62" t="s">
        <v>9570</v>
      </c>
      <c r="C32" s="61" t="n">
        <v>32</v>
      </c>
      <c r="D32" s="92" t="str">
        <f aca="false">SRC_HW!$O32</f>
        <v>Active</v>
      </c>
      <c r="E32" s="92" t="n">
        <f aca="false">SRC_HW!$K32</f>
        <v>1</v>
      </c>
      <c r="F32" s="92" t="str">
        <f aca="false">SRC_HW!$S32</f>
        <v>2026-10-05</v>
      </c>
    </row>
    <row r="33" customFormat="false" ht="15" hidden="false" customHeight="false" outlineLevel="0" collapsed="false">
      <c r="A33" s="92" t="str">
        <f aca="false">SRC_HW!$A33&amp;""</f>
        <v>SRC_HW_029</v>
      </c>
      <c r="B33" s="62" t="s">
        <v>9570</v>
      </c>
      <c r="C33" s="61" t="n">
        <v>33</v>
      </c>
      <c r="D33" s="92" t="str">
        <f aca="false">SRC_HW!$O33</f>
        <v>Active</v>
      </c>
      <c r="E33" s="92" t="n">
        <f aca="false">SRC_HW!$K33</f>
        <v>3</v>
      </c>
      <c r="F33" s="92" t="str">
        <f aca="false">SRC_HW!$S33</f>
        <v>—</v>
      </c>
    </row>
    <row r="34" customFormat="false" ht="15" hidden="false" customHeight="false" outlineLevel="0" collapsed="false">
      <c r="A34" s="92" t="str">
        <f aca="false">SRC_HW!$A34&amp;""</f>
        <v>SRC_HW_030</v>
      </c>
      <c r="B34" s="62" t="s">
        <v>9570</v>
      </c>
      <c r="C34" s="61" t="n">
        <v>34</v>
      </c>
      <c r="D34" s="92" t="str">
        <f aca="false">SRC_HW!$O34</f>
        <v>Active</v>
      </c>
      <c r="E34" s="92" t="n">
        <f aca="false">SRC_HW!$K34</f>
        <v>3</v>
      </c>
      <c r="F34" s="92" t="str">
        <f aca="false">SRC_HW!$S34</f>
        <v>—</v>
      </c>
    </row>
    <row r="35" customFormat="false" ht="15" hidden="false" customHeight="false" outlineLevel="0" collapsed="false">
      <c r="A35" s="92" t="str">
        <f aca="false">SRC_HW!$A35&amp;""</f>
        <v>SRC_HW_031</v>
      </c>
      <c r="B35" s="62" t="s">
        <v>9570</v>
      </c>
      <c r="C35" s="61" t="n">
        <v>35</v>
      </c>
      <c r="D35" s="92" t="str">
        <f aca="false">SRC_HW!$O35</f>
        <v>Active</v>
      </c>
      <c r="E35" s="92" t="n">
        <f aca="false">SRC_HW!$K35</f>
        <v>3</v>
      </c>
      <c r="F35" s="92" t="str">
        <f aca="false">SRC_HW!$S35</f>
        <v>—</v>
      </c>
    </row>
    <row r="36" customFormat="false" ht="15" hidden="false" customHeight="false" outlineLevel="0" collapsed="false">
      <c r="A36" s="92" t="str">
        <f aca="false">SRC_HW!$A36&amp;""</f>
        <v>SRC_HW_032</v>
      </c>
      <c r="B36" s="62" t="s">
        <v>9570</v>
      </c>
      <c r="C36" s="61" t="n">
        <v>36</v>
      </c>
      <c r="D36" s="92" t="str">
        <f aca="false">SRC_HW!$O36</f>
        <v>Active</v>
      </c>
      <c r="E36" s="92" t="n">
        <f aca="false">SRC_HW!$K36</f>
        <v>3</v>
      </c>
      <c r="F36" s="92" t="str">
        <f aca="false">SRC_HW!$S36</f>
        <v>—</v>
      </c>
    </row>
    <row r="37" customFormat="false" ht="15" hidden="false" customHeight="false" outlineLevel="0" collapsed="false">
      <c r="A37" s="92" t="str">
        <f aca="false">SRC_HW!$A37&amp;""</f>
        <v>SRC_HW_033</v>
      </c>
      <c r="B37" s="62" t="s">
        <v>9570</v>
      </c>
      <c r="C37" s="61" t="n">
        <v>37</v>
      </c>
      <c r="D37" s="92" t="str">
        <f aca="false">SRC_HW!$O37</f>
        <v>Active</v>
      </c>
      <c r="E37" s="92" t="n">
        <f aca="false">SRC_HW!$K37</f>
        <v>3</v>
      </c>
      <c r="F37" s="92" t="str">
        <f aca="false">SRC_HW!$S37</f>
        <v>—</v>
      </c>
    </row>
    <row r="38" customFormat="false" ht="15" hidden="false" customHeight="false" outlineLevel="0" collapsed="false">
      <c r="A38" s="92" t="str">
        <f aca="false">SRC_HW!$A38&amp;""</f>
        <v>SRC_HW_034</v>
      </c>
      <c r="B38" s="62" t="s">
        <v>9570</v>
      </c>
      <c r="C38" s="61" t="n">
        <v>38</v>
      </c>
      <c r="D38" s="92" t="str">
        <f aca="false">SRC_HW!$O38</f>
        <v>Active</v>
      </c>
      <c r="E38" s="92" t="n">
        <f aca="false">SRC_HW!$K38</f>
        <v>3</v>
      </c>
      <c r="F38" s="92" t="str">
        <f aca="false">SRC_HW!$S38</f>
        <v>—</v>
      </c>
    </row>
    <row r="39" customFormat="false" ht="15" hidden="false" customHeight="false" outlineLevel="0" collapsed="false">
      <c r="A39" s="92" t="str">
        <f aca="false">SRC_HW!$A39&amp;""</f>
        <v>SRC_HW_035</v>
      </c>
      <c r="B39" s="62" t="s">
        <v>9570</v>
      </c>
      <c r="C39" s="61" t="n">
        <v>39</v>
      </c>
      <c r="D39" s="92" t="str">
        <f aca="false">SRC_HW!$O39</f>
        <v>Active</v>
      </c>
      <c r="E39" s="92" t="n">
        <f aca="false">SRC_HW!$K39</f>
        <v>3</v>
      </c>
      <c r="F39" s="92" t="str">
        <f aca="false">SRC_HW!$S39</f>
        <v>—</v>
      </c>
    </row>
    <row r="40" customFormat="false" ht="15" hidden="false" customHeight="false" outlineLevel="0" collapsed="false">
      <c r="A40" s="92" t="str">
        <f aca="false">SRC_HW!$A40&amp;""</f>
        <v>SRC_HW_036</v>
      </c>
      <c r="B40" s="62" t="s">
        <v>9570</v>
      </c>
      <c r="C40" s="61" t="n">
        <v>40</v>
      </c>
      <c r="D40" s="92" t="str">
        <f aca="false">SRC_HW!$O40</f>
        <v>Active</v>
      </c>
      <c r="E40" s="92" t="n">
        <f aca="false">SRC_HW!$K40</f>
        <v>2</v>
      </c>
      <c r="F40" s="92" t="str">
        <f aca="false">SRC_HW!$S40</f>
        <v>—</v>
      </c>
    </row>
    <row r="41" customFormat="false" ht="15" hidden="false" customHeight="false" outlineLevel="0" collapsed="false">
      <c r="A41" s="92" t="str">
        <f aca="false">SRC_HW!$A41&amp;""</f>
        <v>SRC_HW_037</v>
      </c>
      <c r="B41" s="62" t="s">
        <v>9570</v>
      </c>
      <c r="C41" s="61" t="n">
        <v>41</v>
      </c>
      <c r="D41" s="92" t="str">
        <f aca="false">SRC_HW!$O41</f>
        <v>Active</v>
      </c>
      <c r="E41" s="92" t="n">
        <f aca="false">SRC_HW!$K41</f>
        <v>2</v>
      </c>
      <c r="F41" s="92" t="str">
        <f aca="false">SRC_HW!$S41</f>
        <v>—</v>
      </c>
    </row>
    <row r="42" customFormat="false" ht="15" hidden="false" customHeight="false" outlineLevel="0" collapsed="false">
      <c r="A42" s="92" t="str">
        <f aca="false">SRC_HW!$A42&amp;""</f>
        <v>SRC_HW_038</v>
      </c>
      <c r="B42" s="62" t="s">
        <v>9570</v>
      </c>
      <c r="C42" s="61" t="n">
        <v>42</v>
      </c>
      <c r="D42" s="92" t="str">
        <f aca="false">SRC_HW!$O42</f>
        <v>Active</v>
      </c>
      <c r="E42" s="92" t="n">
        <f aca="false">SRC_HW!$K42</f>
        <v>2</v>
      </c>
      <c r="F42" s="92" t="str">
        <f aca="false">SRC_HW!$S42</f>
        <v>—</v>
      </c>
    </row>
    <row r="43" customFormat="false" ht="15" hidden="false" customHeight="false" outlineLevel="0" collapsed="false">
      <c r="A43" s="92" t="str">
        <f aca="false">SRC_HW!$A43&amp;""</f>
        <v>SRC_HW_039</v>
      </c>
      <c r="B43" s="62" t="s">
        <v>9570</v>
      </c>
      <c r="C43" s="61" t="n">
        <v>43</v>
      </c>
      <c r="D43" s="92" t="str">
        <f aca="false">SRC_HW!$O43</f>
        <v>Active</v>
      </c>
      <c r="E43" s="92" t="n">
        <f aca="false">SRC_HW!$K43</f>
        <v>2</v>
      </c>
      <c r="F43" s="92" t="str">
        <f aca="false">SRC_HW!$S43</f>
        <v>—</v>
      </c>
    </row>
    <row r="44" customFormat="false" ht="15" hidden="false" customHeight="false" outlineLevel="0" collapsed="false">
      <c r="A44" s="92" t="str">
        <f aca="false">SRC_HW!$A44&amp;""</f>
        <v>SRC_HW_040</v>
      </c>
      <c r="B44" s="62" t="s">
        <v>9570</v>
      </c>
      <c r="C44" s="61" t="n">
        <v>44</v>
      </c>
      <c r="D44" s="92" t="str">
        <f aca="false">SRC_HW!$O44</f>
        <v>Active</v>
      </c>
      <c r="E44" s="92" t="n">
        <f aca="false">SRC_HW!$K44</f>
        <v>1</v>
      </c>
      <c r="F44" s="92" t="str">
        <f aca="false">SRC_HW!$S44</f>
        <v>2026-10-05</v>
      </c>
    </row>
    <row r="45" customFormat="false" ht="15" hidden="false" customHeight="false" outlineLevel="0" collapsed="false">
      <c r="A45" s="92" t="str">
        <f aca="false">SRC_HW!$A45&amp;""</f>
        <v>SRC_HW_041</v>
      </c>
      <c r="B45" s="62" t="s">
        <v>9570</v>
      </c>
      <c r="C45" s="61" t="n">
        <v>45</v>
      </c>
      <c r="D45" s="92" t="str">
        <f aca="false">SRC_HW!$O45</f>
        <v>Active</v>
      </c>
      <c r="E45" s="92" t="n">
        <f aca="false">SRC_HW!$K45</f>
        <v>3</v>
      </c>
      <c r="F45" s="92" t="str">
        <f aca="false">SRC_HW!$S45</f>
        <v>—</v>
      </c>
    </row>
    <row r="46" customFormat="false" ht="15" hidden="false" customHeight="false" outlineLevel="0" collapsed="false">
      <c r="A46" s="92" t="str">
        <f aca="false">SRC_HW!$A46&amp;""</f>
        <v>SRC_HW_042</v>
      </c>
      <c r="B46" s="62" t="s">
        <v>9570</v>
      </c>
      <c r="C46" s="61" t="n">
        <v>46</v>
      </c>
      <c r="D46" s="92" t="str">
        <f aca="false">SRC_HW!$O46</f>
        <v>Active</v>
      </c>
      <c r="E46" s="92" t="n">
        <f aca="false">SRC_HW!$K46</f>
        <v>3</v>
      </c>
      <c r="F46" s="92" t="str">
        <f aca="false">SRC_HW!$S46</f>
        <v>—</v>
      </c>
    </row>
    <row r="47" customFormat="false" ht="15" hidden="false" customHeight="false" outlineLevel="0" collapsed="false">
      <c r="A47" s="92" t="str">
        <f aca="false">SRC_HW!$A47&amp;""</f>
        <v>SRC_HW_043</v>
      </c>
      <c r="B47" s="62" t="s">
        <v>9570</v>
      </c>
      <c r="C47" s="61" t="n">
        <v>47</v>
      </c>
      <c r="D47" s="92" t="str">
        <f aca="false">SRC_HW!$O47</f>
        <v>Active</v>
      </c>
      <c r="E47" s="92" t="n">
        <f aca="false">SRC_HW!$K47</f>
        <v>1</v>
      </c>
      <c r="F47" s="92" t="str">
        <f aca="false">SRC_HW!$S47</f>
        <v>2026-10-05</v>
      </c>
    </row>
    <row r="48" customFormat="false" ht="15" hidden="false" customHeight="false" outlineLevel="0" collapsed="false">
      <c r="A48" s="92" t="str">
        <f aca="false">SRC_HW!$A48&amp;""</f>
        <v>SRC_HW_044</v>
      </c>
      <c r="B48" s="62" t="s">
        <v>9570</v>
      </c>
      <c r="C48" s="61" t="n">
        <v>48</v>
      </c>
      <c r="D48" s="92" t="str">
        <f aca="false">SRC_HW!$O48</f>
        <v>Active</v>
      </c>
      <c r="E48" s="92" t="n">
        <f aca="false">SRC_HW!$K48</f>
        <v>3</v>
      </c>
      <c r="F48" s="92" t="str">
        <f aca="false">SRC_HW!$S48</f>
        <v>—</v>
      </c>
    </row>
    <row r="49" customFormat="false" ht="15" hidden="false" customHeight="false" outlineLevel="0" collapsed="false">
      <c r="A49" s="92" t="str">
        <f aca="false">SRC_HW!$A49&amp;""</f>
        <v>SRC_HW_045</v>
      </c>
      <c r="B49" s="62" t="s">
        <v>9570</v>
      </c>
      <c r="C49" s="61" t="n">
        <v>49</v>
      </c>
      <c r="D49" s="92" t="str">
        <f aca="false">SRC_HW!$O49</f>
        <v>Superseded</v>
      </c>
      <c r="E49" s="92" t="n">
        <f aca="false">SRC_HW!$K49</f>
        <v>3</v>
      </c>
      <c r="F49" s="92" t="str">
        <f aca="false">SRC_HW!$S49</f>
        <v>—</v>
      </c>
    </row>
    <row r="50" customFormat="false" ht="15" hidden="false" customHeight="false" outlineLevel="0" collapsed="false">
      <c r="A50" s="92" t="str">
        <f aca="false">SRC_HW!$A50&amp;""</f>
        <v>SRC_HW_046</v>
      </c>
      <c r="B50" s="62" t="s">
        <v>9570</v>
      </c>
      <c r="C50" s="61" t="n">
        <v>50</v>
      </c>
      <c r="D50" s="92" t="str">
        <f aca="false">SRC_HW!$O50</f>
        <v>Active</v>
      </c>
      <c r="E50" s="92" t="n">
        <f aca="false">SRC_HW!$K50</f>
        <v>3</v>
      </c>
      <c r="F50" s="92" t="str">
        <f aca="false">SRC_HW!$S50</f>
        <v>—</v>
      </c>
    </row>
    <row r="51" customFormat="false" ht="15" hidden="false" customHeight="false" outlineLevel="0" collapsed="false">
      <c r="A51" s="92" t="str">
        <f aca="false">SRC_HW!$A51&amp;""</f>
        <v>SRC_HW_047</v>
      </c>
      <c r="B51" s="62" t="s">
        <v>9570</v>
      </c>
      <c r="C51" s="61" t="n">
        <v>51</v>
      </c>
      <c r="D51" s="92" t="str">
        <f aca="false">SRC_HW!$O51</f>
        <v>Active</v>
      </c>
      <c r="E51" s="92" t="n">
        <f aca="false">SRC_HW!$K51</f>
        <v>1</v>
      </c>
      <c r="F51" s="92" t="str">
        <f aca="false">SRC_HW!$S51</f>
        <v>2026-10-05</v>
      </c>
    </row>
    <row r="52" customFormat="false" ht="15" hidden="false" customHeight="false" outlineLevel="0" collapsed="false">
      <c r="A52" s="92" t="str">
        <f aca="false">SRC_HW!$A52&amp;""</f>
        <v>SRC_HW_048</v>
      </c>
      <c r="B52" s="62" t="s">
        <v>9570</v>
      </c>
      <c r="C52" s="61" t="n">
        <v>52</v>
      </c>
      <c r="D52" s="92" t="str">
        <f aca="false">SRC_HW!$O52</f>
        <v>Active</v>
      </c>
      <c r="E52" s="92" t="n">
        <f aca="false">SRC_HW!$K52</f>
        <v>3</v>
      </c>
      <c r="F52" s="92" t="str">
        <f aca="false">SRC_HW!$S52</f>
        <v>—</v>
      </c>
    </row>
    <row r="53" customFormat="false" ht="15" hidden="false" customHeight="false" outlineLevel="0" collapsed="false">
      <c r="A53" s="92" t="str">
        <f aca="false">SRC_HW!$A53&amp;""</f>
        <v>SRC_HW_049</v>
      </c>
      <c r="B53" s="62" t="s">
        <v>9570</v>
      </c>
      <c r="C53" s="61" t="n">
        <v>53</v>
      </c>
      <c r="D53" s="92" t="str">
        <f aca="false">SRC_HW!$O53</f>
        <v>Active</v>
      </c>
      <c r="E53" s="92" t="n">
        <f aca="false">SRC_HW!$K53</f>
        <v>3</v>
      </c>
      <c r="F53" s="92" t="str">
        <f aca="false">SRC_HW!$S53</f>
        <v>—</v>
      </c>
    </row>
    <row r="54" customFormat="false" ht="15" hidden="false" customHeight="false" outlineLevel="0" collapsed="false">
      <c r="A54" s="92" t="str">
        <f aca="false">SRC_HW!$A54&amp;""</f>
        <v>SRC_HW_050</v>
      </c>
      <c r="B54" s="62" t="s">
        <v>9570</v>
      </c>
      <c r="C54" s="61" t="n">
        <v>54</v>
      </c>
      <c r="D54" s="92" t="str">
        <f aca="false">SRC_HW!$O54</f>
        <v>Active</v>
      </c>
      <c r="E54" s="92" t="n">
        <f aca="false">SRC_HW!$K54</f>
        <v>3</v>
      </c>
      <c r="F54" s="92" t="str">
        <f aca="false">SRC_HW!$S54</f>
        <v>—</v>
      </c>
    </row>
    <row r="55" customFormat="false" ht="15" hidden="false" customHeight="false" outlineLevel="0" collapsed="false">
      <c r="A55" s="92" t="str">
        <f aca="false">SRC_HW!$A55&amp;""</f>
        <v>SRC_HW_051</v>
      </c>
      <c r="B55" s="62" t="s">
        <v>9570</v>
      </c>
      <c r="C55" s="61" t="n">
        <v>55</v>
      </c>
      <c r="D55" s="92" t="str">
        <f aca="false">SRC_HW!$O55</f>
        <v>Active</v>
      </c>
      <c r="E55" s="92" t="n">
        <f aca="false">SRC_HW!$K55</f>
        <v>3</v>
      </c>
      <c r="F55" s="92" t="str">
        <f aca="false">SRC_HW!$S55</f>
        <v>—</v>
      </c>
    </row>
    <row r="56" customFormat="false" ht="15" hidden="false" customHeight="false" outlineLevel="0" collapsed="false">
      <c r="A56" s="92" t="str">
        <f aca="false">SRC_HW!$A56&amp;""</f>
        <v>SRC_HW_052</v>
      </c>
      <c r="B56" s="62" t="s">
        <v>9570</v>
      </c>
      <c r="C56" s="61" t="n">
        <v>56</v>
      </c>
      <c r="D56" s="92" t="str">
        <f aca="false">SRC_HW!$O56</f>
        <v>Active</v>
      </c>
      <c r="E56" s="92" t="n">
        <f aca="false">SRC_HW!$K56</f>
        <v>2</v>
      </c>
      <c r="F56" s="92" t="str">
        <f aca="false">SRC_HW!$S56</f>
        <v>2026-10-08</v>
      </c>
    </row>
    <row r="57" customFormat="false" ht="15" hidden="false" customHeight="false" outlineLevel="0" collapsed="false">
      <c r="A57" s="92" t="str">
        <f aca="false">SRC_HW!$A57&amp;""</f>
        <v>SRC_HW_053</v>
      </c>
      <c r="B57" s="62" t="s">
        <v>9570</v>
      </c>
      <c r="C57" s="61" t="n">
        <v>57</v>
      </c>
      <c r="D57" s="92" t="str">
        <f aca="false">SRC_HW!$O57</f>
        <v>Active</v>
      </c>
      <c r="E57" s="92" t="n">
        <f aca="false">SRC_HW!$K57</f>
        <v>1</v>
      </c>
      <c r="F57" s="92" t="str">
        <f aca="false">SRC_HW!$S57</f>
        <v>2026-10-05</v>
      </c>
    </row>
    <row r="58" customFormat="false" ht="15" hidden="false" customHeight="false" outlineLevel="0" collapsed="false">
      <c r="A58" s="92" t="str">
        <f aca="false">SRC_HW!$A58&amp;""</f>
        <v>SRC_HW_054</v>
      </c>
      <c r="B58" s="62" t="s">
        <v>9570</v>
      </c>
      <c r="C58" s="61" t="n">
        <v>58</v>
      </c>
      <c r="D58" s="92" t="str">
        <f aca="false">SRC_HW!$O58</f>
        <v>Superseded</v>
      </c>
      <c r="E58" s="92" t="n">
        <f aca="false">SRC_HW!$K58</f>
        <v>3</v>
      </c>
      <c r="F58" s="92" t="str">
        <f aca="false">SRC_HW!$S58</f>
        <v>—</v>
      </c>
    </row>
    <row r="59" customFormat="false" ht="15" hidden="false" customHeight="false" outlineLevel="0" collapsed="false">
      <c r="A59" s="92" t="str">
        <f aca="false">SRC_HW!$A59&amp;""</f>
        <v>SRC_HW_055</v>
      </c>
      <c r="B59" s="62" t="s">
        <v>9570</v>
      </c>
      <c r="C59" s="61" t="n">
        <v>59</v>
      </c>
      <c r="D59" s="92" t="str">
        <f aca="false">SRC_HW!$O59</f>
        <v>Active</v>
      </c>
      <c r="E59" s="92" t="n">
        <f aca="false">SRC_HW!$K59</f>
        <v>3</v>
      </c>
      <c r="F59" s="92" t="str">
        <f aca="false">SRC_HW!$S59</f>
        <v>—</v>
      </c>
    </row>
    <row r="60" customFormat="false" ht="15" hidden="false" customHeight="false" outlineLevel="0" collapsed="false">
      <c r="A60" s="92" t="str">
        <f aca="false">SRC_HW!$A60&amp;""</f>
        <v>SRC_HW_056</v>
      </c>
      <c r="B60" s="62" t="s">
        <v>9570</v>
      </c>
      <c r="C60" s="61" t="n">
        <v>60</v>
      </c>
      <c r="D60" s="92" t="str">
        <f aca="false">SRC_HW!$O60</f>
        <v>Active</v>
      </c>
      <c r="E60" s="92" t="n">
        <f aca="false">SRC_HW!$K60</f>
        <v>3</v>
      </c>
      <c r="F60" s="92" t="str">
        <f aca="false">SRC_HW!$S60</f>
        <v>—</v>
      </c>
    </row>
    <row r="61" customFormat="false" ht="15" hidden="false" customHeight="false" outlineLevel="0" collapsed="false">
      <c r="A61" s="92" t="str">
        <f aca="false">SRC_HW!$A61&amp;""</f>
        <v>SRC_HW_057</v>
      </c>
      <c r="B61" s="62" t="s">
        <v>9570</v>
      </c>
      <c r="C61" s="61" t="n">
        <v>61</v>
      </c>
      <c r="D61" s="92" t="str">
        <f aca="false">SRC_HW!$O61</f>
        <v>Active</v>
      </c>
      <c r="E61" s="92" t="n">
        <f aca="false">SRC_HW!$K61</f>
        <v>3</v>
      </c>
      <c r="F61" s="92" t="str">
        <f aca="false">SRC_HW!$S61</f>
        <v>—</v>
      </c>
    </row>
    <row r="62" customFormat="false" ht="15" hidden="false" customHeight="false" outlineLevel="0" collapsed="false">
      <c r="A62" s="92" t="str">
        <f aca="false">SRC_HW!$A62&amp;""</f>
        <v>SRC_HW_058</v>
      </c>
      <c r="B62" s="62" t="s">
        <v>9570</v>
      </c>
      <c r="C62" s="61" t="n">
        <v>62</v>
      </c>
      <c r="D62" s="92" t="str">
        <f aca="false">SRC_HW!$O62</f>
        <v>Active</v>
      </c>
      <c r="E62" s="92" t="n">
        <f aca="false">SRC_HW!$K62</f>
        <v>3</v>
      </c>
      <c r="F62" s="92" t="str">
        <f aca="false">SRC_HW!$S62</f>
        <v>—</v>
      </c>
    </row>
    <row r="63" customFormat="false" ht="15" hidden="false" customHeight="false" outlineLevel="0" collapsed="false">
      <c r="A63" s="92" t="str">
        <f aca="false">SRC_HW!$A63&amp;""</f>
        <v>SRC_HW_059</v>
      </c>
      <c r="B63" s="62" t="s">
        <v>9570</v>
      </c>
      <c r="C63" s="61" t="n">
        <v>63</v>
      </c>
      <c r="D63" s="92" t="str">
        <f aca="false">SRC_HW!$O63</f>
        <v>Active</v>
      </c>
      <c r="E63" s="92" t="n">
        <f aca="false">SRC_HW!$K63</f>
        <v>3</v>
      </c>
      <c r="F63" s="92" t="str">
        <f aca="false">SRC_HW!$S63</f>
        <v>—</v>
      </c>
    </row>
    <row r="64" customFormat="false" ht="15" hidden="false" customHeight="false" outlineLevel="0" collapsed="false">
      <c r="A64" s="92" t="str">
        <f aca="false">SRC_HW!$A64&amp;""</f>
        <v>SRC_HW_060</v>
      </c>
      <c r="B64" s="62" t="s">
        <v>9570</v>
      </c>
      <c r="C64" s="61" t="n">
        <v>64</v>
      </c>
      <c r="D64" s="92" t="str">
        <f aca="false">SRC_HW!$O64</f>
        <v>Active</v>
      </c>
      <c r="E64" s="92" t="n">
        <f aca="false">SRC_HW!$K64</f>
        <v>3</v>
      </c>
      <c r="F64" s="92" t="str">
        <f aca="false">SRC_HW!$S64</f>
        <v>—</v>
      </c>
    </row>
    <row r="65" customFormat="false" ht="15" hidden="false" customHeight="false" outlineLevel="0" collapsed="false">
      <c r="A65" s="92" t="str">
        <f aca="false">SRC_HW!$A65&amp;""</f>
        <v>SRC_HW_061</v>
      </c>
      <c r="B65" s="62" t="s">
        <v>9570</v>
      </c>
      <c r="C65" s="61" t="n">
        <v>65</v>
      </c>
      <c r="D65" s="92" t="str">
        <f aca="false">SRC_HW!$O65</f>
        <v>Active</v>
      </c>
      <c r="E65" s="92" t="n">
        <f aca="false">SRC_HW!$K65</f>
        <v>1</v>
      </c>
      <c r="F65" s="92" t="str">
        <f aca="false">SRC_HW!$S65</f>
        <v>—</v>
      </c>
    </row>
    <row r="66" customFormat="false" ht="15" hidden="false" customHeight="false" outlineLevel="0" collapsed="false">
      <c r="A66" s="92" t="str">
        <f aca="false">SRC_HW!$A66&amp;""</f>
        <v>SRC_HW_062</v>
      </c>
      <c r="B66" s="62" t="s">
        <v>9570</v>
      </c>
      <c r="C66" s="61" t="n">
        <v>66</v>
      </c>
      <c r="D66" s="92" t="str">
        <f aca="false">SRC_HW!$O66</f>
        <v>Active</v>
      </c>
      <c r="E66" s="92" t="n">
        <f aca="false">SRC_HW!$K66</f>
        <v>1</v>
      </c>
      <c r="F66" s="92" t="str">
        <f aca="false">SRC_HW!$S66</f>
        <v>—</v>
      </c>
    </row>
    <row r="67" customFormat="false" ht="15" hidden="false" customHeight="false" outlineLevel="0" collapsed="false">
      <c r="A67" s="92" t="str">
        <f aca="false">SRC_HW!$A67&amp;""</f>
        <v>SRC_HW_063</v>
      </c>
      <c r="B67" s="62" t="s">
        <v>9570</v>
      </c>
      <c r="C67" s="61" t="n">
        <v>67</v>
      </c>
      <c r="D67" s="92" t="str">
        <f aca="false">SRC_HW!$O67</f>
        <v>Active</v>
      </c>
      <c r="E67" s="92" t="n">
        <f aca="false">SRC_HW!$K67</f>
        <v>1</v>
      </c>
      <c r="F67" s="92" t="str">
        <f aca="false">SRC_HW!$S67</f>
        <v>—</v>
      </c>
    </row>
    <row r="68" customFormat="false" ht="15" hidden="false" customHeight="false" outlineLevel="0" collapsed="false">
      <c r="A68" s="92" t="str">
        <f aca="false">SRC_HW!$A68&amp;""</f>
        <v>SRC_HW_064</v>
      </c>
      <c r="B68" s="62" t="s">
        <v>9570</v>
      </c>
      <c r="C68" s="61" t="n">
        <v>68</v>
      </c>
      <c r="D68" s="92" t="str">
        <f aca="false">SRC_HW!$O68</f>
        <v>Active</v>
      </c>
      <c r="E68" s="92" t="n">
        <f aca="false">SRC_HW!$K68</f>
        <v>1</v>
      </c>
      <c r="F68" s="92" t="str">
        <f aca="false">SRC_HW!$S68</f>
        <v>—</v>
      </c>
    </row>
    <row r="69" customFormat="false" ht="15" hidden="false" customHeight="false" outlineLevel="0" collapsed="false">
      <c r="A69" s="92" t="str">
        <f aca="false">SRC_HW!$A69&amp;""</f>
        <v>SRC_HW_065</v>
      </c>
      <c r="B69" s="62" t="s">
        <v>9570</v>
      </c>
      <c r="C69" s="61" t="n">
        <v>69</v>
      </c>
      <c r="D69" s="92" t="str">
        <f aca="false">SRC_HW!$O69</f>
        <v>Alt</v>
      </c>
      <c r="E69" s="92" t="n">
        <f aca="false">SRC_HW!$K69</f>
        <v>2</v>
      </c>
      <c r="F69" s="92" t="str">
        <f aca="false">SRC_HW!$S69</f>
        <v>—</v>
      </c>
    </row>
    <row r="70" customFormat="false" ht="15" hidden="false" customHeight="false" outlineLevel="0" collapsed="false">
      <c r="A70" s="92" t="str">
        <f aca="false">SRC_HW!$A70&amp;""</f>
        <v>SRC_HW_066</v>
      </c>
      <c r="B70" s="62" t="s">
        <v>9570</v>
      </c>
      <c r="C70" s="61" t="n">
        <v>70</v>
      </c>
      <c r="D70" s="92" t="str">
        <f aca="false">SRC_HW!$O70</f>
        <v>Active</v>
      </c>
      <c r="E70" s="92" t="n">
        <f aca="false">SRC_HW!$K70</f>
        <v>1</v>
      </c>
      <c r="F70" s="92" t="str">
        <f aca="false">SRC_HW!$S70</f>
        <v>—</v>
      </c>
    </row>
    <row r="71" customFormat="false" ht="15" hidden="false" customHeight="false" outlineLevel="0" collapsed="false">
      <c r="A71" s="92" t="str">
        <f aca="false">SRC_HW!$A71&amp;""</f>
        <v/>
      </c>
      <c r="B71" s="62" t="s">
        <v>9570</v>
      </c>
      <c r="C71" s="61" t="n">
        <v>71</v>
      </c>
      <c r="D71" s="92" t="n">
        <f aca="false">SRC_HW!$O71</f>
        <v>0</v>
      </c>
      <c r="E71" s="92" t="n">
        <f aca="false">SRC_HW!$K71</f>
        <v>0</v>
      </c>
      <c r="F71" s="92" t="n">
        <f aca="false">SRC_HW!$S71</f>
        <v>0</v>
      </c>
    </row>
    <row r="72" customFormat="false" ht="15" hidden="false" customHeight="false" outlineLevel="0" collapsed="false">
      <c r="A72" s="92" t="str">
        <f aca="false">SRC_HW!$A72&amp;""</f>
        <v/>
      </c>
      <c r="B72" s="62" t="s">
        <v>9570</v>
      </c>
      <c r="C72" s="61" t="n">
        <v>72</v>
      </c>
      <c r="D72" s="92" t="n">
        <f aca="false">SRC_HW!$O72</f>
        <v>0</v>
      </c>
      <c r="E72" s="92" t="n">
        <f aca="false">SRC_HW!$K72</f>
        <v>0</v>
      </c>
      <c r="F72" s="92" t="n">
        <f aca="false">SRC_HW!$S72</f>
        <v>0</v>
      </c>
    </row>
    <row r="73" customFormat="false" ht="15" hidden="false" customHeight="false" outlineLevel="0" collapsed="false">
      <c r="A73" s="92" t="str">
        <f aca="false">SRC_HW!$A73&amp;""</f>
        <v/>
      </c>
      <c r="B73" s="62" t="s">
        <v>9570</v>
      </c>
      <c r="C73" s="61" t="n">
        <v>73</v>
      </c>
      <c r="D73" s="92" t="n">
        <f aca="false">SRC_HW!$O73</f>
        <v>0</v>
      </c>
      <c r="E73" s="92" t="n">
        <f aca="false">SRC_HW!$K73</f>
        <v>0</v>
      </c>
      <c r="F73" s="92" t="n">
        <f aca="false">SRC_HW!$S73</f>
        <v>0</v>
      </c>
    </row>
    <row r="74" customFormat="false" ht="15" hidden="false" customHeight="false" outlineLevel="0" collapsed="false">
      <c r="A74" s="92" t="str">
        <f aca="false">SRC_HW!$A74&amp;""</f>
        <v/>
      </c>
      <c r="B74" s="62" t="s">
        <v>9570</v>
      </c>
      <c r="C74" s="61" t="n">
        <v>74</v>
      </c>
      <c r="D74" s="92" t="n">
        <f aca="false">SRC_HW!$O74</f>
        <v>0</v>
      </c>
      <c r="E74" s="92" t="n">
        <f aca="false">SRC_HW!$K74</f>
        <v>0</v>
      </c>
      <c r="F74" s="92" t="n">
        <f aca="false">SRC_HW!$S74</f>
        <v>0</v>
      </c>
    </row>
    <row r="75" customFormat="false" ht="15" hidden="false" customHeight="false" outlineLevel="0" collapsed="false">
      <c r="A75" s="92" t="str">
        <f aca="false">SRC_HW!$A75&amp;""</f>
        <v/>
      </c>
      <c r="B75" s="62" t="s">
        <v>9570</v>
      </c>
      <c r="C75" s="61" t="n">
        <v>75</v>
      </c>
      <c r="D75" s="92" t="n">
        <f aca="false">SRC_HW!$O75</f>
        <v>0</v>
      </c>
      <c r="E75" s="92" t="n">
        <f aca="false">SRC_HW!$K75</f>
        <v>0</v>
      </c>
      <c r="F75" s="92" t="n">
        <f aca="false">SRC_HW!$S75</f>
        <v>0</v>
      </c>
    </row>
    <row r="76" customFormat="false" ht="15" hidden="false" customHeight="false" outlineLevel="0" collapsed="false">
      <c r="A76" s="92" t="str">
        <f aca="false">SRC_HW!$A76&amp;""</f>
        <v/>
      </c>
      <c r="B76" s="62" t="s">
        <v>9570</v>
      </c>
      <c r="C76" s="61" t="n">
        <v>76</v>
      </c>
      <c r="D76" s="92" t="n">
        <f aca="false">SRC_HW!$O76</f>
        <v>0</v>
      </c>
      <c r="E76" s="92" t="n">
        <f aca="false">SRC_HW!$K76</f>
        <v>0</v>
      </c>
      <c r="F76" s="92" t="n">
        <f aca="false">SRC_HW!$S76</f>
        <v>0</v>
      </c>
    </row>
    <row r="77" customFormat="false" ht="15" hidden="false" customHeight="false" outlineLevel="0" collapsed="false">
      <c r="A77" s="92" t="str">
        <f aca="false">SRC_HW!$A77&amp;""</f>
        <v/>
      </c>
      <c r="B77" s="62" t="s">
        <v>9570</v>
      </c>
      <c r="C77" s="61" t="n">
        <v>77</v>
      </c>
      <c r="D77" s="92" t="n">
        <f aca="false">SRC_HW!$O77</f>
        <v>0</v>
      </c>
      <c r="E77" s="92" t="n">
        <f aca="false">SRC_HW!$K77</f>
        <v>0</v>
      </c>
      <c r="F77" s="92" t="n">
        <f aca="false">SRC_HW!$S77</f>
        <v>0</v>
      </c>
    </row>
    <row r="78" customFormat="false" ht="15" hidden="false" customHeight="false" outlineLevel="0" collapsed="false">
      <c r="A78" s="92" t="str">
        <f aca="false">SRC_HW!$A78&amp;""</f>
        <v/>
      </c>
      <c r="B78" s="62" t="s">
        <v>9570</v>
      </c>
      <c r="C78" s="61" t="n">
        <v>78</v>
      </c>
      <c r="D78" s="92" t="n">
        <f aca="false">SRC_HW!$O78</f>
        <v>0</v>
      </c>
      <c r="E78" s="92" t="n">
        <f aca="false">SRC_HW!$K78</f>
        <v>0</v>
      </c>
      <c r="F78" s="92" t="n">
        <f aca="false">SRC_HW!$S78</f>
        <v>0</v>
      </c>
    </row>
    <row r="79" customFormat="false" ht="15" hidden="false" customHeight="false" outlineLevel="0" collapsed="false">
      <c r="A79" s="92" t="str">
        <f aca="false">SRC_HW!$A79&amp;""</f>
        <v/>
      </c>
      <c r="B79" s="62" t="s">
        <v>9570</v>
      </c>
      <c r="C79" s="61" t="n">
        <v>79</v>
      </c>
      <c r="D79" s="92" t="n">
        <f aca="false">SRC_HW!$O79</f>
        <v>0</v>
      </c>
      <c r="E79" s="92" t="n">
        <f aca="false">SRC_HW!$K79</f>
        <v>0</v>
      </c>
      <c r="F79" s="92" t="n">
        <f aca="false">SRC_HW!$S79</f>
        <v>0</v>
      </c>
    </row>
    <row r="80" customFormat="false" ht="15" hidden="false" customHeight="false" outlineLevel="0" collapsed="false">
      <c r="A80" s="92" t="str">
        <f aca="false">SRC_HW!$A80&amp;""</f>
        <v/>
      </c>
      <c r="B80" s="62" t="s">
        <v>9570</v>
      </c>
      <c r="C80" s="61" t="n">
        <v>80</v>
      </c>
      <c r="D80" s="92" t="n">
        <f aca="false">SRC_HW!$O80</f>
        <v>0</v>
      </c>
      <c r="E80" s="92" t="n">
        <f aca="false">SRC_HW!$K80</f>
        <v>0</v>
      </c>
      <c r="F80" s="92" t="n">
        <f aca="false">SRC_HW!$S80</f>
        <v>0</v>
      </c>
    </row>
    <row r="81" customFormat="false" ht="15" hidden="false" customHeight="false" outlineLevel="0" collapsed="false">
      <c r="A81" s="92" t="str">
        <f aca="false">SRC_HW!$A81&amp;""</f>
        <v/>
      </c>
      <c r="B81" s="62" t="s">
        <v>9570</v>
      </c>
      <c r="C81" s="61" t="n">
        <v>81</v>
      </c>
      <c r="D81" s="92" t="n">
        <f aca="false">SRC_HW!$O81</f>
        <v>0</v>
      </c>
      <c r="E81" s="92" t="n">
        <f aca="false">SRC_HW!$K81</f>
        <v>0</v>
      </c>
      <c r="F81" s="92" t="n">
        <f aca="false">SRC_HW!$S81</f>
        <v>0</v>
      </c>
    </row>
    <row r="82" customFormat="false" ht="15" hidden="false" customHeight="false" outlineLevel="0" collapsed="false">
      <c r="A82" s="92" t="str">
        <f aca="false">SRC_HW!$A82&amp;""</f>
        <v/>
      </c>
      <c r="B82" s="62" t="s">
        <v>9570</v>
      </c>
      <c r="C82" s="61" t="n">
        <v>82</v>
      </c>
      <c r="D82" s="92" t="n">
        <f aca="false">SRC_HW!$O82</f>
        <v>0</v>
      </c>
      <c r="E82" s="92" t="n">
        <f aca="false">SRC_HW!$K82</f>
        <v>0</v>
      </c>
      <c r="F82" s="92" t="n">
        <f aca="false">SRC_HW!$S82</f>
        <v>0</v>
      </c>
    </row>
    <row r="83" customFormat="false" ht="15" hidden="false" customHeight="false" outlineLevel="0" collapsed="false">
      <c r="A83" s="92" t="str">
        <f aca="false">SRC_HW!$A83&amp;""</f>
        <v/>
      </c>
      <c r="B83" s="62" t="s">
        <v>9570</v>
      </c>
      <c r="C83" s="61" t="n">
        <v>83</v>
      </c>
      <c r="D83" s="92" t="n">
        <f aca="false">SRC_HW!$O83</f>
        <v>0</v>
      </c>
      <c r="E83" s="92" t="n">
        <f aca="false">SRC_HW!$K83</f>
        <v>0</v>
      </c>
      <c r="F83" s="92" t="n">
        <f aca="false">SRC_HW!$S83</f>
        <v>0</v>
      </c>
    </row>
    <row r="84" customFormat="false" ht="15" hidden="false" customHeight="false" outlineLevel="0" collapsed="false">
      <c r="A84" s="92" t="str">
        <f aca="false">SRC_HW!$A84&amp;""</f>
        <v/>
      </c>
      <c r="B84" s="62" t="s">
        <v>9570</v>
      </c>
      <c r="C84" s="61" t="n">
        <v>84</v>
      </c>
      <c r="D84" s="92" t="n">
        <f aca="false">SRC_HW!$O84</f>
        <v>0</v>
      </c>
      <c r="E84" s="92" t="n">
        <f aca="false">SRC_HW!$K84</f>
        <v>0</v>
      </c>
      <c r="F84" s="92" t="n">
        <f aca="false">SRC_HW!$S84</f>
        <v>0</v>
      </c>
    </row>
    <row r="85" customFormat="false" ht="15" hidden="false" customHeight="false" outlineLevel="0" collapsed="false">
      <c r="A85" s="92" t="str">
        <f aca="false">SRC_HW!$A85&amp;""</f>
        <v/>
      </c>
      <c r="B85" s="62" t="s">
        <v>9570</v>
      </c>
      <c r="C85" s="61" t="n">
        <v>85</v>
      </c>
      <c r="D85" s="92" t="n">
        <f aca="false">SRC_HW!$O85</f>
        <v>0</v>
      </c>
      <c r="E85" s="92" t="n">
        <f aca="false">SRC_HW!$K85</f>
        <v>0</v>
      </c>
      <c r="F85" s="92" t="n">
        <f aca="false">SRC_HW!$S85</f>
        <v>0</v>
      </c>
    </row>
    <row r="86" customFormat="false" ht="15" hidden="false" customHeight="false" outlineLevel="0" collapsed="false">
      <c r="A86" s="92" t="str">
        <f aca="false">SRC_HW!$A86&amp;""</f>
        <v/>
      </c>
      <c r="B86" s="62" t="s">
        <v>9570</v>
      </c>
      <c r="C86" s="61" t="n">
        <v>86</v>
      </c>
      <c r="D86" s="92" t="n">
        <f aca="false">SRC_HW!$O86</f>
        <v>0</v>
      </c>
      <c r="E86" s="92" t="n">
        <f aca="false">SRC_HW!$K86</f>
        <v>0</v>
      </c>
      <c r="F86" s="92" t="n">
        <f aca="false">SRC_HW!$S86</f>
        <v>0</v>
      </c>
    </row>
    <row r="87" customFormat="false" ht="15" hidden="false" customHeight="false" outlineLevel="0" collapsed="false">
      <c r="A87" s="92" t="str">
        <f aca="false">SRC_HW!$A87&amp;""</f>
        <v/>
      </c>
      <c r="B87" s="62" t="s">
        <v>9570</v>
      </c>
      <c r="C87" s="61" t="n">
        <v>87</v>
      </c>
      <c r="D87" s="92" t="n">
        <f aca="false">SRC_HW!$O87</f>
        <v>0</v>
      </c>
      <c r="E87" s="92" t="n">
        <f aca="false">SRC_HW!$K87</f>
        <v>0</v>
      </c>
      <c r="F87" s="92" t="n">
        <f aca="false">SRC_HW!$S87</f>
        <v>0</v>
      </c>
    </row>
    <row r="88" customFormat="false" ht="15" hidden="false" customHeight="false" outlineLevel="0" collapsed="false">
      <c r="A88" s="92" t="str">
        <f aca="false">SRC_HW!$A88&amp;""</f>
        <v/>
      </c>
      <c r="B88" s="62" t="s">
        <v>9570</v>
      </c>
      <c r="C88" s="61" t="n">
        <v>88</v>
      </c>
      <c r="D88" s="92" t="n">
        <f aca="false">SRC_HW!$O88</f>
        <v>0</v>
      </c>
      <c r="E88" s="92" t="n">
        <f aca="false">SRC_HW!$K88</f>
        <v>0</v>
      </c>
      <c r="F88" s="92" t="n">
        <f aca="false">SRC_HW!$S88</f>
        <v>0</v>
      </c>
    </row>
    <row r="89" customFormat="false" ht="15" hidden="false" customHeight="false" outlineLevel="0" collapsed="false">
      <c r="A89" s="92" t="str">
        <f aca="false">SRC_HW!$A89&amp;""</f>
        <v/>
      </c>
      <c r="B89" s="62" t="s">
        <v>9570</v>
      </c>
      <c r="C89" s="61" t="n">
        <v>89</v>
      </c>
      <c r="D89" s="92" t="n">
        <f aca="false">SRC_HW!$O89</f>
        <v>0</v>
      </c>
      <c r="E89" s="92" t="n">
        <f aca="false">SRC_HW!$K89</f>
        <v>0</v>
      </c>
      <c r="F89" s="92" t="n">
        <f aca="false">SRC_HW!$S89</f>
        <v>0</v>
      </c>
    </row>
    <row r="90" customFormat="false" ht="15" hidden="false" customHeight="false" outlineLevel="0" collapsed="false">
      <c r="A90" s="92" t="str">
        <f aca="false">SRC_HW!$A90&amp;""</f>
        <v/>
      </c>
      <c r="B90" s="62" t="s">
        <v>9570</v>
      </c>
      <c r="C90" s="61" t="n">
        <v>90</v>
      </c>
      <c r="D90" s="92" t="n">
        <f aca="false">SRC_HW!$O90</f>
        <v>0</v>
      </c>
      <c r="E90" s="92" t="n">
        <f aca="false">SRC_HW!$K90</f>
        <v>0</v>
      </c>
      <c r="F90" s="92" t="n">
        <f aca="false">SRC_HW!$S90</f>
        <v>0</v>
      </c>
    </row>
    <row r="91" customFormat="false" ht="15" hidden="false" customHeight="false" outlineLevel="0" collapsed="false">
      <c r="A91" s="92" t="str">
        <f aca="false">SRC_HW!$A91&amp;""</f>
        <v/>
      </c>
      <c r="B91" s="62" t="s">
        <v>9570</v>
      </c>
      <c r="C91" s="61" t="n">
        <v>91</v>
      </c>
      <c r="D91" s="92" t="n">
        <f aca="false">SRC_HW!$O91</f>
        <v>0</v>
      </c>
      <c r="E91" s="92" t="n">
        <f aca="false">SRC_HW!$K91</f>
        <v>0</v>
      </c>
      <c r="F91" s="92" t="n">
        <f aca="false">SRC_HW!$S91</f>
        <v>0</v>
      </c>
    </row>
    <row r="92" customFormat="false" ht="15" hidden="false" customHeight="false" outlineLevel="0" collapsed="false">
      <c r="A92" s="92" t="str">
        <f aca="false">SRC_HW!$A92&amp;""</f>
        <v/>
      </c>
      <c r="B92" s="62" t="s">
        <v>9570</v>
      </c>
      <c r="C92" s="61" t="n">
        <v>92</v>
      </c>
      <c r="D92" s="92" t="n">
        <f aca="false">SRC_HW!$O92</f>
        <v>0</v>
      </c>
      <c r="E92" s="92" t="n">
        <f aca="false">SRC_HW!$K92</f>
        <v>0</v>
      </c>
      <c r="F92" s="92" t="n">
        <f aca="false">SRC_HW!$S92</f>
        <v>0</v>
      </c>
    </row>
    <row r="93" customFormat="false" ht="15" hidden="false" customHeight="false" outlineLevel="0" collapsed="false">
      <c r="A93" s="92" t="str">
        <f aca="false">SRC_HW!$A93&amp;""</f>
        <v/>
      </c>
      <c r="B93" s="62" t="s">
        <v>9570</v>
      </c>
      <c r="C93" s="61" t="n">
        <v>93</v>
      </c>
      <c r="D93" s="92" t="n">
        <f aca="false">SRC_HW!$O93</f>
        <v>0</v>
      </c>
      <c r="E93" s="92" t="n">
        <f aca="false">SRC_HW!$K93</f>
        <v>0</v>
      </c>
      <c r="F93" s="92" t="n">
        <f aca="false">SRC_HW!$S93</f>
        <v>0</v>
      </c>
    </row>
    <row r="94" customFormat="false" ht="15" hidden="false" customHeight="false" outlineLevel="0" collapsed="false">
      <c r="A94" s="92" t="str">
        <f aca="false">SRC_HW!$A94&amp;""</f>
        <v/>
      </c>
      <c r="B94" s="62" t="s">
        <v>9570</v>
      </c>
      <c r="C94" s="61" t="n">
        <v>94</v>
      </c>
      <c r="D94" s="92" t="n">
        <f aca="false">SRC_HW!$O94</f>
        <v>0</v>
      </c>
      <c r="E94" s="92" t="n">
        <f aca="false">SRC_HW!$K94</f>
        <v>0</v>
      </c>
      <c r="F94" s="92" t="n">
        <f aca="false">SRC_HW!$S94</f>
        <v>0</v>
      </c>
    </row>
    <row r="95" customFormat="false" ht="15" hidden="false" customHeight="false" outlineLevel="0" collapsed="false">
      <c r="A95" s="92" t="str">
        <f aca="false">SRC_HW!$A95&amp;""</f>
        <v/>
      </c>
      <c r="B95" s="62" t="s">
        <v>9570</v>
      </c>
      <c r="C95" s="61" t="n">
        <v>95</v>
      </c>
      <c r="D95" s="92" t="n">
        <f aca="false">SRC_HW!$O95</f>
        <v>0</v>
      </c>
      <c r="E95" s="92" t="n">
        <f aca="false">SRC_HW!$K95</f>
        <v>0</v>
      </c>
      <c r="F95" s="92" t="n">
        <f aca="false">SRC_HW!$S95</f>
        <v>0</v>
      </c>
    </row>
    <row r="96" customFormat="false" ht="15" hidden="false" customHeight="false" outlineLevel="0" collapsed="false">
      <c r="A96" s="92" t="str">
        <f aca="false">SRC_HW!$A96&amp;""</f>
        <v/>
      </c>
      <c r="B96" s="62" t="s">
        <v>9570</v>
      </c>
      <c r="C96" s="61" t="n">
        <v>96</v>
      </c>
      <c r="D96" s="92" t="n">
        <f aca="false">SRC_HW!$O96</f>
        <v>0</v>
      </c>
      <c r="E96" s="92" t="n">
        <f aca="false">SRC_HW!$K96</f>
        <v>0</v>
      </c>
      <c r="F96" s="92" t="n">
        <f aca="false">SRC_HW!$S96</f>
        <v>0</v>
      </c>
    </row>
    <row r="97" customFormat="false" ht="15" hidden="false" customHeight="false" outlineLevel="0" collapsed="false">
      <c r="A97" s="92" t="str">
        <f aca="false">SRC_HW!$A97&amp;""</f>
        <v/>
      </c>
      <c r="B97" s="62" t="s">
        <v>9570</v>
      </c>
      <c r="C97" s="61" t="n">
        <v>97</v>
      </c>
      <c r="D97" s="92" t="n">
        <f aca="false">SRC_HW!$O97</f>
        <v>0</v>
      </c>
      <c r="E97" s="92" t="n">
        <f aca="false">SRC_HW!$K97</f>
        <v>0</v>
      </c>
      <c r="F97" s="92" t="n">
        <f aca="false">SRC_HW!$S97</f>
        <v>0</v>
      </c>
    </row>
    <row r="98" customFormat="false" ht="15" hidden="false" customHeight="false" outlineLevel="0" collapsed="false">
      <c r="A98" s="92" t="str">
        <f aca="false">SRC_HW!$A98&amp;""</f>
        <v/>
      </c>
      <c r="B98" s="62" t="s">
        <v>9570</v>
      </c>
      <c r="C98" s="61" t="n">
        <v>98</v>
      </c>
      <c r="D98" s="92" t="n">
        <f aca="false">SRC_HW!$O98</f>
        <v>0</v>
      </c>
      <c r="E98" s="92" t="n">
        <f aca="false">SRC_HW!$K98</f>
        <v>0</v>
      </c>
      <c r="F98" s="92" t="n">
        <f aca="false">SRC_HW!$S98</f>
        <v>0</v>
      </c>
    </row>
    <row r="99" customFormat="false" ht="15" hidden="false" customHeight="false" outlineLevel="0" collapsed="false">
      <c r="A99" s="92" t="str">
        <f aca="false">SRC_HW!$A99&amp;""</f>
        <v/>
      </c>
      <c r="B99" s="62" t="s">
        <v>9570</v>
      </c>
      <c r="C99" s="61" t="n">
        <v>99</v>
      </c>
      <c r="D99" s="92" t="n">
        <f aca="false">SRC_HW!$O99</f>
        <v>0</v>
      </c>
      <c r="E99" s="92" t="n">
        <f aca="false">SRC_HW!$K99</f>
        <v>0</v>
      </c>
      <c r="F99" s="92" t="n">
        <f aca="false">SRC_HW!$S99</f>
        <v>0</v>
      </c>
    </row>
    <row r="100" customFormat="false" ht="15" hidden="false" customHeight="false" outlineLevel="0" collapsed="false">
      <c r="A100" s="92" t="str">
        <f aca="false">SRC_HW!$A100&amp;""</f>
        <v/>
      </c>
      <c r="B100" s="62" t="s">
        <v>9570</v>
      </c>
      <c r="C100" s="61" t="n">
        <v>100</v>
      </c>
      <c r="D100" s="92" t="n">
        <f aca="false">SRC_HW!$O100</f>
        <v>0</v>
      </c>
      <c r="E100" s="92" t="n">
        <f aca="false">SRC_HW!$K100</f>
        <v>0</v>
      </c>
      <c r="F100" s="92" t="n">
        <f aca="false">SRC_HW!$S100</f>
        <v>0</v>
      </c>
    </row>
    <row r="101" customFormat="false" ht="15" hidden="false" customHeight="false" outlineLevel="0" collapsed="false">
      <c r="A101" s="92" t="str">
        <f aca="false">SRC_HW!$A101&amp;""</f>
        <v/>
      </c>
      <c r="B101" s="62" t="s">
        <v>9570</v>
      </c>
      <c r="C101" s="61" t="n">
        <v>101</v>
      </c>
      <c r="D101" s="92" t="n">
        <f aca="false">SRC_HW!$O101</f>
        <v>0</v>
      </c>
      <c r="E101" s="92" t="n">
        <f aca="false">SRC_HW!$K101</f>
        <v>0</v>
      </c>
      <c r="F101" s="92" t="n">
        <f aca="false">SRC_HW!$S101</f>
        <v>0</v>
      </c>
    </row>
    <row r="102" customFormat="false" ht="15" hidden="false" customHeight="false" outlineLevel="0" collapsed="false">
      <c r="A102" s="92" t="str">
        <f aca="false">SRC_HW!$A102&amp;""</f>
        <v/>
      </c>
      <c r="B102" s="62" t="s">
        <v>9570</v>
      </c>
      <c r="C102" s="61" t="n">
        <v>102</v>
      </c>
      <c r="D102" s="92" t="n">
        <f aca="false">SRC_HW!$O102</f>
        <v>0</v>
      </c>
      <c r="E102" s="92" t="n">
        <f aca="false">SRC_HW!$K102</f>
        <v>0</v>
      </c>
      <c r="F102" s="92" t="n">
        <f aca="false">SRC_HW!$S102</f>
        <v>0</v>
      </c>
    </row>
    <row r="103" customFormat="false" ht="15" hidden="false" customHeight="false" outlineLevel="0" collapsed="false">
      <c r="A103" s="92" t="str">
        <f aca="false">SRC_HW!$A103&amp;""</f>
        <v/>
      </c>
      <c r="B103" s="62" t="s">
        <v>9570</v>
      </c>
      <c r="C103" s="61" t="n">
        <v>103</v>
      </c>
      <c r="D103" s="92" t="n">
        <f aca="false">SRC_HW!$O103</f>
        <v>0</v>
      </c>
      <c r="E103" s="92" t="n">
        <f aca="false">SRC_HW!$K103</f>
        <v>0</v>
      </c>
      <c r="F103" s="92" t="n">
        <f aca="false">SRC_HW!$S103</f>
        <v>0</v>
      </c>
    </row>
    <row r="104" customFormat="false" ht="15" hidden="false" customHeight="false" outlineLevel="0" collapsed="false">
      <c r="A104" s="92" t="str">
        <f aca="false">SRC_HW!$A104&amp;""</f>
        <v/>
      </c>
      <c r="B104" s="62" t="s">
        <v>9570</v>
      </c>
      <c r="C104" s="61" t="n">
        <v>104</v>
      </c>
      <c r="D104" s="92" t="n">
        <f aca="false">SRC_HW!$O104</f>
        <v>0</v>
      </c>
      <c r="E104" s="92" t="n">
        <f aca="false">SRC_HW!$K104</f>
        <v>0</v>
      </c>
      <c r="F104" s="92" t="n">
        <f aca="false">SRC_HW!$S104</f>
        <v>0</v>
      </c>
    </row>
    <row r="105" customFormat="false" ht="15" hidden="false" customHeight="false" outlineLevel="0" collapsed="false">
      <c r="A105" s="92" t="str">
        <f aca="false">SRC_HW!$A105&amp;""</f>
        <v/>
      </c>
      <c r="B105" s="62" t="s">
        <v>9570</v>
      </c>
      <c r="C105" s="61" t="n">
        <v>105</v>
      </c>
      <c r="D105" s="92" t="n">
        <f aca="false">SRC_HW!$O105</f>
        <v>0</v>
      </c>
      <c r="E105" s="92" t="n">
        <f aca="false">SRC_HW!$K105</f>
        <v>0</v>
      </c>
      <c r="F105" s="92" t="n">
        <f aca="false">SRC_HW!$S105</f>
        <v>0</v>
      </c>
    </row>
    <row r="106" customFormat="false" ht="15" hidden="false" customHeight="false" outlineLevel="0" collapsed="false">
      <c r="A106" s="92" t="str">
        <f aca="false">SRC_HW!$A106&amp;""</f>
        <v/>
      </c>
      <c r="B106" s="62" t="s">
        <v>9570</v>
      </c>
      <c r="C106" s="61" t="n">
        <v>106</v>
      </c>
      <c r="D106" s="92" t="n">
        <f aca="false">SRC_HW!$O106</f>
        <v>0</v>
      </c>
      <c r="E106" s="92" t="n">
        <f aca="false">SRC_HW!$K106</f>
        <v>0</v>
      </c>
      <c r="F106" s="92" t="n">
        <f aca="false">SRC_HW!$S106</f>
        <v>0</v>
      </c>
    </row>
    <row r="107" customFormat="false" ht="15" hidden="false" customHeight="false" outlineLevel="0" collapsed="false">
      <c r="A107" s="92" t="str">
        <f aca="false">SRC_HW!$A107&amp;""</f>
        <v/>
      </c>
      <c r="B107" s="62" t="s">
        <v>9570</v>
      </c>
      <c r="C107" s="61" t="n">
        <v>107</v>
      </c>
      <c r="D107" s="92" t="n">
        <f aca="false">SRC_HW!$O107</f>
        <v>0</v>
      </c>
      <c r="E107" s="92" t="n">
        <f aca="false">SRC_HW!$K107</f>
        <v>0</v>
      </c>
      <c r="F107" s="92" t="n">
        <f aca="false">SRC_HW!$S107</f>
        <v>0</v>
      </c>
    </row>
    <row r="108" customFormat="false" ht="15" hidden="false" customHeight="false" outlineLevel="0" collapsed="false">
      <c r="A108" s="92" t="str">
        <f aca="false">SRC_HW!$A108&amp;""</f>
        <v/>
      </c>
      <c r="B108" s="62" t="s">
        <v>9570</v>
      </c>
      <c r="C108" s="61" t="n">
        <v>108</v>
      </c>
      <c r="D108" s="92" t="n">
        <f aca="false">SRC_HW!$O108</f>
        <v>0</v>
      </c>
      <c r="E108" s="92" t="n">
        <f aca="false">SRC_HW!$K108</f>
        <v>0</v>
      </c>
      <c r="F108" s="92" t="n">
        <f aca="false">SRC_HW!$S108</f>
        <v>0</v>
      </c>
    </row>
    <row r="109" customFormat="false" ht="15" hidden="false" customHeight="false" outlineLevel="0" collapsed="false">
      <c r="A109" s="92" t="str">
        <f aca="false">SRC_HW!$A109&amp;""</f>
        <v/>
      </c>
      <c r="B109" s="62" t="s">
        <v>9570</v>
      </c>
      <c r="C109" s="61" t="n">
        <v>109</v>
      </c>
      <c r="D109" s="92" t="n">
        <f aca="false">SRC_HW!$O109</f>
        <v>0</v>
      </c>
      <c r="E109" s="92" t="n">
        <f aca="false">SRC_HW!$K109</f>
        <v>0</v>
      </c>
      <c r="F109" s="92" t="n">
        <f aca="false">SRC_HW!$S109</f>
        <v>0</v>
      </c>
    </row>
    <row r="110" customFormat="false" ht="15" hidden="false" customHeight="false" outlineLevel="0" collapsed="false">
      <c r="A110" s="92" t="str">
        <f aca="false">SRC_HW!$A110&amp;""</f>
        <v/>
      </c>
      <c r="B110" s="62" t="s">
        <v>9570</v>
      </c>
      <c r="C110" s="61" t="n">
        <v>110</v>
      </c>
      <c r="D110" s="92" t="n">
        <f aca="false">SRC_HW!$O110</f>
        <v>0</v>
      </c>
      <c r="E110" s="92" t="n">
        <f aca="false">SRC_HW!$K110</f>
        <v>0</v>
      </c>
      <c r="F110" s="92" t="n">
        <f aca="false">SRC_HW!$S110</f>
        <v>0</v>
      </c>
    </row>
    <row r="111" customFormat="false" ht="15" hidden="false" customHeight="false" outlineLevel="0" collapsed="false">
      <c r="A111" s="92" t="str">
        <f aca="false">SRC_HW!$A111&amp;""</f>
        <v/>
      </c>
      <c r="B111" s="62" t="s">
        <v>9570</v>
      </c>
      <c r="C111" s="61" t="n">
        <v>111</v>
      </c>
      <c r="D111" s="92" t="n">
        <f aca="false">SRC_HW!$O111</f>
        <v>0</v>
      </c>
      <c r="E111" s="92" t="n">
        <f aca="false">SRC_HW!$K111</f>
        <v>0</v>
      </c>
      <c r="F111" s="92" t="n">
        <f aca="false">SRC_HW!$S111</f>
        <v>0</v>
      </c>
    </row>
    <row r="112" customFormat="false" ht="15" hidden="false" customHeight="false" outlineLevel="0" collapsed="false">
      <c r="A112" s="92" t="str">
        <f aca="false">SRC_HW!$A112&amp;""</f>
        <v/>
      </c>
      <c r="B112" s="62" t="s">
        <v>9570</v>
      </c>
      <c r="C112" s="61" t="n">
        <v>112</v>
      </c>
      <c r="D112" s="92" t="n">
        <f aca="false">SRC_HW!$O112</f>
        <v>0</v>
      </c>
      <c r="E112" s="92" t="n">
        <f aca="false">SRC_HW!$K112</f>
        <v>0</v>
      </c>
      <c r="F112" s="92" t="n">
        <f aca="false">SRC_HW!$S112</f>
        <v>0</v>
      </c>
    </row>
    <row r="113" customFormat="false" ht="15" hidden="false" customHeight="false" outlineLevel="0" collapsed="false">
      <c r="A113" s="92" t="str">
        <f aca="false">SRC_HW!$A113&amp;""</f>
        <v/>
      </c>
      <c r="B113" s="62" t="s">
        <v>9570</v>
      </c>
      <c r="C113" s="61" t="n">
        <v>113</v>
      </c>
      <c r="D113" s="92" t="n">
        <f aca="false">SRC_HW!$O113</f>
        <v>0</v>
      </c>
      <c r="E113" s="92" t="n">
        <f aca="false">SRC_HW!$K113</f>
        <v>0</v>
      </c>
      <c r="F113" s="92" t="n">
        <f aca="false">SRC_HW!$S113</f>
        <v>0</v>
      </c>
    </row>
    <row r="114" customFormat="false" ht="15" hidden="false" customHeight="false" outlineLevel="0" collapsed="false">
      <c r="A114" s="92" t="str">
        <f aca="false">SRC_HW!$A114&amp;""</f>
        <v/>
      </c>
      <c r="B114" s="62" t="s">
        <v>9570</v>
      </c>
      <c r="C114" s="61" t="n">
        <v>114</v>
      </c>
      <c r="D114" s="92" t="n">
        <f aca="false">SRC_HW!$O114</f>
        <v>0</v>
      </c>
      <c r="E114" s="92" t="n">
        <f aca="false">SRC_HW!$K114</f>
        <v>0</v>
      </c>
      <c r="F114" s="92" t="n">
        <f aca="false">SRC_HW!$S114</f>
        <v>0</v>
      </c>
    </row>
    <row r="115" customFormat="false" ht="15" hidden="false" customHeight="false" outlineLevel="0" collapsed="false">
      <c r="A115" s="92" t="str">
        <f aca="false">SRC_HW!$A115&amp;""</f>
        <v/>
      </c>
      <c r="B115" s="62" t="s">
        <v>9570</v>
      </c>
      <c r="C115" s="61" t="n">
        <v>115</v>
      </c>
      <c r="D115" s="92" t="n">
        <f aca="false">SRC_HW!$O115</f>
        <v>0</v>
      </c>
      <c r="E115" s="92" t="n">
        <f aca="false">SRC_HW!$K115</f>
        <v>0</v>
      </c>
      <c r="F115" s="92" t="n">
        <f aca="false">SRC_HW!$S115</f>
        <v>0</v>
      </c>
    </row>
    <row r="116" customFormat="false" ht="15" hidden="false" customHeight="false" outlineLevel="0" collapsed="false">
      <c r="A116" s="92" t="str">
        <f aca="false">SRC_HW!$A116&amp;""</f>
        <v/>
      </c>
      <c r="B116" s="62" t="s">
        <v>9570</v>
      </c>
      <c r="C116" s="61" t="n">
        <v>116</v>
      </c>
      <c r="D116" s="92" t="n">
        <f aca="false">SRC_HW!$O116</f>
        <v>0</v>
      </c>
      <c r="E116" s="92" t="n">
        <f aca="false">SRC_HW!$K116</f>
        <v>0</v>
      </c>
      <c r="F116" s="92" t="n">
        <f aca="false">SRC_HW!$S116</f>
        <v>0</v>
      </c>
    </row>
    <row r="117" customFormat="false" ht="15" hidden="false" customHeight="false" outlineLevel="0" collapsed="false">
      <c r="A117" s="92" t="str">
        <f aca="false">SRC_HW!$A117&amp;""</f>
        <v/>
      </c>
      <c r="B117" s="62" t="s">
        <v>9570</v>
      </c>
      <c r="C117" s="61" t="n">
        <v>117</v>
      </c>
      <c r="D117" s="92" t="n">
        <f aca="false">SRC_HW!$O117</f>
        <v>0</v>
      </c>
      <c r="E117" s="92" t="n">
        <f aca="false">SRC_HW!$K117</f>
        <v>0</v>
      </c>
      <c r="F117" s="92" t="n">
        <f aca="false">SRC_HW!$S117</f>
        <v>0</v>
      </c>
    </row>
    <row r="118" customFormat="false" ht="15" hidden="false" customHeight="false" outlineLevel="0" collapsed="false">
      <c r="A118" s="92" t="str">
        <f aca="false">SRC_HW!$A118&amp;""</f>
        <v/>
      </c>
      <c r="B118" s="62" t="s">
        <v>9570</v>
      </c>
      <c r="C118" s="61" t="n">
        <v>118</v>
      </c>
      <c r="D118" s="92" t="n">
        <f aca="false">SRC_HW!$O118</f>
        <v>0</v>
      </c>
      <c r="E118" s="92" t="n">
        <f aca="false">SRC_HW!$K118</f>
        <v>0</v>
      </c>
      <c r="F118" s="92" t="n">
        <f aca="false">SRC_HW!$S118</f>
        <v>0</v>
      </c>
    </row>
    <row r="119" customFormat="false" ht="15" hidden="false" customHeight="false" outlineLevel="0" collapsed="false">
      <c r="A119" s="92" t="str">
        <f aca="false">SRC_HW!$A119&amp;""</f>
        <v/>
      </c>
      <c r="B119" s="62" t="s">
        <v>9570</v>
      </c>
      <c r="C119" s="61" t="n">
        <v>119</v>
      </c>
      <c r="D119" s="92" t="n">
        <f aca="false">SRC_HW!$O119</f>
        <v>0</v>
      </c>
      <c r="E119" s="92" t="n">
        <f aca="false">SRC_HW!$K119</f>
        <v>0</v>
      </c>
      <c r="F119" s="92" t="n">
        <f aca="false">SRC_HW!$S119</f>
        <v>0</v>
      </c>
    </row>
    <row r="120" customFormat="false" ht="15" hidden="false" customHeight="false" outlineLevel="0" collapsed="false">
      <c r="A120" s="92" t="str">
        <f aca="false">SRC_HW!$A120&amp;""</f>
        <v/>
      </c>
      <c r="B120" s="62" t="s">
        <v>9570</v>
      </c>
      <c r="C120" s="61" t="n">
        <v>120</v>
      </c>
      <c r="D120" s="92" t="n">
        <f aca="false">SRC_HW!$O120</f>
        <v>0</v>
      </c>
      <c r="E120" s="92" t="n">
        <f aca="false">SRC_HW!$K120</f>
        <v>0</v>
      </c>
      <c r="F120" s="92" t="n">
        <f aca="false">SRC_HW!$S120</f>
        <v>0</v>
      </c>
    </row>
    <row r="121" customFormat="false" ht="15" hidden="false" customHeight="false" outlineLevel="0" collapsed="false">
      <c r="A121" s="92" t="str">
        <f aca="false">SRC_DC!$A5&amp;""</f>
        <v>SRC_DC_001</v>
      </c>
      <c r="B121" s="62" t="s">
        <v>9571</v>
      </c>
      <c r="C121" s="61" t="n">
        <v>5</v>
      </c>
      <c r="D121" s="92" t="str">
        <f aca="false">SRC_DC!$O5</f>
        <v>Active</v>
      </c>
      <c r="E121" s="92" t="n">
        <f aca="false">SRC_DC!$K5</f>
        <v>3</v>
      </c>
      <c r="F121" s="92" t="str">
        <f aca="false">SRC_DC!$S5</f>
        <v>—</v>
      </c>
    </row>
    <row r="122" customFormat="false" ht="15" hidden="false" customHeight="false" outlineLevel="0" collapsed="false">
      <c r="A122" s="92" t="str">
        <f aca="false">SRC_DC!$A6&amp;""</f>
        <v>SRC_DC_002</v>
      </c>
      <c r="B122" s="62" t="s">
        <v>9571</v>
      </c>
      <c r="C122" s="61" t="n">
        <v>6</v>
      </c>
      <c r="D122" s="92" t="str">
        <f aca="false">SRC_DC!$O6</f>
        <v>Active</v>
      </c>
      <c r="E122" s="92" t="n">
        <f aca="false">SRC_DC!$K6</f>
        <v>3</v>
      </c>
      <c r="F122" s="92" t="str">
        <f aca="false">SRC_DC!$S6</f>
        <v>—</v>
      </c>
    </row>
    <row r="123" customFormat="false" ht="15" hidden="false" customHeight="false" outlineLevel="0" collapsed="false">
      <c r="A123" s="92" t="str">
        <f aca="false">SRC_DC!$A7&amp;""</f>
        <v>SRC_DC_003</v>
      </c>
      <c r="B123" s="62" t="s">
        <v>9571</v>
      </c>
      <c r="C123" s="61" t="n">
        <v>7</v>
      </c>
      <c r="D123" s="92" t="str">
        <f aca="false">SRC_DC!$O7</f>
        <v>Active</v>
      </c>
      <c r="E123" s="92" t="n">
        <f aca="false">SRC_DC!$K7</f>
        <v>3</v>
      </c>
      <c r="F123" s="92" t="str">
        <f aca="false">SRC_DC!$S7</f>
        <v>—</v>
      </c>
    </row>
    <row r="124" customFormat="false" ht="15" hidden="false" customHeight="false" outlineLevel="0" collapsed="false">
      <c r="A124" s="92" t="str">
        <f aca="false">SRC_DC!$A8&amp;""</f>
        <v>SRC_DC_004</v>
      </c>
      <c r="B124" s="62" t="s">
        <v>9571</v>
      </c>
      <c r="C124" s="61" t="n">
        <v>8</v>
      </c>
      <c r="D124" s="92" t="str">
        <f aca="false">SRC_DC!$O8</f>
        <v>Active</v>
      </c>
      <c r="E124" s="92" t="n">
        <f aca="false">SRC_DC!$K8</f>
        <v>3</v>
      </c>
      <c r="F124" s="92" t="str">
        <f aca="false">SRC_DC!$S8</f>
        <v>—</v>
      </c>
    </row>
    <row r="125" customFormat="false" ht="15" hidden="false" customHeight="false" outlineLevel="0" collapsed="false">
      <c r="A125" s="92" t="str">
        <f aca="false">SRC_DC!$A9&amp;""</f>
        <v>SRC_DC_005</v>
      </c>
      <c r="B125" s="62" t="s">
        <v>9571</v>
      </c>
      <c r="C125" s="61" t="n">
        <v>9</v>
      </c>
      <c r="D125" s="92" t="str">
        <f aca="false">SRC_DC!$O9</f>
        <v>Active</v>
      </c>
      <c r="E125" s="92" t="n">
        <f aca="false">SRC_DC!$K9</f>
        <v>2</v>
      </c>
      <c r="F125" s="92" t="str">
        <f aca="false">SRC_DC!$S9</f>
        <v>—</v>
      </c>
    </row>
    <row r="126" customFormat="false" ht="15" hidden="false" customHeight="false" outlineLevel="0" collapsed="false">
      <c r="A126" s="92" t="str">
        <f aca="false">SRC_DC!$A10&amp;""</f>
        <v>SRC_DC_006</v>
      </c>
      <c r="B126" s="62" t="s">
        <v>9571</v>
      </c>
      <c r="C126" s="61" t="n">
        <v>10</v>
      </c>
      <c r="D126" s="92" t="str">
        <f aca="false">SRC_DC!$O10</f>
        <v>Active</v>
      </c>
      <c r="E126" s="92" t="n">
        <f aca="false">SRC_DC!$K10</f>
        <v>2</v>
      </c>
      <c r="F126" s="92" t="str">
        <f aca="false">SRC_DC!$S10</f>
        <v>—</v>
      </c>
    </row>
    <row r="127" customFormat="false" ht="15" hidden="false" customHeight="false" outlineLevel="0" collapsed="false">
      <c r="A127" s="92" t="str">
        <f aca="false">SRC_DC!$A11&amp;""</f>
        <v>SRC_DC_007</v>
      </c>
      <c r="B127" s="62" t="s">
        <v>9571</v>
      </c>
      <c r="C127" s="61" t="n">
        <v>11</v>
      </c>
      <c r="D127" s="92" t="str">
        <f aca="false">SRC_DC!$O11</f>
        <v>Active</v>
      </c>
      <c r="E127" s="92" t="n">
        <f aca="false">SRC_DC!$K11</f>
        <v>2</v>
      </c>
      <c r="F127" s="92" t="str">
        <f aca="false">SRC_DC!$S11</f>
        <v>—</v>
      </c>
    </row>
    <row r="128" customFormat="false" ht="15" hidden="false" customHeight="false" outlineLevel="0" collapsed="false">
      <c r="A128" s="92" t="str">
        <f aca="false">SRC_DC!$A12&amp;""</f>
        <v>SRC_DC_008</v>
      </c>
      <c r="B128" s="62" t="s">
        <v>9571</v>
      </c>
      <c r="C128" s="61" t="n">
        <v>12</v>
      </c>
      <c r="D128" s="92" t="str">
        <f aca="false">SRC_DC!$O12</f>
        <v>Active</v>
      </c>
      <c r="E128" s="92" t="n">
        <f aca="false">SRC_DC!$K12</f>
        <v>2</v>
      </c>
      <c r="F128" s="92" t="str">
        <f aca="false">SRC_DC!$S12</f>
        <v>—</v>
      </c>
    </row>
    <row r="129" customFormat="false" ht="15" hidden="false" customHeight="false" outlineLevel="0" collapsed="false">
      <c r="A129" s="92" t="str">
        <f aca="false">SRC_DC!$A13&amp;""</f>
        <v>SRC_DC_009</v>
      </c>
      <c r="B129" s="62" t="s">
        <v>9571</v>
      </c>
      <c r="C129" s="61" t="n">
        <v>13</v>
      </c>
      <c r="D129" s="92" t="str">
        <f aca="false">SRC_DC!$O13</f>
        <v>Active</v>
      </c>
      <c r="E129" s="92" t="n">
        <f aca="false">SRC_DC!$K13</f>
        <v>2</v>
      </c>
      <c r="F129" s="92" t="str">
        <f aca="false">SRC_DC!$S13</f>
        <v>—</v>
      </c>
    </row>
    <row r="130" customFormat="false" ht="15" hidden="false" customHeight="false" outlineLevel="0" collapsed="false">
      <c r="A130" s="92" t="str">
        <f aca="false">SRC_DC!$A14&amp;""</f>
        <v>SRC_DC_010</v>
      </c>
      <c r="B130" s="62" t="s">
        <v>9571</v>
      </c>
      <c r="C130" s="61" t="n">
        <v>14</v>
      </c>
      <c r="D130" s="92" t="str">
        <f aca="false">SRC_DC!$O14</f>
        <v>Active</v>
      </c>
      <c r="E130" s="92" t="n">
        <f aca="false">SRC_DC!$K14</f>
        <v>3</v>
      </c>
      <c r="F130" s="92" t="str">
        <f aca="false">SRC_DC!$S14</f>
        <v>—</v>
      </c>
    </row>
    <row r="131" customFormat="false" ht="15" hidden="false" customHeight="false" outlineLevel="0" collapsed="false">
      <c r="A131" s="92" t="str">
        <f aca="false">SRC_DC!$A15&amp;""</f>
        <v>SRC_DC_011</v>
      </c>
      <c r="B131" s="62" t="s">
        <v>9571</v>
      </c>
      <c r="C131" s="61" t="n">
        <v>15</v>
      </c>
      <c r="D131" s="92" t="str">
        <f aca="false">SRC_DC!$O15</f>
        <v>Active</v>
      </c>
      <c r="E131" s="92" t="n">
        <f aca="false">SRC_DC!$K15</f>
        <v>3</v>
      </c>
      <c r="F131" s="92" t="str">
        <f aca="false">SRC_DC!$S15</f>
        <v>—</v>
      </c>
    </row>
    <row r="132" customFormat="false" ht="15" hidden="false" customHeight="false" outlineLevel="0" collapsed="false">
      <c r="A132" s="92" t="str">
        <f aca="false">SRC_DC!$A16&amp;""</f>
        <v>SRC_DC_012</v>
      </c>
      <c r="B132" s="62" t="s">
        <v>9571</v>
      </c>
      <c r="C132" s="61" t="n">
        <v>16</v>
      </c>
      <c r="D132" s="92" t="str">
        <f aca="false">SRC_DC!$O16</f>
        <v>Active</v>
      </c>
      <c r="E132" s="92" t="n">
        <f aca="false">SRC_DC!$K16</f>
        <v>2</v>
      </c>
      <c r="F132" s="92" t="str">
        <f aca="false">SRC_DC!$S16</f>
        <v>—</v>
      </c>
    </row>
    <row r="133" customFormat="false" ht="15" hidden="false" customHeight="false" outlineLevel="0" collapsed="false">
      <c r="A133" s="92" t="str">
        <f aca="false">SRC_DC!$A17&amp;""</f>
        <v>SRC_DC_013</v>
      </c>
      <c r="B133" s="62" t="s">
        <v>9571</v>
      </c>
      <c r="C133" s="61" t="n">
        <v>17</v>
      </c>
      <c r="D133" s="92" t="str">
        <f aca="false">SRC_DC!$O17</f>
        <v>Active</v>
      </c>
      <c r="E133" s="92" t="n">
        <f aca="false">SRC_DC!$K17</f>
        <v>2</v>
      </c>
      <c r="F133" s="92" t="str">
        <f aca="false">SRC_DC!$S17</f>
        <v>—</v>
      </c>
    </row>
    <row r="134" customFormat="false" ht="15" hidden="false" customHeight="false" outlineLevel="0" collapsed="false">
      <c r="A134" s="92" t="str">
        <f aca="false">SRC_DC!$A18&amp;""</f>
        <v>SRC_DC_014</v>
      </c>
      <c r="B134" s="62" t="s">
        <v>9571</v>
      </c>
      <c r="C134" s="61" t="n">
        <v>18</v>
      </c>
      <c r="D134" s="92" t="str">
        <f aca="false">SRC_DC!$O18</f>
        <v>Active</v>
      </c>
      <c r="E134" s="92" t="n">
        <f aca="false">SRC_DC!$K18</f>
        <v>1</v>
      </c>
      <c r="F134" s="92" t="str">
        <f aca="false">SRC_DC!$S18</f>
        <v>—</v>
      </c>
    </row>
    <row r="135" customFormat="false" ht="15" hidden="false" customHeight="false" outlineLevel="0" collapsed="false">
      <c r="A135" s="92" t="str">
        <f aca="false">SRC_DC!$A19&amp;""</f>
        <v>SRC_DC_015</v>
      </c>
      <c r="B135" s="62" t="s">
        <v>9571</v>
      </c>
      <c r="C135" s="61" t="n">
        <v>19</v>
      </c>
      <c r="D135" s="92" t="str">
        <f aca="false">SRC_DC!$O19</f>
        <v>Active</v>
      </c>
      <c r="E135" s="92" t="n">
        <f aca="false">SRC_DC!$K19</f>
        <v>1</v>
      </c>
      <c r="F135" s="92" t="str">
        <f aca="false">SRC_DC!$S19</f>
        <v>—</v>
      </c>
    </row>
    <row r="136" customFormat="false" ht="15" hidden="false" customHeight="false" outlineLevel="0" collapsed="false">
      <c r="A136" s="92" t="str">
        <f aca="false">SRC_DC!$A20&amp;""</f>
        <v>SRC_DC_016</v>
      </c>
      <c r="B136" s="62" t="s">
        <v>9571</v>
      </c>
      <c r="C136" s="61" t="n">
        <v>20</v>
      </c>
      <c r="D136" s="92" t="str">
        <f aca="false">SRC_DC!$O20</f>
        <v>Active</v>
      </c>
      <c r="E136" s="92" t="n">
        <f aca="false">SRC_DC!$K20</f>
        <v>1</v>
      </c>
      <c r="F136" s="92" t="str">
        <f aca="false">SRC_DC!$S20</f>
        <v>—</v>
      </c>
    </row>
    <row r="137" customFormat="false" ht="15" hidden="false" customHeight="false" outlineLevel="0" collapsed="false">
      <c r="A137" s="92" t="str">
        <f aca="false">SRC_DC!$A21&amp;""</f>
        <v>SRC_DC_017</v>
      </c>
      <c r="B137" s="62" t="s">
        <v>9571</v>
      </c>
      <c r="C137" s="61" t="n">
        <v>21</v>
      </c>
      <c r="D137" s="92" t="str">
        <f aca="false">SRC_DC!$O21</f>
        <v>Active</v>
      </c>
      <c r="E137" s="92" t="n">
        <f aca="false">SRC_DC!$K21</f>
        <v>2</v>
      </c>
      <c r="F137" s="92" t="str">
        <f aca="false">SRC_DC!$S21</f>
        <v>—</v>
      </c>
    </row>
    <row r="138" customFormat="false" ht="15" hidden="false" customHeight="false" outlineLevel="0" collapsed="false">
      <c r="A138" s="92" t="str">
        <f aca="false">SRC_DC!$A22&amp;""</f>
        <v/>
      </c>
      <c r="B138" s="62" t="s">
        <v>9571</v>
      </c>
      <c r="C138" s="61" t="n">
        <v>22</v>
      </c>
      <c r="D138" s="92" t="n">
        <f aca="false">SRC_DC!$O22</f>
        <v>0</v>
      </c>
      <c r="E138" s="92" t="n">
        <f aca="false">SRC_DC!$K22</f>
        <v>0</v>
      </c>
      <c r="F138" s="92" t="n">
        <f aca="false">SRC_DC!$S22</f>
        <v>0</v>
      </c>
    </row>
    <row r="139" customFormat="false" ht="15" hidden="false" customHeight="false" outlineLevel="0" collapsed="false">
      <c r="A139" s="92" t="str">
        <f aca="false">SRC_DC!$A23&amp;""</f>
        <v/>
      </c>
      <c r="B139" s="62" t="s">
        <v>9571</v>
      </c>
      <c r="C139" s="61" t="n">
        <v>23</v>
      </c>
      <c r="D139" s="92" t="n">
        <f aca="false">SRC_DC!$O23</f>
        <v>0</v>
      </c>
      <c r="E139" s="92" t="n">
        <f aca="false">SRC_DC!$K23</f>
        <v>0</v>
      </c>
      <c r="F139" s="92" t="n">
        <f aca="false">SRC_DC!$S23</f>
        <v>0</v>
      </c>
    </row>
    <row r="140" customFormat="false" ht="15" hidden="false" customHeight="false" outlineLevel="0" collapsed="false">
      <c r="A140" s="92" t="str">
        <f aca="false">SRC_DC!$A24&amp;""</f>
        <v/>
      </c>
      <c r="B140" s="62" t="s">
        <v>9571</v>
      </c>
      <c r="C140" s="61" t="n">
        <v>24</v>
      </c>
      <c r="D140" s="92" t="n">
        <f aca="false">SRC_DC!$O24</f>
        <v>0</v>
      </c>
      <c r="E140" s="92" t="n">
        <f aca="false">SRC_DC!$K24</f>
        <v>0</v>
      </c>
      <c r="F140" s="92" t="n">
        <f aca="false">SRC_DC!$S24</f>
        <v>0</v>
      </c>
    </row>
    <row r="141" customFormat="false" ht="15" hidden="false" customHeight="false" outlineLevel="0" collapsed="false">
      <c r="A141" s="92" t="str">
        <f aca="false">SRC_DC!$A25&amp;""</f>
        <v/>
      </c>
      <c r="B141" s="62" t="s">
        <v>9571</v>
      </c>
      <c r="C141" s="61" t="n">
        <v>25</v>
      </c>
      <c r="D141" s="92" t="n">
        <f aca="false">SRC_DC!$O25</f>
        <v>0</v>
      </c>
      <c r="E141" s="92" t="n">
        <f aca="false">SRC_DC!$K25</f>
        <v>0</v>
      </c>
      <c r="F141" s="92" t="n">
        <f aca="false">SRC_DC!$S25</f>
        <v>0</v>
      </c>
    </row>
    <row r="142" customFormat="false" ht="15" hidden="false" customHeight="false" outlineLevel="0" collapsed="false">
      <c r="A142" s="92" t="str">
        <f aca="false">SRC_DC!$A26&amp;""</f>
        <v/>
      </c>
      <c r="B142" s="62" t="s">
        <v>9571</v>
      </c>
      <c r="C142" s="61" t="n">
        <v>26</v>
      </c>
      <c r="D142" s="92" t="n">
        <f aca="false">SRC_DC!$O26</f>
        <v>0</v>
      </c>
      <c r="E142" s="92" t="n">
        <f aca="false">SRC_DC!$K26</f>
        <v>0</v>
      </c>
      <c r="F142" s="92" t="n">
        <f aca="false">SRC_DC!$S26</f>
        <v>0</v>
      </c>
    </row>
    <row r="143" customFormat="false" ht="15" hidden="false" customHeight="false" outlineLevel="0" collapsed="false">
      <c r="A143" s="92" t="str">
        <f aca="false">SRC_DC!$A27&amp;""</f>
        <v/>
      </c>
      <c r="B143" s="62" t="s">
        <v>9571</v>
      </c>
      <c r="C143" s="61" t="n">
        <v>27</v>
      </c>
      <c r="D143" s="92" t="n">
        <f aca="false">SRC_DC!$O27</f>
        <v>0</v>
      </c>
      <c r="E143" s="92" t="n">
        <f aca="false">SRC_DC!$K27</f>
        <v>0</v>
      </c>
      <c r="F143" s="92" t="n">
        <f aca="false">SRC_DC!$S27</f>
        <v>0</v>
      </c>
    </row>
    <row r="144" customFormat="false" ht="15" hidden="false" customHeight="false" outlineLevel="0" collapsed="false">
      <c r="A144" s="92" t="str">
        <f aca="false">SRC_DC!$A28&amp;""</f>
        <v/>
      </c>
      <c r="B144" s="62" t="s">
        <v>9571</v>
      </c>
      <c r="C144" s="61" t="n">
        <v>28</v>
      </c>
      <c r="D144" s="92" t="n">
        <f aca="false">SRC_DC!$O28</f>
        <v>0</v>
      </c>
      <c r="E144" s="92" t="n">
        <f aca="false">SRC_DC!$K28</f>
        <v>0</v>
      </c>
      <c r="F144" s="92" t="n">
        <f aca="false">SRC_DC!$S28</f>
        <v>0</v>
      </c>
    </row>
    <row r="145" customFormat="false" ht="15" hidden="false" customHeight="false" outlineLevel="0" collapsed="false">
      <c r="A145" s="92" t="str">
        <f aca="false">SRC_DC!$A29&amp;""</f>
        <v/>
      </c>
      <c r="B145" s="62" t="s">
        <v>9571</v>
      </c>
      <c r="C145" s="61" t="n">
        <v>29</v>
      </c>
      <c r="D145" s="92" t="n">
        <f aca="false">SRC_DC!$O29</f>
        <v>0</v>
      </c>
      <c r="E145" s="92" t="n">
        <f aca="false">SRC_DC!$K29</f>
        <v>0</v>
      </c>
      <c r="F145" s="92" t="n">
        <f aca="false">SRC_DC!$S29</f>
        <v>0</v>
      </c>
    </row>
    <row r="146" customFormat="false" ht="15" hidden="false" customHeight="false" outlineLevel="0" collapsed="false">
      <c r="A146" s="92" t="str">
        <f aca="false">SRC_DC!$A30&amp;""</f>
        <v/>
      </c>
      <c r="B146" s="62" t="s">
        <v>9571</v>
      </c>
      <c r="C146" s="61" t="n">
        <v>30</v>
      </c>
      <c r="D146" s="92" t="n">
        <f aca="false">SRC_DC!$O30</f>
        <v>0</v>
      </c>
      <c r="E146" s="92" t="n">
        <f aca="false">SRC_DC!$K30</f>
        <v>0</v>
      </c>
      <c r="F146" s="92" t="n">
        <f aca="false">SRC_DC!$S30</f>
        <v>0</v>
      </c>
    </row>
    <row r="147" customFormat="false" ht="15" hidden="false" customHeight="false" outlineLevel="0" collapsed="false">
      <c r="A147" s="92" t="str">
        <f aca="false">SRC_DC!$A31&amp;""</f>
        <v/>
      </c>
      <c r="B147" s="62" t="s">
        <v>9571</v>
      </c>
      <c r="C147" s="61" t="n">
        <v>31</v>
      </c>
      <c r="D147" s="92" t="n">
        <f aca="false">SRC_DC!$O31</f>
        <v>0</v>
      </c>
      <c r="E147" s="92" t="n">
        <f aca="false">SRC_DC!$K31</f>
        <v>0</v>
      </c>
      <c r="F147" s="92" t="n">
        <f aca="false">SRC_DC!$S31</f>
        <v>0</v>
      </c>
    </row>
    <row r="148" customFormat="false" ht="15" hidden="false" customHeight="false" outlineLevel="0" collapsed="false">
      <c r="A148" s="92" t="str">
        <f aca="false">SRC_DC!$A32&amp;""</f>
        <v/>
      </c>
      <c r="B148" s="62" t="s">
        <v>9571</v>
      </c>
      <c r="C148" s="61" t="n">
        <v>32</v>
      </c>
      <c r="D148" s="92" t="n">
        <f aca="false">SRC_DC!$O32</f>
        <v>0</v>
      </c>
      <c r="E148" s="92" t="n">
        <f aca="false">SRC_DC!$K32</f>
        <v>0</v>
      </c>
      <c r="F148" s="92" t="n">
        <f aca="false">SRC_DC!$S32</f>
        <v>0</v>
      </c>
    </row>
    <row r="149" customFormat="false" ht="15" hidden="false" customHeight="false" outlineLevel="0" collapsed="false">
      <c r="A149" s="92" t="str">
        <f aca="false">SRC_DC!$A33&amp;""</f>
        <v/>
      </c>
      <c r="B149" s="62" t="s">
        <v>9571</v>
      </c>
      <c r="C149" s="61" t="n">
        <v>33</v>
      </c>
      <c r="D149" s="92" t="n">
        <f aca="false">SRC_DC!$O33</f>
        <v>0</v>
      </c>
      <c r="E149" s="92" t="n">
        <f aca="false">SRC_DC!$K33</f>
        <v>0</v>
      </c>
      <c r="F149" s="92" t="n">
        <f aca="false">SRC_DC!$S33</f>
        <v>0</v>
      </c>
    </row>
    <row r="150" customFormat="false" ht="15" hidden="false" customHeight="false" outlineLevel="0" collapsed="false">
      <c r="A150" s="92" t="str">
        <f aca="false">SRC_DC!$A34&amp;""</f>
        <v/>
      </c>
      <c r="B150" s="62" t="s">
        <v>9571</v>
      </c>
      <c r="C150" s="61" t="n">
        <v>34</v>
      </c>
      <c r="D150" s="92" t="n">
        <f aca="false">SRC_DC!$O34</f>
        <v>0</v>
      </c>
      <c r="E150" s="92" t="n">
        <f aca="false">SRC_DC!$K34</f>
        <v>0</v>
      </c>
      <c r="F150" s="92" t="n">
        <f aca="false">SRC_DC!$S34</f>
        <v>0</v>
      </c>
    </row>
    <row r="151" customFormat="false" ht="15" hidden="false" customHeight="false" outlineLevel="0" collapsed="false">
      <c r="A151" s="92" t="str">
        <f aca="false">SRC_DC!$A35&amp;""</f>
        <v/>
      </c>
      <c r="B151" s="62" t="s">
        <v>9571</v>
      </c>
      <c r="C151" s="61" t="n">
        <v>35</v>
      </c>
      <c r="D151" s="92" t="n">
        <f aca="false">SRC_DC!$O35</f>
        <v>0</v>
      </c>
      <c r="E151" s="92" t="n">
        <f aca="false">SRC_DC!$K35</f>
        <v>0</v>
      </c>
      <c r="F151" s="92" t="n">
        <f aca="false">SRC_DC!$S35</f>
        <v>0</v>
      </c>
    </row>
    <row r="152" customFormat="false" ht="15" hidden="false" customHeight="false" outlineLevel="0" collapsed="false">
      <c r="A152" s="92" t="str">
        <f aca="false">SRC_DC!$A36&amp;""</f>
        <v/>
      </c>
      <c r="B152" s="62" t="s">
        <v>9571</v>
      </c>
      <c r="C152" s="61" t="n">
        <v>36</v>
      </c>
      <c r="D152" s="92" t="n">
        <f aca="false">SRC_DC!$O36</f>
        <v>0</v>
      </c>
      <c r="E152" s="92" t="n">
        <f aca="false">SRC_DC!$K36</f>
        <v>0</v>
      </c>
      <c r="F152" s="92" t="n">
        <f aca="false">SRC_DC!$S36</f>
        <v>0</v>
      </c>
    </row>
    <row r="153" customFormat="false" ht="15" hidden="false" customHeight="false" outlineLevel="0" collapsed="false">
      <c r="A153" s="92" t="str">
        <f aca="false">SRC_DC!$A37&amp;""</f>
        <v/>
      </c>
      <c r="B153" s="62" t="s">
        <v>9571</v>
      </c>
      <c r="C153" s="61" t="n">
        <v>37</v>
      </c>
      <c r="D153" s="92" t="n">
        <f aca="false">SRC_DC!$O37</f>
        <v>0</v>
      </c>
      <c r="E153" s="92" t="n">
        <f aca="false">SRC_DC!$K37</f>
        <v>0</v>
      </c>
      <c r="F153" s="92" t="n">
        <f aca="false">SRC_DC!$S37</f>
        <v>0</v>
      </c>
    </row>
    <row r="154" customFormat="false" ht="15" hidden="false" customHeight="false" outlineLevel="0" collapsed="false">
      <c r="A154" s="92" t="str">
        <f aca="false">SRC_DC!$A38&amp;""</f>
        <v/>
      </c>
      <c r="B154" s="62" t="s">
        <v>9571</v>
      </c>
      <c r="C154" s="61" t="n">
        <v>38</v>
      </c>
      <c r="D154" s="92" t="n">
        <f aca="false">SRC_DC!$O38</f>
        <v>0</v>
      </c>
      <c r="E154" s="92" t="n">
        <f aca="false">SRC_DC!$K38</f>
        <v>0</v>
      </c>
      <c r="F154" s="92" t="n">
        <f aca="false">SRC_DC!$S38</f>
        <v>0</v>
      </c>
    </row>
    <row r="155" customFormat="false" ht="15" hidden="false" customHeight="false" outlineLevel="0" collapsed="false">
      <c r="A155" s="92" t="str">
        <f aca="false">SRC_DC!$A39&amp;""</f>
        <v/>
      </c>
      <c r="B155" s="62" t="s">
        <v>9571</v>
      </c>
      <c r="C155" s="61" t="n">
        <v>39</v>
      </c>
      <c r="D155" s="92" t="n">
        <f aca="false">SRC_DC!$O39</f>
        <v>0</v>
      </c>
      <c r="E155" s="92" t="n">
        <f aca="false">SRC_DC!$K39</f>
        <v>0</v>
      </c>
      <c r="F155" s="92" t="n">
        <f aca="false">SRC_DC!$S39</f>
        <v>0</v>
      </c>
    </row>
    <row r="156" customFormat="false" ht="15" hidden="false" customHeight="false" outlineLevel="0" collapsed="false">
      <c r="A156" s="92" t="str">
        <f aca="false">SRC_DC!$A40&amp;""</f>
        <v/>
      </c>
      <c r="B156" s="62" t="s">
        <v>9571</v>
      </c>
      <c r="C156" s="61" t="n">
        <v>40</v>
      </c>
      <c r="D156" s="92" t="n">
        <f aca="false">SRC_DC!$O40</f>
        <v>0</v>
      </c>
      <c r="E156" s="92" t="n">
        <f aca="false">SRC_DC!$K40</f>
        <v>0</v>
      </c>
      <c r="F156" s="92" t="n">
        <f aca="false">SRC_DC!$S40</f>
        <v>0</v>
      </c>
    </row>
    <row r="157" customFormat="false" ht="15" hidden="false" customHeight="false" outlineLevel="0" collapsed="false">
      <c r="A157" s="92" t="str">
        <f aca="false">SRC_DC!$A41&amp;""</f>
        <v/>
      </c>
      <c r="B157" s="62" t="s">
        <v>9571</v>
      </c>
      <c r="C157" s="61" t="n">
        <v>41</v>
      </c>
      <c r="D157" s="92" t="n">
        <f aca="false">SRC_DC!$O41</f>
        <v>0</v>
      </c>
      <c r="E157" s="92" t="n">
        <f aca="false">SRC_DC!$K41</f>
        <v>0</v>
      </c>
      <c r="F157" s="92" t="n">
        <f aca="false">SRC_DC!$S41</f>
        <v>0</v>
      </c>
    </row>
    <row r="158" customFormat="false" ht="15" hidden="false" customHeight="false" outlineLevel="0" collapsed="false">
      <c r="A158" s="92" t="str">
        <f aca="false">SRC_DC!$A42&amp;""</f>
        <v/>
      </c>
      <c r="B158" s="62" t="s">
        <v>9571</v>
      </c>
      <c r="C158" s="61" t="n">
        <v>42</v>
      </c>
      <c r="D158" s="92" t="n">
        <f aca="false">SRC_DC!$O42</f>
        <v>0</v>
      </c>
      <c r="E158" s="92" t="n">
        <f aca="false">SRC_DC!$K42</f>
        <v>0</v>
      </c>
      <c r="F158" s="92" t="n">
        <f aca="false">SRC_DC!$S42</f>
        <v>0</v>
      </c>
    </row>
    <row r="159" customFormat="false" ht="15" hidden="false" customHeight="false" outlineLevel="0" collapsed="false">
      <c r="A159" s="92" t="str">
        <f aca="false">SRC_DC!$A43&amp;""</f>
        <v/>
      </c>
      <c r="B159" s="62" t="s">
        <v>9571</v>
      </c>
      <c r="C159" s="61" t="n">
        <v>43</v>
      </c>
      <c r="D159" s="92" t="n">
        <f aca="false">SRC_DC!$O43</f>
        <v>0</v>
      </c>
      <c r="E159" s="92" t="n">
        <f aca="false">SRC_DC!$K43</f>
        <v>0</v>
      </c>
      <c r="F159" s="92" t="n">
        <f aca="false">SRC_DC!$S43</f>
        <v>0</v>
      </c>
    </row>
    <row r="160" customFormat="false" ht="15" hidden="false" customHeight="false" outlineLevel="0" collapsed="false">
      <c r="A160" s="92" t="str">
        <f aca="false">SRC_DC!$A44&amp;""</f>
        <v/>
      </c>
      <c r="B160" s="62" t="s">
        <v>9571</v>
      </c>
      <c r="C160" s="61" t="n">
        <v>44</v>
      </c>
      <c r="D160" s="92" t="n">
        <f aca="false">SRC_DC!$O44</f>
        <v>0</v>
      </c>
      <c r="E160" s="92" t="n">
        <f aca="false">SRC_DC!$K44</f>
        <v>0</v>
      </c>
      <c r="F160" s="92" t="n">
        <f aca="false">SRC_DC!$S44</f>
        <v>0</v>
      </c>
    </row>
    <row r="161" customFormat="false" ht="15" hidden="false" customHeight="false" outlineLevel="0" collapsed="false">
      <c r="A161" s="92" t="str">
        <f aca="false">SRC_DC!$A45&amp;""</f>
        <v/>
      </c>
      <c r="B161" s="62" t="s">
        <v>9571</v>
      </c>
      <c r="C161" s="61" t="n">
        <v>45</v>
      </c>
      <c r="D161" s="92" t="n">
        <f aca="false">SRC_DC!$O45</f>
        <v>0</v>
      </c>
      <c r="E161" s="92" t="n">
        <f aca="false">SRC_DC!$K45</f>
        <v>0</v>
      </c>
      <c r="F161" s="92" t="n">
        <f aca="false">SRC_DC!$S45</f>
        <v>0</v>
      </c>
    </row>
    <row r="162" customFormat="false" ht="15" hidden="false" customHeight="false" outlineLevel="0" collapsed="false">
      <c r="A162" s="92" t="str">
        <f aca="false">SRC_DC!$A46&amp;""</f>
        <v/>
      </c>
      <c r="B162" s="62" t="s">
        <v>9571</v>
      </c>
      <c r="C162" s="61" t="n">
        <v>46</v>
      </c>
      <c r="D162" s="92" t="n">
        <f aca="false">SRC_DC!$O46</f>
        <v>0</v>
      </c>
      <c r="E162" s="92" t="n">
        <f aca="false">SRC_DC!$K46</f>
        <v>0</v>
      </c>
      <c r="F162" s="92" t="n">
        <f aca="false">SRC_DC!$S46</f>
        <v>0</v>
      </c>
    </row>
    <row r="163" customFormat="false" ht="15" hidden="false" customHeight="false" outlineLevel="0" collapsed="false">
      <c r="A163" s="92" t="str">
        <f aca="false">SRC_DC!$A47&amp;""</f>
        <v/>
      </c>
      <c r="B163" s="62" t="s">
        <v>9571</v>
      </c>
      <c r="C163" s="61" t="n">
        <v>47</v>
      </c>
      <c r="D163" s="92" t="n">
        <f aca="false">SRC_DC!$O47</f>
        <v>0</v>
      </c>
      <c r="E163" s="92" t="n">
        <f aca="false">SRC_DC!$K47</f>
        <v>0</v>
      </c>
      <c r="F163" s="92" t="n">
        <f aca="false">SRC_DC!$S47</f>
        <v>0</v>
      </c>
    </row>
    <row r="164" customFormat="false" ht="15" hidden="false" customHeight="false" outlineLevel="0" collapsed="false">
      <c r="A164" s="92" t="str">
        <f aca="false">SRC_DC!$A48&amp;""</f>
        <v/>
      </c>
      <c r="B164" s="62" t="s">
        <v>9571</v>
      </c>
      <c r="C164" s="61" t="n">
        <v>48</v>
      </c>
      <c r="D164" s="92" t="n">
        <f aca="false">SRC_DC!$O48</f>
        <v>0</v>
      </c>
      <c r="E164" s="92" t="n">
        <f aca="false">SRC_DC!$K48</f>
        <v>0</v>
      </c>
      <c r="F164" s="92" t="n">
        <f aca="false">SRC_DC!$S48</f>
        <v>0</v>
      </c>
    </row>
    <row r="165" customFormat="false" ht="15" hidden="false" customHeight="false" outlineLevel="0" collapsed="false">
      <c r="A165" s="92" t="str">
        <f aca="false">SRC_DC!$A49&amp;""</f>
        <v/>
      </c>
      <c r="B165" s="62" t="s">
        <v>9571</v>
      </c>
      <c r="C165" s="61" t="n">
        <v>49</v>
      </c>
      <c r="D165" s="92" t="n">
        <f aca="false">SRC_DC!$O49</f>
        <v>0</v>
      </c>
      <c r="E165" s="92" t="n">
        <f aca="false">SRC_DC!$K49</f>
        <v>0</v>
      </c>
      <c r="F165" s="92" t="n">
        <f aca="false">SRC_DC!$S49</f>
        <v>0</v>
      </c>
    </row>
    <row r="166" customFormat="false" ht="15" hidden="false" customHeight="false" outlineLevel="0" collapsed="false">
      <c r="A166" s="92" t="str">
        <f aca="false">SRC_DC!$A50&amp;""</f>
        <v/>
      </c>
      <c r="B166" s="62" t="s">
        <v>9571</v>
      </c>
      <c r="C166" s="61" t="n">
        <v>50</v>
      </c>
      <c r="D166" s="92" t="n">
        <f aca="false">SRC_DC!$O50</f>
        <v>0</v>
      </c>
      <c r="E166" s="92" t="n">
        <f aca="false">SRC_DC!$K50</f>
        <v>0</v>
      </c>
      <c r="F166" s="92" t="n">
        <f aca="false">SRC_DC!$S50</f>
        <v>0</v>
      </c>
    </row>
    <row r="167" customFormat="false" ht="15" hidden="false" customHeight="false" outlineLevel="0" collapsed="false">
      <c r="A167" s="92" t="str">
        <f aca="false">SRC_DC!$A51&amp;""</f>
        <v/>
      </c>
      <c r="B167" s="62" t="s">
        <v>9571</v>
      </c>
      <c r="C167" s="61" t="n">
        <v>51</v>
      </c>
      <c r="D167" s="92" t="n">
        <f aca="false">SRC_DC!$O51</f>
        <v>0</v>
      </c>
      <c r="E167" s="92" t="n">
        <f aca="false">SRC_DC!$K51</f>
        <v>0</v>
      </c>
      <c r="F167" s="92" t="n">
        <f aca="false">SRC_DC!$S51</f>
        <v>0</v>
      </c>
    </row>
    <row r="168" customFormat="false" ht="15" hidden="false" customHeight="false" outlineLevel="0" collapsed="false">
      <c r="A168" s="92" t="str">
        <f aca="false">SRC_DC!$A52&amp;""</f>
        <v/>
      </c>
      <c r="B168" s="62" t="s">
        <v>9571</v>
      </c>
      <c r="C168" s="61" t="n">
        <v>52</v>
      </c>
      <c r="D168" s="92" t="n">
        <f aca="false">SRC_DC!$O52</f>
        <v>0</v>
      </c>
      <c r="E168" s="92" t="n">
        <f aca="false">SRC_DC!$K52</f>
        <v>0</v>
      </c>
      <c r="F168" s="92" t="n">
        <f aca="false">SRC_DC!$S52</f>
        <v>0</v>
      </c>
    </row>
    <row r="169" customFormat="false" ht="15" hidden="false" customHeight="false" outlineLevel="0" collapsed="false">
      <c r="A169" s="92" t="str">
        <f aca="false">SRC_DC!$A53&amp;""</f>
        <v/>
      </c>
      <c r="B169" s="62" t="s">
        <v>9571</v>
      </c>
      <c r="C169" s="61" t="n">
        <v>53</v>
      </c>
      <c r="D169" s="92" t="n">
        <f aca="false">SRC_DC!$O53</f>
        <v>0</v>
      </c>
      <c r="E169" s="92" t="n">
        <f aca="false">SRC_DC!$K53</f>
        <v>0</v>
      </c>
      <c r="F169" s="92" t="n">
        <f aca="false">SRC_DC!$S53</f>
        <v>0</v>
      </c>
    </row>
    <row r="170" customFormat="false" ht="15" hidden="false" customHeight="false" outlineLevel="0" collapsed="false">
      <c r="A170" s="92" t="str">
        <f aca="false">SRC_DC!$A54&amp;""</f>
        <v/>
      </c>
      <c r="B170" s="62" t="s">
        <v>9571</v>
      </c>
      <c r="C170" s="61" t="n">
        <v>54</v>
      </c>
      <c r="D170" s="92" t="n">
        <f aca="false">SRC_DC!$O54</f>
        <v>0</v>
      </c>
      <c r="E170" s="92" t="n">
        <f aca="false">SRC_DC!$K54</f>
        <v>0</v>
      </c>
      <c r="F170" s="92" t="n">
        <f aca="false">SRC_DC!$S54</f>
        <v>0</v>
      </c>
    </row>
    <row r="171" customFormat="false" ht="15" hidden="false" customHeight="false" outlineLevel="0" collapsed="false">
      <c r="A171" s="92" t="str">
        <f aca="false">SRC_DC!$A55&amp;""</f>
        <v/>
      </c>
      <c r="B171" s="62" t="s">
        <v>9571</v>
      </c>
      <c r="C171" s="61" t="n">
        <v>55</v>
      </c>
      <c r="D171" s="92" t="n">
        <f aca="false">SRC_DC!$O55</f>
        <v>0</v>
      </c>
      <c r="E171" s="92" t="n">
        <f aca="false">SRC_DC!$K55</f>
        <v>0</v>
      </c>
      <c r="F171" s="92" t="n">
        <f aca="false">SRC_DC!$S55</f>
        <v>0</v>
      </c>
    </row>
    <row r="172" customFormat="false" ht="15" hidden="false" customHeight="false" outlineLevel="0" collapsed="false">
      <c r="A172" s="92" t="str">
        <f aca="false">SRC_DC!$A56&amp;""</f>
        <v/>
      </c>
      <c r="B172" s="62" t="s">
        <v>9571</v>
      </c>
      <c r="C172" s="61" t="n">
        <v>56</v>
      </c>
      <c r="D172" s="92" t="n">
        <f aca="false">SRC_DC!$O56</f>
        <v>0</v>
      </c>
      <c r="E172" s="92" t="n">
        <f aca="false">SRC_DC!$K56</f>
        <v>0</v>
      </c>
      <c r="F172" s="92" t="n">
        <f aca="false">SRC_DC!$S56</f>
        <v>0</v>
      </c>
    </row>
    <row r="173" customFormat="false" ht="15" hidden="false" customHeight="false" outlineLevel="0" collapsed="false">
      <c r="A173" s="92" t="str">
        <f aca="false">SRC_DC!$A57&amp;""</f>
        <v/>
      </c>
      <c r="B173" s="62" t="s">
        <v>9571</v>
      </c>
      <c r="C173" s="61" t="n">
        <v>57</v>
      </c>
      <c r="D173" s="92" t="n">
        <f aca="false">SRC_DC!$O57</f>
        <v>0</v>
      </c>
      <c r="E173" s="92" t="n">
        <f aca="false">SRC_DC!$K57</f>
        <v>0</v>
      </c>
      <c r="F173" s="92" t="n">
        <f aca="false">SRC_DC!$S57</f>
        <v>0</v>
      </c>
    </row>
    <row r="174" customFormat="false" ht="15" hidden="false" customHeight="false" outlineLevel="0" collapsed="false">
      <c r="A174" s="92" t="str">
        <f aca="false">SRC_DC!$A58&amp;""</f>
        <v/>
      </c>
      <c r="B174" s="62" t="s">
        <v>9571</v>
      </c>
      <c r="C174" s="61" t="n">
        <v>58</v>
      </c>
      <c r="D174" s="92" t="n">
        <f aca="false">SRC_DC!$O58</f>
        <v>0</v>
      </c>
      <c r="E174" s="92" t="n">
        <f aca="false">SRC_DC!$K58</f>
        <v>0</v>
      </c>
      <c r="F174" s="92" t="n">
        <f aca="false">SRC_DC!$S58</f>
        <v>0</v>
      </c>
    </row>
    <row r="175" customFormat="false" ht="15" hidden="false" customHeight="false" outlineLevel="0" collapsed="false">
      <c r="A175" s="92" t="str">
        <f aca="false">SRC_DC!$A59&amp;""</f>
        <v/>
      </c>
      <c r="B175" s="62" t="s">
        <v>9571</v>
      </c>
      <c r="C175" s="61" t="n">
        <v>59</v>
      </c>
      <c r="D175" s="92" t="n">
        <f aca="false">SRC_DC!$O59</f>
        <v>0</v>
      </c>
      <c r="E175" s="92" t="n">
        <f aca="false">SRC_DC!$K59</f>
        <v>0</v>
      </c>
      <c r="F175" s="92" t="n">
        <f aca="false">SRC_DC!$S59</f>
        <v>0</v>
      </c>
    </row>
    <row r="176" customFormat="false" ht="15" hidden="false" customHeight="false" outlineLevel="0" collapsed="false">
      <c r="A176" s="92" t="str">
        <f aca="false">SRC_DC!$A60&amp;""</f>
        <v/>
      </c>
      <c r="B176" s="62" t="s">
        <v>9571</v>
      </c>
      <c r="C176" s="61" t="n">
        <v>60</v>
      </c>
      <c r="D176" s="92" t="n">
        <f aca="false">SRC_DC!$O60</f>
        <v>0</v>
      </c>
      <c r="E176" s="92" t="n">
        <f aca="false">SRC_DC!$K60</f>
        <v>0</v>
      </c>
      <c r="F176" s="92" t="n">
        <f aca="false">SRC_DC!$S60</f>
        <v>0</v>
      </c>
    </row>
    <row r="177" customFormat="false" ht="15" hidden="false" customHeight="false" outlineLevel="0" collapsed="false">
      <c r="A177" s="92" t="str">
        <f aca="false">SRC_DC!$A61&amp;""</f>
        <v/>
      </c>
      <c r="B177" s="62" t="s">
        <v>9571</v>
      </c>
      <c r="C177" s="61" t="n">
        <v>61</v>
      </c>
      <c r="D177" s="92" t="n">
        <f aca="false">SRC_DC!$O61</f>
        <v>0</v>
      </c>
      <c r="E177" s="92" t="n">
        <f aca="false">SRC_DC!$K61</f>
        <v>0</v>
      </c>
      <c r="F177" s="92" t="n">
        <f aca="false">SRC_DC!$S61</f>
        <v>0</v>
      </c>
    </row>
    <row r="178" customFormat="false" ht="15" hidden="false" customHeight="false" outlineLevel="0" collapsed="false">
      <c r="A178" s="92" t="str">
        <f aca="false">SRC_DC!$A62&amp;""</f>
        <v/>
      </c>
      <c r="B178" s="62" t="s">
        <v>9571</v>
      </c>
      <c r="C178" s="61" t="n">
        <v>62</v>
      </c>
      <c r="D178" s="92" t="n">
        <f aca="false">SRC_DC!$O62</f>
        <v>0</v>
      </c>
      <c r="E178" s="92" t="n">
        <f aca="false">SRC_DC!$K62</f>
        <v>0</v>
      </c>
      <c r="F178" s="92" t="n">
        <f aca="false">SRC_DC!$S62</f>
        <v>0</v>
      </c>
    </row>
    <row r="179" customFormat="false" ht="15" hidden="false" customHeight="false" outlineLevel="0" collapsed="false">
      <c r="A179" s="92" t="str">
        <f aca="false">SRC_DC!$A63&amp;""</f>
        <v/>
      </c>
      <c r="B179" s="62" t="s">
        <v>9571</v>
      </c>
      <c r="C179" s="61" t="n">
        <v>63</v>
      </c>
      <c r="D179" s="92" t="n">
        <f aca="false">SRC_DC!$O63</f>
        <v>0</v>
      </c>
      <c r="E179" s="92" t="n">
        <f aca="false">SRC_DC!$K63</f>
        <v>0</v>
      </c>
      <c r="F179" s="92" t="n">
        <f aca="false">SRC_DC!$S63</f>
        <v>0</v>
      </c>
    </row>
    <row r="180" customFormat="false" ht="15" hidden="false" customHeight="false" outlineLevel="0" collapsed="false">
      <c r="A180" s="92" t="str">
        <f aca="false">SRC_DC!$A64&amp;""</f>
        <v/>
      </c>
      <c r="B180" s="62" t="s">
        <v>9571</v>
      </c>
      <c r="C180" s="61" t="n">
        <v>64</v>
      </c>
      <c r="D180" s="92" t="n">
        <f aca="false">SRC_DC!$O64</f>
        <v>0</v>
      </c>
      <c r="E180" s="92" t="n">
        <f aca="false">SRC_DC!$K64</f>
        <v>0</v>
      </c>
      <c r="F180" s="92" t="n">
        <f aca="false">SRC_DC!$S64</f>
        <v>0</v>
      </c>
    </row>
    <row r="181" customFormat="false" ht="15" hidden="false" customHeight="false" outlineLevel="0" collapsed="false">
      <c r="A181" s="92" t="str">
        <f aca="false">SRC_DC!$A65&amp;""</f>
        <v/>
      </c>
      <c r="B181" s="62" t="s">
        <v>9571</v>
      </c>
      <c r="C181" s="61" t="n">
        <v>65</v>
      </c>
      <c r="D181" s="92" t="n">
        <f aca="false">SRC_DC!$O65</f>
        <v>0</v>
      </c>
      <c r="E181" s="92" t="n">
        <f aca="false">SRC_DC!$K65</f>
        <v>0</v>
      </c>
      <c r="F181" s="92" t="n">
        <f aca="false">SRC_DC!$S65</f>
        <v>0</v>
      </c>
    </row>
    <row r="182" customFormat="false" ht="15" hidden="false" customHeight="false" outlineLevel="0" collapsed="false">
      <c r="A182" s="92" t="str">
        <f aca="false">SRC_DC!$A66&amp;""</f>
        <v/>
      </c>
      <c r="B182" s="62" t="s">
        <v>9571</v>
      </c>
      <c r="C182" s="61" t="n">
        <v>66</v>
      </c>
      <c r="D182" s="92" t="n">
        <f aca="false">SRC_DC!$O66</f>
        <v>0</v>
      </c>
      <c r="E182" s="92" t="n">
        <f aca="false">SRC_DC!$K66</f>
        <v>0</v>
      </c>
      <c r="F182" s="92" t="n">
        <f aca="false">SRC_DC!$S66</f>
        <v>0</v>
      </c>
    </row>
    <row r="183" customFormat="false" ht="15" hidden="false" customHeight="false" outlineLevel="0" collapsed="false">
      <c r="A183" s="92" t="str">
        <f aca="false">SRC_DC!$A67&amp;""</f>
        <v/>
      </c>
      <c r="B183" s="62" t="s">
        <v>9571</v>
      </c>
      <c r="C183" s="61" t="n">
        <v>67</v>
      </c>
      <c r="D183" s="92" t="n">
        <f aca="false">SRC_DC!$O67</f>
        <v>0</v>
      </c>
      <c r="E183" s="92" t="n">
        <f aca="false">SRC_DC!$K67</f>
        <v>0</v>
      </c>
      <c r="F183" s="92" t="n">
        <f aca="false">SRC_DC!$S67</f>
        <v>0</v>
      </c>
    </row>
    <row r="184" customFormat="false" ht="15" hidden="false" customHeight="false" outlineLevel="0" collapsed="false">
      <c r="A184" s="92" t="str">
        <f aca="false">SRC_DC!$A68&amp;""</f>
        <v/>
      </c>
      <c r="B184" s="62" t="s">
        <v>9571</v>
      </c>
      <c r="C184" s="61" t="n">
        <v>68</v>
      </c>
      <c r="D184" s="92" t="n">
        <f aca="false">SRC_DC!$O68</f>
        <v>0</v>
      </c>
      <c r="E184" s="92" t="n">
        <f aca="false">SRC_DC!$K68</f>
        <v>0</v>
      </c>
      <c r="F184" s="92" t="n">
        <f aca="false">SRC_DC!$S68</f>
        <v>0</v>
      </c>
    </row>
    <row r="185" customFormat="false" ht="15" hidden="false" customHeight="false" outlineLevel="0" collapsed="false">
      <c r="A185" s="92" t="str">
        <f aca="false">SRC_DC!$A69&amp;""</f>
        <v/>
      </c>
      <c r="B185" s="62" t="s">
        <v>9571</v>
      </c>
      <c r="C185" s="61" t="n">
        <v>69</v>
      </c>
      <c r="D185" s="92" t="n">
        <f aca="false">SRC_DC!$O69</f>
        <v>0</v>
      </c>
      <c r="E185" s="92" t="n">
        <f aca="false">SRC_DC!$K69</f>
        <v>0</v>
      </c>
      <c r="F185" s="92" t="n">
        <f aca="false">SRC_DC!$S69</f>
        <v>0</v>
      </c>
    </row>
    <row r="186" customFormat="false" ht="15" hidden="false" customHeight="false" outlineLevel="0" collapsed="false">
      <c r="A186" s="92" t="str">
        <f aca="false">SRC_DC!$A70&amp;""</f>
        <v/>
      </c>
      <c r="B186" s="62" t="s">
        <v>9571</v>
      </c>
      <c r="C186" s="61" t="n">
        <v>70</v>
      </c>
      <c r="D186" s="92" t="n">
        <f aca="false">SRC_DC!$O70</f>
        <v>0</v>
      </c>
      <c r="E186" s="92" t="n">
        <f aca="false">SRC_DC!$K70</f>
        <v>0</v>
      </c>
      <c r="F186" s="92" t="n">
        <f aca="false">SRC_DC!$S70</f>
        <v>0</v>
      </c>
    </row>
    <row r="187" customFormat="false" ht="15" hidden="false" customHeight="false" outlineLevel="0" collapsed="false">
      <c r="A187" s="92" t="str">
        <f aca="false">SRC_DC!$A71&amp;""</f>
        <v/>
      </c>
      <c r="B187" s="62" t="s">
        <v>9571</v>
      </c>
      <c r="C187" s="61" t="n">
        <v>71</v>
      </c>
      <c r="D187" s="92" t="n">
        <f aca="false">SRC_DC!$O71</f>
        <v>0</v>
      </c>
      <c r="E187" s="92" t="n">
        <f aca="false">SRC_DC!$K71</f>
        <v>0</v>
      </c>
      <c r="F187" s="92" t="n">
        <f aca="false">SRC_DC!$S71</f>
        <v>0</v>
      </c>
    </row>
    <row r="188" customFormat="false" ht="15" hidden="false" customHeight="false" outlineLevel="0" collapsed="false">
      <c r="A188" s="92" t="str">
        <f aca="false">SRC_Model!$A5&amp;""</f>
        <v>SRC_MOD_001</v>
      </c>
      <c r="B188" s="62" t="s">
        <v>9572</v>
      </c>
      <c r="C188" s="61" t="n">
        <v>5</v>
      </c>
      <c r="D188" s="92" t="str">
        <f aca="false">SRC_Model!$O5</f>
        <v>Active</v>
      </c>
      <c r="E188" s="92" t="n">
        <f aca="false">SRC_Model!$K5</f>
        <v>3</v>
      </c>
      <c r="F188" s="92" t="str">
        <f aca="false">SRC_Model!$S5</f>
        <v>—</v>
      </c>
    </row>
    <row r="189" customFormat="false" ht="15" hidden="false" customHeight="false" outlineLevel="0" collapsed="false">
      <c r="A189" s="92" t="str">
        <f aca="false">SRC_Model!$A6&amp;""</f>
        <v>SRC_MOD_002</v>
      </c>
      <c r="B189" s="62" t="s">
        <v>9572</v>
      </c>
      <c r="C189" s="61" t="n">
        <v>6</v>
      </c>
      <c r="D189" s="92" t="str">
        <f aca="false">SRC_Model!$O6</f>
        <v>Active</v>
      </c>
      <c r="E189" s="92" t="n">
        <f aca="false">SRC_Model!$K6</f>
        <v>1</v>
      </c>
      <c r="F189" s="92" t="str">
        <f aca="false">SRC_Model!$S6</f>
        <v>2026-10-05</v>
      </c>
    </row>
    <row r="190" customFormat="false" ht="15" hidden="false" customHeight="false" outlineLevel="0" collapsed="false">
      <c r="A190" s="92" t="str">
        <f aca="false">SRC_Model!$A7&amp;""</f>
        <v>SRC_MOD_003</v>
      </c>
      <c r="B190" s="62" t="s">
        <v>9572</v>
      </c>
      <c r="C190" s="61" t="n">
        <v>7</v>
      </c>
      <c r="D190" s="92" t="str">
        <f aca="false">SRC_Model!$O7</f>
        <v>Active</v>
      </c>
      <c r="E190" s="92" t="n">
        <f aca="false">SRC_Model!$K7</f>
        <v>3</v>
      </c>
      <c r="F190" s="92" t="str">
        <f aca="false">SRC_Model!$S7</f>
        <v>—</v>
      </c>
    </row>
    <row r="191" customFormat="false" ht="15" hidden="false" customHeight="false" outlineLevel="0" collapsed="false">
      <c r="A191" s="92" t="str">
        <f aca="false">SRC_Model!$A8&amp;""</f>
        <v>SRC_MOD_004</v>
      </c>
      <c r="B191" s="62" t="s">
        <v>9572</v>
      </c>
      <c r="C191" s="61" t="n">
        <v>8</v>
      </c>
      <c r="D191" s="92" t="str">
        <f aca="false">SRC_Model!$O8</f>
        <v>Active</v>
      </c>
      <c r="E191" s="92" t="n">
        <f aca="false">SRC_Model!$K8</f>
        <v>3</v>
      </c>
      <c r="F191" s="92" t="str">
        <f aca="false">SRC_Model!$S8</f>
        <v>—</v>
      </c>
    </row>
    <row r="192" customFormat="false" ht="15" hidden="false" customHeight="false" outlineLevel="0" collapsed="false">
      <c r="A192" s="92" t="str">
        <f aca="false">SRC_Model!$A9&amp;""</f>
        <v>SRC_MOD_005</v>
      </c>
      <c r="B192" s="62" t="s">
        <v>9572</v>
      </c>
      <c r="C192" s="61" t="n">
        <v>9</v>
      </c>
      <c r="D192" s="92" t="str">
        <f aca="false">SRC_Model!$O9</f>
        <v>Active</v>
      </c>
      <c r="E192" s="92" t="n">
        <f aca="false">SRC_Model!$K9</f>
        <v>3</v>
      </c>
      <c r="F192" s="92" t="str">
        <f aca="false">SRC_Model!$S9</f>
        <v>—</v>
      </c>
    </row>
    <row r="193" customFormat="false" ht="15" hidden="false" customHeight="false" outlineLevel="0" collapsed="false">
      <c r="A193" s="92" t="str">
        <f aca="false">SRC_Model!$A10&amp;""</f>
        <v>SRC_MOD_006</v>
      </c>
      <c r="B193" s="62" t="s">
        <v>9572</v>
      </c>
      <c r="C193" s="61" t="n">
        <v>10</v>
      </c>
      <c r="D193" s="92" t="str">
        <f aca="false">SRC_Model!$O10</f>
        <v>Active</v>
      </c>
      <c r="E193" s="92" t="n">
        <f aca="false">SRC_Model!$K10</f>
        <v>1</v>
      </c>
      <c r="F193" s="92" t="str">
        <f aca="false">SRC_Model!$S10</f>
        <v>2026-10-05</v>
      </c>
    </row>
    <row r="194" customFormat="false" ht="15" hidden="false" customHeight="false" outlineLevel="0" collapsed="false">
      <c r="A194" s="92" t="str">
        <f aca="false">SRC_Model!$A11&amp;""</f>
        <v>SRC_MOD_007</v>
      </c>
      <c r="B194" s="62" t="s">
        <v>9572</v>
      </c>
      <c r="C194" s="61" t="n">
        <v>11</v>
      </c>
      <c r="D194" s="92" t="str">
        <f aca="false">SRC_Model!$O11</f>
        <v>Active</v>
      </c>
      <c r="E194" s="92" t="n">
        <f aca="false">SRC_Model!$K11</f>
        <v>1</v>
      </c>
      <c r="F194" s="92" t="str">
        <f aca="false">SRC_Model!$S11</f>
        <v>2026-10-05</v>
      </c>
    </row>
    <row r="195" customFormat="false" ht="15" hidden="false" customHeight="false" outlineLevel="0" collapsed="false">
      <c r="A195" s="92" t="str">
        <f aca="false">SRC_Model!$A12&amp;""</f>
        <v>SRC_MOD_008</v>
      </c>
      <c r="B195" s="62" t="s">
        <v>9572</v>
      </c>
      <c r="C195" s="61" t="n">
        <v>12</v>
      </c>
      <c r="D195" s="92" t="str">
        <f aca="false">SRC_Model!$O12</f>
        <v>Active</v>
      </c>
      <c r="E195" s="92" t="n">
        <f aca="false">SRC_Model!$K12</f>
        <v>3</v>
      </c>
      <c r="F195" s="92" t="str">
        <f aca="false">SRC_Model!$S12</f>
        <v>—</v>
      </c>
    </row>
    <row r="196" customFormat="false" ht="15" hidden="false" customHeight="false" outlineLevel="0" collapsed="false">
      <c r="A196" s="92" t="str">
        <f aca="false">SRC_Model!$A13&amp;""</f>
        <v>SRC_MOD_009</v>
      </c>
      <c r="B196" s="62" t="s">
        <v>9572</v>
      </c>
      <c r="C196" s="61" t="n">
        <v>13</v>
      </c>
      <c r="D196" s="92" t="str">
        <f aca="false">SRC_Model!$O13</f>
        <v>Active</v>
      </c>
      <c r="E196" s="92" t="n">
        <f aca="false">SRC_Model!$K13</f>
        <v>1</v>
      </c>
      <c r="F196" s="92" t="str">
        <f aca="false">SRC_Model!$S13</f>
        <v>2026-10-05</v>
      </c>
    </row>
    <row r="197" customFormat="false" ht="15" hidden="false" customHeight="false" outlineLevel="0" collapsed="false">
      <c r="A197" s="92" t="str">
        <f aca="false">SRC_Model!$A14&amp;""</f>
        <v>SRC_MOD_010</v>
      </c>
      <c r="B197" s="62" t="s">
        <v>9572</v>
      </c>
      <c r="C197" s="61" t="n">
        <v>14</v>
      </c>
      <c r="D197" s="92" t="str">
        <f aca="false">SRC_Model!$O14</f>
        <v>Active</v>
      </c>
      <c r="E197" s="92" t="n">
        <f aca="false">SRC_Model!$K14</f>
        <v>1</v>
      </c>
      <c r="F197" s="92" t="str">
        <f aca="false">SRC_Model!$S14</f>
        <v>2026-10-05</v>
      </c>
    </row>
    <row r="198" customFormat="false" ht="15" hidden="false" customHeight="false" outlineLevel="0" collapsed="false">
      <c r="A198" s="92" t="str">
        <f aca="false">SRC_Model!$A15&amp;""</f>
        <v>SRC_MOD_011</v>
      </c>
      <c r="B198" s="62" t="s">
        <v>9572</v>
      </c>
      <c r="C198" s="61" t="n">
        <v>15</v>
      </c>
      <c r="D198" s="92" t="str">
        <f aca="false">SRC_Model!$O15</f>
        <v>Active</v>
      </c>
      <c r="E198" s="92" t="n">
        <f aca="false">SRC_Model!$K15</f>
        <v>1</v>
      </c>
      <c r="F198" s="92" t="str">
        <f aca="false">SRC_Model!$S15</f>
        <v>2026-10-05</v>
      </c>
    </row>
    <row r="199" customFormat="false" ht="15" hidden="false" customHeight="false" outlineLevel="0" collapsed="false">
      <c r="A199" s="92" t="str">
        <f aca="false">SRC_Model!$A16&amp;""</f>
        <v>SRC_MOD_012</v>
      </c>
      <c r="B199" s="62" t="s">
        <v>9572</v>
      </c>
      <c r="C199" s="61" t="n">
        <v>16</v>
      </c>
      <c r="D199" s="92" t="str">
        <f aca="false">SRC_Model!$O16</f>
        <v>Active</v>
      </c>
      <c r="E199" s="92" t="n">
        <f aca="false">SRC_Model!$K16</f>
        <v>1</v>
      </c>
      <c r="F199" s="92" t="str">
        <f aca="false">SRC_Model!$S16</f>
        <v>2026-10-05</v>
      </c>
    </row>
    <row r="200" customFormat="false" ht="15" hidden="false" customHeight="false" outlineLevel="0" collapsed="false">
      <c r="A200" s="92" t="str">
        <f aca="false">SRC_Model!$A17&amp;""</f>
        <v>SRC_MOD_013</v>
      </c>
      <c r="B200" s="62" t="s">
        <v>9572</v>
      </c>
      <c r="C200" s="61" t="n">
        <v>17</v>
      </c>
      <c r="D200" s="92" t="str">
        <f aca="false">SRC_Model!$O17</f>
        <v>Active</v>
      </c>
      <c r="E200" s="92" t="n">
        <f aca="false">SRC_Model!$K17</f>
        <v>1</v>
      </c>
      <c r="F200" s="92" t="str">
        <f aca="false">SRC_Model!$S17</f>
        <v>2026-10-05</v>
      </c>
    </row>
    <row r="201" customFormat="false" ht="15" hidden="false" customHeight="false" outlineLevel="0" collapsed="false">
      <c r="A201" s="92" t="str">
        <f aca="false">SRC_Model!$A18&amp;""</f>
        <v>SRC_MOD_014</v>
      </c>
      <c r="B201" s="62" t="s">
        <v>9572</v>
      </c>
      <c r="C201" s="61" t="n">
        <v>18</v>
      </c>
      <c r="D201" s="92" t="str">
        <f aca="false">SRC_Model!$O18</f>
        <v>Active</v>
      </c>
      <c r="E201" s="92" t="n">
        <f aca="false">SRC_Model!$K18</f>
        <v>1</v>
      </c>
      <c r="F201" s="92" t="str">
        <f aca="false">SRC_Model!$S18</f>
        <v>2026-10-05</v>
      </c>
    </row>
    <row r="202" customFormat="false" ht="15" hidden="false" customHeight="false" outlineLevel="0" collapsed="false">
      <c r="A202" s="92" t="str">
        <f aca="false">SRC_Model!$A19&amp;""</f>
        <v>SRC_MOD_015</v>
      </c>
      <c r="B202" s="62" t="s">
        <v>9572</v>
      </c>
      <c r="C202" s="61" t="n">
        <v>19</v>
      </c>
      <c r="D202" s="92" t="str">
        <f aca="false">SRC_Model!$O19</f>
        <v>Active</v>
      </c>
      <c r="E202" s="92" t="n">
        <f aca="false">SRC_Model!$K19</f>
        <v>1</v>
      </c>
      <c r="F202" s="92" t="str">
        <f aca="false">SRC_Model!$S19</f>
        <v>2026-10-05</v>
      </c>
    </row>
    <row r="203" customFormat="false" ht="15" hidden="false" customHeight="false" outlineLevel="0" collapsed="false">
      <c r="A203" s="92" t="str">
        <f aca="false">SRC_Model!$A20&amp;""</f>
        <v>SRC_MOD_016</v>
      </c>
      <c r="B203" s="62" t="s">
        <v>9572</v>
      </c>
      <c r="C203" s="61" t="n">
        <v>20</v>
      </c>
      <c r="D203" s="92" t="str">
        <f aca="false">SRC_Model!$O20</f>
        <v>Active</v>
      </c>
      <c r="E203" s="92" t="n">
        <f aca="false">SRC_Model!$K20</f>
        <v>1</v>
      </c>
      <c r="F203" s="92" t="str">
        <f aca="false">SRC_Model!$S20</f>
        <v>2026-10-05</v>
      </c>
    </row>
    <row r="204" customFormat="false" ht="15" hidden="false" customHeight="false" outlineLevel="0" collapsed="false">
      <c r="A204" s="92" t="str">
        <f aca="false">SRC_Model!$A21&amp;""</f>
        <v>SRC_MOD_017</v>
      </c>
      <c r="B204" s="62" t="s">
        <v>9572</v>
      </c>
      <c r="C204" s="61" t="n">
        <v>21</v>
      </c>
      <c r="D204" s="92" t="str">
        <f aca="false">SRC_Model!$O21</f>
        <v>Active</v>
      </c>
      <c r="E204" s="92" t="n">
        <f aca="false">SRC_Model!$K21</f>
        <v>1</v>
      </c>
      <c r="F204" s="92" t="str">
        <f aca="false">SRC_Model!$S21</f>
        <v>2026-10-05</v>
      </c>
    </row>
    <row r="205" customFormat="false" ht="15" hidden="false" customHeight="false" outlineLevel="0" collapsed="false">
      <c r="A205" s="92" t="str">
        <f aca="false">SRC_Model!$A22&amp;""</f>
        <v>SRC_MOD_018</v>
      </c>
      <c r="B205" s="62" t="s">
        <v>9572</v>
      </c>
      <c r="C205" s="61" t="n">
        <v>22</v>
      </c>
      <c r="D205" s="92" t="str">
        <f aca="false">SRC_Model!$O22</f>
        <v>Active</v>
      </c>
      <c r="E205" s="92" t="n">
        <f aca="false">SRC_Model!$K22</f>
        <v>3</v>
      </c>
      <c r="F205" s="92" t="str">
        <f aca="false">SRC_Model!$S22</f>
        <v>—</v>
      </c>
    </row>
    <row r="206" customFormat="false" ht="15" hidden="false" customHeight="false" outlineLevel="0" collapsed="false">
      <c r="A206" s="92" t="str">
        <f aca="false">SRC_Model!$A23&amp;""</f>
        <v>SRC_MOD_019</v>
      </c>
      <c r="B206" s="62" t="s">
        <v>9572</v>
      </c>
      <c r="C206" s="61" t="n">
        <v>23</v>
      </c>
      <c r="D206" s="92" t="str">
        <f aca="false">SRC_Model!$O23</f>
        <v>Active</v>
      </c>
      <c r="E206" s="92" t="n">
        <f aca="false">SRC_Model!$K23</f>
        <v>3</v>
      </c>
      <c r="F206" s="92" t="str">
        <f aca="false">SRC_Model!$S23</f>
        <v>—</v>
      </c>
    </row>
    <row r="207" customFormat="false" ht="15" hidden="false" customHeight="false" outlineLevel="0" collapsed="false">
      <c r="A207" s="92" t="str">
        <f aca="false">SRC_Model!$A24&amp;""</f>
        <v>SRC_MOD_020</v>
      </c>
      <c r="B207" s="62" t="s">
        <v>9572</v>
      </c>
      <c r="C207" s="61" t="n">
        <v>24</v>
      </c>
      <c r="D207" s="92" t="str">
        <f aca="false">SRC_Model!$O24</f>
        <v>Active</v>
      </c>
      <c r="E207" s="92" t="n">
        <f aca="false">SRC_Model!$K24</f>
        <v>3</v>
      </c>
      <c r="F207" s="92" t="str">
        <f aca="false">SRC_Model!$S24</f>
        <v>—</v>
      </c>
    </row>
    <row r="208" customFormat="false" ht="15" hidden="false" customHeight="false" outlineLevel="0" collapsed="false">
      <c r="A208" s="92" t="str">
        <f aca="false">SRC_Model!$A25&amp;""</f>
        <v>SRC_MOD_021</v>
      </c>
      <c r="B208" s="62" t="s">
        <v>9572</v>
      </c>
      <c r="C208" s="61" t="n">
        <v>25</v>
      </c>
      <c r="D208" s="92" t="str">
        <f aca="false">SRC_Model!$O25</f>
        <v>Active</v>
      </c>
      <c r="E208" s="92" t="n">
        <f aca="false">SRC_Model!$K25</f>
        <v>3</v>
      </c>
      <c r="F208" s="92" t="str">
        <f aca="false">SRC_Model!$S25</f>
        <v>—</v>
      </c>
    </row>
    <row r="209" customFormat="false" ht="15" hidden="false" customHeight="false" outlineLevel="0" collapsed="false">
      <c r="A209" s="92" t="str">
        <f aca="false">SRC_Model!$A26&amp;""</f>
        <v>SRC_MOD_022</v>
      </c>
      <c r="B209" s="62" t="s">
        <v>9572</v>
      </c>
      <c r="C209" s="61" t="n">
        <v>26</v>
      </c>
      <c r="D209" s="92" t="str">
        <f aca="false">SRC_Model!$O26</f>
        <v>Active</v>
      </c>
      <c r="E209" s="92" t="n">
        <f aca="false">SRC_Model!$K26</f>
        <v>3</v>
      </c>
      <c r="F209" s="92" t="str">
        <f aca="false">SRC_Model!$S26</f>
        <v>—</v>
      </c>
    </row>
    <row r="210" customFormat="false" ht="15" hidden="false" customHeight="false" outlineLevel="0" collapsed="false">
      <c r="A210" s="92" t="str">
        <f aca="false">SRC_Model!$A27&amp;""</f>
        <v>SRC_MOD_023</v>
      </c>
      <c r="B210" s="62" t="s">
        <v>9572</v>
      </c>
      <c r="C210" s="61" t="n">
        <v>27</v>
      </c>
      <c r="D210" s="92" t="str">
        <f aca="false">SRC_Model!$O27</f>
        <v>Active</v>
      </c>
      <c r="E210" s="92" t="n">
        <f aca="false">SRC_Model!$K27</f>
        <v>3</v>
      </c>
      <c r="F210" s="92" t="str">
        <f aca="false">SRC_Model!$S27</f>
        <v>—</v>
      </c>
    </row>
    <row r="211" customFormat="false" ht="15" hidden="false" customHeight="false" outlineLevel="0" collapsed="false">
      <c r="A211" s="92" t="str">
        <f aca="false">SRC_Model!$A28&amp;""</f>
        <v>SRC_MOD_024</v>
      </c>
      <c r="B211" s="62" t="s">
        <v>9572</v>
      </c>
      <c r="C211" s="61" t="n">
        <v>28</v>
      </c>
      <c r="D211" s="92" t="str">
        <f aca="false">SRC_Model!$O28</f>
        <v>Active</v>
      </c>
      <c r="E211" s="92" t="n">
        <f aca="false">SRC_Model!$K28</f>
        <v>3</v>
      </c>
      <c r="F211" s="92" t="str">
        <f aca="false">SRC_Model!$S28</f>
        <v>—</v>
      </c>
    </row>
    <row r="212" customFormat="false" ht="15" hidden="false" customHeight="false" outlineLevel="0" collapsed="false">
      <c r="A212" s="92" t="str">
        <f aca="false">SRC_Model!$A29&amp;""</f>
        <v>SRC_MOD_025</v>
      </c>
      <c r="B212" s="62" t="s">
        <v>9572</v>
      </c>
      <c r="C212" s="61" t="n">
        <v>29</v>
      </c>
      <c r="D212" s="92" t="str">
        <f aca="false">SRC_Model!$O29</f>
        <v>Active</v>
      </c>
      <c r="E212" s="92" t="n">
        <f aca="false">SRC_Model!$K29</f>
        <v>3</v>
      </c>
      <c r="F212" s="92" t="str">
        <f aca="false">SRC_Model!$S29</f>
        <v>—</v>
      </c>
    </row>
    <row r="213" customFormat="false" ht="15" hidden="false" customHeight="false" outlineLevel="0" collapsed="false">
      <c r="A213" s="92" t="str">
        <f aca="false">SRC_Model!$A30&amp;""</f>
        <v>SRC_MOD_026</v>
      </c>
      <c r="B213" s="62" t="s">
        <v>9572</v>
      </c>
      <c r="C213" s="61" t="n">
        <v>30</v>
      </c>
      <c r="D213" s="92" t="str">
        <f aca="false">SRC_Model!$O30</f>
        <v>Active</v>
      </c>
      <c r="E213" s="92" t="n">
        <f aca="false">SRC_Model!$K30</f>
        <v>3</v>
      </c>
      <c r="F213" s="92" t="str">
        <f aca="false">SRC_Model!$S30</f>
        <v>—</v>
      </c>
    </row>
    <row r="214" customFormat="false" ht="15" hidden="false" customHeight="false" outlineLevel="0" collapsed="false">
      <c r="A214" s="92" t="str">
        <f aca="false">SRC_Model!$A31&amp;""</f>
        <v>SRC_MOD_027</v>
      </c>
      <c r="B214" s="62" t="s">
        <v>9572</v>
      </c>
      <c r="C214" s="61" t="n">
        <v>31</v>
      </c>
      <c r="D214" s="92" t="str">
        <f aca="false">SRC_Model!$O31</f>
        <v>Active</v>
      </c>
      <c r="E214" s="92" t="n">
        <f aca="false">SRC_Model!$K31</f>
        <v>3</v>
      </c>
      <c r="F214" s="92" t="str">
        <f aca="false">SRC_Model!$S31</f>
        <v>—</v>
      </c>
    </row>
    <row r="215" customFormat="false" ht="15" hidden="false" customHeight="false" outlineLevel="0" collapsed="false">
      <c r="A215" s="92" t="str">
        <f aca="false">SRC_Model!$A32&amp;""</f>
        <v>SRC_MOD_028</v>
      </c>
      <c r="B215" s="62" t="s">
        <v>9572</v>
      </c>
      <c r="C215" s="61" t="n">
        <v>32</v>
      </c>
      <c r="D215" s="92" t="str">
        <f aca="false">SRC_Model!$O32</f>
        <v>Active</v>
      </c>
      <c r="E215" s="92" t="n">
        <f aca="false">SRC_Model!$K32</f>
        <v>3</v>
      </c>
      <c r="F215" s="92" t="str">
        <f aca="false">SRC_Model!$S32</f>
        <v>—</v>
      </c>
    </row>
    <row r="216" customFormat="false" ht="15" hidden="false" customHeight="false" outlineLevel="0" collapsed="false">
      <c r="A216" s="92" t="str">
        <f aca="false">SRC_Model!$A33&amp;""</f>
        <v>SRC_MOD_029</v>
      </c>
      <c r="B216" s="62" t="s">
        <v>9572</v>
      </c>
      <c r="C216" s="61" t="n">
        <v>33</v>
      </c>
      <c r="D216" s="92" t="str">
        <f aca="false">SRC_Model!$O33</f>
        <v>Active</v>
      </c>
      <c r="E216" s="92" t="n">
        <f aca="false">SRC_Model!$K33</f>
        <v>1</v>
      </c>
      <c r="F216" s="92" t="str">
        <f aca="false">SRC_Model!$S33</f>
        <v>—</v>
      </c>
    </row>
    <row r="217" customFormat="false" ht="15" hidden="false" customHeight="false" outlineLevel="0" collapsed="false">
      <c r="A217" s="92" t="str">
        <f aca="false">SRC_Model!$A34&amp;""</f>
        <v>SRC_MOD_030</v>
      </c>
      <c r="B217" s="62" t="s">
        <v>9572</v>
      </c>
      <c r="C217" s="61" t="n">
        <v>34</v>
      </c>
      <c r="D217" s="92" t="str">
        <f aca="false">SRC_Model!$O34</f>
        <v>Active</v>
      </c>
      <c r="E217" s="92" t="n">
        <f aca="false">SRC_Model!$K34</f>
        <v>1</v>
      </c>
      <c r="F217" s="92" t="str">
        <f aca="false">SRC_Model!$S34</f>
        <v>—</v>
      </c>
    </row>
    <row r="218" customFormat="false" ht="15" hidden="false" customHeight="false" outlineLevel="0" collapsed="false">
      <c r="A218" s="92" t="str">
        <f aca="false">SRC_Model!$A35&amp;""</f>
        <v>SRC_MOD_031</v>
      </c>
      <c r="B218" s="62" t="s">
        <v>9572</v>
      </c>
      <c r="C218" s="61" t="n">
        <v>35</v>
      </c>
      <c r="D218" s="92" t="str">
        <f aca="false">SRC_Model!$O35</f>
        <v>Active</v>
      </c>
      <c r="E218" s="92" t="n">
        <f aca="false">SRC_Model!$K35</f>
        <v>1</v>
      </c>
      <c r="F218" s="92" t="str">
        <f aca="false">SRC_Model!$S35</f>
        <v>—</v>
      </c>
    </row>
    <row r="219" customFormat="false" ht="15" hidden="false" customHeight="false" outlineLevel="0" collapsed="false">
      <c r="A219" s="92" t="str">
        <f aca="false">SRC_Model!$A36&amp;""</f>
        <v>SRC_MOD_032</v>
      </c>
      <c r="B219" s="62" t="s">
        <v>9572</v>
      </c>
      <c r="C219" s="61" t="n">
        <v>36</v>
      </c>
      <c r="D219" s="92" t="str">
        <f aca="false">SRC_Model!$O36</f>
        <v>Active</v>
      </c>
      <c r="E219" s="92" t="n">
        <f aca="false">SRC_Model!$K36</f>
        <v>1</v>
      </c>
      <c r="F219" s="92" t="str">
        <f aca="false">SRC_Model!$S36</f>
        <v>—</v>
      </c>
    </row>
    <row r="220" customFormat="false" ht="15" hidden="false" customHeight="false" outlineLevel="0" collapsed="false">
      <c r="A220" s="92" t="str">
        <f aca="false">SRC_Model!$A37&amp;""</f>
        <v>SRC_MOD_033</v>
      </c>
      <c r="B220" s="62" t="s">
        <v>9572</v>
      </c>
      <c r="C220" s="61" t="n">
        <v>37</v>
      </c>
      <c r="D220" s="92" t="str">
        <f aca="false">SRC_Model!$O37</f>
        <v>Active</v>
      </c>
      <c r="E220" s="92" t="n">
        <f aca="false">SRC_Model!$K37</f>
        <v>1</v>
      </c>
      <c r="F220" s="92" t="str">
        <f aca="false">SRC_Model!$S37</f>
        <v>—</v>
      </c>
    </row>
    <row r="221" customFormat="false" ht="15" hidden="false" customHeight="false" outlineLevel="0" collapsed="false">
      <c r="A221" s="92" t="str">
        <f aca="false">SRC_Model!$A38&amp;""</f>
        <v>SRC_MOD_034</v>
      </c>
      <c r="B221" s="62" t="s">
        <v>9572</v>
      </c>
      <c r="C221" s="61" t="n">
        <v>38</v>
      </c>
      <c r="D221" s="92" t="str">
        <f aca="false">SRC_Model!$O38</f>
        <v>Active</v>
      </c>
      <c r="E221" s="92" t="n">
        <f aca="false">SRC_Model!$K38</f>
        <v>2</v>
      </c>
      <c r="F221" s="92" t="str">
        <f aca="false">SRC_Model!$S38</f>
        <v>—</v>
      </c>
    </row>
    <row r="222" customFormat="false" ht="15" hidden="false" customHeight="false" outlineLevel="0" collapsed="false">
      <c r="A222" s="92" t="str">
        <f aca="false">SRC_Model!$A39&amp;""</f>
        <v>SRC_MOD_035</v>
      </c>
      <c r="B222" s="62" t="s">
        <v>9572</v>
      </c>
      <c r="C222" s="61" t="n">
        <v>39</v>
      </c>
      <c r="D222" s="92" t="str">
        <f aca="false">SRC_Model!$O39</f>
        <v>Active</v>
      </c>
      <c r="E222" s="92" t="n">
        <f aca="false">SRC_Model!$K39</f>
        <v>2</v>
      </c>
      <c r="F222" s="92" t="str">
        <f aca="false">SRC_Model!$S39</f>
        <v>—</v>
      </c>
    </row>
    <row r="223" customFormat="false" ht="15" hidden="false" customHeight="false" outlineLevel="0" collapsed="false">
      <c r="A223" s="92" t="str">
        <f aca="false">SRC_Model!$A40&amp;""</f>
        <v>SRC_MOD_036</v>
      </c>
      <c r="B223" s="62" t="s">
        <v>9572</v>
      </c>
      <c r="C223" s="61" t="n">
        <v>40</v>
      </c>
      <c r="D223" s="92" t="str">
        <f aca="false">SRC_Model!$O40</f>
        <v>Active</v>
      </c>
      <c r="E223" s="92" t="n">
        <f aca="false">SRC_Model!$K40</f>
        <v>1</v>
      </c>
      <c r="F223" s="92" t="str">
        <f aca="false">SRC_Model!$S40</f>
        <v>—</v>
      </c>
    </row>
    <row r="224" customFormat="false" ht="15" hidden="false" customHeight="false" outlineLevel="0" collapsed="false">
      <c r="A224" s="92" t="str">
        <f aca="false">SRC_Model!$A41&amp;""</f>
        <v>SRC_MOD_037</v>
      </c>
      <c r="B224" s="62" t="s">
        <v>9572</v>
      </c>
      <c r="C224" s="61" t="n">
        <v>41</v>
      </c>
      <c r="D224" s="92" t="str">
        <f aca="false">SRC_Model!$O41</f>
        <v>Active</v>
      </c>
      <c r="E224" s="92" t="n">
        <f aca="false">SRC_Model!$K41</f>
        <v>1</v>
      </c>
      <c r="F224" s="92" t="str">
        <f aca="false">SRC_Model!$S41</f>
        <v>—</v>
      </c>
    </row>
    <row r="225" customFormat="false" ht="15" hidden="false" customHeight="false" outlineLevel="0" collapsed="false">
      <c r="A225" s="92" t="str">
        <f aca="false">SRC_Model!$A42&amp;""</f>
        <v>SRC_MOD_038</v>
      </c>
      <c r="B225" s="62" t="s">
        <v>9572</v>
      </c>
      <c r="C225" s="61" t="n">
        <v>42</v>
      </c>
      <c r="D225" s="92" t="str">
        <f aca="false">SRC_Model!$O42</f>
        <v>Active</v>
      </c>
      <c r="E225" s="92" t="n">
        <f aca="false">SRC_Model!$K42</f>
        <v>1</v>
      </c>
      <c r="F225" s="92" t="str">
        <f aca="false">SRC_Model!$S42</f>
        <v>—</v>
      </c>
    </row>
    <row r="226" customFormat="false" ht="15" hidden="false" customHeight="false" outlineLevel="0" collapsed="false">
      <c r="A226" s="92" t="str">
        <f aca="false">SRC_Model!$A43&amp;""</f>
        <v>SRC_MOD_039</v>
      </c>
      <c r="B226" s="62" t="s">
        <v>9572</v>
      </c>
      <c r="C226" s="61" t="n">
        <v>43</v>
      </c>
      <c r="D226" s="92" t="str">
        <f aca="false">SRC_Model!$O43</f>
        <v>Active</v>
      </c>
      <c r="E226" s="92" t="n">
        <f aca="false">SRC_Model!$K43</f>
        <v>3</v>
      </c>
      <c r="F226" s="92" t="str">
        <f aca="false">SRC_Model!$S43</f>
        <v>—</v>
      </c>
    </row>
    <row r="227" customFormat="false" ht="15" hidden="false" customHeight="false" outlineLevel="0" collapsed="false">
      <c r="A227" s="92" t="str">
        <f aca="false">SRC_Model!$A44&amp;""</f>
        <v>SRC_MOD_040</v>
      </c>
      <c r="B227" s="62" t="s">
        <v>9572</v>
      </c>
      <c r="C227" s="61" t="n">
        <v>44</v>
      </c>
      <c r="D227" s="92" t="str">
        <f aca="false">SRC_Model!$O44</f>
        <v>Active</v>
      </c>
      <c r="E227" s="92" t="n">
        <f aca="false">SRC_Model!$K44</f>
        <v>3</v>
      </c>
      <c r="F227" s="92" t="str">
        <f aca="false">SRC_Model!$S44</f>
        <v>—</v>
      </c>
    </row>
    <row r="228" customFormat="false" ht="15" hidden="false" customHeight="false" outlineLevel="0" collapsed="false">
      <c r="A228" s="92" t="str">
        <f aca="false">SRC_Model!$A45&amp;""</f>
        <v>SRC_MOD_041</v>
      </c>
      <c r="B228" s="62" t="s">
        <v>9572</v>
      </c>
      <c r="C228" s="61" t="n">
        <v>45</v>
      </c>
      <c r="D228" s="92" t="str">
        <f aca="false">SRC_Model!$O45</f>
        <v>Active</v>
      </c>
      <c r="E228" s="92" t="n">
        <f aca="false">SRC_Model!$K45</f>
        <v>3</v>
      </c>
      <c r="F228" s="92" t="str">
        <f aca="false">SRC_Model!$S45</f>
        <v>—</v>
      </c>
    </row>
    <row r="229" customFormat="false" ht="15" hidden="false" customHeight="false" outlineLevel="0" collapsed="false">
      <c r="A229" s="92" t="str">
        <f aca="false">SRC_Model!$A46&amp;""</f>
        <v>SRC_MOD_042</v>
      </c>
      <c r="B229" s="62" t="s">
        <v>9572</v>
      </c>
      <c r="C229" s="61" t="n">
        <v>46</v>
      </c>
      <c r="D229" s="92" t="str">
        <f aca="false">SRC_Model!$O46</f>
        <v>Active</v>
      </c>
      <c r="E229" s="92" t="n">
        <f aca="false">SRC_Model!$K46</f>
        <v>3</v>
      </c>
      <c r="F229" s="92" t="str">
        <f aca="false">SRC_Model!$S46</f>
        <v>—</v>
      </c>
    </row>
    <row r="230" customFormat="false" ht="15" hidden="false" customHeight="false" outlineLevel="0" collapsed="false">
      <c r="A230" s="92" t="str">
        <f aca="false">SRC_Model!$A47&amp;""</f>
        <v>SRC_MOD_043</v>
      </c>
      <c r="B230" s="62" t="s">
        <v>9572</v>
      </c>
      <c r="C230" s="61" t="n">
        <v>47</v>
      </c>
      <c r="D230" s="92" t="str">
        <f aca="false">SRC_Model!$O47</f>
        <v>Active</v>
      </c>
      <c r="E230" s="92" t="n">
        <f aca="false">SRC_Model!$K47</f>
        <v>1</v>
      </c>
      <c r="F230" s="92" t="str">
        <f aca="false">SRC_Model!$S47</f>
        <v>—</v>
      </c>
    </row>
    <row r="231" customFormat="false" ht="15" hidden="false" customHeight="false" outlineLevel="0" collapsed="false">
      <c r="A231" s="92" t="str">
        <f aca="false">SRC_Model!$A48&amp;""</f>
        <v>SRC_MOD_044</v>
      </c>
      <c r="B231" s="62" t="s">
        <v>9572</v>
      </c>
      <c r="C231" s="61" t="n">
        <v>48</v>
      </c>
      <c r="D231" s="92" t="str">
        <f aca="false">SRC_Model!$O48</f>
        <v>Active</v>
      </c>
      <c r="E231" s="92" t="n">
        <f aca="false">SRC_Model!$K48</f>
        <v>1</v>
      </c>
      <c r="F231" s="92" t="str">
        <f aca="false">SRC_Model!$S48</f>
        <v>—</v>
      </c>
    </row>
    <row r="232" customFormat="false" ht="15" hidden="false" customHeight="false" outlineLevel="0" collapsed="false">
      <c r="A232" s="92" t="str">
        <f aca="false">SRC_Model!$A49&amp;""</f>
        <v>SRC_MOD_045</v>
      </c>
      <c r="B232" s="62" t="s">
        <v>9572</v>
      </c>
      <c r="C232" s="61" t="n">
        <v>49</v>
      </c>
      <c r="D232" s="92" t="str">
        <f aca="false">SRC_Model!$O49</f>
        <v>Active</v>
      </c>
      <c r="E232" s="92" t="n">
        <f aca="false">SRC_Model!$K49</f>
        <v>2</v>
      </c>
      <c r="F232" s="92" t="str">
        <f aca="false">SRC_Model!$S49</f>
        <v>—</v>
      </c>
    </row>
    <row r="233" customFormat="false" ht="15" hidden="false" customHeight="false" outlineLevel="0" collapsed="false">
      <c r="A233" s="92" t="str">
        <f aca="false">SRC_Model!$A50&amp;""</f>
        <v>SRC_MOD_046</v>
      </c>
      <c r="B233" s="62" t="s">
        <v>9572</v>
      </c>
      <c r="C233" s="61" t="n">
        <v>50</v>
      </c>
      <c r="D233" s="92" t="str">
        <f aca="false">SRC_Model!$O50</f>
        <v>Active</v>
      </c>
      <c r="E233" s="92" t="n">
        <f aca="false">SRC_Model!$K50</f>
        <v>2</v>
      </c>
      <c r="F233" s="92" t="str">
        <f aca="false">SRC_Model!$S50</f>
        <v>—</v>
      </c>
    </row>
    <row r="234" customFormat="false" ht="15" hidden="false" customHeight="false" outlineLevel="0" collapsed="false">
      <c r="A234" s="92" t="str">
        <f aca="false">SRC_Model!$A51&amp;""</f>
        <v>SRC_MOD_047</v>
      </c>
      <c r="B234" s="62" t="s">
        <v>9572</v>
      </c>
      <c r="C234" s="61" t="n">
        <v>51</v>
      </c>
      <c r="D234" s="92" t="str">
        <f aca="false">SRC_Model!$O51</f>
        <v>Active</v>
      </c>
      <c r="E234" s="92" t="n">
        <f aca="false">SRC_Model!$K51</f>
        <v>1</v>
      </c>
      <c r="F234" s="92" t="str">
        <f aca="false">SRC_Model!$S51</f>
        <v>—</v>
      </c>
    </row>
    <row r="235" customFormat="false" ht="15" hidden="false" customHeight="false" outlineLevel="0" collapsed="false">
      <c r="A235" s="92" t="str">
        <f aca="false">SRC_Model!$A52&amp;""</f>
        <v>SRC_MOD_048</v>
      </c>
      <c r="B235" s="62" t="s">
        <v>9572</v>
      </c>
      <c r="C235" s="61" t="n">
        <v>52</v>
      </c>
      <c r="D235" s="92" t="str">
        <f aca="false">SRC_Model!$O52</f>
        <v>Active</v>
      </c>
      <c r="E235" s="92" t="n">
        <f aca="false">SRC_Model!$K52</f>
        <v>1</v>
      </c>
      <c r="F235" s="92" t="str">
        <f aca="false">SRC_Model!$S52</f>
        <v>—</v>
      </c>
    </row>
    <row r="236" customFormat="false" ht="15" hidden="false" customHeight="false" outlineLevel="0" collapsed="false">
      <c r="A236" s="92" t="str">
        <f aca="false">SRC_Model!$A53&amp;""</f>
        <v>SRC_MOD_049</v>
      </c>
      <c r="B236" s="62" t="s">
        <v>9572</v>
      </c>
      <c r="C236" s="61" t="n">
        <v>53</v>
      </c>
      <c r="D236" s="92" t="str">
        <f aca="false">SRC_Model!$O53</f>
        <v>Active</v>
      </c>
      <c r="E236" s="92" t="n">
        <f aca="false">SRC_Model!$K53</f>
        <v>3</v>
      </c>
      <c r="F236" s="92" t="str">
        <f aca="false">SRC_Model!$S53</f>
        <v>—</v>
      </c>
    </row>
    <row r="237" customFormat="false" ht="15" hidden="false" customHeight="false" outlineLevel="0" collapsed="false">
      <c r="A237" s="92" t="str">
        <f aca="false">SRC_Model!$A54&amp;""</f>
        <v>SRC_MOD_050</v>
      </c>
      <c r="B237" s="62" t="s">
        <v>9572</v>
      </c>
      <c r="C237" s="61" t="n">
        <v>54</v>
      </c>
      <c r="D237" s="92" t="str">
        <f aca="false">SRC_Model!$O54</f>
        <v>Active</v>
      </c>
      <c r="E237" s="92" t="n">
        <f aca="false">SRC_Model!$K54</f>
        <v>3</v>
      </c>
      <c r="F237" s="92" t="str">
        <f aca="false">SRC_Model!$S54</f>
        <v>—</v>
      </c>
    </row>
    <row r="238" customFormat="false" ht="15" hidden="false" customHeight="false" outlineLevel="0" collapsed="false">
      <c r="A238" s="92" t="str">
        <f aca="false">SRC_Model!$A55&amp;""</f>
        <v>SRC_MOD_051</v>
      </c>
      <c r="B238" s="62" t="s">
        <v>9572</v>
      </c>
      <c r="C238" s="61" t="n">
        <v>55</v>
      </c>
      <c r="D238" s="92" t="str">
        <f aca="false">SRC_Model!$O55</f>
        <v>Active</v>
      </c>
      <c r="E238" s="92" t="n">
        <f aca="false">SRC_Model!$K55</f>
        <v>3</v>
      </c>
      <c r="F238" s="92" t="str">
        <f aca="false">SRC_Model!$S55</f>
        <v>—</v>
      </c>
    </row>
    <row r="239" customFormat="false" ht="15" hidden="false" customHeight="false" outlineLevel="0" collapsed="false">
      <c r="A239" s="92" t="str">
        <f aca="false">SRC_Model!$A56&amp;""</f>
        <v>SRC_MOD_052</v>
      </c>
      <c r="B239" s="62" t="s">
        <v>9572</v>
      </c>
      <c r="C239" s="61" t="n">
        <v>56</v>
      </c>
      <c r="D239" s="92" t="str">
        <f aca="false">SRC_Model!$O56</f>
        <v>Active</v>
      </c>
      <c r="E239" s="92" t="n">
        <f aca="false">SRC_Model!$K56</f>
        <v>1</v>
      </c>
      <c r="F239" s="92" t="str">
        <f aca="false">SRC_Model!$S56</f>
        <v>—</v>
      </c>
    </row>
    <row r="240" customFormat="false" ht="15" hidden="false" customHeight="false" outlineLevel="0" collapsed="false">
      <c r="A240" s="92" t="str">
        <f aca="false">SRC_Model!$A57&amp;""</f>
        <v>SRC_MOD_053</v>
      </c>
      <c r="B240" s="62" t="s">
        <v>9572</v>
      </c>
      <c r="C240" s="61" t="n">
        <v>57</v>
      </c>
      <c r="D240" s="92" t="str">
        <f aca="false">SRC_Model!$O57</f>
        <v>Active</v>
      </c>
      <c r="E240" s="92" t="n">
        <f aca="false">SRC_Model!$K57</f>
        <v>1</v>
      </c>
      <c r="F240" s="92" t="str">
        <f aca="false">SRC_Model!$S57</f>
        <v>—</v>
      </c>
    </row>
    <row r="241" customFormat="false" ht="15" hidden="false" customHeight="false" outlineLevel="0" collapsed="false">
      <c r="A241" s="92" t="str">
        <f aca="false">SRC_Model!$A58&amp;""</f>
        <v>SRC_MOD_054</v>
      </c>
      <c r="B241" s="62" t="s">
        <v>9572</v>
      </c>
      <c r="C241" s="61" t="n">
        <v>58</v>
      </c>
      <c r="D241" s="92" t="str">
        <f aca="false">SRC_Model!$O58</f>
        <v>Active</v>
      </c>
      <c r="E241" s="92" t="n">
        <f aca="false">SRC_Model!$K58</f>
        <v>1</v>
      </c>
      <c r="F241" s="92" t="str">
        <f aca="false">SRC_Model!$S58</f>
        <v>—</v>
      </c>
    </row>
    <row r="242" customFormat="false" ht="15" hidden="false" customHeight="false" outlineLevel="0" collapsed="false">
      <c r="A242" s="92" t="str">
        <f aca="false">SRC_Model!$A59&amp;""</f>
        <v>SRC_MOD_055</v>
      </c>
      <c r="B242" s="62" t="s">
        <v>9572</v>
      </c>
      <c r="C242" s="61" t="n">
        <v>59</v>
      </c>
      <c r="D242" s="92" t="str">
        <f aca="false">SRC_Model!$O59</f>
        <v>Active</v>
      </c>
      <c r="E242" s="92" t="n">
        <f aca="false">SRC_Model!$K59</f>
        <v>1</v>
      </c>
      <c r="F242" s="92" t="str">
        <f aca="false">SRC_Model!$S59</f>
        <v>—</v>
      </c>
    </row>
    <row r="243" customFormat="false" ht="15" hidden="false" customHeight="false" outlineLevel="0" collapsed="false">
      <c r="A243" s="92" t="str">
        <f aca="false">SRC_Model!$A60&amp;""</f>
        <v>SRC_MOD_057</v>
      </c>
      <c r="B243" s="62" t="s">
        <v>9572</v>
      </c>
      <c r="C243" s="61" t="n">
        <v>60</v>
      </c>
      <c r="D243" s="92" t="str">
        <f aca="false">SRC_Model!$O60</f>
        <v>Active</v>
      </c>
      <c r="E243" s="92" t="n">
        <f aca="false">SRC_Model!$K60</f>
        <v>1</v>
      </c>
      <c r="F243" s="92" t="str">
        <f aca="false">SRC_Model!$S60</f>
        <v>—</v>
      </c>
    </row>
    <row r="244" customFormat="false" ht="15" hidden="false" customHeight="false" outlineLevel="0" collapsed="false">
      <c r="A244" s="92" t="str">
        <f aca="false">SRC_Model!$A61&amp;""</f>
        <v>SRC_MOD_058</v>
      </c>
      <c r="B244" s="62" t="s">
        <v>9572</v>
      </c>
      <c r="C244" s="61" t="n">
        <v>61</v>
      </c>
      <c r="D244" s="92" t="str">
        <f aca="false">SRC_Model!$O61</f>
        <v>Active</v>
      </c>
      <c r="E244" s="92" t="n">
        <f aca="false">SRC_Model!$K61</f>
        <v>1</v>
      </c>
      <c r="F244" s="92" t="str">
        <f aca="false">SRC_Model!$S61</f>
        <v>—</v>
      </c>
    </row>
    <row r="245" customFormat="false" ht="15" hidden="false" customHeight="false" outlineLevel="0" collapsed="false">
      <c r="A245" s="92" t="str">
        <f aca="false">SRC_Model!$A62&amp;""</f>
        <v>SRC_MOD_059</v>
      </c>
      <c r="B245" s="62" t="s">
        <v>9572</v>
      </c>
      <c r="C245" s="61" t="n">
        <v>62</v>
      </c>
      <c r="D245" s="92" t="str">
        <f aca="false">SRC_Model!$O62</f>
        <v>Active</v>
      </c>
      <c r="E245" s="92" t="n">
        <f aca="false">SRC_Model!$K62</f>
        <v>1</v>
      </c>
      <c r="F245" s="92" t="str">
        <f aca="false">SRC_Model!$S62</f>
        <v>—</v>
      </c>
    </row>
    <row r="246" customFormat="false" ht="15" hidden="false" customHeight="false" outlineLevel="0" collapsed="false">
      <c r="A246" s="92" t="str">
        <f aca="false">SRC_Model!$A63&amp;""</f>
        <v>SRC_MOD_060</v>
      </c>
      <c r="B246" s="62" t="s">
        <v>9572</v>
      </c>
      <c r="C246" s="61" t="n">
        <v>63</v>
      </c>
      <c r="D246" s="92" t="str">
        <f aca="false">SRC_Model!$O63</f>
        <v>Active</v>
      </c>
      <c r="E246" s="92" t="n">
        <f aca="false">SRC_Model!$K63</f>
        <v>1</v>
      </c>
      <c r="F246" s="92" t="str">
        <f aca="false">SRC_Model!$S63</f>
        <v>—</v>
      </c>
    </row>
    <row r="247" customFormat="false" ht="15" hidden="false" customHeight="false" outlineLevel="0" collapsed="false">
      <c r="A247" s="92" t="str">
        <f aca="false">SRC_Model!$A64&amp;""</f>
        <v>SRC_MOD_061</v>
      </c>
      <c r="B247" s="62" t="s">
        <v>9572</v>
      </c>
      <c r="C247" s="61" t="n">
        <v>64</v>
      </c>
      <c r="D247" s="92" t="str">
        <f aca="false">SRC_Model!$O64</f>
        <v>Active</v>
      </c>
      <c r="E247" s="92" t="n">
        <f aca="false">SRC_Model!$K64</f>
        <v>1</v>
      </c>
      <c r="F247" s="92" t="str">
        <f aca="false">SRC_Model!$S64</f>
        <v>—</v>
      </c>
    </row>
    <row r="248" customFormat="false" ht="15" hidden="false" customHeight="false" outlineLevel="0" collapsed="false">
      <c r="A248" s="92" t="str">
        <f aca="false">SRC_Model!$A65&amp;""</f>
        <v>SRC_MOD_062</v>
      </c>
      <c r="B248" s="62" t="s">
        <v>9572</v>
      </c>
      <c r="C248" s="61" t="n">
        <v>65</v>
      </c>
      <c r="D248" s="92" t="str">
        <f aca="false">SRC_Model!$O65</f>
        <v>Active</v>
      </c>
      <c r="E248" s="92" t="n">
        <f aca="false">SRC_Model!$K65</f>
        <v>1</v>
      </c>
      <c r="F248" s="92" t="str">
        <f aca="false">SRC_Model!$S65</f>
        <v>—</v>
      </c>
    </row>
    <row r="249" customFormat="false" ht="15" hidden="false" customHeight="false" outlineLevel="0" collapsed="false">
      <c r="A249" s="92" t="str">
        <f aca="false">SRC_Model!$A66&amp;""</f>
        <v/>
      </c>
      <c r="B249" s="62" t="s">
        <v>9572</v>
      </c>
      <c r="C249" s="61" t="n">
        <v>66</v>
      </c>
      <c r="D249" s="92" t="n">
        <f aca="false">SRC_Model!$O66</f>
        <v>0</v>
      </c>
      <c r="E249" s="92" t="n">
        <f aca="false">SRC_Model!$K66</f>
        <v>0</v>
      </c>
      <c r="F249" s="92" t="n">
        <f aca="false">SRC_Model!$S66</f>
        <v>0</v>
      </c>
    </row>
    <row r="250" customFormat="false" ht="15" hidden="false" customHeight="false" outlineLevel="0" collapsed="false">
      <c r="A250" s="92" t="str">
        <f aca="false">SRC_Model!$A67&amp;""</f>
        <v/>
      </c>
      <c r="B250" s="62" t="s">
        <v>9572</v>
      </c>
      <c r="C250" s="61" t="n">
        <v>67</v>
      </c>
      <c r="D250" s="92" t="n">
        <f aca="false">SRC_Model!$O67</f>
        <v>0</v>
      </c>
      <c r="E250" s="92" t="n">
        <f aca="false">SRC_Model!$K67</f>
        <v>0</v>
      </c>
      <c r="F250" s="92" t="n">
        <f aca="false">SRC_Model!$S67</f>
        <v>0</v>
      </c>
    </row>
    <row r="251" customFormat="false" ht="15" hidden="false" customHeight="false" outlineLevel="0" collapsed="false">
      <c r="A251" s="92" t="str">
        <f aca="false">SRC_Model!$A68&amp;""</f>
        <v/>
      </c>
      <c r="B251" s="62" t="s">
        <v>9572</v>
      </c>
      <c r="C251" s="61" t="n">
        <v>68</v>
      </c>
      <c r="D251" s="92" t="n">
        <f aca="false">SRC_Model!$O68</f>
        <v>0</v>
      </c>
      <c r="E251" s="92" t="n">
        <f aca="false">SRC_Model!$K68</f>
        <v>0</v>
      </c>
      <c r="F251" s="92" t="n">
        <f aca="false">SRC_Model!$S68</f>
        <v>0</v>
      </c>
    </row>
    <row r="252" customFormat="false" ht="15" hidden="false" customHeight="false" outlineLevel="0" collapsed="false">
      <c r="A252" s="92" t="str">
        <f aca="false">SRC_Model!$A69&amp;""</f>
        <v/>
      </c>
      <c r="B252" s="62" t="s">
        <v>9572</v>
      </c>
      <c r="C252" s="61" t="n">
        <v>69</v>
      </c>
      <c r="D252" s="92" t="n">
        <f aca="false">SRC_Model!$O69</f>
        <v>0</v>
      </c>
      <c r="E252" s="92" t="n">
        <f aca="false">SRC_Model!$K69</f>
        <v>0</v>
      </c>
      <c r="F252" s="92" t="n">
        <f aca="false">SRC_Model!$S69</f>
        <v>0</v>
      </c>
    </row>
    <row r="253" customFormat="false" ht="15" hidden="false" customHeight="false" outlineLevel="0" collapsed="false">
      <c r="A253" s="92" t="str">
        <f aca="false">SRC_Model!$A70&amp;""</f>
        <v/>
      </c>
      <c r="B253" s="62" t="s">
        <v>9572</v>
      </c>
      <c r="C253" s="61" t="n">
        <v>70</v>
      </c>
      <c r="D253" s="92" t="n">
        <f aca="false">SRC_Model!$O70</f>
        <v>0</v>
      </c>
      <c r="E253" s="92" t="n">
        <f aca="false">SRC_Model!$K70</f>
        <v>0</v>
      </c>
      <c r="F253" s="92" t="n">
        <f aca="false">SRC_Model!$S70</f>
        <v>0</v>
      </c>
    </row>
    <row r="254" customFormat="false" ht="15" hidden="false" customHeight="false" outlineLevel="0" collapsed="false">
      <c r="A254" s="92" t="str">
        <f aca="false">SRC_Model!$A71&amp;""</f>
        <v/>
      </c>
      <c r="B254" s="62" t="s">
        <v>9572</v>
      </c>
      <c r="C254" s="61" t="n">
        <v>71</v>
      </c>
      <c r="D254" s="92" t="n">
        <f aca="false">SRC_Model!$O71</f>
        <v>0</v>
      </c>
      <c r="E254" s="92" t="n">
        <f aca="false">SRC_Model!$K71</f>
        <v>0</v>
      </c>
      <c r="F254" s="92" t="n">
        <f aca="false">SRC_Model!$S71</f>
        <v>0</v>
      </c>
    </row>
    <row r="255" customFormat="false" ht="15" hidden="false" customHeight="false" outlineLevel="0" collapsed="false">
      <c r="A255" s="92" t="str">
        <f aca="false">SRC_Model!$A72&amp;""</f>
        <v/>
      </c>
      <c r="B255" s="62" t="s">
        <v>9572</v>
      </c>
      <c r="C255" s="61" t="n">
        <v>72</v>
      </c>
      <c r="D255" s="92" t="n">
        <f aca="false">SRC_Model!$O72</f>
        <v>0</v>
      </c>
      <c r="E255" s="92" t="n">
        <f aca="false">SRC_Model!$K72</f>
        <v>0</v>
      </c>
      <c r="F255" s="92" t="n">
        <f aca="false">SRC_Model!$S72</f>
        <v>0</v>
      </c>
    </row>
    <row r="256" customFormat="false" ht="15" hidden="false" customHeight="false" outlineLevel="0" collapsed="false">
      <c r="A256" s="92" t="str">
        <f aca="false">SRC_Model!$A73&amp;""</f>
        <v/>
      </c>
      <c r="B256" s="62" t="s">
        <v>9572</v>
      </c>
      <c r="C256" s="61" t="n">
        <v>73</v>
      </c>
      <c r="D256" s="92" t="n">
        <f aca="false">SRC_Model!$O73</f>
        <v>0</v>
      </c>
      <c r="E256" s="92" t="n">
        <f aca="false">SRC_Model!$K73</f>
        <v>0</v>
      </c>
      <c r="F256" s="92" t="n">
        <f aca="false">SRC_Model!$S73</f>
        <v>0</v>
      </c>
    </row>
    <row r="257" customFormat="false" ht="15" hidden="false" customHeight="false" outlineLevel="0" collapsed="false">
      <c r="A257" s="92" t="str">
        <f aca="false">SRC_Model!$A74&amp;""</f>
        <v/>
      </c>
      <c r="B257" s="62" t="s">
        <v>9572</v>
      </c>
      <c r="C257" s="61" t="n">
        <v>74</v>
      </c>
      <c r="D257" s="92" t="n">
        <f aca="false">SRC_Model!$O74</f>
        <v>0</v>
      </c>
      <c r="E257" s="92" t="n">
        <f aca="false">SRC_Model!$K74</f>
        <v>0</v>
      </c>
      <c r="F257" s="92" t="n">
        <f aca="false">SRC_Model!$S74</f>
        <v>0</v>
      </c>
    </row>
    <row r="258" customFormat="false" ht="15" hidden="false" customHeight="false" outlineLevel="0" collapsed="false">
      <c r="A258" s="92" t="str">
        <f aca="false">SRC_Model!$A75&amp;""</f>
        <v/>
      </c>
      <c r="B258" s="62" t="s">
        <v>9572</v>
      </c>
      <c r="C258" s="61" t="n">
        <v>75</v>
      </c>
      <c r="D258" s="92" t="n">
        <f aca="false">SRC_Model!$O75</f>
        <v>0</v>
      </c>
      <c r="E258" s="92" t="n">
        <f aca="false">SRC_Model!$K75</f>
        <v>0</v>
      </c>
      <c r="F258" s="92" t="n">
        <f aca="false">SRC_Model!$S75</f>
        <v>0</v>
      </c>
    </row>
    <row r="259" customFormat="false" ht="15" hidden="false" customHeight="false" outlineLevel="0" collapsed="false">
      <c r="A259" s="92" t="str">
        <f aca="false">SRC_Model!$A76&amp;""</f>
        <v/>
      </c>
      <c r="B259" s="62" t="s">
        <v>9572</v>
      </c>
      <c r="C259" s="61" t="n">
        <v>76</v>
      </c>
      <c r="D259" s="92" t="n">
        <f aca="false">SRC_Model!$O76</f>
        <v>0</v>
      </c>
      <c r="E259" s="92" t="n">
        <f aca="false">SRC_Model!$K76</f>
        <v>0</v>
      </c>
      <c r="F259" s="92" t="n">
        <f aca="false">SRC_Model!$S76</f>
        <v>0</v>
      </c>
    </row>
    <row r="260" customFormat="false" ht="15" hidden="false" customHeight="false" outlineLevel="0" collapsed="false">
      <c r="A260" s="92" t="str">
        <f aca="false">SRC_Model!$A77&amp;""</f>
        <v/>
      </c>
      <c r="B260" s="62" t="s">
        <v>9572</v>
      </c>
      <c r="C260" s="61" t="n">
        <v>77</v>
      </c>
      <c r="D260" s="92" t="n">
        <f aca="false">SRC_Model!$O77</f>
        <v>0</v>
      </c>
      <c r="E260" s="92" t="n">
        <f aca="false">SRC_Model!$K77</f>
        <v>0</v>
      </c>
      <c r="F260" s="92" t="n">
        <f aca="false">SRC_Model!$S77</f>
        <v>0</v>
      </c>
    </row>
    <row r="261" customFormat="false" ht="15" hidden="false" customHeight="false" outlineLevel="0" collapsed="false">
      <c r="A261" s="92" t="str">
        <f aca="false">SRC_Model!$A78&amp;""</f>
        <v/>
      </c>
      <c r="B261" s="62" t="s">
        <v>9572</v>
      </c>
      <c r="C261" s="61" t="n">
        <v>78</v>
      </c>
      <c r="D261" s="92" t="n">
        <f aca="false">SRC_Model!$O78</f>
        <v>0</v>
      </c>
      <c r="E261" s="92" t="n">
        <f aca="false">SRC_Model!$K78</f>
        <v>0</v>
      </c>
      <c r="F261" s="92" t="n">
        <f aca="false">SRC_Model!$S78</f>
        <v>0</v>
      </c>
    </row>
    <row r="262" customFormat="false" ht="15" hidden="false" customHeight="false" outlineLevel="0" collapsed="false">
      <c r="A262" s="92" t="str">
        <f aca="false">SRC_Model!$A79&amp;""</f>
        <v/>
      </c>
      <c r="B262" s="62" t="s">
        <v>9572</v>
      </c>
      <c r="C262" s="61" t="n">
        <v>79</v>
      </c>
      <c r="D262" s="92" t="n">
        <f aca="false">SRC_Model!$O79</f>
        <v>0</v>
      </c>
      <c r="E262" s="92" t="n">
        <f aca="false">SRC_Model!$K79</f>
        <v>0</v>
      </c>
      <c r="F262" s="92" t="n">
        <f aca="false">SRC_Model!$S79</f>
        <v>0</v>
      </c>
    </row>
    <row r="263" customFormat="false" ht="15" hidden="false" customHeight="false" outlineLevel="0" collapsed="false">
      <c r="A263" s="92" t="str">
        <f aca="false">SRC_Model!$A80&amp;""</f>
        <v/>
      </c>
      <c r="B263" s="62" t="s">
        <v>9572</v>
      </c>
      <c r="C263" s="61" t="n">
        <v>80</v>
      </c>
      <c r="D263" s="92" t="n">
        <f aca="false">SRC_Model!$O80</f>
        <v>0</v>
      </c>
      <c r="E263" s="92" t="n">
        <f aca="false">SRC_Model!$K80</f>
        <v>0</v>
      </c>
      <c r="F263" s="92" t="n">
        <f aca="false">SRC_Model!$S80</f>
        <v>0</v>
      </c>
    </row>
    <row r="264" customFormat="false" ht="15" hidden="false" customHeight="false" outlineLevel="0" collapsed="false">
      <c r="A264" s="92" t="str">
        <f aca="false">SRC_Model!$A81&amp;""</f>
        <v/>
      </c>
      <c r="B264" s="62" t="s">
        <v>9572</v>
      </c>
      <c r="C264" s="61" t="n">
        <v>81</v>
      </c>
      <c r="D264" s="92" t="n">
        <f aca="false">SRC_Model!$O81</f>
        <v>0</v>
      </c>
      <c r="E264" s="92" t="n">
        <f aca="false">SRC_Model!$K81</f>
        <v>0</v>
      </c>
      <c r="F264" s="92" t="n">
        <f aca="false">SRC_Model!$S81</f>
        <v>0</v>
      </c>
    </row>
    <row r="265" customFormat="false" ht="15" hidden="false" customHeight="false" outlineLevel="0" collapsed="false">
      <c r="A265" s="92" t="str">
        <f aca="false">SRC_Model!$A82&amp;""</f>
        <v/>
      </c>
      <c r="B265" s="62" t="s">
        <v>9572</v>
      </c>
      <c r="C265" s="61" t="n">
        <v>82</v>
      </c>
      <c r="D265" s="92" t="n">
        <f aca="false">SRC_Model!$O82</f>
        <v>0</v>
      </c>
      <c r="E265" s="92" t="n">
        <f aca="false">SRC_Model!$K82</f>
        <v>0</v>
      </c>
      <c r="F265" s="92" t="n">
        <f aca="false">SRC_Model!$S82</f>
        <v>0</v>
      </c>
    </row>
    <row r="266" customFormat="false" ht="15" hidden="false" customHeight="false" outlineLevel="0" collapsed="false">
      <c r="A266" s="92" t="str">
        <f aca="false">SRC_Model!$A83&amp;""</f>
        <v/>
      </c>
      <c r="B266" s="62" t="s">
        <v>9572</v>
      </c>
      <c r="C266" s="61" t="n">
        <v>83</v>
      </c>
      <c r="D266" s="92" t="n">
        <f aca="false">SRC_Model!$O83</f>
        <v>0</v>
      </c>
      <c r="E266" s="92" t="n">
        <f aca="false">SRC_Model!$K83</f>
        <v>0</v>
      </c>
      <c r="F266" s="92" t="n">
        <f aca="false">SRC_Model!$S83</f>
        <v>0</v>
      </c>
    </row>
    <row r="267" customFormat="false" ht="15" hidden="false" customHeight="false" outlineLevel="0" collapsed="false">
      <c r="A267" s="92" t="str">
        <f aca="false">SRC_Model!$A84&amp;""</f>
        <v/>
      </c>
      <c r="B267" s="62" t="s">
        <v>9572</v>
      </c>
      <c r="C267" s="61" t="n">
        <v>84</v>
      </c>
      <c r="D267" s="92" t="n">
        <f aca="false">SRC_Model!$O84</f>
        <v>0</v>
      </c>
      <c r="E267" s="92" t="n">
        <f aca="false">SRC_Model!$K84</f>
        <v>0</v>
      </c>
      <c r="F267" s="92" t="n">
        <f aca="false">SRC_Model!$S84</f>
        <v>0</v>
      </c>
    </row>
    <row r="268" customFormat="false" ht="15" hidden="false" customHeight="false" outlineLevel="0" collapsed="false">
      <c r="A268" s="92" t="str">
        <f aca="false">SRC_Model!$A85&amp;""</f>
        <v/>
      </c>
      <c r="B268" s="62" t="s">
        <v>9572</v>
      </c>
      <c r="C268" s="61" t="n">
        <v>85</v>
      </c>
      <c r="D268" s="92" t="n">
        <f aca="false">SRC_Model!$O85</f>
        <v>0</v>
      </c>
      <c r="E268" s="92" t="n">
        <f aca="false">SRC_Model!$K85</f>
        <v>0</v>
      </c>
      <c r="F268" s="92" t="n">
        <f aca="false">SRC_Model!$S85</f>
        <v>0</v>
      </c>
    </row>
    <row r="269" customFormat="false" ht="15" hidden="false" customHeight="false" outlineLevel="0" collapsed="false">
      <c r="A269" s="92" t="str">
        <f aca="false">SRC_Model!$A86&amp;""</f>
        <v/>
      </c>
      <c r="B269" s="62" t="s">
        <v>9572</v>
      </c>
      <c r="C269" s="61" t="n">
        <v>86</v>
      </c>
      <c r="D269" s="92" t="n">
        <f aca="false">SRC_Model!$O86</f>
        <v>0</v>
      </c>
      <c r="E269" s="92" t="n">
        <f aca="false">SRC_Model!$K86</f>
        <v>0</v>
      </c>
      <c r="F269" s="92" t="n">
        <f aca="false">SRC_Model!$S86</f>
        <v>0</v>
      </c>
    </row>
    <row r="270" customFormat="false" ht="15" hidden="false" customHeight="false" outlineLevel="0" collapsed="false">
      <c r="A270" s="92" t="str">
        <f aca="false">SRC_Model!$A87&amp;""</f>
        <v/>
      </c>
      <c r="B270" s="62" t="s">
        <v>9572</v>
      </c>
      <c r="C270" s="61" t="n">
        <v>87</v>
      </c>
      <c r="D270" s="92" t="n">
        <f aca="false">SRC_Model!$O87</f>
        <v>0</v>
      </c>
      <c r="E270" s="92" t="n">
        <f aca="false">SRC_Model!$K87</f>
        <v>0</v>
      </c>
      <c r="F270" s="92" t="n">
        <f aca="false">SRC_Model!$S87</f>
        <v>0</v>
      </c>
    </row>
    <row r="271" customFormat="false" ht="15" hidden="false" customHeight="false" outlineLevel="0" collapsed="false">
      <c r="A271" s="92" t="str">
        <f aca="false">SRC_Model!$A88&amp;""</f>
        <v/>
      </c>
      <c r="B271" s="62" t="s">
        <v>9572</v>
      </c>
      <c r="C271" s="61" t="n">
        <v>88</v>
      </c>
      <c r="D271" s="92" t="n">
        <f aca="false">SRC_Model!$O88</f>
        <v>0</v>
      </c>
      <c r="E271" s="92" t="n">
        <f aca="false">SRC_Model!$K88</f>
        <v>0</v>
      </c>
      <c r="F271" s="92" t="n">
        <f aca="false">SRC_Model!$S88</f>
        <v>0</v>
      </c>
    </row>
    <row r="272" customFormat="false" ht="15" hidden="false" customHeight="false" outlineLevel="0" collapsed="false">
      <c r="A272" s="92" t="str">
        <f aca="false">SRC_Model!$A89&amp;""</f>
        <v/>
      </c>
      <c r="B272" s="62" t="s">
        <v>9572</v>
      </c>
      <c r="C272" s="61" t="n">
        <v>89</v>
      </c>
      <c r="D272" s="92" t="n">
        <f aca="false">SRC_Model!$O89</f>
        <v>0</v>
      </c>
      <c r="E272" s="92" t="n">
        <f aca="false">SRC_Model!$K89</f>
        <v>0</v>
      </c>
      <c r="F272" s="92" t="n">
        <f aca="false">SRC_Model!$S89</f>
        <v>0</v>
      </c>
    </row>
    <row r="273" customFormat="false" ht="15" hidden="false" customHeight="false" outlineLevel="0" collapsed="false">
      <c r="A273" s="92" t="str">
        <f aca="false">SRC_Model!$A90&amp;""</f>
        <v/>
      </c>
      <c r="B273" s="62" t="s">
        <v>9572</v>
      </c>
      <c r="C273" s="61" t="n">
        <v>90</v>
      </c>
      <c r="D273" s="92" t="n">
        <f aca="false">SRC_Model!$O90</f>
        <v>0</v>
      </c>
      <c r="E273" s="92" t="n">
        <f aca="false">SRC_Model!$K90</f>
        <v>0</v>
      </c>
      <c r="F273" s="92" t="n">
        <f aca="false">SRC_Model!$S90</f>
        <v>0</v>
      </c>
    </row>
    <row r="274" customFormat="false" ht="15" hidden="false" customHeight="false" outlineLevel="0" collapsed="false">
      <c r="A274" s="92" t="str">
        <f aca="false">SRC_Model!$A91&amp;""</f>
        <v/>
      </c>
      <c r="B274" s="62" t="s">
        <v>9572</v>
      </c>
      <c r="C274" s="61" t="n">
        <v>91</v>
      </c>
      <c r="D274" s="92" t="n">
        <f aca="false">SRC_Model!$O91</f>
        <v>0</v>
      </c>
      <c r="E274" s="92" t="n">
        <f aca="false">SRC_Model!$K91</f>
        <v>0</v>
      </c>
      <c r="F274" s="92" t="n">
        <f aca="false">SRC_Model!$S91</f>
        <v>0</v>
      </c>
    </row>
    <row r="275" customFormat="false" ht="15" hidden="false" customHeight="false" outlineLevel="0" collapsed="false">
      <c r="A275" s="92" t="str">
        <f aca="false">SRC_Model!$A92&amp;""</f>
        <v/>
      </c>
      <c r="B275" s="62" t="s">
        <v>9572</v>
      </c>
      <c r="C275" s="61" t="n">
        <v>92</v>
      </c>
      <c r="D275" s="92" t="n">
        <f aca="false">SRC_Model!$O92</f>
        <v>0</v>
      </c>
      <c r="E275" s="92" t="n">
        <f aca="false">SRC_Model!$K92</f>
        <v>0</v>
      </c>
      <c r="F275" s="92" t="n">
        <f aca="false">SRC_Model!$S92</f>
        <v>0</v>
      </c>
    </row>
    <row r="276" customFormat="false" ht="15" hidden="false" customHeight="false" outlineLevel="0" collapsed="false">
      <c r="A276" s="92" t="str">
        <f aca="false">SRC_Model!$A93&amp;""</f>
        <v/>
      </c>
      <c r="B276" s="62" t="s">
        <v>9572</v>
      </c>
      <c r="C276" s="61" t="n">
        <v>93</v>
      </c>
      <c r="D276" s="92" t="n">
        <f aca="false">SRC_Model!$O93</f>
        <v>0</v>
      </c>
      <c r="E276" s="92" t="n">
        <f aca="false">SRC_Model!$K93</f>
        <v>0</v>
      </c>
      <c r="F276" s="92" t="n">
        <f aca="false">SRC_Model!$S93</f>
        <v>0</v>
      </c>
    </row>
    <row r="277" customFormat="false" ht="15" hidden="false" customHeight="false" outlineLevel="0" collapsed="false">
      <c r="A277" s="92" t="str">
        <f aca="false">SRC_Model!$A94&amp;""</f>
        <v/>
      </c>
      <c r="B277" s="62" t="s">
        <v>9572</v>
      </c>
      <c r="C277" s="61" t="n">
        <v>94</v>
      </c>
      <c r="D277" s="92" t="n">
        <f aca="false">SRC_Model!$O94</f>
        <v>0</v>
      </c>
      <c r="E277" s="92" t="n">
        <f aca="false">SRC_Model!$K94</f>
        <v>0</v>
      </c>
      <c r="F277" s="92" t="n">
        <f aca="false">SRC_Model!$S94</f>
        <v>0</v>
      </c>
    </row>
    <row r="278" customFormat="false" ht="15" hidden="false" customHeight="false" outlineLevel="0" collapsed="false">
      <c r="A278" s="92" t="str">
        <f aca="false">SRC_Model!$A95&amp;""</f>
        <v/>
      </c>
      <c r="B278" s="62" t="s">
        <v>9572</v>
      </c>
      <c r="C278" s="61" t="n">
        <v>95</v>
      </c>
      <c r="D278" s="92" t="n">
        <f aca="false">SRC_Model!$O95</f>
        <v>0</v>
      </c>
      <c r="E278" s="92" t="n">
        <f aca="false">SRC_Model!$K95</f>
        <v>0</v>
      </c>
      <c r="F278" s="92" t="n">
        <f aca="false">SRC_Model!$S95</f>
        <v>0</v>
      </c>
    </row>
    <row r="279" customFormat="false" ht="15" hidden="false" customHeight="false" outlineLevel="0" collapsed="false">
      <c r="A279" s="92" t="str">
        <f aca="false">SRC_Model!$A96&amp;""</f>
        <v/>
      </c>
      <c r="B279" s="62" t="s">
        <v>9572</v>
      </c>
      <c r="C279" s="61" t="n">
        <v>96</v>
      </c>
      <c r="D279" s="92" t="n">
        <f aca="false">SRC_Model!$O96</f>
        <v>0</v>
      </c>
      <c r="E279" s="92" t="n">
        <f aca="false">SRC_Model!$K96</f>
        <v>0</v>
      </c>
      <c r="F279" s="92" t="n">
        <f aca="false">SRC_Model!$S96</f>
        <v>0</v>
      </c>
    </row>
    <row r="280" customFormat="false" ht="15" hidden="false" customHeight="false" outlineLevel="0" collapsed="false">
      <c r="A280" s="92" t="str">
        <f aca="false">SRC_Model!$A97&amp;""</f>
        <v/>
      </c>
      <c r="B280" s="62" t="s">
        <v>9572</v>
      </c>
      <c r="C280" s="61" t="n">
        <v>97</v>
      </c>
      <c r="D280" s="92" t="n">
        <f aca="false">SRC_Model!$O97</f>
        <v>0</v>
      </c>
      <c r="E280" s="92" t="n">
        <f aca="false">SRC_Model!$K97</f>
        <v>0</v>
      </c>
      <c r="F280" s="92" t="n">
        <f aca="false">SRC_Model!$S97</f>
        <v>0</v>
      </c>
    </row>
    <row r="281" customFormat="false" ht="15" hidden="false" customHeight="false" outlineLevel="0" collapsed="false">
      <c r="A281" s="92" t="str">
        <f aca="false">SRC_Model!$A98&amp;""</f>
        <v/>
      </c>
      <c r="B281" s="62" t="s">
        <v>9572</v>
      </c>
      <c r="C281" s="61" t="n">
        <v>98</v>
      </c>
      <c r="D281" s="92" t="n">
        <f aca="false">SRC_Model!$O98</f>
        <v>0</v>
      </c>
      <c r="E281" s="92" t="n">
        <f aca="false">SRC_Model!$K98</f>
        <v>0</v>
      </c>
      <c r="F281" s="92" t="n">
        <f aca="false">SRC_Model!$S98</f>
        <v>0</v>
      </c>
    </row>
    <row r="282" customFormat="false" ht="15" hidden="false" customHeight="false" outlineLevel="0" collapsed="false">
      <c r="A282" s="92" t="str">
        <f aca="false">SRC_Model!$A99&amp;""</f>
        <v/>
      </c>
      <c r="B282" s="62" t="s">
        <v>9572</v>
      </c>
      <c r="C282" s="61" t="n">
        <v>99</v>
      </c>
      <c r="D282" s="92" t="n">
        <f aca="false">SRC_Model!$O99</f>
        <v>0</v>
      </c>
      <c r="E282" s="92" t="n">
        <f aca="false">SRC_Model!$K99</f>
        <v>0</v>
      </c>
      <c r="F282" s="92" t="n">
        <f aca="false">SRC_Model!$S99</f>
        <v>0</v>
      </c>
    </row>
    <row r="283" customFormat="false" ht="15" hidden="false" customHeight="false" outlineLevel="0" collapsed="false">
      <c r="A283" s="92" t="str">
        <f aca="false">SRC_Model!$A100&amp;""</f>
        <v/>
      </c>
      <c r="B283" s="62" t="s">
        <v>9572</v>
      </c>
      <c r="C283" s="61" t="n">
        <v>100</v>
      </c>
      <c r="D283" s="92" t="n">
        <f aca="false">SRC_Model!$O100</f>
        <v>0</v>
      </c>
      <c r="E283" s="92" t="n">
        <f aca="false">SRC_Model!$K100</f>
        <v>0</v>
      </c>
      <c r="F283" s="92" t="n">
        <f aca="false">SRC_Model!$S100</f>
        <v>0</v>
      </c>
    </row>
    <row r="284" customFormat="false" ht="15" hidden="false" customHeight="false" outlineLevel="0" collapsed="false">
      <c r="A284" s="92" t="str">
        <f aca="false">SRC_Model!$A101&amp;""</f>
        <v/>
      </c>
      <c r="B284" s="62" t="s">
        <v>9572</v>
      </c>
      <c r="C284" s="61" t="n">
        <v>101</v>
      </c>
      <c r="D284" s="92" t="n">
        <f aca="false">SRC_Model!$O101</f>
        <v>0</v>
      </c>
      <c r="E284" s="92" t="n">
        <f aca="false">SRC_Model!$K101</f>
        <v>0</v>
      </c>
      <c r="F284" s="92" t="n">
        <f aca="false">SRC_Model!$S101</f>
        <v>0</v>
      </c>
    </row>
    <row r="285" customFormat="false" ht="15" hidden="false" customHeight="false" outlineLevel="0" collapsed="false">
      <c r="A285" s="92" t="str">
        <f aca="false">SRC_Model!$A102&amp;""</f>
        <v/>
      </c>
      <c r="B285" s="62" t="s">
        <v>9572</v>
      </c>
      <c r="C285" s="61" t="n">
        <v>102</v>
      </c>
      <c r="D285" s="92" t="n">
        <f aca="false">SRC_Model!$O102</f>
        <v>0</v>
      </c>
      <c r="E285" s="92" t="n">
        <f aca="false">SRC_Model!$K102</f>
        <v>0</v>
      </c>
      <c r="F285" s="92" t="n">
        <f aca="false">SRC_Model!$S102</f>
        <v>0</v>
      </c>
    </row>
    <row r="286" customFormat="false" ht="15" hidden="false" customHeight="false" outlineLevel="0" collapsed="false">
      <c r="A286" s="92" t="str">
        <f aca="false">SRC_Model!$A103&amp;""</f>
        <v/>
      </c>
      <c r="B286" s="62" t="s">
        <v>9572</v>
      </c>
      <c r="C286" s="61" t="n">
        <v>103</v>
      </c>
      <c r="D286" s="92" t="n">
        <f aca="false">SRC_Model!$O103</f>
        <v>0</v>
      </c>
      <c r="E286" s="92" t="n">
        <f aca="false">SRC_Model!$K103</f>
        <v>0</v>
      </c>
      <c r="F286" s="92" t="n">
        <f aca="false">SRC_Model!$S103</f>
        <v>0</v>
      </c>
    </row>
    <row r="287" customFormat="false" ht="15" hidden="false" customHeight="false" outlineLevel="0" collapsed="false">
      <c r="A287" s="92" t="str">
        <f aca="false">SRC_Model!$A104&amp;""</f>
        <v/>
      </c>
      <c r="B287" s="62" t="s">
        <v>9572</v>
      </c>
      <c r="C287" s="61" t="n">
        <v>104</v>
      </c>
      <c r="D287" s="92" t="n">
        <f aca="false">SRC_Model!$O104</f>
        <v>0</v>
      </c>
      <c r="E287" s="92" t="n">
        <f aca="false">SRC_Model!$K104</f>
        <v>0</v>
      </c>
      <c r="F287" s="92" t="n">
        <f aca="false">SRC_Model!$S104</f>
        <v>0</v>
      </c>
    </row>
    <row r="288" customFormat="false" ht="15" hidden="false" customHeight="false" outlineLevel="0" collapsed="false">
      <c r="A288" s="92" t="str">
        <f aca="false">SRC_Model!$A105&amp;""</f>
        <v/>
      </c>
      <c r="B288" s="62" t="s">
        <v>9572</v>
      </c>
      <c r="C288" s="61" t="n">
        <v>105</v>
      </c>
      <c r="D288" s="92" t="n">
        <f aca="false">SRC_Model!$O105</f>
        <v>0</v>
      </c>
      <c r="E288" s="92" t="n">
        <f aca="false">SRC_Model!$K105</f>
        <v>0</v>
      </c>
      <c r="F288" s="92" t="n">
        <f aca="false">SRC_Model!$S105</f>
        <v>0</v>
      </c>
    </row>
    <row r="289" customFormat="false" ht="15" hidden="false" customHeight="false" outlineLevel="0" collapsed="false">
      <c r="A289" s="92" t="str">
        <f aca="false">SRC_Model!$A106&amp;""</f>
        <v/>
      </c>
      <c r="B289" s="62" t="s">
        <v>9572</v>
      </c>
      <c r="C289" s="61" t="n">
        <v>106</v>
      </c>
      <c r="D289" s="92" t="n">
        <f aca="false">SRC_Model!$O106</f>
        <v>0</v>
      </c>
      <c r="E289" s="92" t="n">
        <f aca="false">SRC_Model!$K106</f>
        <v>0</v>
      </c>
      <c r="F289" s="92" t="n">
        <f aca="false">SRC_Model!$S106</f>
        <v>0</v>
      </c>
    </row>
    <row r="290" customFormat="false" ht="15" hidden="false" customHeight="false" outlineLevel="0" collapsed="false">
      <c r="A290" s="92" t="str">
        <f aca="false">SRC_Model!$A107&amp;""</f>
        <v/>
      </c>
      <c r="B290" s="62" t="s">
        <v>9572</v>
      </c>
      <c r="C290" s="61" t="n">
        <v>107</v>
      </c>
      <c r="D290" s="92" t="n">
        <f aca="false">SRC_Model!$O107</f>
        <v>0</v>
      </c>
      <c r="E290" s="92" t="n">
        <f aca="false">SRC_Model!$K107</f>
        <v>0</v>
      </c>
      <c r="F290" s="92" t="n">
        <f aca="false">SRC_Model!$S107</f>
        <v>0</v>
      </c>
    </row>
    <row r="291" customFormat="false" ht="15" hidden="false" customHeight="false" outlineLevel="0" collapsed="false">
      <c r="A291" s="92" t="str">
        <f aca="false">SRC_Model!$A108&amp;""</f>
        <v/>
      </c>
      <c r="B291" s="62" t="s">
        <v>9572</v>
      </c>
      <c r="C291" s="61" t="n">
        <v>108</v>
      </c>
      <c r="D291" s="92" t="n">
        <f aca="false">SRC_Model!$O108</f>
        <v>0</v>
      </c>
      <c r="E291" s="92" t="n">
        <f aca="false">SRC_Model!$K108</f>
        <v>0</v>
      </c>
      <c r="F291" s="92" t="n">
        <f aca="false">SRC_Model!$S108</f>
        <v>0</v>
      </c>
    </row>
    <row r="292" customFormat="false" ht="15" hidden="false" customHeight="false" outlineLevel="0" collapsed="false">
      <c r="A292" s="92" t="str">
        <f aca="false">SRC_Model!$A109&amp;""</f>
        <v/>
      </c>
      <c r="B292" s="62" t="s">
        <v>9572</v>
      </c>
      <c r="C292" s="61" t="n">
        <v>109</v>
      </c>
      <c r="D292" s="92" t="n">
        <f aca="false">SRC_Model!$O109</f>
        <v>0</v>
      </c>
      <c r="E292" s="92" t="n">
        <f aca="false">SRC_Model!$K109</f>
        <v>0</v>
      </c>
      <c r="F292" s="92" t="n">
        <f aca="false">SRC_Model!$S109</f>
        <v>0</v>
      </c>
    </row>
    <row r="293" customFormat="false" ht="15" hidden="false" customHeight="false" outlineLevel="0" collapsed="false">
      <c r="A293" s="92" t="str">
        <f aca="false">SRC_Model!$A110&amp;""</f>
        <v/>
      </c>
      <c r="B293" s="62" t="s">
        <v>9572</v>
      </c>
      <c r="C293" s="61" t="n">
        <v>110</v>
      </c>
      <c r="D293" s="92" t="n">
        <f aca="false">SRC_Model!$O110</f>
        <v>0</v>
      </c>
      <c r="E293" s="92" t="n">
        <f aca="false">SRC_Model!$K110</f>
        <v>0</v>
      </c>
      <c r="F293" s="92" t="n">
        <f aca="false">SRC_Model!$S110</f>
        <v>0</v>
      </c>
    </row>
    <row r="294" customFormat="false" ht="15" hidden="false" customHeight="false" outlineLevel="0" collapsed="false">
      <c r="A294" s="92" t="str">
        <f aca="false">SRC_Model!$A111&amp;""</f>
        <v/>
      </c>
      <c r="B294" s="62" t="s">
        <v>9572</v>
      </c>
      <c r="C294" s="61" t="n">
        <v>111</v>
      </c>
      <c r="D294" s="92" t="n">
        <f aca="false">SRC_Model!$O111</f>
        <v>0</v>
      </c>
      <c r="E294" s="92" t="n">
        <f aca="false">SRC_Model!$K111</f>
        <v>0</v>
      </c>
      <c r="F294" s="92" t="n">
        <f aca="false">SRC_Model!$S111</f>
        <v>0</v>
      </c>
    </row>
    <row r="295" customFormat="false" ht="15" hidden="false" customHeight="false" outlineLevel="0" collapsed="false">
      <c r="A295" s="92" t="str">
        <f aca="false">SRC_Model!$A112&amp;""</f>
        <v/>
      </c>
      <c r="B295" s="62" t="s">
        <v>9572</v>
      </c>
      <c r="C295" s="61" t="n">
        <v>112</v>
      </c>
      <c r="D295" s="92" t="n">
        <f aca="false">SRC_Model!$O112</f>
        <v>0</v>
      </c>
      <c r="E295" s="92" t="n">
        <f aca="false">SRC_Model!$K112</f>
        <v>0</v>
      </c>
      <c r="F295" s="92" t="n">
        <f aca="false">SRC_Model!$S112</f>
        <v>0</v>
      </c>
    </row>
    <row r="296" customFormat="false" ht="15" hidden="false" customHeight="false" outlineLevel="0" collapsed="false">
      <c r="A296" s="92" t="str">
        <f aca="false">SRC_Model!$A113&amp;""</f>
        <v/>
      </c>
      <c r="B296" s="62" t="s">
        <v>9572</v>
      </c>
      <c r="C296" s="61" t="n">
        <v>113</v>
      </c>
      <c r="D296" s="92" t="n">
        <f aca="false">SRC_Model!$O113</f>
        <v>0</v>
      </c>
      <c r="E296" s="92" t="n">
        <f aca="false">SRC_Model!$K113</f>
        <v>0</v>
      </c>
      <c r="F296" s="92" t="n">
        <f aca="false">SRC_Model!$S113</f>
        <v>0</v>
      </c>
    </row>
    <row r="297" customFormat="false" ht="15" hidden="false" customHeight="false" outlineLevel="0" collapsed="false">
      <c r="A297" s="92" t="str">
        <f aca="false">SRC_Model!$A114&amp;""</f>
        <v/>
      </c>
      <c r="B297" s="62" t="s">
        <v>9572</v>
      </c>
      <c r="C297" s="61" t="n">
        <v>114</v>
      </c>
      <c r="D297" s="92" t="n">
        <f aca="false">SRC_Model!$O114</f>
        <v>0</v>
      </c>
      <c r="E297" s="92" t="n">
        <f aca="false">SRC_Model!$K114</f>
        <v>0</v>
      </c>
      <c r="F297" s="92" t="n">
        <f aca="false">SRC_Model!$S114</f>
        <v>0</v>
      </c>
    </row>
    <row r="298" customFormat="false" ht="15" hidden="false" customHeight="false" outlineLevel="0" collapsed="false">
      <c r="A298" s="92" t="str">
        <f aca="false">SRC_Model!$A115&amp;""</f>
        <v/>
      </c>
      <c r="B298" s="62" t="s">
        <v>9572</v>
      </c>
      <c r="C298" s="61" t="n">
        <v>115</v>
      </c>
      <c r="D298" s="92" t="n">
        <f aca="false">SRC_Model!$O115</f>
        <v>0</v>
      </c>
      <c r="E298" s="92" t="n">
        <f aca="false">SRC_Model!$K115</f>
        <v>0</v>
      </c>
      <c r="F298" s="92" t="n">
        <f aca="false">SRC_Model!$S115</f>
        <v>0</v>
      </c>
    </row>
    <row r="299" customFormat="false" ht="15" hidden="false" customHeight="false" outlineLevel="0" collapsed="false">
      <c r="A299" s="92" t="str">
        <f aca="false">SRC_Perf!$A5&amp;""</f>
        <v>SRC_PERF_001</v>
      </c>
      <c r="B299" s="62" t="s">
        <v>9573</v>
      </c>
      <c r="C299" s="61" t="n">
        <v>5</v>
      </c>
      <c r="D299" s="92" t="str">
        <f aca="false">SRC_Perf!$O5</f>
        <v>Active</v>
      </c>
      <c r="E299" s="92" t="n">
        <f aca="false">SRC_Perf!$K5</f>
        <v>1</v>
      </c>
      <c r="F299" s="92" t="str">
        <f aca="false">SRC_Perf!$S5</f>
        <v>—</v>
      </c>
    </row>
    <row r="300" customFormat="false" ht="15" hidden="false" customHeight="false" outlineLevel="0" collapsed="false">
      <c r="A300" s="92" t="str">
        <f aca="false">SRC_Perf!$A6&amp;""</f>
        <v>SRC_PERF_002</v>
      </c>
      <c r="B300" s="62" t="s">
        <v>9573</v>
      </c>
      <c r="C300" s="61" t="n">
        <v>6</v>
      </c>
      <c r="D300" s="92" t="str">
        <f aca="false">SRC_Perf!$O6</f>
        <v>Active</v>
      </c>
      <c r="E300" s="92" t="n">
        <f aca="false">SRC_Perf!$K6</f>
        <v>1</v>
      </c>
      <c r="F300" s="92" t="str">
        <f aca="false">SRC_Perf!$S6</f>
        <v>—</v>
      </c>
    </row>
    <row r="301" customFormat="false" ht="15" hidden="false" customHeight="false" outlineLevel="0" collapsed="false">
      <c r="A301" s="92" t="str">
        <f aca="false">SRC_Perf!$A7&amp;""</f>
        <v>SRC_PERF_003</v>
      </c>
      <c r="B301" s="62" t="s">
        <v>9573</v>
      </c>
      <c r="C301" s="61" t="n">
        <v>7</v>
      </c>
      <c r="D301" s="92" t="str">
        <f aca="false">SRC_Perf!$O7</f>
        <v>Active</v>
      </c>
      <c r="E301" s="92" t="n">
        <f aca="false">SRC_Perf!$K7</f>
        <v>1</v>
      </c>
      <c r="F301" s="92" t="str">
        <f aca="false">SRC_Perf!$S7</f>
        <v>—</v>
      </c>
    </row>
    <row r="302" customFormat="false" ht="15" hidden="false" customHeight="false" outlineLevel="0" collapsed="false">
      <c r="A302" s="92" t="str">
        <f aca="false">SRC_Perf!$A8&amp;""</f>
        <v>SRC_PERF_004</v>
      </c>
      <c r="B302" s="62" t="s">
        <v>9573</v>
      </c>
      <c r="C302" s="61" t="n">
        <v>8</v>
      </c>
      <c r="D302" s="92" t="str">
        <f aca="false">SRC_Perf!$O8</f>
        <v>Active</v>
      </c>
      <c r="E302" s="92" t="n">
        <f aca="false">SRC_Perf!$K8</f>
        <v>1</v>
      </c>
      <c r="F302" s="92" t="str">
        <f aca="false">SRC_Perf!$S8</f>
        <v>—</v>
      </c>
    </row>
    <row r="303" customFormat="false" ht="15" hidden="false" customHeight="false" outlineLevel="0" collapsed="false">
      <c r="A303" s="92" t="str">
        <f aca="false">SRC_Perf!$A9&amp;""</f>
        <v>SRC_PERF_005</v>
      </c>
      <c r="B303" s="62" t="s">
        <v>9573</v>
      </c>
      <c r="C303" s="61" t="n">
        <v>9</v>
      </c>
      <c r="D303" s="92" t="str">
        <f aca="false">SRC_Perf!$O9</f>
        <v>Active</v>
      </c>
      <c r="E303" s="92" t="n">
        <f aca="false">SRC_Perf!$K9</f>
        <v>1</v>
      </c>
      <c r="F303" s="92" t="str">
        <f aca="false">SRC_Perf!$S9</f>
        <v>—</v>
      </c>
    </row>
    <row r="304" customFormat="false" ht="15" hidden="false" customHeight="false" outlineLevel="0" collapsed="false">
      <c r="A304" s="92" t="str">
        <f aca="false">SRC_Perf!$A10&amp;""</f>
        <v>SRC_PERF_006</v>
      </c>
      <c r="B304" s="62" t="s">
        <v>9573</v>
      </c>
      <c r="C304" s="61" t="n">
        <v>10</v>
      </c>
      <c r="D304" s="92" t="str">
        <f aca="false">SRC_Perf!$O10</f>
        <v>Superseded</v>
      </c>
      <c r="E304" s="92" t="n">
        <f aca="false">SRC_Perf!$K10</f>
        <v>1</v>
      </c>
      <c r="F304" s="92" t="str">
        <f aca="false">SRC_Perf!$S10</f>
        <v>—</v>
      </c>
    </row>
    <row r="305" customFormat="false" ht="15" hidden="false" customHeight="false" outlineLevel="0" collapsed="false">
      <c r="A305" s="92" t="str">
        <f aca="false">SRC_Perf!$A11&amp;""</f>
        <v>SRC_PERF_007</v>
      </c>
      <c r="B305" s="62" t="s">
        <v>9573</v>
      </c>
      <c r="C305" s="61" t="n">
        <v>11</v>
      </c>
      <c r="D305" s="92" t="str">
        <f aca="false">SRC_Perf!$O11</f>
        <v>Active</v>
      </c>
      <c r="E305" s="92" t="n">
        <f aca="false">SRC_Perf!$K11</f>
        <v>1</v>
      </c>
      <c r="F305" s="92" t="str">
        <f aca="false">SRC_Perf!$S11</f>
        <v>—</v>
      </c>
    </row>
    <row r="306" customFormat="false" ht="15" hidden="false" customHeight="false" outlineLevel="0" collapsed="false">
      <c r="A306" s="92" t="str">
        <f aca="false">SRC_Perf!$A12&amp;""</f>
        <v>SRC_PERF_008</v>
      </c>
      <c r="B306" s="62" t="s">
        <v>9573</v>
      </c>
      <c r="C306" s="61" t="n">
        <v>12</v>
      </c>
      <c r="D306" s="92" t="str">
        <f aca="false">SRC_Perf!$O12</f>
        <v>Active</v>
      </c>
      <c r="E306" s="92" t="n">
        <f aca="false">SRC_Perf!$K12</f>
        <v>1</v>
      </c>
      <c r="F306" s="92" t="str">
        <f aca="false">SRC_Perf!$S12</f>
        <v>—</v>
      </c>
    </row>
    <row r="307" customFormat="false" ht="15" hidden="false" customHeight="false" outlineLevel="0" collapsed="false">
      <c r="A307" s="92" t="str">
        <f aca="false">SRC_Perf!$A13&amp;""</f>
        <v>SRC_PERF_009</v>
      </c>
      <c r="B307" s="62" t="s">
        <v>9573</v>
      </c>
      <c r="C307" s="61" t="n">
        <v>13</v>
      </c>
      <c r="D307" s="92" t="str">
        <f aca="false">SRC_Perf!$O13</f>
        <v>Active</v>
      </c>
      <c r="E307" s="92" t="n">
        <f aca="false">SRC_Perf!$K13</f>
        <v>2</v>
      </c>
      <c r="F307" s="92" t="str">
        <f aca="false">SRC_Perf!$S13</f>
        <v>2026-10-05</v>
      </c>
    </row>
    <row r="308" customFormat="false" ht="15" hidden="false" customHeight="false" outlineLevel="0" collapsed="false">
      <c r="A308" s="92" t="str">
        <f aca="false">SRC_Perf!$A14&amp;""</f>
        <v>SRC_PERF_010</v>
      </c>
      <c r="B308" s="62" t="s">
        <v>9573</v>
      </c>
      <c r="C308" s="61" t="n">
        <v>14</v>
      </c>
      <c r="D308" s="92" t="str">
        <f aca="false">SRC_Perf!$O14</f>
        <v>Active</v>
      </c>
      <c r="E308" s="92" t="n">
        <f aca="false">SRC_Perf!$K14</f>
        <v>2</v>
      </c>
      <c r="F308" s="92" t="str">
        <f aca="false">SRC_Perf!$S14</f>
        <v>2026-10-05</v>
      </c>
    </row>
    <row r="309" customFormat="false" ht="15" hidden="false" customHeight="false" outlineLevel="0" collapsed="false">
      <c r="A309" s="92" t="str">
        <f aca="false">SRC_Perf!$A15&amp;""</f>
        <v>SRC_PERF_011</v>
      </c>
      <c r="B309" s="62" t="s">
        <v>9573</v>
      </c>
      <c r="C309" s="61" t="n">
        <v>15</v>
      </c>
      <c r="D309" s="92" t="str">
        <f aca="false">SRC_Perf!$O15</f>
        <v>Active</v>
      </c>
      <c r="E309" s="92" t="n">
        <f aca="false">SRC_Perf!$K15</f>
        <v>3</v>
      </c>
      <c r="F309" s="92" t="str">
        <f aca="false">SRC_Perf!$S15</f>
        <v>—</v>
      </c>
    </row>
    <row r="310" customFormat="false" ht="15" hidden="false" customHeight="false" outlineLevel="0" collapsed="false">
      <c r="A310" s="92" t="str">
        <f aca="false">SRC_Perf!$A16&amp;""</f>
        <v>SRC_PERF_012</v>
      </c>
      <c r="B310" s="62" t="s">
        <v>9573</v>
      </c>
      <c r="C310" s="61" t="n">
        <v>16</v>
      </c>
      <c r="D310" s="92" t="str">
        <f aca="false">SRC_Perf!$O16</f>
        <v>Active</v>
      </c>
      <c r="E310" s="92" t="n">
        <f aca="false">SRC_Perf!$K16</f>
        <v>3</v>
      </c>
      <c r="F310" s="92" t="str">
        <f aca="false">SRC_Perf!$S16</f>
        <v>—</v>
      </c>
    </row>
    <row r="311" customFormat="false" ht="15" hidden="false" customHeight="false" outlineLevel="0" collapsed="false">
      <c r="A311" s="92" t="str">
        <f aca="false">SRC_Perf!$A17&amp;""</f>
        <v>SRC_PERF_013</v>
      </c>
      <c r="B311" s="62" t="s">
        <v>9573</v>
      </c>
      <c r="C311" s="61" t="n">
        <v>17</v>
      </c>
      <c r="D311" s="92" t="str">
        <f aca="false">SRC_Perf!$O17</f>
        <v>Active</v>
      </c>
      <c r="E311" s="92" t="n">
        <f aca="false">SRC_Perf!$K17</f>
        <v>3</v>
      </c>
      <c r="F311" s="92" t="str">
        <f aca="false">SRC_Perf!$S17</f>
        <v>—</v>
      </c>
    </row>
    <row r="312" customFormat="false" ht="15" hidden="false" customHeight="false" outlineLevel="0" collapsed="false">
      <c r="A312" s="92" t="str">
        <f aca="false">SRC_Perf!$A18&amp;""</f>
        <v>SRC_PERF_014</v>
      </c>
      <c r="B312" s="62" t="s">
        <v>9573</v>
      </c>
      <c r="C312" s="61" t="n">
        <v>18</v>
      </c>
      <c r="D312" s="92" t="str">
        <f aca="false">SRC_Perf!$O18</f>
        <v>Active</v>
      </c>
      <c r="E312" s="92" t="n">
        <f aca="false">SRC_Perf!$K18</f>
        <v>1</v>
      </c>
      <c r="F312" s="92" t="str">
        <f aca="false">SRC_Perf!$S18</f>
        <v>—</v>
      </c>
    </row>
    <row r="313" customFormat="false" ht="15" hidden="false" customHeight="false" outlineLevel="0" collapsed="false">
      <c r="A313" s="92" t="str">
        <f aca="false">SRC_Perf!$A19&amp;""</f>
        <v>SRC_PERF_015</v>
      </c>
      <c r="B313" s="62" t="s">
        <v>9573</v>
      </c>
      <c r="C313" s="61" t="n">
        <v>19</v>
      </c>
      <c r="D313" s="92" t="str">
        <f aca="false">SRC_Perf!$O19</f>
        <v>Active</v>
      </c>
      <c r="E313" s="92" t="n">
        <f aca="false">SRC_Perf!$K19</f>
        <v>1</v>
      </c>
      <c r="F313" s="92" t="str">
        <f aca="false">SRC_Perf!$S19</f>
        <v>—</v>
      </c>
    </row>
    <row r="314" customFormat="false" ht="15" hidden="false" customHeight="false" outlineLevel="0" collapsed="false">
      <c r="A314" s="92" t="str">
        <f aca="false">SRC_Perf!$A20&amp;""</f>
        <v>SRC_PERF_016</v>
      </c>
      <c r="B314" s="62" t="s">
        <v>9573</v>
      </c>
      <c r="C314" s="61" t="n">
        <v>20</v>
      </c>
      <c r="D314" s="92" t="str">
        <f aca="false">SRC_Perf!$O20</f>
        <v>Active</v>
      </c>
      <c r="E314" s="92" t="n">
        <f aca="false">SRC_Perf!$K20</f>
        <v>1</v>
      </c>
      <c r="F314" s="92" t="str">
        <f aca="false">SRC_Perf!$S20</f>
        <v>—</v>
      </c>
    </row>
    <row r="315" customFormat="false" ht="15" hidden="false" customHeight="false" outlineLevel="0" collapsed="false">
      <c r="A315" s="92" t="str">
        <f aca="false">SRC_Perf!$A21&amp;""</f>
        <v>SRC_PERF_017</v>
      </c>
      <c r="B315" s="62" t="s">
        <v>9573</v>
      </c>
      <c r="C315" s="61" t="n">
        <v>21</v>
      </c>
      <c r="D315" s="92" t="str">
        <f aca="false">SRC_Perf!$O21</f>
        <v>Active</v>
      </c>
      <c r="E315" s="92" t="n">
        <f aca="false">SRC_Perf!$K21</f>
        <v>1</v>
      </c>
      <c r="F315" s="92" t="str">
        <f aca="false">SRC_Perf!$S21</f>
        <v>—</v>
      </c>
    </row>
    <row r="316" customFormat="false" ht="15" hidden="false" customHeight="false" outlineLevel="0" collapsed="false">
      <c r="A316" s="92" t="str">
        <f aca="false">SRC_Perf!$A22&amp;""</f>
        <v>SRC_PERF_018</v>
      </c>
      <c r="B316" s="62" t="s">
        <v>9573</v>
      </c>
      <c r="C316" s="61" t="n">
        <v>22</v>
      </c>
      <c r="D316" s="92" t="str">
        <f aca="false">SRC_Perf!$O22</f>
        <v>Active</v>
      </c>
      <c r="E316" s="92" t="n">
        <f aca="false">SRC_Perf!$K22</f>
        <v>1</v>
      </c>
      <c r="F316" s="92" t="str">
        <f aca="false">SRC_Perf!$S22</f>
        <v>—</v>
      </c>
    </row>
    <row r="317" customFormat="false" ht="15" hidden="false" customHeight="false" outlineLevel="0" collapsed="false">
      <c r="A317" s="92" t="str">
        <f aca="false">SRC_Perf!$A23&amp;""</f>
        <v>SRC_PERF_019</v>
      </c>
      <c r="B317" s="62" t="s">
        <v>9573</v>
      </c>
      <c r="C317" s="61" t="n">
        <v>23</v>
      </c>
      <c r="D317" s="92" t="str">
        <f aca="false">SRC_Perf!$O23</f>
        <v>Active</v>
      </c>
      <c r="E317" s="92" t="n">
        <f aca="false">SRC_Perf!$K23</f>
        <v>1</v>
      </c>
      <c r="F317" s="92" t="str">
        <f aca="false">SRC_Perf!$S23</f>
        <v>—</v>
      </c>
    </row>
    <row r="318" customFormat="false" ht="15" hidden="false" customHeight="false" outlineLevel="0" collapsed="false">
      <c r="A318" s="92" t="str">
        <f aca="false">SRC_Perf!$A24&amp;""</f>
        <v>SRC_PERF_020</v>
      </c>
      <c r="B318" s="62" t="s">
        <v>9573</v>
      </c>
      <c r="C318" s="61" t="n">
        <v>24</v>
      </c>
      <c r="D318" s="92" t="str">
        <f aca="false">SRC_Perf!$O24</f>
        <v>Active</v>
      </c>
      <c r="E318" s="92" t="n">
        <f aca="false">SRC_Perf!$K24</f>
        <v>1</v>
      </c>
      <c r="F318" s="92" t="str">
        <f aca="false">SRC_Perf!$S24</f>
        <v>—</v>
      </c>
    </row>
    <row r="319" customFormat="false" ht="15" hidden="false" customHeight="false" outlineLevel="0" collapsed="false">
      <c r="A319" s="92" t="str">
        <f aca="false">SRC_Perf!$A25&amp;""</f>
        <v>SRC_PERF_021</v>
      </c>
      <c r="B319" s="62" t="s">
        <v>9573</v>
      </c>
      <c r="C319" s="61" t="n">
        <v>25</v>
      </c>
      <c r="D319" s="92" t="str">
        <f aca="false">SRC_Perf!$O25</f>
        <v>Active</v>
      </c>
      <c r="E319" s="92" t="n">
        <f aca="false">SRC_Perf!$K25</f>
        <v>1</v>
      </c>
      <c r="F319" s="92" t="str">
        <f aca="false">SRC_Perf!$S25</f>
        <v>—</v>
      </c>
    </row>
    <row r="320" customFormat="false" ht="15" hidden="false" customHeight="false" outlineLevel="0" collapsed="false">
      <c r="A320" s="92" t="str">
        <f aca="false">SRC_Perf!$A26&amp;""</f>
        <v>SRC_PERF_022</v>
      </c>
      <c r="B320" s="62" t="s">
        <v>9573</v>
      </c>
      <c r="C320" s="61" t="n">
        <v>26</v>
      </c>
      <c r="D320" s="92" t="str">
        <f aca="false">SRC_Perf!$O26</f>
        <v>Active</v>
      </c>
      <c r="E320" s="92" t="n">
        <f aca="false">SRC_Perf!$K26</f>
        <v>1</v>
      </c>
      <c r="F320" s="92" t="str">
        <f aca="false">SRC_Perf!$S26</f>
        <v>—</v>
      </c>
    </row>
    <row r="321" customFormat="false" ht="15" hidden="false" customHeight="false" outlineLevel="0" collapsed="false">
      <c r="A321" s="92" t="str">
        <f aca="false">SRC_Perf!$A27&amp;""</f>
        <v>SRC_PERF_023</v>
      </c>
      <c r="B321" s="62" t="s">
        <v>9573</v>
      </c>
      <c r="C321" s="61" t="n">
        <v>27</v>
      </c>
      <c r="D321" s="92" t="str">
        <f aca="false">SRC_Perf!$O27</f>
        <v>Active</v>
      </c>
      <c r="E321" s="92" t="n">
        <f aca="false">SRC_Perf!$K27</f>
        <v>3</v>
      </c>
      <c r="F321" s="92" t="str">
        <f aca="false">SRC_Perf!$S27</f>
        <v>—</v>
      </c>
    </row>
    <row r="322" customFormat="false" ht="15" hidden="false" customHeight="false" outlineLevel="0" collapsed="false">
      <c r="A322" s="92" t="str">
        <f aca="false">SRC_Perf!$A28&amp;""</f>
        <v>SRC_PERF_024</v>
      </c>
      <c r="B322" s="62" t="s">
        <v>9573</v>
      </c>
      <c r="C322" s="61" t="n">
        <v>28</v>
      </c>
      <c r="D322" s="92" t="str">
        <f aca="false">SRC_Perf!$O28</f>
        <v>Active</v>
      </c>
      <c r="E322" s="92" t="n">
        <f aca="false">SRC_Perf!$K28</f>
        <v>2</v>
      </c>
      <c r="F322" s="92" t="str">
        <f aca="false">SRC_Perf!$S28</f>
        <v>—</v>
      </c>
    </row>
    <row r="323" customFormat="false" ht="15" hidden="false" customHeight="false" outlineLevel="0" collapsed="false">
      <c r="A323" s="92" t="str">
        <f aca="false">SRC_Perf!$A29&amp;""</f>
        <v>SRC_PERF_025</v>
      </c>
      <c r="B323" s="62" t="s">
        <v>9573</v>
      </c>
      <c r="C323" s="61" t="n">
        <v>29</v>
      </c>
      <c r="D323" s="92" t="str">
        <f aca="false">SRC_Perf!$O29</f>
        <v>Active</v>
      </c>
      <c r="E323" s="92" t="n">
        <f aca="false">SRC_Perf!$K29</f>
        <v>2</v>
      </c>
      <c r="F323" s="92" t="str">
        <f aca="false">SRC_Perf!$S29</f>
        <v>—</v>
      </c>
    </row>
    <row r="324" customFormat="false" ht="15" hidden="false" customHeight="false" outlineLevel="0" collapsed="false">
      <c r="A324" s="92" t="str">
        <f aca="false">SRC_Perf!$A30&amp;""</f>
        <v>SRC_PERF_026</v>
      </c>
      <c r="B324" s="62" t="s">
        <v>9573</v>
      </c>
      <c r="C324" s="61" t="n">
        <v>30</v>
      </c>
      <c r="D324" s="92" t="str">
        <f aca="false">SRC_Perf!$O30</f>
        <v>Active</v>
      </c>
      <c r="E324" s="92" t="n">
        <f aca="false">SRC_Perf!$K30</f>
        <v>2</v>
      </c>
      <c r="F324" s="92" t="str">
        <f aca="false">SRC_Perf!$S30</f>
        <v>—</v>
      </c>
    </row>
    <row r="325" customFormat="false" ht="15" hidden="false" customHeight="false" outlineLevel="0" collapsed="false">
      <c r="A325" s="92" t="str">
        <f aca="false">SRC_Perf!$A31&amp;""</f>
        <v>SRC_PERF_027</v>
      </c>
      <c r="B325" s="62" t="s">
        <v>9573</v>
      </c>
      <c r="C325" s="61" t="n">
        <v>31</v>
      </c>
      <c r="D325" s="92" t="str">
        <f aca="false">SRC_Perf!$O31</f>
        <v>Active</v>
      </c>
      <c r="E325" s="92" t="n">
        <f aca="false">SRC_Perf!$K31</f>
        <v>1</v>
      </c>
      <c r="F325" s="92" t="str">
        <f aca="false">SRC_Perf!$S31</f>
        <v>2026-10-06</v>
      </c>
    </row>
    <row r="326" customFormat="false" ht="15" hidden="false" customHeight="false" outlineLevel="0" collapsed="false">
      <c r="A326" s="92" t="str">
        <f aca="false">SRC_Perf!$A32&amp;""</f>
        <v>SRC_PERF_028</v>
      </c>
      <c r="B326" s="62" t="s">
        <v>9573</v>
      </c>
      <c r="C326" s="61" t="n">
        <v>32</v>
      </c>
      <c r="D326" s="92" t="str">
        <f aca="false">SRC_Perf!$O32</f>
        <v>Active</v>
      </c>
      <c r="E326" s="92" t="n">
        <f aca="false">SRC_Perf!$K32</f>
        <v>1</v>
      </c>
      <c r="F326" s="92" t="str">
        <f aca="false">SRC_Perf!$S32</f>
        <v>2026-10-06</v>
      </c>
    </row>
    <row r="327" customFormat="false" ht="15" hidden="false" customHeight="false" outlineLevel="0" collapsed="false">
      <c r="A327" s="92" t="str">
        <f aca="false">SRC_Perf!$A33&amp;""</f>
        <v>SRC_PERF_029</v>
      </c>
      <c r="B327" s="62" t="s">
        <v>9573</v>
      </c>
      <c r="C327" s="61" t="n">
        <v>33</v>
      </c>
      <c r="D327" s="92" t="str">
        <f aca="false">SRC_Perf!$O33</f>
        <v>Active</v>
      </c>
      <c r="E327" s="92" t="n">
        <f aca="false">SRC_Perf!$K33</f>
        <v>1</v>
      </c>
      <c r="F327" s="92" t="str">
        <f aca="false">SRC_Perf!$S33</f>
        <v>—</v>
      </c>
    </row>
    <row r="328" customFormat="false" ht="15" hidden="false" customHeight="false" outlineLevel="0" collapsed="false">
      <c r="A328" s="92" t="str">
        <f aca="false">SRC_Perf!$A34&amp;""</f>
        <v>SRC_PERF_030</v>
      </c>
      <c r="B328" s="62" t="s">
        <v>9573</v>
      </c>
      <c r="C328" s="61" t="n">
        <v>34</v>
      </c>
      <c r="D328" s="92" t="str">
        <f aca="false">SRC_Perf!$O34</f>
        <v>Active</v>
      </c>
      <c r="E328" s="92" t="n">
        <f aca="false">SRC_Perf!$K34</f>
        <v>1</v>
      </c>
      <c r="F328" s="92" t="str">
        <f aca="false">SRC_Perf!$S34</f>
        <v>—</v>
      </c>
    </row>
    <row r="329" customFormat="false" ht="15" hidden="false" customHeight="false" outlineLevel="0" collapsed="false">
      <c r="A329" s="92" t="str">
        <f aca="false">SRC_Perf!$A35&amp;""</f>
        <v>SRC_PERF_031</v>
      </c>
      <c r="B329" s="62" t="s">
        <v>9573</v>
      </c>
      <c r="C329" s="61" t="n">
        <v>35</v>
      </c>
      <c r="D329" s="92" t="str">
        <f aca="false">SRC_Perf!$O35</f>
        <v>Active</v>
      </c>
      <c r="E329" s="92" t="n">
        <f aca="false">SRC_Perf!$K35</f>
        <v>1</v>
      </c>
      <c r="F329" s="92" t="str">
        <f aca="false">SRC_Perf!$S35</f>
        <v>—</v>
      </c>
    </row>
    <row r="330" customFormat="false" ht="15" hidden="false" customHeight="false" outlineLevel="0" collapsed="false">
      <c r="A330" s="92" t="str">
        <f aca="false">SRC_Perf!$A36&amp;""</f>
        <v>SRC_PERF_032</v>
      </c>
      <c r="B330" s="62" t="s">
        <v>9573</v>
      </c>
      <c r="C330" s="61" t="n">
        <v>36</v>
      </c>
      <c r="D330" s="92" t="str">
        <f aca="false">SRC_Perf!$O36</f>
        <v>Active</v>
      </c>
      <c r="E330" s="92" t="n">
        <f aca="false">SRC_Perf!$K36</f>
        <v>1</v>
      </c>
      <c r="F330" s="92" t="str">
        <f aca="false">SRC_Perf!$S36</f>
        <v>—</v>
      </c>
    </row>
    <row r="331" customFormat="false" ht="15" hidden="false" customHeight="false" outlineLevel="0" collapsed="false">
      <c r="A331" s="92" t="str">
        <f aca="false">SRC_Perf!$A37&amp;""</f>
        <v>SRC_PERF_033</v>
      </c>
      <c r="B331" s="62" t="s">
        <v>9573</v>
      </c>
      <c r="C331" s="61" t="n">
        <v>37</v>
      </c>
      <c r="D331" s="92" t="str">
        <f aca="false">SRC_Perf!$O37</f>
        <v>Active</v>
      </c>
      <c r="E331" s="92" t="n">
        <f aca="false">SRC_Perf!$K37</f>
        <v>1</v>
      </c>
      <c r="F331" s="92" t="str">
        <f aca="false">SRC_Perf!$S37</f>
        <v>—</v>
      </c>
    </row>
    <row r="332" customFormat="false" ht="15" hidden="false" customHeight="false" outlineLevel="0" collapsed="false">
      <c r="A332" s="92" t="str">
        <f aca="false">SRC_Perf!$A38&amp;""</f>
        <v>SRC_PERF_034</v>
      </c>
      <c r="B332" s="62" t="s">
        <v>9573</v>
      </c>
      <c r="C332" s="61" t="n">
        <v>38</v>
      </c>
      <c r="D332" s="92" t="str">
        <f aca="false">SRC_Perf!$O38</f>
        <v>Active</v>
      </c>
      <c r="E332" s="92" t="n">
        <f aca="false">SRC_Perf!$K38</f>
        <v>1</v>
      </c>
      <c r="F332" s="92" t="str">
        <f aca="false">SRC_Perf!$S38</f>
        <v>—</v>
      </c>
    </row>
    <row r="333" customFormat="false" ht="15" hidden="false" customHeight="false" outlineLevel="0" collapsed="false">
      <c r="A333" s="92" t="str">
        <f aca="false">SRC_Perf!$A39&amp;""</f>
        <v>SRC_PERF_035</v>
      </c>
      <c r="B333" s="62" t="s">
        <v>9573</v>
      </c>
      <c r="C333" s="61" t="n">
        <v>39</v>
      </c>
      <c r="D333" s="92" t="str">
        <f aca="false">SRC_Perf!$O39</f>
        <v>Active</v>
      </c>
      <c r="E333" s="92" t="n">
        <f aca="false">SRC_Perf!$K39</f>
        <v>1</v>
      </c>
      <c r="F333" s="92" t="str">
        <f aca="false">SRC_Perf!$S39</f>
        <v>—</v>
      </c>
    </row>
    <row r="334" customFormat="false" ht="15" hidden="false" customHeight="false" outlineLevel="0" collapsed="false">
      <c r="A334" s="92" t="str">
        <f aca="false">SRC_Perf!$A40&amp;""</f>
        <v>SRC_PERF_036</v>
      </c>
      <c r="B334" s="62" t="s">
        <v>9573</v>
      </c>
      <c r="C334" s="61" t="n">
        <v>40</v>
      </c>
      <c r="D334" s="92" t="str">
        <f aca="false">SRC_Perf!$O40</f>
        <v>Active</v>
      </c>
      <c r="E334" s="92" t="n">
        <f aca="false">SRC_Perf!$K40</f>
        <v>1</v>
      </c>
      <c r="F334" s="92" t="str">
        <f aca="false">SRC_Perf!$S40</f>
        <v>2026-10-05</v>
      </c>
    </row>
    <row r="335" customFormat="false" ht="15" hidden="false" customHeight="false" outlineLevel="0" collapsed="false">
      <c r="A335" s="92" t="str">
        <f aca="false">SRC_Perf!$A41&amp;""</f>
        <v>SRC_PERF_037</v>
      </c>
      <c r="B335" s="62" t="s">
        <v>9573</v>
      </c>
      <c r="C335" s="61" t="n">
        <v>41</v>
      </c>
      <c r="D335" s="92" t="str">
        <f aca="false">SRC_Perf!$O41</f>
        <v>Active</v>
      </c>
      <c r="E335" s="92" t="n">
        <f aca="false">SRC_Perf!$K41</f>
        <v>1</v>
      </c>
      <c r="F335" s="92" t="str">
        <f aca="false">SRC_Perf!$S41</f>
        <v>2026-10-05</v>
      </c>
    </row>
    <row r="336" customFormat="false" ht="15" hidden="false" customHeight="false" outlineLevel="0" collapsed="false">
      <c r="A336" s="92" t="str">
        <f aca="false">SRC_Perf!$A42&amp;""</f>
        <v>SRC_PERF_038</v>
      </c>
      <c r="B336" s="62" t="s">
        <v>9573</v>
      </c>
      <c r="C336" s="61" t="n">
        <v>42</v>
      </c>
      <c r="D336" s="92" t="str">
        <f aca="false">SRC_Perf!$O42</f>
        <v>Active</v>
      </c>
      <c r="E336" s="92" t="n">
        <f aca="false">SRC_Perf!$K42</f>
        <v>1</v>
      </c>
      <c r="F336" s="92" t="str">
        <f aca="false">SRC_Perf!$S42</f>
        <v>—</v>
      </c>
    </row>
    <row r="337" customFormat="false" ht="15" hidden="false" customHeight="false" outlineLevel="0" collapsed="false">
      <c r="A337" s="92" t="str">
        <f aca="false">SRC_Perf!$A43&amp;""</f>
        <v>SRC_PERF_039</v>
      </c>
      <c r="B337" s="62" t="s">
        <v>9573</v>
      </c>
      <c r="C337" s="61" t="n">
        <v>43</v>
      </c>
      <c r="D337" s="92" t="str">
        <f aca="false">SRC_Perf!$O43</f>
        <v>Active</v>
      </c>
      <c r="E337" s="92" t="n">
        <f aca="false">SRC_Perf!$K43</f>
        <v>1</v>
      </c>
      <c r="F337" s="92" t="str">
        <f aca="false">SRC_Perf!$S43</f>
        <v>—</v>
      </c>
    </row>
    <row r="338" customFormat="false" ht="15" hidden="false" customHeight="false" outlineLevel="0" collapsed="false">
      <c r="A338" s="92" t="str">
        <f aca="false">SRC_Perf!$A44&amp;""</f>
        <v>SRC_PERF_040</v>
      </c>
      <c r="B338" s="62" t="s">
        <v>9573</v>
      </c>
      <c r="C338" s="61" t="n">
        <v>44</v>
      </c>
      <c r="D338" s="92" t="str">
        <f aca="false">SRC_Perf!$O44</f>
        <v>Active</v>
      </c>
      <c r="E338" s="92" t="n">
        <f aca="false">SRC_Perf!$K44</f>
        <v>1</v>
      </c>
      <c r="F338" s="92" t="str">
        <f aca="false">SRC_Perf!$S44</f>
        <v>—</v>
      </c>
    </row>
    <row r="339" customFormat="false" ht="15" hidden="false" customHeight="false" outlineLevel="0" collapsed="false">
      <c r="A339" s="92" t="str">
        <f aca="false">SRC_Perf!$A45&amp;""</f>
        <v>SRC_PERF_041</v>
      </c>
      <c r="B339" s="62" t="s">
        <v>9573</v>
      </c>
      <c r="C339" s="61" t="n">
        <v>45</v>
      </c>
      <c r="D339" s="92" t="str">
        <f aca="false">SRC_Perf!$O45</f>
        <v>Active</v>
      </c>
      <c r="E339" s="92" t="n">
        <f aca="false">SRC_Perf!$K45</f>
        <v>1</v>
      </c>
      <c r="F339" s="92" t="str">
        <f aca="false">SRC_Perf!$S45</f>
        <v>—</v>
      </c>
    </row>
    <row r="340" customFormat="false" ht="15" hidden="false" customHeight="false" outlineLevel="0" collapsed="false">
      <c r="A340" s="92" t="str">
        <f aca="false">SRC_Perf!$A46&amp;""</f>
        <v>SRC_PERF_042</v>
      </c>
      <c r="B340" s="62" t="s">
        <v>9573</v>
      </c>
      <c r="C340" s="61" t="n">
        <v>46</v>
      </c>
      <c r="D340" s="92" t="str">
        <f aca="false">SRC_Perf!$O46</f>
        <v>Active</v>
      </c>
      <c r="E340" s="92" t="n">
        <f aca="false">SRC_Perf!$K46</f>
        <v>1</v>
      </c>
      <c r="F340" s="92" t="str">
        <f aca="false">SRC_Perf!$S46</f>
        <v>—</v>
      </c>
    </row>
    <row r="341" customFormat="false" ht="15" hidden="false" customHeight="false" outlineLevel="0" collapsed="false">
      <c r="A341" s="92" t="str">
        <f aca="false">SRC_Perf!$A47&amp;""</f>
        <v>SRC_PERF_043</v>
      </c>
      <c r="B341" s="62" t="s">
        <v>9573</v>
      </c>
      <c r="C341" s="61" t="n">
        <v>47</v>
      </c>
      <c r="D341" s="92" t="str">
        <f aca="false">SRC_Perf!$O47</f>
        <v>Active</v>
      </c>
      <c r="E341" s="92" t="n">
        <f aca="false">SRC_Perf!$K47</f>
        <v>1</v>
      </c>
      <c r="F341" s="92" t="str">
        <f aca="false">SRC_Perf!$S47</f>
        <v>—</v>
      </c>
    </row>
    <row r="342" customFormat="false" ht="15" hidden="false" customHeight="false" outlineLevel="0" collapsed="false">
      <c r="A342" s="92" t="str">
        <f aca="false">SRC_Perf!$A48&amp;""</f>
        <v>SRC_PERF_044</v>
      </c>
      <c r="B342" s="62" t="s">
        <v>9573</v>
      </c>
      <c r="C342" s="61" t="n">
        <v>48</v>
      </c>
      <c r="D342" s="92" t="str">
        <f aca="false">SRC_Perf!$O48</f>
        <v>Active</v>
      </c>
      <c r="E342" s="92" t="n">
        <f aca="false">SRC_Perf!$K48</f>
        <v>1</v>
      </c>
      <c r="F342" s="92" t="str">
        <f aca="false">SRC_Perf!$S48</f>
        <v>—</v>
      </c>
    </row>
    <row r="343" customFormat="false" ht="15" hidden="false" customHeight="false" outlineLevel="0" collapsed="false">
      <c r="A343" s="92" t="str">
        <f aca="false">SRC_Perf!$A49&amp;""</f>
        <v>SRC_PERF_045</v>
      </c>
      <c r="B343" s="62" t="s">
        <v>9573</v>
      </c>
      <c r="C343" s="61" t="n">
        <v>49</v>
      </c>
      <c r="D343" s="92" t="str">
        <f aca="false">SRC_Perf!$O49</f>
        <v>Active</v>
      </c>
      <c r="E343" s="92" t="n">
        <f aca="false">SRC_Perf!$K49</f>
        <v>1</v>
      </c>
      <c r="F343" s="92" t="str">
        <f aca="false">SRC_Perf!$S49</f>
        <v>—</v>
      </c>
    </row>
    <row r="344" customFormat="false" ht="15" hidden="false" customHeight="false" outlineLevel="0" collapsed="false">
      <c r="A344" s="92" t="str">
        <f aca="false">SRC_Perf!$A50&amp;""</f>
        <v>SRC_PERF_046</v>
      </c>
      <c r="B344" s="62" t="s">
        <v>9573</v>
      </c>
      <c r="C344" s="61" t="n">
        <v>50</v>
      </c>
      <c r="D344" s="92" t="str">
        <f aca="false">SRC_Perf!$O50</f>
        <v>Active</v>
      </c>
      <c r="E344" s="92" t="n">
        <f aca="false">SRC_Perf!$K50</f>
        <v>1</v>
      </c>
      <c r="F344" s="92" t="str">
        <f aca="false">SRC_Perf!$S50</f>
        <v>—</v>
      </c>
    </row>
    <row r="345" customFormat="false" ht="15" hidden="false" customHeight="false" outlineLevel="0" collapsed="false">
      <c r="A345" s="92" t="str">
        <f aca="false">SRC_Perf!$A51&amp;""</f>
        <v>SRC_PERF_047</v>
      </c>
      <c r="B345" s="62" t="s">
        <v>9573</v>
      </c>
      <c r="C345" s="61" t="n">
        <v>51</v>
      </c>
      <c r="D345" s="92" t="str">
        <f aca="false">SRC_Perf!$O51</f>
        <v>Active</v>
      </c>
      <c r="E345" s="92" t="n">
        <f aca="false">SRC_Perf!$K51</f>
        <v>1</v>
      </c>
      <c r="F345" s="92" t="str">
        <f aca="false">SRC_Perf!$S51</f>
        <v>—</v>
      </c>
    </row>
    <row r="346" customFormat="false" ht="15" hidden="false" customHeight="false" outlineLevel="0" collapsed="false">
      <c r="A346" s="92" t="str">
        <f aca="false">SRC_Perf!$A52&amp;""</f>
        <v>SRC_PERF_048</v>
      </c>
      <c r="B346" s="62" t="s">
        <v>9573</v>
      </c>
      <c r="C346" s="61" t="n">
        <v>52</v>
      </c>
      <c r="D346" s="92" t="str">
        <f aca="false">SRC_Perf!$O52</f>
        <v>Active</v>
      </c>
      <c r="E346" s="92" t="n">
        <f aca="false">SRC_Perf!$K52</f>
        <v>1</v>
      </c>
      <c r="F346" s="92" t="str">
        <f aca="false">SRC_Perf!$S52</f>
        <v>—</v>
      </c>
    </row>
    <row r="347" customFormat="false" ht="15" hidden="false" customHeight="false" outlineLevel="0" collapsed="false">
      <c r="A347" s="92" t="str">
        <f aca="false">SRC_Perf!$A53&amp;""</f>
        <v>SRC_PERF_049</v>
      </c>
      <c r="B347" s="62" t="s">
        <v>9573</v>
      </c>
      <c r="C347" s="61" t="n">
        <v>53</v>
      </c>
      <c r="D347" s="92" t="str">
        <f aca="false">SRC_Perf!$O53</f>
        <v>Active</v>
      </c>
      <c r="E347" s="92" t="n">
        <f aca="false">SRC_Perf!$K53</f>
        <v>1</v>
      </c>
      <c r="F347" s="92" t="str">
        <f aca="false">SRC_Perf!$S53</f>
        <v>—</v>
      </c>
    </row>
    <row r="348" customFormat="false" ht="15" hidden="false" customHeight="false" outlineLevel="0" collapsed="false">
      <c r="A348" s="92" t="str">
        <f aca="false">SRC_Perf!$A54&amp;""</f>
        <v>SRC_PERF_050</v>
      </c>
      <c r="B348" s="62" t="s">
        <v>9573</v>
      </c>
      <c r="C348" s="61" t="n">
        <v>54</v>
      </c>
      <c r="D348" s="92" t="str">
        <f aca="false">SRC_Perf!$O54</f>
        <v>Active</v>
      </c>
      <c r="E348" s="92" t="n">
        <f aca="false">SRC_Perf!$K54</f>
        <v>1</v>
      </c>
      <c r="F348" s="92" t="str">
        <f aca="false">SRC_Perf!$S54</f>
        <v>—</v>
      </c>
    </row>
    <row r="349" customFormat="false" ht="15" hidden="false" customHeight="false" outlineLevel="0" collapsed="false">
      <c r="A349" s="92" t="str">
        <f aca="false">SRC_Perf!$A55&amp;""</f>
        <v>SRC_PERF_051</v>
      </c>
      <c r="B349" s="62" t="s">
        <v>9573</v>
      </c>
      <c r="C349" s="61" t="n">
        <v>55</v>
      </c>
      <c r="D349" s="92" t="str">
        <f aca="false">SRC_Perf!$O55</f>
        <v>Active</v>
      </c>
      <c r="E349" s="92" t="n">
        <f aca="false">SRC_Perf!$K55</f>
        <v>1</v>
      </c>
      <c r="F349" s="92" t="str">
        <f aca="false">SRC_Perf!$S55</f>
        <v>—</v>
      </c>
    </row>
    <row r="350" customFormat="false" ht="15" hidden="false" customHeight="false" outlineLevel="0" collapsed="false">
      <c r="A350" s="92" t="str">
        <f aca="false">SRC_Perf!$A56&amp;""</f>
        <v>SRC_PERF_052</v>
      </c>
      <c r="B350" s="62" t="s">
        <v>9573</v>
      </c>
      <c r="C350" s="61" t="n">
        <v>56</v>
      </c>
      <c r="D350" s="92" t="str">
        <f aca="false">SRC_Perf!$O56</f>
        <v>Active</v>
      </c>
      <c r="E350" s="92" t="n">
        <f aca="false">SRC_Perf!$K56</f>
        <v>1</v>
      </c>
      <c r="F350" s="92" t="str">
        <f aca="false">SRC_Perf!$S56</f>
        <v>—</v>
      </c>
    </row>
    <row r="351" customFormat="false" ht="15" hidden="false" customHeight="false" outlineLevel="0" collapsed="false">
      <c r="A351" s="92" t="str">
        <f aca="false">SRC_Perf!$A57&amp;""</f>
        <v>SRC_PERF_053</v>
      </c>
      <c r="B351" s="62" t="s">
        <v>9573</v>
      </c>
      <c r="C351" s="61" t="n">
        <v>57</v>
      </c>
      <c r="D351" s="92" t="str">
        <f aca="false">SRC_Perf!$O57</f>
        <v>Active</v>
      </c>
      <c r="E351" s="92" t="n">
        <f aca="false">SRC_Perf!$K57</f>
        <v>1</v>
      </c>
      <c r="F351" s="92" t="str">
        <f aca="false">SRC_Perf!$S57</f>
        <v>—</v>
      </c>
    </row>
    <row r="352" customFormat="false" ht="15" hidden="false" customHeight="false" outlineLevel="0" collapsed="false">
      <c r="A352" s="92" t="str">
        <f aca="false">SRC_Perf!$A58&amp;""</f>
        <v>SRC_PERF_054</v>
      </c>
      <c r="B352" s="62" t="s">
        <v>9573</v>
      </c>
      <c r="C352" s="61" t="n">
        <v>58</v>
      </c>
      <c r="D352" s="92" t="str">
        <f aca="false">SRC_Perf!$O58</f>
        <v>Active</v>
      </c>
      <c r="E352" s="92" t="n">
        <f aca="false">SRC_Perf!$K58</f>
        <v>1</v>
      </c>
      <c r="F352" s="92" t="str">
        <f aca="false">SRC_Perf!$S58</f>
        <v>—</v>
      </c>
    </row>
    <row r="353" customFormat="false" ht="15" hidden="false" customHeight="false" outlineLevel="0" collapsed="false">
      <c r="A353" s="92" t="str">
        <f aca="false">SRC_Perf!$A59&amp;""</f>
        <v>SRC_PERF_055</v>
      </c>
      <c r="B353" s="62" t="s">
        <v>9573</v>
      </c>
      <c r="C353" s="61" t="n">
        <v>59</v>
      </c>
      <c r="D353" s="92" t="str">
        <f aca="false">SRC_Perf!$O59</f>
        <v>Active</v>
      </c>
      <c r="E353" s="92" t="n">
        <f aca="false">SRC_Perf!$K59</f>
        <v>1</v>
      </c>
      <c r="F353" s="92" t="str">
        <f aca="false">SRC_Perf!$S59</f>
        <v>—</v>
      </c>
    </row>
    <row r="354" customFormat="false" ht="15" hidden="false" customHeight="false" outlineLevel="0" collapsed="false">
      <c r="A354" s="92" t="str">
        <f aca="false">SRC_Perf!$A60&amp;""</f>
        <v>SRC_PERF_056</v>
      </c>
      <c r="B354" s="62" t="s">
        <v>9573</v>
      </c>
      <c r="C354" s="61" t="n">
        <v>60</v>
      </c>
      <c r="D354" s="92" t="str">
        <f aca="false">SRC_Perf!$O60</f>
        <v>Active</v>
      </c>
      <c r="E354" s="92" t="n">
        <f aca="false">SRC_Perf!$K60</f>
        <v>1</v>
      </c>
      <c r="F354" s="92" t="str">
        <f aca="false">SRC_Perf!$S60</f>
        <v>—</v>
      </c>
    </row>
    <row r="355" customFormat="false" ht="15" hidden="false" customHeight="false" outlineLevel="0" collapsed="false">
      <c r="A355" s="92" t="str">
        <f aca="false">SRC_Perf!$A61&amp;""</f>
        <v>SRC_PERF_057</v>
      </c>
      <c r="B355" s="62" t="s">
        <v>9573</v>
      </c>
      <c r="C355" s="61" t="n">
        <v>61</v>
      </c>
      <c r="D355" s="92" t="str">
        <f aca="false">SRC_Perf!$O61</f>
        <v>Active</v>
      </c>
      <c r="E355" s="92" t="n">
        <f aca="false">SRC_Perf!$K61</f>
        <v>1</v>
      </c>
      <c r="F355" s="92" t="str">
        <f aca="false">SRC_Perf!$S61</f>
        <v>—</v>
      </c>
    </row>
    <row r="356" customFormat="false" ht="15" hidden="false" customHeight="false" outlineLevel="0" collapsed="false">
      <c r="A356" s="92" t="str">
        <f aca="false">SRC_Perf!$A62&amp;""</f>
        <v>SRC_PERF_058</v>
      </c>
      <c r="B356" s="62" t="s">
        <v>9573</v>
      </c>
      <c r="C356" s="61" t="n">
        <v>62</v>
      </c>
      <c r="D356" s="92" t="str">
        <f aca="false">SRC_Perf!$O62</f>
        <v>Active</v>
      </c>
      <c r="E356" s="92" t="n">
        <f aca="false">SRC_Perf!$K62</f>
        <v>1</v>
      </c>
      <c r="F356" s="92" t="str">
        <f aca="false">SRC_Perf!$S62</f>
        <v>—</v>
      </c>
    </row>
    <row r="357" customFormat="false" ht="15" hidden="false" customHeight="false" outlineLevel="0" collapsed="false">
      <c r="A357" s="92" t="str">
        <f aca="false">SRC_Perf!$A63&amp;""</f>
        <v>SRC_PERF_059</v>
      </c>
      <c r="B357" s="62" t="s">
        <v>9573</v>
      </c>
      <c r="C357" s="61" t="n">
        <v>63</v>
      </c>
      <c r="D357" s="92" t="str">
        <f aca="false">SRC_Perf!$O63</f>
        <v>Active</v>
      </c>
      <c r="E357" s="92" t="n">
        <f aca="false">SRC_Perf!$K63</f>
        <v>1</v>
      </c>
      <c r="F357" s="92" t="str">
        <f aca="false">SRC_Perf!$S63</f>
        <v>—</v>
      </c>
    </row>
    <row r="358" customFormat="false" ht="15" hidden="false" customHeight="false" outlineLevel="0" collapsed="false">
      <c r="A358" s="92" t="str">
        <f aca="false">SRC_Perf!$A64&amp;""</f>
        <v>SRC_PERF_060</v>
      </c>
      <c r="B358" s="62" t="s">
        <v>9573</v>
      </c>
      <c r="C358" s="61" t="n">
        <v>64</v>
      </c>
      <c r="D358" s="92" t="str">
        <f aca="false">SRC_Perf!$O64</f>
        <v>Active</v>
      </c>
      <c r="E358" s="92" t="n">
        <f aca="false">SRC_Perf!$K64</f>
        <v>2</v>
      </c>
      <c r="F358" s="92" t="str">
        <f aca="false">SRC_Perf!$S64</f>
        <v>—</v>
      </c>
    </row>
    <row r="359" customFormat="false" ht="15" hidden="false" customHeight="false" outlineLevel="0" collapsed="false">
      <c r="A359" s="92" t="str">
        <f aca="false">SRC_Perf!$A65&amp;""</f>
        <v>SRC_PERF_061</v>
      </c>
      <c r="B359" s="62" t="s">
        <v>9573</v>
      </c>
      <c r="C359" s="61" t="n">
        <v>65</v>
      </c>
      <c r="D359" s="92" t="str">
        <f aca="false">SRC_Perf!$O65</f>
        <v>Active</v>
      </c>
      <c r="E359" s="92" t="n">
        <f aca="false">SRC_Perf!$K65</f>
        <v>2</v>
      </c>
      <c r="F359" s="92" t="str">
        <f aca="false">SRC_Perf!$S65</f>
        <v>—</v>
      </c>
    </row>
    <row r="360" customFormat="false" ht="15" hidden="false" customHeight="false" outlineLevel="0" collapsed="false">
      <c r="A360" s="92" t="str">
        <f aca="false">SRC_Perf!$A66&amp;""</f>
        <v>SRC_PERF_062</v>
      </c>
      <c r="B360" s="62" t="s">
        <v>9573</v>
      </c>
      <c r="C360" s="61" t="n">
        <v>66</v>
      </c>
      <c r="D360" s="92" t="str">
        <f aca="false">SRC_Perf!$O66</f>
        <v>Active</v>
      </c>
      <c r="E360" s="92" t="n">
        <f aca="false">SRC_Perf!$K66</f>
        <v>2</v>
      </c>
      <c r="F360" s="92" t="str">
        <f aca="false">SRC_Perf!$S66</f>
        <v>—</v>
      </c>
    </row>
    <row r="361" customFormat="false" ht="15" hidden="false" customHeight="false" outlineLevel="0" collapsed="false">
      <c r="A361" s="92" t="str">
        <f aca="false">SRC_Perf!$A67&amp;""</f>
        <v>SRC_PERF_063</v>
      </c>
      <c r="B361" s="62" t="s">
        <v>9573</v>
      </c>
      <c r="C361" s="61" t="n">
        <v>67</v>
      </c>
      <c r="D361" s="92" t="str">
        <f aca="false">SRC_Perf!$O67</f>
        <v>Active</v>
      </c>
      <c r="E361" s="92" t="n">
        <f aca="false">SRC_Perf!$K67</f>
        <v>2</v>
      </c>
      <c r="F361" s="92" t="str">
        <f aca="false">SRC_Perf!$S67</f>
        <v>—</v>
      </c>
    </row>
    <row r="362" customFormat="false" ht="15" hidden="false" customHeight="false" outlineLevel="0" collapsed="false">
      <c r="A362" s="92" t="str">
        <f aca="false">SRC_Perf!$A68&amp;""</f>
        <v>SRC_PERF_064</v>
      </c>
      <c r="B362" s="62" t="s">
        <v>9573</v>
      </c>
      <c r="C362" s="61" t="n">
        <v>68</v>
      </c>
      <c r="D362" s="92" t="str">
        <f aca="false">SRC_Perf!$O68</f>
        <v>Active</v>
      </c>
      <c r="E362" s="92" t="n">
        <f aca="false">SRC_Perf!$K68</f>
        <v>2</v>
      </c>
      <c r="F362" s="92" t="str">
        <f aca="false">SRC_Perf!$S68</f>
        <v>—</v>
      </c>
    </row>
    <row r="363" customFormat="false" ht="15" hidden="false" customHeight="false" outlineLevel="0" collapsed="false">
      <c r="A363" s="92" t="str">
        <f aca="false">SRC_Perf!$A69&amp;""</f>
        <v>SRC_PERF_065</v>
      </c>
      <c r="B363" s="62" t="s">
        <v>9573</v>
      </c>
      <c r="C363" s="61" t="n">
        <v>69</v>
      </c>
      <c r="D363" s="92" t="str">
        <f aca="false">SRC_Perf!$O69</f>
        <v>Active</v>
      </c>
      <c r="E363" s="92" t="n">
        <f aca="false">SRC_Perf!$K69</f>
        <v>2</v>
      </c>
      <c r="F363" s="92" t="str">
        <f aca="false">SRC_Perf!$S69</f>
        <v>—</v>
      </c>
    </row>
    <row r="364" customFormat="false" ht="15" hidden="false" customHeight="false" outlineLevel="0" collapsed="false">
      <c r="A364" s="92" t="str">
        <f aca="false">SRC_Perf!$A70&amp;""</f>
        <v>SRC_PERF_066</v>
      </c>
      <c r="B364" s="62" t="s">
        <v>9573</v>
      </c>
      <c r="C364" s="61" t="n">
        <v>70</v>
      </c>
      <c r="D364" s="92" t="str">
        <f aca="false">SRC_Perf!$O70</f>
        <v>Active</v>
      </c>
      <c r="E364" s="92" t="n">
        <f aca="false">SRC_Perf!$K70</f>
        <v>2</v>
      </c>
      <c r="F364" s="92" t="str">
        <f aca="false">SRC_Perf!$S70</f>
        <v>—</v>
      </c>
    </row>
    <row r="365" customFormat="false" ht="15" hidden="false" customHeight="false" outlineLevel="0" collapsed="false">
      <c r="A365" s="92" t="str">
        <f aca="false">SRC_Perf!$A71&amp;""</f>
        <v>SRC_PERF_067</v>
      </c>
      <c r="B365" s="62" t="s">
        <v>9573</v>
      </c>
      <c r="C365" s="61" t="n">
        <v>71</v>
      </c>
      <c r="D365" s="92" t="str">
        <f aca="false">SRC_Perf!$O71</f>
        <v>Active</v>
      </c>
      <c r="E365" s="92" t="n">
        <f aca="false">SRC_Perf!$K71</f>
        <v>2</v>
      </c>
      <c r="F365" s="92" t="str">
        <f aca="false">SRC_Perf!$S71</f>
        <v>—</v>
      </c>
    </row>
    <row r="366" customFormat="false" ht="15" hidden="false" customHeight="false" outlineLevel="0" collapsed="false">
      <c r="A366" s="92" t="str">
        <f aca="false">SRC_Perf!$A72&amp;""</f>
        <v>SRC_PERF_068</v>
      </c>
      <c r="B366" s="62" t="s">
        <v>9573</v>
      </c>
      <c r="C366" s="61" t="n">
        <v>72</v>
      </c>
      <c r="D366" s="92" t="str">
        <f aca="false">SRC_Perf!$O72</f>
        <v>Active</v>
      </c>
      <c r="E366" s="92" t="n">
        <f aca="false">SRC_Perf!$K72</f>
        <v>2</v>
      </c>
      <c r="F366" s="92" t="str">
        <f aca="false">SRC_Perf!$S72</f>
        <v>—</v>
      </c>
    </row>
    <row r="367" customFormat="false" ht="15" hidden="false" customHeight="false" outlineLevel="0" collapsed="false">
      <c r="A367" s="92" t="str">
        <f aca="false">SRC_Perf!$A73&amp;""</f>
        <v>SRC_PERF_069</v>
      </c>
      <c r="B367" s="62" t="s">
        <v>9573</v>
      </c>
      <c r="C367" s="61" t="n">
        <v>73</v>
      </c>
      <c r="D367" s="92" t="str">
        <f aca="false">SRC_Perf!$O73</f>
        <v>Active</v>
      </c>
      <c r="E367" s="92" t="n">
        <f aca="false">SRC_Perf!$K73</f>
        <v>2</v>
      </c>
      <c r="F367" s="92" t="str">
        <f aca="false">SRC_Perf!$S73</f>
        <v>—</v>
      </c>
    </row>
    <row r="368" customFormat="false" ht="15" hidden="false" customHeight="false" outlineLevel="0" collapsed="false">
      <c r="A368" s="92" t="str">
        <f aca="false">SRC_Perf!$A74&amp;""</f>
        <v>SRC_PERF_070</v>
      </c>
      <c r="B368" s="62" t="s">
        <v>9573</v>
      </c>
      <c r="C368" s="61" t="n">
        <v>74</v>
      </c>
      <c r="D368" s="92" t="str">
        <f aca="false">SRC_Perf!$O74</f>
        <v>Active</v>
      </c>
      <c r="E368" s="92" t="n">
        <f aca="false">SRC_Perf!$K74</f>
        <v>2</v>
      </c>
      <c r="F368" s="92" t="str">
        <f aca="false">SRC_Perf!$S74</f>
        <v>—</v>
      </c>
    </row>
    <row r="369" customFormat="false" ht="15" hidden="false" customHeight="false" outlineLevel="0" collapsed="false">
      <c r="A369" s="92" t="str">
        <f aca="false">SRC_Perf!$A75&amp;""</f>
        <v>SRC_PERF_071</v>
      </c>
      <c r="B369" s="62" t="s">
        <v>9573</v>
      </c>
      <c r="C369" s="61" t="n">
        <v>75</v>
      </c>
      <c r="D369" s="92" t="str">
        <f aca="false">SRC_Perf!$O75</f>
        <v>Active</v>
      </c>
      <c r="E369" s="92" t="n">
        <f aca="false">SRC_Perf!$K75</f>
        <v>2</v>
      </c>
      <c r="F369" s="92" t="str">
        <f aca="false">SRC_Perf!$S75</f>
        <v>—</v>
      </c>
    </row>
    <row r="370" customFormat="false" ht="15" hidden="false" customHeight="false" outlineLevel="0" collapsed="false">
      <c r="A370" s="92" t="str">
        <f aca="false">SRC_Perf!$A76&amp;""</f>
        <v>SRC_PERF_072</v>
      </c>
      <c r="B370" s="62" t="s">
        <v>9573</v>
      </c>
      <c r="C370" s="61" t="n">
        <v>76</v>
      </c>
      <c r="D370" s="92" t="str">
        <f aca="false">SRC_Perf!$O76</f>
        <v>Active</v>
      </c>
      <c r="E370" s="92" t="n">
        <f aca="false">SRC_Perf!$K76</f>
        <v>1</v>
      </c>
      <c r="F370" s="92" t="str">
        <f aca="false">SRC_Perf!$S76</f>
        <v>—</v>
      </c>
    </row>
    <row r="371" customFormat="false" ht="15" hidden="false" customHeight="false" outlineLevel="0" collapsed="false">
      <c r="A371" s="92" t="str">
        <f aca="false">SRC_Perf!$A77&amp;""</f>
        <v>SRC_PERF_073</v>
      </c>
      <c r="B371" s="62" t="s">
        <v>9573</v>
      </c>
      <c r="C371" s="61" t="n">
        <v>77</v>
      </c>
      <c r="D371" s="92" t="str">
        <f aca="false">SRC_Perf!$O77</f>
        <v>Active</v>
      </c>
      <c r="E371" s="92" t="n">
        <f aca="false">SRC_Perf!$K77</f>
        <v>1</v>
      </c>
      <c r="F371" s="92" t="str">
        <f aca="false">SRC_Perf!$S77</f>
        <v>—</v>
      </c>
    </row>
    <row r="372" customFormat="false" ht="15" hidden="false" customHeight="false" outlineLevel="0" collapsed="false">
      <c r="A372" s="92" t="str">
        <f aca="false">SRC_Perf!$A78&amp;""</f>
        <v>SRC_PERF_074</v>
      </c>
      <c r="B372" s="62" t="s">
        <v>9573</v>
      </c>
      <c r="C372" s="61" t="n">
        <v>78</v>
      </c>
      <c r="D372" s="92" t="str">
        <f aca="false">SRC_Perf!$O78</f>
        <v>Active</v>
      </c>
      <c r="E372" s="92" t="n">
        <f aca="false">SRC_Perf!$K78</f>
        <v>1</v>
      </c>
      <c r="F372" s="92" t="str">
        <f aca="false">SRC_Perf!$S78</f>
        <v>—</v>
      </c>
    </row>
    <row r="373" customFormat="false" ht="15" hidden="false" customHeight="false" outlineLevel="0" collapsed="false">
      <c r="A373" s="92" t="str">
        <f aca="false">SRC_Perf!$A79&amp;""</f>
        <v>SRC_PERF_075</v>
      </c>
      <c r="B373" s="62" t="s">
        <v>9573</v>
      </c>
      <c r="C373" s="61" t="n">
        <v>79</v>
      </c>
      <c r="D373" s="92" t="str">
        <f aca="false">SRC_Perf!$O79</f>
        <v>Active</v>
      </c>
      <c r="E373" s="92" t="n">
        <f aca="false">SRC_Perf!$K79</f>
        <v>1</v>
      </c>
      <c r="F373" s="92" t="str">
        <f aca="false">SRC_Perf!$S79</f>
        <v>—</v>
      </c>
    </row>
    <row r="374" customFormat="false" ht="15" hidden="false" customHeight="false" outlineLevel="0" collapsed="false">
      <c r="A374" s="92" t="str">
        <f aca="false">SRC_Perf!$A80&amp;""</f>
        <v>SRC_PERF_076</v>
      </c>
      <c r="B374" s="62" t="s">
        <v>9573</v>
      </c>
      <c r="C374" s="61" t="n">
        <v>80</v>
      </c>
      <c r="D374" s="92" t="str">
        <f aca="false">SRC_Perf!$O80</f>
        <v>Active</v>
      </c>
      <c r="E374" s="92" t="n">
        <f aca="false">SRC_Perf!$K80</f>
        <v>1</v>
      </c>
      <c r="F374" s="92" t="str">
        <f aca="false">SRC_Perf!$S80</f>
        <v>—</v>
      </c>
    </row>
    <row r="375" customFormat="false" ht="15" hidden="false" customHeight="false" outlineLevel="0" collapsed="false">
      <c r="A375" s="92" t="str">
        <f aca="false">SRC_Perf!$A81&amp;""</f>
        <v>SRC_PERF_077</v>
      </c>
      <c r="B375" s="62" t="s">
        <v>9573</v>
      </c>
      <c r="C375" s="61" t="n">
        <v>81</v>
      </c>
      <c r="D375" s="92" t="str">
        <f aca="false">SRC_Perf!$O81</f>
        <v>Active</v>
      </c>
      <c r="E375" s="92" t="n">
        <f aca="false">SRC_Perf!$K81</f>
        <v>1</v>
      </c>
      <c r="F375" s="92" t="str">
        <f aca="false">SRC_Perf!$S81</f>
        <v>—</v>
      </c>
    </row>
    <row r="376" customFormat="false" ht="15" hidden="false" customHeight="false" outlineLevel="0" collapsed="false">
      <c r="A376" s="92" t="str">
        <f aca="false">SRC_Perf!$A82&amp;""</f>
        <v>SRC_PERF_078</v>
      </c>
      <c r="B376" s="62" t="s">
        <v>9573</v>
      </c>
      <c r="C376" s="61" t="n">
        <v>82</v>
      </c>
      <c r="D376" s="92" t="str">
        <f aca="false">SRC_Perf!$O82</f>
        <v>Active</v>
      </c>
      <c r="E376" s="92" t="n">
        <f aca="false">SRC_Perf!$K82</f>
        <v>1</v>
      </c>
      <c r="F376" s="92" t="str">
        <f aca="false">SRC_Perf!$S82</f>
        <v>—</v>
      </c>
    </row>
    <row r="377" customFormat="false" ht="15" hidden="false" customHeight="false" outlineLevel="0" collapsed="false">
      <c r="A377" s="92" t="str">
        <f aca="false">SRC_Perf!$A83&amp;""</f>
        <v/>
      </c>
      <c r="B377" s="62" t="s">
        <v>9573</v>
      </c>
      <c r="C377" s="61" t="n">
        <v>83</v>
      </c>
      <c r="D377" s="92" t="n">
        <f aca="false">SRC_Perf!$O83</f>
        <v>0</v>
      </c>
      <c r="E377" s="92" t="n">
        <f aca="false">SRC_Perf!$K83</f>
        <v>0</v>
      </c>
      <c r="F377" s="92" t="n">
        <f aca="false">SRC_Perf!$S83</f>
        <v>0</v>
      </c>
    </row>
    <row r="378" customFormat="false" ht="15" hidden="false" customHeight="false" outlineLevel="0" collapsed="false">
      <c r="A378" s="92" t="str">
        <f aca="false">SRC_Perf!$A84&amp;""</f>
        <v/>
      </c>
      <c r="B378" s="62" t="s">
        <v>9573</v>
      </c>
      <c r="C378" s="61" t="n">
        <v>84</v>
      </c>
      <c r="D378" s="92" t="n">
        <f aca="false">SRC_Perf!$O84</f>
        <v>0</v>
      </c>
      <c r="E378" s="92" t="n">
        <f aca="false">SRC_Perf!$K84</f>
        <v>0</v>
      </c>
      <c r="F378" s="92" t="n">
        <f aca="false">SRC_Perf!$S84</f>
        <v>0</v>
      </c>
    </row>
    <row r="379" customFormat="false" ht="15" hidden="false" customHeight="false" outlineLevel="0" collapsed="false">
      <c r="A379" s="92" t="str">
        <f aca="false">SRC_Perf!$A85&amp;""</f>
        <v/>
      </c>
      <c r="B379" s="62" t="s">
        <v>9573</v>
      </c>
      <c r="C379" s="61" t="n">
        <v>85</v>
      </c>
      <c r="D379" s="92" t="n">
        <f aca="false">SRC_Perf!$O85</f>
        <v>0</v>
      </c>
      <c r="E379" s="92" t="n">
        <f aca="false">SRC_Perf!$K85</f>
        <v>0</v>
      </c>
      <c r="F379" s="92" t="n">
        <f aca="false">SRC_Perf!$S85</f>
        <v>0</v>
      </c>
    </row>
    <row r="380" customFormat="false" ht="15" hidden="false" customHeight="false" outlineLevel="0" collapsed="false">
      <c r="A380" s="92" t="str">
        <f aca="false">SRC_Perf!$A86&amp;""</f>
        <v/>
      </c>
      <c r="B380" s="62" t="s">
        <v>9573</v>
      </c>
      <c r="C380" s="61" t="n">
        <v>86</v>
      </c>
      <c r="D380" s="92" t="n">
        <f aca="false">SRC_Perf!$O86</f>
        <v>0</v>
      </c>
      <c r="E380" s="92" t="n">
        <f aca="false">SRC_Perf!$K86</f>
        <v>0</v>
      </c>
      <c r="F380" s="92" t="n">
        <f aca="false">SRC_Perf!$S86</f>
        <v>0</v>
      </c>
    </row>
    <row r="381" customFormat="false" ht="15" hidden="false" customHeight="false" outlineLevel="0" collapsed="false">
      <c r="A381" s="92" t="str">
        <f aca="false">SRC_Perf!$A87&amp;""</f>
        <v/>
      </c>
      <c r="B381" s="62" t="s">
        <v>9573</v>
      </c>
      <c r="C381" s="61" t="n">
        <v>87</v>
      </c>
      <c r="D381" s="92" t="n">
        <f aca="false">SRC_Perf!$O87</f>
        <v>0</v>
      </c>
      <c r="E381" s="92" t="n">
        <f aca="false">SRC_Perf!$K87</f>
        <v>0</v>
      </c>
      <c r="F381" s="92" t="n">
        <f aca="false">SRC_Perf!$S87</f>
        <v>0</v>
      </c>
    </row>
    <row r="382" customFormat="false" ht="15" hidden="false" customHeight="false" outlineLevel="0" collapsed="false">
      <c r="A382" s="92" t="str">
        <f aca="false">SRC_Perf!$A88&amp;""</f>
        <v/>
      </c>
      <c r="B382" s="62" t="s">
        <v>9573</v>
      </c>
      <c r="C382" s="61" t="n">
        <v>88</v>
      </c>
      <c r="D382" s="92" t="n">
        <f aca="false">SRC_Perf!$O88</f>
        <v>0</v>
      </c>
      <c r="E382" s="92" t="n">
        <f aca="false">SRC_Perf!$K88</f>
        <v>0</v>
      </c>
      <c r="F382" s="92" t="n">
        <f aca="false">SRC_Perf!$S88</f>
        <v>0</v>
      </c>
    </row>
    <row r="383" customFormat="false" ht="15" hidden="false" customHeight="false" outlineLevel="0" collapsed="false">
      <c r="A383" s="92" t="str">
        <f aca="false">SRC_Perf!$A89&amp;""</f>
        <v/>
      </c>
      <c r="B383" s="62" t="s">
        <v>9573</v>
      </c>
      <c r="C383" s="61" t="n">
        <v>89</v>
      </c>
      <c r="D383" s="92" t="n">
        <f aca="false">SRC_Perf!$O89</f>
        <v>0</v>
      </c>
      <c r="E383" s="92" t="n">
        <f aca="false">SRC_Perf!$K89</f>
        <v>0</v>
      </c>
      <c r="F383" s="92" t="n">
        <f aca="false">SRC_Perf!$S89</f>
        <v>0</v>
      </c>
    </row>
    <row r="384" customFormat="false" ht="15" hidden="false" customHeight="false" outlineLevel="0" collapsed="false">
      <c r="A384" s="92" t="str">
        <f aca="false">SRC_Perf!$A90&amp;""</f>
        <v/>
      </c>
      <c r="B384" s="62" t="s">
        <v>9573</v>
      </c>
      <c r="C384" s="61" t="n">
        <v>90</v>
      </c>
      <c r="D384" s="92" t="n">
        <f aca="false">SRC_Perf!$O90</f>
        <v>0</v>
      </c>
      <c r="E384" s="92" t="n">
        <f aca="false">SRC_Perf!$K90</f>
        <v>0</v>
      </c>
      <c r="F384" s="92" t="n">
        <f aca="false">SRC_Perf!$S90</f>
        <v>0</v>
      </c>
    </row>
    <row r="385" customFormat="false" ht="15" hidden="false" customHeight="false" outlineLevel="0" collapsed="false">
      <c r="A385" s="92" t="str">
        <f aca="false">SRC_Perf!$A91&amp;""</f>
        <v/>
      </c>
      <c r="B385" s="62" t="s">
        <v>9573</v>
      </c>
      <c r="C385" s="61" t="n">
        <v>91</v>
      </c>
      <c r="D385" s="92" t="n">
        <f aca="false">SRC_Perf!$O91</f>
        <v>0</v>
      </c>
      <c r="E385" s="92" t="n">
        <f aca="false">SRC_Perf!$K91</f>
        <v>0</v>
      </c>
      <c r="F385" s="92" t="n">
        <f aca="false">SRC_Perf!$S91</f>
        <v>0</v>
      </c>
    </row>
    <row r="386" customFormat="false" ht="15" hidden="false" customHeight="false" outlineLevel="0" collapsed="false">
      <c r="A386" s="92" t="str">
        <f aca="false">SRC_Perf!$A92&amp;""</f>
        <v/>
      </c>
      <c r="B386" s="62" t="s">
        <v>9573</v>
      </c>
      <c r="C386" s="61" t="n">
        <v>92</v>
      </c>
      <c r="D386" s="92" t="n">
        <f aca="false">SRC_Perf!$O92</f>
        <v>0</v>
      </c>
      <c r="E386" s="92" t="n">
        <f aca="false">SRC_Perf!$K92</f>
        <v>0</v>
      </c>
      <c r="F386" s="92" t="n">
        <f aca="false">SRC_Perf!$S92</f>
        <v>0</v>
      </c>
    </row>
    <row r="387" customFormat="false" ht="15" hidden="false" customHeight="false" outlineLevel="0" collapsed="false">
      <c r="A387" s="92" t="str">
        <f aca="false">SRC_Perf!$A93&amp;""</f>
        <v/>
      </c>
      <c r="B387" s="62" t="s">
        <v>9573</v>
      </c>
      <c r="C387" s="61" t="n">
        <v>93</v>
      </c>
      <c r="D387" s="92" t="n">
        <f aca="false">SRC_Perf!$O93</f>
        <v>0</v>
      </c>
      <c r="E387" s="92" t="n">
        <f aca="false">SRC_Perf!$K93</f>
        <v>0</v>
      </c>
      <c r="F387" s="92" t="n">
        <f aca="false">SRC_Perf!$S93</f>
        <v>0</v>
      </c>
    </row>
    <row r="388" customFormat="false" ht="15" hidden="false" customHeight="false" outlineLevel="0" collapsed="false">
      <c r="A388" s="92" t="str">
        <f aca="false">SRC_Perf!$A94&amp;""</f>
        <v/>
      </c>
      <c r="B388" s="62" t="s">
        <v>9573</v>
      </c>
      <c r="C388" s="61" t="n">
        <v>94</v>
      </c>
      <c r="D388" s="92" t="n">
        <f aca="false">SRC_Perf!$O94</f>
        <v>0</v>
      </c>
      <c r="E388" s="92" t="n">
        <f aca="false">SRC_Perf!$K94</f>
        <v>0</v>
      </c>
      <c r="F388" s="92" t="n">
        <f aca="false">SRC_Perf!$S94</f>
        <v>0</v>
      </c>
    </row>
    <row r="389" customFormat="false" ht="15" hidden="false" customHeight="false" outlineLevel="0" collapsed="false">
      <c r="A389" s="92" t="str">
        <f aca="false">SRC_Perf!$A95&amp;""</f>
        <v/>
      </c>
      <c r="B389" s="62" t="s">
        <v>9573</v>
      </c>
      <c r="C389" s="61" t="n">
        <v>95</v>
      </c>
      <c r="D389" s="92" t="n">
        <f aca="false">SRC_Perf!$O95</f>
        <v>0</v>
      </c>
      <c r="E389" s="92" t="n">
        <f aca="false">SRC_Perf!$K95</f>
        <v>0</v>
      </c>
      <c r="F389" s="92" t="n">
        <f aca="false">SRC_Perf!$S95</f>
        <v>0</v>
      </c>
    </row>
    <row r="390" customFormat="false" ht="15" hidden="false" customHeight="false" outlineLevel="0" collapsed="false">
      <c r="A390" s="92" t="str">
        <f aca="false">SRC_Perf!$A96&amp;""</f>
        <v/>
      </c>
      <c r="B390" s="62" t="s">
        <v>9573</v>
      </c>
      <c r="C390" s="61" t="n">
        <v>96</v>
      </c>
      <c r="D390" s="92" t="n">
        <f aca="false">SRC_Perf!$O96</f>
        <v>0</v>
      </c>
      <c r="E390" s="92" t="n">
        <f aca="false">SRC_Perf!$K96</f>
        <v>0</v>
      </c>
      <c r="F390" s="92" t="n">
        <f aca="false">SRC_Perf!$S96</f>
        <v>0</v>
      </c>
    </row>
    <row r="391" customFormat="false" ht="15" hidden="false" customHeight="false" outlineLevel="0" collapsed="false">
      <c r="A391" s="92" t="str">
        <f aca="false">SRC_Perf!$A97&amp;""</f>
        <v/>
      </c>
      <c r="B391" s="62" t="s">
        <v>9573</v>
      </c>
      <c r="C391" s="61" t="n">
        <v>97</v>
      </c>
      <c r="D391" s="92" t="n">
        <f aca="false">SRC_Perf!$O97</f>
        <v>0</v>
      </c>
      <c r="E391" s="92" t="n">
        <f aca="false">SRC_Perf!$K97</f>
        <v>0</v>
      </c>
      <c r="F391" s="92" t="n">
        <f aca="false">SRC_Perf!$S97</f>
        <v>0</v>
      </c>
    </row>
    <row r="392" customFormat="false" ht="15" hidden="false" customHeight="false" outlineLevel="0" collapsed="false">
      <c r="A392" s="92" t="str">
        <f aca="false">SRC_Perf!$A98&amp;""</f>
        <v/>
      </c>
      <c r="B392" s="62" t="s">
        <v>9573</v>
      </c>
      <c r="C392" s="61" t="n">
        <v>98</v>
      </c>
      <c r="D392" s="92" t="n">
        <f aca="false">SRC_Perf!$O98</f>
        <v>0</v>
      </c>
      <c r="E392" s="92" t="n">
        <f aca="false">SRC_Perf!$K98</f>
        <v>0</v>
      </c>
      <c r="F392" s="92" t="n">
        <f aca="false">SRC_Perf!$S98</f>
        <v>0</v>
      </c>
    </row>
    <row r="393" customFormat="false" ht="15" hidden="false" customHeight="false" outlineLevel="0" collapsed="false">
      <c r="A393" s="92" t="str">
        <f aca="false">SRC_Perf!$A99&amp;""</f>
        <v/>
      </c>
      <c r="B393" s="62" t="s">
        <v>9573</v>
      </c>
      <c r="C393" s="61" t="n">
        <v>99</v>
      </c>
      <c r="D393" s="92" t="n">
        <f aca="false">SRC_Perf!$O99</f>
        <v>0</v>
      </c>
      <c r="E393" s="92" t="n">
        <f aca="false">SRC_Perf!$K99</f>
        <v>0</v>
      </c>
      <c r="F393" s="92" t="n">
        <f aca="false">SRC_Perf!$S99</f>
        <v>0</v>
      </c>
    </row>
    <row r="394" customFormat="false" ht="15" hidden="false" customHeight="false" outlineLevel="0" collapsed="false">
      <c r="A394" s="92" t="str">
        <f aca="false">SRC_Perf!$A100&amp;""</f>
        <v/>
      </c>
      <c r="B394" s="62" t="s">
        <v>9573</v>
      </c>
      <c r="C394" s="61" t="n">
        <v>100</v>
      </c>
      <c r="D394" s="92" t="n">
        <f aca="false">SRC_Perf!$O100</f>
        <v>0</v>
      </c>
      <c r="E394" s="92" t="n">
        <f aca="false">SRC_Perf!$K100</f>
        <v>0</v>
      </c>
      <c r="F394" s="92" t="n">
        <f aca="false">SRC_Perf!$S100</f>
        <v>0</v>
      </c>
    </row>
    <row r="395" customFormat="false" ht="15" hidden="false" customHeight="false" outlineLevel="0" collapsed="false">
      <c r="A395" s="92" t="str">
        <f aca="false">SRC_Perf!$A101&amp;""</f>
        <v/>
      </c>
      <c r="B395" s="62" t="s">
        <v>9573</v>
      </c>
      <c r="C395" s="61" t="n">
        <v>101</v>
      </c>
      <c r="D395" s="92" t="n">
        <f aca="false">SRC_Perf!$O101</f>
        <v>0</v>
      </c>
      <c r="E395" s="92" t="n">
        <f aca="false">SRC_Perf!$K101</f>
        <v>0</v>
      </c>
      <c r="F395" s="92" t="n">
        <f aca="false">SRC_Perf!$S101</f>
        <v>0</v>
      </c>
    </row>
    <row r="396" customFormat="false" ht="15" hidden="false" customHeight="false" outlineLevel="0" collapsed="false">
      <c r="A396" s="92" t="str">
        <f aca="false">SRC_Perf!$A102&amp;""</f>
        <v/>
      </c>
      <c r="B396" s="62" t="s">
        <v>9573</v>
      </c>
      <c r="C396" s="61" t="n">
        <v>102</v>
      </c>
      <c r="D396" s="92" t="n">
        <f aca="false">SRC_Perf!$O102</f>
        <v>0</v>
      </c>
      <c r="E396" s="92" t="n">
        <f aca="false">SRC_Perf!$K102</f>
        <v>0</v>
      </c>
      <c r="F396" s="92" t="n">
        <f aca="false">SRC_Perf!$S102</f>
        <v>0</v>
      </c>
    </row>
    <row r="397" customFormat="false" ht="15" hidden="false" customHeight="false" outlineLevel="0" collapsed="false">
      <c r="A397" s="92" t="str">
        <f aca="false">SRC_Perf!$A103&amp;""</f>
        <v/>
      </c>
      <c r="B397" s="62" t="s">
        <v>9573</v>
      </c>
      <c r="C397" s="61" t="n">
        <v>103</v>
      </c>
      <c r="D397" s="92" t="n">
        <f aca="false">SRC_Perf!$O103</f>
        <v>0</v>
      </c>
      <c r="E397" s="92" t="n">
        <f aca="false">SRC_Perf!$K103</f>
        <v>0</v>
      </c>
      <c r="F397" s="92" t="n">
        <f aca="false">SRC_Perf!$S103</f>
        <v>0</v>
      </c>
    </row>
    <row r="398" customFormat="false" ht="15" hidden="false" customHeight="false" outlineLevel="0" collapsed="false">
      <c r="A398" s="92" t="str">
        <f aca="false">SRC_Perf!$A104&amp;""</f>
        <v/>
      </c>
      <c r="B398" s="62" t="s">
        <v>9573</v>
      </c>
      <c r="C398" s="61" t="n">
        <v>104</v>
      </c>
      <c r="D398" s="92" t="n">
        <f aca="false">SRC_Perf!$O104</f>
        <v>0</v>
      </c>
      <c r="E398" s="92" t="n">
        <f aca="false">SRC_Perf!$K104</f>
        <v>0</v>
      </c>
      <c r="F398" s="92" t="n">
        <f aca="false">SRC_Perf!$S104</f>
        <v>0</v>
      </c>
    </row>
    <row r="399" customFormat="false" ht="15" hidden="false" customHeight="false" outlineLevel="0" collapsed="false">
      <c r="A399" s="92" t="str">
        <f aca="false">SRC_Perf!$A105&amp;""</f>
        <v/>
      </c>
      <c r="B399" s="62" t="s">
        <v>9573</v>
      </c>
      <c r="C399" s="61" t="n">
        <v>105</v>
      </c>
      <c r="D399" s="92" t="n">
        <f aca="false">SRC_Perf!$O105</f>
        <v>0</v>
      </c>
      <c r="E399" s="92" t="n">
        <f aca="false">SRC_Perf!$K105</f>
        <v>0</v>
      </c>
      <c r="F399" s="92" t="n">
        <f aca="false">SRC_Perf!$S105</f>
        <v>0</v>
      </c>
    </row>
    <row r="400" customFormat="false" ht="15" hidden="false" customHeight="false" outlineLevel="0" collapsed="false">
      <c r="A400" s="92" t="str">
        <f aca="false">SRC_Perf!$A106&amp;""</f>
        <v/>
      </c>
      <c r="B400" s="62" t="s">
        <v>9573</v>
      </c>
      <c r="C400" s="61" t="n">
        <v>106</v>
      </c>
      <c r="D400" s="92" t="n">
        <f aca="false">SRC_Perf!$O106</f>
        <v>0</v>
      </c>
      <c r="E400" s="92" t="n">
        <f aca="false">SRC_Perf!$K106</f>
        <v>0</v>
      </c>
      <c r="F400" s="92" t="n">
        <f aca="false">SRC_Perf!$S106</f>
        <v>0</v>
      </c>
    </row>
    <row r="401" customFormat="false" ht="15" hidden="false" customHeight="false" outlineLevel="0" collapsed="false">
      <c r="A401" s="92" t="str">
        <f aca="false">SRC_Perf!$A107&amp;""</f>
        <v/>
      </c>
      <c r="B401" s="62" t="s">
        <v>9573</v>
      </c>
      <c r="C401" s="61" t="n">
        <v>107</v>
      </c>
      <c r="D401" s="92" t="n">
        <f aca="false">SRC_Perf!$O107</f>
        <v>0</v>
      </c>
      <c r="E401" s="92" t="n">
        <f aca="false">SRC_Perf!$K107</f>
        <v>0</v>
      </c>
      <c r="F401" s="92" t="n">
        <f aca="false">SRC_Perf!$S107</f>
        <v>0</v>
      </c>
    </row>
    <row r="402" customFormat="false" ht="15" hidden="false" customHeight="false" outlineLevel="0" collapsed="false">
      <c r="A402" s="92" t="str">
        <f aca="false">SRC_Perf!$A108&amp;""</f>
        <v/>
      </c>
      <c r="B402" s="62" t="s">
        <v>9573</v>
      </c>
      <c r="C402" s="61" t="n">
        <v>108</v>
      </c>
      <c r="D402" s="92" t="n">
        <f aca="false">SRC_Perf!$O108</f>
        <v>0</v>
      </c>
      <c r="E402" s="92" t="n">
        <f aca="false">SRC_Perf!$K108</f>
        <v>0</v>
      </c>
      <c r="F402" s="92" t="n">
        <f aca="false">SRC_Perf!$S108</f>
        <v>0</v>
      </c>
    </row>
    <row r="403" customFormat="false" ht="15" hidden="false" customHeight="false" outlineLevel="0" collapsed="false">
      <c r="A403" s="92" t="str">
        <f aca="false">SRC_Perf!$A109&amp;""</f>
        <v/>
      </c>
      <c r="B403" s="62" t="s">
        <v>9573</v>
      </c>
      <c r="C403" s="61" t="n">
        <v>109</v>
      </c>
      <c r="D403" s="92" t="n">
        <f aca="false">SRC_Perf!$O109</f>
        <v>0</v>
      </c>
      <c r="E403" s="92" t="n">
        <f aca="false">SRC_Perf!$K109</f>
        <v>0</v>
      </c>
      <c r="F403" s="92" t="n">
        <f aca="false">SRC_Perf!$S109</f>
        <v>0</v>
      </c>
    </row>
    <row r="404" customFormat="false" ht="15" hidden="false" customHeight="false" outlineLevel="0" collapsed="false">
      <c r="A404" s="92" t="str">
        <f aca="false">SRC_Perf!$A110&amp;""</f>
        <v/>
      </c>
      <c r="B404" s="62" t="s">
        <v>9573</v>
      </c>
      <c r="C404" s="61" t="n">
        <v>110</v>
      </c>
      <c r="D404" s="92" t="n">
        <f aca="false">SRC_Perf!$O110</f>
        <v>0</v>
      </c>
      <c r="E404" s="92" t="n">
        <f aca="false">SRC_Perf!$K110</f>
        <v>0</v>
      </c>
      <c r="F404" s="92" t="n">
        <f aca="false">SRC_Perf!$S110</f>
        <v>0</v>
      </c>
    </row>
    <row r="405" customFormat="false" ht="15" hidden="false" customHeight="false" outlineLevel="0" collapsed="false">
      <c r="A405" s="92" t="str">
        <f aca="false">SRC_Perf!$A111&amp;""</f>
        <v/>
      </c>
      <c r="B405" s="62" t="s">
        <v>9573</v>
      </c>
      <c r="C405" s="61" t="n">
        <v>111</v>
      </c>
      <c r="D405" s="92" t="n">
        <f aca="false">SRC_Perf!$O111</f>
        <v>0</v>
      </c>
      <c r="E405" s="92" t="n">
        <f aca="false">SRC_Perf!$K111</f>
        <v>0</v>
      </c>
      <c r="F405" s="92" t="n">
        <f aca="false">SRC_Perf!$S111</f>
        <v>0</v>
      </c>
    </row>
    <row r="406" customFormat="false" ht="15" hidden="false" customHeight="false" outlineLevel="0" collapsed="false">
      <c r="A406" s="92" t="str">
        <f aca="false">SRC_Perf!$A112&amp;""</f>
        <v/>
      </c>
      <c r="B406" s="62" t="s">
        <v>9573</v>
      </c>
      <c r="C406" s="61" t="n">
        <v>112</v>
      </c>
      <c r="D406" s="92" t="n">
        <f aca="false">SRC_Perf!$O112</f>
        <v>0</v>
      </c>
      <c r="E406" s="92" t="n">
        <f aca="false">SRC_Perf!$K112</f>
        <v>0</v>
      </c>
      <c r="F406" s="92" t="n">
        <f aca="false">SRC_Perf!$S112</f>
        <v>0</v>
      </c>
    </row>
    <row r="407" customFormat="false" ht="15" hidden="false" customHeight="false" outlineLevel="0" collapsed="false">
      <c r="A407" s="92" t="str">
        <f aca="false">SRC_Perf!$A113&amp;""</f>
        <v/>
      </c>
      <c r="B407" s="62" t="s">
        <v>9573</v>
      </c>
      <c r="C407" s="61" t="n">
        <v>113</v>
      </c>
      <c r="D407" s="92" t="n">
        <f aca="false">SRC_Perf!$O113</f>
        <v>0</v>
      </c>
      <c r="E407" s="92" t="n">
        <f aca="false">SRC_Perf!$K113</f>
        <v>0</v>
      </c>
      <c r="F407" s="92" t="n">
        <f aca="false">SRC_Perf!$S113</f>
        <v>0</v>
      </c>
    </row>
    <row r="408" customFormat="false" ht="15" hidden="false" customHeight="false" outlineLevel="0" collapsed="false">
      <c r="A408" s="92" t="str">
        <f aca="false">SRC_Perf!$A114&amp;""</f>
        <v/>
      </c>
      <c r="B408" s="62" t="s">
        <v>9573</v>
      </c>
      <c r="C408" s="61" t="n">
        <v>114</v>
      </c>
      <c r="D408" s="92" t="n">
        <f aca="false">SRC_Perf!$O114</f>
        <v>0</v>
      </c>
      <c r="E408" s="92" t="n">
        <f aca="false">SRC_Perf!$K114</f>
        <v>0</v>
      </c>
      <c r="F408" s="92" t="n">
        <f aca="false">SRC_Perf!$S114</f>
        <v>0</v>
      </c>
    </row>
    <row r="409" customFormat="false" ht="15" hidden="false" customHeight="false" outlineLevel="0" collapsed="false">
      <c r="A409" s="92" t="str">
        <f aca="false">SRC_Perf!$A115&amp;""</f>
        <v/>
      </c>
      <c r="B409" s="62" t="s">
        <v>9573</v>
      </c>
      <c r="C409" s="61" t="n">
        <v>115</v>
      </c>
      <c r="D409" s="92" t="n">
        <f aca="false">SRC_Perf!$O115</f>
        <v>0</v>
      </c>
      <c r="E409" s="92" t="n">
        <f aca="false">SRC_Perf!$K115</f>
        <v>0</v>
      </c>
      <c r="F409" s="92" t="n">
        <f aca="false">SRC_Perf!$S115</f>
        <v>0</v>
      </c>
    </row>
    <row r="410" customFormat="false" ht="15" hidden="false" customHeight="false" outlineLevel="0" collapsed="false">
      <c r="A410" s="92" t="str">
        <f aca="false">SRC_Perf!$A116&amp;""</f>
        <v/>
      </c>
      <c r="B410" s="62" t="s">
        <v>9573</v>
      </c>
      <c r="C410" s="61" t="n">
        <v>116</v>
      </c>
      <c r="D410" s="92" t="n">
        <f aca="false">SRC_Perf!$O116</f>
        <v>0</v>
      </c>
      <c r="E410" s="92" t="n">
        <f aca="false">SRC_Perf!$K116</f>
        <v>0</v>
      </c>
      <c r="F410" s="92" t="n">
        <f aca="false">SRC_Perf!$S116</f>
        <v>0</v>
      </c>
    </row>
    <row r="411" customFormat="false" ht="15" hidden="false" customHeight="false" outlineLevel="0" collapsed="false">
      <c r="A411" s="92" t="str">
        <f aca="false">SRC_Perf!$A117&amp;""</f>
        <v/>
      </c>
      <c r="B411" s="62" t="s">
        <v>9573</v>
      </c>
      <c r="C411" s="61" t="n">
        <v>117</v>
      </c>
      <c r="D411" s="92" t="n">
        <f aca="false">SRC_Perf!$O117</f>
        <v>0</v>
      </c>
      <c r="E411" s="92" t="n">
        <f aca="false">SRC_Perf!$K117</f>
        <v>0</v>
      </c>
      <c r="F411" s="92" t="n">
        <f aca="false">SRC_Perf!$S117</f>
        <v>0</v>
      </c>
    </row>
    <row r="412" customFormat="false" ht="15" hidden="false" customHeight="false" outlineLevel="0" collapsed="false">
      <c r="A412" s="92" t="str">
        <f aca="false">SRC_Perf!$A118&amp;""</f>
        <v/>
      </c>
      <c r="B412" s="62" t="s">
        <v>9573</v>
      </c>
      <c r="C412" s="61" t="n">
        <v>118</v>
      </c>
      <c r="D412" s="92" t="n">
        <f aca="false">SRC_Perf!$O118</f>
        <v>0</v>
      </c>
      <c r="E412" s="92" t="n">
        <f aca="false">SRC_Perf!$K118</f>
        <v>0</v>
      </c>
      <c r="F412" s="92" t="n">
        <f aca="false">SRC_Perf!$S118</f>
        <v>0</v>
      </c>
    </row>
    <row r="413" customFormat="false" ht="15" hidden="false" customHeight="false" outlineLevel="0" collapsed="false">
      <c r="A413" s="92" t="str">
        <f aca="false">SRC_Perf!$A119&amp;""</f>
        <v/>
      </c>
      <c r="B413" s="62" t="s">
        <v>9573</v>
      </c>
      <c r="C413" s="61" t="n">
        <v>119</v>
      </c>
      <c r="D413" s="92" t="n">
        <f aca="false">SRC_Perf!$O119</f>
        <v>0</v>
      </c>
      <c r="E413" s="92" t="n">
        <f aca="false">SRC_Perf!$K119</f>
        <v>0</v>
      </c>
      <c r="F413" s="92" t="n">
        <f aca="false">SRC_Perf!$S119</f>
        <v>0</v>
      </c>
    </row>
    <row r="414" customFormat="false" ht="15" hidden="false" customHeight="false" outlineLevel="0" collapsed="false">
      <c r="A414" s="92" t="str">
        <f aca="false">SRC_Perf!$A120&amp;""</f>
        <v/>
      </c>
      <c r="B414" s="62" t="s">
        <v>9573</v>
      </c>
      <c r="C414" s="61" t="n">
        <v>120</v>
      </c>
      <c r="D414" s="92" t="n">
        <f aca="false">SRC_Perf!$O120</f>
        <v>0</v>
      </c>
      <c r="E414" s="92" t="n">
        <f aca="false">SRC_Perf!$K120</f>
        <v>0</v>
      </c>
      <c r="F414" s="92" t="n">
        <f aca="false">SRC_Perf!$S120</f>
        <v>0</v>
      </c>
    </row>
    <row r="415" customFormat="false" ht="15" hidden="false" customHeight="false" outlineLevel="0" collapsed="false">
      <c r="A415" s="92" t="str">
        <f aca="false">SRC_Perf!$A121&amp;""</f>
        <v/>
      </c>
      <c r="B415" s="62" t="s">
        <v>9573</v>
      </c>
      <c r="C415" s="61" t="n">
        <v>121</v>
      </c>
      <c r="D415" s="92" t="n">
        <f aca="false">SRC_Perf!$O121</f>
        <v>0</v>
      </c>
      <c r="E415" s="92" t="n">
        <f aca="false">SRC_Perf!$K121</f>
        <v>0</v>
      </c>
      <c r="F415" s="92" t="n">
        <f aca="false">SRC_Perf!$S121</f>
        <v>0</v>
      </c>
    </row>
    <row r="416" customFormat="false" ht="15" hidden="false" customHeight="false" outlineLevel="0" collapsed="false">
      <c r="A416" s="92" t="str">
        <f aca="false">SRC_Perf!$A122&amp;""</f>
        <v/>
      </c>
      <c r="B416" s="62" t="s">
        <v>9573</v>
      </c>
      <c r="C416" s="61" t="n">
        <v>122</v>
      </c>
      <c r="D416" s="92" t="n">
        <f aca="false">SRC_Perf!$O122</f>
        <v>0</v>
      </c>
      <c r="E416" s="92" t="n">
        <f aca="false">SRC_Perf!$K122</f>
        <v>0</v>
      </c>
      <c r="F416" s="92" t="n">
        <f aca="false">SRC_Perf!$S122</f>
        <v>0</v>
      </c>
    </row>
    <row r="417" customFormat="false" ht="15" hidden="false" customHeight="false" outlineLevel="0" collapsed="false">
      <c r="A417" s="92" t="str">
        <f aca="false">SRC_Perf!$A123&amp;""</f>
        <v/>
      </c>
      <c r="B417" s="62" t="s">
        <v>9573</v>
      </c>
      <c r="C417" s="61" t="n">
        <v>123</v>
      </c>
      <c r="D417" s="92" t="n">
        <f aca="false">SRC_Perf!$O123</f>
        <v>0</v>
      </c>
      <c r="E417" s="92" t="n">
        <f aca="false">SRC_Perf!$K123</f>
        <v>0</v>
      </c>
      <c r="F417" s="92" t="n">
        <f aca="false">SRC_Perf!$S123</f>
        <v>0</v>
      </c>
    </row>
    <row r="418" customFormat="false" ht="15" hidden="false" customHeight="false" outlineLevel="0" collapsed="false">
      <c r="A418" s="92" t="str">
        <f aca="false">SRC_Perf!$A124&amp;""</f>
        <v/>
      </c>
      <c r="B418" s="62" t="s">
        <v>9573</v>
      </c>
      <c r="C418" s="61" t="n">
        <v>124</v>
      </c>
      <c r="D418" s="92" t="n">
        <f aca="false">SRC_Perf!$O124</f>
        <v>0</v>
      </c>
      <c r="E418" s="92" t="n">
        <f aca="false">SRC_Perf!$K124</f>
        <v>0</v>
      </c>
      <c r="F418" s="92" t="n">
        <f aca="false">SRC_Perf!$S124</f>
        <v>0</v>
      </c>
    </row>
    <row r="419" customFormat="false" ht="15" hidden="false" customHeight="false" outlineLevel="0" collapsed="false">
      <c r="A419" s="92" t="str">
        <f aca="false">SRC_Perf!$A125&amp;""</f>
        <v/>
      </c>
      <c r="B419" s="62" t="s">
        <v>9573</v>
      </c>
      <c r="C419" s="61" t="n">
        <v>125</v>
      </c>
      <c r="D419" s="92" t="n">
        <f aca="false">SRC_Perf!$O125</f>
        <v>0</v>
      </c>
      <c r="E419" s="92" t="n">
        <f aca="false">SRC_Perf!$K125</f>
        <v>0</v>
      </c>
      <c r="F419" s="92" t="n">
        <f aca="false">SRC_Perf!$S125</f>
        <v>0</v>
      </c>
    </row>
    <row r="420" customFormat="false" ht="15" hidden="false" customHeight="false" outlineLevel="0" collapsed="false">
      <c r="A420" s="92" t="str">
        <f aca="false">SRC_Perf!$A126&amp;""</f>
        <v/>
      </c>
      <c r="B420" s="62" t="s">
        <v>9573</v>
      </c>
      <c r="C420" s="61" t="n">
        <v>126</v>
      </c>
      <c r="D420" s="92" t="n">
        <f aca="false">SRC_Perf!$O126</f>
        <v>0</v>
      </c>
      <c r="E420" s="92" t="n">
        <f aca="false">SRC_Perf!$K126</f>
        <v>0</v>
      </c>
      <c r="F420" s="92" t="n">
        <f aca="false">SRC_Perf!$S126</f>
        <v>0</v>
      </c>
    </row>
    <row r="421" customFormat="false" ht="15" hidden="false" customHeight="false" outlineLevel="0" collapsed="false">
      <c r="A421" s="92" t="str">
        <f aca="false">SRC_Perf!$A127&amp;""</f>
        <v/>
      </c>
      <c r="B421" s="62" t="s">
        <v>9573</v>
      </c>
      <c r="C421" s="61" t="n">
        <v>127</v>
      </c>
      <c r="D421" s="92" t="n">
        <f aca="false">SRC_Perf!$O127</f>
        <v>0</v>
      </c>
      <c r="E421" s="92" t="n">
        <f aca="false">SRC_Perf!$K127</f>
        <v>0</v>
      </c>
      <c r="F421" s="92" t="n">
        <f aca="false">SRC_Perf!$S127</f>
        <v>0</v>
      </c>
    </row>
    <row r="422" customFormat="false" ht="15" hidden="false" customHeight="false" outlineLevel="0" collapsed="false">
      <c r="A422" s="92" t="str">
        <f aca="false">SRC_Perf!$A128&amp;""</f>
        <v/>
      </c>
      <c r="B422" s="62" t="s">
        <v>9573</v>
      </c>
      <c r="C422" s="61" t="n">
        <v>128</v>
      </c>
      <c r="D422" s="92" t="n">
        <f aca="false">SRC_Perf!$O128</f>
        <v>0</v>
      </c>
      <c r="E422" s="92" t="n">
        <f aca="false">SRC_Perf!$K128</f>
        <v>0</v>
      </c>
      <c r="F422" s="92" t="n">
        <f aca="false">SRC_Perf!$S128</f>
        <v>0</v>
      </c>
    </row>
    <row r="423" customFormat="false" ht="15" hidden="false" customHeight="false" outlineLevel="0" collapsed="false">
      <c r="A423" s="92" t="str">
        <f aca="false">SRC_Perf!$A129&amp;""</f>
        <v/>
      </c>
      <c r="B423" s="62" t="s">
        <v>9573</v>
      </c>
      <c r="C423" s="61" t="n">
        <v>129</v>
      </c>
      <c r="D423" s="92" t="n">
        <f aca="false">SRC_Perf!$O129</f>
        <v>0</v>
      </c>
      <c r="E423" s="92" t="n">
        <f aca="false">SRC_Perf!$K129</f>
        <v>0</v>
      </c>
      <c r="F423" s="92" t="n">
        <f aca="false">SRC_Perf!$S129</f>
        <v>0</v>
      </c>
    </row>
    <row r="424" customFormat="false" ht="15" hidden="false" customHeight="false" outlineLevel="0" collapsed="false">
      <c r="A424" s="92" t="str">
        <f aca="false">SRC_Perf!$A130&amp;""</f>
        <v/>
      </c>
      <c r="B424" s="62" t="s">
        <v>9573</v>
      </c>
      <c r="C424" s="61" t="n">
        <v>130</v>
      </c>
      <c r="D424" s="92" t="n">
        <f aca="false">SRC_Perf!$O130</f>
        <v>0</v>
      </c>
      <c r="E424" s="92" t="n">
        <f aca="false">SRC_Perf!$K130</f>
        <v>0</v>
      </c>
      <c r="F424" s="92" t="n">
        <f aca="false">SRC_Perf!$S130</f>
        <v>0</v>
      </c>
    </row>
    <row r="425" customFormat="false" ht="15" hidden="false" customHeight="false" outlineLevel="0" collapsed="false">
      <c r="A425" s="92" t="str">
        <f aca="false">SRC_Perf!$A131&amp;""</f>
        <v/>
      </c>
      <c r="B425" s="62" t="s">
        <v>9573</v>
      </c>
      <c r="C425" s="61" t="n">
        <v>131</v>
      </c>
      <c r="D425" s="92" t="n">
        <f aca="false">SRC_Perf!$O131</f>
        <v>0</v>
      </c>
      <c r="E425" s="92" t="n">
        <f aca="false">SRC_Perf!$K131</f>
        <v>0</v>
      </c>
      <c r="F425" s="92" t="n">
        <f aca="false">SRC_Perf!$S131</f>
        <v>0</v>
      </c>
    </row>
    <row r="426" customFormat="false" ht="15" hidden="false" customHeight="false" outlineLevel="0" collapsed="false">
      <c r="A426" s="92" t="str">
        <f aca="false">SRC_Perf!$A132&amp;""</f>
        <v/>
      </c>
      <c r="B426" s="62" t="s">
        <v>9573</v>
      </c>
      <c r="C426" s="61" t="n">
        <v>132</v>
      </c>
      <c r="D426" s="92" t="n">
        <f aca="false">SRC_Perf!$O132</f>
        <v>0</v>
      </c>
      <c r="E426" s="92" t="n">
        <f aca="false">SRC_Perf!$K132</f>
        <v>0</v>
      </c>
      <c r="F426" s="92" t="n">
        <f aca="false">SRC_Perf!$S132</f>
        <v>0</v>
      </c>
    </row>
    <row r="427" customFormat="false" ht="15" hidden="false" customHeight="false" outlineLevel="0" collapsed="false">
      <c r="A427" s="92" t="str">
        <f aca="false">SRC_Price!$A5&amp;""</f>
        <v>SRC_PRC_001</v>
      </c>
      <c r="B427" s="62" t="s">
        <v>9574</v>
      </c>
      <c r="C427" s="61" t="n">
        <v>5</v>
      </c>
      <c r="D427" s="92" t="str">
        <f aca="false">SRC_Price!$O5</f>
        <v>Active</v>
      </c>
      <c r="E427" s="92" t="n">
        <f aca="false">SRC_Price!$K5</f>
        <v>3</v>
      </c>
      <c r="F427" s="92" t="str">
        <f aca="false">SRC_Price!$S5</f>
        <v>—</v>
      </c>
    </row>
    <row r="428" customFormat="false" ht="15" hidden="false" customHeight="false" outlineLevel="0" collapsed="false">
      <c r="A428" s="92" t="str">
        <f aca="false">SRC_Price!$A6&amp;""</f>
        <v>SRC_PRC_002</v>
      </c>
      <c r="B428" s="62" t="s">
        <v>9574</v>
      </c>
      <c r="C428" s="61" t="n">
        <v>6</v>
      </c>
      <c r="D428" s="92" t="str">
        <f aca="false">SRC_Price!$O6</f>
        <v>Active</v>
      </c>
      <c r="E428" s="92" t="n">
        <f aca="false">SRC_Price!$K6</f>
        <v>2</v>
      </c>
      <c r="F428" s="92" t="str">
        <f aca="false">SRC_Price!$S6</f>
        <v>—</v>
      </c>
    </row>
    <row r="429" customFormat="false" ht="15" hidden="false" customHeight="false" outlineLevel="0" collapsed="false">
      <c r="A429" s="92" t="str">
        <f aca="false">SRC_Price!$A7&amp;""</f>
        <v>SRC_PRC_003</v>
      </c>
      <c r="B429" s="62" t="s">
        <v>9574</v>
      </c>
      <c r="C429" s="61" t="n">
        <v>7</v>
      </c>
      <c r="D429" s="92" t="str">
        <f aca="false">SRC_Price!$O7</f>
        <v>Active</v>
      </c>
      <c r="E429" s="92" t="n">
        <f aca="false">SRC_Price!$K7</f>
        <v>1</v>
      </c>
      <c r="F429" s="92" t="str">
        <f aca="false">SRC_Price!$S7</f>
        <v>—</v>
      </c>
    </row>
    <row r="430" customFormat="false" ht="15" hidden="false" customHeight="false" outlineLevel="0" collapsed="false">
      <c r="A430" s="92" t="str">
        <f aca="false">SRC_Price!$A8&amp;""</f>
        <v>SRC_PRC_004</v>
      </c>
      <c r="B430" s="62" t="s">
        <v>9574</v>
      </c>
      <c r="C430" s="61" t="n">
        <v>8</v>
      </c>
      <c r="D430" s="92" t="str">
        <f aca="false">SRC_Price!$O8</f>
        <v>Active</v>
      </c>
      <c r="E430" s="92" t="n">
        <f aca="false">SRC_Price!$K8</f>
        <v>1</v>
      </c>
      <c r="F430" s="92" t="str">
        <f aca="false">SRC_Price!$S8</f>
        <v>—</v>
      </c>
    </row>
    <row r="431" customFormat="false" ht="15" hidden="false" customHeight="false" outlineLevel="0" collapsed="false">
      <c r="A431" s="92" t="str">
        <f aca="false">SRC_Price!$A9&amp;""</f>
        <v>SRC_PRC_005</v>
      </c>
      <c r="B431" s="62" t="s">
        <v>9574</v>
      </c>
      <c r="C431" s="61" t="n">
        <v>9</v>
      </c>
      <c r="D431" s="92" t="str">
        <f aca="false">SRC_Price!$O9</f>
        <v>Active</v>
      </c>
      <c r="E431" s="92" t="n">
        <f aca="false">SRC_Price!$K9</f>
        <v>1</v>
      </c>
      <c r="F431" s="92" t="str">
        <f aca="false">SRC_Price!$S9</f>
        <v>—</v>
      </c>
    </row>
    <row r="432" customFormat="false" ht="15" hidden="false" customHeight="false" outlineLevel="0" collapsed="false">
      <c r="A432" s="92" t="str">
        <f aca="false">SRC_Price!$A10&amp;""</f>
        <v>SRC_PRC_006</v>
      </c>
      <c r="B432" s="62" t="s">
        <v>9574</v>
      </c>
      <c r="C432" s="61" t="n">
        <v>10</v>
      </c>
      <c r="D432" s="92" t="str">
        <f aca="false">SRC_Price!$O10</f>
        <v>Active</v>
      </c>
      <c r="E432" s="92" t="n">
        <f aca="false">SRC_Price!$K10</f>
        <v>1</v>
      </c>
      <c r="F432" s="92" t="str">
        <f aca="false">SRC_Price!$S10</f>
        <v>—</v>
      </c>
    </row>
    <row r="433" customFormat="false" ht="15" hidden="false" customHeight="false" outlineLevel="0" collapsed="false">
      <c r="A433" s="92" t="str">
        <f aca="false">SRC_Price!$A11&amp;""</f>
        <v>SRC_PRC_007</v>
      </c>
      <c r="B433" s="62" t="s">
        <v>9574</v>
      </c>
      <c r="C433" s="61" t="n">
        <v>11</v>
      </c>
      <c r="D433" s="92" t="str">
        <f aca="false">SRC_Price!$O11</f>
        <v>Active</v>
      </c>
      <c r="E433" s="92" t="n">
        <f aca="false">SRC_Price!$K11</f>
        <v>1</v>
      </c>
      <c r="F433" s="92" t="str">
        <f aca="false">SRC_Price!$S11</f>
        <v>—</v>
      </c>
    </row>
    <row r="434" customFormat="false" ht="15" hidden="false" customHeight="false" outlineLevel="0" collapsed="false">
      <c r="A434" s="92" t="str">
        <f aca="false">SRC_Price!$A12&amp;""</f>
        <v>SRC_PRC_008</v>
      </c>
      <c r="B434" s="62" t="s">
        <v>9574</v>
      </c>
      <c r="C434" s="61" t="n">
        <v>12</v>
      </c>
      <c r="D434" s="92" t="str">
        <f aca="false">SRC_Price!$O12</f>
        <v>Active</v>
      </c>
      <c r="E434" s="92" t="n">
        <f aca="false">SRC_Price!$K12</f>
        <v>1</v>
      </c>
      <c r="F434" s="92" t="str">
        <f aca="false">SRC_Price!$S12</f>
        <v>—</v>
      </c>
    </row>
    <row r="435" customFormat="false" ht="15" hidden="false" customHeight="false" outlineLevel="0" collapsed="false">
      <c r="A435" s="92" t="str">
        <f aca="false">SRC_Price!$A13&amp;""</f>
        <v>SRC_PRC_009</v>
      </c>
      <c r="B435" s="62" t="s">
        <v>9574</v>
      </c>
      <c r="C435" s="61" t="n">
        <v>13</v>
      </c>
      <c r="D435" s="92" t="str">
        <f aca="false">SRC_Price!$O13</f>
        <v>Active</v>
      </c>
      <c r="E435" s="92" t="n">
        <f aca="false">SRC_Price!$K13</f>
        <v>1</v>
      </c>
      <c r="F435" s="92" t="str">
        <f aca="false">SRC_Price!$S13</f>
        <v>—</v>
      </c>
    </row>
    <row r="436" customFormat="false" ht="15" hidden="false" customHeight="false" outlineLevel="0" collapsed="false">
      <c r="A436" s="92" t="str">
        <f aca="false">SRC_Price!$A14&amp;""</f>
        <v>SRC_PRC_010</v>
      </c>
      <c r="B436" s="62" t="s">
        <v>9574</v>
      </c>
      <c r="C436" s="61" t="n">
        <v>14</v>
      </c>
      <c r="D436" s="92" t="str">
        <f aca="false">SRC_Price!$O14</f>
        <v>Active</v>
      </c>
      <c r="E436" s="92" t="n">
        <f aca="false">SRC_Price!$K14</f>
        <v>1</v>
      </c>
      <c r="F436" s="92" t="str">
        <f aca="false">SRC_Price!$S14</f>
        <v>—</v>
      </c>
    </row>
    <row r="437" customFormat="false" ht="15" hidden="false" customHeight="false" outlineLevel="0" collapsed="false">
      <c r="A437" s="92" t="str">
        <f aca="false">SRC_Price!$A15&amp;""</f>
        <v>SRC_PRC_011</v>
      </c>
      <c r="B437" s="62" t="s">
        <v>9574</v>
      </c>
      <c r="C437" s="61" t="n">
        <v>15</v>
      </c>
      <c r="D437" s="92" t="str">
        <f aca="false">SRC_Price!$O15</f>
        <v>Active</v>
      </c>
      <c r="E437" s="92" t="n">
        <f aca="false">SRC_Price!$K15</f>
        <v>1</v>
      </c>
      <c r="F437" s="92" t="str">
        <f aca="false">SRC_Price!$S15</f>
        <v>—</v>
      </c>
    </row>
    <row r="438" customFormat="false" ht="15" hidden="false" customHeight="false" outlineLevel="0" collapsed="false">
      <c r="A438" s="92" t="str">
        <f aca="false">SRC_Price!$A16&amp;""</f>
        <v>SRC_PRC_012</v>
      </c>
      <c r="B438" s="62" t="s">
        <v>9574</v>
      </c>
      <c r="C438" s="61" t="n">
        <v>16</v>
      </c>
      <c r="D438" s="92" t="str">
        <f aca="false">SRC_Price!$O16</f>
        <v>Active</v>
      </c>
      <c r="E438" s="92" t="n">
        <f aca="false">SRC_Price!$K16</f>
        <v>2</v>
      </c>
      <c r="F438" s="92" t="str">
        <f aca="false">SRC_Price!$S16</f>
        <v>—</v>
      </c>
    </row>
    <row r="439" customFormat="false" ht="15" hidden="false" customHeight="false" outlineLevel="0" collapsed="false">
      <c r="A439" s="92" t="str">
        <f aca="false">SRC_Price!$A17&amp;""</f>
        <v>SRC_PRC_013</v>
      </c>
      <c r="B439" s="62" t="s">
        <v>9574</v>
      </c>
      <c r="C439" s="61" t="n">
        <v>17</v>
      </c>
      <c r="D439" s="92" t="str">
        <f aca="false">SRC_Price!$O17</f>
        <v>Active</v>
      </c>
      <c r="E439" s="92" t="n">
        <f aca="false">SRC_Price!$K17</f>
        <v>2</v>
      </c>
      <c r="F439" s="92" t="str">
        <f aca="false">SRC_Price!$S17</f>
        <v>—</v>
      </c>
    </row>
    <row r="440" customFormat="false" ht="15" hidden="false" customHeight="false" outlineLevel="0" collapsed="false">
      <c r="A440" s="92" t="str">
        <f aca="false">SRC_Price!$A18&amp;""</f>
        <v>SRC_PRC_014</v>
      </c>
      <c r="B440" s="62" t="s">
        <v>9574</v>
      </c>
      <c r="C440" s="61" t="n">
        <v>18</v>
      </c>
      <c r="D440" s="92" t="str">
        <f aca="false">SRC_Price!$O18</f>
        <v>Active</v>
      </c>
      <c r="E440" s="92" t="n">
        <f aca="false">SRC_Price!$K18</f>
        <v>2</v>
      </c>
      <c r="F440" s="92" t="str">
        <f aca="false">SRC_Price!$S18</f>
        <v>—</v>
      </c>
    </row>
    <row r="441" customFormat="false" ht="15" hidden="false" customHeight="false" outlineLevel="0" collapsed="false">
      <c r="A441" s="92" t="str">
        <f aca="false">SRC_Price!$A19&amp;""</f>
        <v>SRC_PRC_015</v>
      </c>
      <c r="B441" s="62" t="s">
        <v>9574</v>
      </c>
      <c r="C441" s="61" t="n">
        <v>19</v>
      </c>
      <c r="D441" s="92" t="str">
        <f aca="false">SRC_Price!$O19</f>
        <v>Active</v>
      </c>
      <c r="E441" s="92" t="n">
        <f aca="false">SRC_Price!$K19</f>
        <v>2</v>
      </c>
      <c r="F441" s="92" t="str">
        <f aca="false">SRC_Price!$S19</f>
        <v>—</v>
      </c>
    </row>
    <row r="442" customFormat="false" ht="15" hidden="false" customHeight="false" outlineLevel="0" collapsed="false">
      <c r="A442" s="92" t="str">
        <f aca="false">SRC_Price!$A20&amp;""</f>
        <v>SRC_PRC_016</v>
      </c>
      <c r="B442" s="62" t="s">
        <v>9574</v>
      </c>
      <c r="C442" s="61" t="n">
        <v>20</v>
      </c>
      <c r="D442" s="92" t="str">
        <f aca="false">SRC_Price!$O20</f>
        <v>Active</v>
      </c>
      <c r="E442" s="92" t="n">
        <f aca="false">SRC_Price!$K20</f>
        <v>2</v>
      </c>
      <c r="F442" s="92" t="str">
        <f aca="false">SRC_Price!$S20</f>
        <v>—</v>
      </c>
    </row>
    <row r="443" customFormat="false" ht="15" hidden="false" customHeight="false" outlineLevel="0" collapsed="false">
      <c r="A443" s="92" t="str">
        <f aca="false">SRC_Price!$A21&amp;""</f>
        <v>SRC_PRC_017</v>
      </c>
      <c r="B443" s="62" t="s">
        <v>9574</v>
      </c>
      <c r="C443" s="61" t="n">
        <v>21</v>
      </c>
      <c r="D443" s="92" t="str">
        <f aca="false">SRC_Price!$O21</f>
        <v>Active</v>
      </c>
      <c r="E443" s="92" t="n">
        <f aca="false">SRC_Price!$K21</f>
        <v>2</v>
      </c>
      <c r="F443" s="92" t="str">
        <f aca="false">SRC_Price!$S21</f>
        <v>—</v>
      </c>
    </row>
    <row r="444" customFormat="false" ht="15" hidden="false" customHeight="false" outlineLevel="0" collapsed="false">
      <c r="A444" s="92" t="str">
        <f aca="false">SRC_Price!$A22&amp;""</f>
        <v>SRC_PRC_018</v>
      </c>
      <c r="B444" s="62" t="s">
        <v>9574</v>
      </c>
      <c r="C444" s="61" t="n">
        <v>22</v>
      </c>
      <c r="D444" s="92" t="str">
        <f aca="false">SRC_Price!$O22</f>
        <v>Active</v>
      </c>
      <c r="E444" s="92" t="n">
        <f aca="false">SRC_Price!$K22</f>
        <v>2</v>
      </c>
      <c r="F444" s="92" t="str">
        <f aca="false">SRC_Price!$S22</f>
        <v>—</v>
      </c>
    </row>
    <row r="445" customFormat="false" ht="15" hidden="false" customHeight="false" outlineLevel="0" collapsed="false">
      <c r="A445" s="92" t="str">
        <f aca="false">SRC_Price!$A23&amp;""</f>
        <v>SRC_PRC_019</v>
      </c>
      <c r="B445" s="62" t="s">
        <v>9574</v>
      </c>
      <c r="C445" s="61" t="n">
        <v>23</v>
      </c>
      <c r="D445" s="92" t="str">
        <f aca="false">SRC_Price!$O23</f>
        <v>Active</v>
      </c>
      <c r="E445" s="92" t="n">
        <f aca="false">SRC_Price!$K23</f>
        <v>2</v>
      </c>
      <c r="F445" s="92" t="str">
        <f aca="false">SRC_Price!$S23</f>
        <v>—</v>
      </c>
    </row>
    <row r="446" customFormat="false" ht="15" hidden="false" customHeight="false" outlineLevel="0" collapsed="false">
      <c r="A446" s="92" t="str">
        <f aca="false">SRC_Price!$A24&amp;""</f>
        <v>SRC_PRC_020</v>
      </c>
      <c r="B446" s="62" t="s">
        <v>9574</v>
      </c>
      <c r="C446" s="61" t="n">
        <v>24</v>
      </c>
      <c r="D446" s="92" t="str">
        <f aca="false">SRC_Price!$O24</f>
        <v>Active</v>
      </c>
      <c r="E446" s="92" t="n">
        <f aca="false">SRC_Price!$K24</f>
        <v>2</v>
      </c>
      <c r="F446" s="92" t="str">
        <f aca="false">SRC_Price!$S24</f>
        <v>—</v>
      </c>
    </row>
    <row r="447" customFormat="false" ht="15" hidden="false" customHeight="false" outlineLevel="0" collapsed="false">
      <c r="A447" s="92" t="str">
        <f aca="false">SRC_Price!$A25&amp;""</f>
        <v>SRC_PRC_021</v>
      </c>
      <c r="B447" s="62" t="s">
        <v>9574</v>
      </c>
      <c r="C447" s="61" t="n">
        <v>25</v>
      </c>
      <c r="D447" s="92" t="str">
        <f aca="false">SRC_Price!$O25</f>
        <v>Active</v>
      </c>
      <c r="E447" s="92" t="n">
        <f aca="false">SRC_Price!$K25</f>
        <v>1</v>
      </c>
      <c r="F447" s="92" t="str">
        <f aca="false">SRC_Price!$S25</f>
        <v>—</v>
      </c>
    </row>
    <row r="448" customFormat="false" ht="15" hidden="false" customHeight="false" outlineLevel="0" collapsed="false">
      <c r="A448" s="92" t="str">
        <f aca="false">SRC_Price!$A26&amp;""</f>
        <v>SRC_PRC_022</v>
      </c>
      <c r="B448" s="62" t="s">
        <v>9574</v>
      </c>
      <c r="C448" s="61" t="n">
        <v>26</v>
      </c>
      <c r="D448" s="92" t="str">
        <f aca="false">SRC_Price!$O26</f>
        <v>Active</v>
      </c>
      <c r="E448" s="92" t="n">
        <f aca="false">SRC_Price!$K26</f>
        <v>1</v>
      </c>
      <c r="F448" s="92" t="str">
        <f aca="false">SRC_Price!$S26</f>
        <v>—</v>
      </c>
    </row>
    <row r="449" customFormat="false" ht="15" hidden="false" customHeight="false" outlineLevel="0" collapsed="false">
      <c r="A449" s="92" t="str">
        <f aca="false">SRC_Price!$A27&amp;""</f>
        <v>SRC_PRC_023</v>
      </c>
      <c r="B449" s="62" t="s">
        <v>9574</v>
      </c>
      <c r="C449" s="61" t="n">
        <v>27</v>
      </c>
      <c r="D449" s="92" t="str">
        <f aca="false">SRC_Price!$O27</f>
        <v>Active</v>
      </c>
      <c r="E449" s="92" t="n">
        <f aca="false">SRC_Price!$K27</f>
        <v>1</v>
      </c>
      <c r="F449" s="92" t="str">
        <f aca="false">SRC_Price!$S27</f>
        <v>—</v>
      </c>
    </row>
    <row r="450" customFormat="false" ht="15" hidden="false" customHeight="false" outlineLevel="0" collapsed="false">
      <c r="A450" s="92" t="str">
        <f aca="false">SRC_Price!$A28&amp;""</f>
        <v>SRC_PRC_024</v>
      </c>
      <c r="B450" s="62" t="s">
        <v>9574</v>
      </c>
      <c r="C450" s="61" t="n">
        <v>28</v>
      </c>
      <c r="D450" s="92" t="str">
        <f aca="false">SRC_Price!$O28</f>
        <v>Active</v>
      </c>
      <c r="E450" s="92" t="n">
        <f aca="false">SRC_Price!$K28</f>
        <v>1</v>
      </c>
      <c r="F450" s="92" t="str">
        <f aca="false">SRC_Price!$S28</f>
        <v>—</v>
      </c>
    </row>
    <row r="451" customFormat="false" ht="15" hidden="false" customHeight="false" outlineLevel="0" collapsed="false">
      <c r="A451" s="92" t="str">
        <f aca="false">SRC_Price!$A29&amp;""</f>
        <v>SRC_PRC_025</v>
      </c>
      <c r="B451" s="62" t="s">
        <v>9574</v>
      </c>
      <c r="C451" s="61" t="n">
        <v>29</v>
      </c>
      <c r="D451" s="92" t="str">
        <f aca="false">SRC_Price!$O29</f>
        <v>Active</v>
      </c>
      <c r="E451" s="92" t="n">
        <f aca="false">SRC_Price!$K29</f>
        <v>1</v>
      </c>
      <c r="F451" s="92" t="str">
        <f aca="false">SRC_Price!$S29</f>
        <v>—</v>
      </c>
    </row>
    <row r="452" customFormat="false" ht="15" hidden="false" customHeight="false" outlineLevel="0" collapsed="false">
      <c r="A452" s="92" t="str">
        <f aca="false">SRC_Price!$A30&amp;""</f>
        <v>SRC_PRC_026</v>
      </c>
      <c r="B452" s="62" t="s">
        <v>9574</v>
      </c>
      <c r="C452" s="61" t="n">
        <v>30</v>
      </c>
      <c r="D452" s="92" t="str">
        <f aca="false">SRC_Price!$O30</f>
        <v>Active</v>
      </c>
      <c r="E452" s="92" t="n">
        <f aca="false">SRC_Price!$K30</f>
        <v>1</v>
      </c>
      <c r="F452" s="92" t="str">
        <f aca="false">SRC_Price!$S30</f>
        <v>—</v>
      </c>
    </row>
    <row r="453" customFormat="false" ht="15" hidden="false" customHeight="false" outlineLevel="0" collapsed="false">
      <c r="A453" s="92" t="str">
        <f aca="false">SRC_Price!$A31&amp;""</f>
        <v>SRC_PRC_027</v>
      </c>
      <c r="B453" s="62" t="s">
        <v>9574</v>
      </c>
      <c r="C453" s="61" t="n">
        <v>31</v>
      </c>
      <c r="D453" s="92" t="str">
        <f aca="false">SRC_Price!$O31</f>
        <v>Active</v>
      </c>
      <c r="E453" s="92" t="n">
        <f aca="false">SRC_Price!$K31</f>
        <v>1</v>
      </c>
      <c r="F453" s="92" t="str">
        <f aca="false">SRC_Price!$S31</f>
        <v>—</v>
      </c>
    </row>
    <row r="454" customFormat="false" ht="15" hidden="false" customHeight="false" outlineLevel="0" collapsed="false">
      <c r="A454" s="92" t="str">
        <f aca="false">SRC_Price!$A32&amp;""</f>
        <v>SRC_PRC_028</v>
      </c>
      <c r="B454" s="62" t="s">
        <v>9574</v>
      </c>
      <c r="C454" s="61" t="n">
        <v>32</v>
      </c>
      <c r="D454" s="92" t="str">
        <f aca="false">SRC_Price!$O32</f>
        <v>Active</v>
      </c>
      <c r="E454" s="92" t="n">
        <f aca="false">SRC_Price!$K32</f>
        <v>1</v>
      </c>
      <c r="F454" s="92" t="str">
        <f aca="false">SRC_Price!$S32</f>
        <v>—</v>
      </c>
    </row>
    <row r="455" customFormat="false" ht="15" hidden="false" customHeight="false" outlineLevel="0" collapsed="false">
      <c r="A455" s="92" t="str">
        <f aca="false">SRC_Price!$A33&amp;""</f>
        <v>SRC_PRC_029</v>
      </c>
      <c r="B455" s="62" t="s">
        <v>9574</v>
      </c>
      <c r="C455" s="61" t="n">
        <v>33</v>
      </c>
      <c r="D455" s="92" t="str">
        <f aca="false">SRC_Price!$O33</f>
        <v>Active</v>
      </c>
      <c r="E455" s="92" t="n">
        <f aca="false">SRC_Price!$K33</f>
        <v>1</v>
      </c>
      <c r="F455" s="92" t="str">
        <f aca="false">SRC_Price!$S33</f>
        <v>—</v>
      </c>
    </row>
    <row r="456" customFormat="false" ht="15" hidden="false" customHeight="false" outlineLevel="0" collapsed="false">
      <c r="A456" s="92" t="str">
        <f aca="false">SRC_Price!$A34&amp;""</f>
        <v>SRC_PRC_030</v>
      </c>
      <c r="B456" s="62" t="s">
        <v>9574</v>
      </c>
      <c r="C456" s="61" t="n">
        <v>34</v>
      </c>
      <c r="D456" s="92" t="str">
        <f aca="false">SRC_Price!$O34</f>
        <v>Active</v>
      </c>
      <c r="E456" s="92" t="n">
        <f aca="false">SRC_Price!$K34</f>
        <v>1</v>
      </c>
      <c r="F456" s="92" t="str">
        <f aca="false">SRC_Price!$S34</f>
        <v>—</v>
      </c>
    </row>
    <row r="457" customFormat="false" ht="15" hidden="false" customHeight="false" outlineLevel="0" collapsed="false">
      <c r="A457" s="92" t="str">
        <f aca="false">SRC_Price!$A35&amp;""</f>
        <v>SRC_PRC_031</v>
      </c>
      <c r="B457" s="62" t="s">
        <v>9574</v>
      </c>
      <c r="C457" s="61" t="n">
        <v>35</v>
      </c>
      <c r="D457" s="92" t="str">
        <f aca="false">SRC_Price!$O35</f>
        <v>Active</v>
      </c>
      <c r="E457" s="92" t="n">
        <f aca="false">SRC_Price!$K35</f>
        <v>1</v>
      </c>
      <c r="F457" s="92" t="str">
        <f aca="false">SRC_Price!$S35</f>
        <v>—</v>
      </c>
    </row>
    <row r="458" customFormat="false" ht="15" hidden="false" customHeight="false" outlineLevel="0" collapsed="false">
      <c r="A458" s="92" t="str">
        <f aca="false">SRC_Price!$A36&amp;""</f>
        <v>SRC_PRC_032</v>
      </c>
      <c r="B458" s="62" t="s">
        <v>9574</v>
      </c>
      <c r="C458" s="61" t="n">
        <v>36</v>
      </c>
      <c r="D458" s="92" t="str">
        <f aca="false">SRC_Price!$O36</f>
        <v>Active</v>
      </c>
      <c r="E458" s="92" t="n">
        <f aca="false">SRC_Price!$K36</f>
        <v>1</v>
      </c>
      <c r="F458" s="92" t="str">
        <f aca="false">SRC_Price!$S36</f>
        <v>—</v>
      </c>
    </row>
    <row r="459" customFormat="false" ht="15" hidden="false" customHeight="false" outlineLevel="0" collapsed="false">
      <c r="A459" s="92" t="str">
        <f aca="false">SRC_Price!$A37&amp;""</f>
        <v>SRC_PRC_033</v>
      </c>
      <c r="B459" s="62" t="s">
        <v>9574</v>
      </c>
      <c r="C459" s="61" t="n">
        <v>37</v>
      </c>
      <c r="D459" s="92" t="str">
        <f aca="false">SRC_Price!$O37</f>
        <v>Active</v>
      </c>
      <c r="E459" s="92" t="n">
        <f aca="false">SRC_Price!$K37</f>
        <v>1</v>
      </c>
      <c r="F459" s="92" t="str">
        <f aca="false">SRC_Price!$S37</f>
        <v>—</v>
      </c>
    </row>
    <row r="460" customFormat="false" ht="15" hidden="false" customHeight="false" outlineLevel="0" collapsed="false">
      <c r="A460" s="92" t="str">
        <f aca="false">SRC_Price!$A38&amp;""</f>
        <v>SRC_PRC_034</v>
      </c>
      <c r="B460" s="62" t="s">
        <v>9574</v>
      </c>
      <c r="C460" s="61" t="n">
        <v>38</v>
      </c>
      <c r="D460" s="92" t="str">
        <f aca="false">SRC_Price!$O38</f>
        <v>Active</v>
      </c>
      <c r="E460" s="92" t="n">
        <f aca="false">SRC_Price!$K38</f>
        <v>1</v>
      </c>
      <c r="F460" s="92" t="str">
        <f aca="false">SRC_Price!$S38</f>
        <v>—</v>
      </c>
    </row>
    <row r="461" customFormat="false" ht="15" hidden="false" customHeight="false" outlineLevel="0" collapsed="false">
      <c r="A461" s="92" t="str">
        <f aca="false">SRC_Price!$A39&amp;""</f>
        <v>SRC_PRC_035</v>
      </c>
      <c r="B461" s="62" t="s">
        <v>9574</v>
      </c>
      <c r="C461" s="61" t="n">
        <v>39</v>
      </c>
      <c r="D461" s="92" t="str">
        <f aca="false">SRC_Price!$O39</f>
        <v>Active</v>
      </c>
      <c r="E461" s="92" t="n">
        <f aca="false">SRC_Price!$K39</f>
        <v>2</v>
      </c>
      <c r="F461" s="92" t="str">
        <f aca="false">SRC_Price!$S39</f>
        <v>—</v>
      </c>
    </row>
    <row r="462" customFormat="false" ht="15" hidden="false" customHeight="false" outlineLevel="0" collapsed="false">
      <c r="A462" s="92" t="str">
        <f aca="false">SRC_Price!$A40&amp;""</f>
        <v>SRC_PRC_036</v>
      </c>
      <c r="B462" s="62" t="s">
        <v>9574</v>
      </c>
      <c r="C462" s="61" t="n">
        <v>40</v>
      </c>
      <c r="D462" s="92" t="str">
        <f aca="false">SRC_Price!$O40</f>
        <v>Active</v>
      </c>
      <c r="E462" s="92" t="n">
        <f aca="false">SRC_Price!$K40</f>
        <v>2</v>
      </c>
      <c r="F462" s="92" t="str">
        <f aca="false">SRC_Price!$S40</f>
        <v>—</v>
      </c>
    </row>
    <row r="463" customFormat="false" ht="15" hidden="false" customHeight="false" outlineLevel="0" collapsed="false">
      <c r="A463" s="92" t="str">
        <f aca="false">SRC_Price!$A41&amp;""</f>
        <v>SRC_PRC_037</v>
      </c>
      <c r="B463" s="62" t="s">
        <v>9574</v>
      </c>
      <c r="C463" s="61" t="n">
        <v>41</v>
      </c>
      <c r="D463" s="92" t="str">
        <f aca="false">SRC_Price!$O41</f>
        <v>Active</v>
      </c>
      <c r="E463" s="92" t="n">
        <f aca="false">SRC_Price!$K41</f>
        <v>2</v>
      </c>
      <c r="F463" s="92" t="str">
        <f aca="false">SRC_Price!$S41</f>
        <v>—</v>
      </c>
    </row>
    <row r="464" customFormat="false" ht="15" hidden="false" customHeight="false" outlineLevel="0" collapsed="false">
      <c r="A464" s="92" t="str">
        <f aca="false">SRC_Price!$A42&amp;""</f>
        <v>SRC_PRC_038</v>
      </c>
      <c r="B464" s="62" t="s">
        <v>9574</v>
      </c>
      <c r="C464" s="61" t="n">
        <v>42</v>
      </c>
      <c r="D464" s="92" t="str">
        <f aca="false">SRC_Price!$O42</f>
        <v>Active</v>
      </c>
      <c r="E464" s="92" t="n">
        <f aca="false">SRC_Price!$K42</f>
        <v>2</v>
      </c>
      <c r="F464" s="92" t="str">
        <f aca="false">SRC_Price!$S42</f>
        <v>—</v>
      </c>
    </row>
    <row r="465" customFormat="false" ht="15" hidden="false" customHeight="false" outlineLevel="0" collapsed="false">
      <c r="A465" s="92" t="str">
        <f aca="false">SRC_Price!$A43&amp;""</f>
        <v>SRC_PRC_039</v>
      </c>
      <c r="B465" s="62" t="s">
        <v>9574</v>
      </c>
      <c r="C465" s="61" t="n">
        <v>43</v>
      </c>
      <c r="D465" s="92" t="str">
        <f aca="false">SRC_Price!$O43</f>
        <v>Active</v>
      </c>
      <c r="E465" s="92" t="n">
        <f aca="false">SRC_Price!$K43</f>
        <v>2</v>
      </c>
      <c r="F465" s="92" t="str">
        <f aca="false">SRC_Price!$S43</f>
        <v>—</v>
      </c>
    </row>
    <row r="466" customFormat="false" ht="15" hidden="false" customHeight="false" outlineLevel="0" collapsed="false">
      <c r="A466" s="92" t="str">
        <f aca="false">SRC_Price!$A44&amp;""</f>
        <v>SRC_PRC_040</v>
      </c>
      <c r="B466" s="62" t="s">
        <v>9574</v>
      </c>
      <c r="C466" s="61" t="n">
        <v>44</v>
      </c>
      <c r="D466" s="92" t="str">
        <f aca="false">SRC_Price!$O44</f>
        <v>Active</v>
      </c>
      <c r="E466" s="92" t="n">
        <f aca="false">SRC_Price!$K44</f>
        <v>2</v>
      </c>
      <c r="F466" s="92" t="str">
        <f aca="false">SRC_Price!$S44</f>
        <v>—</v>
      </c>
    </row>
    <row r="467" customFormat="false" ht="15" hidden="false" customHeight="false" outlineLevel="0" collapsed="false">
      <c r="A467" s="92" t="str">
        <f aca="false">SRC_Price!$A45&amp;""</f>
        <v>SRC_PRC_041</v>
      </c>
      <c r="B467" s="62" t="s">
        <v>9574</v>
      </c>
      <c r="C467" s="61" t="n">
        <v>45</v>
      </c>
      <c r="D467" s="92" t="str">
        <f aca="false">SRC_Price!$O45</f>
        <v>Alt</v>
      </c>
      <c r="E467" s="92" t="n">
        <f aca="false">SRC_Price!$K45</f>
        <v>2</v>
      </c>
      <c r="F467" s="92" t="str">
        <f aca="false">SRC_Price!$S45</f>
        <v>—</v>
      </c>
    </row>
    <row r="468" customFormat="false" ht="15" hidden="false" customHeight="false" outlineLevel="0" collapsed="false">
      <c r="A468" s="92" t="str">
        <f aca="false">SRC_Price!$A46&amp;""</f>
        <v>SRC_PRC_042</v>
      </c>
      <c r="B468" s="62" t="s">
        <v>9574</v>
      </c>
      <c r="C468" s="61" t="n">
        <v>46</v>
      </c>
      <c r="D468" s="92" t="str">
        <f aca="false">SRC_Price!$O46</f>
        <v>Alt</v>
      </c>
      <c r="E468" s="92" t="n">
        <f aca="false">SRC_Price!$K46</f>
        <v>2</v>
      </c>
      <c r="F468" s="92" t="str">
        <f aca="false">SRC_Price!$S46</f>
        <v>—</v>
      </c>
    </row>
    <row r="469" customFormat="false" ht="15" hidden="false" customHeight="false" outlineLevel="0" collapsed="false">
      <c r="A469" s="92" t="str">
        <f aca="false">SRC_Price!$A47&amp;""</f>
        <v>SRC_PRC_043</v>
      </c>
      <c r="B469" s="62" t="s">
        <v>9574</v>
      </c>
      <c r="C469" s="61" t="n">
        <v>47</v>
      </c>
      <c r="D469" s="92" t="str">
        <f aca="false">SRC_Price!$O47</f>
        <v>Active</v>
      </c>
      <c r="E469" s="92" t="n">
        <f aca="false">SRC_Price!$K47</f>
        <v>2</v>
      </c>
      <c r="F469" s="92" t="str">
        <f aca="false">SRC_Price!$S47</f>
        <v>—</v>
      </c>
    </row>
    <row r="470" customFormat="false" ht="15" hidden="false" customHeight="false" outlineLevel="0" collapsed="false">
      <c r="A470" s="92" t="str">
        <f aca="false">SRC_Price!$A48&amp;""</f>
        <v>SRC_PRC_044</v>
      </c>
      <c r="B470" s="62" t="s">
        <v>9574</v>
      </c>
      <c r="C470" s="61" t="n">
        <v>48</v>
      </c>
      <c r="D470" s="92" t="str">
        <f aca="false">SRC_Price!$O48</f>
        <v>Active</v>
      </c>
      <c r="E470" s="92" t="n">
        <f aca="false">SRC_Price!$K48</f>
        <v>2</v>
      </c>
      <c r="F470" s="92" t="str">
        <f aca="false">SRC_Price!$S48</f>
        <v>—</v>
      </c>
    </row>
    <row r="471" customFormat="false" ht="15" hidden="false" customHeight="false" outlineLevel="0" collapsed="false">
      <c r="A471" s="92" t="str">
        <f aca="false">SRC_Price!$A49&amp;""</f>
        <v/>
      </c>
      <c r="B471" s="62" t="s">
        <v>9574</v>
      </c>
      <c r="C471" s="61" t="n">
        <v>49</v>
      </c>
      <c r="D471" s="92" t="n">
        <f aca="false">SRC_Price!$O49</f>
        <v>0</v>
      </c>
      <c r="E471" s="92" t="n">
        <f aca="false">SRC_Price!$K49</f>
        <v>0</v>
      </c>
      <c r="F471" s="92" t="n">
        <f aca="false">SRC_Price!$S49</f>
        <v>0</v>
      </c>
    </row>
    <row r="472" customFormat="false" ht="15" hidden="false" customHeight="false" outlineLevel="0" collapsed="false">
      <c r="A472" s="92" t="str">
        <f aca="false">SRC_Price!$A50&amp;""</f>
        <v/>
      </c>
      <c r="B472" s="62" t="s">
        <v>9574</v>
      </c>
      <c r="C472" s="61" t="n">
        <v>50</v>
      </c>
      <c r="D472" s="92" t="n">
        <f aca="false">SRC_Price!$O50</f>
        <v>0</v>
      </c>
      <c r="E472" s="92" t="n">
        <f aca="false">SRC_Price!$K50</f>
        <v>0</v>
      </c>
      <c r="F472" s="92" t="n">
        <f aca="false">SRC_Price!$S50</f>
        <v>0</v>
      </c>
    </row>
    <row r="473" customFormat="false" ht="15" hidden="false" customHeight="false" outlineLevel="0" collapsed="false">
      <c r="A473" s="92" t="str">
        <f aca="false">SRC_Price!$A51&amp;""</f>
        <v/>
      </c>
      <c r="B473" s="62" t="s">
        <v>9574</v>
      </c>
      <c r="C473" s="61" t="n">
        <v>51</v>
      </c>
      <c r="D473" s="92" t="n">
        <f aca="false">SRC_Price!$O51</f>
        <v>0</v>
      </c>
      <c r="E473" s="92" t="n">
        <f aca="false">SRC_Price!$K51</f>
        <v>0</v>
      </c>
      <c r="F473" s="92" t="n">
        <f aca="false">SRC_Price!$S51</f>
        <v>0</v>
      </c>
    </row>
    <row r="474" customFormat="false" ht="15" hidden="false" customHeight="false" outlineLevel="0" collapsed="false">
      <c r="A474" s="92" t="str">
        <f aca="false">SRC_Price!$A52&amp;""</f>
        <v/>
      </c>
      <c r="B474" s="62" t="s">
        <v>9574</v>
      </c>
      <c r="C474" s="61" t="n">
        <v>52</v>
      </c>
      <c r="D474" s="92" t="n">
        <f aca="false">SRC_Price!$O52</f>
        <v>0</v>
      </c>
      <c r="E474" s="92" t="n">
        <f aca="false">SRC_Price!$K52</f>
        <v>0</v>
      </c>
      <c r="F474" s="92" t="n">
        <f aca="false">SRC_Price!$S52</f>
        <v>0</v>
      </c>
    </row>
    <row r="475" customFormat="false" ht="15" hidden="false" customHeight="false" outlineLevel="0" collapsed="false">
      <c r="A475" s="92" t="str">
        <f aca="false">SRC_Price!$A53&amp;""</f>
        <v/>
      </c>
      <c r="B475" s="62" t="s">
        <v>9574</v>
      </c>
      <c r="C475" s="61" t="n">
        <v>53</v>
      </c>
      <c r="D475" s="92" t="n">
        <f aca="false">SRC_Price!$O53</f>
        <v>0</v>
      </c>
      <c r="E475" s="92" t="n">
        <f aca="false">SRC_Price!$K53</f>
        <v>0</v>
      </c>
      <c r="F475" s="92" t="n">
        <f aca="false">SRC_Price!$S53</f>
        <v>0</v>
      </c>
    </row>
    <row r="476" customFormat="false" ht="15" hidden="false" customHeight="false" outlineLevel="0" collapsed="false">
      <c r="A476" s="92" t="str">
        <f aca="false">SRC_Price!$A54&amp;""</f>
        <v/>
      </c>
      <c r="B476" s="62" t="s">
        <v>9574</v>
      </c>
      <c r="C476" s="61" t="n">
        <v>54</v>
      </c>
      <c r="D476" s="92" t="n">
        <f aca="false">SRC_Price!$O54</f>
        <v>0</v>
      </c>
      <c r="E476" s="92" t="n">
        <f aca="false">SRC_Price!$K54</f>
        <v>0</v>
      </c>
      <c r="F476" s="92" t="n">
        <f aca="false">SRC_Price!$S54</f>
        <v>0</v>
      </c>
    </row>
    <row r="477" customFormat="false" ht="15" hidden="false" customHeight="false" outlineLevel="0" collapsed="false">
      <c r="A477" s="92" t="str">
        <f aca="false">SRC_Price!$A55&amp;""</f>
        <v/>
      </c>
      <c r="B477" s="62" t="s">
        <v>9574</v>
      </c>
      <c r="C477" s="61" t="n">
        <v>55</v>
      </c>
      <c r="D477" s="92" t="n">
        <f aca="false">SRC_Price!$O55</f>
        <v>0</v>
      </c>
      <c r="E477" s="92" t="n">
        <f aca="false">SRC_Price!$K55</f>
        <v>0</v>
      </c>
      <c r="F477" s="92" t="n">
        <f aca="false">SRC_Price!$S55</f>
        <v>0</v>
      </c>
    </row>
    <row r="478" customFormat="false" ht="15" hidden="false" customHeight="false" outlineLevel="0" collapsed="false">
      <c r="A478" s="92" t="str">
        <f aca="false">SRC_Price!$A56&amp;""</f>
        <v/>
      </c>
      <c r="B478" s="62" t="s">
        <v>9574</v>
      </c>
      <c r="C478" s="61" t="n">
        <v>56</v>
      </c>
      <c r="D478" s="92" t="n">
        <f aca="false">SRC_Price!$O56</f>
        <v>0</v>
      </c>
      <c r="E478" s="92" t="n">
        <f aca="false">SRC_Price!$K56</f>
        <v>0</v>
      </c>
      <c r="F478" s="92" t="n">
        <f aca="false">SRC_Price!$S56</f>
        <v>0</v>
      </c>
    </row>
    <row r="479" customFormat="false" ht="15" hidden="false" customHeight="false" outlineLevel="0" collapsed="false">
      <c r="A479" s="92" t="str">
        <f aca="false">SRC_Price!$A57&amp;""</f>
        <v/>
      </c>
      <c r="B479" s="62" t="s">
        <v>9574</v>
      </c>
      <c r="C479" s="61" t="n">
        <v>57</v>
      </c>
      <c r="D479" s="92" t="n">
        <f aca="false">SRC_Price!$O57</f>
        <v>0</v>
      </c>
      <c r="E479" s="92" t="n">
        <f aca="false">SRC_Price!$K57</f>
        <v>0</v>
      </c>
      <c r="F479" s="92" t="n">
        <f aca="false">SRC_Price!$S57</f>
        <v>0</v>
      </c>
    </row>
    <row r="480" customFormat="false" ht="15" hidden="false" customHeight="false" outlineLevel="0" collapsed="false">
      <c r="A480" s="92" t="str">
        <f aca="false">SRC_Price!$A58&amp;""</f>
        <v/>
      </c>
      <c r="B480" s="62" t="s">
        <v>9574</v>
      </c>
      <c r="C480" s="61" t="n">
        <v>58</v>
      </c>
      <c r="D480" s="92" t="n">
        <f aca="false">SRC_Price!$O58</f>
        <v>0</v>
      </c>
      <c r="E480" s="92" t="n">
        <f aca="false">SRC_Price!$K58</f>
        <v>0</v>
      </c>
      <c r="F480" s="92" t="n">
        <f aca="false">SRC_Price!$S58</f>
        <v>0</v>
      </c>
    </row>
    <row r="481" customFormat="false" ht="15" hidden="false" customHeight="false" outlineLevel="0" collapsed="false">
      <c r="A481" s="92" t="str">
        <f aca="false">SRC_Price!$A59&amp;""</f>
        <v/>
      </c>
      <c r="B481" s="62" t="s">
        <v>9574</v>
      </c>
      <c r="C481" s="61" t="n">
        <v>59</v>
      </c>
      <c r="D481" s="92" t="n">
        <f aca="false">SRC_Price!$O59</f>
        <v>0</v>
      </c>
      <c r="E481" s="92" t="n">
        <f aca="false">SRC_Price!$K59</f>
        <v>0</v>
      </c>
      <c r="F481" s="92" t="n">
        <f aca="false">SRC_Price!$S59</f>
        <v>0</v>
      </c>
    </row>
    <row r="482" customFormat="false" ht="15" hidden="false" customHeight="false" outlineLevel="0" collapsed="false">
      <c r="A482" s="92" t="str">
        <f aca="false">SRC_Price!$A60&amp;""</f>
        <v/>
      </c>
      <c r="B482" s="62" t="s">
        <v>9574</v>
      </c>
      <c r="C482" s="61" t="n">
        <v>60</v>
      </c>
      <c r="D482" s="92" t="n">
        <f aca="false">SRC_Price!$O60</f>
        <v>0</v>
      </c>
      <c r="E482" s="92" t="n">
        <f aca="false">SRC_Price!$K60</f>
        <v>0</v>
      </c>
      <c r="F482" s="92" t="n">
        <f aca="false">SRC_Price!$S60</f>
        <v>0</v>
      </c>
    </row>
    <row r="483" customFormat="false" ht="15" hidden="false" customHeight="false" outlineLevel="0" collapsed="false">
      <c r="A483" s="92" t="str">
        <f aca="false">SRC_Price!$A61&amp;""</f>
        <v/>
      </c>
      <c r="B483" s="62" t="s">
        <v>9574</v>
      </c>
      <c r="C483" s="61" t="n">
        <v>61</v>
      </c>
      <c r="D483" s="92" t="n">
        <f aca="false">SRC_Price!$O61</f>
        <v>0</v>
      </c>
      <c r="E483" s="92" t="n">
        <f aca="false">SRC_Price!$K61</f>
        <v>0</v>
      </c>
      <c r="F483" s="92" t="n">
        <f aca="false">SRC_Price!$S61</f>
        <v>0</v>
      </c>
    </row>
    <row r="484" customFormat="false" ht="15" hidden="false" customHeight="false" outlineLevel="0" collapsed="false">
      <c r="A484" s="92" t="str">
        <f aca="false">SRC_Price!$A62&amp;""</f>
        <v/>
      </c>
      <c r="B484" s="62" t="s">
        <v>9574</v>
      </c>
      <c r="C484" s="61" t="n">
        <v>62</v>
      </c>
      <c r="D484" s="92" t="n">
        <f aca="false">SRC_Price!$O62</f>
        <v>0</v>
      </c>
      <c r="E484" s="92" t="n">
        <f aca="false">SRC_Price!$K62</f>
        <v>0</v>
      </c>
      <c r="F484" s="92" t="n">
        <f aca="false">SRC_Price!$S62</f>
        <v>0</v>
      </c>
    </row>
    <row r="485" customFormat="false" ht="15" hidden="false" customHeight="false" outlineLevel="0" collapsed="false">
      <c r="A485" s="92" t="str">
        <f aca="false">SRC_Price!$A63&amp;""</f>
        <v/>
      </c>
      <c r="B485" s="62" t="s">
        <v>9574</v>
      </c>
      <c r="C485" s="61" t="n">
        <v>63</v>
      </c>
      <c r="D485" s="92" t="n">
        <f aca="false">SRC_Price!$O63</f>
        <v>0</v>
      </c>
      <c r="E485" s="92" t="n">
        <f aca="false">SRC_Price!$K63</f>
        <v>0</v>
      </c>
      <c r="F485" s="92" t="n">
        <f aca="false">SRC_Price!$S63</f>
        <v>0</v>
      </c>
    </row>
    <row r="486" customFormat="false" ht="15" hidden="false" customHeight="false" outlineLevel="0" collapsed="false">
      <c r="A486" s="92" t="str">
        <f aca="false">SRC_Price!$A64&amp;""</f>
        <v/>
      </c>
      <c r="B486" s="62" t="s">
        <v>9574</v>
      </c>
      <c r="C486" s="61" t="n">
        <v>64</v>
      </c>
      <c r="D486" s="92" t="n">
        <f aca="false">SRC_Price!$O64</f>
        <v>0</v>
      </c>
      <c r="E486" s="92" t="n">
        <f aca="false">SRC_Price!$K64</f>
        <v>0</v>
      </c>
      <c r="F486" s="92" t="n">
        <f aca="false">SRC_Price!$S64</f>
        <v>0</v>
      </c>
    </row>
    <row r="487" customFormat="false" ht="15" hidden="false" customHeight="false" outlineLevel="0" collapsed="false">
      <c r="A487" s="92" t="str">
        <f aca="false">SRC_Price!$A65&amp;""</f>
        <v/>
      </c>
      <c r="B487" s="62" t="s">
        <v>9574</v>
      </c>
      <c r="C487" s="61" t="n">
        <v>65</v>
      </c>
      <c r="D487" s="92" t="n">
        <f aca="false">SRC_Price!$O65</f>
        <v>0</v>
      </c>
      <c r="E487" s="92" t="n">
        <f aca="false">SRC_Price!$K65</f>
        <v>0</v>
      </c>
      <c r="F487" s="92" t="n">
        <f aca="false">SRC_Price!$S65</f>
        <v>0</v>
      </c>
    </row>
    <row r="488" customFormat="false" ht="15" hidden="false" customHeight="false" outlineLevel="0" collapsed="false">
      <c r="A488" s="92" t="str">
        <f aca="false">SRC_Price!$A66&amp;""</f>
        <v/>
      </c>
      <c r="B488" s="62" t="s">
        <v>9574</v>
      </c>
      <c r="C488" s="61" t="n">
        <v>66</v>
      </c>
      <c r="D488" s="92" t="n">
        <f aca="false">SRC_Price!$O66</f>
        <v>0</v>
      </c>
      <c r="E488" s="92" t="n">
        <f aca="false">SRC_Price!$K66</f>
        <v>0</v>
      </c>
      <c r="F488" s="92" t="n">
        <f aca="false">SRC_Price!$S66</f>
        <v>0</v>
      </c>
    </row>
    <row r="489" customFormat="false" ht="15" hidden="false" customHeight="false" outlineLevel="0" collapsed="false">
      <c r="A489" s="92" t="str">
        <f aca="false">SRC_Price!$A67&amp;""</f>
        <v/>
      </c>
      <c r="B489" s="62" t="s">
        <v>9574</v>
      </c>
      <c r="C489" s="61" t="n">
        <v>67</v>
      </c>
      <c r="D489" s="92" t="n">
        <f aca="false">SRC_Price!$O67</f>
        <v>0</v>
      </c>
      <c r="E489" s="92" t="n">
        <f aca="false">SRC_Price!$K67</f>
        <v>0</v>
      </c>
      <c r="F489" s="92" t="n">
        <f aca="false">SRC_Price!$S67</f>
        <v>0</v>
      </c>
    </row>
    <row r="490" customFormat="false" ht="15" hidden="false" customHeight="false" outlineLevel="0" collapsed="false">
      <c r="A490" s="92" t="str">
        <f aca="false">SRC_Price!$A68&amp;""</f>
        <v/>
      </c>
      <c r="B490" s="62" t="s">
        <v>9574</v>
      </c>
      <c r="C490" s="61" t="n">
        <v>68</v>
      </c>
      <c r="D490" s="92" t="n">
        <f aca="false">SRC_Price!$O68</f>
        <v>0</v>
      </c>
      <c r="E490" s="92" t="n">
        <f aca="false">SRC_Price!$K68</f>
        <v>0</v>
      </c>
      <c r="F490" s="92" t="n">
        <f aca="false">SRC_Price!$S68</f>
        <v>0</v>
      </c>
    </row>
    <row r="491" customFormat="false" ht="15" hidden="false" customHeight="false" outlineLevel="0" collapsed="false">
      <c r="A491" s="92" t="str">
        <f aca="false">SRC_Price!$A69&amp;""</f>
        <v/>
      </c>
      <c r="B491" s="62" t="s">
        <v>9574</v>
      </c>
      <c r="C491" s="61" t="n">
        <v>69</v>
      </c>
      <c r="D491" s="92" t="n">
        <f aca="false">SRC_Price!$O69</f>
        <v>0</v>
      </c>
      <c r="E491" s="92" t="n">
        <f aca="false">SRC_Price!$K69</f>
        <v>0</v>
      </c>
      <c r="F491" s="92" t="n">
        <f aca="false">SRC_Price!$S69</f>
        <v>0</v>
      </c>
    </row>
    <row r="492" customFormat="false" ht="15" hidden="false" customHeight="false" outlineLevel="0" collapsed="false">
      <c r="A492" s="92" t="str">
        <f aca="false">SRC_Price!$A70&amp;""</f>
        <v/>
      </c>
      <c r="B492" s="62" t="s">
        <v>9574</v>
      </c>
      <c r="C492" s="61" t="n">
        <v>70</v>
      </c>
      <c r="D492" s="92" t="n">
        <f aca="false">SRC_Price!$O70</f>
        <v>0</v>
      </c>
      <c r="E492" s="92" t="n">
        <f aca="false">SRC_Price!$K70</f>
        <v>0</v>
      </c>
      <c r="F492" s="92" t="n">
        <f aca="false">SRC_Price!$S70</f>
        <v>0</v>
      </c>
    </row>
    <row r="493" customFormat="false" ht="15" hidden="false" customHeight="false" outlineLevel="0" collapsed="false">
      <c r="A493" s="92" t="str">
        <f aca="false">SRC_Price!$A71&amp;""</f>
        <v/>
      </c>
      <c r="B493" s="62" t="s">
        <v>9574</v>
      </c>
      <c r="C493" s="61" t="n">
        <v>71</v>
      </c>
      <c r="D493" s="92" t="n">
        <f aca="false">SRC_Price!$O71</f>
        <v>0</v>
      </c>
      <c r="E493" s="92" t="n">
        <f aca="false">SRC_Price!$K71</f>
        <v>0</v>
      </c>
      <c r="F493" s="92" t="n">
        <f aca="false">SRC_Price!$S71</f>
        <v>0</v>
      </c>
    </row>
    <row r="494" customFormat="false" ht="15" hidden="false" customHeight="false" outlineLevel="0" collapsed="false">
      <c r="A494" s="92" t="str">
        <f aca="false">SRC_Price!$A72&amp;""</f>
        <v/>
      </c>
      <c r="B494" s="62" t="s">
        <v>9574</v>
      </c>
      <c r="C494" s="61" t="n">
        <v>72</v>
      </c>
      <c r="D494" s="92" t="n">
        <f aca="false">SRC_Price!$O72</f>
        <v>0</v>
      </c>
      <c r="E494" s="92" t="n">
        <f aca="false">SRC_Price!$K72</f>
        <v>0</v>
      </c>
      <c r="F494" s="92" t="n">
        <f aca="false">SRC_Price!$S72</f>
        <v>0</v>
      </c>
    </row>
    <row r="495" customFormat="false" ht="15" hidden="false" customHeight="false" outlineLevel="0" collapsed="false">
      <c r="A495" s="92" t="str">
        <f aca="false">SRC_Price!$A73&amp;""</f>
        <v/>
      </c>
      <c r="B495" s="62" t="s">
        <v>9574</v>
      </c>
      <c r="C495" s="61" t="n">
        <v>73</v>
      </c>
      <c r="D495" s="92" t="n">
        <f aca="false">SRC_Price!$O73</f>
        <v>0</v>
      </c>
      <c r="E495" s="92" t="n">
        <f aca="false">SRC_Price!$K73</f>
        <v>0</v>
      </c>
      <c r="F495" s="92" t="n">
        <f aca="false">SRC_Price!$S73</f>
        <v>0</v>
      </c>
    </row>
    <row r="496" customFormat="false" ht="15" hidden="false" customHeight="false" outlineLevel="0" collapsed="false">
      <c r="A496" s="92" t="str">
        <f aca="false">SRC_Price!$A74&amp;""</f>
        <v/>
      </c>
      <c r="B496" s="62" t="s">
        <v>9574</v>
      </c>
      <c r="C496" s="61" t="n">
        <v>74</v>
      </c>
      <c r="D496" s="92" t="n">
        <f aca="false">SRC_Price!$O74</f>
        <v>0</v>
      </c>
      <c r="E496" s="92" t="n">
        <f aca="false">SRC_Price!$K74</f>
        <v>0</v>
      </c>
      <c r="F496" s="92" t="n">
        <f aca="false">SRC_Price!$S74</f>
        <v>0</v>
      </c>
    </row>
    <row r="497" customFormat="false" ht="15" hidden="false" customHeight="false" outlineLevel="0" collapsed="false">
      <c r="A497" s="92" t="str">
        <f aca="false">SRC_Price!$A75&amp;""</f>
        <v/>
      </c>
      <c r="B497" s="62" t="s">
        <v>9574</v>
      </c>
      <c r="C497" s="61" t="n">
        <v>75</v>
      </c>
      <c r="D497" s="92" t="n">
        <f aca="false">SRC_Price!$O75</f>
        <v>0</v>
      </c>
      <c r="E497" s="92" t="n">
        <f aca="false">SRC_Price!$K75</f>
        <v>0</v>
      </c>
      <c r="F497" s="92" t="n">
        <f aca="false">SRC_Price!$S75</f>
        <v>0</v>
      </c>
    </row>
    <row r="498" customFormat="false" ht="15" hidden="false" customHeight="false" outlineLevel="0" collapsed="false">
      <c r="A498" s="92" t="str">
        <f aca="false">SRC_Price!$A76&amp;""</f>
        <v/>
      </c>
      <c r="B498" s="62" t="s">
        <v>9574</v>
      </c>
      <c r="C498" s="61" t="n">
        <v>76</v>
      </c>
      <c r="D498" s="92" t="n">
        <f aca="false">SRC_Price!$O76</f>
        <v>0</v>
      </c>
      <c r="E498" s="92" t="n">
        <f aca="false">SRC_Price!$K76</f>
        <v>0</v>
      </c>
      <c r="F498" s="92" t="n">
        <f aca="false">SRC_Price!$S76</f>
        <v>0</v>
      </c>
    </row>
    <row r="499" customFormat="false" ht="15" hidden="false" customHeight="false" outlineLevel="0" collapsed="false">
      <c r="A499" s="92" t="str">
        <f aca="false">SRC_Price!$A77&amp;""</f>
        <v/>
      </c>
      <c r="B499" s="62" t="s">
        <v>9574</v>
      </c>
      <c r="C499" s="61" t="n">
        <v>77</v>
      </c>
      <c r="D499" s="92" t="n">
        <f aca="false">SRC_Price!$O77</f>
        <v>0</v>
      </c>
      <c r="E499" s="92" t="n">
        <f aca="false">SRC_Price!$K77</f>
        <v>0</v>
      </c>
      <c r="F499" s="92" t="n">
        <f aca="false">SRC_Price!$S77</f>
        <v>0</v>
      </c>
    </row>
    <row r="500" customFormat="false" ht="15" hidden="false" customHeight="false" outlineLevel="0" collapsed="false">
      <c r="A500" s="92" t="str">
        <f aca="false">SRC_Price!$A78&amp;""</f>
        <v/>
      </c>
      <c r="B500" s="62" t="s">
        <v>9574</v>
      </c>
      <c r="C500" s="61" t="n">
        <v>78</v>
      </c>
      <c r="D500" s="92" t="n">
        <f aca="false">SRC_Price!$O78</f>
        <v>0</v>
      </c>
      <c r="E500" s="92" t="n">
        <f aca="false">SRC_Price!$K78</f>
        <v>0</v>
      </c>
      <c r="F500" s="92" t="n">
        <f aca="false">SRC_Price!$S78</f>
        <v>0</v>
      </c>
    </row>
    <row r="501" customFormat="false" ht="15" hidden="false" customHeight="false" outlineLevel="0" collapsed="false">
      <c r="A501" s="92" t="str">
        <f aca="false">SRC_Price!$A79&amp;""</f>
        <v/>
      </c>
      <c r="B501" s="62" t="s">
        <v>9574</v>
      </c>
      <c r="C501" s="61" t="n">
        <v>79</v>
      </c>
      <c r="D501" s="92" t="n">
        <f aca="false">SRC_Price!$O79</f>
        <v>0</v>
      </c>
      <c r="E501" s="92" t="n">
        <f aca="false">SRC_Price!$K79</f>
        <v>0</v>
      </c>
      <c r="F501" s="92" t="n">
        <f aca="false">SRC_Price!$S79</f>
        <v>0</v>
      </c>
    </row>
    <row r="502" customFormat="false" ht="15" hidden="false" customHeight="false" outlineLevel="0" collapsed="false">
      <c r="A502" s="92" t="str">
        <f aca="false">SRC_Price!$A80&amp;""</f>
        <v/>
      </c>
      <c r="B502" s="62" t="s">
        <v>9574</v>
      </c>
      <c r="C502" s="61" t="n">
        <v>80</v>
      </c>
      <c r="D502" s="92" t="n">
        <f aca="false">SRC_Price!$O80</f>
        <v>0</v>
      </c>
      <c r="E502" s="92" t="n">
        <f aca="false">SRC_Price!$K80</f>
        <v>0</v>
      </c>
      <c r="F502" s="92" t="n">
        <f aca="false">SRC_Price!$S80</f>
        <v>0</v>
      </c>
    </row>
    <row r="503" customFormat="false" ht="15" hidden="false" customHeight="false" outlineLevel="0" collapsed="false">
      <c r="A503" s="92" t="str">
        <f aca="false">SRC_Price!$A81&amp;""</f>
        <v/>
      </c>
      <c r="B503" s="62" t="s">
        <v>9574</v>
      </c>
      <c r="C503" s="61" t="n">
        <v>81</v>
      </c>
      <c r="D503" s="92" t="n">
        <f aca="false">SRC_Price!$O81</f>
        <v>0</v>
      </c>
      <c r="E503" s="92" t="n">
        <f aca="false">SRC_Price!$K81</f>
        <v>0</v>
      </c>
      <c r="F503" s="92" t="n">
        <f aca="false">SRC_Price!$S81</f>
        <v>0</v>
      </c>
    </row>
    <row r="504" customFormat="false" ht="15" hidden="false" customHeight="false" outlineLevel="0" collapsed="false">
      <c r="A504" s="92" t="str">
        <f aca="false">SRC_Price!$A82&amp;""</f>
        <v/>
      </c>
      <c r="B504" s="62" t="s">
        <v>9574</v>
      </c>
      <c r="C504" s="61" t="n">
        <v>82</v>
      </c>
      <c r="D504" s="92" t="n">
        <f aca="false">SRC_Price!$O82</f>
        <v>0</v>
      </c>
      <c r="E504" s="92" t="n">
        <f aca="false">SRC_Price!$K82</f>
        <v>0</v>
      </c>
      <c r="F504" s="92" t="n">
        <f aca="false">SRC_Price!$S82</f>
        <v>0</v>
      </c>
    </row>
    <row r="505" customFormat="false" ht="15" hidden="false" customHeight="false" outlineLevel="0" collapsed="false">
      <c r="A505" s="92" t="str">
        <f aca="false">SRC_Price!$A83&amp;""</f>
        <v/>
      </c>
      <c r="B505" s="62" t="s">
        <v>9574</v>
      </c>
      <c r="C505" s="61" t="n">
        <v>83</v>
      </c>
      <c r="D505" s="92" t="n">
        <f aca="false">SRC_Price!$O83</f>
        <v>0</v>
      </c>
      <c r="E505" s="92" t="n">
        <f aca="false">SRC_Price!$K83</f>
        <v>0</v>
      </c>
      <c r="F505" s="92" t="n">
        <f aca="false">SRC_Price!$S83</f>
        <v>0</v>
      </c>
    </row>
    <row r="506" customFormat="false" ht="15" hidden="false" customHeight="false" outlineLevel="0" collapsed="false">
      <c r="A506" s="92" t="str">
        <f aca="false">SRC_Price!$A84&amp;""</f>
        <v/>
      </c>
      <c r="B506" s="62" t="s">
        <v>9574</v>
      </c>
      <c r="C506" s="61" t="n">
        <v>84</v>
      </c>
      <c r="D506" s="92" t="n">
        <f aca="false">SRC_Price!$O84</f>
        <v>0</v>
      </c>
      <c r="E506" s="92" t="n">
        <f aca="false">SRC_Price!$K84</f>
        <v>0</v>
      </c>
      <c r="F506" s="92" t="n">
        <f aca="false">SRC_Price!$S84</f>
        <v>0</v>
      </c>
    </row>
    <row r="507" customFormat="false" ht="15" hidden="false" customHeight="false" outlineLevel="0" collapsed="false">
      <c r="A507" s="92" t="str">
        <f aca="false">SRC_Price!$A85&amp;""</f>
        <v/>
      </c>
      <c r="B507" s="62" t="s">
        <v>9574</v>
      </c>
      <c r="C507" s="61" t="n">
        <v>85</v>
      </c>
      <c r="D507" s="92" t="n">
        <f aca="false">SRC_Price!$O85</f>
        <v>0</v>
      </c>
      <c r="E507" s="92" t="n">
        <f aca="false">SRC_Price!$K85</f>
        <v>0</v>
      </c>
      <c r="F507" s="92" t="n">
        <f aca="false">SRC_Price!$S85</f>
        <v>0</v>
      </c>
    </row>
    <row r="508" customFormat="false" ht="15" hidden="false" customHeight="false" outlineLevel="0" collapsed="false">
      <c r="A508" s="92" t="str">
        <f aca="false">SRC_Price!$A86&amp;""</f>
        <v/>
      </c>
      <c r="B508" s="62" t="s">
        <v>9574</v>
      </c>
      <c r="C508" s="61" t="n">
        <v>86</v>
      </c>
      <c r="D508" s="92" t="n">
        <f aca="false">SRC_Price!$O86</f>
        <v>0</v>
      </c>
      <c r="E508" s="92" t="n">
        <f aca="false">SRC_Price!$K86</f>
        <v>0</v>
      </c>
      <c r="F508" s="92" t="n">
        <f aca="false">SRC_Price!$S86</f>
        <v>0</v>
      </c>
    </row>
    <row r="509" customFormat="false" ht="15" hidden="false" customHeight="false" outlineLevel="0" collapsed="false">
      <c r="A509" s="92" t="str">
        <f aca="false">SRC_Price!$A87&amp;""</f>
        <v/>
      </c>
      <c r="B509" s="62" t="s">
        <v>9574</v>
      </c>
      <c r="C509" s="61" t="n">
        <v>87</v>
      </c>
      <c r="D509" s="92" t="n">
        <f aca="false">SRC_Price!$O87</f>
        <v>0</v>
      </c>
      <c r="E509" s="92" t="n">
        <f aca="false">SRC_Price!$K87</f>
        <v>0</v>
      </c>
      <c r="F509" s="92" t="n">
        <f aca="false">SRC_Price!$S87</f>
        <v>0</v>
      </c>
    </row>
    <row r="510" customFormat="false" ht="15" hidden="false" customHeight="false" outlineLevel="0" collapsed="false">
      <c r="A510" s="92" t="str">
        <f aca="false">SRC_Price!$A88&amp;""</f>
        <v/>
      </c>
      <c r="B510" s="62" t="s">
        <v>9574</v>
      </c>
      <c r="C510" s="61" t="n">
        <v>88</v>
      </c>
      <c r="D510" s="92" t="n">
        <f aca="false">SRC_Price!$O88</f>
        <v>0</v>
      </c>
      <c r="E510" s="92" t="n">
        <f aca="false">SRC_Price!$K88</f>
        <v>0</v>
      </c>
      <c r="F510" s="92" t="n">
        <f aca="false">SRC_Price!$S88</f>
        <v>0</v>
      </c>
    </row>
    <row r="511" customFormat="false" ht="15" hidden="false" customHeight="false" outlineLevel="0" collapsed="false">
      <c r="A511" s="92" t="str">
        <f aca="false">SRC_Price!$A89&amp;""</f>
        <v/>
      </c>
      <c r="B511" s="62" t="s">
        <v>9574</v>
      </c>
      <c r="C511" s="61" t="n">
        <v>89</v>
      </c>
      <c r="D511" s="92" t="n">
        <f aca="false">SRC_Price!$O89</f>
        <v>0</v>
      </c>
      <c r="E511" s="92" t="n">
        <f aca="false">SRC_Price!$K89</f>
        <v>0</v>
      </c>
      <c r="F511" s="92" t="n">
        <f aca="false">SRC_Price!$S89</f>
        <v>0</v>
      </c>
    </row>
    <row r="512" customFormat="false" ht="15" hidden="false" customHeight="false" outlineLevel="0" collapsed="false">
      <c r="A512" s="92" t="str">
        <f aca="false">SRC_Price!$A90&amp;""</f>
        <v/>
      </c>
      <c r="B512" s="62" t="s">
        <v>9574</v>
      </c>
      <c r="C512" s="61" t="n">
        <v>90</v>
      </c>
      <c r="D512" s="92" t="n">
        <f aca="false">SRC_Price!$O90</f>
        <v>0</v>
      </c>
      <c r="E512" s="92" t="n">
        <f aca="false">SRC_Price!$K90</f>
        <v>0</v>
      </c>
      <c r="F512" s="92" t="n">
        <f aca="false">SRC_Price!$S90</f>
        <v>0</v>
      </c>
    </row>
    <row r="513" customFormat="false" ht="15" hidden="false" customHeight="false" outlineLevel="0" collapsed="false">
      <c r="A513" s="92" t="str">
        <f aca="false">SRC_Price!$A91&amp;""</f>
        <v/>
      </c>
      <c r="B513" s="62" t="s">
        <v>9574</v>
      </c>
      <c r="C513" s="61" t="n">
        <v>91</v>
      </c>
      <c r="D513" s="92" t="n">
        <f aca="false">SRC_Price!$O91</f>
        <v>0</v>
      </c>
      <c r="E513" s="92" t="n">
        <f aca="false">SRC_Price!$K91</f>
        <v>0</v>
      </c>
      <c r="F513" s="92" t="n">
        <f aca="false">SRC_Price!$S91</f>
        <v>0</v>
      </c>
    </row>
    <row r="514" customFormat="false" ht="15" hidden="false" customHeight="false" outlineLevel="0" collapsed="false">
      <c r="A514" s="92" t="str">
        <f aca="false">SRC_Price!$A92&amp;""</f>
        <v/>
      </c>
      <c r="B514" s="62" t="s">
        <v>9574</v>
      </c>
      <c r="C514" s="61" t="n">
        <v>92</v>
      </c>
      <c r="D514" s="92" t="n">
        <f aca="false">SRC_Price!$O92</f>
        <v>0</v>
      </c>
      <c r="E514" s="92" t="n">
        <f aca="false">SRC_Price!$K92</f>
        <v>0</v>
      </c>
      <c r="F514" s="92" t="n">
        <f aca="false">SRC_Price!$S92</f>
        <v>0</v>
      </c>
    </row>
    <row r="515" customFormat="false" ht="15" hidden="false" customHeight="false" outlineLevel="0" collapsed="false">
      <c r="A515" s="92" t="str">
        <f aca="false">SRC_Price!$A93&amp;""</f>
        <v/>
      </c>
      <c r="B515" s="62" t="s">
        <v>9574</v>
      </c>
      <c r="C515" s="61" t="n">
        <v>93</v>
      </c>
      <c r="D515" s="92" t="n">
        <f aca="false">SRC_Price!$O93</f>
        <v>0</v>
      </c>
      <c r="E515" s="92" t="n">
        <f aca="false">SRC_Price!$K93</f>
        <v>0</v>
      </c>
      <c r="F515" s="92" t="n">
        <f aca="false">SRC_Price!$S93</f>
        <v>0</v>
      </c>
    </row>
    <row r="516" customFormat="false" ht="15" hidden="false" customHeight="false" outlineLevel="0" collapsed="false">
      <c r="A516" s="92" t="str">
        <f aca="false">SRC_Price!$A94&amp;""</f>
        <v/>
      </c>
      <c r="B516" s="62" t="s">
        <v>9574</v>
      </c>
      <c r="C516" s="61" t="n">
        <v>94</v>
      </c>
      <c r="D516" s="92" t="n">
        <f aca="false">SRC_Price!$O94</f>
        <v>0</v>
      </c>
      <c r="E516" s="92" t="n">
        <f aca="false">SRC_Price!$K94</f>
        <v>0</v>
      </c>
      <c r="F516" s="92" t="n">
        <f aca="false">SRC_Price!$S94</f>
        <v>0</v>
      </c>
    </row>
    <row r="517" customFormat="false" ht="15" hidden="false" customHeight="false" outlineLevel="0" collapsed="false">
      <c r="A517" s="92" t="str">
        <f aca="false">SRC_Price!$A95&amp;""</f>
        <v/>
      </c>
      <c r="B517" s="62" t="s">
        <v>9574</v>
      </c>
      <c r="C517" s="61" t="n">
        <v>95</v>
      </c>
      <c r="D517" s="92" t="n">
        <f aca="false">SRC_Price!$O95</f>
        <v>0</v>
      </c>
      <c r="E517" s="92" t="n">
        <f aca="false">SRC_Price!$K95</f>
        <v>0</v>
      </c>
      <c r="F517" s="92" t="n">
        <f aca="false">SRC_Price!$S95</f>
        <v>0</v>
      </c>
    </row>
    <row r="518" customFormat="false" ht="15" hidden="false" customHeight="false" outlineLevel="0" collapsed="false">
      <c r="A518" s="92" t="str">
        <f aca="false">SRC_Price!$A96&amp;""</f>
        <v/>
      </c>
      <c r="B518" s="62" t="s">
        <v>9574</v>
      </c>
      <c r="C518" s="61" t="n">
        <v>96</v>
      </c>
      <c r="D518" s="92" t="n">
        <f aca="false">SRC_Price!$O96</f>
        <v>0</v>
      </c>
      <c r="E518" s="92" t="n">
        <f aca="false">SRC_Price!$K96</f>
        <v>0</v>
      </c>
      <c r="F518" s="92" t="n">
        <f aca="false">SRC_Price!$S96</f>
        <v>0</v>
      </c>
    </row>
    <row r="519" customFormat="false" ht="15" hidden="false" customHeight="false" outlineLevel="0" collapsed="false">
      <c r="A519" s="92" t="str">
        <f aca="false">SRC_Price!$A97&amp;""</f>
        <v/>
      </c>
      <c r="B519" s="62" t="s">
        <v>9574</v>
      </c>
      <c r="C519" s="61" t="n">
        <v>97</v>
      </c>
      <c r="D519" s="92" t="n">
        <f aca="false">SRC_Price!$O97</f>
        <v>0</v>
      </c>
      <c r="E519" s="92" t="n">
        <f aca="false">SRC_Price!$K97</f>
        <v>0</v>
      </c>
      <c r="F519" s="92" t="n">
        <f aca="false">SRC_Price!$S97</f>
        <v>0</v>
      </c>
    </row>
    <row r="520" customFormat="false" ht="15" hidden="false" customHeight="false" outlineLevel="0" collapsed="false">
      <c r="A520" s="92" t="str">
        <f aca="false">SRC_Price!$A98&amp;""</f>
        <v/>
      </c>
      <c r="B520" s="62" t="s">
        <v>9574</v>
      </c>
      <c r="C520" s="61" t="n">
        <v>98</v>
      </c>
      <c r="D520" s="92" t="n">
        <f aca="false">SRC_Price!$O98</f>
        <v>0</v>
      </c>
      <c r="E520" s="92" t="n">
        <f aca="false">SRC_Price!$K98</f>
        <v>0</v>
      </c>
      <c r="F520" s="92" t="n">
        <f aca="false">SRC_Price!$S98</f>
        <v>0</v>
      </c>
    </row>
    <row r="521" customFormat="false" ht="15" hidden="false" customHeight="false" outlineLevel="0" collapsed="false">
      <c r="A521" s="92" t="str">
        <f aca="false">SRC_Cap!$A5&amp;""</f>
        <v>SRC_CAP_001</v>
      </c>
      <c r="B521" s="62" t="s">
        <v>9575</v>
      </c>
      <c r="C521" s="61" t="n">
        <v>5</v>
      </c>
      <c r="D521" s="92" t="str">
        <f aca="false">SRC_Cap!$O5</f>
        <v>Active</v>
      </c>
      <c r="E521" s="92" t="n">
        <f aca="false">SRC_Cap!$K5</f>
        <v>2</v>
      </c>
      <c r="F521" s="92" t="str">
        <f aca="false">SRC_Cap!$S5</f>
        <v>—</v>
      </c>
    </row>
    <row r="522" customFormat="false" ht="15" hidden="false" customHeight="false" outlineLevel="0" collapsed="false">
      <c r="A522" s="92" t="str">
        <f aca="false">SRC_Cap!$A6&amp;""</f>
        <v>SRC_CAP_002</v>
      </c>
      <c r="B522" s="62" t="s">
        <v>9575</v>
      </c>
      <c r="C522" s="61" t="n">
        <v>6</v>
      </c>
      <c r="D522" s="92" t="str">
        <f aca="false">SRC_Cap!$O6</f>
        <v>Active</v>
      </c>
      <c r="E522" s="92" t="n">
        <f aca="false">SRC_Cap!$K6</f>
        <v>2</v>
      </c>
      <c r="F522" s="92" t="str">
        <f aca="false">SRC_Cap!$S6</f>
        <v>—</v>
      </c>
    </row>
    <row r="523" customFormat="false" ht="15" hidden="false" customHeight="false" outlineLevel="0" collapsed="false">
      <c r="A523" s="92" t="str">
        <f aca="false">SRC_Cap!$A7&amp;""</f>
        <v>SRC_CAP_003</v>
      </c>
      <c r="B523" s="62" t="s">
        <v>9575</v>
      </c>
      <c r="C523" s="61" t="n">
        <v>7</v>
      </c>
      <c r="D523" s="92" t="str">
        <f aca="false">SRC_Cap!$O7</f>
        <v>Active</v>
      </c>
      <c r="E523" s="92" t="n">
        <f aca="false">SRC_Cap!$K7</f>
        <v>2</v>
      </c>
      <c r="F523" s="92" t="str">
        <f aca="false">SRC_Cap!$S7</f>
        <v>—</v>
      </c>
    </row>
    <row r="524" customFormat="false" ht="15" hidden="false" customHeight="false" outlineLevel="0" collapsed="false">
      <c r="A524" s="92" t="str">
        <f aca="false">SRC_Cap!$A8&amp;""</f>
        <v>SRC_CAP_004</v>
      </c>
      <c r="B524" s="62" t="s">
        <v>9575</v>
      </c>
      <c r="C524" s="61" t="n">
        <v>8</v>
      </c>
      <c r="D524" s="92" t="str">
        <f aca="false">SRC_Cap!$O8</f>
        <v>Active</v>
      </c>
      <c r="E524" s="92" t="n">
        <f aca="false">SRC_Cap!$K8</f>
        <v>2</v>
      </c>
      <c r="F524" s="92" t="str">
        <f aca="false">SRC_Cap!$S8</f>
        <v>—</v>
      </c>
    </row>
    <row r="525" customFormat="false" ht="15" hidden="false" customHeight="false" outlineLevel="0" collapsed="false">
      <c r="A525" s="92" t="str">
        <f aca="false">SRC_Cap!$A9&amp;""</f>
        <v>SRC_CAP_005</v>
      </c>
      <c r="B525" s="62" t="s">
        <v>9575</v>
      </c>
      <c r="C525" s="61" t="n">
        <v>9</v>
      </c>
      <c r="D525" s="92" t="str">
        <f aca="false">SRC_Cap!$O9</f>
        <v>Active</v>
      </c>
      <c r="E525" s="92" t="n">
        <f aca="false">SRC_Cap!$K9</f>
        <v>2</v>
      </c>
      <c r="F525" s="92" t="str">
        <f aca="false">SRC_Cap!$S9</f>
        <v>—</v>
      </c>
    </row>
    <row r="526" customFormat="false" ht="15" hidden="false" customHeight="false" outlineLevel="0" collapsed="false">
      <c r="A526" s="92" t="str">
        <f aca="false">SRC_Cap!$A10&amp;""</f>
        <v>SRC_CAP_006</v>
      </c>
      <c r="B526" s="62" t="s">
        <v>9575</v>
      </c>
      <c r="C526" s="61" t="n">
        <v>10</v>
      </c>
      <c r="D526" s="92" t="str">
        <f aca="false">SRC_Cap!$O10</f>
        <v>Active</v>
      </c>
      <c r="E526" s="92" t="n">
        <f aca="false">SRC_Cap!$K10</f>
        <v>2</v>
      </c>
      <c r="F526" s="92" t="str">
        <f aca="false">SRC_Cap!$S10</f>
        <v>—</v>
      </c>
    </row>
    <row r="527" customFormat="false" ht="15" hidden="false" customHeight="false" outlineLevel="0" collapsed="false">
      <c r="A527" s="92" t="str">
        <f aca="false">SRC_Cap!$A11&amp;""</f>
        <v>SRC_CAP_007</v>
      </c>
      <c r="B527" s="62" t="s">
        <v>9575</v>
      </c>
      <c r="C527" s="61" t="n">
        <v>11</v>
      </c>
      <c r="D527" s="92" t="str">
        <f aca="false">SRC_Cap!$O11</f>
        <v>Active</v>
      </c>
      <c r="E527" s="92" t="n">
        <f aca="false">SRC_Cap!$K11</f>
        <v>2</v>
      </c>
      <c r="F527" s="92" t="str">
        <f aca="false">SRC_Cap!$S11</f>
        <v>—</v>
      </c>
    </row>
    <row r="528" customFormat="false" ht="15" hidden="false" customHeight="false" outlineLevel="0" collapsed="false">
      <c r="A528" s="92" t="str">
        <f aca="false">SRC_Cap!$A12&amp;""</f>
        <v>SRC_CAP_008</v>
      </c>
      <c r="B528" s="62" t="s">
        <v>9575</v>
      </c>
      <c r="C528" s="61" t="n">
        <v>12</v>
      </c>
      <c r="D528" s="92" t="str">
        <f aca="false">SRC_Cap!$O12</f>
        <v>Active</v>
      </c>
      <c r="E528" s="92" t="n">
        <f aca="false">SRC_Cap!$K12</f>
        <v>1</v>
      </c>
      <c r="F528" s="92" t="str">
        <f aca="false">SRC_Cap!$S12</f>
        <v>2026-10-05</v>
      </c>
    </row>
    <row r="529" customFormat="false" ht="15" hidden="false" customHeight="false" outlineLevel="0" collapsed="false">
      <c r="A529" s="92" t="str">
        <f aca="false">SRC_Cap!$A13&amp;""</f>
        <v>SRC_CAP_009</v>
      </c>
      <c r="B529" s="62" t="s">
        <v>9575</v>
      </c>
      <c r="C529" s="61" t="n">
        <v>13</v>
      </c>
      <c r="D529" s="92" t="str">
        <f aca="false">SRC_Cap!$O13</f>
        <v>Active</v>
      </c>
      <c r="E529" s="92" t="n">
        <f aca="false">SRC_Cap!$K13</f>
        <v>3</v>
      </c>
      <c r="F529" s="92" t="str">
        <f aca="false">SRC_Cap!$S13</f>
        <v>—</v>
      </c>
    </row>
    <row r="530" customFormat="false" ht="15" hidden="false" customHeight="false" outlineLevel="0" collapsed="false">
      <c r="A530" s="92" t="str">
        <f aca="false">SRC_Cap!$A14&amp;""</f>
        <v>SRC_CAP_010</v>
      </c>
      <c r="B530" s="62" t="s">
        <v>9575</v>
      </c>
      <c r="C530" s="61" t="n">
        <v>14</v>
      </c>
      <c r="D530" s="92" t="str">
        <f aca="false">SRC_Cap!$O14</f>
        <v>Active</v>
      </c>
      <c r="E530" s="92" t="n">
        <f aca="false">SRC_Cap!$K14</f>
        <v>3</v>
      </c>
      <c r="F530" s="92" t="str">
        <f aca="false">SRC_Cap!$S14</f>
        <v>—</v>
      </c>
    </row>
    <row r="531" customFormat="false" ht="15" hidden="false" customHeight="false" outlineLevel="0" collapsed="false">
      <c r="A531" s="92" t="str">
        <f aca="false">SRC_Cap!$A15&amp;""</f>
        <v>SRC_CAP_011</v>
      </c>
      <c r="B531" s="62" t="s">
        <v>9575</v>
      </c>
      <c r="C531" s="61" t="n">
        <v>15</v>
      </c>
      <c r="D531" s="92" t="str">
        <f aca="false">SRC_Cap!$O15</f>
        <v>Active</v>
      </c>
      <c r="E531" s="92" t="n">
        <f aca="false">SRC_Cap!$K15</f>
        <v>1</v>
      </c>
      <c r="F531" s="92" t="str">
        <f aca="false">SRC_Cap!$S15</f>
        <v>2026-10-05</v>
      </c>
    </row>
    <row r="532" customFormat="false" ht="15" hidden="false" customHeight="false" outlineLevel="0" collapsed="false">
      <c r="A532" s="92" t="str">
        <f aca="false">SRC_Cap!$A16&amp;""</f>
        <v>SRC_CAP_012</v>
      </c>
      <c r="B532" s="62" t="s">
        <v>9575</v>
      </c>
      <c r="C532" s="61" t="n">
        <v>16</v>
      </c>
      <c r="D532" s="92" t="str">
        <f aca="false">SRC_Cap!$O16</f>
        <v>Active</v>
      </c>
      <c r="E532" s="92" t="n">
        <f aca="false">SRC_Cap!$K16</f>
        <v>2</v>
      </c>
      <c r="F532" s="92" t="str">
        <f aca="false">SRC_Cap!$S16</f>
        <v>—</v>
      </c>
    </row>
    <row r="533" customFormat="false" ht="15" hidden="false" customHeight="false" outlineLevel="0" collapsed="false">
      <c r="A533" s="92" t="str">
        <f aca="false">SRC_Cap!$A17&amp;""</f>
        <v>SRC_CAP_013</v>
      </c>
      <c r="B533" s="62" t="s">
        <v>9575</v>
      </c>
      <c r="C533" s="61" t="n">
        <v>17</v>
      </c>
      <c r="D533" s="92" t="str">
        <f aca="false">SRC_Cap!$O17</f>
        <v>Active</v>
      </c>
      <c r="E533" s="92" t="n">
        <f aca="false">SRC_Cap!$K17</f>
        <v>2</v>
      </c>
      <c r="F533" s="92" t="str">
        <f aca="false">SRC_Cap!$S17</f>
        <v>—</v>
      </c>
    </row>
    <row r="534" customFormat="false" ht="15" hidden="false" customHeight="false" outlineLevel="0" collapsed="false">
      <c r="A534" s="92" t="str">
        <f aca="false">SRC_Cap!$A18&amp;""</f>
        <v>SRC_CAP_014</v>
      </c>
      <c r="B534" s="62" t="s">
        <v>9575</v>
      </c>
      <c r="C534" s="61" t="n">
        <v>18</v>
      </c>
      <c r="D534" s="92" t="str">
        <f aca="false">SRC_Cap!$O18</f>
        <v>Active</v>
      </c>
      <c r="E534" s="92" t="n">
        <f aca="false">SRC_Cap!$K18</f>
        <v>2</v>
      </c>
      <c r="F534" s="92" t="str">
        <f aca="false">SRC_Cap!$S18</f>
        <v>—</v>
      </c>
    </row>
    <row r="535" customFormat="false" ht="15" hidden="false" customHeight="false" outlineLevel="0" collapsed="false">
      <c r="A535" s="92" t="str">
        <f aca="false">SRC_Cap!$A19&amp;""</f>
        <v>SRC_CAP_015</v>
      </c>
      <c r="B535" s="62" t="s">
        <v>9575</v>
      </c>
      <c r="C535" s="61" t="n">
        <v>19</v>
      </c>
      <c r="D535" s="92" t="str">
        <f aca="false">SRC_Cap!$O19</f>
        <v>Active</v>
      </c>
      <c r="E535" s="92" t="n">
        <f aca="false">SRC_Cap!$K19</f>
        <v>2</v>
      </c>
      <c r="F535" s="92" t="str">
        <f aca="false">SRC_Cap!$S19</f>
        <v>—</v>
      </c>
    </row>
    <row r="536" customFormat="false" ht="15" hidden="false" customHeight="false" outlineLevel="0" collapsed="false">
      <c r="A536" s="92" t="str">
        <f aca="false">SRC_Cap!$A20&amp;""</f>
        <v>SRC_CAP_016</v>
      </c>
      <c r="B536" s="62" t="s">
        <v>9575</v>
      </c>
      <c r="C536" s="61" t="n">
        <v>20</v>
      </c>
      <c r="D536" s="92" t="str">
        <f aca="false">SRC_Cap!$O20</f>
        <v>Active</v>
      </c>
      <c r="E536" s="92" t="n">
        <f aca="false">SRC_Cap!$K20</f>
        <v>2</v>
      </c>
      <c r="F536" s="92" t="str">
        <f aca="false">SRC_Cap!$S20</f>
        <v>—</v>
      </c>
    </row>
    <row r="537" customFormat="false" ht="15" hidden="false" customHeight="false" outlineLevel="0" collapsed="false">
      <c r="A537" s="92" t="str">
        <f aca="false">SRC_Cap!$A21&amp;""</f>
        <v>SRC_CAP_017</v>
      </c>
      <c r="B537" s="62" t="s">
        <v>9575</v>
      </c>
      <c r="C537" s="61" t="n">
        <v>21</v>
      </c>
      <c r="D537" s="92" t="str">
        <f aca="false">SRC_Cap!$O21</f>
        <v>Active</v>
      </c>
      <c r="E537" s="92" t="n">
        <f aca="false">SRC_Cap!$K21</f>
        <v>2</v>
      </c>
      <c r="F537" s="92" t="str">
        <f aca="false">SRC_Cap!$S21</f>
        <v>—</v>
      </c>
    </row>
    <row r="538" customFormat="false" ht="15" hidden="false" customHeight="false" outlineLevel="0" collapsed="false">
      <c r="A538" s="92" t="str">
        <f aca="false">SRC_Cap!$A22&amp;""</f>
        <v>SRC_CAP_018</v>
      </c>
      <c r="B538" s="62" t="s">
        <v>9575</v>
      </c>
      <c r="C538" s="61" t="n">
        <v>22</v>
      </c>
      <c r="D538" s="92" t="str">
        <f aca="false">SRC_Cap!$O22</f>
        <v>Active</v>
      </c>
      <c r="E538" s="92" t="n">
        <f aca="false">SRC_Cap!$K22</f>
        <v>2</v>
      </c>
      <c r="F538" s="92" t="str">
        <f aca="false">SRC_Cap!$S22</f>
        <v>—</v>
      </c>
    </row>
    <row r="539" customFormat="false" ht="15" hidden="false" customHeight="false" outlineLevel="0" collapsed="false">
      <c r="A539" s="92" t="str">
        <f aca="false">SRC_Cap!$A23&amp;""</f>
        <v>SRC_CAP_019</v>
      </c>
      <c r="B539" s="62" t="s">
        <v>9575</v>
      </c>
      <c r="C539" s="61" t="n">
        <v>23</v>
      </c>
      <c r="D539" s="92" t="str">
        <f aca="false">SRC_Cap!$O23</f>
        <v>Active</v>
      </c>
      <c r="E539" s="92" t="n">
        <f aca="false">SRC_Cap!$K23</f>
        <v>2</v>
      </c>
      <c r="F539" s="92" t="str">
        <f aca="false">SRC_Cap!$S23</f>
        <v>—</v>
      </c>
    </row>
    <row r="540" customFormat="false" ht="15" hidden="false" customHeight="false" outlineLevel="0" collapsed="false">
      <c r="A540" s="92" t="str">
        <f aca="false">SRC_Cap!$A24&amp;""</f>
        <v>SRC_CAP_020</v>
      </c>
      <c r="B540" s="62" t="s">
        <v>9575</v>
      </c>
      <c r="C540" s="61" t="n">
        <v>24</v>
      </c>
      <c r="D540" s="92" t="str">
        <f aca="false">SRC_Cap!$O24</f>
        <v>Active</v>
      </c>
      <c r="E540" s="92" t="n">
        <f aca="false">SRC_Cap!$K24</f>
        <v>2</v>
      </c>
      <c r="F540" s="92" t="str">
        <f aca="false">SRC_Cap!$S24</f>
        <v>—</v>
      </c>
    </row>
    <row r="541" customFormat="false" ht="15" hidden="false" customHeight="false" outlineLevel="0" collapsed="false">
      <c r="A541" s="92" t="str">
        <f aca="false">SRC_Cap!$A25&amp;""</f>
        <v>SRC_CAP_021</v>
      </c>
      <c r="B541" s="62" t="s">
        <v>9575</v>
      </c>
      <c r="C541" s="61" t="n">
        <v>25</v>
      </c>
      <c r="D541" s="92" t="str">
        <f aca="false">SRC_Cap!$O25</f>
        <v>Active</v>
      </c>
      <c r="E541" s="92" t="n">
        <f aca="false">SRC_Cap!$K25</f>
        <v>2</v>
      </c>
      <c r="F541" s="92" t="str">
        <f aca="false">SRC_Cap!$S25</f>
        <v>—</v>
      </c>
    </row>
    <row r="542" customFormat="false" ht="15" hidden="false" customHeight="false" outlineLevel="0" collapsed="false">
      <c r="A542" s="92" t="str">
        <f aca="false">SRC_Cap!$A26&amp;""</f>
        <v/>
      </c>
      <c r="B542" s="62" t="s">
        <v>9575</v>
      </c>
      <c r="C542" s="61" t="n">
        <v>26</v>
      </c>
      <c r="D542" s="92" t="n">
        <f aca="false">SRC_Cap!$O26</f>
        <v>0</v>
      </c>
      <c r="E542" s="92" t="n">
        <f aca="false">SRC_Cap!$K26</f>
        <v>0</v>
      </c>
      <c r="F542" s="92" t="n">
        <f aca="false">SRC_Cap!$S26</f>
        <v>0</v>
      </c>
    </row>
    <row r="543" customFormat="false" ht="15" hidden="false" customHeight="false" outlineLevel="0" collapsed="false">
      <c r="A543" s="92" t="str">
        <f aca="false">SRC_Cap!$A27&amp;""</f>
        <v/>
      </c>
      <c r="B543" s="62" t="s">
        <v>9575</v>
      </c>
      <c r="C543" s="61" t="n">
        <v>27</v>
      </c>
      <c r="D543" s="92" t="n">
        <f aca="false">SRC_Cap!$O27</f>
        <v>0</v>
      </c>
      <c r="E543" s="92" t="n">
        <f aca="false">SRC_Cap!$K27</f>
        <v>0</v>
      </c>
      <c r="F543" s="92" t="n">
        <f aca="false">SRC_Cap!$S27</f>
        <v>0</v>
      </c>
    </row>
    <row r="544" customFormat="false" ht="15" hidden="false" customHeight="false" outlineLevel="0" collapsed="false">
      <c r="A544" s="92" t="str">
        <f aca="false">SRC_Cap!$A28&amp;""</f>
        <v/>
      </c>
      <c r="B544" s="62" t="s">
        <v>9575</v>
      </c>
      <c r="C544" s="61" t="n">
        <v>28</v>
      </c>
      <c r="D544" s="92" t="n">
        <f aca="false">SRC_Cap!$O28</f>
        <v>0</v>
      </c>
      <c r="E544" s="92" t="n">
        <f aca="false">SRC_Cap!$K28</f>
        <v>0</v>
      </c>
      <c r="F544" s="92" t="n">
        <f aca="false">SRC_Cap!$S28</f>
        <v>0</v>
      </c>
    </row>
    <row r="545" customFormat="false" ht="15" hidden="false" customHeight="false" outlineLevel="0" collapsed="false">
      <c r="A545" s="92" t="str">
        <f aca="false">SRC_Cap!$A29&amp;""</f>
        <v/>
      </c>
      <c r="B545" s="62" t="s">
        <v>9575</v>
      </c>
      <c r="C545" s="61" t="n">
        <v>29</v>
      </c>
      <c r="D545" s="92" t="n">
        <f aca="false">SRC_Cap!$O29</f>
        <v>0</v>
      </c>
      <c r="E545" s="92" t="n">
        <f aca="false">SRC_Cap!$K29</f>
        <v>0</v>
      </c>
      <c r="F545" s="92" t="n">
        <f aca="false">SRC_Cap!$S29</f>
        <v>0</v>
      </c>
    </row>
    <row r="546" customFormat="false" ht="15" hidden="false" customHeight="false" outlineLevel="0" collapsed="false">
      <c r="A546" s="92" t="str">
        <f aca="false">SRC_Cap!$A30&amp;""</f>
        <v/>
      </c>
      <c r="B546" s="62" t="s">
        <v>9575</v>
      </c>
      <c r="C546" s="61" t="n">
        <v>30</v>
      </c>
      <c r="D546" s="92" t="n">
        <f aca="false">SRC_Cap!$O30</f>
        <v>0</v>
      </c>
      <c r="E546" s="92" t="n">
        <f aca="false">SRC_Cap!$K30</f>
        <v>0</v>
      </c>
      <c r="F546" s="92" t="n">
        <f aca="false">SRC_Cap!$S30</f>
        <v>0</v>
      </c>
    </row>
    <row r="547" customFormat="false" ht="15" hidden="false" customHeight="false" outlineLevel="0" collapsed="false">
      <c r="A547" s="92" t="str">
        <f aca="false">SRC_Cap!$A31&amp;""</f>
        <v/>
      </c>
      <c r="B547" s="62" t="s">
        <v>9575</v>
      </c>
      <c r="C547" s="61" t="n">
        <v>31</v>
      </c>
      <c r="D547" s="92" t="n">
        <f aca="false">SRC_Cap!$O31</f>
        <v>0</v>
      </c>
      <c r="E547" s="92" t="n">
        <f aca="false">SRC_Cap!$K31</f>
        <v>0</v>
      </c>
      <c r="F547" s="92" t="n">
        <f aca="false">SRC_Cap!$S31</f>
        <v>0</v>
      </c>
    </row>
    <row r="548" customFormat="false" ht="15" hidden="false" customHeight="false" outlineLevel="0" collapsed="false">
      <c r="A548" s="92" t="str">
        <f aca="false">SRC_Cap!$A32&amp;""</f>
        <v/>
      </c>
      <c r="B548" s="62" t="s">
        <v>9575</v>
      </c>
      <c r="C548" s="61" t="n">
        <v>32</v>
      </c>
      <c r="D548" s="92" t="n">
        <f aca="false">SRC_Cap!$O32</f>
        <v>0</v>
      </c>
      <c r="E548" s="92" t="n">
        <f aca="false">SRC_Cap!$K32</f>
        <v>0</v>
      </c>
      <c r="F548" s="92" t="n">
        <f aca="false">SRC_Cap!$S32</f>
        <v>0</v>
      </c>
    </row>
    <row r="549" customFormat="false" ht="15" hidden="false" customHeight="false" outlineLevel="0" collapsed="false">
      <c r="A549" s="92" t="str">
        <f aca="false">SRC_Cap!$A33&amp;""</f>
        <v/>
      </c>
      <c r="B549" s="62" t="s">
        <v>9575</v>
      </c>
      <c r="C549" s="61" t="n">
        <v>33</v>
      </c>
      <c r="D549" s="92" t="n">
        <f aca="false">SRC_Cap!$O33</f>
        <v>0</v>
      </c>
      <c r="E549" s="92" t="n">
        <f aca="false">SRC_Cap!$K33</f>
        <v>0</v>
      </c>
      <c r="F549" s="92" t="n">
        <f aca="false">SRC_Cap!$S33</f>
        <v>0</v>
      </c>
    </row>
    <row r="550" customFormat="false" ht="15" hidden="false" customHeight="false" outlineLevel="0" collapsed="false">
      <c r="A550" s="92" t="str">
        <f aca="false">SRC_Cap!$A34&amp;""</f>
        <v/>
      </c>
      <c r="B550" s="62" t="s">
        <v>9575</v>
      </c>
      <c r="C550" s="61" t="n">
        <v>34</v>
      </c>
      <c r="D550" s="92" t="n">
        <f aca="false">SRC_Cap!$O34</f>
        <v>0</v>
      </c>
      <c r="E550" s="92" t="n">
        <f aca="false">SRC_Cap!$K34</f>
        <v>0</v>
      </c>
      <c r="F550" s="92" t="n">
        <f aca="false">SRC_Cap!$S34</f>
        <v>0</v>
      </c>
    </row>
    <row r="551" customFormat="false" ht="15" hidden="false" customHeight="false" outlineLevel="0" collapsed="false">
      <c r="A551" s="92" t="str">
        <f aca="false">SRC_Cap!$A35&amp;""</f>
        <v/>
      </c>
      <c r="B551" s="62" t="s">
        <v>9575</v>
      </c>
      <c r="C551" s="61" t="n">
        <v>35</v>
      </c>
      <c r="D551" s="92" t="n">
        <f aca="false">SRC_Cap!$O35</f>
        <v>0</v>
      </c>
      <c r="E551" s="92" t="n">
        <f aca="false">SRC_Cap!$K35</f>
        <v>0</v>
      </c>
      <c r="F551" s="92" t="n">
        <f aca="false">SRC_Cap!$S35</f>
        <v>0</v>
      </c>
    </row>
    <row r="552" customFormat="false" ht="15" hidden="false" customHeight="false" outlineLevel="0" collapsed="false">
      <c r="A552" s="92" t="str">
        <f aca="false">SRC_Cap!$A36&amp;""</f>
        <v/>
      </c>
      <c r="B552" s="62" t="s">
        <v>9575</v>
      </c>
      <c r="C552" s="61" t="n">
        <v>36</v>
      </c>
      <c r="D552" s="92" t="n">
        <f aca="false">SRC_Cap!$O36</f>
        <v>0</v>
      </c>
      <c r="E552" s="92" t="n">
        <f aca="false">SRC_Cap!$K36</f>
        <v>0</v>
      </c>
      <c r="F552" s="92" t="n">
        <f aca="false">SRC_Cap!$S36</f>
        <v>0</v>
      </c>
    </row>
    <row r="553" customFormat="false" ht="15" hidden="false" customHeight="false" outlineLevel="0" collapsed="false">
      <c r="A553" s="92" t="str">
        <f aca="false">SRC_Cap!$A37&amp;""</f>
        <v/>
      </c>
      <c r="B553" s="62" t="s">
        <v>9575</v>
      </c>
      <c r="C553" s="61" t="n">
        <v>37</v>
      </c>
      <c r="D553" s="92" t="n">
        <f aca="false">SRC_Cap!$O37</f>
        <v>0</v>
      </c>
      <c r="E553" s="92" t="n">
        <f aca="false">SRC_Cap!$K37</f>
        <v>0</v>
      </c>
      <c r="F553" s="92" t="n">
        <f aca="false">SRC_Cap!$S37</f>
        <v>0</v>
      </c>
    </row>
    <row r="554" customFormat="false" ht="15" hidden="false" customHeight="false" outlineLevel="0" collapsed="false">
      <c r="A554" s="92" t="str">
        <f aca="false">SRC_Cap!$A38&amp;""</f>
        <v/>
      </c>
      <c r="B554" s="62" t="s">
        <v>9575</v>
      </c>
      <c r="C554" s="61" t="n">
        <v>38</v>
      </c>
      <c r="D554" s="92" t="n">
        <f aca="false">SRC_Cap!$O38</f>
        <v>0</v>
      </c>
      <c r="E554" s="92" t="n">
        <f aca="false">SRC_Cap!$K38</f>
        <v>0</v>
      </c>
      <c r="F554" s="92" t="n">
        <f aca="false">SRC_Cap!$S38</f>
        <v>0</v>
      </c>
    </row>
    <row r="555" customFormat="false" ht="15" hidden="false" customHeight="false" outlineLevel="0" collapsed="false">
      <c r="A555" s="92" t="str">
        <f aca="false">SRC_Cap!$A39&amp;""</f>
        <v/>
      </c>
      <c r="B555" s="62" t="s">
        <v>9575</v>
      </c>
      <c r="C555" s="61" t="n">
        <v>39</v>
      </c>
      <c r="D555" s="92" t="n">
        <f aca="false">SRC_Cap!$O39</f>
        <v>0</v>
      </c>
      <c r="E555" s="92" t="n">
        <f aca="false">SRC_Cap!$K39</f>
        <v>0</v>
      </c>
      <c r="F555" s="92" t="n">
        <f aca="false">SRC_Cap!$S39</f>
        <v>0</v>
      </c>
    </row>
    <row r="556" customFormat="false" ht="15" hidden="false" customHeight="false" outlineLevel="0" collapsed="false">
      <c r="A556" s="92" t="str">
        <f aca="false">SRC_Cap!$A40&amp;""</f>
        <v/>
      </c>
      <c r="B556" s="62" t="s">
        <v>9575</v>
      </c>
      <c r="C556" s="61" t="n">
        <v>40</v>
      </c>
      <c r="D556" s="92" t="n">
        <f aca="false">SRC_Cap!$O40</f>
        <v>0</v>
      </c>
      <c r="E556" s="92" t="n">
        <f aca="false">SRC_Cap!$K40</f>
        <v>0</v>
      </c>
      <c r="F556" s="92" t="n">
        <f aca="false">SRC_Cap!$S40</f>
        <v>0</v>
      </c>
    </row>
    <row r="557" customFormat="false" ht="15" hidden="false" customHeight="false" outlineLevel="0" collapsed="false">
      <c r="A557" s="92" t="str">
        <f aca="false">SRC_Cap!$A41&amp;""</f>
        <v/>
      </c>
      <c r="B557" s="62" t="s">
        <v>9575</v>
      </c>
      <c r="C557" s="61" t="n">
        <v>41</v>
      </c>
      <c r="D557" s="92" t="n">
        <f aca="false">SRC_Cap!$O41</f>
        <v>0</v>
      </c>
      <c r="E557" s="92" t="n">
        <f aca="false">SRC_Cap!$K41</f>
        <v>0</v>
      </c>
      <c r="F557" s="92" t="n">
        <f aca="false">SRC_Cap!$S41</f>
        <v>0</v>
      </c>
    </row>
    <row r="558" customFormat="false" ht="15" hidden="false" customHeight="false" outlineLevel="0" collapsed="false">
      <c r="A558" s="92" t="str">
        <f aca="false">SRC_Cap!$A42&amp;""</f>
        <v/>
      </c>
      <c r="B558" s="62" t="s">
        <v>9575</v>
      </c>
      <c r="C558" s="61" t="n">
        <v>42</v>
      </c>
      <c r="D558" s="92" t="n">
        <f aca="false">SRC_Cap!$O42</f>
        <v>0</v>
      </c>
      <c r="E558" s="92" t="n">
        <f aca="false">SRC_Cap!$K42</f>
        <v>0</v>
      </c>
      <c r="F558" s="92" t="n">
        <f aca="false">SRC_Cap!$S42</f>
        <v>0</v>
      </c>
    </row>
    <row r="559" customFormat="false" ht="15" hidden="false" customHeight="false" outlineLevel="0" collapsed="false">
      <c r="A559" s="92" t="str">
        <f aca="false">SRC_Cap!$A43&amp;""</f>
        <v/>
      </c>
      <c r="B559" s="62" t="s">
        <v>9575</v>
      </c>
      <c r="C559" s="61" t="n">
        <v>43</v>
      </c>
      <c r="D559" s="92" t="n">
        <f aca="false">SRC_Cap!$O43</f>
        <v>0</v>
      </c>
      <c r="E559" s="92" t="n">
        <f aca="false">SRC_Cap!$K43</f>
        <v>0</v>
      </c>
      <c r="F559" s="92" t="n">
        <f aca="false">SRC_Cap!$S43</f>
        <v>0</v>
      </c>
    </row>
    <row r="560" customFormat="false" ht="15" hidden="false" customHeight="false" outlineLevel="0" collapsed="false">
      <c r="A560" s="92" t="str">
        <f aca="false">SRC_Cap!$A44&amp;""</f>
        <v/>
      </c>
      <c r="B560" s="62" t="s">
        <v>9575</v>
      </c>
      <c r="C560" s="61" t="n">
        <v>44</v>
      </c>
      <c r="D560" s="92" t="n">
        <f aca="false">SRC_Cap!$O44</f>
        <v>0</v>
      </c>
      <c r="E560" s="92" t="n">
        <f aca="false">SRC_Cap!$K44</f>
        <v>0</v>
      </c>
      <c r="F560" s="92" t="n">
        <f aca="false">SRC_Cap!$S44</f>
        <v>0</v>
      </c>
    </row>
    <row r="561" customFormat="false" ht="15" hidden="false" customHeight="false" outlineLevel="0" collapsed="false">
      <c r="A561" s="92" t="str">
        <f aca="false">SRC_Cap!$A45&amp;""</f>
        <v/>
      </c>
      <c r="B561" s="62" t="s">
        <v>9575</v>
      </c>
      <c r="C561" s="61" t="n">
        <v>45</v>
      </c>
      <c r="D561" s="92" t="n">
        <f aca="false">SRC_Cap!$O45</f>
        <v>0</v>
      </c>
      <c r="E561" s="92" t="n">
        <f aca="false">SRC_Cap!$K45</f>
        <v>0</v>
      </c>
      <c r="F561" s="92" t="n">
        <f aca="false">SRC_Cap!$S45</f>
        <v>0</v>
      </c>
    </row>
    <row r="562" customFormat="false" ht="15" hidden="false" customHeight="false" outlineLevel="0" collapsed="false">
      <c r="A562" s="92" t="str">
        <f aca="false">SRC_Cap!$A46&amp;""</f>
        <v/>
      </c>
      <c r="B562" s="62" t="s">
        <v>9575</v>
      </c>
      <c r="C562" s="61" t="n">
        <v>46</v>
      </c>
      <c r="D562" s="92" t="n">
        <f aca="false">SRC_Cap!$O46</f>
        <v>0</v>
      </c>
      <c r="E562" s="92" t="n">
        <f aca="false">SRC_Cap!$K46</f>
        <v>0</v>
      </c>
      <c r="F562" s="92" t="n">
        <f aca="false">SRC_Cap!$S46</f>
        <v>0</v>
      </c>
    </row>
    <row r="563" customFormat="false" ht="15" hidden="false" customHeight="false" outlineLevel="0" collapsed="false">
      <c r="A563" s="92" t="str">
        <f aca="false">SRC_Cap!$A47&amp;""</f>
        <v/>
      </c>
      <c r="B563" s="62" t="s">
        <v>9575</v>
      </c>
      <c r="C563" s="61" t="n">
        <v>47</v>
      </c>
      <c r="D563" s="92" t="n">
        <f aca="false">SRC_Cap!$O47</f>
        <v>0</v>
      </c>
      <c r="E563" s="92" t="n">
        <f aca="false">SRC_Cap!$K47</f>
        <v>0</v>
      </c>
      <c r="F563" s="92" t="n">
        <f aca="false">SRC_Cap!$S47</f>
        <v>0</v>
      </c>
    </row>
    <row r="564" customFormat="false" ht="15" hidden="false" customHeight="false" outlineLevel="0" collapsed="false">
      <c r="A564" s="92" t="str">
        <f aca="false">SRC_Cap!$A48&amp;""</f>
        <v/>
      </c>
      <c r="B564" s="62" t="s">
        <v>9575</v>
      </c>
      <c r="C564" s="61" t="n">
        <v>48</v>
      </c>
      <c r="D564" s="92" t="n">
        <f aca="false">SRC_Cap!$O48</f>
        <v>0</v>
      </c>
      <c r="E564" s="92" t="n">
        <f aca="false">SRC_Cap!$K48</f>
        <v>0</v>
      </c>
      <c r="F564" s="92" t="n">
        <f aca="false">SRC_Cap!$S48</f>
        <v>0</v>
      </c>
    </row>
    <row r="565" customFormat="false" ht="15" hidden="false" customHeight="false" outlineLevel="0" collapsed="false">
      <c r="A565" s="92" t="str">
        <f aca="false">SRC_Cap!$A49&amp;""</f>
        <v/>
      </c>
      <c r="B565" s="62" t="s">
        <v>9575</v>
      </c>
      <c r="C565" s="61" t="n">
        <v>49</v>
      </c>
      <c r="D565" s="92" t="n">
        <f aca="false">SRC_Cap!$O49</f>
        <v>0</v>
      </c>
      <c r="E565" s="92" t="n">
        <f aca="false">SRC_Cap!$K49</f>
        <v>0</v>
      </c>
      <c r="F565" s="92" t="n">
        <f aca="false">SRC_Cap!$S49</f>
        <v>0</v>
      </c>
    </row>
    <row r="566" customFormat="false" ht="15" hidden="false" customHeight="false" outlineLevel="0" collapsed="false">
      <c r="A566" s="92" t="str">
        <f aca="false">SRC_Cap!$A50&amp;""</f>
        <v/>
      </c>
      <c r="B566" s="62" t="s">
        <v>9575</v>
      </c>
      <c r="C566" s="61" t="n">
        <v>50</v>
      </c>
      <c r="D566" s="92" t="n">
        <f aca="false">SRC_Cap!$O50</f>
        <v>0</v>
      </c>
      <c r="E566" s="92" t="n">
        <f aca="false">SRC_Cap!$K50</f>
        <v>0</v>
      </c>
      <c r="F566" s="92" t="n">
        <f aca="false">SRC_Cap!$S50</f>
        <v>0</v>
      </c>
    </row>
    <row r="567" customFormat="false" ht="15" hidden="false" customHeight="false" outlineLevel="0" collapsed="false">
      <c r="A567" s="92" t="str">
        <f aca="false">SRC_Cap!$A51&amp;""</f>
        <v/>
      </c>
      <c r="B567" s="62" t="s">
        <v>9575</v>
      </c>
      <c r="C567" s="61" t="n">
        <v>51</v>
      </c>
      <c r="D567" s="92" t="n">
        <f aca="false">SRC_Cap!$O51</f>
        <v>0</v>
      </c>
      <c r="E567" s="92" t="n">
        <f aca="false">SRC_Cap!$K51</f>
        <v>0</v>
      </c>
      <c r="F567" s="92" t="n">
        <f aca="false">SRC_Cap!$S51</f>
        <v>0</v>
      </c>
    </row>
    <row r="568" customFormat="false" ht="15" hidden="false" customHeight="false" outlineLevel="0" collapsed="false">
      <c r="A568" s="92" t="str">
        <f aca="false">SRC_Cap!$A52&amp;""</f>
        <v/>
      </c>
      <c r="B568" s="62" t="s">
        <v>9575</v>
      </c>
      <c r="C568" s="61" t="n">
        <v>52</v>
      </c>
      <c r="D568" s="92" t="n">
        <f aca="false">SRC_Cap!$O52</f>
        <v>0</v>
      </c>
      <c r="E568" s="92" t="n">
        <f aca="false">SRC_Cap!$K52</f>
        <v>0</v>
      </c>
      <c r="F568" s="92" t="n">
        <f aca="false">SRC_Cap!$S52</f>
        <v>0</v>
      </c>
    </row>
    <row r="569" customFormat="false" ht="15" hidden="false" customHeight="false" outlineLevel="0" collapsed="false">
      <c r="A569" s="92" t="str">
        <f aca="false">SRC_Cap!$A53&amp;""</f>
        <v/>
      </c>
      <c r="B569" s="62" t="s">
        <v>9575</v>
      </c>
      <c r="C569" s="61" t="n">
        <v>53</v>
      </c>
      <c r="D569" s="92" t="n">
        <f aca="false">SRC_Cap!$O53</f>
        <v>0</v>
      </c>
      <c r="E569" s="92" t="n">
        <f aca="false">SRC_Cap!$K53</f>
        <v>0</v>
      </c>
      <c r="F569" s="92" t="n">
        <f aca="false">SRC_Cap!$S53</f>
        <v>0</v>
      </c>
    </row>
    <row r="570" customFormat="false" ht="15" hidden="false" customHeight="false" outlineLevel="0" collapsed="false">
      <c r="A570" s="92" t="str">
        <f aca="false">SRC_Cap!$A54&amp;""</f>
        <v/>
      </c>
      <c r="B570" s="62" t="s">
        <v>9575</v>
      </c>
      <c r="C570" s="61" t="n">
        <v>54</v>
      </c>
      <c r="D570" s="92" t="n">
        <f aca="false">SRC_Cap!$O54</f>
        <v>0</v>
      </c>
      <c r="E570" s="92" t="n">
        <f aca="false">SRC_Cap!$K54</f>
        <v>0</v>
      </c>
      <c r="F570" s="92" t="n">
        <f aca="false">SRC_Cap!$S54</f>
        <v>0</v>
      </c>
    </row>
    <row r="571" customFormat="false" ht="15" hidden="false" customHeight="false" outlineLevel="0" collapsed="false">
      <c r="A571" s="92" t="str">
        <f aca="false">SRC_Cap!$A55&amp;""</f>
        <v/>
      </c>
      <c r="B571" s="62" t="s">
        <v>9575</v>
      </c>
      <c r="C571" s="61" t="n">
        <v>55</v>
      </c>
      <c r="D571" s="92" t="n">
        <f aca="false">SRC_Cap!$O55</f>
        <v>0</v>
      </c>
      <c r="E571" s="92" t="n">
        <f aca="false">SRC_Cap!$K55</f>
        <v>0</v>
      </c>
      <c r="F571" s="92" t="n">
        <f aca="false">SRC_Cap!$S55</f>
        <v>0</v>
      </c>
    </row>
    <row r="572" customFormat="false" ht="15" hidden="false" customHeight="false" outlineLevel="0" collapsed="false">
      <c r="A572" s="92" t="str">
        <f aca="false">SRC_Cap!$A56&amp;""</f>
        <v/>
      </c>
      <c r="B572" s="62" t="s">
        <v>9575</v>
      </c>
      <c r="C572" s="61" t="n">
        <v>56</v>
      </c>
      <c r="D572" s="92" t="n">
        <f aca="false">SRC_Cap!$O56</f>
        <v>0</v>
      </c>
      <c r="E572" s="92" t="n">
        <f aca="false">SRC_Cap!$K56</f>
        <v>0</v>
      </c>
      <c r="F572" s="92" t="n">
        <f aca="false">SRC_Cap!$S56</f>
        <v>0</v>
      </c>
    </row>
    <row r="573" customFormat="false" ht="15" hidden="false" customHeight="false" outlineLevel="0" collapsed="false">
      <c r="A573" s="92" t="str">
        <f aca="false">SRC_Cap!$A57&amp;""</f>
        <v/>
      </c>
      <c r="B573" s="62" t="s">
        <v>9575</v>
      </c>
      <c r="C573" s="61" t="n">
        <v>57</v>
      </c>
      <c r="D573" s="92" t="n">
        <f aca="false">SRC_Cap!$O57</f>
        <v>0</v>
      </c>
      <c r="E573" s="92" t="n">
        <f aca="false">SRC_Cap!$K57</f>
        <v>0</v>
      </c>
      <c r="F573" s="92" t="n">
        <f aca="false">SRC_Cap!$S57</f>
        <v>0</v>
      </c>
    </row>
    <row r="574" customFormat="false" ht="15" hidden="false" customHeight="false" outlineLevel="0" collapsed="false">
      <c r="A574" s="92" t="str">
        <f aca="false">SRC_Cap!$A58&amp;""</f>
        <v/>
      </c>
      <c r="B574" s="62" t="s">
        <v>9575</v>
      </c>
      <c r="C574" s="61" t="n">
        <v>58</v>
      </c>
      <c r="D574" s="92" t="n">
        <f aca="false">SRC_Cap!$O58</f>
        <v>0</v>
      </c>
      <c r="E574" s="92" t="n">
        <f aca="false">SRC_Cap!$K58</f>
        <v>0</v>
      </c>
      <c r="F574" s="92" t="n">
        <f aca="false">SRC_Cap!$S58</f>
        <v>0</v>
      </c>
    </row>
    <row r="575" customFormat="false" ht="15" hidden="false" customHeight="false" outlineLevel="0" collapsed="false">
      <c r="A575" s="92" t="str">
        <f aca="false">SRC_Cap!$A59&amp;""</f>
        <v/>
      </c>
      <c r="B575" s="62" t="s">
        <v>9575</v>
      </c>
      <c r="C575" s="61" t="n">
        <v>59</v>
      </c>
      <c r="D575" s="92" t="n">
        <f aca="false">SRC_Cap!$O59</f>
        <v>0</v>
      </c>
      <c r="E575" s="92" t="n">
        <f aca="false">SRC_Cap!$K59</f>
        <v>0</v>
      </c>
      <c r="F575" s="92" t="n">
        <f aca="false">SRC_Cap!$S59</f>
        <v>0</v>
      </c>
    </row>
    <row r="576" customFormat="false" ht="15" hidden="false" customHeight="false" outlineLevel="0" collapsed="false">
      <c r="A576" s="92" t="str">
        <f aca="false">SRC_Cap!$A60&amp;""</f>
        <v/>
      </c>
      <c r="B576" s="62" t="s">
        <v>9575</v>
      </c>
      <c r="C576" s="61" t="n">
        <v>60</v>
      </c>
      <c r="D576" s="92" t="n">
        <f aca="false">SRC_Cap!$O60</f>
        <v>0</v>
      </c>
      <c r="E576" s="92" t="n">
        <f aca="false">SRC_Cap!$K60</f>
        <v>0</v>
      </c>
      <c r="F576" s="92" t="n">
        <f aca="false">SRC_Cap!$S60</f>
        <v>0</v>
      </c>
    </row>
    <row r="577" customFormat="false" ht="15" hidden="false" customHeight="false" outlineLevel="0" collapsed="false">
      <c r="A577" s="92" t="str">
        <f aca="false">SRC_Cap!$A61&amp;""</f>
        <v/>
      </c>
      <c r="B577" s="62" t="s">
        <v>9575</v>
      </c>
      <c r="C577" s="61" t="n">
        <v>61</v>
      </c>
      <c r="D577" s="92" t="n">
        <f aca="false">SRC_Cap!$O61</f>
        <v>0</v>
      </c>
      <c r="E577" s="92" t="n">
        <f aca="false">SRC_Cap!$K61</f>
        <v>0</v>
      </c>
      <c r="F577" s="92" t="n">
        <f aca="false">SRC_Cap!$S61</f>
        <v>0</v>
      </c>
    </row>
    <row r="578" customFormat="false" ht="15" hidden="false" customHeight="false" outlineLevel="0" collapsed="false">
      <c r="A578" s="92" t="str">
        <f aca="false">SRC_Cap!$A62&amp;""</f>
        <v/>
      </c>
      <c r="B578" s="62" t="s">
        <v>9575</v>
      </c>
      <c r="C578" s="61" t="n">
        <v>62</v>
      </c>
      <c r="D578" s="92" t="n">
        <f aca="false">SRC_Cap!$O62</f>
        <v>0</v>
      </c>
      <c r="E578" s="92" t="n">
        <f aca="false">SRC_Cap!$K62</f>
        <v>0</v>
      </c>
      <c r="F578" s="92" t="n">
        <f aca="false">SRC_Cap!$S62</f>
        <v>0</v>
      </c>
    </row>
    <row r="579" customFormat="false" ht="15" hidden="false" customHeight="false" outlineLevel="0" collapsed="false">
      <c r="A579" s="92" t="str">
        <f aca="false">SRC_Cap!$A63&amp;""</f>
        <v/>
      </c>
      <c r="B579" s="62" t="s">
        <v>9575</v>
      </c>
      <c r="C579" s="61" t="n">
        <v>63</v>
      </c>
      <c r="D579" s="92" t="n">
        <f aca="false">SRC_Cap!$O63</f>
        <v>0</v>
      </c>
      <c r="E579" s="92" t="n">
        <f aca="false">SRC_Cap!$K63</f>
        <v>0</v>
      </c>
      <c r="F579" s="92" t="n">
        <f aca="false">SRC_Cap!$S63</f>
        <v>0</v>
      </c>
    </row>
    <row r="580" customFormat="false" ht="15" hidden="false" customHeight="false" outlineLevel="0" collapsed="false">
      <c r="A580" s="92" t="str">
        <f aca="false">SRC_Cap!$A64&amp;""</f>
        <v/>
      </c>
      <c r="B580" s="62" t="s">
        <v>9575</v>
      </c>
      <c r="C580" s="61" t="n">
        <v>64</v>
      </c>
      <c r="D580" s="92" t="n">
        <f aca="false">SRC_Cap!$O64</f>
        <v>0</v>
      </c>
      <c r="E580" s="92" t="n">
        <f aca="false">SRC_Cap!$K64</f>
        <v>0</v>
      </c>
      <c r="F580" s="92" t="n">
        <f aca="false">SRC_Cap!$S64</f>
        <v>0</v>
      </c>
    </row>
    <row r="581" customFormat="false" ht="15" hidden="false" customHeight="false" outlineLevel="0" collapsed="false">
      <c r="A581" s="92" t="str">
        <f aca="false">SRC_Cap!$A65&amp;""</f>
        <v/>
      </c>
      <c r="B581" s="62" t="s">
        <v>9575</v>
      </c>
      <c r="C581" s="61" t="n">
        <v>65</v>
      </c>
      <c r="D581" s="92" t="n">
        <f aca="false">SRC_Cap!$O65</f>
        <v>0</v>
      </c>
      <c r="E581" s="92" t="n">
        <f aca="false">SRC_Cap!$K65</f>
        <v>0</v>
      </c>
      <c r="F581" s="92" t="n">
        <f aca="false">SRC_Cap!$S65</f>
        <v>0</v>
      </c>
    </row>
    <row r="582" customFormat="false" ht="15" hidden="false" customHeight="false" outlineLevel="0" collapsed="false">
      <c r="A582" s="92" t="str">
        <f aca="false">SRC_Cap!$A66&amp;""</f>
        <v/>
      </c>
      <c r="B582" s="62" t="s">
        <v>9575</v>
      </c>
      <c r="C582" s="61" t="n">
        <v>66</v>
      </c>
      <c r="D582" s="92" t="n">
        <f aca="false">SRC_Cap!$O66</f>
        <v>0</v>
      </c>
      <c r="E582" s="92" t="n">
        <f aca="false">SRC_Cap!$K66</f>
        <v>0</v>
      </c>
      <c r="F582" s="92" t="n">
        <f aca="false">SRC_Cap!$S66</f>
        <v>0</v>
      </c>
    </row>
    <row r="583" customFormat="false" ht="15" hidden="false" customHeight="false" outlineLevel="0" collapsed="false">
      <c r="A583" s="92" t="str">
        <f aca="false">SRC_Cap!$A67&amp;""</f>
        <v/>
      </c>
      <c r="B583" s="62" t="s">
        <v>9575</v>
      </c>
      <c r="C583" s="61" t="n">
        <v>67</v>
      </c>
      <c r="D583" s="92" t="n">
        <f aca="false">SRC_Cap!$O67</f>
        <v>0</v>
      </c>
      <c r="E583" s="92" t="n">
        <f aca="false">SRC_Cap!$K67</f>
        <v>0</v>
      </c>
      <c r="F583" s="92" t="n">
        <f aca="false">SRC_Cap!$S67</f>
        <v>0</v>
      </c>
    </row>
    <row r="584" customFormat="false" ht="15" hidden="false" customHeight="false" outlineLevel="0" collapsed="false">
      <c r="A584" s="92" t="str">
        <f aca="false">SRC_Cap!$A68&amp;""</f>
        <v/>
      </c>
      <c r="B584" s="62" t="s">
        <v>9575</v>
      </c>
      <c r="C584" s="61" t="n">
        <v>68</v>
      </c>
      <c r="D584" s="92" t="n">
        <f aca="false">SRC_Cap!$O68</f>
        <v>0</v>
      </c>
      <c r="E584" s="92" t="n">
        <f aca="false">SRC_Cap!$K68</f>
        <v>0</v>
      </c>
      <c r="F584" s="92" t="n">
        <f aca="false">SRC_Cap!$S68</f>
        <v>0</v>
      </c>
    </row>
    <row r="585" customFormat="false" ht="15" hidden="false" customHeight="false" outlineLevel="0" collapsed="false">
      <c r="A585" s="92" t="str">
        <f aca="false">SRC_Cap!$A69&amp;""</f>
        <v/>
      </c>
      <c r="B585" s="62" t="s">
        <v>9575</v>
      </c>
      <c r="C585" s="61" t="n">
        <v>69</v>
      </c>
      <c r="D585" s="92" t="n">
        <f aca="false">SRC_Cap!$O69</f>
        <v>0</v>
      </c>
      <c r="E585" s="92" t="n">
        <f aca="false">SRC_Cap!$K69</f>
        <v>0</v>
      </c>
      <c r="F585" s="92" t="n">
        <f aca="false">SRC_Cap!$S69</f>
        <v>0</v>
      </c>
    </row>
    <row r="586" customFormat="false" ht="15" hidden="false" customHeight="false" outlineLevel="0" collapsed="false">
      <c r="A586" s="92" t="str">
        <f aca="false">SRC_Cap!$A70&amp;""</f>
        <v/>
      </c>
      <c r="B586" s="62" t="s">
        <v>9575</v>
      </c>
      <c r="C586" s="61" t="n">
        <v>70</v>
      </c>
      <c r="D586" s="92" t="n">
        <f aca="false">SRC_Cap!$O70</f>
        <v>0</v>
      </c>
      <c r="E586" s="92" t="n">
        <f aca="false">SRC_Cap!$K70</f>
        <v>0</v>
      </c>
      <c r="F586" s="92" t="n">
        <f aca="false">SRC_Cap!$S70</f>
        <v>0</v>
      </c>
    </row>
    <row r="587" customFormat="false" ht="15" hidden="false" customHeight="false" outlineLevel="0" collapsed="false">
      <c r="A587" s="92" t="str">
        <f aca="false">SRC_Cap!$A71&amp;""</f>
        <v/>
      </c>
      <c r="B587" s="62" t="s">
        <v>9575</v>
      </c>
      <c r="C587" s="61" t="n">
        <v>71</v>
      </c>
      <c r="D587" s="92" t="n">
        <f aca="false">SRC_Cap!$O71</f>
        <v>0</v>
      </c>
      <c r="E587" s="92" t="n">
        <f aca="false">SRC_Cap!$K71</f>
        <v>0</v>
      </c>
      <c r="F587" s="92" t="n">
        <f aca="false">SRC_Cap!$S71</f>
        <v>0</v>
      </c>
    </row>
    <row r="588" customFormat="false" ht="15" hidden="false" customHeight="false" outlineLevel="0" collapsed="false">
      <c r="A588" s="92" t="str">
        <f aca="false">SRC_Cap!$A72&amp;""</f>
        <v/>
      </c>
      <c r="B588" s="62" t="s">
        <v>9575</v>
      </c>
      <c r="C588" s="61" t="n">
        <v>72</v>
      </c>
      <c r="D588" s="92" t="n">
        <f aca="false">SRC_Cap!$O72</f>
        <v>0</v>
      </c>
      <c r="E588" s="92" t="n">
        <f aca="false">SRC_Cap!$K72</f>
        <v>0</v>
      </c>
      <c r="F588" s="92" t="n">
        <f aca="false">SRC_Cap!$S72</f>
        <v>0</v>
      </c>
    </row>
    <row r="589" customFormat="false" ht="15" hidden="false" customHeight="false" outlineLevel="0" collapsed="false">
      <c r="A589" s="92" t="str">
        <f aca="false">SRC_Cap!$A73&amp;""</f>
        <v/>
      </c>
      <c r="B589" s="62" t="s">
        <v>9575</v>
      </c>
      <c r="C589" s="61" t="n">
        <v>73</v>
      </c>
      <c r="D589" s="92" t="n">
        <f aca="false">SRC_Cap!$O73</f>
        <v>0</v>
      </c>
      <c r="E589" s="92" t="n">
        <f aca="false">SRC_Cap!$K73</f>
        <v>0</v>
      </c>
      <c r="F589" s="92" t="n">
        <f aca="false">SRC_Cap!$S73</f>
        <v>0</v>
      </c>
    </row>
    <row r="590" customFormat="false" ht="15" hidden="false" customHeight="false" outlineLevel="0" collapsed="false">
      <c r="A590" s="92" t="str">
        <f aca="false">SRC_Cap!$A74&amp;""</f>
        <v/>
      </c>
      <c r="B590" s="62" t="s">
        <v>9575</v>
      </c>
      <c r="C590" s="61" t="n">
        <v>74</v>
      </c>
      <c r="D590" s="92" t="n">
        <f aca="false">SRC_Cap!$O74</f>
        <v>0</v>
      </c>
      <c r="E590" s="92" t="n">
        <f aca="false">SRC_Cap!$K74</f>
        <v>0</v>
      </c>
      <c r="F590" s="92" t="n">
        <f aca="false">SRC_Cap!$S74</f>
        <v>0</v>
      </c>
    </row>
    <row r="591" customFormat="false" ht="15" hidden="false" customHeight="false" outlineLevel="0" collapsed="false">
      <c r="A591" s="92" t="str">
        <f aca="false">SRC_Cap!$A75&amp;""</f>
        <v/>
      </c>
      <c r="B591" s="62" t="s">
        <v>9575</v>
      </c>
      <c r="C591" s="61" t="n">
        <v>75</v>
      </c>
      <c r="D591" s="92" t="n">
        <f aca="false">SRC_Cap!$O75</f>
        <v>0</v>
      </c>
      <c r="E591" s="92" t="n">
        <f aca="false">SRC_Cap!$K75</f>
        <v>0</v>
      </c>
      <c r="F591" s="92" t="n">
        <f aca="false">SRC_Cap!$S75</f>
        <v>0</v>
      </c>
    </row>
    <row r="592" customFormat="false" ht="15" hidden="false" customHeight="false" outlineLevel="0" collapsed="false">
      <c r="A592" s="92" t="str">
        <f aca="false">SRC_Harness!$A5&amp;""</f>
        <v>SRC_HAR_001</v>
      </c>
      <c r="B592" s="62" t="s">
        <v>9576</v>
      </c>
      <c r="C592" s="61" t="n">
        <v>5</v>
      </c>
      <c r="D592" s="92" t="str">
        <f aca="false">SRC_Harness!$O5</f>
        <v>Active</v>
      </c>
      <c r="E592" s="92" t="n">
        <f aca="false">SRC_Harness!$K5</f>
        <v>2</v>
      </c>
      <c r="F592" s="92" t="str">
        <f aca="false">SRC_Harness!$S5</f>
        <v>—</v>
      </c>
    </row>
    <row r="593" customFormat="false" ht="15" hidden="false" customHeight="false" outlineLevel="0" collapsed="false">
      <c r="A593" s="92" t="str">
        <f aca="false">SRC_Harness!$A6&amp;""</f>
        <v>SRC_HAR_002</v>
      </c>
      <c r="B593" s="62" t="s">
        <v>9576</v>
      </c>
      <c r="C593" s="61" t="n">
        <v>6</v>
      </c>
      <c r="D593" s="92" t="str">
        <f aca="false">SRC_Harness!$O6</f>
        <v>Active</v>
      </c>
      <c r="E593" s="92" t="n">
        <f aca="false">SRC_Harness!$K6</f>
        <v>2</v>
      </c>
      <c r="F593" s="92" t="str">
        <f aca="false">SRC_Harness!$S6</f>
        <v>—</v>
      </c>
    </row>
    <row r="594" customFormat="false" ht="15" hidden="false" customHeight="false" outlineLevel="0" collapsed="false">
      <c r="A594" s="92" t="str">
        <f aca="false">SRC_Harness!$A7&amp;""</f>
        <v>SRC_HAR_003</v>
      </c>
      <c r="B594" s="62" t="s">
        <v>9576</v>
      </c>
      <c r="C594" s="61" t="n">
        <v>7</v>
      </c>
      <c r="D594" s="92" t="str">
        <f aca="false">SRC_Harness!$O7</f>
        <v>Active</v>
      </c>
      <c r="E594" s="92" t="n">
        <f aca="false">SRC_Harness!$K7</f>
        <v>2</v>
      </c>
      <c r="F594" s="92" t="str">
        <f aca="false">SRC_Harness!$S7</f>
        <v>—</v>
      </c>
    </row>
    <row r="595" customFormat="false" ht="15" hidden="false" customHeight="false" outlineLevel="0" collapsed="false">
      <c r="A595" s="92" t="str">
        <f aca="false">SRC_Harness!$A8&amp;""</f>
        <v>SRC_HAR_004</v>
      </c>
      <c r="B595" s="62" t="s">
        <v>9576</v>
      </c>
      <c r="C595" s="61" t="n">
        <v>8</v>
      </c>
      <c r="D595" s="92" t="str">
        <f aca="false">SRC_Harness!$O8</f>
        <v>Active</v>
      </c>
      <c r="E595" s="92" t="n">
        <f aca="false">SRC_Harness!$K8</f>
        <v>2</v>
      </c>
      <c r="F595" s="92" t="str">
        <f aca="false">SRC_Harness!$S8</f>
        <v>—</v>
      </c>
    </row>
    <row r="596" customFormat="false" ht="15" hidden="false" customHeight="false" outlineLevel="0" collapsed="false">
      <c r="A596" s="92" t="str">
        <f aca="false">SRC_Harness!$A9&amp;""</f>
        <v>SRC_HAR_005</v>
      </c>
      <c r="B596" s="62" t="s">
        <v>9576</v>
      </c>
      <c r="C596" s="61" t="n">
        <v>9</v>
      </c>
      <c r="D596" s="92" t="str">
        <f aca="false">SRC_Harness!$O9</f>
        <v>Active</v>
      </c>
      <c r="E596" s="92" t="n">
        <f aca="false">SRC_Harness!$K9</f>
        <v>2</v>
      </c>
      <c r="F596" s="92" t="str">
        <f aca="false">SRC_Harness!$S9</f>
        <v>—</v>
      </c>
    </row>
    <row r="597" customFormat="false" ht="15" hidden="false" customHeight="false" outlineLevel="0" collapsed="false">
      <c r="A597" s="92" t="str">
        <f aca="false">SRC_Harness!$A10&amp;""</f>
        <v>SRC_HAR_006</v>
      </c>
      <c r="B597" s="62" t="s">
        <v>9576</v>
      </c>
      <c r="C597" s="61" t="n">
        <v>10</v>
      </c>
      <c r="D597" s="92" t="str">
        <f aca="false">SRC_Harness!$O10</f>
        <v>Active</v>
      </c>
      <c r="E597" s="92" t="n">
        <f aca="false">SRC_Harness!$K10</f>
        <v>2</v>
      </c>
      <c r="F597" s="92" t="str">
        <f aca="false">SRC_Harness!$S10</f>
        <v>—</v>
      </c>
    </row>
    <row r="598" customFormat="false" ht="15" hidden="false" customHeight="false" outlineLevel="0" collapsed="false">
      <c r="A598" s="92" t="str">
        <f aca="false">SRC_Harness!$A11&amp;""</f>
        <v>SRC_HAR_007</v>
      </c>
      <c r="B598" s="62" t="s">
        <v>9576</v>
      </c>
      <c r="C598" s="61" t="n">
        <v>11</v>
      </c>
      <c r="D598" s="92" t="str">
        <f aca="false">SRC_Harness!$O11</f>
        <v>Active</v>
      </c>
      <c r="E598" s="92" t="n">
        <f aca="false">SRC_Harness!$K11</f>
        <v>2</v>
      </c>
      <c r="F598" s="92" t="str">
        <f aca="false">SRC_Harness!$S11</f>
        <v>—</v>
      </c>
    </row>
    <row r="599" customFormat="false" ht="15" hidden="false" customHeight="false" outlineLevel="0" collapsed="false">
      <c r="A599" s="92" t="str">
        <f aca="false">SRC_Harness!$A12&amp;""</f>
        <v>SRC_HAR_008</v>
      </c>
      <c r="B599" s="62" t="s">
        <v>9576</v>
      </c>
      <c r="C599" s="61" t="n">
        <v>12</v>
      </c>
      <c r="D599" s="92" t="str">
        <f aca="false">SRC_Harness!$O12</f>
        <v>Active</v>
      </c>
      <c r="E599" s="92" t="n">
        <f aca="false">SRC_Harness!$K12</f>
        <v>2</v>
      </c>
      <c r="F599" s="92" t="str">
        <f aca="false">SRC_Harness!$S12</f>
        <v>—</v>
      </c>
    </row>
    <row r="600" customFormat="false" ht="15" hidden="false" customHeight="false" outlineLevel="0" collapsed="false">
      <c r="A600" s="92" t="str">
        <f aca="false">SRC_Harness!$A13&amp;""</f>
        <v>SRC_HAR_009</v>
      </c>
      <c r="B600" s="62" t="s">
        <v>9576</v>
      </c>
      <c r="C600" s="61" t="n">
        <v>13</v>
      </c>
      <c r="D600" s="92" t="str">
        <f aca="false">SRC_Harness!$O13</f>
        <v>Alt</v>
      </c>
      <c r="E600" s="92" t="n">
        <f aca="false">SRC_Harness!$K13</f>
        <v>2</v>
      </c>
      <c r="F600" s="92" t="str">
        <f aca="false">SRC_Harness!$S13</f>
        <v>—</v>
      </c>
    </row>
    <row r="601" customFormat="false" ht="15" hidden="false" customHeight="false" outlineLevel="0" collapsed="false">
      <c r="A601" s="92" t="str">
        <f aca="false">SRC_Harness!$A14&amp;""</f>
        <v>SRC_HAR_010</v>
      </c>
      <c r="B601" s="62" t="s">
        <v>9576</v>
      </c>
      <c r="C601" s="61" t="n">
        <v>14</v>
      </c>
      <c r="D601" s="92" t="str">
        <f aca="false">SRC_Harness!$O14</f>
        <v>Active</v>
      </c>
      <c r="E601" s="92" t="n">
        <f aca="false">SRC_Harness!$K14</f>
        <v>2</v>
      </c>
      <c r="F601" s="92" t="str">
        <f aca="false">SRC_Harness!$S14</f>
        <v>—</v>
      </c>
    </row>
    <row r="602" customFormat="false" ht="15" hidden="false" customHeight="false" outlineLevel="0" collapsed="false">
      <c r="A602" s="92" t="str">
        <f aca="false">SRC_Harness!$A15&amp;""</f>
        <v>SRC_HAR_011</v>
      </c>
      <c r="B602" s="62" t="s">
        <v>9576</v>
      </c>
      <c r="C602" s="61" t="n">
        <v>15</v>
      </c>
      <c r="D602" s="92" t="str">
        <f aca="false">SRC_Harness!$O15</f>
        <v>Active</v>
      </c>
      <c r="E602" s="92" t="n">
        <f aca="false">SRC_Harness!$K15</f>
        <v>2</v>
      </c>
      <c r="F602" s="92" t="str">
        <f aca="false">SRC_Harness!$S15</f>
        <v>—</v>
      </c>
    </row>
    <row r="603" customFormat="false" ht="15" hidden="false" customHeight="false" outlineLevel="0" collapsed="false">
      <c r="A603" s="92" t="str">
        <f aca="false">SRC_Harness!$A16&amp;""</f>
        <v>SRC_HAR_012</v>
      </c>
      <c r="B603" s="62" t="s">
        <v>9576</v>
      </c>
      <c r="C603" s="61" t="n">
        <v>16</v>
      </c>
      <c r="D603" s="92" t="str">
        <f aca="false">SRC_Harness!$O16</f>
        <v>Active</v>
      </c>
      <c r="E603" s="92" t="n">
        <f aca="false">SRC_Harness!$K16</f>
        <v>2</v>
      </c>
      <c r="F603" s="92" t="str">
        <f aca="false">SRC_Harness!$S16</f>
        <v>—</v>
      </c>
    </row>
    <row r="604" customFormat="false" ht="15" hidden="false" customHeight="false" outlineLevel="0" collapsed="false">
      <c r="A604" s="92" t="str">
        <f aca="false">SRC_Harness!$A17&amp;""</f>
        <v>SRC_HAR_013</v>
      </c>
      <c r="B604" s="62" t="s">
        <v>9576</v>
      </c>
      <c r="C604" s="61" t="n">
        <v>17</v>
      </c>
      <c r="D604" s="92" t="str">
        <f aca="false">SRC_Harness!$O17</f>
        <v>Active</v>
      </c>
      <c r="E604" s="92" t="n">
        <f aca="false">SRC_Harness!$K17</f>
        <v>2</v>
      </c>
      <c r="F604" s="92" t="str">
        <f aca="false">SRC_Harness!$S17</f>
        <v>—</v>
      </c>
    </row>
    <row r="605" customFormat="false" ht="15" hidden="false" customHeight="false" outlineLevel="0" collapsed="false">
      <c r="A605" s="92" t="str">
        <f aca="false">SRC_Harness!$A18&amp;""</f>
        <v>SRC_HAR_014</v>
      </c>
      <c r="B605" s="62" t="s">
        <v>9576</v>
      </c>
      <c r="C605" s="61" t="n">
        <v>18</v>
      </c>
      <c r="D605" s="92" t="str">
        <f aca="false">SRC_Harness!$O18</f>
        <v>Active</v>
      </c>
      <c r="E605" s="92" t="n">
        <f aca="false">SRC_Harness!$K18</f>
        <v>2</v>
      </c>
      <c r="F605" s="92" t="str">
        <f aca="false">SRC_Harness!$S18</f>
        <v>—</v>
      </c>
    </row>
    <row r="606" customFormat="false" ht="15" hidden="false" customHeight="false" outlineLevel="0" collapsed="false">
      <c r="A606" s="92" t="str">
        <f aca="false">SRC_Harness!$A19&amp;""</f>
        <v>SRC_HAR_015</v>
      </c>
      <c r="B606" s="62" t="s">
        <v>9576</v>
      </c>
      <c r="C606" s="61" t="n">
        <v>19</v>
      </c>
      <c r="D606" s="92" t="str">
        <f aca="false">SRC_Harness!$O19</f>
        <v>Active</v>
      </c>
      <c r="E606" s="92" t="n">
        <f aca="false">SRC_Harness!$K19</f>
        <v>2</v>
      </c>
      <c r="F606" s="92" t="str">
        <f aca="false">SRC_Harness!$S19</f>
        <v>—</v>
      </c>
    </row>
    <row r="607" customFormat="false" ht="15" hidden="false" customHeight="false" outlineLevel="0" collapsed="false">
      <c r="A607" s="92" t="str">
        <f aca="false">SRC_Harness!$A20&amp;""</f>
        <v>SRC_HAR_016</v>
      </c>
      <c r="B607" s="62" t="s">
        <v>9576</v>
      </c>
      <c r="C607" s="61" t="n">
        <v>20</v>
      </c>
      <c r="D607" s="92" t="str">
        <f aca="false">SRC_Harness!$O20</f>
        <v>Active</v>
      </c>
      <c r="E607" s="92" t="n">
        <f aca="false">SRC_Harness!$K20</f>
        <v>2</v>
      </c>
      <c r="F607" s="92" t="str">
        <f aca="false">SRC_Harness!$S20</f>
        <v>—</v>
      </c>
    </row>
    <row r="608" customFormat="false" ht="15" hidden="false" customHeight="false" outlineLevel="0" collapsed="false">
      <c r="A608" s="92" t="str">
        <f aca="false">SRC_Harness!$A21&amp;""</f>
        <v/>
      </c>
      <c r="B608" s="62" t="s">
        <v>9576</v>
      </c>
      <c r="C608" s="61" t="n">
        <v>21</v>
      </c>
      <c r="D608" s="92" t="n">
        <f aca="false">SRC_Harness!$O21</f>
        <v>0</v>
      </c>
      <c r="E608" s="92" t="n">
        <f aca="false">SRC_Harness!$K21</f>
        <v>0</v>
      </c>
      <c r="F608" s="92" t="n">
        <f aca="false">SRC_Harness!$S21</f>
        <v>0</v>
      </c>
    </row>
    <row r="609" customFormat="false" ht="15" hidden="false" customHeight="false" outlineLevel="0" collapsed="false">
      <c r="A609" s="92" t="str">
        <f aca="false">SRC_Harness!$A22&amp;""</f>
        <v/>
      </c>
      <c r="B609" s="62" t="s">
        <v>9576</v>
      </c>
      <c r="C609" s="61" t="n">
        <v>22</v>
      </c>
      <c r="D609" s="92" t="n">
        <f aca="false">SRC_Harness!$O22</f>
        <v>0</v>
      </c>
      <c r="E609" s="92" t="n">
        <f aca="false">SRC_Harness!$K22</f>
        <v>0</v>
      </c>
      <c r="F609" s="92" t="n">
        <f aca="false">SRC_Harness!$S22</f>
        <v>0</v>
      </c>
    </row>
    <row r="610" customFormat="false" ht="15" hidden="false" customHeight="false" outlineLevel="0" collapsed="false">
      <c r="A610" s="92" t="str">
        <f aca="false">SRC_Harness!$A23&amp;""</f>
        <v/>
      </c>
      <c r="B610" s="62" t="s">
        <v>9576</v>
      </c>
      <c r="C610" s="61" t="n">
        <v>23</v>
      </c>
      <c r="D610" s="92" t="n">
        <f aca="false">SRC_Harness!$O23</f>
        <v>0</v>
      </c>
      <c r="E610" s="92" t="n">
        <f aca="false">SRC_Harness!$K23</f>
        <v>0</v>
      </c>
      <c r="F610" s="92" t="n">
        <f aca="false">SRC_Harness!$S23</f>
        <v>0</v>
      </c>
    </row>
    <row r="611" customFormat="false" ht="15" hidden="false" customHeight="false" outlineLevel="0" collapsed="false">
      <c r="A611" s="92" t="str">
        <f aca="false">SRC_Harness!$A24&amp;""</f>
        <v/>
      </c>
      <c r="B611" s="62" t="s">
        <v>9576</v>
      </c>
      <c r="C611" s="61" t="n">
        <v>24</v>
      </c>
      <c r="D611" s="92" t="n">
        <f aca="false">SRC_Harness!$O24</f>
        <v>0</v>
      </c>
      <c r="E611" s="92" t="n">
        <f aca="false">SRC_Harness!$K24</f>
        <v>0</v>
      </c>
      <c r="F611" s="92" t="n">
        <f aca="false">SRC_Harness!$S24</f>
        <v>0</v>
      </c>
    </row>
    <row r="612" customFormat="false" ht="15" hidden="false" customHeight="false" outlineLevel="0" collapsed="false">
      <c r="A612" s="92" t="str">
        <f aca="false">SRC_Harness!$A25&amp;""</f>
        <v/>
      </c>
      <c r="B612" s="62" t="s">
        <v>9576</v>
      </c>
      <c r="C612" s="61" t="n">
        <v>25</v>
      </c>
      <c r="D612" s="92" t="n">
        <f aca="false">SRC_Harness!$O25</f>
        <v>0</v>
      </c>
      <c r="E612" s="92" t="n">
        <f aca="false">SRC_Harness!$K25</f>
        <v>0</v>
      </c>
      <c r="F612" s="92" t="n">
        <f aca="false">SRC_Harness!$S25</f>
        <v>0</v>
      </c>
    </row>
    <row r="613" customFormat="false" ht="15" hidden="false" customHeight="false" outlineLevel="0" collapsed="false">
      <c r="A613" s="92" t="str">
        <f aca="false">SRC_Harness!$A26&amp;""</f>
        <v/>
      </c>
      <c r="B613" s="62" t="s">
        <v>9576</v>
      </c>
      <c r="C613" s="61" t="n">
        <v>26</v>
      </c>
      <c r="D613" s="92" t="n">
        <f aca="false">SRC_Harness!$O26</f>
        <v>0</v>
      </c>
      <c r="E613" s="92" t="n">
        <f aca="false">SRC_Harness!$K26</f>
        <v>0</v>
      </c>
      <c r="F613" s="92" t="n">
        <f aca="false">SRC_Harness!$S26</f>
        <v>0</v>
      </c>
    </row>
    <row r="614" customFormat="false" ht="15" hidden="false" customHeight="false" outlineLevel="0" collapsed="false">
      <c r="A614" s="92" t="str">
        <f aca="false">SRC_Harness!$A27&amp;""</f>
        <v/>
      </c>
      <c r="B614" s="62" t="s">
        <v>9576</v>
      </c>
      <c r="C614" s="61" t="n">
        <v>27</v>
      </c>
      <c r="D614" s="92" t="n">
        <f aca="false">SRC_Harness!$O27</f>
        <v>0</v>
      </c>
      <c r="E614" s="92" t="n">
        <f aca="false">SRC_Harness!$K27</f>
        <v>0</v>
      </c>
      <c r="F614" s="92" t="n">
        <f aca="false">SRC_Harness!$S27</f>
        <v>0</v>
      </c>
    </row>
    <row r="615" customFormat="false" ht="15" hidden="false" customHeight="false" outlineLevel="0" collapsed="false">
      <c r="A615" s="92" t="str">
        <f aca="false">SRC_Harness!$A28&amp;""</f>
        <v/>
      </c>
      <c r="B615" s="62" t="s">
        <v>9576</v>
      </c>
      <c r="C615" s="61" t="n">
        <v>28</v>
      </c>
      <c r="D615" s="92" t="n">
        <f aca="false">SRC_Harness!$O28</f>
        <v>0</v>
      </c>
      <c r="E615" s="92" t="n">
        <f aca="false">SRC_Harness!$K28</f>
        <v>0</v>
      </c>
      <c r="F615" s="92" t="n">
        <f aca="false">SRC_Harness!$S28</f>
        <v>0</v>
      </c>
    </row>
    <row r="616" customFormat="false" ht="15" hidden="false" customHeight="false" outlineLevel="0" collapsed="false">
      <c r="A616" s="92" t="str">
        <f aca="false">SRC_Harness!$A29&amp;""</f>
        <v/>
      </c>
      <c r="B616" s="62" t="s">
        <v>9576</v>
      </c>
      <c r="C616" s="61" t="n">
        <v>29</v>
      </c>
      <c r="D616" s="92" t="n">
        <f aca="false">SRC_Harness!$O29</f>
        <v>0</v>
      </c>
      <c r="E616" s="92" t="n">
        <f aca="false">SRC_Harness!$K29</f>
        <v>0</v>
      </c>
      <c r="F616" s="92" t="n">
        <f aca="false">SRC_Harness!$S29</f>
        <v>0</v>
      </c>
    </row>
    <row r="617" customFormat="false" ht="15" hidden="false" customHeight="false" outlineLevel="0" collapsed="false">
      <c r="A617" s="92" t="str">
        <f aca="false">SRC_Harness!$A30&amp;""</f>
        <v/>
      </c>
      <c r="B617" s="62" t="s">
        <v>9576</v>
      </c>
      <c r="C617" s="61" t="n">
        <v>30</v>
      </c>
      <c r="D617" s="92" t="n">
        <f aca="false">SRC_Harness!$O30</f>
        <v>0</v>
      </c>
      <c r="E617" s="92" t="n">
        <f aca="false">SRC_Harness!$K30</f>
        <v>0</v>
      </c>
      <c r="F617" s="92" t="n">
        <f aca="false">SRC_Harness!$S30</f>
        <v>0</v>
      </c>
    </row>
    <row r="618" customFormat="false" ht="15" hidden="false" customHeight="false" outlineLevel="0" collapsed="false">
      <c r="A618" s="92" t="str">
        <f aca="false">SRC_Harness!$A31&amp;""</f>
        <v/>
      </c>
      <c r="B618" s="62" t="s">
        <v>9576</v>
      </c>
      <c r="C618" s="61" t="n">
        <v>31</v>
      </c>
      <c r="D618" s="92" t="n">
        <f aca="false">SRC_Harness!$O31</f>
        <v>0</v>
      </c>
      <c r="E618" s="92" t="n">
        <f aca="false">SRC_Harness!$K31</f>
        <v>0</v>
      </c>
      <c r="F618" s="92" t="n">
        <f aca="false">SRC_Harness!$S31</f>
        <v>0</v>
      </c>
    </row>
    <row r="619" customFormat="false" ht="15" hidden="false" customHeight="false" outlineLevel="0" collapsed="false">
      <c r="A619" s="92" t="str">
        <f aca="false">SRC_Harness!$A32&amp;""</f>
        <v/>
      </c>
      <c r="B619" s="62" t="s">
        <v>9576</v>
      </c>
      <c r="C619" s="61" t="n">
        <v>32</v>
      </c>
      <c r="D619" s="92" t="n">
        <f aca="false">SRC_Harness!$O32</f>
        <v>0</v>
      </c>
      <c r="E619" s="92" t="n">
        <f aca="false">SRC_Harness!$K32</f>
        <v>0</v>
      </c>
      <c r="F619" s="92" t="n">
        <f aca="false">SRC_Harness!$S32</f>
        <v>0</v>
      </c>
    </row>
    <row r="620" customFormat="false" ht="15" hidden="false" customHeight="false" outlineLevel="0" collapsed="false">
      <c r="A620" s="92" t="str">
        <f aca="false">SRC_Harness!$A33&amp;""</f>
        <v/>
      </c>
      <c r="B620" s="62" t="s">
        <v>9576</v>
      </c>
      <c r="C620" s="61" t="n">
        <v>33</v>
      </c>
      <c r="D620" s="92" t="n">
        <f aca="false">SRC_Harness!$O33</f>
        <v>0</v>
      </c>
      <c r="E620" s="92" t="n">
        <f aca="false">SRC_Harness!$K33</f>
        <v>0</v>
      </c>
      <c r="F620" s="92" t="n">
        <f aca="false">SRC_Harness!$S33</f>
        <v>0</v>
      </c>
    </row>
    <row r="621" customFormat="false" ht="15" hidden="false" customHeight="false" outlineLevel="0" collapsed="false">
      <c r="A621" s="92" t="str">
        <f aca="false">SRC_Harness!$A34&amp;""</f>
        <v/>
      </c>
      <c r="B621" s="62" t="s">
        <v>9576</v>
      </c>
      <c r="C621" s="61" t="n">
        <v>34</v>
      </c>
      <c r="D621" s="92" t="n">
        <f aca="false">SRC_Harness!$O34</f>
        <v>0</v>
      </c>
      <c r="E621" s="92" t="n">
        <f aca="false">SRC_Harness!$K34</f>
        <v>0</v>
      </c>
      <c r="F621" s="92" t="n">
        <f aca="false">SRC_Harness!$S34</f>
        <v>0</v>
      </c>
    </row>
    <row r="622" customFormat="false" ht="15" hidden="false" customHeight="false" outlineLevel="0" collapsed="false">
      <c r="A622" s="92" t="str">
        <f aca="false">SRC_Harness!$A35&amp;""</f>
        <v/>
      </c>
      <c r="B622" s="62" t="s">
        <v>9576</v>
      </c>
      <c r="C622" s="61" t="n">
        <v>35</v>
      </c>
      <c r="D622" s="92" t="n">
        <f aca="false">SRC_Harness!$O35</f>
        <v>0</v>
      </c>
      <c r="E622" s="92" t="n">
        <f aca="false">SRC_Harness!$K35</f>
        <v>0</v>
      </c>
      <c r="F622" s="92" t="n">
        <f aca="false">SRC_Harness!$S35</f>
        <v>0</v>
      </c>
    </row>
    <row r="623" customFormat="false" ht="15" hidden="false" customHeight="false" outlineLevel="0" collapsed="false">
      <c r="A623" s="92" t="str">
        <f aca="false">SRC_Harness!$A36&amp;""</f>
        <v/>
      </c>
      <c r="B623" s="62" t="s">
        <v>9576</v>
      </c>
      <c r="C623" s="61" t="n">
        <v>36</v>
      </c>
      <c r="D623" s="92" t="n">
        <f aca="false">SRC_Harness!$O36</f>
        <v>0</v>
      </c>
      <c r="E623" s="92" t="n">
        <f aca="false">SRC_Harness!$K36</f>
        <v>0</v>
      </c>
      <c r="F623" s="92" t="n">
        <f aca="false">SRC_Harness!$S36</f>
        <v>0</v>
      </c>
    </row>
    <row r="624" customFormat="false" ht="15" hidden="false" customHeight="false" outlineLevel="0" collapsed="false">
      <c r="A624" s="92" t="str">
        <f aca="false">SRC_Harness!$A37&amp;""</f>
        <v/>
      </c>
      <c r="B624" s="62" t="s">
        <v>9576</v>
      </c>
      <c r="C624" s="61" t="n">
        <v>37</v>
      </c>
      <c r="D624" s="92" t="n">
        <f aca="false">SRC_Harness!$O37</f>
        <v>0</v>
      </c>
      <c r="E624" s="92" t="n">
        <f aca="false">SRC_Harness!$K37</f>
        <v>0</v>
      </c>
      <c r="F624" s="92" t="n">
        <f aca="false">SRC_Harness!$S37</f>
        <v>0</v>
      </c>
    </row>
    <row r="625" customFormat="false" ht="15" hidden="false" customHeight="false" outlineLevel="0" collapsed="false">
      <c r="A625" s="92" t="str">
        <f aca="false">SRC_Harness!$A38&amp;""</f>
        <v/>
      </c>
      <c r="B625" s="62" t="s">
        <v>9576</v>
      </c>
      <c r="C625" s="61" t="n">
        <v>38</v>
      </c>
      <c r="D625" s="92" t="n">
        <f aca="false">SRC_Harness!$O38</f>
        <v>0</v>
      </c>
      <c r="E625" s="92" t="n">
        <f aca="false">SRC_Harness!$K38</f>
        <v>0</v>
      </c>
      <c r="F625" s="92" t="n">
        <f aca="false">SRC_Harness!$S38</f>
        <v>0</v>
      </c>
    </row>
    <row r="626" customFormat="false" ht="15" hidden="false" customHeight="false" outlineLevel="0" collapsed="false">
      <c r="A626" s="92" t="str">
        <f aca="false">SRC_Harness!$A39&amp;""</f>
        <v/>
      </c>
      <c r="B626" s="62" t="s">
        <v>9576</v>
      </c>
      <c r="C626" s="61" t="n">
        <v>39</v>
      </c>
      <c r="D626" s="92" t="n">
        <f aca="false">SRC_Harness!$O39</f>
        <v>0</v>
      </c>
      <c r="E626" s="92" t="n">
        <f aca="false">SRC_Harness!$K39</f>
        <v>0</v>
      </c>
      <c r="F626" s="92" t="n">
        <f aca="false">SRC_Harness!$S39</f>
        <v>0</v>
      </c>
    </row>
    <row r="627" customFormat="false" ht="15" hidden="false" customHeight="false" outlineLevel="0" collapsed="false">
      <c r="A627" s="92" t="str">
        <f aca="false">SRC_Harness!$A40&amp;""</f>
        <v/>
      </c>
      <c r="B627" s="62" t="s">
        <v>9576</v>
      </c>
      <c r="C627" s="61" t="n">
        <v>40</v>
      </c>
      <c r="D627" s="92" t="n">
        <f aca="false">SRC_Harness!$O40</f>
        <v>0</v>
      </c>
      <c r="E627" s="92" t="n">
        <f aca="false">SRC_Harness!$K40</f>
        <v>0</v>
      </c>
      <c r="F627" s="92" t="n">
        <f aca="false">SRC_Harness!$S40</f>
        <v>0</v>
      </c>
    </row>
    <row r="628" customFormat="false" ht="15" hidden="false" customHeight="false" outlineLevel="0" collapsed="false">
      <c r="A628" s="92" t="str">
        <f aca="false">SRC_Harness!$A41&amp;""</f>
        <v/>
      </c>
      <c r="B628" s="62" t="s">
        <v>9576</v>
      </c>
      <c r="C628" s="61" t="n">
        <v>41</v>
      </c>
      <c r="D628" s="92" t="n">
        <f aca="false">SRC_Harness!$O41</f>
        <v>0</v>
      </c>
      <c r="E628" s="92" t="n">
        <f aca="false">SRC_Harness!$K41</f>
        <v>0</v>
      </c>
      <c r="F628" s="92" t="n">
        <f aca="false">SRC_Harness!$S41</f>
        <v>0</v>
      </c>
    </row>
    <row r="629" customFormat="false" ht="15" hidden="false" customHeight="false" outlineLevel="0" collapsed="false">
      <c r="A629" s="92" t="str">
        <f aca="false">SRC_Harness!$A42&amp;""</f>
        <v/>
      </c>
      <c r="B629" s="62" t="s">
        <v>9576</v>
      </c>
      <c r="C629" s="61" t="n">
        <v>42</v>
      </c>
      <c r="D629" s="92" t="n">
        <f aca="false">SRC_Harness!$O42</f>
        <v>0</v>
      </c>
      <c r="E629" s="92" t="n">
        <f aca="false">SRC_Harness!$K42</f>
        <v>0</v>
      </c>
      <c r="F629" s="92" t="n">
        <f aca="false">SRC_Harness!$S42</f>
        <v>0</v>
      </c>
    </row>
    <row r="630" customFormat="false" ht="15" hidden="false" customHeight="false" outlineLevel="0" collapsed="false">
      <c r="A630" s="92" t="str">
        <f aca="false">SRC_Harness!$A43&amp;""</f>
        <v/>
      </c>
      <c r="B630" s="62" t="s">
        <v>9576</v>
      </c>
      <c r="C630" s="61" t="n">
        <v>43</v>
      </c>
      <c r="D630" s="92" t="n">
        <f aca="false">SRC_Harness!$O43</f>
        <v>0</v>
      </c>
      <c r="E630" s="92" t="n">
        <f aca="false">SRC_Harness!$K43</f>
        <v>0</v>
      </c>
      <c r="F630" s="92" t="n">
        <f aca="false">SRC_Harness!$S43</f>
        <v>0</v>
      </c>
    </row>
    <row r="631" customFormat="false" ht="15" hidden="false" customHeight="false" outlineLevel="0" collapsed="false">
      <c r="A631" s="92" t="str">
        <f aca="false">SRC_Harness!$A44&amp;""</f>
        <v/>
      </c>
      <c r="B631" s="62" t="s">
        <v>9576</v>
      </c>
      <c r="C631" s="61" t="n">
        <v>44</v>
      </c>
      <c r="D631" s="92" t="n">
        <f aca="false">SRC_Harness!$O44</f>
        <v>0</v>
      </c>
      <c r="E631" s="92" t="n">
        <f aca="false">SRC_Harness!$K44</f>
        <v>0</v>
      </c>
      <c r="F631" s="92" t="n">
        <f aca="false">SRC_Harness!$S44</f>
        <v>0</v>
      </c>
    </row>
    <row r="632" customFormat="false" ht="15" hidden="false" customHeight="false" outlineLevel="0" collapsed="false">
      <c r="A632" s="92" t="str">
        <f aca="false">SRC_Harness!$A45&amp;""</f>
        <v/>
      </c>
      <c r="B632" s="62" t="s">
        <v>9576</v>
      </c>
      <c r="C632" s="61" t="n">
        <v>45</v>
      </c>
      <c r="D632" s="92" t="n">
        <f aca="false">SRC_Harness!$O45</f>
        <v>0</v>
      </c>
      <c r="E632" s="92" t="n">
        <f aca="false">SRC_Harness!$K45</f>
        <v>0</v>
      </c>
      <c r="F632" s="92" t="n">
        <f aca="false">SRC_Harness!$S45</f>
        <v>0</v>
      </c>
    </row>
    <row r="633" customFormat="false" ht="15" hidden="false" customHeight="false" outlineLevel="0" collapsed="false">
      <c r="A633" s="92" t="str">
        <f aca="false">SRC_Harness!$A46&amp;""</f>
        <v/>
      </c>
      <c r="B633" s="62" t="s">
        <v>9576</v>
      </c>
      <c r="C633" s="61" t="n">
        <v>46</v>
      </c>
      <c r="D633" s="92" t="n">
        <f aca="false">SRC_Harness!$O46</f>
        <v>0</v>
      </c>
      <c r="E633" s="92" t="n">
        <f aca="false">SRC_Harness!$K46</f>
        <v>0</v>
      </c>
      <c r="F633" s="92" t="n">
        <f aca="false">SRC_Harness!$S46</f>
        <v>0</v>
      </c>
    </row>
    <row r="634" customFormat="false" ht="15" hidden="false" customHeight="false" outlineLevel="0" collapsed="false">
      <c r="A634" s="92" t="str">
        <f aca="false">SRC_Harness!$A47&amp;""</f>
        <v/>
      </c>
      <c r="B634" s="62" t="s">
        <v>9576</v>
      </c>
      <c r="C634" s="61" t="n">
        <v>47</v>
      </c>
      <c r="D634" s="92" t="n">
        <f aca="false">SRC_Harness!$O47</f>
        <v>0</v>
      </c>
      <c r="E634" s="92" t="n">
        <f aca="false">SRC_Harness!$K47</f>
        <v>0</v>
      </c>
      <c r="F634" s="92" t="n">
        <f aca="false">SRC_Harness!$S47</f>
        <v>0</v>
      </c>
    </row>
    <row r="635" customFormat="false" ht="15" hidden="false" customHeight="false" outlineLevel="0" collapsed="false">
      <c r="A635" s="92" t="str">
        <f aca="false">SRC_Harness!$A48&amp;""</f>
        <v/>
      </c>
      <c r="B635" s="62" t="s">
        <v>9576</v>
      </c>
      <c r="C635" s="61" t="n">
        <v>48</v>
      </c>
      <c r="D635" s="92" t="n">
        <f aca="false">SRC_Harness!$O48</f>
        <v>0</v>
      </c>
      <c r="E635" s="92" t="n">
        <f aca="false">SRC_Harness!$K48</f>
        <v>0</v>
      </c>
      <c r="F635" s="92" t="n">
        <f aca="false">SRC_Harness!$S48</f>
        <v>0</v>
      </c>
    </row>
    <row r="636" customFormat="false" ht="15" hidden="false" customHeight="false" outlineLevel="0" collapsed="false">
      <c r="A636" s="92" t="str">
        <f aca="false">SRC_Harness!$A49&amp;""</f>
        <v/>
      </c>
      <c r="B636" s="62" t="s">
        <v>9576</v>
      </c>
      <c r="C636" s="61" t="n">
        <v>49</v>
      </c>
      <c r="D636" s="92" t="n">
        <f aca="false">SRC_Harness!$O49</f>
        <v>0</v>
      </c>
      <c r="E636" s="92" t="n">
        <f aca="false">SRC_Harness!$K49</f>
        <v>0</v>
      </c>
      <c r="F636" s="92" t="n">
        <f aca="false">SRC_Harness!$S49</f>
        <v>0</v>
      </c>
    </row>
    <row r="637" customFormat="false" ht="15" hidden="false" customHeight="false" outlineLevel="0" collapsed="false">
      <c r="A637" s="92" t="str">
        <f aca="false">SRC_Harness!$A50&amp;""</f>
        <v/>
      </c>
      <c r="B637" s="62" t="s">
        <v>9576</v>
      </c>
      <c r="C637" s="61" t="n">
        <v>50</v>
      </c>
      <c r="D637" s="92" t="n">
        <f aca="false">SRC_Harness!$O50</f>
        <v>0</v>
      </c>
      <c r="E637" s="92" t="n">
        <f aca="false">SRC_Harness!$K50</f>
        <v>0</v>
      </c>
      <c r="F637" s="92" t="n">
        <f aca="false">SRC_Harness!$S50</f>
        <v>0</v>
      </c>
    </row>
    <row r="638" customFormat="false" ht="15" hidden="false" customHeight="false" outlineLevel="0" collapsed="false">
      <c r="A638" s="92" t="str">
        <f aca="false">SRC_Harness!$A51&amp;""</f>
        <v/>
      </c>
      <c r="B638" s="62" t="s">
        <v>9576</v>
      </c>
      <c r="C638" s="61" t="n">
        <v>51</v>
      </c>
      <c r="D638" s="92" t="n">
        <f aca="false">SRC_Harness!$O51</f>
        <v>0</v>
      </c>
      <c r="E638" s="92" t="n">
        <f aca="false">SRC_Harness!$K51</f>
        <v>0</v>
      </c>
      <c r="F638" s="92" t="n">
        <f aca="false">SRC_Harness!$S51</f>
        <v>0</v>
      </c>
    </row>
    <row r="639" customFormat="false" ht="15" hidden="false" customHeight="false" outlineLevel="0" collapsed="false">
      <c r="A639" s="92" t="str">
        <f aca="false">SRC_Harness!$A52&amp;""</f>
        <v/>
      </c>
      <c r="B639" s="62" t="s">
        <v>9576</v>
      </c>
      <c r="C639" s="61" t="n">
        <v>52</v>
      </c>
      <c r="D639" s="92" t="n">
        <f aca="false">SRC_Harness!$O52</f>
        <v>0</v>
      </c>
      <c r="E639" s="92" t="n">
        <f aca="false">SRC_Harness!$K52</f>
        <v>0</v>
      </c>
      <c r="F639" s="92" t="n">
        <f aca="false">SRC_Harness!$S52</f>
        <v>0</v>
      </c>
    </row>
    <row r="640" customFormat="false" ht="15" hidden="false" customHeight="false" outlineLevel="0" collapsed="false">
      <c r="A640" s="92" t="str">
        <f aca="false">SRC_Harness!$A53&amp;""</f>
        <v/>
      </c>
      <c r="B640" s="62" t="s">
        <v>9576</v>
      </c>
      <c r="C640" s="61" t="n">
        <v>53</v>
      </c>
      <c r="D640" s="92" t="n">
        <f aca="false">SRC_Harness!$O53</f>
        <v>0</v>
      </c>
      <c r="E640" s="92" t="n">
        <f aca="false">SRC_Harness!$K53</f>
        <v>0</v>
      </c>
      <c r="F640" s="92" t="n">
        <f aca="false">SRC_Harness!$S53</f>
        <v>0</v>
      </c>
    </row>
    <row r="641" customFormat="false" ht="15" hidden="false" customHeight="false" outlineLevel="0" collapsed="false">
      <c r="A641" s="92" t="str">
        <f aca="false">SRC_Harness!$A54&amp;""</f>
        <v/>
      </c>
      <c r="B641" s="62" t="s">
        <v>9576</v>
      </c>
      <c r="C641" s="61" t="n">
        <v>54</v>
      </c>
      <c r="D641" s="92" t="n">
        <f aca="false">SRC_Harness!$O54</f>
        <v>0</v>
      </c>
      <c r="E641" s="92" t="n">
        <f aca="false">SRC_Harness!$K54</f>
        <v>0</v>
      </c>
      <c r="F641" s="92" t="n">
        <f aca="false">SRC_Harness!$S54</f>
        <v>0</v>
      </c>
    </row>
    <row r="642" customFormat="false" ht="15" hidden="false" customHeight="false" outlineLevel="0" collapsed="false">
      <c r="A642" s="92" t="str">
        <f aca="false">SRC_Harness!$A55&amp;""</f>
        <v/>
      </c>
      <c r="B642" s="62" t="s">
        <v>9576</v>
      </c>
      <c r="C642" s="61" t="n">
        <v>55</v>
      </c>
      <c r="D642" s="92" t="n">
        <f aca="false">SRC_Harness!$O55</f>
        <v>0</v>
      </c>
      <c r="E642" s="92" t="n">
        <f aca="false">SRC_Harness!$K55</f>
        <v>0</v>
      </c>
      <c r="F642" s="92" t="n">
        <f aca="false">SRC_Harness!$S55</f>
        <v>0</v>
      </c>
    </row>
    <row r="643" customFormat="false" ht="15" hidden="false" customHeight="false" outlineLevel="0" collapsed="false">
      <c r="A643" s="92" t="str">
        <f aca="false">SRC_Harness!$A56&amp;""</f>
        <v/>
      </c>
      <c r="B643" s="62" t="s">
        <v>9576</v>
      </c>
      <c r="C643" s="61" t="n">
        <v>56</v>
      </c>
      <c r="D643" s="92" t="n">
        <f aca="false">SRC_Harness!$O56</f>
        <v>0</v>
      </c>
      <c r="E643" s="92" t="n">
        <f aca="false">SRC_Harness!$K56</f>
        <v>0</v>
      </c>
      <c r="F643" s="92" t="n">
        <f aca="false">SRC_Harness!$S56</f>
        <v>0</v>
      </c>
    </row>
    <row r="644" customFormat="false" ht="15" hidden="false" customHeight="false" outlineLevel="0" collapsed="false">
      <c r="A644" s="92" t="str">
        <f aca="false">SRC_Harness!$A57&amp;""</f>
        <v/>
      </c>
      <c r="B644" s="62" t="s">
        <v>9576</v>
      </c>
      <c r="C644" s="61" t="n">
        <v>57</v>
      </c>
      <c r="D644" s="92" t="n">
        <f aca="false">SRC_Harness!$O57</f>
        <v>0</v>
      </c>
      <c r="E644" s="92" t="n">
        <f aca="false">SRC_Harness!$K57</f>
        <v>0</v>
      </c>
      <c r="F644" s="92" t="n">
        <f aca="false">SRC_Harness!$S57</f>
        <v>0</v>
      </c>
    </row>
    <row r="645" customFormat="false" ht="15" hidden="false" customHeight="false" outlineLevel="0" collapsed="false">
      <c r="A645" s="92" t="str">
        <f aca="false">SRC_Harness!$A58&amp;""</f>
        <v/>
      </c>
      <c r="B645" s="62" t="s">
        <v>9576</v>
      </c>
      <c r="C645" s="61" t="n">
        <v>58</v>
      </c>
      <c r="D645" s="92" t="n">
        <f aca="false">SRC_Harness!$O58</f>
        <v>0</v>
      </c>
      <c r="E645" s="92" t="n">
        <f aca="false">SRC_Harness!$K58</f>
        <v>0</v>
      </c>
      <c r="F645" s="92" t="n">
        <f aca="false">SRC_Harness!$S58</f>
        <v>0</v>
      </c>
    </row>
    <row r="646" customFormat="false" ht="15" hidden="false" customHeight="false" outlineLevel="0" collapsed="false">
      <c r="A646" s="92" t="str">
        <f aca="false">SRC_Harness!$A59&amp;""</f>
        <v/>
      </c>
      <c r="B646" s="62" t="s">
        <v>9576</v>
      </c>
      <c r="C646" s="61" t="n">
        <v>59</v>
      </c>
      <c r="D646" s="92" t="n">
        <f aca="false">SRC_Harness!$O59</f>
        <v>0</v>
      </c>
      <c r="E646" s="92" t="n">
        <f aca="false">SRC_Harness!$K59</f>
        <v>0</v>
      </c>
      <c r="F646" s="92" t="n">
        <f aca="false">SRC_Harness!$S59</f>
        <v>0</v>
      </c>
    </row>
    <row r="647" customFormat="false" ht="15" hidden="false" customHeight="false" outlineLevel="0" collapsed="false">
      <c r="A647" s="92" t="str">
        <f aca="false">SRC_Harness!$A60&amp;""</f>
        <v/>
      </c>
      <c r="B647" s="62" t="s">
        <v>9576</v>
      </c>
      <c r="C647" s="61" t="n">
        <v>60</v>
      </c>
      <c r="D647" s="92" t="n">
        <f aca="false">SRC_Harness!$O60</f>
        <v>0</v>
      </c>
      <c r="E647" s="92" t="n">
        <f aca="false">SRC_Harness!$K60</f>
        <v>0</v>
      </c>
      <c r="F647" s="92" t="n">
        <f aca="false">SRC_Harness!$S60</f>
        <v>0</v>
      </c>
    </row>
    <row r="648" customFormat="false" ht="15" hidden="false" customHeight="false" outlineLevel="0" collapsed="false">
      <c r="A648" s="92" t="str">
        <f aca="false">SRC_Harness!$A61&amp;""</f>
        <v/>
      </c>
      <c r="B648" s="62" t="s">
        <v>9576</v>
      </c>
      <c r="C648" s="61" t="n">
        <v>61</v>
      </c>
      <c r="D648" s="92" t="n">
        <f aca="false">SRC_Harness!$O61</f>
        <v>0</v>
      </c>
      <c r="E648" s="92" t="n">
        <f aca="false">SRC_Harness!$K61</f>
        <v>0</v>
      </c>
      <c r="F648" s="92" t="n">
        <f aca="false">SRC_Harness!$S61</f>
        <v>0</v>
      </c>
    </row>
    <row r="649" customFormat="false" ht="15" hidden="false" customHeight="false" outlineLevel="0" collapsed="false">
      <c r="A649" s="92" t="str">
        <f aca="false">SRC_Harness!$A62&amp;""</f>
        <v/>
      </c>
      <c r="B649" s="62" t="s">
        <v>9576</v>
      </c>
      <c r="C649" s="61" t="n">
        <v>62</v>
      </c>
      <c r="D649" s="92" t="n">
        <f aca="false">SRC_Harness!$O62</f>
        <v>0</v>
      </c>
      <c r="E649" s="92" t="n">
        <f aca="false">SRC_Harness!$K62</f>
        <v>0</v>
      </c>
      <c r="F649" s="92" t="n">
        <f aca="false">SRC_Harness!$S62</f>
        <v>0</v>
      </c>
    </row>
    <row r="650" customFormat="false" ht="15" hidden="false" customHeight="false" outlineLevel="0" collapsed="false">
      <c r="A650" s="92" t="str">
        <f aca="false">SRC_Harness!$A63&amp;""</f>
        <v/>
      </c>
      <c r="B650" s="62" t="s">
        <v>9576</v>
      </c>
      <c r="C650" s="61" t="n">
        <v>63</v>
      </c>
      <c r="D650" s="92" t="n">
        <f aca="false">SRC_Harness!$O63</f>
        <v>0</v>
      </c>
      <c r="E650" s="92" t="n">
        <f aca="false">SRC_Harness!$K63</f>
        <v>0</v>
      </c>
      <c r="F650" s="92" t="n">
        <f aca="false">SRC_Harness!$S63</f>
        <v>0</v>
      </c>
    </row>
    <row r="651" customFormat="false" ht="15" hidden="false" customHeight="false" outlineLevel="0" collapsed="false">
      <c r="A651" s="92" t="str">
        <f aca="false">SRC_Harness!$A64&amp;""</f>
        <v/>
      </c>
      <c r="B651" s="62" t="s">
        <v>9576</v>
      </c>
      <c r="C651" s="61" t="n">
        <v>64</v>
      </c>
      <c r="D651" s="92" t="n">
        <f aca="false">SRC_Harness!$O64</f>
        <v>0</v>
      </c>
      <c r="E651" s="92" t="n">
        <f aca="false">SRC_Harness!$K64</f>
        <v>0</v>
      </c>
      <c r="F651" s="92" t="n">
        <f aca="false">SRC_Harness!$S64</f>
        <v>0</v>
      </c>
    </row>
    <row r="652" customFormat="false" ht="15" hidden="false" customHeight="false" outlineLevel="0" collapsed="false">
      <c r="A652" s="92" t="str">
        <f aca="false">SRC_Harness!$A65&amp;""</f>
        <v/>
      </c>
      <c r="B652" s="62" t="s">
        <v>9576</v>
      </c>
      <c r="C652" s="61" t="n">
        <v>65</v>
      </c>
      <c r="D652" s="92" t="n">
        <f aca="false">SRC_Harness!$O65</f>
        <v>0</v>
      </c>
      <c r="E652" s="92" t="n">
        <f aca="false">SRC_Harness!$K65</f>
        <v>0</v>
      </c>
      <c r="F652" s="92" t="n">
        <f aca="false">SRC_Harness!$S65</f>
        <v>0</v>
      </c>
    </row>
    <row r="653" customFormat="false" ht="15" hidden="false" customHeight="false" outlineLevel="0" collapsed="false">
      <c r="A653" s="92" t="str">
        <f aca="false">SRC_Harness!$A66&amp;""</f>
        <v/>
      </c>
      <c r="B653" s="62" t="s">
        <v>9576</v>
      </c>
      <c r="C653" s="61" t="n">
        <v>66</v>
      </c>
      <c r="D653" s="92" t="n">
        <f aca="false">SRC_Harness!$O66</f>
        <v>0</v>
      </c>
      <c r="E653" s="92" t="n">
        <f aca="false">SRC_Harness!$K66</f>
        <v>0</v>
      </c>
      <c r="F653" s="92" t="n">
        <f aca="false">SRC_Harness!$S66</f>
        <v>0</v>
      </c>
    </row>
    <row r="654" customFormat="false" ht="15" hidden="false" customHeight="false" outlineLevel="0" collapsed="false">
      <c r="A654" s="92" t="str">
        <f aca="false">SRC_Harness!$A67&amp;""</f>
        <v/>
      </c>
      <c r="B654" s="62" t="s">
        <v>9576</v>
      </c>
      <c r="C654" s="61" t="n">
        <v>67</v>
      </c>
      <c r="D654" s="92" t="n">
        <f aca="false">SRC_Harness!$O67</f>
        <v>0</v>
      </c>
      <c r="E654" s="92" t="n">
        <f aca="false">SRC_Harness!$K67</f>
        <v>0</v>
      </c>
      <c r="F654" s="92" t="n">
        <f aca="false">SRC_Harness!$S67</f>
        <v>0</v>
      </c>
    </row>
    <row r="655" customFormat="false" ht="15" hidden="false" customHeight="false" outlineLevel="0" collapsed="false">
      <c r="A655" s="92" t="str">
        <f aca="false">SRC_Harness!$A68&amp;""</f>
        <v/>
      </c>
      <c r="B655" s="62" t="s">
        <v>9576</v>
      </c>
      <c r="C655" s="61" t="n">
        <v>68</v>
      </c>
      <c r="D655" s="92" t="n">
        <f aca="false">SRC_Harness!$O68</f>
        <v>0</v>
      </c>
      <c r="E655" s="92" t="n">
        <f aca="false">SRC_Harness!$K68</f>
        <v>0</v>
      </c>
      <c r="F655" s="92" t="n">
        <f aca="false">SRC_Harness!$S68</f>
        <v>0</v>
      </c>
    </row>
    <row r="656" customFormat="false" ht="15" hidden="false" customHeight="false" outlineLevel="0" collapsed="false">
      <c r="A656" s="92" t="str">
        <f aca="false">SRC_Harness!$A69&amp;""</f>
        <v/>
      </c>
      <c r="B656" s="62" t="s">
        <v>9576</v>
      </c>
      <c r="C656" s="61" t="n">
        <v>69</v>
      </c>
      <c r="D656" s="92" t="n">
        <f aca="false">SRC_Harness!$O69</f>
        <v>0</v>
      </c>
      <c r="E656" s="92" t="n">
        <f aca="false">SRC_Harness!$K69</f>
        <v>0</v>
      </c>
      <c r="F656" s="92" t="n">
        <f aca="false">SRC_Harness!$S69</f>
        <v>0</v>
      </c>
    </row>
    <row r="657" customFormat="false" ht="15" hidden="false" customHeight="false" outlineLevel="0" collapsed="false">
      <c r="A657" s="92" t="str">
        <f aca="false">SRC_Harness!$A70&amp;""</f>
        <v/>
      </c>
      <c r="B657" s="62" t="s">
        <v>9576</v>
      </c>
      <c r="C657" s="61" t="n">
        <v>70</v>
      </c>
      <c r="D657" s="92" t="n">
        <f aca="false">SRC_Harness!$O70</f>
        <v>0</v>
      </c>
      <c r="E657" s="92" t="n">
        <f aca="false">SRC_Harness!$K70</f>
        <v>0</v>
      </c>
      <c r="F657" s="92" t="n">
        <f aca="false">SRC_Harness!$S70</f>
        <v>0</v>
      </c>
    </row>
    <row r="658" customFormat="false" ht="15" hidden="false" customHeight="false" outlineLevel="0" collapsed="false">
      <c r="A658" s="92" t="str">
        <f aca="false">SRC_Demand!$A5&amp;""</f>
        <v>SRC_DEM_001</v>
      </c>
      <c r="B658" s="62" t="s">
        <v>9577</v>
      </c>
      <c r="C658" s="61" t="n">
        <v>5</v>
      </c>
      <c r="D658" s="92" t="str">
        <f aca="false">SRC_Demand!$O5</f>
        <v>Active</v>
      </c>
      <c r="E658" s="92" t="n">
        <f aca="false">SRC_Demand!$K5</f>
        <v>1</v>
      </c>
      <c r="F658" s="92" t="str">
        <f aca="false">SRC_Demand!$S5</f>
        <v>—</v>
      </c>
    </row>
    <row r="659" customFormat="false" ht="15" hidden="false" customHeight="false" outlineLevel="0" collapsed="false">
      <c r="A659" s="92" t="str">
        <f aca="false">SRC_Demand!$A6&amp;""</f>
        <v>SRC_DEM_002</v>
      </c>
      <c r="B659" s="62" t="s">
        <v>9577</v>
      </c>
      <c r="C659" s="61" t="n">
        <v>6</v>
      </c>
      <c r="D659" s="92" t="str">
        <f aca="false">SRC_Demand!$O6</f>
        <v>Active</v>
      </c>
      <c r="E659" s="92" t="n">
        <f aca="false">SRC_Demand!$K6</f>
        <v>1</v>
      </c>
      <c r="F659" s="92" t="str">
        <f aca="false">SRC_Demand!$S6</f>
        <v>—</v>
      </c>
    </row>
    <row r="660" customFormat="false" ht="15" hidden="false" customHeight="false" outlineLevel="0" collapsed="false">
      <c r="A660" s="92" t="str">
        <f aca="false">SRC_Demand!$A7&amp;""</f>
        <v>SRC_DEM_003</v>
      </c>
      <c r="B660" s="62" t="s">
        <v>9577</v>
      </c>
      <c r="C660" s="61" t="n">
        <v>7</v>
      </c>
      <c r="D660" s="92" t="str">
        <f aca="false">SRC_Demand!$O7</f>
        <v>Active</v>
      </c>
      <c r="E660" s="92" t="n">
        <f aca="false">SRC_Demand!$K7</f>
        <v>1</v>
      </c>
      <c r="F660" s="92" t="str">
        <f aca="false">SRC_Demand!$S7</f>
        <v>—</v>
      </c>
    </row>
    <row r="661" customFormat="false" ht="15" hidden="false" customHeight="false" outlineLevel="0" collapsed="false">
      <c r="A661" s="92" t="str">
        <f aca="false">SRC_Demand!$A8&amp;""</f>
        <v>SRC_DEM_004</v>
      </c>
      <c r="B661" s="62" t="s">
        <v>9577</v>
      </c>
      <c r="C661" s="61" t="n">
        <v>8</v>
      </c>
      <c r="D661" s="92" t="str">
        <f aca="false">SRC_Demand!$O8</f>
        <v>Active</v>
      </c>
      <c r="E661" s="92" t="n">
        <f aca="false">SRC_Demand!$K8</f>
        <v>2</v>
      </c>
      <c r="F661" s="92" t="str">
        <f aca="false">SRC_Demand!$S8</f>
        <v>—</v>
      </c>
    </row>
    <row r="662" customFormat="false" ht="15" hidden="false" customHeight="false" outlineLevel="0" collapsed="false">
      <c r="A662" s="92" t="str">
        <f aca="false">SRC_Demand!$A9&amp;""</f>
        <v>SRC_DEM_005</v>
      </c>
      <c r="B662" s="62" t="s">
        <v>9577</v>
      </c>
      <c r="C662" s="61" t="n">
        <v>9</v>
      </c>
      <c r="D662" s="92" t="str">
        <f aca="false">SRC_Demand!$O9</f>
        <v>Active</v>
      </c>
      <c r="E662" s="92" t="n">
        <f aca="false">SRC_Demand!$K9</f>
        <v>2</v>
      </c>
      <c r="F662" s="92" t="str">
        <f aca="false">SRC_Demand!$S9</f>
        <v>—</v>
      </c>
    </row>
    <row r="663" customFormat="false" ht="15" hidden="false" customHeight="false" outlineLevel="0" collapsed="false">
      <c r="A663" s="92" t="str">
        <f aca="false">SRC_Demand!$A10&amp;""</f>
        <v>SRC_DEM_006</v>
      </c>
      <c r="B663" s="62" t="s">
        <v>9577</v>
      </c>
      <c r="C663" s="61" t="n">
        <v>10</v>
      </c>
      <c r="D663" s="92" t="str">
        <f aca="false">SRC_Demand!$O10</f>
        <v>Active</v>
      </c>
      <c r="E663" s="92" t="n">
        <f aca="false">SRC_Demand!$K10</f>
        <v>2</v>
      </c>
      <c r="F663" s="92" t="str">
        <f aca="false">SRC_Demand!$S10</f>
        <v>—</v>
      </c>
    </row>
    <row r="664" customFormat="false" ht="15" hidden="false" customHeight="false" outlineLevel="0" collapsed="false">
      <c r="A664" s="92" t="str">
        <f aca="false">SRC_Demand!$A11&amp;""</f>
        <v>SRC_DEM_007</v>
      </c>
      <c r="B664" s="62" t="s">
        <v>9577</v>
      </c>
      <c r="C664" s="61" t="n">
        <v>11</v>
      </c>
      <c r="D664" s="92" t="str">
        <f aca="false">SRC_Demand!$O11</f>
        <v>Active</v>
      </c>
      <c r="E664" s="92" t="n">
        <f aca="false">SRC_Demand!$K11</f>
        <v>2</v>
      </c>
      <c r="F664" s="92" t="str">
        <f aca="false">SRC_Demand!$S11</f>
        <v>—</v>
      </c>
    </row>
    <row r="665" customFormat="false" ht="15" hidden="false" customHeight="false" outlineLevel="0" collapsed="false">
      <c r="A665" s="92" t="str">
        <f aca="false">SRC_Demand!$A12&amp;""</f>
        <v>SRC_DEM_008</v>
      </c>
      <c r="B665" s="62" t="s">
        <v>9577</v>
      </c>
      <c r="C665" s="61" t="n">
        <v>12</v>
      </c>
      <c r="D665" s="92" t="str">
        <f aca="false">SRC_Demand!$O12</f>
        <v>Active</v>
      </c>
      <c r="E665" s="92" t="n">
        <f aca="false">SRC_Demand!$K12</f>
        <v>2</v>
      </c>
      <c r="F665" s="92" t="str">
        <f aca="false">SRC_Demand!$S12</f>
        <v>—</v>
      </c>
    </row>
    <row r="666" customFormat="false" ht="15" hidden="false" customHeight="false" outlineLevel="0" collapsed="false">
      <c r="A666" s="92" t="str">
        <f aca="false">SRC_Demand!$A13&amp;""</f>
        <v>SRC_DEM_009</v>
      </c>
      <c r="B666" s="62" t="s">
        <v>9577</v>
      </c>
      <c r="C666" s="61" t="n">
        <v>13</v>
      </c>
      <c r="D666" s="92" t="str">
        <f aca="false">SRC_Demand!$O13</f>
        <v>Active</v>
      </c>
      <c r="E666" s="92" t="n">
        <f aca="false">SRC_Demand!$K13</f>
        <v>2</v>
      </c>
      <c r="F666" s="92" t="str">
        <f aca="false">SRC_Demand!$S13</f>
        <v>—</v>
      </c>
    </row>
    <row r="667" customFormat="false" ht="15" hidden="false" customHeight="false" outlineLevel="0" collapsed="false">
      <c r="A667" s="92" t="str">
        <f aca="false">SRC_Demand!$A14&amp;""</f>
        <v>SRC_DEM_010</v>
      </c>
      <c r="B667" s="62" t="s">
        <v>9577</v>
      </c>
      <c r="C667" s="61" t="n">
        <v>14</v>
      </c>
      <c r="D667" s="92" t="str">
        <f aca="false">SRC_Demand!$O14</f>
        <v>Active</v>
      </c>
      <c r="E667" s="92" t="n">
        <f aca="false">SRC_Demand!$K14</f>
        <v>2</v>
      </c>
      <c r="F667" s="92" t="str">
        <f aca="false">SRC_Demand!$S14</f>
        <v>—</v>
      </c>
    </row>
    <row r="668" customFormat="false" ht="15" hidden="false" customHeight="false" outlineLevel="0" collapsed="false">
      <c r="A668" s="92" t="str">
        <f aca="false">SRC_Demand!$A15&amp;""</f>
        <v>SRC_DEM_011</v>
      </c>
      <c r="B668" s="62" t="s">
        <v>9577</v>
      </c>
      <c r="C668" s="61" t="n">
        <v>15</v>
      </c>
      <c r="D668" s="92" t="str">
        <f aca="false">SRC_Demand!$O15</f>
        <v>Active</v>
      </c>
      <c r="E668" s="92" t="n">
        <f aca="false">SRC_Demand!$K15</f>
        <v>1</v>
      </c>
      <c r="F668" s="92" t="str">
        <f aca="false">SRC_Demand!$S15</f>
        <v>2026-10-05</v>
      </c>
    </row>
    <row r="669" customFormat="false" ht="15" hidden="false" customHeight="false" outlineLevel="0" collapsed="false">
      <c r="A669" s="92" t="str">
        <f aca="false">SRC_Demand!$A16&amp;""</f>
        <v>SRC_DEM_012</v>
      </c>
      <c r="B669" s="62" t="s">
        <v>9577</v>
      </c>
      <c r="C669" s="61" t="n">
        <v>16</v>
      </c>
      <c r="D669" s="92" t="str">
        <f aca="false">SRC_Demand!$O16</f>
        <v>Active</v>
      </c>
      <c r="E669" s="92" t="n">
        <f aca="false">SRC_Demand!$K16</f>
        <v>2</v>
      </c>
      <c r="F669" s="92" t="str">
        <f aca="false">SRC_Demand!$S16</f>
        <v>—</v>
      </c>
    </row>
    <row r="670" customFormat="false" ht="15" hidden="false" customHeight="false" outlineLevel="0" collapsed="false">
      <c r="A670" s="92" t="str">
        <f aca="false">SRC_Demand!$A17&amp;""</f>
        <v>SRC_DEM_013</v>
      </c>
      <c r="B670" s="62" t="s">
        <v>9577</v>
      </c>
      <c r="C670" s="61" t="n">
        <v>17</v>
      </c>
      <c r="D670" s="92" t="str">
        <f aca="false">SRC_Demand!$O17</f>
        <v>Active</v>
      </c>
      <c r="E670" s="92" t="n">
        <f aca="false">SRC_Demand!$K17</f>
        <v>1</v>
      </c>
      <c r="F670" s="92" t="str">
        <f aca="false">SRC_Demand!$S17</f>
        <v>2026-10-05</v>
      </c>
    </row>
    <row r="671" customFormat="false" ht="15" hidden="false" customHeight="false" outlineLevel="0" collapsed="false">
      <c r="A671" s="92" t="str">
        <f aca="false">SRC_Demand!$A18&amp;""</f>
        <v>SRC_DEM_014</v>
      </c>
      <c r="B671" s="62" t="s">
        <v>9577</v>
      </c>
      <c r="C671" s="61" t="n">
        <v>18</v>
      </c>
      <c r="D671" s="92" t="str">
        <f aca="false">SRC_Demand!$O18</f>
        <v>Active</v>
      </c>
      <c r="E671" s="92" t="n">
        <f aca="false">SRC_Demand!$K18</f>
        <v>1</v>
      </c>
      <c r="F671" s="92" t="str">
        <f aca="false">SRC_Demand!$S18</f>
        <v>—</v>
      </c>
    </row>
    <row r="672" customFormat="false" ht="15" hidden="false" customHeight="false" outlineLevel="0" collapsed="false">
      <c r="A672" s="92" t="str">
        <f aca="false">SRC_Demand!$A19&amp;""</f>
        <v>SRC_DEM_015</v>
      </c>
      <c r="B672" s="62" t="s">
        <v>9577</v>
      </c>
      <c r="C672" s="61" t="n">
        <v>19</v>
      </c>
      <c r="D672" s="92" t="str">
        <f aca="false">SRC_Demand!$O19</f>
        <v>Active</v>
      </c>
      <c r="E672" s="92" t="n">
        <f aca="false">SRC_Demand!$K19</f>
        <v>1</v>
      </c>
      <c r="F672" s="92" t="str">
        <f aca="false">SRC_Demand!$S19</f>
        <v>—</v>
      </c>
    </row>
    <row r="673" customFormat="false" ht="15" hidden="false" customHeight="false" outlineLevel="0" collapsed="false">
      <c r="A673" s="92" t="str">
        <f aca="false">SRC_Demand!$A20&amp;""</f>
        <v>SRC_DEM_016</v>
      </c>
      <c r="B673" s="62" t="s">
        <v>9577</v>
      </c>
      <c r="C673" s="61" t="n">
        <v>20</v>
      </c>
      <c r="D673" s="92" t="str">
        <f aca="false">SRC_Demand!$O20</f>
        <v>Active</v>
      </c>
      <c r="E673" s="92" t="n">
        <f aca="false">SRC_Demand!$K20</f>
        <v>1</v>
      </c>
      <c r="F673" s="92" t="str">
        <f aca="false">SRC_Demand!$S20</f>
        <v>—</v>
      </c>
    </row>
    <row r="674" customFormat="false" ht="15" hidden="false" customHeight="false" outlineLevel="0" collapsed="false">
      <c r="A674" s="92" t="str">
        <f aca="false">SRC_Demand!$A21&amp;""</f>
        <v>SRC_DEM_017</v>
      </c>
      <c r="B674" s="62" t="s">
        <v>9577</v>
      </c>
      <c r="C674" s="61" t="n">
        <v>21</v>
      </c>
      <c r="D674" s="92" t="str">
        <f aca="false">SRC_Demand!$O21</f>
        <v>Active</v>
      </c>
      <c r="E674" s="92" t="n">
        <f aca="false">SRC_Demand!$K21</f>
        <v>1</v>
      </c>
      <c r="F674" s="92" t="str">
        <f aca="false">SRC_Demand!$S21</f>
        <v>—</v>
      </c>
    </row>
    <row r="675" customFormat="false" ht="15" hidden="false" customHeight="false" outlineLevel="0" collapsed="false">
      <c r="A675" s="92" t="str">
        <f aca="false">SRC_Demand!$A22&amp;""</f>
        <v>SRC_DEM_018</v>
      </c>
      <c r="B675" s="62" t="s">
        <v>9577</v>
      </c>
      <c r="C675" s="61" t="n">
        <v>22</v>
      </c>
      <c r="D675" s="92" t="str">
        <f aca="false">SRC_Demand!$O22</f>
        <v>Active</v>
      </c>
      <c r="E675" s="92" t="n">
        <f aca="false">SRC_Demand!$K22</f>
        <v>2</v>
      </c>
      <c r="F675" s="92" t="str">
        <f aca="false">SRC_Demand!$S22</f>
        <v>—</v>
      </c>
    </row>
    <row r="676" customFormat="false" ht="15" hidden="false" customHeight="false" outlineLevel="0" collapsed="false">
      <c r="A676" s="92" t="str">
        <f aca="false">SRC_Demand!$A23&amp;""</f>
        <v>SRC_DEM_019</v>
      </c>
      <c r="B676" s="62" t="s">
        <v>9577</v>
      </c>
      <c r="C676" s="61" t="n">
        <v>23</v>
      </c>
      <c r="D676" s="92" t="str">
        <f aca="false">SRC_Demand!$O23</f>
        <v>Active</v>
      </c>
      <c r="E676" s="92" t="n">
        <f aca="false">SRC_Demand!$K23</f>
        <v>1</v>
      </c>
      <c r="F676" s="92" t="str">
        <f aca="false">SRC_Demand!$S23</f>
        <v>—</v>
      </c>
    </row>
    <row r="677" customFormat="false" ht="15" hidden="false" customHeight="false" outlineLevel="0" collapsed="false">
      <c r="A677" s="92" t="str">
        <f aca="false">SRC_Demand!$A24&amp;""</f>
        <v>SRC_DEM_020</v>
      </c>
      <c r="B677" s="62" t="s">
        <v>9577</v>
      </c>
      <c r="C677" s="61" t="n">
        <v>24</v>
      </c>
      <c r="D677" s="92" t="str">
        <f aca="false">SRC_Demand!$O24</f>
        <v>Active</v>
      </c>
      <c r="E677" s="92" t="n">
        <f aca="false">SRC_Demand!$K24</f>
        <v>1</v>
      </c>
      <c r="F677" s="92" t="str">
        <f aca="false">SRC_Demand!$S24</f>
        <v>—</v>
      </c>
    </row>
    <row r="678" customFormat="false" ht="15" hidden="false" customHeight="false" outlineLevel="0" collapsed="false">
      <c r="A678" s="92" t="str">
        <f aca="false">SRC_Demand!$A25&amp;""</f>
        <v>SRC_DEM_021</v>
      </c>
      <c r="B678" s="62" t="s">
        <v>9577</v>
      </c>
      <c r="C678" s="61" t="n">
        <v>25</v>
      </c>
      <c r="D678" s="92" t="str">
        <f aca="false">SRC_Demand!$O25</f>
        <v>Active</v>
      </c>
      <c r="E678" s="92" t="n">
        <f aca="false">SRC_Demand!$K25</f>
        <v>1</v>
      </c>
      <c r="F678" s="92" t="str">
        <f aca="false">SRC_Demand!$S25</f>
        <v>—</v>
      </c>
    </row>
    <row r="679" customFormat="false" ht="15" hidden="false" customHeight="false" outlineLevel="0" collapsed="false">
      <c r="A679" s="92" t="str">
        <f aca="false">SRC_Demand!$A26&amp;""</f>
        <v>SRC_DEM_022</v>
      </c>
      <c r="B679" s="62" t="s">
        <v>9577</v>
      </c>
      <c r="C679" s="61" t="n">
        <v>26</v>
      </c>
      <c r="D679" s="92" t="str">
        <f aca="false">SRC_Demand!$O26</f>
        <v>Active</v>
      </c>
      <c r="E679" s="92" t="n">
        <f aca="false">SRC_Demand!$K26</f>
        <v>1</v>
      </c>
      <c r="F679" s="92" t="str">
        <f aca="false">SRC_Demand!$S26</f>
        <v>—</v>
      </c>
    </row>
    <row r="680" customFormat="false" ht="15" hidden="false" customHeight="false" outlineLevel="0" collapsed="false">
      <c r="A680" s="92" t="str">
        <f aca="false">SRC_Demand!$A27&amp;""</f>
        <v>SRC_DEM_023</v>
      </c>
      <c r="B680" s="62" t="s">
        <v>9577</v>
      </c>
      <c r="C680" s="61" t="n">
        <v>27</v>
      </c>
      <c r="D680" s="92" t="str">
        <f aca="false">SRC_Demand!$O27</f>
        <v>Active</v>
      </c>
      <c r="E680" s="92" t="n">
        <f aca="false">SRC_Demand!$K27</f>
        <v>1</v>
      </c>
      <c r="F680" s="92" t="str">
        <f aca="false">SRC_Demand!$S27</f>
        <v>—</v>
      </c>
    </row>
    <row r="681" customFormat="false" ht="15" hidden="false" customHeight="false" outlineLevel="0" collapsed="false">
      <c r="A681" s="92" t="str">
        <f aca="false">SRC_Demand!$A28&amp;""</f>
        <v>SRC_DEM_024</v>
      </c>
      <c r="B681" s="62" t="s">
        <v>9577</v>
      </c>
      <c r="C681" s="61" t="n">
        <v>28</v>
      </c>
      <c r="D681" s="92" t="str">
        <f aca="false">SRC_Demand!$O28</f>
        <v>Active</v>
      </c>
      <c r="E681" s="92" t="n">
        <f aca="false">SRC_Demand!$K28</f>
        <v>2</v>
      </c>
      <c r="F681" s="92" t="str">
        <f aca="false">SRC_Demand!$S28</f>
        <v>—</v>
      </c>
    </row>
    <row r="682" customFormat="false" ht="15" hidden="false" customHeight="false" outlineLevel="0" collapsed="false">
      <c r="A682" s="92" t="str">
        <f aca="false">SRC_Demand!$A29&amp;""</f>
        <v>SRC_DEM_025</v>
      </c>
      <c r="B682" s="62" t="s">
        <v>9577</v>
      </c>
      <c r="C682" s="61" t="n">
        <v>29</v>
      </c>
      <c r="D682" s="92" t="str">
        <f aca="false">SRC_Demand!$O29</f>
        <v>Active</v>
      </c>
      <c r="E682" s="92" t="n">
        <f aca="false">SRC_Demand!$K29</f>
        <v>2</v>
      </c>
      <c r="F682" s="92" t="str">
        <f aca="false">SRC_Demand!$S29</f>
        <v>—</v>
      </c>
    </row>
    <row r="683" customFormat="false" ht="15" hidden="false" customHeight="false" outlineLevel="0" collapsed="false">
      <c r="A683" s="92" t="str">
        <f aca="false">SRC_Demand!$A30&amp;""</f>
        <v>SRC_DEM_026</v>
      </c>
      <c r="B683" s="62" t="s">
        <v>9577</v>
      </c>
      <c r="C683" s="61" t="n">
        <v>30</v>
      </c>
      <c r="D683" s="92" t="str">
        <f aca="false">SRC_Demand!$O30</f>
        <v>Active</v>
      </c>
      <c r="E683" s="92" t="n">
        <f aca="false">SRC_Demand!$K30</f>
        <v>2</v>
      </c>
      <c r="F683" s="92" t="str">
        <f aca="false">SRC_Demand!$S30</f>
        <v>—</v>
      </c>
    </row>
    <row r="684" customFormat="false" ht="15" hidden="false" customHeight="false" outlineLevel="0" collapsed="false">
      <c r="A684" s="92" t="str">
        <f aca="false">SRC_Demand!$A31&amp;""</f>
        <v>SRC_DEM_027</v>
      </c>
      <c r="B684" s="62" t="s">
        <v>9577</v>
      </c>
      <c r="C684" s="61" t="n">
        <v>31</v>
      </c>
      <c r="D684" s="92" t="str">
        <f aca="false">SRC_Demand!$O31</f>
        <v>Active</v>
      </c>
      <c r="E684" s="92" t="n">
        <f aca="false">SRC_Demand!$K31</f>
        <v>2</v>
      </c>
      <c r="F684" s="92" t="str">
        <f aca="false">SRC_Demand!$S31</f>
        <v>—</v>
      </c>
    </row>
    <row r="685" customFormat="false" ht="15" hidden="false" customHeight="false" outlineLevel="0" collapsed="false">
      <c r="A685" s="92" t="str">
        <f aca="false">SRC_Demand!$A32&amp;""</f>
        <v>SRC_DEM_028</v>
      </c>
      <c r="B685" s="62" t="s">
        <v>9577</v>
      </c>
      <c r="C685" s="61" t="n">
        <v>32</v>
      </c>
      <c r="D685" s="92" t="str">
        <f aca="false">SRC_Demand!$O32</f>
        <v>Active</v>
      </c>
      <c r="E685" s="92" t="n">
        <f aca="false">SRC_Demand!$K32</f>
        <v>2</v>
      </c>
      <c r="F685" s="92" t="str">
        <f aca="false">SRC_Demand!$S32</f>
        <v>—</v>
      </c>
    </row>
    <row r="686" customFormat="false" ht="15" hidden="false" customHeight="false" outlineLevel="0" collapsed="false">
      <c r="A686" s="92" t="str">
        <f aca="false">SRC_Demand!$A33&amp;""</f>
        <v>SRC_DEM_029</v>
      </c>
      <c r="B686" s="62" t="s">
        <v>9577</v>
      </c>
      <c r="C686" s="61" t="n">
        <v>33</v>
      </c>
      <c r="D686" s="92" t="str">
        <f aca="false">SRC_Demand!$O33</f>
        <v>Active</v>
      </c>
      <c r="E686" s="92" t="n">
        <f aca="false">SRC_Demand!$K33</f>
        <v>2</v>
      </c>
      <c r="F686" s="92" t="str">
        <f aca="false">SRC_Demand!$S33</f>
        <v>—</v>
      </c>
    </row>
    <row r="687" customFormat="false" ht="15" hidden="false" customHeight="false" outlineLevel="0" collapsed="false">
      <c r="A687" s="92" t="str">
        <f aca="false">SRC_Demand!$A34&amp;""</f>
        <v>SRC_DEM_030</v>
      </c>
      <c r="B687" s="62" t="s">
        <v>9577</v>
      </c>
      <c r="C687" s="61" t="n">
        <v>34</v>
      </c>
      <c r="D687" s="92" t="str">
        <f aca="false">SRC_Demand!$O34</f>
        <v>Active</v>
      </c>
      <c r="E687" s="92" t="n">
        <f aca="false">SRC_Demand!$K34</f>
        <v>1</v>
      </c>
      <c r="F687" s="92" t="str">
        <f aca="false">SRC_Demand!$S34</f>
        <v>—</v>
      </c>
    </row>
    <row r="688" customFormat="false" ht="15" hidden="false" customHeight="false" outlineLevel="0" collapsed="false">
      <c r="A688" s="92" t="str">
        <f aca="false">SRC_Demand!$A35&amp;""</f>
        <v>SRC_DEM_031</v>
      </c>
      <c r="B688" s="62" t="s">
        <v>9577</v>
      </c>
      <c r="C688" s="61" t="n">
        <v>35</v>
      </c>
      <c r="D688" s="92" t="str">
        <f aca="false">SRC_Demand!$O35</f>
        <v>Active</v>
      </c>
      <c r="E688" s="92" t="n">
        <f aca="false">SRC_Demand!$K35</f>
        <v>2</v>
      </c>
      <c r="F688" s="92" t="str">
        <f aca="false">SRC_Demand!$S35</f>
        <v>—</v>
      </c>
    </row>
    <row r="689" customFormat="false" ht="15" hidden="false" customHeight="false" outlineLevel="0" collapsed="false">
      <c r="A689" s="92" t="str">
        <f aca="false">SRC_Demand!$A36&amp;""</f>
        <v>SRC_DEM_032</v>
      </c>
      <c r="B689" s="62" t="s">
        <v>9577</v>
      </c>
      <c r="C689" s="61" t="n">
        <v>36</v>
      </c>
      <c r="D689" s="92" t="str">
        <f aca="false">SRC_Demand!$O36</f>
        <v>Active</v>
      </c>
      <c r="E689" s="92" t="n">
        <f aca="false">SRC_Demand!$K36</f>
        <v>1</v>
      </c>
      <c r="F689" s="92" t="str">
        <f aca="false">SRC_Demand!$S36</f>
        <v>—</v>
      </c>
    </row>
    <row r="690" customFormat="false" ht="15" hidden="false" customHeight="false" outlineLevel="0" collapsed="false">
      <c r="A690" s="92" t="str">
        <f aca="false">SRC_Demand!$A37&amp;""</f>
        <v>SRC_DEM_033</v>
      </c>
      <c r="B690" s="62" t="s">
        <v>9577</v>
      </c>
      <c r="C690" s="61" t="n">
        <v>37</v>
      </c>
      <c r="D690" s="92" t="str">
        <f aca="false">SRC_Demand!$O37</f>
        <v>Active</v>
      </c>
      <c r="E690" s="92" t="n">
        <f aca="false">SRC_Demand!$K37</f>
        <v>1</v>
      </c>
      <c r="F690" s="92" t="str">
        <f aca="false">SRC_Demand!$S37</f>
        <v>—</v>
      </c>
    </row>
    <row r="691" customFormat="false" ht="15" hidden="false" customHeight="false" outlineLevel="0" collapsed="false">
      <c r="A691" s="92" t="str">
        <f aca="false">SRC_Demand!$A38&amp;""</f>
        <v>SRC_DEM_034</v>
      </c>
      <c r="B691" s="62" t="s">
        <v>9577</v>
      </c>
      <c r="C691" s="61" t="n">
        <v>38</v>
      </c>
      <c r="D691" s="92" t="str">
        <f aca="false">SRC_Demand!$O38</f>
        <v>Active</v>
      </c>
      <c r="E691" s="92" t="n">
        <f aca="false">SRC_Demand!$K38</f>
        <v>2</v>
      </c>
      <c r="F691" s="92" t="str">
        <f aca="false">SRC_Demand!$S38</f>
        <v>—</v>
      </c>
    </row>
    <row r="692" customFormat="false" ht="15" hidden="false" customHeight="false" outlineLevel="0" collapsed="false">
      <c r="A692" s="92" t="str">
        <f aca="false">SRC_Demand!$A39&amp;""</f>
        <v>SRC_DEM_035</v>
      </c>
      <c r="B692" s="62" t="s">
        <v>9577</v>
      </c>
      <c r="C692" s="61" t="n">
        <v>39</v>
      </c>
      <c r="D692" s="92" t="str">
        <f aca="false">SRC_Demand!$O39</f>
        <v>Active</v>
      </c>
      <c r="E692" s="92" t="n">
        <f aca="false">SRC_Demand!$K39</f>
        <v>2</v>
      </c>
      <c r="F692" s="92" t="str">
        <f aca="false">SRC_Demand!$S39</f>
        <v>—</v>
      </c>
    </row>
    <row r="693" customFormat="false" ht="15" hidden="false" customHeight="false" outlineLevel="0" collapsed="false">
      <c r="A693" s="92" t="str">
        <f aca="false">SRC_Demand!$A40&amp;""</f>
        <v>SRC_DEM_036</v>
      </c>
      <c r="B693" s="62" t="s">
        <v>9577</v>
      </c>
      <c r="C693" s="61" t="n">
        <v>40</v>
      </c>
      <c r="D693" s="92" t="str">
        <f aca="false">SRC_Demand!$O40</f>
        <v>Active</v>
      </c>
      <c r="E693" s="92" t="n">
        <f aca="false">SRC_Demand!$K40</f>
        <v>2</v>
      </c>
      <c r="F693" s="92" t="str">
        <f aca="false">SRC_Demand!$S40</f>
        <v>—</v>
      </c>
    </row>
    <row r="694" customFormat="false" ht="15" hidden="false" customHeight="false" outlineLevel="0" collapsed="false">
      <c r="A694" s="92" t="str">
        <f aca="false">SRC_Demand!$A41&amp;""</f>
        <v>SRC_DEM_037</v>
      </c>
      <c r="B694" s="62" t="s">
        <v>9577</v>
      </c>
      <c r="C694" s="61" t="n">
        <v>41</v>
      </c>
      <c r="D694" s="92" t="str">
        <f aca="false">SRC_Demand!$O41</f>
        <v>Active</v>
      </c>
      <c r="E694" s="92" t="n">
        <f aca="false">SRC_Demand!$K41</f>
        <v>2</v>
      </c>
      <c r="F694" s="92" t="str">
        <f aca="false">SRC_Demand!$S41</f>
        <v>—</v>
      </c>
    </row>
    <row r="695" customFormat="false" ht="15" hidden="false" customHeight="false" outlineLevel="0" collapsed="false">
      <c r="A695" s="92" t="str">
        <f aca="false">SRC_Demand!$A42&amp;""</f>
        <v>SRC_DEM_038</v>
      </c>
      <c r="B695" s="62" t="s">
        <v>9577</v>
      </c>
      <c r="C695" s="61" t="n">
        <v>42</v>
      </c>
      <c r="D695" s="92" t="str">
        <f aca="false">SRC_Demand!$O42</f>
        <v>Active</v>
      </c>
      <c r="E695" s="92" t="n">
        <f aca="false">SRC_Demand!$K42</f>
        <v>2</v>
      </c>
      <c r="F695" s="92" t="str">
        <f aca="false">SRC_Demand!$S42</f>
        <v>—</v>
      </c>
    </row>
    <row r="696" customFormat="false" ht="15" hidden="false" customHeight="false" outlineLevel="0" collapsed="false">
      <c r="A696" s="92" t="str">
        <f aca="false">SRC_Demand!$A43&amp;""</f>
        <v>SRC_DEM_039</v>
      </c>
      <c r="B696" s="62" t="s">
        <v>9577</v>
      </c>
      <c r="C696" s="61" t="n">
        <v>43</v>
      </c>
      <c r="D696" s="92" t="str">
        <f aca="false">SRC_Demand!$O43</f>
        <v>Active</v>
      </c>
      <c r="E696" s="92" t="n">
        <f aca="false">SRC_Demand!$K43</f>
        <v>2</v>
      </c>
      <c r="F696" s="92" t="str">
        <f aca="false">SRC_Demand!$S43</f>
        <v>—</v>
      </c>
    </row>
    <row r="697" customFormat="false" ht="15" hidden="false" customHeight="false" outlineLevel="0" collapsed="false">
      <c r="A697" s="92" t="str">
        <f aca="false">SRC_Demand!$A44&amp;""</f>
        <v>SRC_DEM_040</v>
      </c>
      <c r="B697" s="62" t="s">
        <v>9577</v>
      </c>
      <c r="C697" s="61" t="n">
        <v>44</v>
      </c>
      <c r="D697" s="92" t="str">
        <f aca="false">SRC_Demand!$O44</f>
        <v>Active</v>
      </c>
      <c r="E697" s="92" t="n">
        <f aca="false">SRC_Demand!$K44</f>
        <v>2</v>
      </c>
      <c r="F697" s="92" t="str">
        <f aca="false">SRC_Demand!$S44</f>
        <v>—</v>
      </c>
    </row>
    <row r="698" customFormat="false" ht="15" hidden="false" customHeight="false" outlineLevel="0" collapsed="false">
      <c r="A698" s="92" t="str">
        <f aca="false">SRC_Demand!$A45&amp;""</f>
        <v>SRC_DEM_041</v>
      </c>
      <c r="B698" s="62" t="s">
        <v>9577</v>
      </c>
      <c r="C698" s="61" t="n">
        <v>45</v>
      </c>
      <c r="D698" s="92" t="str">
        <f aca="false">SRC_Demand!$O45</f>
        <v>Active</v>
      </c>
      <c r="E698" s="92" t="n">
        <f aca="false">SRC_Demand!$K45</f>
        <v>2</v>
      </c>
      <c r="F698" s="92" t="str">
        <f aca="false">SRC_Demand!$S45</f>
        <v>—</v>
      </c>
    </row>
    <row r="699" customFormat="false" ht="15" hidden="false" customHeight="false" outlineLevel="0" collapsed="false">
      <c r="A699" s="92" t="str">
        <f aca="false">SRC_Demand!$A46&amp;""</f>
        <v>SRC_DEM_042</v>
      </c>
      <c r="B699" s="62" t="s">
        <v>9577</v>
      </c>
      <c r="C699" s="61" t="n">
        <v>46</v>
      </c>
      <c r="D699" s="92" t="str">
        <f aca="false">SRC_Demand!$O46</f>
        <v>Active</v>
      </c>
      <c r="E699" s="92" t="n">
        <f aca="false">SRC_Demand!$K46</f>
        <v>2</v>
      </c>
      <c r="F699" s="92" t="str">
        <f aca="false">SRC_Demand!$S46</f>
        <v>—</v>
      </c>
    </row>
    <row r="700" customFormat="false" ht="15" hidden="false" customHeight="false" outlineLevel="0" collapsed="false">
      <c r="A700" s="92" t="str">
        <f aca="false">SRC_Demand!$A47&amp;""</f>
        <v>SRC_DEM_043</v>
      </c>
      <c r="B700" s="62" t="s">
        <v>9577</v>
      </c>
      <c r="C700" s="61" t="n">
        <v>47</v>
      </c>
      <c r="D700" s="92" t="str">
        <f aca="false">SRC_Demand!$O47</f>
        <v>Active</v>
      </c>
      <c r="E700" s="92" t="n">
        <f aca="false">SRC_Demand!$K47</f>
        <v>2</v>
      </c>
      <c r="F700" s="92" t="str">
        <f aca="false">SRC_Demand!$S47</f>
        <v>—</v>
      </c>
    </row>
    <row r="701" customFormat="false" ht="15" hidden="false" customHeight="false" outlineLevel="0" collapsed="false">
      <c r="A701" s="92" t="str">
        <f aca="false">SRC_Demand!$A48&amp;""</f>
        <v>SRC_DEM_044</v>
      </c>
      <c r="B701" s="62" t="s">
        <v>9577</v>
      </c>
      <c r="C701" s="61" t="n">
        <v>48</v>
      </c>
      <c r="D701" s="92" t="str">
        <f aca="false">SRC_Demand!$O48</f>
        <v>Active</v>
      </c>
      <c r="E701" s="92" t="n">
        <f aca="false">SRC_Demand!$K48</f>
        <v>1</v>
      </c>
      <c r="F701" s="92" t="str">
        <f aca="false">SRC_Demand!$S48</f>
        <v>—</v>
      </c>
    </row>
    <row r="702" customFormat="false" ht="15" hidden="false" customHeight="false" outlineLevel="0" collapsed="false">
      <c r="A702" s="92" t="str">
        <f aca="false">SRC_Demand!$A49&amp;""</f>
        <v>SRC_DEM_045</v>
      </c>
      <c r="B702" s="62" t="s">
        <v>9577</v>
      </c>
      <c r="C702" s="61" t="n">
        <v>49</v>
      </c>
      <c r="D702" s="92" t="str">
        <f aca="false">SRC_Demand!$O49</f>
        <v>Active</v>
      </c>
      <c r="E702" s="92" t="n">
        <f aca="false">SRC_Demand!$K49</f>
        <v>1</v>
      </c>
      <c r="F702" s="92" t="str">
        <f aca="false">SRC_Demand!$S49</f>
        <v>—</v>
      </c>
    </row>
    <row r="703" customFormat="false" ht="15" hidden="false" customHeight="false" outlineLevel="0" collapsed="false">
      <c r="A703" s="92" t="str">
        <f aca="false">SRC_Demand!$A50&amp;""</f>
        <v>SRC_DEM_046</v>
      </c>
      <c r="B703" s="62" t="s">
        <v>9577</v>
      </c>
      <c r="C703" s="61" t="n">
        <v>50</v>
      </c>
      <c r="D703" s="92" t="str">
        <f aca="false">SRC_Demand!$O50</f>
        <v>Active</v>
      </c>
      <c r="E703" s="92" t="n">
        <f aca="false">SRC_Demand!$K50</f>
        <v>1</v>
      </c>
      <c r="F703" s="92" t="str">
        <f aca="false">SRC_Demand!$S50</f>
        <v>—</v>
      </c>
    </row>
    <row r="704" customFormat="false" ht="15" hidden="false" customHeight="false" outlineLevel="0" collapsed="false">
      <c r="A704" s="92" t="str">
        <f aca="false">SRC_Demand!$A51&amp;""</f>
        <v>SRC_DEM_047</v>
      </c>
      <c r="B704" s="62" t="s">
        <v>9577</v>
      </c>
      <c r="C704" s="61" t="n">
        <v>51</v>
      </c>
      <c r="D704" s="92" t="str">
        <f aca="false">SRC_Demand!$O51</f>
        <v>Active</v>
      </c>
      <c r="E704" s="92" t="n">
        <f aca="false">SRC_Demand!$K51</f>
        <v>1</v>
      </c>
      <c r="F704" s="92" t="str">
        <f aca="false">SRC_Demand!$S51</f>
        <v>—</v>
      </c>
    </row>
    <row r="705" customFormat="false" ht="15" hidden="false" customHeight="false" outlineLevel="0" collapsed="false">
      <c r="A705" s="92" t="str">
        <f aca="false">SRC_Demand!$A52&amp;""</f>
        <v>SRC_DEM_048</v>
      </c>
      <c r="B705" s="62" t="s">
        <v>9577</v>
      </c>
      <c r="C705" s="61" t="n">
        <v>52</v>
      </c>
      <c r="D705" s="92" t="str">
        <f aca="false">SRC_Demand!$O52</f>
        <v>Active</v>
      </c>
      <c r="E705" s="92" t="n">
        <f aca="false">SRC_Demand!$K52</f>
        <v>2</v>
      </c>
      <c r="F705" s="92" t="str">
        <f aca="false">SRC_Demand!$S52</f>
        <v>—</v>
      </c>
    </row>
    <row r="706" customFormat="false" ht="15" hidden="false" customHeight="false" outlineLevel="0" collapsed="false">
      <c r="A706" s="92" t="str">
        <f aca="false">SRC_Demand!$A53&amp;""</f>
        <v>SRC_DEM_049</v>
      </c>
      <c r="B706" s="62" t="s">
        <v>9577</v>
      </c>
      <c r="C706" s="61" t="n">
        <v>53</v>
      </c>
      <c r="D706" s="92" t="str">
        <f aca="false">SRC_Demand!$O53</f>
        <v>Active</v>
      </c>
      <c r="E706" s="92" t="n">
        <f aca="false">SRC_Demand!$K53</f>
        <v>1</v>
      </c>
      <c r="F706" s="92" t="str">
        <f aca="false">SRC_Demand!$S53</f>
        <v>—</v>
      </c>
    </row>
    <row r="707" customFormat="false" ht="15" hidden="false" customHeight="false" outlineLevel="0" collapsed="false">
      <c r="A707" s="92" t="str">
        <f aca="false">SRC_Demand!$A54&amp;""</f>
        <v>SRC_DEM_050</v>
      </c>
      <c r="B707" s="62" t="s">
        <v>9577</v>
      </c>
      <c r="C707" s="61" t="n">
        <v>54</v>
      </c>
      <c r="D707" s="92" t="str">
        <f aca="false">SRC_Demand!$O54</f>
        <v>Active</v>
      </c>
      <c r="E707" s="92" t="n">
        <f aca="false">SRC_Demand!$K54</f>
        <v>1</v>
      </c>
      <c r="F707" s="92" t="str">
        <f aca="false">SRC_Demand!$S54</f>
        <v>—</v>
      </c>
    </row>
    <row r="708" customFormat="false" ht="15" hidden="false" customHeight="false" outlineLevel="0" collapsed="false">
      <c r="A708" s="92" t="str">
        <f aca="false">SRC_Demand!$A55&amp;""</f>
        <v>SRC_DEM_051</v>
      </c>
      <c r="B708" s="62" t="s">
        <v>9577</v>
      </c>
      <c r="C708" s="61" t="n">
        <v>55</v>
      </c>
      <c r="D708" s="92" t="str">
        <f aca="false">SRC_Demand!$O55</f>
        <v>Active</v>
      </c>
      <c r="E708" s="92" t="n">
        <f aca="false">SRC_Demand!$K55</f>
        <v>1</v>
      </c>
      <c r="F708" s="92" t="str">
        <f aca="false">SRC_Demand!$S55</f>
        <v>—</v>
      </c>
    </row>
    <row r="709" customFormat="false" ht="15" hidden="false" customHeight="false" outlineLevel="0" collapsed="false">
      <c r="A709" s="92" t="str">
        <f aca="false">SRC_Demand!$A56&amp;""</f>
        <v>SRC_DEM_052</v>
      </c>
      <c r="B709" s="62" t="s">
        <v>9577</v>
      </c>
      <c r="C709" s="61" t="n">
        <v>56</v>
      </c>
      <c r="D709" s="92" t="str">
        <f aca="false">SRC_Demand!$O56</f>
        <v>Active</v>
      </c>
      <c r="E709" s="92" t="n">
        <f aca="false">SRC_Demand!$K56</f>
        <v>1</v>
      </c>
      <c r="F709" s="92" t="str">
        <f aca="false">SRC_Demand!$S56</f>
        <v>—</v>
      </c>
    </row>
    <row r="710" customFormat="false" ht="15" hidden="false" customHeight="false" outlineLevel="0" collapsed="false">
      <c r="A710" s="92" t="str">
        <f aca="false">SRC_Demand!$A57&amp;""</f>
        <v>SRC_DEM_053</v>
      </c>
      <c r="B710" s="62" t="s">
        <v>9577</v>
      </c>
      <c r="C710" s="61" t="n">
        <v>57</v>
      </c>
      <c r="D710" s="92" t="str">
        <f aca="false">SRC_Demand!$O57</f>
        <v>Active</v>
      </c>
      <c r="E710" s="92" t="n">
        <f aca="false">SRC_Demand!$K57</f>
        <v>1</v>
      </c>
      <c r="F710" s="92" t="str">
        <f aca="false">SRC_Demand!$S57</f>
        <v>—</v>
      </c>
    </row>
    <row r="711" customFormat="false" ht="15" hidden="false" customHeight="false" outlineLevel="0" collapsed="false">
      <c r="A711" s="92" t="str">
        <f aca="false">SRC_Demand!$A58&amp;""</f>
        <v>SRC_DEM_054</v>
      </c>
      <c r="B711" s="62" t="s">
        <v>9577</v>
      </c>
      <c r="C711" s="61" t="n">
        <v>58</v>
      </c>
      <c r="D711" s="92" t="str">
        <f aca="false">SRC_Demand!$O58</f>
        <v>Active</v>
      </c>
      <c r="E711" s="92" t="n">
        <f aca="false">SRC_Demand!$K58</f>
        <v>2</v>
      </c>
      <c r="F711" s="92" t="str">
        <f aca="false">SRC_Demand!$S58</f>
        <v>—</v>
      </c>
    </row>
    <row r="712" customFormat="false" ht="15" hidden="false" customHeight="false" outlineLevel="0" collapsed="false">
      <c r="A712" s="92" t="str">
        <f aca="false">SRC_Demand!$A59&amp;""</f>
        <v>SRC_DEM_055</v>
      </c>
      <c r="B712" s="62" t="s">
        <v>9577</v>
      </c>
      <c r="C712" s="61" t="n">
        <v>59</v>
      </c>
      <c r="D712" s="92" t="str">
        <f aca="false">SRC_Demand!$O59</f>
        <v>Active</v>
      </c>
      <c r="E712" s="92" t="n">
        <f aca="false">SRC_Demand!$K59</f>
        <v>1</v>
      </c>
      <c r="F712" s="92" t="str">
        <f aca="false">SRC_Demand!$S59</f>
        <v>—</v>
      </c>
    </row>
    <row r="713" customFormat="false" ht="15" hidden="false" customHeight="false" outlineLevel="0" collapsed="false">
      <c r="A713" s="92" t="str">
        <f aca="false">SRC_Demand!$A60&amp;""</f>
        <v>SRC_DEM_056</v>
      </c>
      <c r="B713" s="62" t="s">
        <v>9577</v>
      </c>
      <c r="C713" s="61" t="n">
        <v>60</v>
      </c>
      <c r="D713" s="92" t="str">
        <f aca="false">SRC_Demand!$O60</f>
        <v>Active</v>
      </c>
      <c r="E713" s="92" t="n">
        <f aca="false">SRC_Demand!$K60</f>
        <v>2</v>
      </c>
      <c r="F713" s="92" t="str">
        <f aca="false">SRC_Demand!$S60</f>
        <v>—</v>
      </c>
    </row>
    <row r="714" customFormat="false" ht="15" hidden="false" customHeight="false" outlineLevel="0" collapsed="false">
      <c r="A714" s="92" t="str">
        <f aca="false">SRC_Demand!$A61&amp;""</f>
        <v>SRC_DEM_057</v>
      </c>
      <c r="B714" s="62" t="s">
        <v>9577</v>
      </c>
      <c r="C714" s="61" t="n">
        <v>61</v>
      </c>
      <c r="D714" s="92" t="str">
        <f aca="false">SRC_Demand!$O61</f>
        <v>Active</v>
      </c>
      <c r="E714" s="92" t="n">
        <f aca="false">SRC_Demand!$K61</f>
        <v>2</v>
      </c>
      <c r="F714" s="92" t="str">
        <f aca="false">SRC_Demand!$S61</f>
        <v>—</v>
      </c>
    </row>
    <row r="715" customFormat="false" ht="15" hidden="false" customHeight="false" outlineLevel="0" collapsed="false">
      <c r="A715" s="92" t="str">
        <f aca="false">SRC_Demand!$A62&amp;""</f>
        <v>SRC_DEM_058</v>
      </c>
      <c r="B715" s="62" t="s">
        <v>9577</v>
      </c>
      <c r="C715" s="61" t="n">
        <v>62</v>
      </c>
      <c r="D715" s="92" t="str">
        <f aca="false">SRC_Demand!$O62</f>
        <v>Active</v>
      </c>
      <c r="E715" s="92" t="n">
        <f aca="false">SRC_Demand!$K62</f>
        <v>2</v>
      </c>
      <c r="F715" s="92" t="str">
        <f aca="false">SRC_Demand!$S62</f>
        <v>—</v>
      </c>
    </row>
    <row r="716" customFormat="false" ht="15" hidden="false" customHeight="false" outlineLevel="0" collapsed="false">
      <c r="A716" s="92" t="str">
        <f aca="false">SRC_Demand!$A63&amp;""</f>
        <v>SRC_DEM_059</v>
      </c>
      <c r="B716" s="62" t="s">
        <v>9577</v>
      </c>
      <c r="C716" s="61" t="n">
        <v>63</v>
      </c>
      <c r="D716" s="92" t="str">
        <f aca="false">SRC_Demand!$O63</f>
        <v>Active</v>
      </c>
      <c r="E716" s="92" t="n">
        <f aca="false">SRC_Demand!$K63</f>
        <v>1</v>
      </c>
      <c r="F716" s="92" t="str">
        <f aca="false">SRC_Demand!$S63</f>
        <v>—</v>
      </c>
    </row>
    <row r="717" customFormat="false" ht="15" hidden="false" customHeight="false" outlineLevel="0" collapsed="false">
      <c r="A717" s="92" t="str">
        <f aca="false">SRC_Demand!$A64&amp;""</f>
        <v>SRC_DEM_060</v>
      </c>
      <c r="B717" s="62" t="s">
        <v>9577</v>
      </c>
      <c r="C717" s="61" t="n">
        <v>64</v>
      </c>
      <c r="D717" s="92" t="str">
        <f aca="false">SRC_Demand!$O64</f>
        <v>Active</v>
      </c>
      <c r="E717" s="92" t="n">
        <f aca="false">SRC_Demand!$K64</f>
        <v>2</v>
      </c>
      <c r="F717" s="92" t="str">
        <f aca="false">SRC_Demand!$S64</f>
        <v>—</v>
      </c>
    </row>
    <row r="718" customFormat="false" ht="15" hidden="false" customHeight="false" outlineLevel="0" collapsed="false">
      <c r="A718" s="92" t="str">
        <f aca="false">SRC_Demand!$A65&amp;""</f>
        <v>SRC_DEM_061</v>
      </c>
      <c r="B718" s="62" t="s">
        <v>9577</v>
      </c>
      <c r="C718" s="61" t="n">
        <v>65</v>
      </c>
      <c r="D718" s="92" t="str">
        <f aca="false">SRC_Demand!$O65</f>
        <v>Active</v>
      </c>
      <c r="E718" s="92" t="n">
        <f aca="false">SRC_Demand!$K65</f>
        <v>1</v>
      </c>
      <c r="F718" s="92" t="str">
        <f aca="false">SRC_Demand!$S65</f>
        <v>—</v>
      </c>
    </row>
    <row r="719" customFormat="false" ht="15" hidden="false" customHeight="false" outlineLevel="0" collapsed="false">
      <c r="A719" s="92" t="str">
        <f aca="false">SRC_Demand!$A66&amp;""</f>
        <v>SRC_DEM_062</v>
      </c>
      <c r="B719" s="62" t="s">
        <v>9577</v>
      </c>
      <c r="C719" s="61" t="n">
        <v>66</v>
      </c>
      <c r="D719" s="92" t="str">
        <f aca="false">SRC_Demand!$O66</f>
        <v>Active</v>
      </c>
      <c r="E719" s="92" t="n">
        <f aca="false">SRC_Demand!$K66</f>
        <v>2</v>
      </c>
      <c r="F719" s="92" t="str">
        <f aca="false">SRC_Demand!$S66</f>
        <v>—</v>
      </c>
    </row>
    <row r="720" customFormat="false" ht="15" hidden="false" customHeight="false" outlineLevel="0" collapsed="false">
      <c r="A720" s="92" t="str">
        <f aca="false">SRC_Demand!$A67&amp;""</f>
        <v>SRC_DEM_063</v>
      </c>
      <c r="B720" s="62" t="s">
        <v>9577</v>
      </c>
      <c r="C720" s="61" t="n">
        <v>67</v>
      </c>
      <c r="D720" s="92" t="str">
        <f aca="false">SRC_Demand!$O67</f>
        <v>Active</v>
      </c>
      <c r="E720" s="92" t="n">
        <f aca="false">SRC_Demand!$K67</f>
        <v>2</v>
      </c>
      <c r="F720" s="92" t="str">
        <f aca="false">SRC_Demand!$S67</f>
        <v>—</v>
      </c>
    </row>
    <row r="721" customFormat="false" ht="15" hidden="false" customHeight="false" outlineLevel="0" collapsed="false">
      <c r="A721" s="92" t="str">
        <f aca="false">SRC_Demand!$A68&amp;""</f>
        <v>SRC_DEM_064</v>
      </c>
      <c r="B721" s="62" t="s">
        <v>9577</v>
      </c>
      <c r="C721" s="61" t="n">
        <v>68</v>
      </c>
      <c r="D721" s="92" t="str">
        <f aca="false">SRC_Demand!$O68</f>
        <v>Active</v>
      </c>
      <c r="E721" s="92" t="n">
        <f aca="false">SRC_Demand!$K68</f>
        <v>2</v>
      </c>
      <c r="F721" s="92" t="str">
        <f aca="false">SRC_Demand!$S68</f>
        <v>—</v>
      </c>
    </row>
    <row r="722" customFormat="false" ht="15" hidden="false" customHeight="false" outlineLevel="0" collapsed="false">
      <c r="A722" s="92" t="str">
        <f aca="false">SRC_Demand!$A69&amp;""</f>
        <v>SRC_DEM_065</v>
      </c>
      <c r="B722" s="62" t="s">
        <v>9577</v>
      </c>
      <c r="C722" s="61" t="n">
        <v>69</v>
      </c>
      <c r="D722" s="92" t="str">
        <f aca="false">SRC_Demand!$O69</f>
        <v>Active</v>
      </c>
      <c r="E722" s="92" t="n">
        <f aca="false">SRC_Demand!$K69</f>
        <v>2</v>
      </c>
      <c r="F722" s="92" t="str">
        <f aca="false">SRC_Demand!$S69</f>
        <v>—</v>
      </c>
    </row>
    <row r="723" customFormat="false" ht="15" hidden="false" customHeight="false" outlineLevel="0" collapsed="false">
      <c r="A723" s="92" t="str">
        <f aca="false">SRC_Demand!$A70&amp;""</f>
        <v>SRC_DEM_066</v>
      </c>
      <c r="B723" s="62" t="s">
        <v>9577</v>
      </c>
      <c r="C723" s="61" t="n">
        <v>70</v>
      </c>
      <c r="D723" s="92" t="str">
        <f aca="false">SRC_Demand!$O70</f>
        <v>Active</v>
      </c>
      <c r="E723" s="92" t="n">
        <f aca="false">SRC_Demand!$K70</f>
        <v>1</v>
      </c>
      <c r="F723" s="92" t="str">
        <f aca="false">SRC_Demand!$S70</f>
        <v>—</v>
      </c>
    </row>
    <row r="724" customFormat="false" ht="15" hidden="false" customHeight="false" outlineLevel="0" collapsed="false">
      <c r="A724" s="92" t="str">
        <f aca="false">SRC_Demand!$A71&amp;""</f>
        <v>SRC_DEM_067</v>
      </c>
      <c r="B724" s="62" t="s">
        <v>9577</v>
      </c>
      <c r="C724" s="61" t="n">
        <v>71</v>
      </c>
      <c r="D724" s="92" t="str">
        <f aca="false">SRC_Demand!$O71</f>
        <v>Active</v>
      </c>
      <c r="E724" s="92" t="n">
        <f aca="false">SRC_Demand!$K71</f>
        <v>2</v>
      </c>
      <c r="F724" s="92" t="str">
        <f aca="false">SRC_Demand!$S71</f>
        <v>—</v>
      </c>
    </row>
    <row r="725" customFormat="false" ht="15" hidden="false" customHeight="false" outlineLevel="0" collapsed="false">
      <c r="A725" s="92" t="str">
        <f aca="false">SRC_Demand!$A72&amp;""</f>
        <v>SRC_DEM_068</v>
      </c>
      <c r="B725" s="62" t="s">
        <v>9577</v>
      </c>
      <c r="C725" s="61" t="n">
        <v>72</v>
      </c>
      <c r="D725" s="92" t="str">
        <f aca="false">SRC_Demand!$O72</f>
        <v>Active</v>
      </c>
      <c r="E725" s="92" t="n">
        <f aca="false">SRC_Demand!$K72</f>
        <v>1</v>
      </c>
      <c r="F725" s="92" t="str">
        <f aca="false">SRC_Demand!$S72</f>
        <v>—</v>
      </c>
    </row>
    <row r="726" customFormat="false" ht="15" hidden="false" customHeight="false" outlineLevel="0" collapsed="false">
      <c r="A726" s="92" t="str">
        <f aca="false">SRC_Demand!$A73&amp;""</f>
        <v>SRC_DEM_069</v>
      </c>
      <c r="B726" s="62" t="s">
        <v>9577</v>
      </c>
      <c r="C726" s="61" t="n">
        <v>73</v>
      </c>
      <c r="D726" s="92" t="str">
        <f aca="false">SRC_Demand!$O73</f>
        <v>Active</v>
      </c>
      <c r="E726" s="92" t="n">
        <f aca="false">SRC_Demand!$K73</f>
        <v>2</v>
      </c>
      <c r="F726" s="92" t="str">
        <f aca="false">SRC_Demand!$S73</f>
        <v>—</v>
      </c>
    </row>
    <row r="727" customFormat="false" ht="15" hidden="false" customHeight="false" outlineLevel="0" collapsed="false">
      <c r="A727" s="92" t="str">
        <f aca="false">SRC_Demand!$A74&amp;""</f>
        <v>SRC_DEM_070</v>
      </c>
      <c r="B727" s="62" t="s">
        <v>9577</v>
      </c>
      <c r="C727" s="61" t="n">
        <v>74</v>
      </c>
      <c r="D727" s="92" t="str">
        <f aca="false">SRC_Demand!$O74</f>
        <v>Alt</v>
      </c>
      <c r="E727" s="92" t="n">
        <f aca="false">SRC_Demand!$K74</f>
        <v>3</v>
      </c>
      <c r="F727" s="92" t="str">
        <f aca="false">SRC_Demand!$S74</f>
        <v>—</v>
      </c>
    </row>
    <row r="728" customFormat="false" ht="15" hidden="false" customHeight="false" outlineLevel="0" collapsed="false">
      <c r="A728" s="92" t="str">
        <f aca="false">SRC_Demand!$A75&amp;""</f>
        <v>SRC_DEM_071</v>
      </c>
      <c r="B728" s="62" t="s">
        <v>9577</v>
      </c>
      <c r="C728" s="61" t="n">
        <v>75</v>
      </c>
      <c r="D728" s="92" t="str">
        <f aca="false">SRC_Demand!$O75</f>
        <v>Active</v>
      </c>
      <c r="E728" s="92" t="n">
        <f aca="false">SRC_Demand!$K75</f>
        <v>3</v>
      </c>
      <c r="F728" s="92" t="str">
        <f aca="false">SRC_Demand!$S75</f>
        <v>—</v>
      </c>
    </row>
    <row r="729" customFormat="false" ht="15" hidden="false" customHeight="false" outlineLevel="0" collapsed="false">
      <c r="A729" s="92" t="str">
        <f aca="false">SRC_Demand!$A76&amp;""</f>
        <v>SRC_DEM_072</v>
      </c>
      <c r="B729" s="62" t="s">
        <v>9577</v>
      </c>
      <c r="C729" s="61" t="n">
        <v>76</v>
      </c>
      <c r="D729" s="92" t="str">
        <f aca="false">SRC_Demand!$O76</f>
        <v>Active</v>
      </c>
      <c r="E729" s="92" t="n">
        <f aca="false">SRC_Demand!$K76</f>
        <v>2</v>
      </c>
      <c r="F729" s="92" t="str">
        <f aca="false">SRC_Demand!$S76</f>
        <v>—</v>
      </c>
    </row>
    <row r="730" customFormat="false" ht="15" hidden="false" customHeight="false" outlineLevel="0" collapsed="false">
      <c r="A730" s="92" t="str">
        <f aca="false">SRC_Demand!$A77&amp;""</f>
        <v>SRC_DEM_073</v>
      </c>
      <c r="B730" s="62" t="s">
        <v>9577</v>
      </c>
      <c r="C730" s="61" t="n">
        <v>77</v>
      </c>
      <c r="D730" s="92" t="str">
        <f aca="false">SRC_Demand!$O77</f>
        <v>Active</v>
      </c>
      <c r="E730" s="92" t="n">
        <f aca="false">SRC_Demand!$K77</f>
        <v>2</v>
      </c>
      <c r="F730" s="92" t="str">
        <f aca="false">SRC_Demand!$S77</f>
        <v>—</v>
      </c>
    </row>
    <row r="731" customFormat="false" ht="15" hidden="false" customHeight="false" outlineLevel="0" collapsed="false">
      <c r="A731" s="92" t="str">
        <f aca="false">SRC_Demand!$A78&amp;""</f>
        <v/>
      </c>
      <c r="B731" s="62" t="s">
        <v>9577</v>
      </c>
      <c r="C731" s="61" t="n">
        <v>78</v>
      </c>
      <c r="D731" s="92" t="n">
        <f aca="false">SRC_Demand!$O78</f>
        <v>0</v>
      </c>
      <c r="E731" s="92" t="n">
        <f aca="false">SRC_Demand!$K78</f>
        <v>0</v>
      </c>
      <c r="F731" s="92" t="n">
        <f aca="false">SRC_Demand!$S78</f>
        <v>0</v>
      </c>
    </row>
    <row r="732" customFormat="false" ht="15" hidden="false" customHeight="false" outlineLevel="0" collapsed="false">
      <c r="A732" s="92" t="str">
        <f aca="false">SRC_Demand!$A79&amp;""</f>
        <v/>
      </c>
      <c r="B732" s="62" t="s">
        <v>9577</v>
      </c>
      <c r="C732" s="61" t="n">
        <v>79</v>
      </c>
      <c r="D732" s="92" t="n">
        <f aca="false">SRC_Demand!$O79</f>
        <v>0</v>
      </c>
      <c r="E732" s="92" t="n">
        <f aca="false">SRC_Demand!$K79</f>
        <v>0</v>
      </c>
      <c r="F732" s="92" t="n">
        <f aca="false">SRC_Demand!$S79</f>
        <v>0</v>
      </c>
    </row>
    <row r="733" customFormat="false" ht="15" hidden="false" customHeight="false" outlineLevel="0" collapsed="false">
      <c r="A733" s="92" t="str">
        <f aca="false">SRC_Demand!$A80&amp;""</f>
        <v/>
      </c>
      <c r="B733" s="62" t="s">
        <v>9577</v>
      </c>
      <c r="C733" s="61" t="n">
        <v>80</v>
      </c>
      <c r="D733" s="92" t="n">
        <f aca="false">SRC_Demand!$O80</f>
        <v>0</v>
      </c>
      <c r="E733" s="92" t="n">
        <f aca="false">SRC_Demand!$K80</f>
        <v>0</v>
      </c>
      <c r="F733" s="92" t="n">
        <f aca="false">SRC_Demand!$S80</f>
        <v>0</v>
      </c>
    </row>
    <row r="734" customFormat="false" ht="15" hidden="false" customHeight="false" outlineLevel="0" collapsed="false">
      <c r="A734" s="92" t="str">
        <f aca="false">SRC_Demand!$A81&amp;""</f>
        <v/>
      </c>
      <c r="B734" s="62" t="s">
        <v>9577</v>
      </c>
      <c r="C734" s="61" t="n">
        <v>81</v>
      </c>
      <c r="D734" s="92" t="n">
        <f aca="false">SRC_Demand!$O81</f>
        <v>0</v>
      </c>
      <c r="E734" s="92" t="n">
        <f aca="false">SRC_Demand!$K81</f>
        <v>0</v>
      </c>
      <c r="F734" s="92" t="n">
        <f aca="false">SRC_Demand!$S81</f>
        <v>0</v>
      </c>
    </row>
    <row r="735" customFormat="false" ht="15" hidden="false" customHeight="false" outlineLevel="0" collapsed="false">
      <c r="A735" s="92" t="str">
        <f aca="false">SRC_Demand!$A82&amp;""</f>
        <v/>
      </c>
      <c r="B735" s="62" t="s">
        <v>9577</v>
      </c>
      <c r="C735" s="61" t="n">
        <v>82</v>
      </c>
      <c r="D735" s="92" t="n">
        <f aca="false">SRC_Demand!$O82</f>
        <v>0</v>
      </c>
      <c r="E735" s="92" t="n">
        <f aca="false">SRC_Demand!$K82</f>
        <v>0</v>
      </c>
      <c r="F735" s="92" t="n">
        <f aca="false">SRC_Demand!$S82</f>
        <v>0</v>
      </c>
    </row>
    <row r="736" customFormat="false" ht="15" hidden="false" customHeight="false" outlineLevel="0" collapsed="false">
      <c r="A736" s="92" t="str">
        <f aca="false">SRC_Demand!$A83&amp;""</f>
        <v/>
      </c>
      <c r="B736" s="62" t="s">
        <v>9577</v>
      </c>
      <c r="C736" s="61" t="n">
        <v>83</v>
      </c>
      <c r="D736" s="92" t="n">
        <f aca="false">SRC_Demand!$O83</f>
        <v>0</v>
      </c>
      <c r="E736" s="92" t="n">
        <f aca="false">SRC_Demand!$K83</f>
        <v>0</v>
      </c>
      <c r="F736" s="92" t="n">
        <f aca="false">SRC_Demand!$S83</f>
        <v>0</v>
      </c>
    </row>
    <row r="737" customFormat="false" ht="15" hidden="false" customHeight="false" outlineLevel="0" collapsed="false">
      <c r="A737" s="92" t="str">
        <f aca="false">SRC_Demand!$A84&amp;""</f>
        <v/>
      </c>
      <c r="B737" s="62" t="s">
        <v>9577</v>
      </c>
      <c r="C737" s="61" t="n">
        <v>84</v>
      </c>
      <c r="D737" s="92" t="n">
        <f aca="false">SRC_Demand!$O84</f>
        <v>0</v>
      </c>
      <c r="E737" s="92" t="n">
        <f aca="false">SRC_Demand!$K84</f>
        <v>0</v>
      </c>
      <c r="F737" s="92" t="n">
        <f aca="false">SRC_Demand!$S84</f>
        <v>0</v>
      </c>
    </row>
    <row r="738" customFormat="false" ht="15" hidden="false" customHeight="false" outlineLevel="0" collapsed="false">
      <c r="A738" s="92" t="str">
        <f aca="false">SRC_Demand!$A85&amp;""</f>
        <v/>
      </c>
      <c r="B738" s="62" t="s">
        <v>9577</v>
      </c>
      <c r="C738" s="61" t="n">
        <v>85</v>
      </c>
      <c r="D738" s="92" t="n">
        <f aca="false">SRC_Demand!$O85</f>
        <v>0</v>
      </c>
      <c r="E738" s="92" t="n">
        <f aca="false">SRC_Demand!$K85</f>
        <v>0</v>
      </c>
      <c r="F738" s="92" t="n">
        <f aca="false">SRC_Demand!$S85</f>
        <v>0</v>
      </c>
    </row>
    <row r="739" customFormat="false" ht="15" hidden="false" customHeight="false" outlineLevel="0" collapsed="false">
      <c r="A739" s="92" t="str">
        <f aca="false">SRC_Demand!$A86&amp;""</f>
        <v/>
      </c>
      <c r="B739" s="62" t="s">
        <v>9577</v>
      </c>
      <c r="C739" s="61" t="n">
        <v>86</v>
      </c>
      <c r="D739" s="92" t="n">
        <f aca="false">SRC_Demand!$O86</f>
        <v>0</v>
      </c>
      <c r="E739" s="92" t="n">
        <f aca="false">SRC_Demand!$K86</f>
        <v>0</v>
      </c>
      <c r="F739" s="92" t="n">
        <f aca="false">SRC_Demand!$S86</f>
        <v>0</v>
      </c>
    </row>
    <row r="740" customFormat="false" ht="15" hidden="false" customHeight="false" outlineLevel="0" collapsed="false">
      <c r="A740" s="92" t="str">
        <f aca="false">SRC_Demand!$A87&amp;""</f>
        <v/>
      </c>
      <c r="B740" s="62" t="s">
        <v>9577</v>
      </c>
      <c r="C740" s="61" t="n">
        <v>87</v>
      </c>
      <c r="D740" s="92" t="n">
        <f aca="false">SRC_Demand!$O87</f>
        <v>0</v>
      </c>
      <c r="E740" s="92" t="n">
        <f aca="false">SRC_Demand!$K87</f>
        <v>0</v>
      </c>
      <c r="F740" s="92" t="n">
        <f aca="false">SRC_Demand!$S87</f>
        <v>0</v>
      </c>
    </row>
    <row r="741" customFormat="false" ht="15" hidden="false" customHeight="false" outlineLevel="0" collapsed="false">
      <c r="A741" s="92" t="str">
        <f aca="false">SRC_Demand!$A88&amp;""</f>
        <v/>
      </c>
      <c r="B741" s="62" t="s">
        <v>9577</v>
      </c>
      <c r="C741" s="61" t="n">
        <v>88</v>
      </c>
      <c r="D741" s="92" t="n">
        <f aca="false">SRC_Demand!$O88</f>
        <v>0</v>
      </c>
      <c r="E741" s="92" t="n">
        <f aca="false">SRC_Demand!$K88</f>
        <v>0</v>
      </c>
      <c r="F741" s="92" t="n">
        <f aca="false">SRC_Demand!$S88</f>
        <v>0</v>
      </c>
    </row>
    <row r="742" customFormat="false" ht="15" hidden="false" customHeight="false" outlineLevel="0" collapsed="false">
      <c r="A742" s="92" t="str">
        <f aca="false">SRC_Demand!$A89&amp;""</f>
        <v/>
      </c>
      <c r="B742" s="62" t="s">
        <v>9577</v>
      </c>
      <c r="C742" s="61" t="n">
        <v>89</v>
      </c>
      <c r="D742" s="92" t="n">
        <f aca="false">SRC_Demand!$O89</f>
        <v>0</v>
      </c>
      <c r="E742" s="92" t="n">
        <f aca="false">SRC_Demand!$K89</f>
        <v>0</v>
      </c>
      <c r="F742" s="92" t="n">
        <f aca="false">SRC_Demand!$S89</f>
        <v>0</v>
      </c>
    </row>
    <row r="743" customFormat="false" ht="15" hidden="false" customHeight="false" outlineLevel="0" collapsed="false">
      <c r="A743" s="92" t="str">
        <f aca="false">SRC_Demand!$A90&amp;""</f>
        <v/>
      </c>
      <c r="B743" s="62" t="s">
        <v>9577</v>
      </c>
      <c r="C743" s="61" t="n">
        <v>90</v>
      </c>
      <c r="D743" s="92" t="n">
        <f aca="false">SRC_Demand!$O90</f>
        <v>0</v>
      </c>
      <c r="E743" s="92" t="n">
        <f aca="false">SRC_Demand!$K90</f>
        <v>0</v>
      </c>
      <c r="F743" s="92" t="n">
        <f aca="false">SRC_Demand!$S90</f>
        <v>0</v>
      </c>
    </row>
    <row r="744" customFormat="false" ht="15" hidden="false" customHeight="false" outlineLevel="0" collapsed="false">
      <c r="A744" s="92" t="str">
        <f aca="false">SRC_Demand!$A91&amp;""</f>
        <v/>
      </c>
      <c r="B744" s="62" t="s">
        <v>9577</v>
      </c>
      <c r="C744" s="61" t="n">
        <v>91</v>
      </c>
      <c r="D744" s="92" t="n">
        <f aca="false">SRC_Demand!$O91</f>
        <v>0</v>
      </c>
      <c r="E744" s="92" t="n">
        <f aca="false">SRC_Demand!$K91</f>
        <v>0</v>
      </c>
      <c r="F744" s="92" t="n">
        <f aca="false">SRC_Demand!$S91</f>
        <v>0</v>
      </c>
    </row>
    <row r="745" customFormat="false" ht="15" hidden="false" customHeight="false" outlineLevel="0" collapsed="false">
      <c r="A745" s="92" t="str">
        <f aca="false">SRC_Demand!$A92&amp;""</f>
        <v/>
      </c>
      <c r="B745" s="62" t="s">
        <v>9577</v>
      </c>
      <c r="C745" s="61" t="n">
        <v>92</v>
      </c>
      <c r="D745" s="92" t="n">
        <f aca="false">SRC_Demand!$O92</f>
        <v>0</v>
      </c>
      <c r="E745" s="92" t="n">
        <f aca="false">SRC_Demand!$K92</f>
        <v>0</v>
      </c>
      <c r="F745" s="92" t="n">
        <f aca="false">SRC_Demand!$S92</f>
        <v>0</v>
      </c>
    </row>
    <row r="746" customFormat="false" ht="15" hidden="false" customHeight="false" outlineLevel="0" collapsed="false">
      <c r="A746" s="92" t="str">
        <f aca="false">SRC_Demand!$A93&amp;""</f>
        <v/>
      </c>
      <c r="B746" s="62" t="s">
        <v>9577</v>
      </c>
      <c r="C746" s="61" t="n">
        <v>93</v>
      </c>
      <c r="D746" s="92" t="n">
        <f aca="false">SRC_Demand!$O93</f>
        <v>0</v>
      </c>
      <c r="E746" s="92" t="n">
        <f aca="false">SRC_Demand!$K93</f>
        <v>0</v>
      </c>
      <c r="F746" s="92" t="n">
        <f aca="false">SRC_Demand!$S93</f>
        <v>0</v>
      </c>
    </row>
    <row r="747" customFormat="false" ht="15" hidden="false" customHeight="false" outlineLevel="0" collapsed="false">
      <c r="A747" s="92" t="str">
        <f aca="false">SRC_Demand!$A94&amp;""</f>
        <v/>
      </c>
      <c r="B747" s="62" t="s">
        <v>9577</v>
      </c>
      <c r="C747" s="61" t="n">
        <v>94</v>
      </c>
      <c r="D747" s="92" t="n">
        <f aca="false">SRC_Demand!$O94</f>
        <v>0</v>
      </c>
      <c r="E747" s="92" t="n">
        <f aca="false">SRC_Demand!$K94</f>
        <v>0</v>
      </c>
      <c r="F747" s="92" t="n">
        <f aca="false">SRC_Demand!$S94</f>
        <v>0</v>
      </c>
    </row>
    <row r="748" customFormat="false" ht="15" hidden="false" customHeight="false" outlineLevel="0" collapsed="false">
      <c r="A748" s="92" t="str">
        <f aca="false">SRC_Demand!$A95&amp;""</f>
        <v/>
      </c>
      <c r="B748" s="62" t="s">
        <v>9577</v>
      </c>
      <c r="C748" s="61" t="n">
        <v>95</v>
      </c>
      <c r="D748" s="92" t="n">
        <f aca="false">SRC_Demand!$O95</f>
        <v>0</v>
      </c>
      <c r="E748" s="92" t="n">
        <f aca="false">SRC_Demand!$K95</f>
        <v>0</v>
      </c>
      <c r="F748" s="92" t="n">
        <f aca="false">SRC_Demand!$S95</f>
        <v>0</v>
      </c>
    </row>
    <row r="749" customFormat="false" ht="15" hidden="false" customHeight="false" outlineLevel="0" collapsed="false">
      <c r="A749" s="92" t="str">
        <f aca="false">SRC_Demand!$A96&amp;""</f>
        <v/>
      </c>
      <c r="B749" s="62" t="s">
        <v>9577</v>
      </c>
      <c r="C749" s="61" t="n">
        <v>96</v>
      </c>
      <c r="D749" s="92" t="n">
        <f aca="false">SRC_Demand!$O96</f>
        <v>0</v>
      </c>
      <c r="E749" s="92" t="n">
        <f aca="false">SRC_Demand!$K96</f>
        <v>0</v>
      </c>
      <c r="F749" s="92" t="n">
        <f aca="false">SRC_Demand!$S96</f>
        <v>0</v>
      </c>
    </row>
    <row r="750" customFormat="false" ht="15" hidden="false" customHeight="false" outlineLevel="0" collapsed="false">
      <c r="A750" s="92" t="str">
        <f aca="false">SRC_Demand!$A97&amp;""</f>
        <v/>
      </c>
      <c r="B750" s="62" t="s">
        <v>9577</v>
      </c>
      <c r="C750" s="61" t="n">
        <v>97</v>
      </c>
      <c r="D750" s="92" t="n">
        <f aca="false">SRC_Demand!$O97</f>
        <v>0</v>
      </c>
      <c r="E750" s="92" t="n">
        <f aca="false">SRC_Demand!$K97</f>
        <v>0</v>
      </c>
      <c r="F750" s="92" t="n">
        <f aca="false">SRC_Demand!$S97</f>
        <v>0</v>
      </c>
    </row>
    <row r="751" customFormat="false" ht="15" hidden="false" customHeight="false" outlineLevel="0" collapsed="false">
      <c r="A751" s="92" t="str">
        <f aca="false">SRC_Demand!$A98&amp;""</f>
        <v/>
      </c>
      <c r="B751" s="62" t="s">
        <v>9577</v>
      </c>
      <c r="C751" s="61" t="n">
        <v>98</v>
      </c>
      <c r="D751" s="92" t="n">
        <f aca="false">SRC_Demand!$O98</f>
        <v>0</v>
      </c>
      <c r="E751" s="92" t="n">
        <f aca="false">SRC_Demand!$K98</f>
        <v>0</v>
      </c>
      <c r="F751" s="92" t="n">
        <f aca="false">SRC_Demand!$S98</f>
        <v>0</v>
      </c>
    </row>
    <row r="752" customFormat="false" ht="15" hidden="false" customHeight="false" outlineLevel="0" collapsed="false">
      <c r="A752" s="92" t="str">
        <f aca="false">SRC_Demand!$A99&amp;""</f>
        <v/>
      </c>
      <c r="B752" s="62" t="s">
        <v>9577</v>
      </c>
      <c r="C752" s="61" t="n">
        <v>99</v>
      </c>
      <c r="D752" s="92" t="n">
        <f aca="false">SRC_Demand!$O99</f>
        <v>0</v>
      </c>
      <c r="E752" s="92" t="n">
        <f aca="false">SRC_Demand!$K99</f>
        <v>0</v>
      </c>
      <c r="F752" s="92" t="n">
        <f aca="false">SRC_Demand!$S99</f>
        <v>0</v>
      </c>
    </row>
    <row r="753" customFormat="false" ht="15" hidden="false" customHeight="false" outlineLevel="0" collapsed="false">
      <c r="A753" s="92" t="str">
        <f aca="false">SRC_Demand!$A100&amp;""</f>
        <v/>
      </c>
      <c r="B753" s="62" t="s">
        <v>9577</v>
      </c>
      <c r="C753" s="61" t="n">
        <v>100</v>
      </c>
      <c r="D753" s="92" t="n">
        <f aca="false">SRC_Demand!$O100</f>
        <v>0</v>
      </c>
      <c r="E753" s="92" t="n">
        <f aca="false">SRC_Demand!$K100</f>
        <v>0</v>
      </c>
      <c r="F753" s="92" t="n">
        <f aca="false">SRC_Demand!$S100</f>
        <v>0</v>
      </c>
    </row>
    <row r="754" customFormat="false" ht="15" hidden="false" customHeight="false" outlineLevel="0" collapsed="false">
      <c r="A754" s="92" t="str">
        <f aca="false">SRC_Demand!$A101&amp;""</f>
        <v/>
      </c>
      <c r="B754" s="62" t="s">
        <v>9577</v>
      </c>
      <c r="C754" s="61" t="n">
        <v>101</v>
      </c>
      <c r="D754" s="92" t="n">
        <f aca="false">SRC_Demand!$O101</f>
        <v>0</v>
      </c>
      <c r="E754" s="92" t="n">
        <f aca="false">SRC_Demand!$K101</f>
        <v>0</v>
      </c>
      <c r="F754" s="92" t="n">
        <f aca="false">SRC_Demand!$S101</f>
        <v>0</v>
      </c>
    </row>
    <row r="755" customFormat="false" ht="15" hidden="false" customHeight="false" outlineLevel="0" collapsed="false">
      <c r="A755" s="92" t="str">
        <f aca="false">SRC_Demand!$A102&amp;""</f>
        <v/>
      </c>
      <c r="B755" s="62" t="s">
        <v>9577</v>
      </c>
      <c r="C755" s="61" t="n">
        <v>102</v>
      </c>
      <c r="D755" s="92" t="n">
        <f aca="false">SRC_Demand!$O102</f>
        <v>0</v>
      </c>
      <c r="E755" s="92" t="n">
        <f aca="false">SRC_Demand!$K102</f>
        <v>0</v>
      </c>
      <c r="F755" s="92" t="n">
        <f aca="false">SRC_Demand!$S102</f>
        <v>0</v>
      </c>
    </row>
    <row r="756" customFormat="false" ht="15" hidden="false" customHeight="false" outlineLevel="0" collapsed="false">
      <c r="A756" s="92" t="str">
        <f aca="false">SRC_Demand!$A103&amp;""</f>
        <v/>
      </c>
      <c r="B756" s="62" t="s">
        <v>9577</v>
      </c>
      <c r="C756" s="61" t="n">
        <v>103</v>
      </c>
      <c r="D756" s="92" t="n">
        <f aca="false">SRC_Demand!$O103</f>
        <v>0</v>
      </c>
      <c r="E756" s="92" t="n">
        <f aca="false">SRC_Demand!$K103</f>
        <v>0</v>
      </c>
      <c r="F756" s="92" t="n">
        <f aca="false">SRC_Demand!$S103</f>
        <v>0</v>
      </c>
    </row>
    <row r="757" customFormat="false" ht="15" hidden="false" customHeight="false" outlineLevel="0" collapsed="false">
      <c r="A757" s="92" t="str">
        <f aca="false">SRC_Demand!$A104&amp;""</f>
        <v/>
      </c>
      <c r="B757" s="62" t="s">
        <v>9577</v>
      </c>
      <c r="C757" s="61" t="n">
        <v>104</v>
      </c>
      <c r="D757" s="92" t="n">
        <f aca="false">SRC_Demand!$O104</f>
        <v>0</v>
      </c>
      <c r="E757" s="92" t="n">
        <f aca="false">SRC_Demand!$K104</f>
        <v>0</v>
      </c>
      <c r="F757" s="92" t="n">
        <f aca="false">SRC_Demand!$S104</f>
        <v>0</v>
      </c>
    </row>
    <row r="758" customFormat="false" ht="15" hidden="false" customHeight="false" outlineLevel="0" collapsed="false">
      <c r="A758" s="92" t="str">
        <f aca="false">SRC_Demand!$A105&amp;""</f>
        <v/>
      </c>
      <c r="B758" s="62" t="s">
        <v>9577</v>
      </c>
      <c r="C758" s="61" t="n">
        <v>105</v>
      </c>
      <c r="D758" s="92" t="n">
        <f aca="false">SRC_Demand!$O105</f>
        <v>0</v>
      </c>
      <c r="E758" s="92" t="n">
        <f aca="false">SRC_Demand!$K105</f>
        <v>0</v>
      </c>
      <c r="F758" s="92" t="n">
        <f aca="false">SRC_Demand!$S105</f>
        <v>0</v>
      </c>
    </row>
    <row r="759" customFormat="false" ht="15" hidden="false" customHeight="false" outlineLevel="0" collapsed="false">
      <c r="A759" s="92" t="str">
        <f aca="false">SRC_Demand!$A106&amp;""</f>
        <v/>
      </c>
      <c r="B759" s="62" t="s">
        <v>9577</v>
      </c>
      <c r="C759" s="61" t="n">
        <v>106</v>
      </c>
      <c r="D759" s="92" t="n">
        <f aca="false">SRC_Demand!$O106</f>
        <v>0</v>
      </c>
      <c r="E759" s="92" t="n">
        <f aca="false">SRC_Demand!$K106</f>
        <v>0</v>
      </c>
      <c r="F759" s="92" t="n">
        <f aca="false">SRC_Demand!$S106</f>
        <v>0</v>
      </c>
    </row>
    <row r="760" customFormat="false" ht="15" hidden="false" customHeight="false" outlineLevel="0" collapsed="false">
      <c r="A760" s="92" t="str">
        <f aca="false">SRC_Demand!$A107&amp;""</f>
        <v/>
      </c>
      <c r="B760" s="62" t="s">
        <v>9577</v>
      </c>
      <c r="C760" s="61" t="n">
        <v>107</v>
      </c>
      <c r="D760" s="92" t="n">
        <f aca="false">SRC_Demand!$O107</f>
        <v>0</v>
      </c>
      <c r="E760" s="92" t="n">
        <f aca="false">SRC_Demand!$K107</f>
        <v>0</v>
      </c>
      <c r="F760" s="92" t="n">
        <f aca="false">SRC_Demand!$S107</f>
        <v>0</v>
      </c>
    </row>
    <row r="761" customFormat="false" ht="15" hidden="false" customHeight="false" outlineLevel="0" collapsed="false">
      <c r="A761" s="92" t="str">
        <f aca="false">SRC_Demand!$A108&amp;""</f>
        <v/>
      </c>
      <c r="B761" s="62" t="s">
        <v>9577</v>
      </c>
      <c r="C761" s="61" t="n">
        <v>108</v>
      </c>
      <c r="D761" s="92" t="n">
        <f aca="false">SRC_Demand!$O108</f>
        <v>0</v>
      </c>
      <c r="E761" s="92" t="n">
        <f aca="false">SRC_Demand!$K108</f>
        <v>0</v>
      </c>
      <c r="F761" s="92" t="n">
        <f aca="false">SRC_Demand!$S108</f>
        <v>0</v>
      </c>
    </row>
    <row r="762" customFormat="false" ht="15" hidden="false" customHeight="false" outlineLevel="0" collapsed="false">
      <c r="A762" s="92" t="str">
        <f aca="false">SRC_Demand!$A109&amp;""</f>
        <v/>
      </c>
      <c r="B762" s="62" t="s">
        <v>9577</v>
      </c>
      <c r="C762" s="61" t="n">
        <v>109</v>
      </c>
      <c r="D762" s="92" t="n">
        <f aca="false">SRC_Demand!$O109</f>
        <v>0</v>
      </c>
      <c r="E762" s="92" t="n">
        <f aca="false">SRC_Demand!$K109</f>
        <v>0</v>
      </c>
      <c r="F762" s="92" t="n">
        <f aca="false">SRC_Demand!$S109</f>
        <v>0</v>
      </c>
    </row>
    <row r="763" customFormat="false" ht="15" hidden="false" customHeight="false" outlineLevel="0" collapsed="false">
      <c r="A763" s="92" t="str">
        <f aca="false">SRC_Demand!$A110&amp;""</f>
        <v/>
      </c>
      <c r="B763" s="62" t="s">
        <v>9577</v>
      </c>
      <c r="C763" s="61" t="n">
        <v>110</v>
      </c>
      <c r="D763" s="92" t="n">
        <f aca="false">SRC_Demand!$O110</f>
        <v>0</v>
      </c>
      <c r="E763" s="92" t="n">
        <f aca="false">SRC_Demand!$K110</f>
        <v>0</v>
      </c>
      <c r="F763" s="92" t="n">
        <f aca="false">SRC_Demand!$S110</f>
        <v>0</v>
      </c>
    </row>
    <row r="764" customFormat="false" ht="15" hidden="false" customHeight="false" outlineLevel="0" collapsed="false">
      <c r="A764" s="92" t="str">
        <f aca="false">SRC_Demand!$A111&amp;""</f>
        <v/>
      </c>
      <c r="B764" s="62" t="s">
        <v>9577</v>
      </c>
      <c r="C764" s="61" t="n">
        <v>111</v>
      </c>
      <c r="D764" s="92" t="n">
        <f aca="false">SRC_Demand!$O111</f>
        <v>0</v>
      </c>
      <c r="E764" s="92" t="n">
        <f aca="false">SRC_Demand!$K111</f>
        <v>0</v>
      </c>
      <c r="F764" s="92" t="n">
        <f aca="false">SRC_Demand!$S111</f>
        <v>0</v>
      </c>
    </row>
    <row r="765" customFormat="false" ht="15" hidden="false" customHeight="false" outlineLevel="0" collapsed="false">
      <c r="A765" s="92" t="str">
        <f aca="false">SRC_Demand!$A112&amp;""</f>
        <v/>
      </c>
      <c r="B765" s="62" t="s">
        <v>9577</v>
      </c>
      <c r="C765" s="61" t="n">
        <v>112</v>
      </c>
      <c r="D765" s="92" t="n">
        <f aca="false">SRC_Demand!$O112</f>
        <v>0</v>
      </c>
      <c r="E765" s="92" t="n">
        <f aca="false">SRC_Demand!$K112</f>
        <v>0</v>
      </c>
      <c r="F765" s="92" t="n">
        <f aca="false">SRC_Demand!$S112</f>
        <v>0</v>
      </c>
    </row>
    <row r="766" customFormat="false" ht="15" hidden="false" customHeight="false" outlineLevel="0" collapsed="false">
      <c r="A766" s="92" t="str">
        <f aca="false">SRC_Demand!$A113&amp;""</f>
        <v/>
      </c>
      <c r="B766" s="62" t="s">
        <v>9577</v>
      </c>
      <c r="C766" s="61" t="n">
        <v>113</v>
      </c>
      <c r="D766" s="92" t="n">
        <f aca="false">SRC_Demand!$O113</f>
        <v>0</v>
      </c>
      <c r="E766" s="92" t="n">
        <f aca="false">SRC_Demand!$K113</f>
        <v>0</v>
      </c>
      <c r="F766" s="92" t="n">
        <f aca="false">SRC_Demand!$S113</f>
        <v>0</v>
      </c>
    </row>
    <row r="767" customFormat="false" ht="15" hidden="false" customHeight="false" outlineLevel="0" collapsed="false">
      <c r="A767" s="92" t="str">
        <f aca="false">SRC_Demand!$A114&amp;""</f>
        <v/>
      </c>
      <c r="B767" s="62" t="s">
        <v>9577</v>
      </c>
      <c r="C767" s="61" t="n">
        <v>114</v>
      </c>
      <c r="D767" s="92" t="n">
        <f aca="false">SRC_Demand!$O114</f>
        <v>0</v>
      </c>
      <c r="E767" s="92" t="n">
        <f aca="false">SRC_Demand!$K114</f>
        <v>0</v>
      </c>
      <c r="F767" s="92" t="n">
        <f aca="false">SRC_Demand!$S114</f>
        <v>0</v>
      </c>
    </row>
    <row r="768" customFormat="false" ht="15" hidden="false" customHeight="false" outlineLevel="0" collapsed="false">
      <c r="A768" s="92" t="str">
        <f aca="false">SRC_Demand!$A115&amp;""</f>
        <v/>
      </c>
      <c r="B768" s="62" t="s">
        <v>9577</v>
      </c>
      <c r="C768" s="61" t="n">
        <v>115</v>
      </c>
      <c r="D768" s="92" t="n">
        <f aca="false">SRC_Demand!$O115</f>
        <v>0</v>
      </c>
      <c r="E768" s="92" t="n">
        <f aca="false">SRC_Demand!$K115</f>
        <v>0</v>
      </c>
      <c r="F768" s="92" t="n">
        <f aca="false">SRC_Demand!$S115</f>
        <v>0</v>
      </c>
    </row>
    <row r="769" customFormat="false" ht="15" hidden="false" customHeight="false" outlineLevel="0" collapsed="false">
      <c r="A769" s="92" t="str">
        <f aca="false">SRC_Demand!$A116&amp;""</f>
        <v/>
      </c>
      <c r="B769" s="62" t="s">
        <v>9577</v>
      </c>
      <c r="C769" s="61" t="n">
        <v>116</v>
      </c>
      <c r="D769" s="92" t="n">
        <f aca="false">SRC_Demand!$O116</f>
        <v>0</v>
      </c>
      <c r="E769" s="92" t="n">
        <f aca="false">SRC_Demand!$K116</f>
        <v>0</v>
      </c>
      <c r="F769" s="92" t="n">
        <f aca="false">SRC_Demand!$S116</f>
        <v>0</v>
      </c>
    </row>
    <row r="770" customFormat="false" ht="15" hidden="false" customHeight="false" outlineLevel="0" collapsed="false">
      <c r="A770" s="92" t="str">
        <f aca="false">SRC_Demand!$A117&amp;""</f>
        <v/>
      </c>
      <c r="B770" s="62" t="s">
        <v>9577</v>
      </c>
      <c r="C770" s="61" t="n">
        <v>117</v>
      </c>
      <c r="D770" s="92" t="n">
        <f aca="false">SRC_Demand!$O117</f>
        <v>0</v>
      </c>
      <c r="E770" s="92" t="n">
        <f aca="false">SRC_Demand!$K117</f>
        <v>0</v>
      </c>
      <c r="F770" s="92" t="n">
        <f aca="false">SRC_Demand!$S117</f>
        <v>0</v>
      </c>
    </row>
    <row r="771" customFormat="false" ht="15" hidden="false" customHeight="false" outlineLevel="0" collapsed="false">
      <c r="A771" s="92" t="str">
        <f aca="false">SRC_Demand!$A118&amp;""</f>
        <v/>
      </c>
      <c r="B771" s="62" t="s">
        <v>9577</v>
      </c>
      <c r="C771" s="61" t="n">
        <v>118</v>
      </c>
      <c r="D771" s="92" t="n">
        <f aca="false">SRC_Demand!$O118</f>
        <v>0</v>
      </c>
      <c r="E771" s="92" t="n">
        <f aca="false">SRC_Demand!$K118</f>
        <v>0</v>
      </c>
      <c r="F771" s="92" t="n">
        <f aca="false">SRC_Demand!$S118</f>
        <v>0</v>
      </c>
    </row>
    <row r="772" customFormat="false" ht="15" hidden="false" customHeight="false" outlineLevel="0" collapsed="false">
      <c r="A772" s="92" t="str">
        <f aca="false">SRC_Demand!$A119&amp;""</f>
        <v/>
      </c>
      <c r="B772" s="62" t="s">
        <v>9577</v>
      </c>
      <c r="C772" s="61" t="n">
        <v>119</v>
      </c>
      <c r="D772" s="92" t="n">
        <f aca="false">SRC_Demand!$O119</f>
        <v>0</v>
      </c>
      <c r="E772" s="92" t="n">
        <f aca="false">SRC_Demand!$K119</f>
        <v>0</v>
      </c>
      <c r="F772" s="92" t="n">
        <f aca="false">SRC_Demand!$S119</f>
        <v>0</v>
      </c>
    </row>
    <row r="773" customFormat="false" ht="15" hidden="false" customHeight="false" outlineLevel="0" collapsed="false">
      <c r="A773" s="92" t="str">
        <f aca="false">SRC_Demand!$A120&amp;""</f>
        <v/>
      </c>
      <c r="B773" s="62" t="s">
        <v>9577</v>
      </c>
      <c r="C773" s="61" t="n">
        <v>120</v>
      </c>
      <c r="D773" s="92" t="n">
        <f aca="false">SRC_Demand!$O120</f>
        <v>0</v>
      </c>
      <c r="E773" s="92" t="n">
        <f aca="false">SRC_Demand!$K120</f>
        <v>0</v>
      </c>
      <c r="F773" s="92" t="n">
        <f aca="false">SRC_Demand!$S120</f>
        <v>0</v>
      </c>
    </row>
    <row r="774" customFormat="false" ht="15" hidden="false" customHeight="false" outlineLevel="0" collapsed="false">
      <c r="A774" s="92" t="str">
        <f aca="false">SRC_Demand!$A121&amp;""</f>
        <v/>
      </c>
      <c r="B774" s="62" t="s">
        <v>9577</v>
      </c>
      <c r="C774" s="61" t="n">
        <v>121</v>
      </c>
      <c r="D774" s="92" t="n">
        <f aca="false">SRC_Demand!$O121</f>
        <v>0</v>
      </c>
      <c r="E774" s="92" t="n">
        <f aca="false">SRC_Demand!$K121</f>
        <v>0</v>
      </c>
      <c r="F774" s="92" t="n">
        <f aca="false">SRC_Demand!$S121</f>
        <v>0</v>
      </c>
    </row>
    <row r="775" customFormat="false" ht="15" hidden="false" customHeight="false" outlineLevel="0" collapsed="false">
      <c r="A775" s="92" t="str">
        <f aca="false">SRC_Demand!$A122&amp;""</f>
        <v/>
      </c>
      <c r="B775" s="62" t="s">
        <v>9577</v>
      </c>
      <c r="C775" s="61" t="n">
        <v>122</v>
      </c>
      <c r="D775" s="92" t="n">
        <f aca="false">SRC_Demand!$O122</f>
        <v>0</v>
      </c>
      <c r="E775" s="92" t="n">
        <f aca="false">SRC_Demand!$K122</f>
        <v>0</v>
      </c>
      <c r="F775" s="92" t="n">
        <f aca="false">SRC_Demand!$S122</f>
        <v>0</v>
      </c>
    </row>
    <row r="776" customFormat="false" ht="15" hidden="false" customHeight="false" outlineLevel="0" collapsed="false">
      <c r="A776" s="92" t="str">
        <f aca="false">SRC_Demand!$A123&amp;""</f>
        <v/>
      </c>
      <c r="B776" s="62" t="s">
        <v>9577</v>
      </c>
      <c r="C776" s="61" t="n">
        <v>123</v>
      </c>
      <c r="D776" s="92" t="n">
        <f aca="false">SRC_Demand!$O123</f>
        <v>0</v>
      </c>
      <c r="E776" s="92" t="n">
        <f aca="false">SRC_Demand!$K123</f>
        <v>0</v>
      </c>
      <c r="F776" s="92" t="n">
        <f aca="false">SRC_Demand!$S123</f>
        <v>0</v>
      </c>
    </row>
    <row r="777" customFormat="false" ht="15" hidden="false" customHeight="false" outlineLevel="0" collapsed="false">
      <c r="A777" s="92" t="str">
        <f aca="false">SRC_Demand!$A124&amp;""</f>
        <v/>
      </c>
      <c r="B777" s="62" t="s">
        <v>9577</v>
      </c>
      <c r="C777" s="61" t="n">
        <v>124</v>
      </c>
      <c r="D777" s="92" t="n">
        <f aca="false">SRC_Demand!$O124</f>
        <v>0</v>
      </c>
      <c r="E777" s="92" t="n">
        <f aca="false">SRC_Demand!$K124</f>
        <v>0</v>
      </c>
      <c r="F777" s="92" t="n">
        <f aca="false">SRC_Demand!$S124</f>
        <v>0</v>
      </c>
    </row>
    <row r="778" customFormat="false" ht="15" hidden="false" customHeight="false" outlineLevel="0" collapsed="false">
      <c r="A778" s="92" t="str">
        <f aca="false">SRC_Demand!$A125&amp;""</f>
        <v/>
      </c>
      <c r="B778" s="62" t="s">
        <v>9577</v>
      </c>
      <c r="C778" s="61" t="n">
        <v>125</v>
      </c>
      <c r="D778" s="92" t="n">
        <f aca="false">SRC_Demand!$O125</f>
        <v>0</v>
      </c>
      <c r="E778" s="92" t="n">
        <f aca="false">SRC_Demand!$K125</f>
        <v>0</v>
      </c>
      <c r="F778" s="92" t="n">
        <f aca="false">SRC_Demand!$S125</f>
        <v>0</v>
      </c>
    </row>
    <row r="779" customFormat="false" ht="15" hidden="false" customHeight="false" outlineLevel="0" collapsed="false">
      <c r="A779" s="92" t="str">
        <f aca="false">SRC_Demand!$A126&amp;""</f>
        <v/>
      </c>
      <c r="B779" s="62" t="s">
        <v>9577</v>
      </c>
      <c r="C779" s="61" t="n">
        <v>126</v>
      </c>
      <c r="D779" s="92" t="n">
        <f aca="false">SRC_Demand!$O126</f>
        <v>0</v>
      </c>
      <c r="E779" s="92" t="n">
        <f aca="false">SRC_Demand!$K126</f>
        <v>0</v>
      </c>
      <c r="F779" s="92" t="n">
        <f aca="false">SRC_Demand!$S126</f>
        <v>0</v>
      </c>
    </row>
    <row r="780" customFormat="false" ht="15" hidden="false" customHeight="false" outlineLevel="0" collapsed="false">
      <c r="A780" s="92" t="str">
        <f aca="false">SRC_Demand!$A127&amp;""</f>
        <v/>
      </c>
      <c r="B780" s="62" t="s">
        <v>9577</v>
      </c>
      <c r="C780" s="61" t="n">
        <v>127</v>
      </c>
      <c r="D780" s="92" t="n">
        <f aca="false">SRC_Demand!$O127</f>
        <v>0</v>
      </c>
      <c r="E780" s="92" t="n">
        <f aca="false">SRC_Demand!$K127</f>
        <v>0</v>
      </c>
      <c r="F780" s="92" t="n">
        <f aca="false">SRC_Demand!$S127</f>
        <v>0</v>
      </c>
    </row>
    <row r="781" customFormat="false" ht="15" hidden="false" customHeight="false" outlineLevel="0" collapsed="false">
      <c r="A781" s="92" t="str">
        <f aca="false">Gov_Map!$H5&amp;""</f>
        <v>—</v>
      </c>
      <c r="B781" s="74" t="s">
        <v>9578</v>
      </c>
      <c r="C781" s="61" t="n">
        <v>5</v>
      </c>
      <c r="D781" s="61" t="s">
        <v>9579</v>
      </c>
      <c r="E781" s="61" t="s">
        <v>9579</v>
      </c>
      <c r="F781" s="62" t="s">
        <v>751</v>
      </c>
    </row>
    <row r="782" customFormat="false" ht="15" hidden="false" customHeight="false" outlineLevel="0" collapsed="false">
      <c r="A782" s="92" t="str">
        <f aca="false">Gov_Map!$H6&amp;""</f>
        <v>—</v>
      </c>
      <c r="B782" s="74" t="s">
        <v>9578</v>
      </c>
      <c r="C782" s="61" t="n">
        <v>6</v>
      </c>
      <c r="D782" s="61" t="s">
        <v>9579</v>
      </c>
      <c r="E782" s="61" t="s">
        <v>9579</v>
      </c>
      <c r="F782" s="62" t="s">
        <v>751</v>
      </c>
    </row>
    <row r="783" customFormat="false" ht="15" hidden="false" customHeight="false" outlineLevel="0" collapsed="false">
      <c r="A783" s="92" t="str">
        <f aca="false">Gov_Map!$H7&amp;""</f>
        <v>—</v>
      </c>
      <c r="B783" s="74" t="s">
        <v>9578</v>
      </c>
      <c r="C783" s="61" t="n">
        <v>7</v>
      </c>
      <c r="D783" s="61" t="s">
        <v>9579</v>
      </c>
      <c r="E783" s="61" t="s">
        <v>9579</v>
      </c>
      <c r="F783" s="62" t="s">
        <v>751</v>
      </c>
    </row>
    <row r="784" customFormat="false" ht="15" hidden="false" customHeight="false" outlineLevel="0" collapsed="false">
      <c r="A784" s="92" t="str">
        <f aca="false">Gov_Map!$H8&amp;""</f>
        <v>—</v>
      </c>
      <c r="B784" s="74" t="s">
        <v>9578</v>
      </c>
      <c r="C784" s="61" t="n">
        <v>8</v>
      </c>
      <c r="D784" s="61" t="s">
        <v>9579</v>
      </c>
      <c r="E784" s="61" t="s">
        <v>9579</v>
      </c>
      <c r="F784" s="62" t="s">
        <v>751</v>
      </c>
    </row>
    <row r="785" customFormat="false" ht="15" hidden="false" customHeight="false" outlineLevel="0" collapsed="false">
      <c r="A785" s="92" t="str">
        <f aca="false">Gov_Map!$H9&amp;""</f>
        <v>—</v>
      </c>
      <c r="B785" s="74" t="s">
        <v>9578</v>
      </c>
      <c r="C785" s="61" t="n">
        <v>9</v>
      </c>
      <c r="D785" s="61" t="s">
        <v>9579</v>
      </c>
      <c r="E785" s="61" t="s">
        <v>9579</v>
      </c>
      <c r="F785" s="62" t="s">
        <v>751</v>
      </c>
    </row>
    <row r="786" customFormat="false" ht="15" hidden="false" customHeight="false" outlineLevel="0" collapsed="false">
      <c r="A786" s="92" t="str">
        <f aca="false">Gov_Map!$H10&amp;""</f>
        <v>—</v>
      </c>
      <c r="B786" s="74" t="s">
        <v>9578</v>
      </c>
      <c r="C786" s="61" t="n">
        <v>10</v>
      </c>
      <c r="D786" s="61" t="s">
        <v>9579</v>
      </c>
      <c r="E786" s="61" t="s">
        <v>9579</v>
      </c>
      <c r="F786" s="62" t="s">
        <v>751</v>
      </c>
    </row>
    <row r="787" customFormat="false" ht="15" hidden="false" customHeight="false" outlineLevel="0" collapsed="false">
      <c r="A787" s="92" t="str">
        <f aca="false">Gov_Map!$H11&amp;""</f>
        <v>—</v>
      </c>
      <c r="B787" s="74" t="s">
        <v>9578</v>
      </c>
      <c r="C787" s="61" t="n">
        <v>11</v>
      </c>
      <c r="D787" s="61" t="s">
        <v>9579</v>
      </c>
      <c r="E787" s="61" t="s">
        <v>9579</v>
      </c>
      <c r="F787" s="62" t="s">
        <v>751</v>
      </c>
    </row>
    <row r="788" customFormat="false" ht="15" hidden="false" customHeight="false" outlineLevel="0" collapsed="false">
      <c r="A788" s="92" t="str">
        <f aca="false">Gov_Map!$H12&amp;""</f>
        <v>—</v>
      </c>
      <c r="B788" s="74" t="s">
        <v>9578</v>
      </c>
      <c r="C788" s="61" t="n">
        <v>12</v>
      </c>
      <c r="D788" s="61" t="s">
        <v>9579</v>
      </c>
      <c r="E788" s="61" t="s">
        <v>9579</v>
      </c>
      <c r="F788" s="62" t="s">
        <v>751</v>
      </c>
    </row>
    <row r="789" customFormat="false" ht="15" hidden="false" customHeight="false" outlineLevel="0" collapsed="false">
      <c r="A789" s="92" t="str">
        <f aca="false">Gov_Map!$H13&amp;""</f>
        <v>—</v>
      </c>
      <c r="B789" s="74" t="s">
        <v>9578</v>
      </c>
      <c r="C789" s="61" t="n">
        <v>13</v>
      </c>
      <c r="D789" s="61" t="s">
        <v>9579</v>
      </c>
      <c r="E789" s="61" t="s">
        <v>9579</v>
      </c>
      <c r="F789" s="62" t="s">
        <v>751</v>
      </c>
    </row>
    <row r="790" customFormat="false" ht="15" hidden="false" customHeight="false" outlineLevel="0" collapsed="false">
      <c r="A790" s="92" t="str">
        <f aca="false">Gov_Map!$H14&amp;""</f>
        <v>SRC_DC_006</v>
      </c>
      <c r="B790" s="74" t="s">
        <v>9578</v>
      </c>
      <c r="C790" s="61" t="n">
        <v>14</v>
      </c>
      <c r="D790" s="61" t="s">
        <v>9579</v>
      </c>
      <c r="E790" s="61" t="s">
        <v>9579</v>
      </c>
      <c r="F790" s="62" t="s">
        <v>751</v>
      </c>
    </row>
    <row r="791" customFormat="false" ht="15" hidden="false" customHeight="false" outlineLevel="0" collapsed="false">
      <c r="A791" s="92" t="str">
        <f aca="false">Gov_Map!$H15&amp;""</f>
        <v>SRC_DC_006</v>
      </c>
      <c r="B791" s="74" t="s">
        <v>9578</v>
      </c>
      <c r="C791" s="61" t="n">
        <v>15</v>
      </c>
      <c r="D791" s="61" t="s">
        <v>9579</v>
      </c>
      <c r="E791" s="61" t="s">
        <v>9579</v>
      </c>
      <c r="F791" s="62" t="s">
        <v>751</v>
      </c>
    </row>
    <row r="792" customFormat="false" ht="15" hidden="false" customHeight="false" outlineLevel="0" collapsed="false">
      <c r="A792" s="92" t="str">
        <f aca="false">Gov_Map!$H16&amp;""</f>
        <v>SRC_DC_006</v>
      </c>
      <c r="B792" s="74" t="s">
        <v>9578</v>
      </c>
      <c r="C792" s="61" t="n">
        <v>16</v>
      </c>
      <c r="D792" s="61" t="s">
        <v>9579</v>
      </c>
      <c r="E792" s="61" t="s">
        <v>9579</v>
      </c>
      <c r="F792" s="62" t="s">
        <v>751</v>
      </c>
    </row>
    <row r="793" customFormat="false" ht="15" hidden="false" customHeight="false" outlineLevel="0" collapsed="false">
      <c r="A793" s="92" t="str">
        <f aca="false">Gov_Map!$H17&amp;""</f>
        <v>SRC_DC_001</v>
      </c>
      <c r="B793" s="74" t="s">
        <v>9578</v>
      </c>
      <c r="C793" s="61" t="n">
        <v>17</v>
      </c>
      <c r="D793" s="61" t="s">
        <v>9579</v>
      </c>
      <c r="E793" s="61" t="s">
        <v>9579</v>
      </c>
      <c r="F793" s="62" t="s">
        <v>751</v>
      </c>
    </row>
    <row r="794" customFormat="false" ht="15" hidden="false" customHeight="false" outlineLevel="0" collapsed="false">
      <c r="A794" s="92" t="str">
        <f aca="false">Gov_Map!$H18&amp;""</f>
        <v>SRC_DC_001</v>
      </c>
      <c r="B794" s="74" t="s">
        <v>9578</v>
      </c>
      <c r="C794" s="61" t="n">
        <v>18</v>
      </c>
      <c r="D794" s="61" t="s">
        <v>9579</v>
      </c>
      <c r="E794" s="61" t="s">
        <v>9579</v>
      </c>
      <c r="F794" s="62" t="s">
        <v>751</v>
      </c>
    </row>
    <row r="795" customFormat="false" ht="15" hidden="false" customHeight="false" outlineLevel="0" collapsed="false">
      <c r="A795" s="92" t="str">
        <f aca="false">Gov_Map!$H19&amp;""</f>
        <v>SRC_DC_002</v>
      </c>
      <c r="B795" s="74" t="s">
        <v>9578</v>
      </c>
      <c r="C795" s="61" t="n">
        <v>19</v>
      </c>
      <c r="D795" s="61" t="s">
        <v>9579</v>
      </c>
      <c r="E795" s="61" t="s">
        <v>9579</v>
      </c>
      <c r="F795" s="62" t="s">
        <v>751</v>
      </c>
    </row>
    <row r="796" customFormat="false" ht="15" hidden="false" customHeight="false" outlineLevel="0" collapsed="false">
      <c r="A796" s="92" t="str">
        <f aca="false">Gov_Map!$H20&amp;""</f>
        <v>—</v>
      </c>
      <c r="B796" s="74" t="s">
        <v>9578</v>
      </c>
      <c r="C796" s="61" t="n">
        <v>20</v>
      </c>
      <c r="D796" s="61" t="s">
        <v>9579</v>
      </c>
      <c r="E796" s="61" t="s">
        <v>9579</v>
      </c>
      <c r="F796" s="62" t="s">
        <v>751</v>
      </c>
    </row>
    <row r="797" customFormat="false" ht="15" hidden="false" customHeight="false" outlineLevel="0" collapsed="false">
      <c r="A797" s="92" t="str">
        <f aca="false">Gov_Map!$H21&amp;""</f>
        <v>—</v>
      </c>
      <c r="B797" s="74" t="s">
        <v>9578</v>
      </c>
      <c r="C797" s="61" t="n">
        <v>21</v>
      </c>
      <c r="D797" s="61" t="s">
        <v>9579</v>
      </c>
      <c r="E797" s="61" t="s">
        <v>9579</v>
      </c>
      <c r="F797" s="62" t="s">
        <v>751</v>
      </c>
    </row>
    <row r="798" customFormat="false" ht="15" hidden="false" customHeight="false" outlineLevel="0" collapsed="false">
      <c r="A798" s="92" t="str">
        <f aca="false">Gov_Map!$H22&amp;""</f>
        <v>—</v>
      </c>
      <c r="B798" s="74" t="s">
        <v>9578</v>
      </c>
      <c r="C798" s="61" t="n">
        <v>22</v>
      </c>
      <c r="D798" s="61" t="s">
        <v>9579</v>
      </c>
      <c r="E798" s="61" t="s">
        <v>9579</v>
      </c>
      <c r="F798" s="62" t="s">
        <v>751</v>
      </c>
    </row>
    <row r="799" customFormat="false" ht="15" hidden="false" customHeight="false" outlineLevel="0" collapsed="false">
      <c r="A799" s="92" t="str">
        <f aca="false">Gov_Map!$H23&amp;""</f>
        <v>—</v>
      </c>
      <c r="B799" s="74" t="s">
        <v>9578</v>
      </c>
      <c r="C799" s="61" t="n">
        <v>23</v>
      </c>
      <c r="D799" s="61" t="s">
        <v>9579</v>
      </c>
      <c r="E799" s="61" t="s">
        <v>9579</v>
      </c>
      <c r="F799" s="62" t="s">
        <v>751</v>
      </c>
    </row>
    <row r="800" customFormat="false" ht="15" hidden="false" customHeight="false" outlineLevel="0" collapsed="false">
      <c r="A800" s="92" t="str">
        <f aca="false">Gov_Map!$H24&amp;""</f>
        <v>—</v>
      </c>
      <c r="B800" s="74" t="s">
        <v>9578</v>
      </c>
      <c r="C800" s="61" t="n">
        <v>24</v>
      </c>
      <c r="D800" s="61" t="s">
        <v>9579</v>
      </c>
      <c r="E800" s="61" t="s">
        <v>9579</v>
      </c>
      <c r="F800" s="62" t="s">
        <v>751</v>
      </c>
    </row>
    <row r="801" customFormat="false" ht="15" hidden="false" customHeight="false" outlineLevel="0" collapsed="false">
      <c r="A801" s="92" t="str">
        <f aca="false">Gov_Map!$H25&amp;""</f>
        <v>—</v>
      </c>
      <c r="B801" s="74" t="s">
        <v>9578</v>
      </c>
      <c r="C801" s="61" t="n">
        <v>25</v>
      </c>
      <c r="D801" s="61" t="s">
        <v>9579</v>
      </c>
      <c r="E801" s="61" t="s">
        <v>9579</v>
      </c>
      <c r="F801" s="62" t="s">
        <v>751</v>
      </c>
    </row>
    <row r="802" customFormat="false" ht="15" hidden="false" customHeight="false" outlineLevel="0" collapsed="false">
      <c r="A802" s="92" t="str">
        <f aca="false">Gov_Map!$H26&amp;""</f>
        <v>—</v>
      </c>
      <c r="B802" s="74" t="s">
        <v>9578</v>
      </c>
      <c r="C802" s="61" t="n">
        <v>26</v>
      </c>
      <c r="D802" s="61" t="s">
        <v>9579</v>
      </c>
      <c r="E802" s="61" t="s">
        <v>9579</v>
      </c>
      <c r="F802" s="62" t="s">
        <v>751</v>
      </c>
    </row>
    <row r="803" customFormat="false" ht="15" hidden="false" customHeight="false" outlineLevel="0" collapsed="false">
      <c r="A803" s="92" t="str">
        <f aca="false">Gov_Map!$H27&amp;""</f>
        <v>—</v>
      </c>
      <c r="B803" s="74" t="s">
        <v>9578</v>
      </c>
      <c r="C803" s="61" t="n">
        <v>27</v>
      </c>
      <c r="D803" s="61" t="s">
        <v>9579</v>
      </c>
      <c r="E803" s="61" t="s">
        <v>9579</v>
      </c>
      <c r="F803" s="62" t="s">
        <v>751</v>
      </c>
    </row>
    <row r="804" customFormat="false" ht="15" hidden="false" customHeight="false" outlineLevel="0" collapsed="false">
      <c r="A804" s="92" t="str">
        <f aca="false">Gov_Map!$H28&amp;""</f>
        <v>—</v>
      </c>
      <c r="B804" s="74" t="s">
        <v>9578</v>
      </c>
      <c r="C804" s="61" t="n">
        <v>28</v>
      </c>
      <c r="D804" s="61" t="s">
        <v>9579</v>
      </c>
      <c r="E804" s="61" t="s">
        <v>9579</v>
      </c>
      <c r="F804" s="62" t="s">
        <v>751</v>
      </c>
    </row>
    <row r="805" customFormat="false" ht="15" hidden="false" customHeight="false" outlineLevel="0" collapsed="false">
      <c r="A805" s="92" t="str">
        <f aca="false">Gov_Map!$H29&amp;""</f>
        <v>—</v>
      </c>
      <c r="B805" s="74" t="s">
        <v>9578</v>
      </c>
      <c r="C805" s="61" t="n">
        <v>29</v>
      </c>
      <c r="D805" s="61" t="s">
        <v>9579</v>
      </c>
      <c r="E805" s="61" t="s">
        <v>9579</v>
      </c>
      <c r="F805" s="62" t="s">
        <v>751</v>
      </c>
    </row>
    <row r="806" customFormat="false" ht="15" hidden="false" customHeight="false" outlineLevel="0" collapsed="false">
      <c r="A806" s="92" t="str">
        <f aca="false">Gov_Map!$H30&amp;""</f>
        <v>—</v>
      </c>
      <c r="B806" s="74" t="s">
        <v>9578</v>
      </c>
      <c r="C806" s="61" t="n">
        <v>30</v>
      </c>
      <c r="D806" s="61" t="s">
        <v>9579</v>
      </c>
      <c r="E806" s="61" t="s">
        <v>9579</v>
      </c>
      <c r="F806" s="62" t="s">
        <v>751</v>
      </c>
    </row>
    <row r="807" customFormat="false" ht="15" hidden="false" customHeight="false" outlineLevel="0" collapsed="false">
      <c r="A807" s="92" t="str">
        <f aca="false">Gov_Map!$H31&amp;""</f>
        <v>—</v>
      </c>
      <c r="B807" s="74" t="s">
        <v>9578</v>
      </c>
      <c r="C807" s="61" t="n">
        <v>31</v>
      </c>
      <c r="D807" s="61" t="s">
        <v>9579</v>
      </c>
      <c r="E807" s="61" t="s">
        <v>9579</v>
      </c>
      <c r="F807" s="62" t="s">
        <v>751</v>
      </c>
    </row>
    <row r="808" customFormat="false" ht="15" hidden="false" customHeight="false" outlineLevel="0" collapsed="false">
      <c r="A808" s="92" t="str">
        <f aca="false">Gov_Map!$H32&amp;""</f>
        <v>—</v>
      </c>
      <c r="B808" s="74" t="s">
        <v>9578</v>
      </c>
      <c r="C808" s="61" t="n">
        <v>32</v>
      </c>
      <c r="D808" s="61" t="s">
        <v>9579</v>
      </c>
      <c r="E808" s="61" t="s">
        <v>9579</v>
      </c>
      <c r="F808" s="62" t="s">
        <v>751</v>
      </c>
    </row>
    <row r="809" customFormat="false" ht="15" hidden="false" customHeight="false" outlineLevel="0" collapsed="false">
      <c r="A809" s="92" t="str">
        <f aca="false">Gov_Map!$H33&amp;""</f>
        <v>—</v>
      </c>
      <c r="B809" s="74" t="s">
        <v>9578</v>
      </c>
      <c r="C809" s="61" t="n">
        <v>33</v>
      </c>
      <c r="D809" s="61" t="s">
        <v>9579</v>
      </c>
      <c r="E809" s="61" t="s">
        <v>9579</v>
      </c>
      <c r="F809" s="62" t="s">
        <v>751</v>
      </c>
    </row>
    <row r="810" customFormat="false" ht="15" hidden="false" customHeight="false" outlineLevel="0" collapsed="false">
      <c r="A810" s="92" t="str">
        <f aca="false">Gov_Map!$H34&amp;""</f>
        <v>—</v>
      </c>
      <c r="B810" s="74" t="s">
        <v>9578</v>
      </c>
      <c r="C810" s="61" t="n">
        <v>34</v>
      </c>
      <c r="D810" s="61" t="s">
        <v>9579</v>
      </c>
      <c r="E810" s="61" t="s">
        <v>9579</v>
      </c>
      <c r="F810" s="62" t="s">
        <v>751</v>
      </c>
    </row>
    <row r="811" customFormat="false" ht="15" hidden="false" customHeight="false" outlineLevel="0" collapsed="false">
      <c r="A811" s="92" t="str">
        <f aca="false">Gov_Map!$H35&amp;""</f>
        <v>—</v>
      </c>
      <c r="B811" s="74" t="s">
        <v>9578</v>
      </c>
      <c r="C811" s="61" t="n">
        <v>35</v>
      </c>
      <c r="D811" s="61" t="s">
        <v>9579</v>
      </c>
      <c r="E811" s="61" t="s">
        <v>9579</v>
      </c>
      <c r="F811" s="62" t="s">
        <v>751</v>
      </c>
    </row>
    <row r="812" customFormat="false" ht="15" hidden="false" customHeight="false" outlineLevel="0" collapsed="false">
      <c r="A812" s="92" t="str">
        <f aca="false">Gov_Map!$H36&amp;""</f>
        <v>—</v>
      </c>
      <c r="B812" s="74" t="s">
        <v>9578</v>
      </c>
      <c r="C812" s="61" t="n">
        <v>36</v>
      </c>
      <c r="D812" s="61" t="s">
        <v>9579</v>
      </c>
      <c r="E812" s="61" t="s">
        <v>9579</v>
      </c>
      <c r="F812" s="62" t="s">
        <v>751</v>
      </c>
    </row>
    <row r="813" customFormat="false" ht="15" hidden="false" customHeight="false" outlineLevel="0" collapsed="false">
      <c r="A813" s="92" t="str">
        <f aca="false">Gov_Map!$H37&amp;""</f>
        <v>—</v>
      </c>
      <c r="B813" s="74" t="s">
        <v>9578</v>
      </c>
      <c r="C813" s="61" t="n">
        <v>37</v>
      </c>
      <c r="D813" s="61" t="s">
        <v>9579</v>
      </c>
      <c r="E813" s="61" t="s">
        <v>9579</v>
      </c>
      <c r="F813" s="62" t="s">
        <v>751</v>
      </c>
    </row>
    <row r="814" customFormat="false" ht="15" hidden="false" customHeight="false" outlineLevel="0" collapsed="false">
      <c r="A814" s="92" t="str">
        <f aca="false">Gov_Map!$H38&amp;""</f>
        <v>—</v>
      </c>
      <c r="B814" s="74" t="s">
        <v>9578</v>
      </c>
      <c r="C814" s="61" t="n">
        <v>38</v>
      </c>
      <c r="D814" s="61" t="s">
        <v>9579</v>
      </c>
      <c r="E814" s="61" t="s">
        <v>9579</v>
      </c>
      <c r="F814" s="62" t="s">
        <v>751</v>
      </c>
    </row>
    <row r="815" customFormat="false" ht="15" hidden="false" customHeight="false" outlineLevel="0" collapsed="false">
      <c r="A815" s="92" t="str">
        <f aca="false">Gov_Map!$H39&amp;""</f>
        <v>—</v>
      </c>
      <c r="B815" s="74" t="s">
        <v>9578</v>
      </c>
      <c r="C815" s="61" t="n">
        <v>39</v>
      </c>
      <c r="D815" s="61" t="s">
        <v>9579</v>
      </c>
      <c r="E815" s="61" t="s">
        <v>9579</v>
      </c>
      <c r="F815" s="62" t="s">
        <v>751</v>
      </c>
    </row>
    <row r="816" customFormat="false" ht="15" hidden="false" customHeight="false" outlineLevel="0" collapsed="false">
      <c r="A816" s="92" t="str">
        <f aca="false">Gov_Map!$H40&amp;""</f>
        <v>—</v>
      </c>
      <c r="B816" s="74" t="s">
        <v>9578</v>
      </c>
      <c r="C816" s="61" t="n">
        <v>40</v>
      </c>
      <c r="D816" s="61" t="s">
        <v>9579</v>
      </c>
      <c r="E816" s="61" t="s">
        <v>9579</v>
      </c>
      <c r="F816" s="62" t="s">
        <v>751</v>
      </c>
    </row>
    <row r="817" customFormat="false" ht="15" hidden="false" customHeight="false" outlineLevel="0" collapsed="false">
      <c r="A817" s="92" t="str">
        <f aca="false">Gov_Map!$H41&amp;""</f>
        <v>—</v>
      </c>
      <c r="B817" s="74" t="s">
        <v>9578</v>
      </c>
      <c r="C817" s="61" t="n">
        <v>41</v>
      </c>
      <c r="D817" s="61" t="s">
        <v>9579</v>
      </c>
      <c r="E817" s="61" t="s">
        <v>9579</v>
      </c>
      <c r="F817" s="62" t="s">
        <v>751</v>
      </c>
    </row>
    <row r="818" customFormat="false" ht="15" hidden="false" customHeight="false" outlineLevel="0" collapsed="false">
      <c r="A818" s="92" t="str">
        <f aca="false">Gov_Map!$H42&amp;""</f>
        <v>—</v>
      </c>
      <c r="B818" s="74" t="s">
        <v>9578</v>
      </c>
      <c r="C818" s="61" t="n">
        <v>42</v>
      </c>
      <c r="D818" s="61" t="s">
        <v>9579</v>
      </c>
      <c r="E818" s="61" t="s">
        <v>9579</v>
      </c>
      <c r="F818" s="62" t="s">
        <v>751</v>
      </c>
    </row>
    <row r="819" customFormat="false" ht="15" hidden="false" customHeight="false" outlineLevel="0" collapsed="false">
      <c r="A819" s="92" t="str">
        <f aca="false">Gov_Map!$H43&amp;""</f>
        <v>—</v>
      </c>
      <c r="B819" s="74" t="s">
        <v>9578</v>
      </c>
      <c r="C819" s="61" t="n">
        <v>43</v>
      </c>
      <c r="D819" s="61" t="s">
        <v>9579</v>
      </c>
      <c r="E819" s="61" t="s">
        <v>9579</v>
      </c>
      <c r="F819" s="62" t="s">
        <v>751</v>
      </c>
    </row>
    <row r="820" customFormat="false" ht="15" hidden="false" customHeight="false" outlineLevel="0" collapsed="false">
      <c r="A820" s="92" t="str">
        <f aca="false">Gov_Map!$H44&amp;""</f>
        <v>—</v>
      </c>
      <c r="B820" s="74" t="s">
        <v>9578</v>
      </c>
      <c r="C820" s="61" t="n">
        <v>44</v>
      </c>
      <c r="D820" s="61" t="s">
        <v>9579</v>
      </c>
      <c r="E820" s="61" t="s">
        <v>9579</v>
      </c>
      <c r="F820" s="62" t="s">
        <v>751</v>
      </c>
    </row>
    <row r="821" customFormat="false" ht="15" hidden="false" customHeight="false" outlineLevel="0" collapsed="false">
      <c r="A821" s="92" t="str">
        <f aca="false">Gov_Map!$H45&amp;""</f>
        <v>—</v>
      </c>
      <c r="B821" s="74" t="s">
        <v>9578</v>
      </c>
      <c r="C821" s="61" t="n">
        <v>45</v>
      </c>
      <c r="D821" s="61" t="s">
        <v>9579</v>
      </c>
      <c r="E821" s="61" t="s">
        <v>9579</v>
      </c>
      <c r="F821" s="62" t="s">
        <v>751</v>
      </c>
    </row>
    <row r="822" customFormat="false" ht="15" hidden="false" customHeight="false" outlineLevel="0" collapsed="false">
      <c r="A822" s="92" t="str">
        <f aca="false">Gov_Map!$H46&amp;""</f>
        <v>—</v>
      </c>
      <c r="B822" s="74" t="s">
        <v>9578</v>
      </c>
      <c r="C822" s="61" t="n">
        <v>46</v>
      </c>
      <c r="D822" s="61" t="s">
        <v>9579</v>
      </c>
      <c r="E822" s="61" t="s">
        <v>9579</v>
      </c>
      <c r="F822" s="62" t="s">
        <v>751</v>
      </c>
    </row>
    <row r="823" customFormat="false" ht="15" hidden="false" customHeight="false" outlineLevel="0" collapsed="false">
      <c r="A823" s="92" t="str">
        <f aca="false">Gov_Map!$H47&amp;""</f>
        <v>—</v>
      </c>
      <c r="B823" s="74" t="s">
        <v>9578</v>
      </c>
      <c r="C823" s="61" t="n">
        <v>47</v>
      </c>
      <c r="D823" s="61" t="s">
        <v>9579</v>
      </c>
      <c r="E823" s="61" t="s">
        <v>9579</v>
      </c>
      <c r="F823" s="62" t="s">
        <v>751</v>
      </c>
    </row>
    <row r="824" customFormat="false" ht="15" hidden="false" customHeight="false" outlineLevel="0" collapsed="false">
      <c r="A824" s="92" t="str">
        <f aca="false">Gov_Map!$H48&amp;""</f>
        <v>—</v>
      </c>
      <c r="B824" s="74" t="s">
        <v>9578</v>
      </c>
      <c r="C824" s="61" t="n">
        <v>48</v>
      </c>
      <c r="D824" s="61" t="s">
        <v>9579</v>
      </c>
      <c r="E824" s="61" t="s">
        <v>9579</v>
      </c>
      <c r="F824" s="62" t="s">
        <v>751</v>
      </c>
    </row>
    <row r="825" customFormat="false" ht="15" hidden="false" customHeight="false" outlineLevel="0" collapsed="false">
      <c r="A825" s="92" t="str">
        <f aca="false">Gov_Map!$H49&amp;""</f>
        <v>—</v>
      </c>
      <c r="B825" s="74" t="s">
        <v>9578</v>
      </c>
      <c r="C825" s="61" t="n">
        <v>49</v>
      </c>
      <c r="D825" s="61" t="s">
        <v>9579</v>
      </c>
      <c r="E825" s="61" t="s">
        <v>9579</v>
      </c>
      <c r="F825" s="62" t="s">
        <v>751</v>
      </c>
    </row>
    <row r="826" customFormat="false" ht="15" hidden="false" customHeight="false" outlineLevel="0" collapsed="false">
      <c r="A826" s="92" t="str">
        <f aca="false">Gov_Map!$H50&amp;""</f>
        <v>—</v>
      </c>
      <c r="B826" s="74" t="s">
        <v>9578</v>
      </c>
      <c r="C826" s="61" t="n">
        <v>50</v>
      </c>
      <c r="D826" s="61" t="s">
        <v>9579</v>
      </c>
      <c r="E826" s="61" t="s">
        <v>9579</v>
      </c>
      <c r="F826" s="62" t="s">
        <v>751</v>
      </c>
    </row>
    <row r="827" customFormat="false" ht="15" hidden="false" customHeight="false" outlineLevel="0" collapsed="false">
      <c r="A827" s="92" t="str">
        <f aca="false">Gov_Map!$H51&amp;""</f>
        <v>—</v>
      </c>
      <c r="B827" s="74" t="s">
        <v>9578</v>
      </c>
      <c r="C827" s="61" t="n">
        <v>51</v>
      </c>
      <c r="D827" s="61" t="s">
        <v>9579</v>
      </c>
      <c r="E827" s="61" t="s">
        <v>9579</v>
      </c>
      <c r="F827" s="62" t="s">
        <v>751</v>
      </c>
    </row>
    <row r="828" customFormat="false" ht="15" hidden="false" customHeight="false" outlineLevel="0" collapsed="false">
      <c r="A828" s="92" t="str">
        <f aca="false">Gov_Map!$H52&amp;""</f>
        <v>—</v>
      </c>
      <c r="B828" s="74" t="s">
        <v>9578</v>
      </c>
      <c r="C828" s="61" t="n">
        <v>52</v>
      </c>
      <c r="D828" s="61" t="s">
        <v>9579</v>
      </c>
      <c r="E828" s="61" t="s">
        <v>9579</v>
      </c>
      <c r="F828" s="62" t="s">
        <v>751</v>
      </c>
    </row>
    <row r="829" customFormat="false" ht="15" hidden="false" customHeight="false" outlineLevel="0" collapsed="false">
      <c r="A829" s="92" t="str">
        <f aca="false">Gov_Map!$H53&amp;""</f>
        <v>—</v>
      </c>
      <c r="B829" s="74" t="s">
        <v>9578</v>
      </c>
      <c r="C829" s="61" t="n">
        <v>53</v>
      </c>
      <c r="D829" s="61" t="s">
        <v>9579</v>
      </c>
      <c r="E829" s="61" t="s">
        <v>9579</v>
      </c>
      <c r="F829" s="62" t="s">
        <v>751</v>
      </c>
    </row>
    <row r="830" customFormat="false" ht="15" hidden="false" customHeight="false" outlineLevel="0" collapsed="false">
      <c r="A830" s="92" t="str">
        <f aca="false">Gov_Map!$H54&amp;""</f>
        <v>—</v>
      </c>
      <c r="B830" s="74" t="s">
        <v>9578</v>
      </c>
      <c r="C830" s="61" t="n">
        <v>54</v>
      </c>
      <c r="D830" s="61" t="s">
        <v>9579</v>
      </c>
      <c r="E830" s="61" t="s">
        <v>9579</v>
      </c>
      <c r="F830" s="62" t="s">
        <v>751</v>
      </c>
    </row>
    <row r="831" customFormat="false" ht="15" hidden="false" customHeight="false" outlineLevel="0" collapsed="false">
      <c r="A831" s="92" t="str">
        <f aca="false">Gov_Map!$H55&amp;""</f>
        <v>—</v>
      </c>
      <c r="B831" s="74" t="s">
        <v>9578</v>
      </c>
      <c r="C831" s="61" t="n">
        <v>55</v>
      </c>
      <c r="D831" s="61" t="s">
        <v>9579</v>
      </c>
      <c r="E831" s="61" t="s">
        <v>9579</v>
      </c>
      <c r="F831" s="62" t="s">
        <v>751</v>
      </c>
    </row>
    <row r="832" customFormat="false" ht="15" hidden="false" customHeight="false" outlineLevel="0" collapsed="false">
      <c r="A832" s="92" t="str">
        <f aca="false">Gov_Map!$H56&amp;""</f>
        <v>—</v>
      </c>
      <c r="B832" s="74" t="s">
        <v>9578</v>
      </c>
      <c r="C832" s="61" t="n">
        <v>56</v>
      </c>
      <c r="D832" s="61" t="s">
        <v>9579</v>
      </c>
      <c r="E832" s="61" t="s">
        <v>9579</v>
      </c>
      <c r="F832" s="62" t="s">
        <v>751</v>
      </c>
    </row>
    <row r="833" customFormat="false" ht="15" hidden="false" customHeight="false" outlineLevel="0" collapsed="false">
      <c r="A833" s="92" t="str">
        <f aca="false">Gov_Map!$H57&amp;""</f>
        <v>—</v>
      </c>
      <c r="B833" s="74" t="s">
        <v>9578</v>
      </c>
      <c r="C833" s="61" t="n">
        <v>57</v>
      </c>
      <c r="D833" s="61" t="s">
        <v>9579</v>
      </c>
      <c r="E833" s="61" t="s">
        <v>9579</v>
      </c>
      <c r="F833" s="62" t="s">
        <v>751</v>
      </c>
    </row>
    <row r="834" customFormat="false" ht="15" hidden="false" customHeight="false" outlineLevel="0" collapsed="false">
      <c r="A834" s="92" t="str">
        <f aca="false">Gov_Map!$H58&amp;""</f>
        <v>—</v>
      </c>
      <c r="B834" s="74" t="s">
        <v>9578</v>
      </c>
      <c r="C834" s="61" t="n">
        <v>58</v>
      </c>
      <c r="D834" s="61" t="s">
        <v>9579</v>
      </c>
      <c r="E834" s="61" t="s">
        <v>9579</v>
      </c>
      <c r="F834" s="62" t="s">
        <v>751</v>
      </c>
    </row>
    <row r="835" customFormat="false" ht="15" hidden="false" customHeight="false" outlineLevel="0" collapsed="false">
      <c r="A835" s="92" t="str">
        <f aca="false">Gov_Map!$H59&amp;""</f>
        <v>—</v>
      </c>
      <c r="B835" s="74" t="s">
        <v>9578</v>
      </c>
      <c r="C835" s="61" t="n">
        <v>59</v>
      </c>
      <c r="D835" s="61" t="s">
        <v>9579</v>
      </c>
      <c r="E835" s="61" t="s">
        <v>9579</v>
      </c>
      <c r="F835" s="62" t="s">
        <v>751</v>
      </c>
    </row>
    <row r="836" customFormat="false" ht="15" hidden="false" customHeight="false" outlineLevel="0" collapsed="false">
      <c r="A836" s="92" t="str">
        <f aca="false">Gov_Map!$H60&amp;""</f>
        <v>—</v>
      </c>
      <c r="B836" s="74" t="s">
        <v>9578</v>
      </c>
      <c r="C836" s="61" t="n">
        <v>60</v>
      </c>
      <c r="D836" s="61" t="s">
        <v>9579</v>
      </c>
      <c r="E836" s="61" t="s">
        <v>9579</v>
      </c>
      <c r="F836" s="62" t="s">
        <v>751</v>
      </c>
    </row>
    <row r="837" customFormat="false" ht="15" hidden="false" customHeight="false" outlineLevel="0" collapsed="false">
      <c r="A837" s="92" t="str">
        <f aca="false">Gov_Map!$H61&amp;""</f>
        <v>—</v>
      </c>
      <c r="B837" s="74" t="s">
        <v>9578</v>
      </c>
      <c r="C837" s="61" t="n">
        <v>61</v>
      </c>
      <c r="D837" s="61" t="s">
        <v>9579</v>
      </c>
      <c r="E837" s="61" t="s">
        <v>9579</v>
      </c>
      <c r="F837" s="62" t="s">
        <v>751</v>
      </c>
    </row>
    <row r="838" customFormat="false" ht="15" hidden="false" customHeight="false" outlineLevel="0" collapsed="false">
      <c r="A838" s="92" t="str">
        <f aca="false">Gov_Map!$H62&amp;""</f>
        <v>SRC_DC_007</v>
      </c>
      <c r="B838" s="74" t="s">
        <v>9578</v>
      </c>
      <c r="C838" s="61" t="n">
        <v>62</v>
      </c>
      <c r="D838" s="61" t="s">
        <v>9579</v>
      </c>
      <c r="E838" s="61" t="s">
        <v>9579</v>
      </c>
      <c r="F838" s="62" t="s">
        <v>751</v>
      </c>
    </row>
    <row r="839" customFormat="false" ht="15" hidden="false" customHeight="false" outlineLevel="0" collapsed="false">
      <c r="A839" s="92" t="str">
        <f aca="false">Gov_Map!$H63&amp;""</f>
        <v>SRC_DC_007</v>
      </c>
      <c r="B839" s="74" t="s">
        <v>9578</v>
      </c>
      <c r="C839" s="61" t="n">
        <v>63</v>
      </c>
      <c r="D839" s="61" t="s">
        <v>9579</v>
      </c>
      <c r="E839" s="61" t="s">
        <v>9579</v>
      </c>
      <c r="F839" s="62" t="s">
        <v>751</v>
      </c>
    </row>
    <row r="840" customFormat="false" ht="15" hidden="false" customHeight="false" outlineLevel="0" collapsed="false">
      <c r="A840" s="92" t="str">
        <f aca="false">Gov_Map!$H64&amp;""</f>
        <v>SRC_DC_008</v>
      </c>
      <c r="B840" s="74" t="s">
        <v>9578</v>
      </c>
      <c r="C840" s="61" t="n">
        <v>64</v>
      </c>
      <c r="D840" s="61" t="s">
        <v>9579</v>
      </c>
      <c r="E840" s="61" t="s">
        <v>9579</v>
      </c>
      <c r="F840" s="62" t="s">
        <v>751</v>
      </c>
    </row>
    <row r="841" customFormat="false" ht="15" hidden="false" customHeight="false" outlineLevel="0" collapsed="false">
      <c r="A841" s="92" t="str">
        <f aca="false">Gov_Map!$H65&amp;""</f>
        <v>—</v>
      </c>
      <c r="B841" s="74" t="s">
        <v>9578</v>
      </c>
      <c r="C841" s="61" t="n">
        <v>65</v>
      </c>
      <c r="D841" s="61" t="s">
        <v>9579</v>
      </c>
      <c r="E841" s="61" t="s">
        <v>9579</v>
      </c>
      <c r="F841" s="62" t="s">
        <v>751</v>
      </c>
    </row>
    <row r="842" customFormat="false" ht="15" hidden="false" customHeight="false" outlineLevel="0" collapsed="false">
      <c r="A842" s="92" t="str">
        <f aca="false">Gov_Map!$H66&amp;""</f>
        <v>—</v>
      </c>
      <c r="B842" s="74" t="s">
        <v>9578</v>
      </c>
      <c r="C842" s="61" t="n">
        <v>66</v>
      </c>
      <c r="D842" s="61" t="s">
        <v>9579</v>
      </c>
      <c r="E842" s="61" t="s">
        <v>9579</v>
      </c>
      <c r="F842" s="62" t="s">
        <v>751</v>
      </c>
    </row>
    <row r="843" customFormat="false" ht="15" hidden="false" customHeight="false" outlineLevel="0" collapsed="false">
      <c r="A843" s="92" t="str">
        <f aca="false">Gov_Map!$H67&amp;""</f>
        <v>—</v>
      </c>
      <c r="B843" s="74" t="s">
        <v>9578</v>
      </c>
      <c r="C843" s="61" t="n">
        <v>67</v>
      </c>
      <c r="D843" s="61" t="s">
        <v>9579</v>
      </c>
      <c r="E843" s="61" t="s">
        <v>9579</v>
      </c>
      <c r="F843" s="62" t="s">
        <v>751</v>
      </c>
    </row>
    <row r="844" customFormat="false" ht="15" hidden="false" customHeight="false" outlineLevel="0" collapsed="false">
      <c r="A844" s="92" t="str">
        <f aca="false">Gov_Map!$H68&amp;""</f>
        <v>—</v>
      </c>
      <c r="B844" s="74" t="s">
        <v>9578</v>
      </c>
      <c r="C844" s="61" t="n">
        <v>68</v>
      </c>
      <c r="D844" s="61" t="s">
        <v>9579</v>
      </c>
      <c r="E844" s="61" t="s">
        <v>9579</v>
      </c>
      <c r="F844" s="62" t="s">
        <v>751</v>
      </c>
    </row>
    <row r="845" customFormat="false" ht="15" hidden="false" customHeight="false" outlineLevel="0" collapsed="false">
      <c r="A845" s="92" t="str">
        <f aca="false">Gov_Map!$H69&amp;""</f>
        <v>—</v>
      </c>
      <c r="B845" s="74" t="s">
        <v>9578</v>
      </c>
      <c r="C845" s="61" t="n">
        <v>69</v>
      </c>
      <c r="D845" s="61" t="s">
        <v>9579</v>
      </c>
      <c r="E845" s="61" t="s">
        <v>9579</v>
      </c>
      <c r="F845" s="62" t="s">
        <v>751</v>
      </c>
    </row>
    <row r="846" customFormat="false" ht="15" hidden="false" customHeight="false" outlineLevel="0" collapsed="false">
      <c r="A846" s="92" t="str">
        <f aca="false">Gov_Map!$H70&amp;""</f>
        <v>SRC_HW_047</v>
      </c>
      <c r="B846" s="74" t="s">
        <v>9578</v>
      </c>
      <c r="C846" s="61" t="n">
        <v>70</v>
      </c>
      <c r="D846" s="61" t="s">
        <v>9579</v>
      </c>
      <c r="E846" s="61" t="s">
        <v>9579</v>
      </c>
      <c r="F846" s="62" t="s">
        <v>751</v>
      </c>
    </row>
    <row r="847" customFormat="false" ht="15" hidden="false" customHeight="false" outlineLevel="0" collapsed="false">
      <c r="A847" s="92" t="str">
        <f aca="false">Gov_Map!$H71&amp;""</f>
        <v>SRC_HW_047</v>
      </c>
      <c r="B847" s="74" t="s">
        <v>9578</v>
      </c>
      <c r="C847" s="61" t="n">
        <v>71</v>
      </c>
      <c r="D847" s="61" t="s">
        <v>9579</v>
      </c>
      <c r="E847" s="61" t="s">
        <v>9579</v>
      </c>
      <c r="F847" s="62" t="s">
        <v>751</v>
      </c>
    </row>
    <row r="848" customFormat="false" ht="15" hidden="false" customHeight="false" outlineLevel="0" collapsed="false">
      <c r="A848" s="92" t="str">
        <f aca="false">Gov_Map!$H72&amp;""</f>
        <v>SRC_HW_047</v>
      </c>
      <c r="B848" s="74" t="s">
        <v>9578</v>
      </c>
      <c r="C848" s="61" t="n">
        <v>72</v>
      </c>
      <c r="D848" s="61" t="s">
        <v>9579</v>
      </c>
      <c r="E848" s="61" t="s">
        <v>9579</v>
      </c>
      <c r="F848" s="62" t="s">
        <v>751</v>
      </c>
    </row>
    <row r="849" customFormat="false" ht="15" hidden="false" customHeight="false" outlineLevel="0" collapsed="false">
      <c r="A849" s="92" t="str">
        <f aca="false">Gov_Map!$H73&amp;""</f>
        <v>SRC_HW_061</v>
      </c>
      <c r="B849" s="74" t="s">
        <v>9578</v>
      </c>
      <c r="C849" s="61" t="n">
        <v>73</v>
      </c>
      <c r="D849" s="61" t="s">
        <v>9579</v>
      </c>
      <c r="E849" s="61" t="s">
        <v>9579</v>
      </c>
      <c r="F849" s="62" t="s">
        <v>751</v>
      </c>
    </row>
    <row r="850" customFormat="false" ht="15" hidden="false" customHeight="false" outlineLevel="0" collapsed="false">
      <c r="A850" s="92" t="str">
        <f aca="false">Gov_Map!$H74&amp;""</f>
        <v>—</v>
      </c>
      <c r="B850" s="74" t="s">
        <v>9578</v>
      </c>
      <c r="C850" s="61" t="n">
        <v>74</v>
      </c>
      <c r="D850" s="61" t="s">
        <v>9579</v>
      </c>
      <c r="E850" s="61" t="s">
        <v>9579</v>
      </c>
      <c r="F850" s="62" t="s">
        <v>751</v>
      </c>
    </row>
    <row r="851" customFormat="false" ht="15" hidden="false" customHeight="false" outlineLevel="0" collapsed="false">
      <c r="A851" s="92" t="str">
        <f aca="false">Gov_Map!$H75&amp;""</f>
        <v>SRC_HW_004</v>
      </c>
      <c r="B851" s="74" t="s">
        <v>9578</v>
      </c>
      <c r="C851" s="61" t="n">
        <v>75</v>
      </c>
      <c r="D851" s="61" t="s">
        <v>9579</v>
      </c>
      <c r="E851" s="61" t="s">
        <v>9579</v>
      </c>
      <c r="F851" s="62" t="s">
        <v>751</v>
      </c>
    </row>
    <row r="852" customFormat="false" ht="15" hidden="false" customHeight="false" outlineLevel="0" collapsed="false">
      <c r="A852" s="92" t="str">
        <f aca="false">Gov_Map!$H76&amp;""</f>
        <v>SRC_HW_005</v>
      </c>
      <c r="B852" s="74" t="s">
        <v>9578</v>
      </c>
      <c r="C852" s="61" t="n">
        <v>76</v>
      </c>
      <c r="D852" s="61" t="s">
        <v>9579</v>
      </c>
      <c r="E852" s="61" t="s">
        <v>9579</v>
      </c>
      <c r="F852" s="62" t="s">
        <v>751</v>
      </c>
    </row>
    <row r="853" customFormat="false" ht="15" hidden="false" customHeight="false" outlineLevel="0" collapsed="false">
      <c r="A853" s="92" t="str">
        <f aca="false">Gov_Map!$H77&amp;""</f>
        <v>SRC_HW_011</v>
      </c>
      <c r="B853" s="74" t="s">
        <v>9578</v>
      </c>
      <c r="C853" s="61" t="n">
        <v>77</v>
      </c>
      <c r="D853" s="61" t="s">
        <v>9579</v>
      </c>
      <c r="E853" s="61" t="s">
        <v>9579</v>
      </c>
      <c r="F853" s="62" t="s">
        <v>751</v>
      </c>
    </row>
    <row r="854" customFormat="false" ht="15" hidden="false" customHeight="false" outlineLevel="0" collapsed="false">
      <c r="A854" s="92" t="str">
        <f aca="false">Gov_Map!$H78&amp;""</f>
        <v>—</v>
      </c>
      <c r="B854" s="74" t="s">
        <v>9578</v>
      </c>
      <c r="C854" s="61" t="n">
        <v>78</v>
      </c>
      <c r="D854" s="61" t="s">
        <v>9579</v>
      </c>
      <c r="E854" s="61" t="s">
        <v>9579</v>
      </c>
      <c r="F854" s="62" t="s">
        <v>751</v>
      </c>
    </row>
    <row r="855" customFormat="false" ht="15" hidden="false" customHeight="false" outlineLevel="0" collapsed="false">
      <c r="A855" s="92" t="str">
        <f aca="false">Gov_Map!$H79&amp;""</f>
        <v>SRC_HW_001</v>
      </c>
      <c r="B855" s="74" t="s">
        <v>9578</v>
      </c>
      <c r="C855" s="61" t="n">
        <v>79</v>
      </c>
      <c r="D855" s="61" t="s">
        <v>9579</v>
      </c>
      <c r="E855" s="61" t="s">
        <v>9579</v>
      </c>
      <c r="F855" s="62" t="s">
        <v>751</v>
      </c>
    </row>
    <row r="856" customFormat="false" ht="15" hidden="false" customHeight="false" outlineLevel="0" collapsed="false">
      <c r="A856" s="92" t="str">
        <f aca="false">Gov_Map!$H80&amp;""</f>
        <v>SRC_HW_004</v>
      </c>
      <c r="B856" s="74" t="s">
        <v>9578</v>
      </c>
      <c r="C856" s="61" t="n">
        <v>80</v>
      </c>
      <c r="D856" s="61" t="s">
        <v>9579</v>
      </c>
      <c r="E856" s="61" t="s">
        <v>9579</v>
      </c>
      <c r="F856" s="62" t="s">
        <v>751</v>
      </c>
    </row>
    <row r="857" customFormat="false" ht="15" hidden="false" customHeight="false" outlineLevel="0" collapsed="false">
      <c r="A857" s="92" t="str">
        <f aca="false">Gov_Map!$H81&amp;""</f>
        <v>SRC_HW_005</v>
      </c>
      <c r="B857" s="74" t="s">
        <v>9578</v>
      </c>
      <c r="C857" s="61" t="n">
        <v>81</v>
      </c>
      <c r="D857" s="61" t="s">
        <v>9579</v>
      </c>
      <c r="E857" s="61" t="s">
        <v>9579</v>
      </c>
      <c r="F857" s="62" t="s">
        <v>751</v>
      </c>
    </row>
    <row r="858" customFormat="false" ht="15" hidden="false" customHeight="false" outlineLevel="0" collapsed="false">
      <c r="A858" s="92" t="str">
        <f aca="false">Gov_Map!$H82&amp;""</f>
        <v>SRC_HW_014</v>
      </c>
      <c r="B858" s="74" t="s">
        <v>9578</v>
      </c>
      <c r="C858" s="61" t="n">
        <v>82</v>
      </c>
      <c r="D858" s="61" t="s">
        <v>9579</v>
      </c>
      <c r="E858" s="61" t="s">
        <v>9579</v>
      </c>
      <c r="F858" s="62" t="s">
        <v>751</v>
      </c>
    </row>
    <row r="859" customFormat="false" ht="15" hidden="false" customHeight="false" outlineLevel="0" collapsed="false">
      <c r="A859" s="92" t="str">
        <f aca="false">Gov_Map!$H83&amp;""</f>
        <v>—</v>
      </c>
      <c r="B859" s="74" t="s">
        <v>9578</v>
      </c>
      <c r="C859" s="61" t="n">
        <v>83</v>
      </c>
      <c r="D859" s="61" t="s">
        <v>9579</v>
      </c>
      <c r="E859" s="61" t="s">
        <v>9579</v>
      </c>
      <c r="F859" s="62" t="s">
        <v>751</v>
      </c>
    </row>
    <row r="860" customFormat="false" ht="15" hidden="false" customHeight="false" outlineLevel="0" collapsed="false">
      <c r="A860" s="92" t="str">
        <f aca="false">Gov_Map!$H84&amp;""</f>
        <v>—</v>
      </c>
      <c r="B860" s="74" t="s">
        <v>9578</v>
      </c>
      <c r="C860" s="61" t="n">
        <v>84</v>
      </c>
      <c r="D860" s="61" t="s">
        <v>9579</v>
      </c>
      <c r="E860" s="61" t="s">
        <v>9579</v>
      </c>
      <c r="F860" s="62" t="s">
        <v>751</v>
      </c>
    </row>
    <row r="861" customFormat="false" ht="15" hidden="false" customHeight="false" outlineLevel="0" collapsed="false">
      <c r="A861" s="92" t="str">
        <f aca="false">Gov_Map!$H85&amp;""</f>
        <v>—</v>
      </c>
      <c r="B861" s="74" t="s">
        <v>9578</v>
      </c>
      <c r="C861" s="61" t="n">
        <v>85</v>
      </c>
      <c r="D861" s="61" t="s">
        <v>9579</v>
      </c>
      <c r="E861" s="61" t="s">
        <v>9579</v>
      </c>
      <c r="F861" s="62" t="s">
        <v>751</v>
      </c>
    </row>
    <row r="862" customFormat="false" ht="15" hidden="false" customHeight="false" outlineLevel="0" collapsed="false">
      <c r="A862" s="92" t="str">
        <f aca="false">Gov_Map!$H86&amp;""</f>
        <v>SRC_HW_005</v>
      </c>
      <c r="B862" s="74" t="s">
        <v>9578</v>
      </c>
      <c r="C862" s="61" t="n">
        <v>86</v>
      </c>
      <c r="D862" s="61" t="s">
        <v>9579</v>
      </c>
      <c r="E862" s="61" t="s">
        <v>9579</v>
      </c>
      <c r="F862" s="62" t="s">
        <v>751</v>
      </c>
    </row>
    <row r="863" customFormat="false" ht="15" hidden="false" customHeight="false" outlineLevel="0" collapsed="false">
      <c r="A863" s="92" t="str">
        <f aca="false">Gov_Map!$H87&amp;""</f>
        <v>SRC_HW_012</v>
      </c>
      <c r="B863" s="74" t="s">
        <v>9578</v>
      </c>
      <c r="C863" s="61" t="n">
        <v>87</v>
      </c>
      <c r="D863" s="61" t="s">
        <v>9579</v>
      </c>
      <c r="E863" s="61" t="s">
        <v>9579</v>
      </c>
      <c r="F863" s="62" t="s">
        <v>751</v>
      </c>
    </row>
    <row r="864" customFormat="false" ht="15" hidden="false" customHeight="false" outlineLevel="0" collapsed="false">
      <c r="A864" s="92" t="str">
        <f aca="false">Gov_Map!$H88&amp;""</f>
        <v>—</v>
      </c>
      <c r="B864" s="74" t="s">
        <v>9578</v>
      </c>
      <c r="C864" s="61" t="n">
        <v>88</v>
      </c>
      <c r="D864" s="61" t="s">
        <v>9579</v>
      </c>
      <c r="E864" s="61" t="s">
        <v>9579</v>
      </c>
      <c r="F864" s="62" t="s">
        <v>751</v>
      </c>
    </row>
    <row r="865" customFormat="false" ht="15" hidden="false" customHeight="false" outlineLevel="0" collapsed="false">
      <c r="A865" s="92" t="str">
        <f aca="false">Gov_Map!$H89&amp;""</f>
        <v>SRC_HW_003</v>
      </c>
      <c r="B865" s="74" t="s">
        <v>9578</v>
      </c>
      <c r="C865" s="61" t="n">
        <v>89</v>
      </c>
      <c r="D865" s="61" t="s">
        <v>9579</v>
      </c>
      <c r="E865" s="61" t="s">
        <v>9579</v>
      </c>
      <c r="F865" s="62" t="s">
        <v>751</v>
      </c>
    </row>
    <row r="866" customFormat="false" ht="15" hidden="false" customHeight="false" outlineLevel="0" collapsed="false">
      <c r="A866" s="92" t="str">
        <f aca="false">Gov_Map!$H90&amp;""</f>
        <v>SRC_HW_006</v>
      </c>
      <c r="B866" s="74" t="s">
        <v>9578</v>
      </c>
      <c r="C866" s="61" t="n">
        <v>90</v>
      </c>
      <c r="D866" s="61" t="s">
        <v>9579</v>
      </c>
      <c r="E866" s="61" t="s">
        <v>9579</v>
      </c>
      <c r="F866" s="62" t="s">
        <v>751</v>
      </c>
    </row>
    <row r="867" customFormat="false" ht="15" hidden="false" customHeight="false" outlineLevel="0" collapsed="false">
      <c r="A867" s="92" t="str">
        <f aca="false">Gov_Map!$H91&amp;""</f>
        <v>SRC_HW_052</v>
      </c>
      <c r="B867" s="74" t="s">
        <v>9578</v>
      </c>
      <c r="C867" s="61" t="n">
        <v>91</v>
      </c>
      <c r="D867" s="61" t="s">
        <v>9579</v>
      </c>
      <c r="E867" s="61" t="s">
        <v>9579</v>
      </c>
      <c r="F867" s="62" t="s">
        <v>751</v>
      </c>
    </row>
    <row r="868" customFormat="false" ht="15" hidden="false" customHeight="false" outlineLevel="0" collapsed="false">
      <c r="A868" s="92" t="str">
        <f aca="false">Gov_Map!$H92&amp;""</f>
        <v>SRC_HW_015</v>
      </c>
      <c r="B868" s="74" t="s">
        <v>9578</v>
      </c>
      <c r="C868" s="61" t="n">
        <v>92</v>
      </c>
      <c r="D868" s="61" t="s">
        <v>9579</v>
      </c>
      <c r="E868" s="61" t="s">
        <v>9579</v>
      </c>
      <c r="F868" s="62" t="s">
        <v>751</v>
      </c>
    </row>
    <row r="869" customFormat="false" ht="15" hidden="false" customHeight="false" outlineLevel="0" collapsed="false">
      <c r="A869" s="92" t="str">
        <f aca="false">Gov_Map!$H93&amp;""</f>
        <v>—</v>
      </c>
      <c r="B869" s="74" t="s">
        <v>9578</v>
      </c>
      <c r="C869" s="61" t="n">
        <v>93</v>
      </c>
      <c r="D869" s="61" t="s">
        <v>9579</v>
      </c>
      <c r="E869" s="61" t="s">
        <v>9579</v>
      </c>
      <c r="F869" s="62" t="s">
        <v>751</v>
      </c>
    </row>
    <row r="870" customFormat="false" ht="15" hidden="false" customHeight="false" outlineLevel="0" collapsed="false">
      <c r="A870" s="92" t="str">
        <f aca="false">Gov_Map!$H94&amp;""</f>
        <v>SRC_HW_003</v>
      </c>
      <c r="B870" s="74" t="s">
        <v>9578</v>
      </c>
      <c r="C870" s="61" t="n">
        <v>94</v>
      </c>
      <c r="D870" s="61" t="s">
        <v>9579</v>
      </c>
      <c r="E870" s="61" t="s">
        <v>9579</v>
      </c>
      <c r="F870" s="62" t="s">
        <v>751</v>
      </c>
    </row>
    <row r="871" customFormat="false" ht="15" hidden="false" customHeight="false" outlineLevel="0" collapsed="false">
      <c r="A871" s="92" t="str">
        <f aca="false">Gov_Map!$H95&amp;""</f>
        <v>SRC_HW_006</v>
      </c>
      <c r="B871" s="74" t="s">
        <v>9578</v>
      </c>
      <c r="C871" s="61" t="n">
        <v>95</v>
      </c>
      <c r="D871" s="61" t="s">
        <v>9579</v>
      </c>
      <c r="E871" s="61" t="s">
        <v>9579</v>
      </c>
      <c r="F871" s="62" t="s">
        <v>751</v>
      </c>
    </row>
    <row r="872" customFormat="false" ht="15" hidden="false" customHeight="false" outlineLevel="0" collapsed="false">
      <c r="A872" s="92" t="str">
        <f aca="false">Gov_Map!$H96&amp;""</f>
        <v>SRC_HW_052</v>
      </c>
      <c r="B872" s="74" t="s">
        <v>9578</v>
      </c>
      <c r="C872" s="61" t="n">
        <v>96</v>
      </c>
      <c r="D872" s="61" t="s">
        <v>9579</v>
      </c>
      <c r="E872" s="61" t="s">
        <v>9579</v>
      </c>
      <c r="F872" s="62" t="s">
        <v>751</v>
      </c>
    </row>
    <row r="873" customFormat="false" ht="15" hidden="false" customHeight="false" outlineLevel="0" collapsed="false">
      <c r="A873" s="92" t="str">
        <f aca="false">Gov_Map!$H97&amp;""</f>
        <v>SRC_HW_015</v>
      </c>
      <c r="B873" s="74" t="s">
        <v>9578</v>
      </c>
      <c r="C873" s="61" t="n">
        <v>97</v>
      </c>
      <c r="D873" s="61" t="s">
        <v>9579</v>
      </c>
      <c r="E873" s="61" t="s">
        <v>9579</v>
      </c>
      <c r="F873" s="62" t="s">
        <v>751</v>
      </c>
    </row>
    <row r="874" customFormat="false" ht="15" hidden="false" customHeight="false" outlineLevel="0" collapsed="false">
      <c r="A874" s="92" t="str">
        <f aca="false">Gov_Map!$H98&amp;""</f>
        <v>—</v>
      </c>
      <c r="B874" s="74" t="s">
        <v>9578</v>
      </c>
      <c r="C874" s="61" t="n">
        <v>98</v>
      </c>
      <c r="D874" s="61" t="s">
        <v>9579</v>
      </c>
      <c r="E874" s="61" t="s">
        <v>9579</v>
      </c>
      <c r="F874" s="62" t="s">
        <v>751</v>
      </c>
    </row>
    <row r="875" customFormat="false" ht="15" hidden="false" customHeight="false" outlineLevel="0" collapsed="false">
      <c r="A875" s="92" t="str">
        <f aca="false">Gov_Map!$H99&amp;""</f>
        <v>SRC_HW_003</v>
      </c>
      <c r="B875" s="74" t="s">
        <v>9578</v>
      </c>
      <c r="C875" s="61" t="n">
        <v>99</v>
      </c>
      <c r="D875" s="61" t="s">
        <v>9579</v>
      </c>
      <c r="E875" s="61" t="s">
        <v>9579</v>
      </c>
      <c r="F875" s="62" t="s">
        <v>751</v>
      </c>
    </row>
    <row r="876" customFormat="false" ht="15" hidden="false" customHeight="false" outlineLevel="0" collapsed="false">
      <c r="A876" s="92" t="str">
        <f aca="false">Gov_Map!$H100&amp;""</f>
        <v>SRC_HW_006</v>
      </c>
      <c r="B876" s="74" t="s">
        <v>9578</v>
      </c>
      <c r="C876" s="61" t="n">
        <v>100</v>
      </c>
      <c r="D876" s="61" t="s">
        <v>9579</v>
      </c>
      <c r="E876" s="61" t="s">
        <v>9579</v>
      </c>
      <c r="F876" s="62" t="s">
        <v>751</v>
      </c>
    </row>
    <row r="877" customFormat="false" ht="15" hidden="false" customHeight="false" outlineLevel="0" collapsed="false">
      <c r="A877" s="92" t="str">
        <f aca="false">Gov_Map!$H101&amp;""</f>
        <v>SRC_HW_010</v>
      </c>
      <c r="B877" s="74" t="s">
        <v>9578</v>
      </c>
      <c r="C877" s="61" t="n">
        <v>101</v>
      </c>
      <c r="D877" s="61" t="s">
        <v>9579</v>
      </c>
      <c r="E877" s="61" t="s">
        <v>9579</v>
      </c>
      <c r="F877" s="62" t="s">
        <v>751</v>
      </c>
    </row>
    <row r="878" customFormat="false" ht="15" hidden="false" customHeight="false" outlineLevel="0" collapsed="false">
      <c r="A878" s="92" t="str">
        <f aca="false">Gov_Map!$H102&amp;""</f>
        <v>SRC_HW_017</v>
      </c>
      <c r="B878" s="74" t="s">
        <v>9578</v>
      </c>
      <c r="C878" s="61" t="n">
        <v>102</v>
      </c>
      <c r="D878" s="61" t="s">
        <v>9579</v>
      </c>
      <c r="E878" s="61" t="s">
        <v>9579</v>
      </c>
      <c r="F878" s="62" t="s">
        <v>751</v>
      </c>
    </row>
    <row r="879" customFormat="false" ht="15" hidden="false" customHeight="false" outlineLevel="0" collapsed="false">
      <c r="A879" s="92" t="str">
        <f aca="false">Gov_Map!$H103&amp;""</f>
        <v>—</v>
      </c>
      <c r="B879" s="74" t="s">
        <v>9578</v>
      </c>
      <c r="C879" s="61" t="n">
        <v>103</v>
      </c>
      <c r="D879" s="61" t="s">
        <v>9579</v>
      </c>
      <c r="E879" s="61" t="s">
        <v>9579</v>
      </c>
      <c r="F879" s="62" t="s">
        <v>751</v>
      </c>
    </row>
    <row r="880" customFormat="false" ht="15" hidden="false" customHeight="false" outlineLevel="0" collapsed="false">
      <c r="A880" s="92" t="str">
        <f aca="false">Gov_Map!$H104&amp;""</f>
        <v>SRC_HW_040</v>
      </c>
      <c r="B880" s="74" t="s">
        <v>9578</v>
      </c>
      <c r="C880" s="61" t="n">
        <v>104</v>
      </c>
      <c r="D880" s="61" t="s">
        <v>9579</v>
      </c>
      <c r="E880" s="61" t="s">
        <v>9579</v>
      </c>
      <c r="F880" s="62" t="s">
        <v>751</v>
      </c>
    </row>
    <row r="881" customFormat="false" ht="15" hidden="false" customHeight="false" outlineLevel="0" collapsed="false">
      <c r="A881" s="92" t="str">
        <f aca="false">Gov_Map!$H105&amp;""</f>
        <v>SRC_HW_022</v>
      </c>
      <c r="B881" s="74" t="s">
        <v>9578</v>
      </c>
      <c r="C881" s="61" t="n">
        <v>105</v>
      </c>
      <c r="D881" s="61" t="s">
        <v>9579</v>
      </c>
      <c r="E881" s="61" t="s">
        <v>9579</v>
      </c>
      <c r="F881" s="62" t="s">
        <v>751</v>
      </c>
    </row>
    <row r="882" customFormat="false" ht="15" hidden="false" customHeight="false" outlineLevel="0" collapsed="false">
      <c r="A882" s="92" t="str">
        <f aca="false">Gov_Map!$H106&amp;""</f>
        <v>SRC_HW_025</v>
      </c>
      <c r="B882" s="74" t="s">
        <v>9578</v>
      </c>
      <c r="C882" s="61" t="n">
        <v>106</v>
      </c>
      <c r="D882" s="61" t="s">
        <v>9579</v>
      </c>
      <c r="E882" s="61" t="s">
        <v>9579</v>
      </c>
      <c r="F882" s="62" t="s">
        <v>751</v>
      </c>
    </row>
    <row r="883" customFormat="false" ht="15" hidden="false" customHeight="false" outlineLevel="0" collapsed="false">
      <c r="A883" s="92" t="str">
        <f aca="false">Gov_Map!$H107&amp;""</f>
        <v>SRC_HW_028</v>
      </c>
      <c r="B883" s="74" t="s">
        <v>9578</v>
      </c>
      <c r="C883" s="61" t="n">
        <v>107</v>
      </c>
      <c r="D883" s="61" t="s">
        <v>9579</v>
      </c>
      <c r="E883" s="61" t="s">
        <v>9579</v>
      </c>
      <c r="F883" s="62" t="s">
        <v>751</v>
      </c>
    </row>
    <row r="884" customFormat="false" ht="15" hidden="false" customHeight="false" outlineLevel="0" collapsed="false">
      <c r="A884" s="92" t="str">
        <f aca="false">Gov_Map!$H108&amp;""</f>
        <v>SRC_HW_063</v>
      </c>
      <c r="B884" s="74" t="s">
        <v>9578</v>
      </c>
      <c r="C884" s="61" t="n">
        <v>108</v>
      </c>
      <c r="D884" s="61" t="s">
        <v>9579</v>
      </c>
      <c r="E884" s="61" t="s">
        <v>9579</v>
      </c>
      <c r="F884" s="62" t="s">
        <v>751</v>
      </c>
    </row>
    <row r="885" customFormat="false" ht="15" hidden="false" customHeight="false" outlineLevel="0" collapsed="false">
      <c r="A885" s="92" t="str">
        <f aca="false">Gov_Map!$H109&amp;""</f>
        <v>—</v>
      </c>
      <c r="B885" s="74" t="s">
        <v>9578</v>
      </c>
      <c r="C885" s="61" t="n">
        <v>109</v>
      </c>
      <c r="D885" s="61" t="s">
        <v>9579</v>
      </c>
      <c r="E885" s="61" t="s">
        <v>9579</v>
      </c>
      <c r="F885" s="62" t="s">
        <v>751</v>
      </c>
    </row>
    <row r="886" customFormat="false" ht="15" hidden="false" customHeight="false" outlineLevel="0" collapsed="false">
      <c r="A886" s="92" t="str">
        <f aca="false">Gov_Map!$H110&amp;""</f>
        <v>SRC_HW_022</v>
      </c>
      <c r="B886" s="74" t="s">
        <v>9578</v>
      </c>
      <c r="C886" s="61" t="n">
        <v>110</v>
      </c>
      <c r="D886" s="61" t="s">
        <v>9579</v>
      </c>
      <c r="E886" s="61" t="s">
        <v>9579</v>
      </c>
      <c r="F886" s="62" t="s">
        <v>751</v>
      </c>
    </row>
    <row r="887" customFormat="false" ht="15" hidden="false" customHeight="false" outlineLevel="0" collapsed="false">
      <c r="A887" s="92" t="str">
        <f aca="false">Gov_Map!$H111&amp;""</f>
        <v>SRC_HW_025</v>
      </c>
      <c r="B887" s="74" t="s">
        <v>9578</v>
      </c>
      <c r="C887" s="61" t="n">
        <v>111</v>
      </c>
      <c r="D887" s="61" t="s">
        <v>9579</v>
      </c>
      <c r="E887" s="61" t="s">
        <v>9579</v>
      </c>
      <c r="F887" s="62" t="s">
        <v>751</v>
      </c>
    </row>
    <row r="888" customFormat="false" ht="15" hidden="false" customHeight="false" outlineLevel="0" collapsed="false">
      <c r="A888" s="92" t="str">
        <f aca="false">Gov_Map!$H112&amp;""</f>
        <v>SRC_HW_027</v>
      </c>
      <c r="B888" s="74" t="s">
        <v>9578</v>
      </c>
      <c r="C888" s="61" t="n">
        <v>112</v>
      </c>
      <c r="D888" s="61" t="s">
        <v>9579</v>
      </c>
      <c r="E888" s="61" t="s">
        <v>9579</v>
      </c>
      <c r="F888" s="62" t="s">
        <v>751</v>
      </c>
    </row>
    <row r="889" customFormat="false" ht="15" hidden="false" customHeight="false" outlineLevel="0" collapsed="false">
      <c r="A889" s="92" t="str">
        <f aca="false">Gov_Map!$H113&amp;""</f>
        <v>SRC_HW_063</v>
      </c>
      <c r="B889" s="74" t="s">
        <v>9578</v>
      </c>
      <c r="C889" s="61" t="n">
        <v>113</v>
      </c>
      <c r="D889" s="61" t="s">
        <v>9579</v>
      </c>
      <c r="E889" s="61" t="s">
        <v>9579</v>
      </c>
      <c r="F889" s="62" t="s">
        <v>751</v>
      </c>
    </row>
    <row r="890" customFormat="false" ht="15" hidden="false" customHeight="false" outlineLevel="0" collapsed="false">
      <c r="A890" s="92" t="str">
        <f aca="false">Gov_Map!$H114&amp;""</f>
        <v>SRC_HW_020</v>
      </c>
      <c r="B890" s="74" t="s">
        <v>9578</v>
      </c>
      <c r="C890" s="61" t="n">
        <v>114</v>
      </c>
      <c r="D890" s="61" t="s">
        <v>9579</v>
      </c>
      <c r="E890" s="61" t="s">
        <v>9579</v>
      </c>
      <c r="F890" s="62" t="s">
        <v>751</v>
      </c>
    </row>
    <row r="891" customFormat="false" ht="15" hidden="false" customHeight="false" outlineLevel="0" collapsed="false">
      <c r="A891" s="92" t="str">
        <f aca="false">Gov_Map!$H115&amp;""</f>
        <v>SRC_HW_041</v>
      </c>
      <c r="B891" s="74" t="s">
        <v>9578</v>
      </c>
      <c r="C891" s="61" t="n">
        <v>115</v>
      </c>
      <c r="D891" s="61" t="s">
        <v>9579</v>
      </c>
      <c r="E891" s="61" t="s">
        <v>9579</v>
      </c>
      <c r="F891" s="62" t="s">
        <v>751</v>
      </c>
    </row>
    <row r="892" customFormat="false" ht="15" hidden="false" customHeight="false" outlineLevel="0" collapsed="false">
      <c r="A892" s="92" t="str">
        <f aca="false">Gov_Map!$H116&amp;""</f>
        <v>SRC_HW_026</v>
      </c>
      <c r="B892" s="74" t="s">
        <v>9578</v>
      </c>
      <c r="C892" s="61" t="n">
        <v>116</v>
      </c>
      <c r="D892" s="61" t="s">
        <v>9579</v>
      </c>
      <c r="E892" s="61" t="s">
        <v>9579</v>
      </c>
      <c r="F892" s="62" t="s">
        <v>751</v>
      </c>
    </row>
    <row r="893" customFormat="false" ht="15" hidden="false" customHeight="false" outlineLevel="0" collapsed="false">
      <c r="A893" s="92" t="str">
        <f aca="false">Gov_Map!$H117&amp;""</f>
        <v>SRC_HW_029</v>
      </c>
      <c r="B893" s="74" t="s">
        <v>9578</v>
      </c>
      <c r="C893" s="61" t="n">
        <v>117</v>
      </c>
      <c r="D893" s="61" t="s">
        <v>9579</v>
      </c>
      <c r="E893" s="61" t="s">
        <v>9579</v>
      </c>
      <c r="F893" s="62" t="s">
        <v>751</v>
      </c>
    </row>
    <row r="894" customFormat="false" ht="15" hidden="false" customHeight="false" outlineLevel="0" collapsed="false">
      <c r="A894" s="92" t="str">
        <f aca="false">Gov_Map!$H118&amp;""</f>
        <v>—</v>
      </c>
      <c r="B894" s="74" t="s">
        <v>9578</v>
      </c>
      <c r="C894" s="61" t="n">
        <v>118</v>
      </c>
      <c r="D894" s="61" t="s">
        <v>9579</v>
      </c>
      <c r="E894" s="61" t="s">
        <v>9579</v>
      </c>
      <c r="F894" s="62" t="s">
        <v>751</v>
      </c>
    </row>
    <row r="895" customFormat="false" ht="15" hidden="false" customHeight="false" outlineLevel="0" collapsed="false">
      <c r="A895" s="92" t="str">
        <f aca="false">Gov_Map!$H119&amp;""</f>
        <v>SRC_HW_021</v>
      </c>
      <c r="B895" s="74" t="s">
        <v>9578</v>
      </c>
      <c r="C895" s="61" t="n">
        <v>119</v>
      </c>
      <c r="D895" s="61" t="s">
        <v>9579</v>
      </c>
      <c r="E895" s="61" t="s">
        <v>9579</v>
      </c>
      <c r="F895" s="62" t="s">
        <v>751</v>
      </c>
    </row>
    <row r="896" customFormat="false" ht="15" hidden="false" customHeight="false" outlineLevel="0" collapsed="false">
      <c r="A896" s="92" t="str">
        <f aca="false">Gov_Map!$H120&amp;""</f>
        <v>SRC_HW_023</v>
      </c>
      <c r="B896" s="74" t="s">
        <v>9578</v>
      </c>
      <c r="C896" s="61" t="n">
        <v>120</v>
      </c>
      <c r="D896" s="61" t="s">
        <v>9579</v>
      </c>
      <c r="E896" s="61" t="s">
        <v>9579</v>
      </c>
      <c r="F896" s="62" t="s">
        <v>751</v>
      </c>
    </row>
    <row r="897" customFormat="false" ht="15" hidden="false" customHeight="false" outlineLevel="0" collapsed="false">
      <c r="A897" s="92" t="str">
        <f aca="false">Gov_Map!$H121&amp;""</f>
        <v>SRC_HW_059</v>
      </c>
      <c r="B897" s="74" t="s">
        <v>9578</v>
      </c>
      <c r="C897" s="61" t="n">
        <v>121</v>
      </c>
      <c r="D897" s="61" t="s">
        <v>9579</v>
      </c>
      <c r="E897" s="61" t="s">
        <v>9579</v>
      </c>
      <c r="F897" s="62" t="s">
        <v>751</v>
      </c>
    </row>
    <row r="898" customFormat="false" ht="15" hidden="false" customHeight="false" outlineLevel="0" collapsed="false">
      <c r="A898" s="92" t="str">
        <f aca="false">Gov_Map!$H122&amp;""</f>
        <v>SRC_HW_030</v>
      </c>
      <c r="B898" s="74" t="s">
        <v>9578</v>
      </c>
      <c r="C898" s="61" t="n">
        <v>122</v>
      </c>
      <c r="D898" s="61" t="s">
        <v>9579</v>
      </c>
      <c r="E898" s="61" t="s">
        <v>9579</v>
      </c>
      <c r="F898" s="62" t="s">
        <v>751</v>
      </c>
    </row>
    <row r="899" customFormat="false" ht="15" hidden="false" customHeight="false" outlineLevel="0" collapsed="false">
      <c r="A899" s="92" t="str">
        <f aca="false">Gov_Map!$H123&amp;""</f>
        <v>SRC_HW_044</v>
      </c>
      <c r="B899" s="74" t="s">
        <v>9578</v>
      </c>
      <c r="C899" s="61" t="n">
        <v>123</v>
      </c>
      <c r="D899" s="61" t="s">
        <v>9579</v>
      </c>
      <c r="E899" s="61" t="s">
        <v>9579</v>
      </c>
      <c r="F899" s="62" t="s">
        <v>751</v>
      </c>
    </row>
    <row r="900" customFormat="false" ht="15" hidden="false" customHeight="false" outlineLevel="0" collapsed="false">
      <c r="A900" s="92" t="str">
        <f aca="false">Gov_Map!$H124&amp;""</f>
        <v>SRC_HW_060</v>
      </c>
      <c r="B900" s="74" t="s">
        <v>9578</v>
      </c>
      <c r="C900" s="61" t="n">
        <v>124</v>
      </c>
      <c r="D900" s="61" t="s">
        <v>9579</v>
      </c>
      <c r="E900" s="61" t="s">
        <v>9579</v>
      </c>
      <c r="F900" s="62" t="s">
        <v>751</v>
      </c>
    </row>
    <row r="901" customFormat="false" ht="15" hidden="false" customHeight="false" outlineLevel="0" collapsed="false">
      <c r="A901" s="92" t="str">
        <f aca="false">Gov_Map!$H125&amp;""</f>
        <v>SRC_HW_048</v>
      </c>
      <c r="B901" s="74" t="s">
        <v>9578</v>
      </c>
      <c r="C901" s="61" t="n">
        <v>125</v>
      </c>
      <c r="D901" s="61" t="s">
        <v>9579</v>
      </c>
      <c r="E901" s="61" t="s">
        <v>9579</v>
      </c>
      <c r="F901" s="62" t="s">
        <v>751</v>
      </c>
    </row>
    <row r="902" customFormat="false" ht="15" hidden="false" customHeight="false" outlineLevel="0" collapsed="false">
      <c r="A902" s="92" t="str">
        <f aca="false">Gov_Map!$H126&amp;""</f>
        <v>SRC_HW_048</v>
      </c>
      <c r="B902" s="74" t="s">
        <v>9578</v>
      </c>
      <c r="C902" s="61" t="n">
        <v>126</v>
      </c>
      <c r="D902" s="61" t="s">
        <v>9579</v>
      </c>
      <c r="E902" s="61" t="s">
        <v>9579</v>
      </c>
      <c r="F902" s="62" t="s">
        <v>751</v>
      </c>
    </row>
    <row r="903" customFormat="false" ht="15" hidden="false" customHeight="false" outlineLevel="0" collapsed="false">
      <c r="A903" s="92" t="str">
        <f aca="false">Gov_Map!$H127&amp;""</f>
        <v>SRC_HW_049</v>
      </c>
      <c r="B903" s="74" t="s">
        <v>9578</v>
      </c>
      <c r="C903" s="61" t="n">
        <v>127</v>
      </c>
      <c r="D903" s="61" t="s">
        <v>9579</v>
      </c>
      <c r="E903" s="61" t="s">
        <v>9579</v>
      </c>
      <c r="F903" s="62" t="s">
        <v>751</v>
      </c>
    </row>
    <row r="904" customFormat="false" ht="15" hidden="false" customHeight="false" outlineLevel="0" collapsed="false">
      <c r="A904" s="92" t="str">
        <f aca="false">Gov_Map!$H128&amp;""</f>
        <v>—</v>
      </c>
      <c r="B904" s="74" t="s">
        <v>9578</v>
      </c>
      <c r="C904" s="61" t="n">
        <v>128</v>
      </c>
      <c r="D904" s="61" t="s">
        <v>9579</v>
      </c>
      <c r="E904" s="61" t="s">
        <v>9579</v>
      </c>
      <c r="F904" s="62" t="s">
        <v>751</v>
      </c>
    </row>
    <row r="905" customFormat="false" ht="15" hidden="false" customHeight="false" outlineLevel="0" collapsed="false">
      <c r="A905" s="92" t="str">
        <f aca="false">Gov_Map!$H129&amp;""</f>
        <v>SRC_HW_053</v>
      </c>
      <c r="B905" s="74" t="s">
        <v>9578</v>
      </c>
      <c r="C905" s="61" t="n">
        <v>129</v>
      </c>
      <c r="D905" s="61" t="s">
        <v>9579</v>
      </c>
      <c r="E905" s="61" t="s">
        <v>9579</v>
      </c>
      <c r="F905" s="62" t="s">
        <v>751</v>
      </c>
    </row>
    <row r="906" customFormat="false" ht="15" hidden="false" customHeight="false" outlineLevel="0" collapsed="false">
      <c r="A906" s="92" t="str">
        <f aca="false">Gov_Map!$H130&amp;""</f>
        <v>SRC_HW_047</v>
      </c>
      <c r="B906" s="74" t="s">
        <v>9578</v>
      </c>
      <c r="C906" s="61" t="n">
        <v>130</v>
      </c>
      <c r="D906" s="61" t="s">
        <v>9579</v>
      </c>
      <c r="E906" s="61" t="s">
        <v>9579</v>
      </c>
      <c r="F906" s="62" t="s">
        <v>751</v>
      </c>
    </row>
    <row r="907" customFormat="false" ht="15" hidden="false" customHeight="false" outlineLevel="0" collapsed="false">
      <c r="A907" s="92" t="str">
        <f aca="false">Gov_Map!$H131&amp;""</f>
        <v>SRC_HW_047</v>
      </c>
      <c r="B907" s="74" t="s">
        <v>9578</v>
      </c>
      <c r="C907" s="61" t="n">
        <v>131</v>
      </c>
      <c r="D907" s="61" t="s">
        <v>9579</v>
      </c>
      <c r="E907" s="61" t="s">
        <v>9579</v>
      </c>
      <c r="F907" s="62" t="s">
        <v>751</v>
      </c>
    </row>
    <row r="908" customFormat="false" ht="15" hidden="false" customHeight="false" outlineLevel="0" collapsed="false">
      <c r="A908" s="92" t="str">
        <f aca="false">Gov_Map!$H132&amp;""</f>
        <v>SRC_HW_047</v>
      </c>
      <c r="B908" s="74" t="s">
        <v>9578</v>
      </c>
      <c r="C908" s="61" t="n">
        <v>132</v>
      </c>
      <c r="D908" s="61" t="s">
        <v>9579</v>
      </c>
      <c r="E908" s="61" t="s">
        <v>9579</v>
      </c>
      <c r="F908" s="62" t="s">
        <v>751</v>
      </c>
    </row>
    <row r="909" customFormat="false" ht="15" hidden="false" customHeight="false" outlineLevel="0" collapsed="false">
      <c r="A909" s="92" t="str">
        <f aca="false">Gov_Map!$H133&amp;""</f>
        <v>SRC_HW_062</v>
      </c>
      <c r="B909" s="74" t="s">
        <v>9578</v>
      </c>
      <c r="C909" s="61" t="n">
        <v>133</v>
      </c>
      <c r="D909" s="61" t="s">
        <v>9579</v>
      </c>
      <c r="E909" s="61" t="s">
        <v>9579</v>
      </c>
      <c r="F909" s="62" t="s">
        <v>751</v>
      </c>
    </row>
    <row r="910" customFormat="false" ht="15" hidden="false" customHeight="false" outlineLevel="0" collapsed="false">
      <c r="A910" s="92" t="str">
        <f aca="false">Gov_Map!$H134&amp;""</f>
        <v>SRC_PERF_051</v>
      </c>
      <c r="B910" s="74" t="s">
        <v>9578</v>
      </c>
      <c r="C910" s="61" t="n">
        <v>134</v>
      </c>
      <c r="D910" s="61" t="s">
        <v>9579</v>
      </c>
      <c r="E910" s="61" t="s">
        <v>9579</v>
      </c>
      <c r="F910" s="62" t="s">
        <v>751</v>
      </c>
    </row>
    <row r="911" customFormat="false" ht="15" hidden="false" customHeight="false" outlineLevel="0" collapsed="false">
      <c r="A911" s="92" t="str">
        <f aca="false">Gov_Map!$H135&amp;""</f>
        <v>SRC_PERF_008</v>
      </c>
      <c r="B911" s="74" t="s">
        <v>9578</v>
      </c>
      <c r="C911" s="61" t="n">
        <v>135</v>
      </c>
      <c r="D911" s="61" t="s">
        <v>9579</v>
      </c>
      <c r="E911" s="61" t="s">
        <v>9579</v>
      </c>
      <c r="F911" s="62" t="s">
        <v>751</v>
      </c>
    </row>
    <row r="912" customFormat="false" ht="15" hidden="false" customHeight="false" outlineLevel="0" collapsed="false">
      <c r="A912" s="92" t="str">
        <f aca="false">Gov_Map!$H136&amp;""</f>
        <v>SRC_PERF_008</v>
      </c>
      <c r="B912" s="74" t="s">
        <v>9578</v>
      </c>
      <c r="C912" s="61" t="n">
        <v>136</v>
      </c>
      <c r="D912" s="61" t="s">
        <v>9579</v>
      </c>
      <c r="E912" s="61" t="s">
        <v>9579</v>
      </c>
      <c r="F912" s="62" t="s">
        <v>751</v>
      </c>
    </row>
    <row r="913" customFormat="false" ht="15" hidden="false" customHeight="false" outlineLevel="0" collapsed="false">
      <c r="A913" s="92" t="str">
        <f aca="false">Gov_Map!$H137&amp;""</f>
        <v>SRC_PERF_008</v>
      </c>
      <c r="B913" s="74" t="s">
        <v>9578</v>
      </c>
      <c r="C913" s="61" t="n">
        <v>137</v>
      </c>
      <c r="D913" s="61" t="s">
        <v>9579</v>
      </c>
      <c r="E913" s="61" t="s">
        <v>9579</v>
      </c>
      <c r="F913" s="62" t="s">
        <v>751</v>
      </c>
    </row>
    <row r="914" customFormat="false" ht="15" hidden="false" customHeight="false" outlineLevel="0" collapsed="false">
      <c r="A914" s="92" t="str">
        <f aca="false">Gov_Map!$H138&amp;""</f>
        <v>—</v>
      </c>
      <c r="B914" s="74" t="s">
        <v>9578</v>
      </c>
      <c r="C914" s="61" t="n">
        <v>138</v>
      </c>
      <c r="D914" s="61" t="s">
        <v>9579</v>
      </c>
      <c r="E914" s="61" t="s">
        <v>9579</v>
      </c>
      <c r="F914" s="62" t="s">
        <v>751</v>
      </c>
    </row>
    <row r="915" customFormat="false" ht="15" hidden="false" customHeight="false" outlineLevel="0" collapsed="false">
      <c r="A915" s="92" t="str">
        <f aca="false">Gov_Map!$H139&amp;""</f>
        <v>SRC_HW_055</v>
      </c>
      <c r="B915" s="74" t="s">
        <v>9578</v>
      </c>
      <c r="C915" s="61" t="n">
        <v>139</v>
      </c>
      <c r="D915" s="61" t="s">
        <v>9579</v>
      </c>
      <c r="E915" s="61" t="s">
        <v>9579</v>
      </c>
      <c r="F915" s="62" t="s">
        <v>751</v>
      </c>
    </row>
    <row r="916" customFormat="false" ht="15" hidden="false" customHeight="false" outlineLevel="0" collapsed="false">
      <c r="A916" s="92" t="str">
        <f aca="false">Gov_Map!$H140&amp;""</f>
        <v>SRC_HW_050</v>
      </c>
      <c r="B916" s="74" t="s">
        <v>9578</v>
      </c>
      <c r="C916" s="61" t="n">
        <v>140</v>
      </c>
      <c r="D916" s="61" t="s">
        <v>9579</v>
      </c>
      <c r="E916" s="61" t="s">
        <v>9579</v>
      </c>
      <c r="F916" s="62" t="s">
        <v>751</v>
      </c>
    </row>
    <row r="917" customFormat="false" ht="15" hidden="false" customHeight="false" outlineLevel="0" collapsed="false">
      <c r="A917" s="92" t="str">
        <f aca="false">Gov_Map!$H141&amp;""</f>
        <v>SRC_HW_050</v>
      </c>
      <c r="B917" s="74" t="s">
        <v>9578</v>
      </c>
      <c r="C917" s="61" t="n">
        <v>141</v>
      </c>
      <c r="D917" s="61" t="s">
        <v>9579</v>
      </c>
      <c r="E917" s="61" t="s">
        <v>9579</v>
      </c>
      <c r="F917" s="62" t="s">
        <v>751</v>
      </c>
    </row>
    <row r="918" customFormat="false" ht="15" hidden="false" customHeight="false" outlineLevel="0" collapsed="false">
      <c r="A918" s="92" t="str">
        <f aca="false">Gov_Map!$H142&amp;""</f>
        <v>SRC_HW_050</v>
      </c>
      <c r="B918" s="74" t="s">
        <v>9578</v>
      </c>
      <c r="C918" s="61" t="n">
        <v>142</v>
      </c>
      <c r="D918" s="61" t="s">
        <v>9579</v>
      </c>
      <c r="E918" s="61" t="s">
        <v>9579</v>
      </c>
      <c r="F918" s="62" t="s">
        <v>751</v>
      </c>
    </row>
    <row r="919" customFormat="false" ht="15" hidden="false" customHeight="false" outlineLevel="0" collapsed="false">
      <c r="A919" s="92" t="str">
        <f aca="false">Gov_Map!$H143&amp;""</f>
        <v>SRC_HW_050</v>
      </c>
      <c r="B919" s="74" t="s">
        <v>9578</v>
      </c>
      <c r="C919" s="61" t="n">
        <v>143</v>
      </c>
      <c r="D919" s="61" t="s">
        <v>9579</v>
      </c>
      <c r="E919" s="61" t="s">
        <v>9579</v>
      </c>
      <c r="F919" s="62" t="s">
        <v>751</v>
      </c>
    </row>
    <row r="920" customFormat="false" ht="15" hidden="false" customHeight="false" outlineLevel="0" collapsed="false">
      <c r="A920" s="92" t="str">
        <f aca="false">Gov_Map!$H144&amp;""</f>
        <v>—</v>
      </c>
      <c r="B920" s="74" t="s">
        <v>9578</v>
      </c>
      <c r="C920" s="61" t="n">
        <v>144</v>
      </c>
      <c r="D920" s="61" t="s">
        <v>9579</v>
      </c>
      <c r="E920" s="61" t="s">
        <v>9579</v>
      </c>
      <c r="F920" s="62" t="s">
        <v>751</v>
      </c>
    </row>
    <row r="921" customFormat="false" ht="15" hidden="false" customHeight="false" outlineLevel="0" collapsed="false">
      <c r="A921" s="92" t="str">
        <f aca="false">Gov_Map!$H145&amp;""</f>
        <v>—</v>
      </c>
      <c r="B921" s="74" t="s">
        <v>9578</v>
      </c>
      <c r="C921" s="61" t="n">
        <v>145</v>
      </c>
      <c r="D921" s="61" t="s">
        <v>9579</v>
      </c>
      <c r="E921" s="61" t="s">
        <v>9579</v>
      </c>
      <c r="F921" s="62" t="s">
        <v>751</v>
      </c>
    </row>
    <row r="922" customFormat="false" ht="15" hidden="false" customHeight="false" outlineLevel="0" collapsed="false">
      <c r="A922" s="92" t="str">
        <f aca="false">Gov_Map!$H146&amp;""</f>
        <v>—</v>
      </c>
      <c r="B922" s="74" t="s">
        <v>9578</v>
      </c>
      <c r="C922" s="61" t="n">
        <v>146</v>
      </c>
      <c r="D922" s="61" t="s">
        <v>9579</v>
      </c>
      <c r="E922" s="61" t="s">
        <v>9579</v>
      </c>
      <c r="F922" s="62" t="s">
        <v>751</v>
      </c>
    </row>
    <row r="923" customFormat="false" ht="15" hidden="false" customHeight="false" outlineLevel="0" collapsed="false">
      <c r="A923" s="92" t="str">
        <f aca="false">Gov_Map!$H147&amp;""</f>
        <v>—</v>
      </c>
      <c r="B923" s="74" t="s">
        <v>9578</v>
      </c>
      <c r="C923" s="61" t="n">
        <v>147</v>
      </c>
      <c r="D923" s="61" t="s">
        <v>9579</v>
      </c>
      <c r="E923" s="61" t="s">
        <v>9579</v>
      </c>
      <c r="F923" s="62" t="s">
        <v>751</v>
      </c>
    </row>
    <row r="924" customFormat="false" ht="15" hidden="false" customHeight="false" outlineLevel="0" collapsed="false">
      <c r="A924" s="92" t="str">
        <f aca="false">Gov_Map!$H148&amp;""</f>
        <v>—</v>
      </c>
      <c r="B924" s="74" t="s">
        <v>9578</v>
      </c>
      <c r="C924" s="61" t="n">
        <v>148</v>
      </c>
      <c r="D924" s="61" t="s">
        <v>9579</v>
      </c>
      <c r="E924" s="61" t="s">
        <v>9579</v>
      </c>
      <c r="F924" s="62" t="s">
        <v>751</v>
      </c>
    </row>
    <row r="925" customFormat="false" ht="15" hidden="false" customHeight="false" outlineLevel="0" collapsed="false">
      <c r="A925" s="92" t="str">
        <f aca="false">Gov_Map!$H149&amp;""</f>
        <v>—</v>
      </c>
      <c r="B925" s="74" t="s">
        <v>9578</v>
      </c>
      <c r="C925" s="61" t="n">
        <v>149</v>
      </c>
      <c r="D925" s="61" t="s">
        <v>9579</v>
      </c>
      <c r="E925" s="61" t="s">
        <v>9579</v>
      </c>
      <c r="F925" s="62" t="s">
        <v>751</v>
      </c>
    </row>
    <row r="926" customFormat="false" ht="15" hidden="false" customHeight="false" outlineLevel="0" collapsed="false">
      <c r="A926" s="92" t="str">
        <f aca="false">Gov_Map!$H150&amp;""</f>
        <v>SRC_PERF_007</v>
      </c>
      <c r="B926" s="74" t="s">
        <v>9578</v>
      </c>
      <c r="C926" s="61" t="n">
        <v>150</v>
      </c>
      <c r="D926" s="61" t="s">
        <v>9579</v>
      </c>
      <c r="E926" s="61" t="s">
        <v>9579</v>
      </c>
      <c r="F926" s="62" t="s">
        <v>751</v>
      </c>
    </row>
    <row r="927" customFormat="false" ht="15" hidden="false" customHeight="false" outlineLevel="0" collapsed="false">
      <c r="A927" s="92" t="str">
        <f aca="false">Gov_Map!$H151&amp;""</f>
        <v>SRC_PERF_007</v>
      </c>
      <c r="B927" s="74" t="s">
        <v>9578</v>
      </c>
      <c r="C927" s="61" t="n">
        <v>151</v>
      </c>
      <c r="D927" s="61" t="s">
        <v>9579</v>
      </c>
      <c r="E927" s="61" t="s">
        <v>9579</v>
      </c>
      <c r="F927" s="62" t="s">
        <v>751</v>
      </c>
    </row>
    <row r="928" customFormat="false" ht="15" hidden="false" customHeight="false" outlineLevel="0" collapsed="false">
      <c r="A928" s="92" t="str">
        <f aca="false">Gov_Map!$H152&amp;""</f>
        <v>SRC_PERF_007</v>
      </c>
      <c r="B928" s="74" t="s">
        <v>9578</v>
      </c>
      <c r="C928" s="61" t="n">
        <v>152</v>
      </c>
      <c r="D928" s="61" t="s">
        <v>9579</v>
      </c>
      <c r="E928" s="61" t="s">
        <v>9579</v>
      </c>
      <c r="F928" s="62" t="s">
        <v>751</v>
      </c>
    </row>
    <row r="929" customFormat="false" ht="15" hidden="false" customHeight="false" outlineLevel="0" collapsed="false">
      <c r="A929" s="92" t="str">
        <f aca="false">Gov_Map!$H153&amp;""</f>
        <v>—</v>
      </c>
      <c r="B929" s="74" t="s">
        <v>9578</v>
      </c>
      <c r="C929" s="61" t="n">
        <v>153</v>
      </c>
      <c r="D929" s="61" t="s">
        <v>9579</v>
      </c>
      <c r="E929" s="61" t="s">
        <v>9579</v>
      </c>
      <c r="F929" s="62" t="s">
        <v>751</v>
      </c>
    </row>
    <row r="930" customFormat="false" ht="15" hidden="false" customHeight="false" outlineLevel="0" collapsed="false">
      <c r="A930" s="92" t="str">
        <f aca="false">Gov_Map!$H154&amp;""</f>
        <v>SRC_HW_056</v>
      </c>
      <c r="B930" s="74" t="s">
        <v>9578</v>
      </c>
      <c r="C930" s="61" t="n">
        <v>154</v>
      </c>
      <c r="D930" s="61" t="s">
        <v>9579</v>
      </c>
      <c r="E930" s="61" t="s">
        <v>9579</v>
      </c>
      <c r="F930" s="62" t="s">
        <v>751</v>
      </c>
    </row>
    <row r="931" customFormat="false" ht="15" hidden="false" customHeight="false" outlineLevel="0" collapsed="false">
      <c r="A931" s="92" t="str">
        <f aca="false">Gov_Map!$H155&amp;""</f>
        <v>SRC_HW_057</v>
      </c>
      <c r="B931" s="74" t="s">
        <v>9578</v>
      </c>
      <c r="C931" s="61" t="n">
        <v>155</v>
      </c>
      <c r="D931" s="61" t="s">
        <v>9579</v>
      </c>
      <c r="E931" s="61" t="s">
        <v>9579</v>
      </c>
      <c r="F931" s="62" t="s">
        <v>751</v>
      </c>
    </row>
    <row r="932" customFormat="false" ht="15" hidden="false" customHeight="false" outlineLevel="0" collapsed="false">
      <c r="A932" s="92" t="str">
        <f aca="false">Gov_Map!$H156&amp;""</f>
        <v>SRC_HW_058</v>
      </c>
      <c r="B932" s="74" t="s">
        <v>9578</v>
      </c>
      <c r="C932" s="61" t="n">
        <v>156</v>
      </c>
      <c r="D932" s="61" t="s">
        <v>9579</v>
      </c>
      <c r="E932" s="61" t="s">
        <v>9579</v>
      </c>
      <c r="F932" s="62" t="s">
        <v>751</v>
      </c>
    </row>
    <row r="933" customFormat="false" ht="15" hidden="false" customHeight="false" outlineLevel="0" collapsed="false">
      <c r="A933" s="92" t="str">
        <f aca="false">Gov_Map!$H157&amp;""</f>
        <v>SRC_HW_046</v>
      </c>
      <c r="B933" s="74" t="s">
        <v>9578</v>
      </c>
      <c r="C933" s="61" t="n">
        <v>157</v>
      </c>
      <c r="D933" s="61" t="s">
        <v>9579</v>
      </c>
      <c r="E933" s="61" t="s">
        <v>9579</v>
      </c>
      <c r="F933" s="62" t="s">
        <v>751</v>
      </c>
    </row>
    <row r="934" customFormat="false" ht="15" hidden="false" customHeight="false" outlineLevel="0" collapsed="false">
      <c r="A934" s="92" t="str">
        <f aca="false">Gov_Map!$H158&amp;""</f>
        <v>—</v>
      </c>
      <c r="B934" s="74" t="s">
        <v>9578</v>
      </c>
      <c r="C934" s="61" t="n">
        <v>158</v>
      </c>
      <c r="D934" s="61" t="s">
        <v>9579</v>
      </c>
      <c r="E934" s="61" t="s">
        <v>9579</v>
      </c>
      <c r="F934" s="62" t="s">
        <v>751</v>
      </c>
    </row>
    <row r="935" customFormat="false" ht="15" hidden="false" customHeight="false" outlineLevel="0" collapsed="false">
      <c r="A935" s="92" t="str">
        <f aca="false">Gov_Map!$H159&amp;""</f>
        <v>SRC_HW_032</v>
      </c>
      <c r="B935" s="74" t="s">
        <v>9578</v>
      </c>
      <c r="C935" s="61" t="n">
        <v>159</v>
      </c>
      <c r="D935" s="61" t="s">
        <v>9579</v>
      </c>
      <c r="E935" s="61" t="s">
        <v>9579</v>
      </c>
      <c r="F935" s="62" t="s">
        <v>751</v>
      </c>
    </row>
    <row r="936" customFormat="false" ht="15" hidden="false" customHeight="false" outlineLevel="0" collapsed="false">
      <c r="A936" s="92" t="str">
        <f aca="false">Gov_Map!$H160&amp;""</f>
        <v>SRC_HW_033</v>
      </c>
      <c r="B936" s="74" t="s">
        <v>9578</v>
      </c>
      <c r="C936" s="61" t="n">
        <v>160</v>
      </c>
      <c r="D936" s="61" t="s">
        <v>9579</v>
      </c>
      <c r="E936" s="61" t="s">
        <v>9579</v>
      </c>
      <c r="F936" s="62" t="s">
        <v>751</v>
      </c>
    </row>
    <row r="937" customFormat="false" ht="15" hidden="false" customHeight="false" outlineLevel="0" collapsed="false">
      <c r="A937" s="92" t="str">
        <f aca="false">Gov_Map!$H161&amp;""</f>
        <v>SRC_HW_033</v>
      </c>
      <c r="B937" s="74" t="s">
        <v>9578</v>
      </c>
      <c r="C937" s="61" t="n">
        <v>161</v>
      </c>
      <c r="D937" s="61" t="s">
        <v>9579</v>
      </c>
      <c r="E937" s="61" t="s">
        <v>9579</v>
      </c>
      <c r="F937" s="62" t="s">
        <v>751</v>
      </c>
    </row>
    <row r="938" customFormat="false" ht="15" hidden="false" customHeight="false" outlineLevel="0" collapsed="false">
      <c r="A938" s="92" t="str">
        <f aca="false">Gov_Map!$H162&amp;""</f>
        <v>SRC_HW_034</v>
      </c>
      <c r="B938" s="74" t="s">
        <v>9578</v>
      </c>
      <c r="C938" s="61" t="n">
        <v>162</v>
      </c>
      <c r="D938" s="61" t="s">
        <v>9579</v>
      </c>
      <c r="E938" s="61" t="s">
        <v>9579</v>
      </c>
      <c r="F938" s="62" t="s">
        <v>751</v>
      </c>
    </row>
    <row r="939" customFormat="false" ht="15" hidden="false" customHeight="false" outlineLevel="0" collapsed="false">
      <c r="A939" s="92" t="str">
        <f aca="false">Gov_Map!$H163&amp;""</f>
        <v>—</v>
      </c>
      <c r="B939" s="74" t="s">
        <v>9578</v>
      </c>
      <c r="C939" s="61" t="n">
        <v>163</v>
      </c>
      <c r="D939" s="61" t="s">
        <v>9579</v>
      </c>
      <c r="E939" s="61" t="s">
        <v>9579</v>
      </c>
      <c r="F939" s="62" t="s">
        <v>751</v>
      </c>
    </row>
    <row r="940" customFormat="false" ht="15" hidden="false" customHeight="false" outlineLevel="0" collapsed="false">
      <c r="A940" s="92" t="str">
        <f aca="false">Gov_Map!$H164&amp;""</f>
        <v>SRC_HW_019</v>
      </c>
      <c r="B940" s="74" t="s">
        <v>9578</v>
      </c>
      <c r="C940" s="61" t="n">
        <v>164</v>
      </c>
      <c r="D940" s="61" t="s">
        <v>9579</v>
      </c>
      <c r="E940" s="61" t="s">
        <v>9579</v>
      </c>
      <c r="F940" s="62" t="s">
        <v>751</v>
      </c>
    </row>
    <row r="941" customFormat="false" ht="15" hidden="false" customHeight="false" outlineLevel="0" collapsed="false">
      <c r="A941" s="92" t="str">
        <f aca="false">Gov_Map!$H165&amp;""</f>
        <v>SRC_HW_042</v>
      </c>
      <c r="B941" s="74" t="s">
        <v>9578</v>
      </c>
      <c r="C941" s="61" t="n">
        <v>165</v>
      </c>
      <c r="D941" s="61" t="s">
        <v>9579</v>
      </c>
      <c r="E941" s="61" t="s">
        <v>9579</v>
      </c>
      <c r="F941" s="62" t="s">
        <v>751</v>
      </c>
    </row>
    <row r="942" customFormat="false" ht="15" hidden="false" customHeight="false" outlineLevel="0" collapsed="false">
      <c r="A942" s="92" t="str">
        <f aca="false">Gov_Map!$H166&amp;""</f>
        <v>SRC_HW_042</v>
      </c>
      <c r="B942" s="74" t="s">
        <v>9578</v>
      </c>
      <c r="C942" s="61" t="n">
        <v>166</v>
      </c>
      <c r="D942" s="61" t="s">
        <v>9579</v>
      </c>
      <c r="E942" s="61" t="s">
        <v>9579</v>
      </c>
      <c r="F942" s="62" t="s">
        <v>751</v>
      </c>
    </row>
    <row r="943" customFormat="false" ht="15" hidden="false" customHeight="false" outlineLevel="0" collapsed="false">
      <c r="A943" s="92" t="str">
        <f aca="false">Gov_Map!$H167&amp;""</f>
        <v>SRC_HW_039</v>
      </c>
      <c r="B943" s="74" t="s">
        <v>9578</v>
      </c>
      <c r="C943" s="61" t="n">
        <v>167</v>
      </c>
      <c r="D943" s="61" t="s">
        <v>9579</v>
      </c>
      <c r="E943" s="61" t="s">
        <v>9579</v>
      </c>
      <c r="F943" s="62" t="s">
        <v>751</v>
      </c>
    </row>
    <row r="944" customFormat="false" ht="15" hidden="false" customHeight="false" outlineLevel="0" collapsed="false">
      <c r="A944" s="92" t="str">
        <f aca="false">Gov_Map!$H168&amp;""</f>
        <v>—</v>
      </c>
      <c r="B944" s="74" t="s">
        <v>9578</v>
      </c>
      <c r="C944" s="61" t="n">
        <v>168</v>
      </c>
      <c r="D944" s="61" t="s">
        <v>9579</v>
      </c>
      <c r="E944" s="61" t="s">
        <v>9579</v>
      </c>
      <c r="F944" s="62" t="s">
        <v>751</v>
      </c>
    </row>
    <row r="945" customFormat="false" ht="15" hidden="false" customHeight="false" outlineLevel="0" collapsed="false">
      <c r="A945" s="92" t="str">
        <f aca="false">Gov_Map!$H169&amp;""</f>
        <v>SRC_HW_040</v>
      </c>
      <c r="B945" s="74" t="s">
        <v>9578</v>
      </c>
      <c r="C945" s="61" t="n">
        <v>169</v>
      </c>
      <c r="D945" s="61" t="s">
        <v>9579</v>
      </c>
      <c r="E945" s="61" t="s">
        <v>9579</v>
      </c>
      <c r="F945" s="62" t="s">
        <v>751</v>
      </c>
    </row>
    <row r="946" customFormat="false" ht="15" hidden="false" customHeight="false" outlineLevel="0" collapsed="false">
      <c r="A946" s="92" t="str">
        <f aca="false">Gov_Map!$H170&amp;""</f>
        <v>SRC_HW_043</v>
      </c>
      <c r="B946" s="74" t="s">
        <v>9578</v>
      </c>
      <c r="C946" s="61" t="n">
        <v>170</v>
      </c>
      <c r="D946" s="61" t="s">
        <v>9579</v>
      </c>
      <c r="E946" s="61" t="s">
        <v>9579</v>
      </c>
      <c r="F946" s="62" t="s">
        <v>751</v>
      </c>
    </row>
    <row r="947" customFormat="false" ht="15" hidden="false" customHeight="false" outlineLevel="0" collapsed="false">
      <c r="A947" s="92" t="str">
        <f aca="false">Gov_Map!$H171&amp;""</f>
        <v>SRC_HW_043</v>
      </c>
      <c r="B947" s="74" t="s">
        <v>9578</v>
      </c>
      <c r="C947" s="61" t="n">
        <v>171</v>
      </c>
      <c r="D947" s="61" t="s">
        <v>9579</v>
      </c>
      <c r="E947" s="61" t="s">
        <v>9579</v>
      </c>
      <c r="F947" s="62" t="s">
        <v>751</v>
      </c>
    </row>
    <row r="948" customFormat="false" ht="15" hidden="false" customHeight="false" outlineLevel="0" collapsed="false">
      <c r="A948" s="92" t="str">
        <f aca="false">Gov_Map!$H172&amp;""</f>
        <v>SRC_HW_038</v>
      </c>
      <c r="B948" s="74" t="s">
        <v>9578</v>
      </c>
      <c r="C948" s="61" t="n">
        <v>172</v>
      </c>
      <c r="D948" s="61" t="s">
        <v>9579</v>
      </c>
      <c r="E948" s="61" t="s">
        <v>9579</v>
      </c>
      <c r="F948" s="62" t="s">
        <v>751</v>
      </c>
    </row>
    <row r="949" customFormat="false" ht="15" hidden="false" customHeight="false" outlineLevel="0" collapsed="false">
      <c r="A949" s="92" t="str">
        <f aca="false">Gov_Map!$H173&amp;""</f>
        <v>SRC_HW_063</v>
      </c>
      <c r="B949" s="74" t="s">
        <v>9578</v>
      </c>
      <c r="C949" s="61" t="n">
        <v>173</v>
      </c>
      <c r="D949" s="61" t="s">
        <v>9579</v>
      </c>
      <c r="E949" s="61" t="s">
        <v>9579</v>
      </c>
      <c r="F949" s="62" t="s">
        <v>751</v>
      </c>
    </row>
    <row r="950" customFormat="false" ht="15" hidden="false" customHeight="false" outlineLevel="0" collapsed="false">
      <c r="A950" s="92" t="str">
        <f aca="false">Gov_Map!$H174&amp;""</f>
        <v>—</v>
      </c>
      <c r="B950" s="74" t="s">
        <v>9578</v>
      </c>
      <c r="C950" s="61" t="n">
        <v>174</v>
      </c>
      <c r="D950" s="61" t="s">
        <v>9579</v>
      </c>
      <c r="E950" s="61" t="s">
        <v>9579</v>
      </c>
      <c r="F950" s="62" t="s">
        <v>751</v>
      </c>
    </row>
    <row r="951" customFormat="false" ht="15" hidden="false" customHeight="false" outlineLevel="0" collapsed="false">
      <c r="A951" s="92" t="str">
        <f aca="false">Gov_Map!$H175&amp;""</f>
        <v>SRC_HW_037</v>
      </c>
      <c r="B951" s="74" t="s">
        <v>9578</v>
      </c>
      <c r="C951" s="61" t="n">
        <v>175</v>
      </c>
      <c r="D951" s="61" t="s">
        <v>9579</v>
      </c>
      <c r="E951" s="61" t="s">
        <v>9579</v>
      </c>
      <c r="F951" s="62" t="s">
        <v>751</v>
      </c>
    </row>
    <row r="952" customFormat="false" ht="15" hidden="false" customHeight="false" outlineLevel="0" collapsed="false">
      <c r="A952" s="92" t="str">
        <f aca="false">Gov_Map!$H176&amp;""</f>
        <v>—</v>
      </c>
      <c r="B952" s="74" t="s">
        <v>9578</v>
      </c>
      <c r="C952" s="61" t="n">
        <v>176</v>
      </c>
      <c r="D952" s="61" t="s">
        <v>9579</v>
      </c>
      <c r="E952" s="61" t="s">
        <v>9579</v>
      </c>
      <c r="F952" s="62" t="s">
        <v>751</v>
      </c>
    </row>
    <row r="953" customFormat="false" ht="15" hidden="false" customHeight="false" outlineLevel="0" collapsed="false">
      <c r="A953" s="92" t="str">
        <f aca="false">Gov_Map!$H177&amp;""</f>
        <v>SRC_HW_037</v>
      </c>
      <c r="B953" s="74" t="s">
        <v>9578</v>
      </c>
      <c r="C953" s="61" t="n">
        <v>177</v>
      </c>
      <c r="D953" s="61" t="s">
        <v>9579</v>
      </c>
      <c r="E953" s="61" t="s">
        <v>9579</v>
      </c>
      <c r="F953" s="62" t="s">
        <v>751</v>
      </c>
    </row>
    <row r="954" customFormat="false" ht="15" hidden="false" customHeight="false" outlineLevel="0" collapsed="false">
      <c r="A954" s="92" t="str">
        <f aca="false">Gov_Map!$H178&amp;""</f>
        <v>—</v>
      </c>
      <c r="B954" s="74" t="s">
        <v>9578</v>
      </c>
      <c r="C954" s="61" t="n">
        <v>178</v>
      </c>
      <c r="D954" s="61" t="s">
        <v>9579</v>
      </c>
      <c r="E954" s="61" t="s">
        <v>9579</v>
      </c>
      <c r="F954" s="62" t="s">
        <v>751</v>
      </c>
    </row>
    <row r="955" customFormat="false" ht="15" hidden="false" customHeight="false" outlineLevel="0" collapsed="false">
      <c r="A955" s="92" t="str">
        <f aca="false">Gov_Map!$H179&amp;""</f>
        <v>SRC_MOD_005</v>
      </c>
      <c r="B955" s="74" t="s">
        <v>9578</v>
      </c>
      <c r="C955" s="61" t="n">
        <v>179</v>
      </c>
      <c r="D955" s="61" t="s">
        <v>9579</v>
      </c>
      <c r="E955" s="61" t="s">
        <v>9579</v>
      </c>
      <c r="F955" s="62" t="s">
        <v>751</v>
      </c>
    </row>
    <row r="956" customFormat="false" ht="15" hidden="false" customHeight="false" outlineLevel="0" collapsed="false">
      <c r="A956" s="92" t="str">
        <f aca="false">Gov_Map!$H180&amp;""</f>
        <v>SRC_MOD_001</v>
      </c>
      <c r="B956" s="74" t="s">
        <v>9578</v>
      </c>
      <c r="C956" s="61" t="n">
        <v>180</v>
      </c>
      <c r="D956" s="61" t="s">
        <v>9579</v>
      </c>
      <c r="E956" s="61" t="s">
        <v>9579</v>
      </c>
      <c r="F956" s="62" t="s">
        <v>751</v>
      </c>
    </row>
    <row r="957" customFormat="false" ht="15" hidden="false" customHeight="false" outlineLevel="0" collapsed="false">
      <c r="A957" s="92" t="str">
        <f aca="false">Gov_Map!$H181&amp;""</f>
        <v>SRC_MOD_006</v>
      </c>
      <c r="B957" s="74" t="s">
        <v>9578</v>
      </c>
      <c r="C957" s="61" t="n">
        <v>181</v>
      </c>
      <c r="D957" s="61" t="s">
        <v>9579</v>
      </c>
      <c r="E957" s="61" t="s">
        <v>9579</v>
      </c>
      <c r="F957" s="62" t="s">
        <v>751</v>
      </c>
    </row>
    <row r="958" customFormat="false" ht="15" hidden="false" customHeight="false" outlineLevel="0" collapsed="false">
      <c r="A958" s="92" t="str">
        <f aca="false">Gov_Map!$H182&amp;""</f>
        <v>SRC_MOD_002</v>
      </c>
      <c r="B958" s="74" t="s">
        <v>9578</v>
      </c>
      <c r="C958" s="61" t="n">
        <v>182</v>
      </c>
      <c r="D958" s="61" t="s">
        <v>9579</v>
      </c>
      <c r="E958" s="61" t="s">
        <v>9579</v>
      </c>
      <c r="F958" s="62" t="s">
        <v>751</v>
      </c>
    </row>
    <row r="959" customFormat="false" ht="15" hidden="false" customHeight="false" outlineLevel="0" collapsed="false">
      <c r="A959" s="92" t="str">
        <f aca="false">Gov_Map!$H183&amp;""</f>
        <v>SRC_MOD_007</v>
      </c>
      <c r="B959" s="74" t="s">
        <v>9578</v>
      </c>
      <c r="C959" s="61" t="n">
        <v>183</v>
      </c>
      <c r="D959" s="61" t="s">
        <v>9579</v>
      </c>
      <c r="E959" s="61" t="s">
        <v>9579</v>
      </c>
      <c r="F959" s="62" t="s">
        <v>751</v>
      </c>
    </row>
    <row r="960" customFormat="false" ht="15" hidden="false" customHeight="false" outlineLevel="0" collapsed="false">
      <c r="A960" s="92" t="str">
        <f aca="false">Gov_Map!$H184&amp;""</f>
        <v>SRC_MOD_003</v>
      </c>
      <c r="B960" s="74" t="s">
        <v>9578</v>
      </c>
      <c r="C960" s="61" t="n">
        <v>184</v>
      </c>
      <c r="D960" s="61" t="s">
        <v>9579</v>
      </c>
      <c r="E960" s="61" t="s">
        <v>9579</v>
      </c>
      <c r="F960" s="62" t="s">
        <v>751</v>
      </c>
    </row>
    <row r="961" customFormat="false" ht="15" hidden="false" customHeight="false" outlineLevel="0" collapsed="false">
      <c r="A961" s="92" t="str">
        <f aca="false">Gov_Map!$H185&amp;""</f>
        <v>SRC_MOD_009</v>
      </c>
      <c r="B961" s="74" t="s">
        <v>9578</v>
      </c>
      <c r="C961" s="61" t="n">
        <v>185</v>
      </c>
      <c r="D961" s="61" t="s">
        <v>9579</v>
      </c>
      <c r="E961" s="61" t="s">
        <v>9579</v>
      </c>
      <c r="F961" s="62" t="s">
        <v>751</v>
      </c>
    </row>
    <row r="962" customFormat="false" ht="15" hidden="false" customHeight="false" outlineLevel="0" collapsed="false">
      <c r="A962" s="92" t="str">
        <f aca="false">Gov_Map!$H186&amp;""</f>
        <v>SRC_MOD_009</v>
      </c>
      <c r="B962" s="74" t="s">
        <v>9578</v>
      </c>
      <c r="C962" s="61" t="n">
        <v>186</v>
      </c>
      <c r="D962" s="61" t="s">
        <v>9579</v>
      </c>
      <c r="E962" s="61" t="s">
        <v>9579</v>
      </c>
      <c r="F962" s="62" t="s">
        <v>751</v>
      </c>
    </row>
    <row r="963" customFormat="false" ht="15" hidden="false" customHeight="false" outlineLevel="0" collapsed="false">
      <c r="A963" s="92" t="str">
        <f aca="false">Gov_Map!$H187&amp;""</f>
        <v>SRC_MOD_010</v>
      </c>
      <c r="B963" s="74" t="s">
        <v>9578</v>
      </c>
      <c r="C963" s="61" t="n">
        <v>187</v>
      </c>
      <c r="D963" s="61" t="s">
        <v>9579</v>
      </c>
      <c r="E963" s="61" t="s">
        <v>9579</v>
      </c>
      <c r="F963" s="62" t="s">
        <v>751</v>
      </c>
    </row>
    <row r="964" customFormat="false" ht="15" hidden="false" customHeight="false" outlineLevel="0" collapsed="false">
      <c r="A964" s="92" t="str">
        <f aca="false">Gov_Map!$H188&amp;""</f>
        <v>SRC_MOD_011</v>
      </c>
      <c r="B964" s="74" t="s">
        <v>9578</v>
      </c>
      <c r="C964" s="61" t="n">
        <v>188</v>
      </c>
      <c r="D964" s="61" t="s">
        <v>9579</v>
      </c>
      <c r="E964" s="61" t="s">
        <v>9579</v>
      </c>
      <c r="F964" s="62" t="s">
        <v>751</v>
      </c>
    </row>
    <row r="965" customFormat="false" ht="15" hidden="false" customHeight="false" outlineLevel="0" collapsed="false">
      <c r="A965" s="92" t="str">
        <f aca="false">Gov_Map!$H189&amp;""</f>
        <v>SRC_MOD_012</v>
      </c>
      <c r="B965" s="74" t="s">
        <v>9578</v>
      </c>
      <c r="C965" s="61" t="n">
        <v>189</v>
      </c>
      <c r="D965" s="61" t="s">
        <v>9579</v>
      </c>
      <c r="E965" s="61" t="s">
        <v>9579</v>
      </c>
      <c r="F965" s="62" t="s">
        <v>751</v>
      </c>
    </row>
    <row r="966" customFormat="false" ht="15" hidden="false" customHeight="false" outlineLevel="0" collapsed="false">
      <c r="A966" s="92" t="str">
        <f aca="false">Gov_Map!$H190&amp;""</f>
        <v>SRC_MOD_012</v>
      </c>
      <c r="B966" s="74" t="s">
        <v>9578</v>
      </c>
      <c r="C966" s="61" t="n">
        <v>190</v>
      </c>
      <c r="D966" s="61" t="s">
        <v>9579</v>
      </c>
      <c r="E966" s="61" t="s">
        <v>9579</v>
      </c>
      <c r="F966" s="62" t="s">
        <v>751</v>
      </c>
    </row>
    <row r="967" customFormat="false" ht="15" hidden="false" customHeight="false" outlineLevel="0" collapsed="false">
      <c r="A967" s="92" t="str">
        <f aca="false">Gov_Map!$H191&amp;""</f>
        <v>SRC_MOD_013</v>
      </c>
      <c r="B967" s="74" t="s">
        <v>9578</v>
      </c>
      <c r="C967" s="61" t="n">
        <v>191</v>
      </c>
      <c r="D967" s="61" t="s">
        <v>9579</v>
      </c>
      <c r="E967" s="61" t="s">
        <v>9579</v>
      </c>
      <c r="F967" s="62" t="s">
        <v>751</v>
      </c>
    </row>
    <row r="968" customFormat="false" ht="15" hidden="false" customHeight="false" outlineLevel="0" collapsed="false">
      <c r="A968" s="92" t="str">
        <f aca="false">Gov_Map!$H192&amp;""</f>
        <v>SRC_MOD_013</v>
      </c>
      <c r="B968" s="74" t="s">
        <v>9578</v>
      </c>
      <c r="C968" s="61" t="n">
        <v>192</v>
      </c>
      <c r="D968" s="61" t="s">
        <v>9579</v>
      </c>
      <c r="E968" s="61" t="s">
        <v>9579</v>
      </c>
      <c r="F968" s="62" t="s">
        <v>751</v>
      </c>
    </row>
    <row r="969" customFormat="false" ht="15" hidden="false" customHeight="false" outlineLevel="0" collapsed="false">
      <c r="A969" s="92" t="str">
        <f aca="false">Gov_Map!$H193&amp;""</f>
        <v>SRC_MOD_014</v>
      </c>
      <c r="B969" s="74" t="s">
        <v>9578</v>
      </c>
      <c r="C969" s="61" t="n">
        <v>193</v>
      </c>
      <c r="D969" s="61" t="s">
        <v>9579</v>
      </c>
      <c r="E969" s="61" t="s">
        <v>9579</v>
      </c>
      <c r="F969" s="62" t="s">
        <v>751</v>
      </c>
    </row>
    <row r="970" customFormat="false" ht="15" hidden="false" customHeight="false" outlineLevel="0" collapsed="false">
      <c r="A970" s="92" t="str">
        <f aca="false">Gov_Map!$H194&amp;""</f>
        <v>SRC_MOD_014</v>
      </c>
      <c r="B970" s="74" t="s">
        <v>9578</v>
      </c>
      <c r="C970" s="61" t="n">
        <v>194</v>
      </c>
      <c r="D970" s="61" t="s">
        <v>9579</v>
      </c>
      <c r="E970" s="61" t="s">
        <v>9579</v>
      </c>
      <c r="F970" s="62" t="s">
        <v>751</v>
      </c>
    </row>
    <row r="971" customFormat="false" ht="15" hidden="false" customHeight="false" outlineLevel="0" collapsed="false">
      <c r="A971" s="92" t="str">
        <f aca="false">Gov_Map!$H195&amp;""</f>
        <v>SRC_MOD_015</v>
      </c>
      <c r="B971" s="74" t="s">
        <v>9578</v>
      </c>
      <c r="C971" s="61" t="n">
        <v>195</v>
      </c>
      <c r="D971" s="61" t="s">
        <v>9579</v>
      </c>
      <c r="E971" s="61" t="s">
        <v>9579</v>
      </c>
      <c r="F971" s="62" t="s">
        <v>751</v>
      </c>
    </row>
    <row r="972" customFormat="false" ht="15" hidden="false" customHeight="false" outlineLevel="0" collapsed="false">
      <c r="A972" s="92" t="str">
        <f aca="false">Gov_Map!$H196&amp;""</f>
        <v>SRC_MOD_015</v>
      </c>
      <c r="B972" s="74" t="s">
        <v>9578</v>
      </c>
      <c r="C972" s="61" t="n">
        <v>196</v>
      </c>
      <c r="D972" s="61" t="s">
        <v>9579</v>
      </c>
      <c r="E972" s="61" t="s">
        <v>9579</v>
      </c>
      <c r="F972" s="62" t="s">
        <v>751</v>
      </c>
    </row>
    <row r="973" customFormat="false" ht="15" hidden="false" customHeight="false" outlineLevel="0" collapsed="false">
      <c r="A973" s="92" t="str">
        <f aca="false">Gov_Map!$H197&amp;""</f>
        <v>SRC_MOD_016</v>
      </c>
      <c r="B973" s="74" t="s">
        <v>9578</v>
      </c>
      <c r="C973" s="61" t="n">
        <v>197</v>
      </c>
      <c r="D973" s="61" t="s">
        <v>9579</v>
      </c>
      <c r="E973" s="61" t="s">
        <v>9579</v>
      </c>
      <c r="F973" s="62" t="s">
        <v>751</v>
      </c>
    </row>
    <row r="974" customFormat="false" ht="15" hidden="false" customHeight="false" outlineLevel="0" collapsed="false">
      <c r="A974" s="92" t="str">
        <f aca="false">Gov_Map!$H198&amp;""</f>
        <v>SRC_MOD_016</v>
      </c>
      <c r="B974" s="74" t="s">
        <v>9578</v>
      </c>
      <c r="C974" s="61" t="n">
        <v>198</v>
      </c>
      <c r="D974" s="61" t="s">
        <v>9579</v>
      </c>
      <c r="E974" s="61" t="s">
        <v>9579</v>
      </c>
      <c r="F974" s="62" t="s">
        <v>751</v>
      </c>
    </row>
    <row r="975" customFormat="false" ht="15" hidden="false" customHeight="false" outlineLevel="0" collapsed="false">
      <c r="A975" s="92" t="str">
        <f aca="false">Gov_Map!$H199&amp;""</f>
        <v>SRC_MOD_017</v>
      </c>
      <c r="B975" s="74" t="s">
        <v>9578</v>
      </c>
      <c r="C975" s="61" t="n">
        <v>199</v>
      </c>
      <c r="D975" s="61" t="s">
        <v>9579</v>
      </c>
      <c r="E975" s="61" t="s">
        <v>9579</v>
      </c>
      <c r="F975" s="62" t="s">
        <v>751</v>
      </c>
    </row>
    <row r="976" customFormat="false" ht="15" hidden="false" customHeight="false" outlineLevel="0" collapsed="false">
      <c r="A976" s="92" t="str">
        <f aca="false">Gov_Map!$H200&amp;""</f>
        <v>SRC_MOD_017</v>
      </c>
      <c r="B976" s="74" t="s">
        <v>9578</v>
      </c>
      <c r="C976" s="61" t="n">
        <v>200</v>
      </c>
      <c r="D976" s="61" t="s">
        <v>9579</v>
      </c>
      <c r="E976" s="61" t="s">
        <v>9579</v>
      </c>
      <c r="F976" s="62" t="s">
        <v>751</v>
      </c>
    </row>
    <row r="977" customFormat="false" ht="15" hidden="false" customHeight="false" outlineLevel="0" collapsed="false">
      <c r="A977" s="92" t="str">
        <f aca="false">Gov_Map!$H201&amp;""</f>
        <v>SRC_MOD_004</v>
      </c>
      <c r="B977" s="74" t="s">
        <v>9578</v>
      </c>
      <c r="C977" s="61" t="n">
        <v>201</v>
      </c>
      <c r="D977" s="61" t="s">
        <v>9579</v>
      </c>
      <c r="E977" s="61" t="s">
        <v>9579</v>
      </c>
      <c r="F977" s="62" t="s">
        <v>751</v>
      </c>
    </row>
    <row r="978" customFormat="false" ht="15" hidden="false" customHeight="false" outlineLevel="0" collapsed="false">
      <c r="A978" s="92" t="str">
        <f aca="false">Gov_Map!$H202&amp;""</f>
        <v>SRC_MOD_008</v>
      </c>
      <c r="B978" s="74" t="s">
        <v>9578</v>
      </c>
      <c r="C978" s="61" t="n">
        <v>202</v>
      </c>
      <c r="D978" s="61" t="s">
        <v>9579</v>
      </c>
      <c r="E978" s="61" t="s">
        <v>9579</v>
      </c>
      <c r="F978" s="62" t="s">
        <v>751</v>
      </c>
    </row>
    <row r="979" customFormat="false" ht="15" hidden="false" customHeight="false" outlineLevel="0" collapsed="false">
      <c r="A979" s="92" t="str">
        <f aca="false">Gov_Map!$H203&amp;""</f>
        <v>SRC_MOD_052</v>
      </c>
      <c r="B979" s="74" t="s">
        <v>9578</v>
      </c>
      <c r="C979" s="61" t="n">
        <v>203</v>
      </c>
      <c r="D979" s="61" t="s">
        <v>9579</v>
      </c>
      <c r="E979" s="61" t="s">
        <v>9579</v>
      </c>
      <c r="F979" s="62" t="s">
        <v>751</v>
      </c>
    </row>
    <row r="980" customFormat="false" ht="15" hidden="false" customHeight="false" outlineLevel="0" collapsed="false">
      <c r="A980" s="92" t="str">
        <f aca="false">Gov_Map!$H204&amp;""</f>
        <v>SRC_MOD_053</v>
      </c>
      <c r="B980" s="74" t="s">
        <v>9578</v>
      </c>
      <c r="C980" s="61" t="n">
        <v>204</v>
      </c>
      <c r="D980" s="61" t="s">
        <v>9579</v>
      </c>
      <c r="E980" s="61" t="s">
        <v>9579</v>
      </c>
      <c r="F980" s="62" t="s">
        <v>751</v>
      </c>
    </row>
    <row r="981" customFormat="false" ht="15" hidden="false" customHeight="false" outlineLevel="0" collapsed="false">
      <c r="A981" s="92" t="str">
        <f aca="false">Gov_Map!$H205&amp;""</f>
        <v>SRC_MOD_018</v>
      </c>
      <c r="B981" s="74" t="s">
        <v>9578</v>
      </c>
      <c r="C981" s="61" t="n">
        <v>205</v>
      </c>
      <c r="D981" s="61" t="s">
        <v>9579</v>
      </c>
      <c r="E981" s="61" t="s">
        <v>9579</v>
      </c>
      <c r="F981" s="62" t="s">
        <v>751</v>
      </c>
    </row>
    <row r="982" customFormat="false" ht="15" hidden="false" customHeight="false" outlineLevel="0" collapsed="false">
      <c r="A982" s="92" t="str">
        <f aca="false">Gov_Map!$H206&amp;""</f>
        <v>SRC_MOD_018</v>
      </c>
      <c r="B982" s="74" t="s">
        <v>9578</v>
      </c>
      <c r="C982" s="61" t="n">
        <v>206</v>
      </c>
      <c r="D982" s="61" t="s">
        <v>9579</v>
      </c>
      <c r="E982" s="61" t="s">
        <v>9579</v>
      </c>
      <c r="F982" s="62" t="s">
        <v>751</v>
      </c>
    </row>
    <row r="983" customFormat="false" ht="15" hidden="false" customHeight="false" outlineLevel="0" collapsed="false">
      <c r="A983" s="92" t="str">
        <f aca="false">Gov_Map!$H207&amp;""</f>
        <v>—</v>
      </c>
      <c r="B983" s="74" t="s">
        <v>9578</v>
      </c>
      <c r="C983" s="61" t="n">
        <v>207</v>
      </c>
      <c r="D983" s="61" t="s">
        <v>9579</v>
      </c>
      <c r="E983" s="61" t="s">
        <v>9579</v>
      </c>
      <c r="F983" s="62" t="s">
        <v>751</v>
      </c>
    </row>
    <row r="984" customFormat="false" ht="15" hidden="false" customHeight="false" outlineLevel="0" collapsed="false">
      <c r="A984" s="92" t="str">
        <f aca="false">Gov_Map!$H208&amp;""</f>
        <v>—</v>
      </c>
      <c r="B984" s="74" t="s">
        <v>9578</v>
      </c>
      <c r="C984" s="61" t="n">
        <v>208</v>
      </c>
      <c r="D984" s="61" t="s">
        <v>9579</v>
      </c>
      <c r="E984" s="61" t="s">
        <v>9579</v>
      </c>
      <c r="F984" s="62" t="s">
        <v>751</v>
      </c>
    </row>
    <row r="985" customFormat="false" ht="15" hidden="false" customHeight="false" outlineLevel="0" collapsed="false">
      <c r="A985" s="92" t="str">
        <f aca="false">Gov_Map!$H209&amp;""</f>
        <v>—</v>
      </c>
      <c r="B985" s="74" t="s">
        <v>9578</v>
      </c>
      <c r="C985" s="61" t="n">
        <v>209</v>
      </c>
      <c r="D985" s="61" t="s">
        <v>9579</v>
      </c>
      <c r="E985" s="61" t="s">
        <v>9579</v>
      </c>
      <c r="F985" s="62" t="s">
        <v>751</v>
      </c>
    </row>
    <row r="986" customFormat="false" ht="15" hidden="false" customHeight="false" outlineLevel="0" collapsed="false">
      <c r="A986" s="92" t="str">
        <f aca="false">Gov_Map!$H210&amp;""</f>
        <v>—</v>
      </c>
      <c r="B986" s="74" t="s">
        <v>9578</v>
      </c>
      <c r="C986" s="61" t="n">
        <v>210</v>
      </c>
      <c r="D986" s="61" t="s">
        <v>9579</v>
      </c>
      <c r="E986" s="61" t="s">
        <v>9579</v>
      </c>
      <c r="F986" s="62" t="s">
        <v>751</v>
      </c>
    </row>
    <row r="987" customFormat="false" ht="15" hidden="false" customHeight="false" outlineLevel="0" collapsed="false">
      <c r="A987" s="92" t="str">
        <f aca="false">Gov_Map!$H211&amp;""</f>
        <v>—</v>
      </c>
      <c r="B987" s="74" t="s">
        <v>9578</v>
      </c>
      <c r="C987" s="61" t="n">
        <v>211</v>
      </c>
      <c r="D987" s="61" t="s">
        <v>9579</v>
      </c>
      <c r="E987" s="61" t="s">
        <v>9579</v>
      </c>
      <c r="F987" s="62" t="s">
        <v>751</v>
      </c>
    </row>
    <row r="988" customFormat="false" ht="15" hidden="false" customHeight="false" outlineLevel="0" collapsed="false">
      <c r="A988" s="92" t="str">
        <f aca="false">Gov_Map!$H212&amp;""</f>
        <v>—</v>
      </c>
      <c r="B988" s="74" t="s">
        <v>9578</v>
      </c>
      <c r="C988" s="61" t="n">
        <v>212</v>
      </c>
      <c r="D988" s="61" t="s">
        <v>9579</v>
      </c>
      <c r="E988" s="61" t="s">
        <v>9579</v>
      </c>
      <c r="F988" s="62" t="s">
        <v>751</v>
      </c>
    </row>
    <row r="989" customFormat="false" ht="15" hidden="false" customHeight="false" outlineLevel="0" collapsed="false">
      <c r="A989" s="92" t="str">
        <f aca="false">Gov_Map!$H213&amp;""</f>
        <v>—</v>
      </c>
      <c r="B989" s="74" t="s">
        <v>9578</v>
      </c>
      <c r="C989" s="61" t="n">
        <v>213</v>
      </c>
      <c r="D989" s="61" t="s">
        <v>9579</v>
      </c>
      <c r="E989" s="61" t="s">
        <v>9579</v>
      </c>
      <c r="F989" s="62" t="s">
        <v>751</v>
      </c>
    </row>
    <row r="990" customFormat="false" ht="15" hidden="false" customHeight="false" outlineLevel="0" collapsed="false">
      <c r="A990" s="92" t="str">
        <f aca="false">Gov_Map!$H214&amp;""</f>
        <v>—</v>
      </c>
      <c r="B990" s="74" t="s">
        <v>9578</v>
      </c>
      <c r="C990" s="61" t="n">
        <v>214</v>
      </c>
      <c r="D990" s="61" t="s">
        <v>9579</v>
      </c>
      <c r="E990" s="61" t="s">
        <v>9579</v>
      </c>
      <c r="F990" s="62" t="s">
        <v>751</v>
      </c>
    </row>
    <row r="991" customFormat="false" ht="15" hidden="false" customHeight="false" outlineLevel="0" collapsed="false">
      <c r="A991" s="92" t="str">
        <f aca="false">Gov_Map!$H215&amp;""</f>
        <v>—</v>
      </c>
      <c r="B991" s="74" t="s">
        <v>9578</v>
      </c>
      <c r="C991" s="61" t="n">
        <v>215</v>
      </c>
      <c r="D991" s="61" t="s">
        <v>9579</v>
      </c>
      <c r="E991" s="61" t="s">
        <v>9579</v>
      </c>
      <c r="F991" s="62" t="s">
        <v>751</v>
      </c>
    </row>
    <row r="992" customFormat="false" ht="15" hidden="false" customHeight="false" outlineLevel="0" collapsed="false">
      <c r="A992" s="92" t="str">
        <f aca="false">Gov_Map!$H216&amp;""</f>
        <v>—</v>
      </c>
      <c r="B992" s="74" t="s">
        <v>9578</v>
      </c>
      <c r="C992" s="61" t="n">
        <v>216</v>
      </c>
      <c r="D992" s="61" t="s">
        <v>9579</v>
      </c>
      <c r="E992" s="61" t="s">
        <v>9579</v>
      </c>
      <c r="F992" s="62" t="s">
        <v>751</v>
      </c>
    </row>
    <row r="993" customFormat="false" ht="15" hidden="false" customHeight="false" outlineLevel="0" collapsed="false">
      <c r="A993" s="92" t="str">
        <f aca="false">Gov_Map!$H217&amp;""</f>
        <v>—</v>
      </c>
      <c r="B993" s="74" t="s">
        <v>9578</v>
      </c>
      <c r="C993" s="61" t="n">
        <v>217</v>
      </c>
      <c r="D993" s="61" t="s">
        <v>9579</v>
      </c>
      <c r="E993" s="61" t="s">
        <v>9579</v>
      </c>
      <c r="F993" s="62" t="s">
        <v>751</v>
      </c>
    </row>
    <row r="994" customFormat="false" ht="15" hidden="false" customHeight="false" outlineLevel="0" collapsed="false">
      <c r="A994" s="92" t="str">
        <f aca="false">Gov_Map!$H218&amp;""</f>
        <v>—</v>
      </c>
      <c r="B994" s="74" t="s">
        <v>9578</v>
      </c>
      <c r="C994" s="61" t="n">
        <v>218</v>
      </c>
      <c r="D994" s="61" t="s">
        <v>9579</v>
      </c>
      <c r="E994" s="61" t="s">
        <v>9579</v>
      </c>
      <c r="F994" s="62" t="s">
        <v>751</v>
      </c>
    </row>
    <row r="995" customFormat="false" ht="15" hidden="false" customHeight="false" outlineLevel="0" collapsed="false">
      <c r="A995" s="92" t="str">
        <f aca="false">Gov_Map!$H219&amp;""</f>
        <v>—</v>
      </c>
      <c r="B995" s="74" t="s">
        <v>9578</v>
      </c>
      <c r="C995" s="61" t="n">
        <v>219</v>
      </c>
      <c r="D995" s="61" t="s">
        <v>9579</v>
      </c>
      <c r="E995" s="61" t="s">
        <v>9579</v>
      </c>
      <c r="F995" s="62" t="s">
        <v>751</v>
      </c>
    </row>
    <row r="996" customFormat="false" ht="15" hidden="false" customHeight="false" outlineLevel="0" collapsed="false">
      <c r="A996" s="92" t="str">
        <f aca="false">Gov_Map!$H220&amp;""</f>
        <v>—</v>
      </c>
      <c r="B996" s="74" t="s">
        <v>9578</v>
      </c>
      <c r="C996" s="61" t="n">
        <v>220</v>
      </c>
      <c r="D996" s="61" t="s">
        <v>9579</v>
      </c>
      <c r="E996" s="61" t="s">
        <v>9579</v>
      </c>
      <c r="F996" s="62" t="s">
        <v>751</v>
      </c>
    </row>
    <row r="997" customFormat="false" ht="15" hidden="false" customHeight="false" outlineLevel="0" collapsed="false">
      <c r="A997" s="92" t="str">
        <f aca="false">Gov_Map!$H221&amp;""</f>
        <v>—</v>
      </c>
      <c r="B997" s="74" t="s">
        <v>9578</v>
      </c>
      <c r="C997" s="61" t="n">
        <v>221</v>
      </c>
      <c r="D997" s="61" t="s">
        <v>9579</v>
      </c>
      <c r="E997" s="61" t="s">
        <v>9579</v>
      </c>
      <c r="F997" s="62" t="s">
        <v>751</v>
      </c>
    </row>
    <row r="998" customFormat="false" ht="15" hidden="false" customHeight="false" outlineLevel="0" collapsed="false">
      <c r="A998" s="92" t="str">
        <f aca="false">Gov_Map!$H222&amp;""</f>
        <v>—</v>
      </c>
      <c r="B998" s="74" t="s">
        <v>9578</v>
      </c>
      <c r="C998" s="61" t="n">
        <v>222</v>
      </c>
      <c r="D998" s="61" t="s">
        <v>9579</v>
      </c>
      <c r="E998" s="61" t="s">
        <v>9579</v>
      </c>
      <c r="F998" s="62" t="s">
        <v>751</v>
      </c>
    </row>
    <row r="999" customFormat="false" ht="15" hidden="false" customHeight="false" outlineLevel="0" collapsed="false">
      <c r="A999" s="92" t="str">
        <f aca="false">Gov_Map!$H223&amp;""</f>
        <v>—</v>
      </c>
      <c r="B999" s="74" t="s">
        <v>9578</v>
      </c>
      <c r="C999" s="61" t="n">
        <v>223</v>
      </c>
      <c r="D999" s="61" t="s">
        <v>9579</v>
      </c>
      <c r="E999" s="61" t="s">
        <v>9579</v>
      </c>
      <c r="F999" s="62" t="s">
        <v>751</v>
      </c>
    </row>
    <row r="1000" customFormat="false" ht="15" hidden="false" customHeight="false" outlineLevel="0" collapsed="false">
      <c r="A1000" s="92" t="str">
        <f aca="false">Gov_Map!$H224&amp;""</f>
        <v>—</v>
      </c>
      <c r="B1000" s="74" t="s">
        <v>9578</v>
      </c>
      <c r="C1000" s="61" t="n">
        <v>224</v>
      </c>
      <c r="D1000" s="61" t="s">
        <v>9579</v>
      </c>
      <c r="E1000" s="61" t="s">
        <v>9579</v>
      </c>
      <c r="F1000" s="62" t="s">
        <v>751</v>
      </c>
    </row>
    <row r="1001" customFormat="false" ht="15" hidden="false" customHeight="false" outlineLevel="0" collapsed="false">
      <c r="A1001" s="92" t="str">
        <f aca="false">Gov_Map!$H225&amp;""</f>
        <v>—</v>
      </c>
      <c r="B1001" s="74" t="s">
        <v>9578</v>
      </c>
      <c r="C1001" s="61" t="n">
        <v>225</v>
      </c>
      <c r="D1001" s="61" t="s">
        <v>9579</v>
      </c>
      <c r="E1001" s="61" t="s">
        <v>9579</v>
      </c>
      <c r="F1001" s="62" t="s">
        <v>751</v>
      </c>
    </row>
    <row r="1002" customFormat="false" ht="15" hidden="false" customHeight="false" outlineLevel="0" collapsed="false">
      <c r="A1002" s="92" t="str">
        <f aca="false">Gov_Map!$H226&amp;""</f>
        <v>—</v>
      </c>
      <c r="B1002" s="74" t="s">
        <v>9578</v>
      </c>
      <c r="C1002" s="61" t="n">
        <v>226</v>
      </c>
      <c r="D1002" s="61" t="s">
        <v>9579</v>
      </c>
      <c r="E1002" s="61" t="s">
        <v>9579</v>
      </c>
      <c r="F1002" s="62" t="s">
        <v>751</v>
      </c>
    </row>
    <row r="1003" customFormat="false" ht="15" hidden="false" customHeight="false" outlineLevel="0" collapsed="false">
      <c r="A1003" s="92" t="str">
        <f aca="false">Gov_Map!$H227&amp;""</f>
        <v>—</v>
      </c>
      <c r="B1003" s="74" t="s">
        <v>9578</v>
      </c>
      <c r="C1003" s="61" t="n">
        <v>227</v>
      </c>
      <c r="D1003" s="61" t="s">
        <v>9579</v>
      </c>
      <c r="E1003" s="61" t="s">
        <v>9579</v>
      </c>
      <c r="F1003" s="62" t="s">
        <v>751</v>
      </c>
    </row>
    <row r="1004" customFormat="false" ht="15" hidden="false" customHeight="false" outlineLevel="0" collapsed="false">
      <c r="A1004" s="92" t="str">
        <f aca="false">Gov_Map!$H228&amp;""</f>
        <v>—</v>
      </c>
      <c r="B1004" s="74" t="s">
        <v>9578</v>
      </c>
      <c r="C1004" s="61" t="n">
        <v>228</v>
      </c>
      <c r="D1004" s="61" t="s">
        <v>9579</v>
      </c>
      <c r="E1004" s="61" t="s">
        <v>9579</v>
      </c>
      <c r="F1004" s="62" t="s">
        <v>751</v>
      </c>
    </row>
    <row r="1005" customFormat="false" ht="15" hidden="false" customHeight="false" outlineLevel="0" collapsed="false">
      <c r="A1005" s="92" t="str">
        <f aca="false">Gov_Map!$H229&amp;""</f>
        <v>—</v>
      </c>
      <c r="B1005" s="74" t="s">
        <v>9578</v>
      </c>
      <c r="C1005" s="61" t="n">
        <v>229</v>
      </c>
      <c r="D1005" s="61" t="s">
        <v>9579</v>
      </c>
      <c r="E1005" s="61" t="s">
        <v>9579</v>
      </c>
      <c r="F1005" s="62" t="s">
        <v>751</v>
      </c>
    </row>
    <row r="1006" customFormat="false" ht="15" hidden="false" customHeight="false" outlineLevel="0" collapsed="false">
      <c r="A1006" s="92" t="str">
        <f aca="false">Gov_Map!$H230&amp;""</f>
        <v>—</v>
      </c>
      <c r="B1006" s="74" t="s">
        <v>9578</v>
      </c>
      <c r="C1006" s="61" t="n">
        <v>230</v>
      </c>
      <c r="D1006" s="61" t="s">
        <v>9579</v>
      </c>
      <c r="E1006" s="61" t="s">
        <v>9579</v>
      </c>
      <c r="F1006" s="62" t="s">
        <v>751</v>
      </c>
    </row>
    <row r="1007" customFormat="false" ht="15" hidden="false" customHeight="false" outlineLevel="0" collapsed="false">
      <c r="A1007" s="92" t="str">
        <f aca="false">Gov_Map!$H231&amp;""</f>
        <v>SRC_PERF_035</v>
      </c>
      <c r="B1007" s="74" t="s">
        <v>9578</v>
      </c>
      <c r="C1007" s="61" t="n">
        <v>231</v>
      </c>
      <c r="D1007" s="61" t="s">
        <v>9579</v>
      </c>
      <c r="E1007" s="61" t="s">
        <v>9579</v>
      </c>
      <c r="F1007" s="62" t="s">
        <v>751</v>
      </c>
    </row>
    <row r="1008" customFormat="false" ht="15" hidden="false" customHeight="false" outlineLevel="0" collapsed="false">
      <c r="A1008" s="92" t="str">
        <f aca="false">Gov_Map!$H232&amp;""</f>
        <v>SRC_PERF_005</v>
      </c>
      <c r="B1008" s="74" t="s">
        <v>9578</v>
      </c>
      <c r="C1008" s="61" t="n">
        <v>232</v>
      </c>
      <c r="D1008" s="61" t="s">
        <v>9579</v>
      </c>
      <c r="E1008" s="61" t="s">
        <v>9579</v>
      </c>
      <c r="F1008" s="62" t="s">
        <v>751</v>
      </c>
    </row>
    <row r="1009" customFormat="false" ht="15" hidden="false" customHeight="false" outlineLevel="0" collapsed="false">
      <c r="A1009" s="92" t="str">
        <f aca="false">Gov_Map!$H233&amp;""</f>
        <v>—</v>
      </c>
      <c r="B1009" s="74" t="s">
        <v>9578</v>
      </c>
      <c r="C1009" s="61" t="n">
        <v>233</v>
      </c>
      <c r="D1009" s="61" t="s">
        <v>9579</v>
      </c>
      <c r="E1009" s="61" t="s">
        <v>9579</v>
      </c>
      <c r="F1009" s="62" t="s">
        <v>751</v>
      </c>
    </row>
    <row r="1010" customFormat="false" ht="15" hidden="false" customHeight="false" outlineLevel="0" collapsed="false">
      <c r="A1010" s="92" t="str">
        <f aca="false">Gov_Map!$H234&amp;""</f>
        <v>—</v>
      </c>
      <c r="B1010" s="74" t="s">
        <v>9578</v>
      </c>
      <c r="C1010" s="61" t="n">
        <v>234</v>
      </c>
      <c r="D1010" s="61" t="s">
        <v>9579</v>
      </c>
      <c r="E1010" s="61" t="s">
        <v>9579</v>
      </c>
      <c r="F1010" s="62" t="s">
        <v>751</v>
      </c>
    </row>
    <row r="1011" customFormat="false" ht="15" hidden="false" customHeight="false" outlineLevel="0" collapsed="false">
      <c r="A1011" s="92" t="str">
        <f aca="false">Gov_Map!$H235&amp;""</f>
        <v>—</v>
      </c>
      <c r="B1011" s="74" t="s">
        <v>9578</v>
      </c>
      <c r="C1011" s="61" t="n">
        <v>235</v>
      </c>
      <c r="D1011" s="61" t="s">
        <v>9579</v>
      </c>
      <c r="E1011" s="61" t="s">
        <v>9579</v>
      </c>
      <c r="F1011" s="62" t="s">
        <v>751</v>
      </c>
    </row>
    <row r="1012" customFormat="false" ht="15" hidden="false" customHeight="false" outlineLevel="0" collapsed="false">
      <c r="A1012" s="92" t="str">
        <f aca="false">Gov_Map!$H236&amp;""</f>
        <v>—</v>
      </c>
      <c r="B1012" s="74" t="s">
        <v>9578</v>
      </c>
      <c r="C1012" s="61" t="n">
        <v>236</v>
      </c>
      <c r="D1012" s="61" t="s">
        <v>9579</v>
      </c>
      <c r="E1012" s="61" t="s">
        <v>9579</v>
      </c>
      <c r="F1012" s="62" t="s">
        <v>751</v>
      </c>
    </row>
    <row r="1013" customFormat="false" ht="15" hidden="false" customHeight="false" outlineLevel="0" collapsed="false">
      <c r="A1013" s="92" t="str">
        <f aca="false">Gov_Map!$H237&amp;""</f>
        <v>—</v>
      </c>
      <c r="B1013" s="74" t="s">
        <v>9578</v>
      </c>
      <c r="C1013" s="61" t="n">
        <v>237</v>
      </c>
      <c r="D1013" s="61" t="s">
        <v>9579</v>
      </c>
      <c r="E1013" s="61" t="s">
        <v>9579</v>
      </c>
      <c r="F1013" s="62" t="s">
        <v>751</v>
      </c>
    </row>
    <row r="1014" customFormat="false" ht="15" hidden="false" customHeight="false" outlineLevel="0" collapsed="false">
      <c r="A1014" s="92" t="str">
        <f aca="false">Gov_Map!$H238&amp;""</f>
        <v>—</v>
      </c>
      <c r="B1014" s="74" t="s">
        <v>9578</v>
      </c>
      <c r="C1014" s="61" t="n">
        <v>238</v>
      </c>
      <c r="D1014" s="61" t="s">
        <v>9579</v>
      </c>
      <c r="E1014" s="61" t="s">
        <v>9579</v>
      </c>
      <c r="F1014" s="62" t="s">
        <v>751</v>
      </c>
    </row>
    <row r="1015" customFormat="false" ht="15" hidden="false" customHeight="false" outlineLevel="0" collapsed="false">
      <c r="A1015" s="92" t="str">
        <f aca="false">Gov_Map!$H239&amp;""</f>
        <v>—</v>
      </c>
      <c r="B1015" s="74" t="s">
        <v>9578</v>
      </c>
      <c r="C1015" s="61" t="n">
        <v>239</v>
      </c>
      <c r="D1015" s="61" t="s">
        <v>9579</v>
      </c>
      <c r="E1015" s="61" t="s">
        <v>9579</v>
      </c>
      <c r="F1015" s="62" t="s">
        <v>751</v>
      </c>
    </row>
    <row r="1016" customFormat="false" ht="15" hidden="false" customHeight="false" outlineLevel="0" collapsed="false">
      <c r="A1016" s="92" t="str">
        <f aca="false">Gov_Map!$H240&amp;""</f>
        <v>—</v>
      </c>
      <c r="B1016" s="74" t="s">
        <v>9578</v>
      </c>
      <c r="C1016" s="61" t="n">
        <v>240</v>
      </c>
      <c r="D1016" s="61" t="s">
        <v>9579</v>
      </c>
      <c r="E1016" s="61" t="s">
        <v>9579</v>
      </c>
      <c r="F1016" s="62" t="s">
        <v>751</v>
      </c>
    </row>
    <row r="1017" customFormat="false" ht="15" hidden="false" customHeight="false" outlineLevel="0" collapsed="false">
      <c r="A1017" s="92" t="str">
        <f aca="false">Gov_Map!$H241&amp;""</f>
        <v>—</v>
      </c>
      <c r="B1017" s="74" t="s">
        <v>9578</v>
      </c>
      <c r="C1017" s="61" t="n">
        <v>241</v>
      </c>
      <c r="D1017" s="61" t="s">
        <v>9579</v>
      </c>
      <c r="E1017" s="61" t="s">
        <v>9579</v>
      </c>
      <c r="F1017" s="62" t="s">
        <v>751</v>
      </c>
    </row>
    <row r="1018" customFormat="false" ht="15" hidden="false" customHeight="false" outlineLevel="0" collapsed="false">
      <c r="A1018" s="92" t="str">
        <f aca="false">Gov_Map!$H242&amp;""</f>
        <v>—</v>
      </c>
      <c r="B1018" s="74" t="s">
        <v>9578</v>
      </c>
      <c r="C1018" s="61" t="n">
        <v>242</v>
      </c>
      <c r="D1018" s="61" t="s">
        <v>9579</v>
      </c>
      <c r="E1018" s="61" t="s">
        <v>9579</v>
      </c>
      <c r="F1018" s="62" t="s">
        <v>751</v>
      </c>
    </row>
    <row r="1019" customFormat="false" ht="15" hidden="false" customHeight="false" outlineLevel="0" collapsed="false">
      <c r="A1019" s="92" t="str">
        <f aca="false">Gov_Map!$H243&amp;""</f>
        <v>SRC_PERF_066</v>
      </c>
      <c r="B1019" s="74" t="s">
        <v>9578</v>
      </c>
      <c r="C1019" s="61" t="n">
        <v>243</v>
      </c>
      <c r="D1019" s="61" t="s">
        <v>9579</v>
      </c>
      <c r="E1019" s="61" t="s">
        <v>9579</v>
      </c>
      <c r="F1019" s="62" t="s">
        <v>751</v>
      </c>
    </row>
    <row r="1020" customFormat="false" ht="15" hidden="false" customHeight="false" outlineLevel="0" collapsed="false">
      <c r="A1020" s="92" t="str">
        <f aca="false">Gov_Map!$H244&amp;""</f>
        <v>SRC_PERF_068</v>
      </c>
      <c r="B1020" s="74" t="s">
        <v>9578</v>
      </c>
      <c r="C1020" s="61" t="n">
        <v>244</v>
      </c>
      <c r="D1020" s="61" t="s">
        <v>9579</v>
      </c>
      <c r="E1020" s="61" t="s">
        <v>9579</v>
      </c>
      <c r="F1020" s="62" t="s">
        <v>751</v>
      </c>
    </row>
    <row r="1021" customFormat="false" ht="15" hidden="false" customHeight="false" outlineLevel="0" collapsed="false">
      <c r="A1021" s="92" t="str">
        <f aca="false">Gov_Map!$H245&amp;""</f>
        <v>SRC_PERF_070</v>
      </c>
      <c r="B1021" s="74" t="s">
        <v>9578</v>
      </c>
      <c r="C1021" s="61" t="n">
        <v>245</v>
      </c>
      <c r="D1021" s="61" t="s">
        <v>9579</v>
      </c>
      <c r="E1021" s="61" t="s">
        <v>9579</v>
      </c>
      <c r="F1021" s="62" t="s">
        <v>751</v>
      </c>
    </row>
    <row r="1022" customFormat="false" ht="15" hidden="false" customHeight="false" outlineLevel="0" collapsed="false">
      <c r="A1022" s="92" t="str">
        <f aca="false">Gov_Map!$H246&amp;""</f>
        <v>—</v>
      </c>
      <c r="B1022" s="74" t="s">
        <v>9578</v>
      </c>
      <c r="C1022" s="61" t="n">
        <v>246</v>
      </c>
      <c r="D1022" s="61" t="s">
        <v>9579</v>
      </c>
      <c r="E1022" s="61" t="s">
        <v>9579</v>
      </c>
      <c r="F1022" s="62" t="s">
        <v>751</v>
      </c>
    </row>
    <row r="1023" customFormat="false" ht="15" hidden="false" customHeight="false" outlineLevel="0" collapsed="false">
      <c r="A1023" s="92" t="str">
        <f aca="false">Gov_Map!$H247&amp;""</f>
        <v>—</v>
      </c>
      <c r="B1023" s="74" t="s">
        <v>9578</v>
      </c>
      <c r="C1023" s="61" t="n">
        <v>247</v>
      </c>
      <c r="D1023" s="61" t="s">
        <v>9579</v>
      </c>
      <c r="E1023" s="61" t="s">
        <v>9579</v>
      </c>
      <c r="F1023" s="62" t="s">
        <v>751</v>
      </c>
    </row>
    <row r="1024" customFormat="false" ht="15" hidden="false" customHeight="false" outlineLevel="0" collapsed="false">
      <c r="A1024" s="92" t="str">
        <f aca="false">Gov_Map!$H248&amp;""</f>
        <v>—</v>
      </c>
      <c r="B1024" s="74" t="s">
        <v>9578</v>
      </c>
      <c r="C1024" s="61" t="n">
        <v>248</v>
      </c>
      <c r="D1024" s="61" t="s">
        <v>9579</v>
      </c>
      <c r="E1024" s="61" t="s">
        <v>9579</v>
      </c>
      <c r="F1024" s="62" t="s">
        <v>751</v>
      </c>
    </row>
    <row r="1025" customFormat="false" ht="15" hidden="false" customHeight="false" outlineLevel="0" collapsed="false">
      <c r="A1025" s="92" t="str">
        <f aca="false">Gov_Map!$H249&amp;""</f>
        <v>—</v>
      </c>
      <c r="B1025" s="74" t="s">
        <v>9578</v>
      </c>
      <c r="C1025" s="61" t="n">
        <v>249</v>
      </c>
      <c r="D1025" s="61" t="s">
        <v>9579</v>
      </c>
      <c r="E1025" s="61" t="s">
        <v>9579</v>
      </c>
      <c r="F1025" s="62" t="s">
        <v>751</v>
      </c>
    </row>
    <row r="1026" customFormat="false" ht="15" hidden="false" customHeight="false" outlineLevel="0" collapsed="false">
      <c r="A1026" s="92" t="str">
        <f aca="false">Gov_Map!$H250&amp;""</f>
        <v>—</v>
      </c>
      <c r="B1026" s="74" t="s">
        <v>9578</v>
      </c>
      <c r="C1026" s="61" t="n">
        <v>250</v>
      </c>
      <c r="D1026" s="61" t="s">
        <v>9579</v>
      </c>
      <c r="E1026" s="61" t="s">
        <v>9579</v>
      </c>
      <c r="F1026" s="62" t="s">
        <v>751</v>
      </c>
    </row>
    <row r="1027" customFormat="false" ht="15" hidden="false" customHeight="false" outlineLevel="0" collapsed="false">
      <c r="A1027" s="92" t="str">
        <f aca="false">Gov_Map!$H251&amp;""</f>
        <v>—</v>
      </c>
      <c r="B1027" s="74" t="s">
        <v>9578</v>
      </c>
      <c r="C1027" s="61" t="n">
        <v>251</v>
      </c>
      <c r="D1027" s="61" t="s">
        <v>9579</v>
      </c>
      <c r="E1027" s="61" t="s">
        <v>9579</v>
      </c>
      <c r="F1027" s="62" t="s">
        <v>751</v>
      </c>
    </row>
    <row r="1028" customFormat="false" ht="15" hidden="false" customHeight="false" outlineLevel="0" collapsed="false">
      <c r="A1028" s="92" t="str">
        <f aca="false">Gov_Map!$H252&amp;""</f>
        <v>—</v>
      </c>
      <c r="B1028" s="74" t="s">
        <v>9578</v>
      </c>
      <c r="C1028" s="61" t="n">
        <v>252</v>
      </c>
      <c r="D1028" s="61" t="s">
        <v>9579</v>
      </c>
      <c r="E1028" s="61" t="s">
        <v>9579</v>
      </c>
      <c r="F1028" s="62" t="s">
        <v>751</v>
      </c>
    </row>
    <row r="1029" customFormat="false" ht="15" hidden="false" customHeight="false" outlineLevel="0" collapsed="false">
      <c r="A1029" s="92" t="str">
        <f aca="false">Gov_Map!$H253&amp;""</f>
        <v>—</v>
      </c>
      <c r="B1029" s="74" t="s">
        <v>9578</v>
      </c>
      <c r="C1029" s="61" t="n">
        <v>253</v>
      </c>
      <c r="D1029" s="61" t="s">
        <v>9579</v>
      </c>
      <c r="E1029" s="61" t="s">
        <v>9579</v>
      </c>
      <c r="F1029" s="62" t="s">
        <v>751</v>
      </c>
    </row>
    <row r="1030" customFormat="false" ht="15" hidden="false" customHeight="false" outlineLevel="0" collapsed="false">
      <c r="A1030" s="92" t="str">
        <f aca="false">Gov_Map!$H254&amp;""</f>
        <v>—</v>
      </c>
      <c r="B1030" s="74" t="s">
        <v>9578</v>
      </c>
      <c r="C1030" s="61" t="n">
        <v>254</v>
      </c>
      <c r="D1030" s="61" t="s">
        <v>9579</v>
      </c>
      <c r="E1030" s="61" t="s">
        <v>9579</v>
      </c>
      <c r="F1030" s="62" t="s">
        <v>751</v>
      </c>
    </row>
    <row r="1031" customFormat="false" ht="15" hidden="false" customHeight="false" outlineLevel="0" collapsed="false">
      <c r="A1031" s="92" t="str">
        <f aca="false">Gov_Map!$H255&amp;""</f>
        <v>—</v>
      </c>
      <c r="B1031" s="74" t="s">
        <v>9578</v>
      </c>
      <c r="C1031" s="61" t="n">
        <v>255</v>
      </c>
      <c r="D1031" s="61" t="s">
        <v>9579</v>
      </c>
      <c r="E1031" s="61" t="s">
        <v>9579</v>
      </c>
      <c r="F1031" s="62" t="s">
        <v>751</v>
      </c>
    </row>
    <row r="1032" customFormat="false" ht="15" hidden="false" customHeight="false" outlineLevel="0" collapsed="false">
      <c r="A1032" s="92" t="str">
        <f aca="false">Gov_Map!$H256&amp;""</f>
        <v>—</v>
      </c>
      <c r="B1032" s="74" t="s">
        <v>9578</v>
      </c>
      <c r="C1032" s="61" t="n">
        <v>256</v>
      </c>
      <c r="D1032" s="61" t="s">
        <v>9579</v>
      </c>
      <c r="E1032" s="61" t="s">
        <v>9579</v>
      </c>
      <c r="F1032" s="62" t="s">
        <v>751</v>
      </c>
    </row>
    <row r="1033" customFormat="false" ht="15" hidden="false" customHeight="false" outlineLevel="0" collapsed="false">
      <c r="A1033" s="92" t="str">
        <f aca="false">Gov_Map!$H257&amp;""</f>
        <v>—</v>
      </c>
      <c r="B1033" s="74" t="s">
        <v>9578</v>
      </c>
      <c r="C1033" s="61" t="n">
        <v>257</v>
      </c>
      <c r="D1033" s="61" t="s">
        <v>9579</v>
      </c>
      <c r="E1033" s="61" t="s">
        <v>9579</v>
      </c>
      <c r="F1033" s="62" t="s">
        <v>751</v>
      </c>
    </row>
    <row r="1034" customFormat="false" ht="15" hidden="false" customHeight="false" outlineLevel="0" collapsed="false">
      <c r="A1034" s="92" t="str">
        <f aca="false">Gov_Map!$H258&amp;""</f>
        <v>—</v>
      </c>
      <c r="B1034" s="74" t="s">
        <v>9578</v>
      </c>
      <c r="C1034" s="61" t="n">
        <v>258</v>
      </c>
      <c r="D1034" s="61" t="s">
        <v>9579</v>
      </c>
      <c r="E1034" s="61" t="s">
        <v>9579</v>
      </c>
      <c r="F1034" s="62" t="s">
        <v>751</v>
      </c>
    </row>
    <row r="1035" customFormat="false" ht="15" hidden="false" customHeight="false" outlineLevel="0" collapsed="false">
      <c r="A1035" s="92" t="str">
        <f aca="false">Gov_Map!$H259&amp;""</f>
        <v>—</v>
      </c>
      <c r="B1035" s="74" t="s">
        <v>9578</v>
      </c>
      <c r="C1035" s="61" t="n">
        <v>259</v>
      </c>
      <c r="D1035" s="61" t="s">
        <v>9579</v>
      </c>
      <c r="E1035" s="61" t="s">
        <v>9579</v>
      </c>
      <c r="F1035" s="62" t="s">
        <v>751</v>
      </c>
    </row>
    <row r="1036" customFormat="false" ht="15" hidden="false" customHeight="false" outlineLevel="0" collapsed="false">
      <c r="A1036" s="92" t="str">
        <f aca="false">Gov_Map!$H260&amp;""</f>
        <v>—</v>
      </c>
      <c r="B1036" s="74" t="s">
        <v>9578</v>
      </c>
      <c r="C1036" s="61" t="n">
        <v>260</v>
      </c>
      <c r="D1036" s="61" t="s">
        <v>9579</v>
      </c>
      <c r="E1036" s="61" t="s">
        <v>9579</v>
      </c>
      <c r="F1036" s="62" t="s">
        <v>751</v>
      </c>
    </row>
    <row r="1037" customFormat="false" ht="15" hidden="false" customHeight="false" outlineLevel="0" collapsed="false">
      <c r="A1037" s="92" t="str">
        <f aca="false">Gov_Map!$H261&amp;""</f>
        <v>—</v>
      </c>
      <c r="B1037" s="74" t="s">
        <v>9578</v>
      </c>
      <c r="C1037" s="61" t="n">
        <v>261</v>
      </c>
      <c r="D1037" s="61" t="s">
        <v>9579</v>
      </c>
      <c r="E1037" s="61" t="s">
        <v>9579</v>
      </c>
      <c r="F1037" s="62" t="s">
        <v>751</v>
      </c>
    </row>
    <row r="1038" customFormat="false" ht="15" hidden="false" customHeight="false" outlineLevel="0" collapsed="false">
      <c r="A1038" s="92" t="str">
        <f aca="false">Gov_Map!$H262&amp;""</f>
        <v>—</v>
      </c>
      <c r="B1038" s="74" t="s">
        <v>9578</v>
      </c>
      <c r="C1038" s="61" t="n">
        <v>262</v>
      </c>
      <c r="D1038" s="61" t="s">
        <v>9579</v>
      </c>
      <c r="E1038" s="61" t="s">
        <v>9579</v>
      </c>
      <c r="F1038" s="62" t="s">
        <v>751</v>
      </c>
    </row>
    <row r="1039" customFormat="false" ht="15" hidden="false" customHeight="false" outlineLevel="0" collapsed="false">
      <c r="A1039" s="92" t="str">
        <f aca="false">Gov_Map!$H263&amp;""</f>
        <v>—</v>
      </c>
      <c r="B1039" s="74" t="s">
        <v>9578</v>
      </c>
      <c r="C1039" s="61" t="n">
        <v>263</v>
      </c>
      <c r="D1039" s="61" t="s">
        <v>9579</v>
      </c>
      <c r="E1039" s="61" t="s">
        <v>9579</v>
      </c>
      <c r="F1039" s="62" t="s">
        <v>751</v>
      </c>
    </row>
    <row r="1040" customFormat="false" ht="15" hidden="false" customHeight="false" outlineLevel="0" collapsed="false">
      <c r="A1040" s="92" t="str">
        <f aca="false">Gov_Map!$H264&amp;""</f>
        <v>—</v>
      </c>
      <c r="B1040" s="74" t="s">
        <v>9578</v>
      </c>
      <c r="C1040" s="61" t="n">
        <v>264</v>
      </c>
      <c r="D1040" s="61" t="s">
        <v>9579</v>
      </c>
      <c r="E1040" s="61" t="s">
        <v>9579</v>
      </c>
      <c r="F1040" s="62" t="s">
        <v>751</v>
      </c>
    </row>
    <row r="1041" customFormat="false" ht="15" hidden="false" customHeight="false" outlineLevel="0" collapsed="false">
      <c r="A1041" s="92" t="str">
        <f aca="false">Gov_Map!$H265&amp;""</f>
        <v>—</v>
      </c>
      <c r="B1041" s="74" t="s">
        <v>9578</v>
      </c>
      <c r="C1041" s="61" t="n">
        <v>265</v>
      </c>
      <c r="D1041" s="61" t="s">
        <v>9579</v>
      </c>
      <c r="E1041" s="61" t="s">
        <v>9579</v>
      </c>
      <c r="F1041" s="62" t="s">
        <v>751</v>
      </c>
    </row>
    <row r="1042" customFormat="false" ht="15" hidden="false" customHeight="false" outlineLevel="0" collapsed="false">
      <c r="A1042" s="92" t="str">
        <f aca="false">Gov_Map!$H266&amp;""</f>
        <v>—</v>
      </c>
      <c r="B1042" s="74" t="s">
        <v>9578</v>
      </c>
      <c r="C1042" s="61" t="n">
        <v>266</v>
      </c>
      <c r="D1042" s="61" t="s">
        <v>9579</v>
      </c>
      <c r="E1042" s="61" t="s">
        <v>9579</v>
      </c>
      <c r="F1042" s="62" t="s">
        <v>751</v>
      </c>
    </row>
    <row r="1043" customFormat="false" ht="15" hidden="false" customHeight="false" outlineLevel="0" collapsed="false">
      <c r="A1043" s="92" t="str">
        <f aca="false">Gov_Map!$H267&amp;""</f>
        <v>—</v>
      </c>
      <c r="B1043" s="74" t="s">
        <v>9578</v>
      </c>
      <c r="C1043" s="61" t="n">
        <v>267</v>
      </c>
      <c r="D1043" s="61" t="s">
        <v>9579</v>
      </c>
      <c r="E1043" s="61" t="s">
        <v>9579</v>
      </c>
      <c r="F1043" s="62" t="s">
        <v>751</v>
      </c>
    </row>
    <row r="1044" customFormat="false" ht="15" hidden="false" customHeight="false" outlineLevel="0" collapsed="false">
      <c r="A1044" s="92" t="str">
        <f aca="false">Gov_Map!$H268&amp;""</f>
        <v>—</v>
      </c>
      <c r="B1044" s="74" t="s">
        <v>9578</v>
      </c>
      <c r="C1044" s="61" t="n">
        <v>268</v>
      </c>
      <c r="D1044" s="61" t="s">
        <v>9579</v>
      </c>
      <c r="E1044" s="61" t="s">
        <v>9579</v>
      </c>
      <c r="F1044" s="62" t="s">
        <v>751</v>
      </c>
    </row>
    <row r="1045" customFormat="false" ht="15" hidden="false" customHeight="false" outlineLevel="0" collapsed="false">
      <c r="A1045" s="92" t="str">
        <f aca="false">Gov_Map!$H269&amp;""</f>
        <v>—</v>
      </c>
      <c r="B1045" s="74" t="s">
        <v>9578</v>
      </c>
      <c r="C1045" s="61" t="n">
        <v>269</v>
      </c>
      <c r="D1045" s="61" t="s">
        <v>9579</v>
      </c>
      <c r="E1045" s="61" t="s">
        <v>9579</v>
      </c>
      <c r="F1045" s="62" t="s">
        <v>751</v>
      </c>
    </row>
    <row r="1046" customFormat="false" ht="15" hidden="false" customHeight="false" outlineLevel="0" collapsed="false">
      <c r="A1046" s="92" t="str">
        <f aca="false">Gov_Map!$H270&amp;""</f>
        <v>—</v>
      </c>
      <c r="B1046" s="74" t="s">
        <v>9578</v>
      </c>
      <c r="C1046" s="61" t="n">
        <v>270</v>
      </c>
      <c r="D1046" s="61" t="s">
        <v>9579</v>
      </c>
      <c r="E1046" s="61" t="s">
        <v>9579</v>
      </c>
      <c r="F1046" s="62" t="s">
        <v>751</v>
      </c>
    </row>
    <row r="1047" customFormat="false" ht="15" hidden="false" customHeight="false" outlineLevel="0" collapsed="false">
      <c r="A1047" s="92" t="str">
        <f aca="false">Gov_Map!$H271&amp;""</f>
        <v>—</v>
      </c>
      <c r="B1047" s="74" t="s">
        <v>9578</v>
      </c>
      <c r="C1047" s="61" t="n">
        <v>271</v>
      </c>
      <c r="D1047" s="61" t="s">
        <v>9579</v>
      </c>
      <c r="E1047" s="61" t="s">
        <v>9579</v>
      </c>
      <c r="F1047" s="62" t="s">
        <v>751</v>
      </c>
    </row>
    <row r="1048" customFormat="false" ht="15" hidden="false" customHeight="false" outlineLevel="0" collapsed="false">
      <c r="A1048" s="92" t="str">
        <f aca="false">Gov_Map!$H272&amp;""</f>
        <v>—</v>
      </c>
      <c r="B1048" s="74" t="s">
        <v>9578</v>
      </c>
      <c r="C1048" s="61" t="n">
        <v>272</v>
      </c>
      <c r="D1048" s="61" t="s">
        <v>9579</v>
      </c>
      <c r="E1048" s="61" t="s">
        <v>9579</v>
      </c>
      <c r="F1048" s="62" t="s">
        <v>751</v>
      </c>
    </row>
    <row r="1049" customFormat="false" ht="15" hidden="false" customHeight="false" outlineLevel="0" collapsed="false">
      <c r="A1049" s="92" t="str">
        <f aca="false">Gov_Map!$H273&amp;""</f>
        <v>—</v>
      </c>
      <c r="B1049" s="74" t="s">
        <v>9578</v>
      </c>
      <c r="C1049" s="61" t="n">
        <v>273</v>
      </c>
      <c r="D1049" s="61" t="s">
        <v>9579</v>
      </c>
      <c r="E1049" s="61" t="s">
        <v>9579</v>
      </c>
      <c r="F1049" s="62" t="s">
        <v>751</v>
      </c>
    </row>
    <row r="1050" customFormat="false" ht="15" hidden="false" customHeight="false" outlineLevel="0" collapsed="false">
      <c r="A1050" s="92" t="str">
        <f aca="false">Gov_Map!$H274&amp;""</f>
        <v>—</v>
      </c>
      <c r="B1050" s="74" t="s">
        <v>9578</v>
      </c>
      <c r="C1050" s="61" t="n">
        <v>274</v>
      </c>
      <c r="D1050" s="61" t="s">
        <v>9579</v>
      </c>
      <c r="E1050" s="61" t="s">
        <v>9579</v>
      </c>
      <c r="F1050" s="62" t="s">
        <v>751</v>
      </c>
    </row>
    <row r="1051" customFormat="false" ht="15" hidden="false" customHeight="false" outlineLevel="0" collapsed="false">
      <c r="A1051" s="92" t="str">
        <f aca="false">Gov_Map!$H275&amp;""</f>
        <v>—</v>
      </c>
      <c r="B1051" s="74" t="s">
        <v>9578</v>
      </c>
      <c r="C1051" s="61" t="n">
        <v>275</v>
      </c>
      <c r="D1051" s="61" t="s">
        <v>9579</v>
      </c>
      <c r="E1051" s="61" t="s">
        <v>9579</v>
      </c>
      <c r="F1051" s="62" t="s">
        <v>751</v>
      </c>
    </row>
    <row r="1052" customFormat="false" ht="15" hidden="false" customHeight="false" outlineLevel="0" collapsed="false">
      <c r="A1052" s="92" t="str">
        <f aca="false">Gov_Map!$H276&amp;""</f>
        <v>—</v>
      </c>
      <c r="B1052" s="74" t="s">
        <v>9578</v>
      </c>
      <c r="C1052" s="61" t="n">
        <v>276</v>
      </c>
      <c r="D1052" s="61" t="s">
        <v>9579</v>
      </c>
      <c r="E1052" s="61" t="s">
        <v>9579</v>
      </c>
      <c r="F1052" s="62" t="s">
        <v>751</v>
      </c>
    </row>
    <row r="1053" customFormat="false" ht="15" hidden="false" customHeight="false" outlineLevel="0" collapsed="false">
      <c r="A1053" s="92" t="str">
        <f aca="false">Gov_Map!$H277&amp;""</f>
        <v>—</v>
      </c>
      <c r="B1053" s="74" t="s">
        <v>9578</v>
      </c>
      <c r="C1053" s="61" t="n">
        <v>277</v>
      </c>
      <c r="D1053" s="61" t="s">
        <v>9579</v>
      </c>
      <c r="E1053" s="61" t="s">
        <v>9579</v>
      </c>
      <c r="F1053" s="62" t="s">
        <v>751</v>
      </c>
    </row>
    <row r="1054" customFormat="false" ht="15" hidden="false" customHeight="false" outlineLevel="0" collapsed="false">
      <c r="A1054" s="92" t="str">
        <f aca="false">Gov_Map!$H278&amp;""</f>
        <v>—</v>
      </c>
      <c r="B1054" s="74" t="s">
        <v>9578</v>
      </c>
      <c r="C1054" s="61" t="n">
        <v>278</v>
      </c>
      <c r="D1054" s="61" t="s">
        <v>9579</v>
      </c>
      <c r="E1054" s="61" t="s">
        <v>9579</v>
      </c>
      <c r="F1054" s="62" t="s">
        <v>751</v>
      </c>
    </row>
    <row r="1055" customFormat="false" ht="15" hidden="false" customHeight="false" outlineLevel="0" collapsed="false">
      <c r="A1055" s="92" t="str">
        <f aca="false">Gov_Map!$H279&amp;""</f>
        <v>—</v>
      </c>
      <c r="B1055" s="74" t="s">
        <v>9578</v>
      </c>
      <c r="C1055" s="61" t="n">
        <v>279</v>
      </c>
      <c r="D1055" s="61" t="s">
        <v>9579</v>
      </c>
      <c r="E1055" s="61" t="s">
        <v>9579</v>
      </c>
      <c r="F1055" s="62" t="s">
        <v>751</v>
      </c>
    </row>
    <row r="1056" customFormat="false" ht="15" hidden="false" customHeight="false" outlineLevel="0" collapsed="false">
      <c r="A1056" s="92" t="str">
        <f aca="false">Gov_Map!$H280&amp;""</f>
        <v>—</v>
      </c>
      <c r="B1056" s="74" t="s">
        <v>9578</v>
      </c>
      <c r="C1056" s="61" t="n">
        <v>280</v>
      </c>
      <c r="D1056" s="61" t="s">
        <v>9579</v>
      </c>
      <c r="E1056" s="61" t="s">
        <v>9579</v>
      </c>
      <c r="F1056" s="62" t="s">
        <v>751</v>
      </c>
    </row>
    <row r="1057" customFormat="false" ht="15" hidden="false" customHeight="false" outlineLevel="0" collapsed="false">
      <c r="A1057" s="92" t="str">
        <f aca="false">Gov_Map!$H281&amp;""</f>
        <v>—</v>
      </c>
      <c r="B1057" s="74" t="s">
        <v>9578</v>
      </c>
      <c r="C1057" s="61" t="n">
        <v>281</v>
      </c>
      <c r="D1057" s="61" t="s">
        <v>9579</v>
      </c>
      <c r="E1057" s="61" t="s">
        <v>9579</v>
      </c>
      <c r="F1057" s="62" t="s">
        <v>751</v>
      </c>
    </row>
    <row r="1058" customFormat="false" ht="15" hidden="false" customHeight="false" outlineLevel="0" collapsed="false">
      <c r="A1058" s="92" t="str">
        <f aca="false">Gov_Map!$H282&amp;""</f>
        <v>—</v>
      </c>
      <c r="B1058" s="74" t="s">
        <v>9578</v>
      </c>
      <c r="C1058" s="61" t="n">
        <v>282</v>
      </c>
      <c r="D1058" s="61" t="s">
        <v>9579</v>
      </c>
      <c r="E1058" s="61" t="s">
        <v>9579</v>
      </c>
      <c r="F1058" s="62" t="s">
        <v>751</v>
      </c>
    </row>
    <row r="1059" customFormat="false" ht="15" hidden="false" customHeight="false" outlineLevel="0" collapsed="false">
      <c r="A1059" s="92" t="str">
        <f aca="false">Gov_Map!$H283&amp;""</f>
        <v>—</v>
      </c>
      <c r="B1059" s="74" t="s">
        <v>9578</v>
      </c>
      <c r="C1059" s="61" t="n">
        <v>283</v>
      </c>
      <c r="D1059" s="61" t="s">
        <v>9579</v>
      </c>
      <c r="E1059" s="61" t="s">
        <v>9579</v>
      </c>
      <c r="F1059" s="62" t="s">
        <v>751</v>
      </c>
    </row>
    <row r="1060" customFormat="false" ht="15" hidden="false" customHeight="false" outlineLevel="0" collapsed="false">
      <c r="A1060" s="92" t="str">
        <f aca="false">Gov_Map!$H284&amp;""</f>
        <v>—</v>
      </c>
      <c r="B1060" s="74" t="s">
        <v>9578</v>
      </c>
      <c r="C1060" s="61" t="n">
        <v>284</v>
      </c>
      <c r="D1060" s="61" t="s">
        <v>9579</v>
      </c>
      <c r="E1060" s="61" t="s">
        <v>9579</v>
      </c>
      <c r="F1060" s="62" t="s">
        <v>751</v>
      </c>
    </row>
    <row r="1061" customFormat="false" ht="15" hidden="false" customHeight="false" outlineLevel="0" collapsed="false">
      <c r="A1061" s="92" t="str">
        <f aca="false">Gov_Map!$H285&amp;""</f>
        <v>—</v>
      </c>
      <c r="B1061" s="74" t="s">
        <v>9578</v>
      </c>
      <c r="C1061" s="61" t="n">
        <v>285</v>
      </c>
      <c r="D1061" s="61" t="s">
        <v>9579</v>
      </c>
      <c r="E1061" s="61" t="s">
        <v>9579</v>
      </c>
      <c r="F1061" s="62" t="s">
        <v>751</v>
      </c>
    </row>
    <row r="1062" customFormat="false" ht="15" hidden="false" customHeight="false" outlineLevel="0" collapsed="false">
      <c r="A1062" s="92" t="str">
        <f aca="false">Gov_Map!$H286&amp;""</f>
        <v>—</v>
      </c>
      <c r="B1062" s="74" t="s">
        <v>9578</v>
      </c>
      <c r="C1062" s="61" t="n">
        <v>286</v>
      </c>
      <c r="D1062" s="61" t="s">
        <v>9579</v>
      </c>
      <c r="E1062" s="61" t="s">
        <v>9579</v>
      </c>
      <c r="F1062" s="62" t="s">
        <v>751</v>
      </c>
    </row>
    <row r="1063" customFormat="false" ht="15" hidden="false" customHeight="false" outlineLevel="0" collapsed="false">
      <c r="A1063" s="92" t="str">
        <f aca="false">Gov_Map!$H287&amp;""</f>
        <v>—</v>
      </c>
      <c r="B1063" s="74" t="s">
        <v>9578</v>
      </c>
      <c r="C1063" s="61" t="n">
        <v>287</v>
      </c>
      <c r="D1063" s="61" t="s">
        <v>9579</v>
      </c>
      <c r="E1063" s="61" t="s">
        <v>9579</v>
      </c>
      <c r="F1063" s="62" t="s">
        <v>751</v>
      </c>
    </row>
    <row r="1064" customFormat="false" ht="15" hidden="false" customHeight="false" outlineLevel="0" collapsed="false">
      <c r="A1064" s="92" t="str">
        <f aca="false">Gov_Map!$H288&amp;""</f>
        <v>—</v>
      </c>
      <c r="B1064" s="74" t="s">
        <v>9578</v>
      </c>
      <c r="C1064" s="61" t="n">
        <v>288</v>
      </c>
      <c r="D1064" s="61" t="s">
        <v>9579</v>
      </c>
      <c r="E1064" s="61" t="s">
        <v>9579</v>
      </c>
      <c r="F1064" s="62" t="s">
        <v>751</v>
      </c>
    </row>
    <row r="1065" customFormat="false" ht="15" hidden="false" customHeight="false" outlineLevel="0" collapsed="false">
      <c r="A1065" s="92" t="str">
        <f aca="false">Gov_Map!$H289&amp;""</f>
        <v>—</v>
      </c>
      <c r="B1065" s="74" t="s">
        <v>9578</v>
      </c>
      <c r="C1065" s="61" t="n">
        <v>289</v>
      </c>
      <c r="D1065" s="61" t="s">
        <v>9579</v>
      </c>
      <c r="E1065" s="61" t="s">
        <v>9579</v>
      </c>
      <c r="F1065" s="62" t="s">
        <v>751</v>
      </c>
    </row>
    <row r="1066" customFormat="false" ht="15" hidden="false" customHeight="false" outlineLevel="0" collapsed="false">
      <c r="A1066" s="92" t="str">
        <f aca="false">Gov_Map!$H290&amp;""</f>
        <v>—</v>
      </c>
      <c r="B1066" s="74" t="s">
        <v>9578</v>
      </c>
      <c r="C1066" s="61" t="n">
        <v>290</v>
      </c>
      <c r="D1066" s="61" t="s">
        <v>9579</v>
      </c>
      <c r="E1066" s="61" t="s">
        <v>9579</v>
      </c>
      <c r="F1066" s="62" t="s">
        <v>751</v>
      </c>
    </row>
    <row r="1067" customFormat="false" ht="15" hidden="false" customHeight="false" outlineLevel="0" collapsed="false">
      <c r="A1067" s="92" t="str">
        <f aca="false">Gov_Map!$H291&amp;""</f>
        <v>—</v>
      </c>
      <c r="B1067" s="74" t="s">
        <v>9578</v>
      </c>
      <c r="C1067" s="61" t="n">
        <v>291</v>
      </c>
      <c r="D1067" s="61" t="s">
        <v>9579</v>
      </c>
      <c r="E1067" s="61" t="s">
        <v>9579</v>
      </c>
      <c r="F1067" s="62" t="s">
        <v>751</v>
      </c>
    </row>
    <row r="1068" customFormat="false" ht="15" hidden="false" customHeight="false" outlineLevel="0" collapsed="false">
      <c r="A1068" s="92" t="str">
        <f aca="false">Gov_Map!$H292&amp;""</f>
        <v>—</v>
      </c>
      <c r="B1068" s="74" t="s">
        <v>9578</v>
      </c>
      <c r="C1068" s="61" t="n">
        <v>292</v>
      </c>
      <c r="D1068" s="61" t="s">
        <v>9579</v>
      </c>
      <c r="E1068" s="61" t="s">
        <v>9579</v>
      </c>
      <c r="F1068" s="62" t="s">
        <v>751</v>
      </c>
    </row>
    <row r="1069" customFormat="false" ht="15" hidden="false" customHeight="false" outlineLevel="0" collapsed="false">
      <c r="A1069" s="92" t="str">
        <f aca="false">Gov_Map!$H293&amp;""</f>
        <v>—</v>
      </c>
      <c r="B1069" s="74" t="s">
        <v>9578</v>
      </c>
      <c r="C1069" s="61" t="n">
        <v>293</v>
      </c>
      <c r="D1069" s="61" t="s">
        <v>9579</v>
      </c>
      <c r="E1069" s="61" t="s">
        <v>9579</v>
      </c>
      <c r="F1069" s="62" t="s">
        <v>751</v>
      </c>
    </row>
    <row r="1070" customFormat="false" ht="15" hidden="false" customHeight="false" outlineLevel="0" collapsed="false">
      <c r="A1070" s="92" t="str">
        <f aca="false">Gov_Map!$H294&amp;""</f>
        <v>—</v>
      </c>
      <c r="B1070" s="74" t="s">
        <v>9578</v>
      </c>
      <c r="C1070" s="61" t="n">
        <v>294</v>
      </c>
      <c r="D1070" s="61" t="s">
        <v>9579</v>
      </c>
      <c r="E1070" s="61" t="s">
        <v>9579</v>
      </c>
      <c r="F1070" s="62" t="s">
        <v>751</v>
      </c>
    </row>
    <row r="1071" customFormat="false" ht="15" hidden="false" customHeight="false" outlineLevel="0" collapsed="false">
      <c r="A1071" s="92" t="str">
        <f aca="false">Gov_Map!$H295&amp;""</f>
        <v>—</v>
      </c>
      <c r="B1071" s="74" t="s">
        <v>9578</v>
      </c>
      <c r="C1071" s="61" t="n">
        <v>295</v>
      </c>
      <c r="D1071" s="61" t="s">
        <v>9579</v>
      </c>
      <c r="E1071" s="61" t="s">
        <v>9579</v>
      </c>
      <c r="F1071" s="62" t="s">
        <v>751</v>
      </c>
    </row>
    <row r="1072" customFormat="false" ht="15" hidden="false" customHeight="false" outlineLevel="0" collapsed="false">
      <c r="A1072" s="92" t="str">
        <f aca="false">Gov_Map!$H296&amp;""</f>
        <v>—</v>
      </c>
      <c r="B1072" s="74" t="s">
        <v>9578</v>
      </c>
      <c r="C1072" s="61" t="n">
        <v>296</v>
      </c>
      <c r="D1072" s="61" t="s">
        <v>9579</v>
      </c>
      <c r="E1072" s="61" t="s">
        <v>9579</v>
      </c>
      <c r="F1072" s="62" t="s">
        <v>751</v>
      </c>
    </row>
    <row r="1073" customFormat="false" ht="15" hidden="false" customHeight="false" outlineLevel="0" collapsed="false">
      <c r="A1073" s="92" t="str">
        <f aca="false">Gov_Map!$H297&amp;""</f>
        <v>—</v>
      </c>
      <c r="B1073" s="74" t="s">
        <v>9578</v>
      </c>
      <c r="C1073" s="61" t="n">
        <v>297</v>
      </c>
      <c r="D1073" s="61" t="s">
        <v>9579</v>
      </c>
      <c r="E1073" s="61" t="s">
        <v>9579</v>
      </c>
      <c r="F1073" s="62" t="s">
        <v>751</v>
      </c>
    </row>
    <row r="1074" customFormat="false" ht="15" hidden="false" customHeight="false" outlineLevel="0" collapsed="false">
      <c r="A1074" s="92" t="str">
        <f aca="false">Gov_Map!$H298&amp;""</f>
        <v>—</v>
      </c>
      <c r="B1074" s="74" t="s">
        <v>9578</v>
      </c>
      <c r="C1074" s="61" t="n">
        <v>298</v>
      </c>
      <c r="D1074" s="61" t="s">
        <v>9579</v>
      </c>
      <c r="E1074" s="61" t="s">
        <v>9579</v>
      </c>
      <c r="F1074" s="62" t="s">
        <v>751</v>
      </c>
    </row>
    <row r="1075" customFormat="false" ht="15" hidden="false" customHeight="false" outlineLevel="0" collapsed="false">
      <c r="A1075" s="92" t="str">
        <f aca="false">Gov_Map!$H299&amp;""</f>
        <v>—</v>
      </c>
      <c r="B1075" s="74" t="s">
        <v>9578</v>
      </c>
      <c r="C1075" s="61" t="n">
        <v>299</v>
      </c>
      <c r="D1075" s="61" t="s">
        <v>9579</v>
      </c>
      <c r="E1075" s="61" t="s">
        <v>9579</v>
      </c>
      <c r="F1075" s="62" t="s">
        <v>751</v>
      </c>
    </row>
    <row r="1076" customFormat="false" ht="15" hidden="false" customHeight="false" outlineLevel="0" collapsed="false">
      <c r="A1076" s="92" t="str">
        <f aca="false">Gov_Map!$H300&amp;""</f>
        <v>—</v>
      </c>
      <c r="B1076" s="74" t="s">
        <v>9578</v>
      </c>
      <c r="C1076" s="61" t="n">
        <v>300</v>
      </c>
      <c r="D1076" s="61" t="s">
        <v>9579</v>
      </c>
      <c r="E1076" s="61" t="s">
        <v>9579</v>
      </c>
      <c r="F1076" s="62" t="s">
        <v>751</v>
      </c>
    </row>
    <row r="1077" customFormat="false" ht="15" hidden="false" customHeight="false" outlineLevel="0" collapsed="false">
      <c r="A1077" s="92" t="str">
        <f aca="false">Gov_Map!$H301&amp;""</f>
        <v>—</v>
      </c>
      <c r="B1077" s="74" t="s">
        <v>9578</v>
      </c>
      <c r="C1077" s="61" t="n">
        <v>301</v>
      </c>
      <c r="D1077" s="61" t="s">
        <v>9579</v>
      </c>
      <c r="E1077" s="61" t="s">
        <v>9579</v>
      </c>
      <c r="F1077" s="62" t="s">
        <v>751</v>
      </c>
    </row>
    <row r="1078" customFormat="false" ht="15" hidden="false" customHeight="false" outlineLevel="0" collapsed="false">
      <c r="A1078" s="92" t="str">
        <f aca="false">Gov_Map!$H302&amp;""</f>
        <v>—</v>
      </c>
      <c r="B1078" s="74" t="s">
        <v>9578</v>
      </c>
      <c r="C1078" s="61" t="n">
        <v>302</v>
      </c>
      <c r="D1078" s="61" t="s">
        <v>9579</v>
      </c>
      <c r="E1078" s="61" t="s">
        <v>9579</v>
      </c>
      <c r="F1078" s="62" t="s">
        <v>751</v>
      </c>
    </row>
    <row r="1079" customFormat="false" ht="15" hidden="false" customHeight="false" outlineLevel="0" collapsed="false">
      <c r="A1079" s="92" t="str">
        <f aca="false">Gov_Map!$H303&amp;""</f>
        <v>—</v>
      </c>
      <c r="B1079" s="74" t="s">
        <v>9578</v>
      </c>
      <c r="C1079" s="61" t="n">
        <v>303</v>
      </c>
      <c r="D1079" s="61" t="s">
        <v>9579</v>
      </c>
      <c r="E1079" s="61" t="s">
        <v>9579</v>
      </c>
      <c r="F1079" s="62" t="s">
        <v>751</v>
      </c>
    </row>
    <row r="1080" customFormat="false" ht="15" hidden="false" customHeight="false" outlineLevel="0" collapsed="false">
      <c r="A1080" s="92" t="str">
        <f aca="false">Gov_Map!$H304&amp;""</f>
        <v>—</v>
      </c>
      <c r="B1080" s="74" t="s">
        <v>9578</v>
      </c>
      <c r="C1080" s="61" t="n">
        <v>304</v>
      </c>
      <c r="D1080" s="61" t="s">
        <v>9579</v>
      </c>
      <c r="E1080" s="61" t="s">
        <v>9579</v>
      </c>
      <c r="F1080" s="62" t="s">
        <v>751</v>
      </c>
    </row>
    <row r="1081" customFormat="false" ht="15" hidden="false" customHeight="false" outlineLevel="0" collapsed="false">
      <c r="A1081" s="92" t="str">
        <f aca="false">Gov_Map!$H305&amp;""</f>
        <v>—</v>
      </c>
      <c r="B1081" s="74" t="s">
        <v>9578</v>
      </c>
      <c r="C1081" s="61" t="n">
        <v>305</v>
      </c>
      <c r="D1081" s="61" t="s">
        <v>9579</v>
      </c>
      <c r="E1081" s="61" t="s">
        <v>9579</v>
      </c>
      <c r="F1081" s="62" t="s">
        <v>751</v>
      </c>
    </row>
    <row r="1082" customFormat="false" ht="15" hidden="false" customHeight="false" outlineLevel="0" collapsed="false">
      <c r="A1082" s="92" t="str">
        <f aca="false">Gov_Map!$H306&amp;""</f>
        <v>SRC_HAR_001</v>
      </c>
      <c r="B1082" s="74" t="s">
        <v>9578</v>
      </c>
      <c r="C1082" s="61" t="n">
        <v>306</v>
      </c>
      <c r="D1082" s="61" t="s">
        <v>9579</v>
      </c>
      <c r="E1082" s="61" t="s">
        <v>9579</v>
      </c>
      <c r="F1082" s="62" t="s">
        <v>751</v>
      </c>
    </row>
    <row r="1083" customFormat="false" ht="15" hidden="false" customHeight="false" outlineLevel="0" collapsed="false">
      <c r="A1083" s="92" t="str">
        <f aca="false">Gov_Map!$H307&amp;""</f>
        <v>SRC_HAR_002</v>
      </c>
      <c r="B1083" s="74" t="s">
        <v>9578</v>
      </c>
      <c r="C1083" s="61" t="n">
        <v>307</v>
      </c>
      <c r="D1083" s="61" t="s">
        <v>9579</v>
      </c>
      <c r="E1083" s="61" t="s">
        <v>9579</v>
      </c>
      <c r="F1083" s="62" t="s">
        <v>751</v>
      </c>
    </row>
    <row r="1084" customFormat="false" ht="15" hidden="false" customHeight="false" outlineLevel="0" collapsed="false">
      <c r="A1084" s="92" t="str">
        <f aca="false">Gov_Map!$H308&amp;""</f>
        <v>SRC_PERF_041</v>
      </c>
      <c r="B1084" s="74" t="s">
        <v>9578</v>
      </c>
      <c r="C1084" s="61" t="n">
        <v>308</v>
      </c>
      <c r="D1084" s="61" t="s">
        <v>9579</v>
      </c>
      <c r="E1084" s="61" t="s">
        <v>9579</v>
      </c>
      <c r="F1084" s="62" t="s">
        <v>751</v>
      </c>
    </row>
    <row r="1085" customFormat="false" ht="15" hidden="false" customHeight="false" outlineLevel="0" collapsed="false">
      <c r="A1085" s="92" t="str">
        <f aca="false">Gov_Map!$H309&amp;""</f>
        <v>—</v>
      </c>
      <c r="B1085" s="74" t="s">
        <v>9578</v>
      </c>
      <c r="C1085" s="61" t="n">
        <v>309</v>
      </c>
      <c r="D1085" s="61" t="s">
        <v>9579</v>
      </c>
      <c r="E1085" s="61" t="s">
        <v>9579</v>
      </c>
      <c r="F1085" s="62" t="s">
        <v>751</v>
      </c>
    </row>
    <row r="1086" customFormat="false" ht="15" hidden="false" customHeight="false" outlineLevel="0" collapsed="false">
      <c r="A1086" s="92" t="str">
        <f aca="false">Gov_Map!$H310&amp;""</f>
        <v>SRC_PERF_009</v>
      </c>
      <c r="B1086" s="74" t="s">
        <v>9578</v>
      </c>
      <c r="C1086" s="61" t="n">
        <v>310</v>
      </c>
      <c r="D1086" s="61" t="s">
        <v>9579</v>
      </c>
      <c r="E1086" s="61" t="s">
        <v>9579</v>
      </c>
      <c r="F1086" s="62" t="s">
        <v>751</v>
      </c>
    </row>
    <row r="1087" customFormat="false" ht="15" hidden="false" customHeight="false" outlineLevel="0" collapsed="false">
      <c r="A1087" s="92" t="str">
        <f aca="false">Gov_Map!$H311&amp;""</f>
        <v>SRC_PERF_009</v>
      </c>
      <c r="B1087" s="74" t="s">
        <v>9578</v>
      </c>
      <c r="C1087" s="61" t="n">
        <v>311</v>
      </c>
      <c r="D1087" s="61" t="s">
        <v>9579</v>
      </c>
      <c r="E1087" s="61" t="s">
        <v>9579</v>
      </c>
      <c r="F1087" s="62" t="s">
        <v>751</v>
      </c>
    </row>
    <row r="1088" customFormat="false" ht="15" hidden="false" customHeight="false" outlineLevel="0" collapsed="false">
      <c r="A1088" s="92" t="str">
        <f aca="false">Gov_Map!$H312&amp;""</f>
        <v>SRC_PERF_009</v>
      </c>
      <c r="B1088" s="74" t="s">
        <v>9578</v>
      </c>
      <c r="C1088" s="61" t="n">
        <v>312</v>
      </c>
      <c r="D1088" s="61" t="s">
        <v>9579</v>
      </c>
      <c r="E1088" s="61" t="s">
        <v>9579</v>
      </c>
      <c r="F1088" s="62" t="s">
        <v>751</v>
      </c>
    </row>
    <row r="1089" customFormat="false" ht="15" hidden="false" customHeight="false" outlineLevel="0" collapsed="false">
      <c r="A1089" s="92" t="str">
        <f aca="false">Gov_Map!$H313&amp;""</f>
        <v>SRC_PERF_009</v>
      </c>
      <c r="B1089" s="74" t="s">
        <v>9578</v>
      </c>
      <c r="C1089" s="61" t="n">
        <v>313</v>
      </c>
      <c r="D1089" s="61" t="s">
        <v>9579</v>
      </c>
      <c r="E1089" s="61" t="s">
        <v>9579</v>
      </c>
      <c r="F1089" s="62" t="s">
        <v>751</v>
      </c>
    </row>
    <row r="1090" customFormat="false" ht="15" hidden="false" customHeight="false" outlineLevel="0" collapsed="false">
      <c r="A1090" s="92" t="str">
        <f aca="false">Gov_Map!$H314&amp;""</f>
        <v>SRC_PERF_009</v>
      </c>
      <c r="B1090" s="74" t="s">
        <v>9578</v>
      </c>
      <c r="C1090" s="61" t="n">
        <v>314</v>
      </c>
      <c r="D1090" s="61" t="s">
        <v>9579</v>
      </c>
      <c r="E1090" s="61" t="s">
        <v>9579</v>
      </c>
      <c r="F1090" s="62" t="s">
        <v>751</v>
      </c>
    </row>
    <row r="1091" customFormat="false" ht="15" hidden="false" customHeight="false" outlineLevel="0" collapsed="false">
      <c r="A1091" s="92" t="str">
        <f aca="false">Gov_Map!$H315&amp;""</f>
        <v>SRC_PERF_010</v>
      </c>
      <c r="B1091" s="74" t="s">
        <v>9578</v>
      </c>
      <c r="C1091" s="61" t="n">
        <v>315</v>
      </c>
      <c r="D1091" s="61" t="s">
        <v>9579</v>
      </c>
      <c r="E1091" s="61" t="s">
        <v>9579</v>
      </c>
      <c r="F1091" s="62" t="s">
        <v>751</v>
      </c>
    </row>
    <row r="1092" customFormat="false" ht="15" hidden="false" customHeight="false" outlineLevel="0" collapsed="false">
      <c r="A1092" s="92" t="str">
        <f aca="false">Gov_Map!$H316&amp;""</f>
        <v>SRC_PERF_010</v>
      </c>
      <c r="B1092" s="74" t="s">
        <v>9578</v>
      </c>
      <c r="C1092" s="61" t="n">
        <v>316</v>
      </c>
      <c r="D1092" s="61" t="s">
        <v>9579</v>
      </c>
      <c r="E1092" s="61" t="s">
        <v>9579</v>
      </c>
      <c r="F1092" s="62" t="s">
        <v>751</v>
      </c>
    </row>
    <row r="1093" customFormat="false" ht="15" hidden="false" customHeight="false" outlineLevel="0" collapsed="false">
      <c r="A1093" s="92" t="str">
        <f aca="false">Gov_Map!$H317&amp;""</f>
        <v>SRC_PERF_010</v>
      </c>
      <c r="B1093" s="74" t="s">
        <v>9578</v>
      </c>
      <c r="C1093" s="61" t="n">
        <v>317</v>
      </c>
      <c r="D1093" s="61" t="s">
        <v>9579</v>
      </c>
      <c r="E1093" s="61" t="s">
        <v>9579</v>
      </c>
      <c r="F1093" s="62" t="s">
        <v>751</v>
      </c>
    </row>
    <row r="1094" customFormat="false" ht="15" hidden="false" customHeight="false" outlineLevel="0" collapsed="false">
      <c r="A1094" s="92" t="str">
        <f aca="false">Gov_Map!$H318&amp;""</f>
        <v>SRC_PERF_010</v>
      </c>
      <c r="B1094" s="74" t="s">
        <v>9578</v>
      </c>
      <c r="C1094" s="61" t="n">
        <v>318</v>
      </c>
      <c r="D1094" s="61" t="s">
        <v>9579</v>
      </c>
      <c r="E1094" s="61" t="s">
        <v>9579</v>
      </c>
      <c r="F1094" s="62" t="s">
        <v>751</v>
      </c>
    </row>
    <row r="1095" customFormat="false" ht="15" hidden="false" customHeight="false" outlineLevel="0" collapsed="false">
      <c r="A1095" s="92" t="str">
        <f aca="false">Gov_Map!$H319&amp;""</f>
        <v>SRC_PERF_010</v>
      </c>
      <c r="B1095" s="74" t="s">
        <v>9578</v>
      </c>
      <c r="C1095" s="61" t="n">
        <v>319</v>
      </c>
      <c r="D1095" s="61" t="s">
        <v>9579</v>
      </c>
      <c r="E1095" s="61" t="s">
        <v>9579</v>
      </c>
      <c r="F1095" s="62" t="s">
        <v>751</v>
      </c>
    </row>
    <row r="1096" customFormat="false" ht="15" hidden="false" customHeight="false" outlineLevel="0" collapsed="false">
      <c r="A1096" s="92" t="str">
        <f aca="false">Gov_Map!$H320&amp;""</f>
        <v>SRC_PERF_004</v>
      </c>
      <c r="B1096" s="74" t="s">
        <v>9578</v>
      </c>
      <c r="C1096" s="61" t="n">
        <v>320</v>
      </c>
      <c r="D1096" s="61" t="s">
        <v>9579</v>
      </c>
      <c r="E1096" s="61" t="s">
        <v>9579</v>
      </c>
      <c r="F1096" s="62" t="s">
        <v>751</v>
      </c>
    </row>
    <row r="1097" customFormat="false" ht="15" hidden="false" customHeight="false" outlineLevel="0" collapsed="false">
      <c r="A1097" s="92" t="str">
        <f aca="false">Gov_Map!$H321&amp;""</f>
        <v>SRC_PERF_004</v>
      </c>
      <c r="B1097" s="74" t="s">
        <v>9578</v>
      </c>
      <c r="C1097" s="61" t="n">
        <v>321</v>
      </c>
      <c r="D1097" s="61" t="s">
        <v>9579</v>
      </c>
      <c r="E1097" s="61" t="s">
        <v>9579</v>
      </c>
      <c r="F1097" s="62" t="s">
        <v>751</v>
      </c>
    </row>
    <row r="1098" customFormat="false" ht="15" hidden="false" customHeight="false" outlineLevel="0" collapsed="false">
      <c r="A1098" s="92" t="str">
        <f aca="false">Gov_Map!$H322&amp;""</f>
        <v>SRC_PERF_004</v>
      </c>
      <c r="B1098" s="74" t="s">
        <v>9578</v>
      </c>
      <c r="C1098" s="61" t="n">
        <v>322</v>
      </c>
      <c r="D1098" s="61" t="s">
        <v>9579</v>
      </c>
      <c r="E1098" s="61" t="s">
        <v>9579</v>
      </c>
      <c r="F1098" s="62" t="s">
        <v>751</v>
      </c>
    </row>
    <row r="1099" customFormat="false" ht="15" hidden="false" customHeight="false" outlineLevel="0" collapsed="false">
      <c r="A1099" s="92" t="str">
        <f aca="false">Gov_Map!$H323&amp;""</f>
        <v>SRC_PERF_004</v>
      </c>
      <c r="B1099" s="74" t="s">
        <v>9578</v>
      </c>
      <c r="C1099" s="61" t="n">
        <v>323</v>
      </c>
      <c r="D1099" s="61" t="s">
        <v>9579</v>
      </c>
      <c r="E1099" s="61" t="s">
        <v>9579</v>
      </c>
      <c r="F1099" s="62" t="s">
        <v>751</v>
      </c>
    </row>
    <row r="1100" customFormat="false" ht="15" hidden="false" customHeight="false" outlineLevel="0" collapsed="false">
      <c r="A1100" s="92" t="str">
        <f aca="false">Gov_Map!$H324&amp;""</f>
        <v>SRC_PERF_004</v>
      </c>
      <c r="B1100" s="74" t="s">
        <v>9578</v>
      </c>
      <c r="C1100" s="61" t="n">
        <v>324</v>
      </c>
      <c r="D1100" s="61" t="s">
        <v>9579</v>
      </c>
      <c r="E1100" s="61" t="s">
        <v>9579</v>
      </c>
      <c r="F1100" s="62" t="s">
        <v>751</v>
      </c>
    </row>
    <row r="1101" customFormat="false" ht="15" hidden="false" customHeight="false" outlineLevel="0" collapsed="false">
      <c r="A1101" s="92" t="str">
        <f aca="false">Gov_Map!$H325&amp;""</f>
        <v>SRC_PERF_001</v>
      </c>
      <c r="B1101" s="74" t="s">
        <v>9578</v>
      </c>
      <c r="C1101" s="61" t="n">
        <v>325</v>
      </c>
      <c r="D1101" s="61" t="s">
        <v>9579</v>
      </c>
      <c r="E1101" s="61" t="s">
        <v>9579</v>
      </c>
      <c r="F1101" s="62" t="s">
        <v>751</v>
      </c>
    </row>
    <row r="1102" customFormat="false" ht="15" hidden="false" customHeight="false" outlineLevel="0" collapsed="false">
      <c r="A1102" s="92" t="str">
        <f aca="false">Gov_Map!$H326&amp;""</f>
        <v>SRC_PERF_001</v>
      </c>
      <c r="B1102" s="74" t="s">
        <v>9578</v>
      </c>
      <c r="C1102" s="61" t="n">
        <v>326</v>
      </c>
      <c r="D1102" s="61" t="s">
        <v>9579</v>
      </c>
      <c r="E1102" s="61" t="s">
        <v>9579</v>
      </c>
      <c r="F1102" s="62" t="s">
        <v>751</v>
      </c>
    </row>
    <row r="1103" customFormat="false" ht="15" hidden="false" customHeight="false" outlineLevel="0" collapsed="false">
      <c r="A1103" s="92" t="str">
        <f aca="false">Gov_Map!$H327&amp;""</f>
        <v>SRC_PERF_001</v>
      </c>
      <c r="B1103" s="74" t="s">
        <v>9578</v>
      </c>
      <c r="C1103" s="61" t="n">
        <v>327</v>
      </c>
      <c r="D1103" s="61" t="s">
        <v>9579</v>
      </c>
      <c r="E1103" s="61" t="s">
        <v>9579</v>
      </c>
      <c r="F1103" s="62" t="s">
        <v>751</v>
      </c>
    </row>
    <row r="1104" customFormat="false" ht="15" hidden="false" customHeight="false" outlineLevel="0" collapsed="false">
      <c r="A1104" s="92" t="str">
        <f aca="false">Gov_Map!$H328&amp;""</f>
        <v>SRC_PERF_001</v>
      </c>
      <c r="B1104" s="74" t="s">
        <v>9578</v>
      </c>
      <c r="C1104" s="61" t="n">
        <v>328</v>
      </c>
      <c r="D1104" s="61" t="s">
        <v>9579</v>
      </c>
      <c r="E1104" s="61" t="s">
        <v>9579</v>
      </c>
      <c r="F1104" s="62" t="s">
        <v>751</v>
      </c>
    </row>
    <row r="1105" customFormat="false" ht="15" hidden="false" customHeight="false" outlineLevel="0" collapsed="false">
      <c r="A1105" s="92" t="str">
        <f aca="false">Gov_Map!$H329&amp;""</f>
        <v>SRC_PERF_001</v>
      </c>
      <c r="B1105" s="74" t="s">
        <v>9578</v>
      </c>
      <c r="C1105" s="61" t="n">
        <v>329</v>
      </c>
      <c r="D1105" s="61" t="s">
        <v>9579</v>
      </c>
      <c r="E1105" s="61" t="s">
        <v>9579</v>
      </c>
      <c r="F1105" s="62" t="s">
        <v>751</v>
      </c>
    </row>
    <row r="1106" customFormat="false" ht="15" hidden="false" customHeight="false" outlineLevel="0" collapsed="false">
      <c r="A1106" s="92" t="str">
        <f aca="false">Gov_Map!$H330&amp;""</f>
        <v>SRC_PERF_002</v>
      </c>
      <c r="B1106" s="74" t="s">
        <v>9578</v>
      </c>
      <c r="C1106" s="61" t="n">
        <v>330</v>
      </c>
      <c r="D1106" s="61" t="s">
        <v>9579</v>
      </c>
      <c r="E1106" s="61" t="s">
        <v>9579</v>
      </c>
      <c r="F1106" s="62" t="s">
        <v>751</v>
      </c>
    </row>
    <row r="1107" customFormat="false" ht="15" hidden="false" customHeight="false" outlineLevel="0" collapsed="false">
      <c r="A1107" s="92" t="str">
        <f aca="false">Gov_Map!$H331&amp;""</f>
        <v>SRC_PERF_002</v>
      </c>
      <c r="B1107" s="74" t="s">
        <v>9578</v>
      </c>
      <c r="C1107" s="61" t="n">
        <v>331</v>
      </c>
      <c r="D1107" s="61" t="s">
        <v>9579</v>
      </c>
      <c r="E1107" s="61" t="s">
        <v>9579</v>
      </c>
      <c r="F1107" s="62" t="s">
        <v>751</v>
      </c>
    </row>
    <row r="1108" customFormat="false" ht="15" hidden="false" customHeight="false" outlineLevel="0" collapsed="false">
      <c r="A1108" s="92" t="str">
        <f aca="false">Gov_Map!$H332&amp;""</f>
        <v>SRC_PERF_002</v>
      </c>
      <c r="B1108" s="74" t="s">
        <v>9578</v>
      </c>
      <c r="C1108" s="61" t="n">
        <v>332</v>
      </c>
      <c r="D1108" s="61" t="s">
        <v>9579</v>
      </c>
      <c r="E1108" s="61" t="s">
        <v>9579</v>
      </c>
      <c r="F1108" s="62" t="s">
        <v>751</v>
      </c>
    </row>
    <row r="1109" customFormat="false" ht="15" hidden="false" customHeight="false" outlineLevel="0" collapsed="false">
      <c r="A1109" s="92" t="str">
        <f aca="false">Gov_Map!$H333&amp;""</f>
        <v>SRC_PERF_002</v>
      </c>
      <c r="B1109" s="74" t="s">
        <v>9578</v>
      </c>
      <c r="C1109" s="61" t="n">
        <v>333</v>
      </c>
      <c r="D1109" s="61" t="s">
        <v>9579</v>
      </c>
      <c r="E1109" s="61" t="s">
        <v>9579</v>
      </c>
      <c r="F1109" s="62" t="s">
        <v>751</v>
      </c>
    </row>
    <row r="1110" customFormat="false" ht="15" hidden="false" customHeight="false" outlineLevel="0" collapsed="false">
      <c r="A1110" s="92" t="str">
        <f aca="false">Gov_Map!$H334&amp;""</f>
        <v>SRC_PERF_002</v>
      </c>
      <c r="B1110" s="74" t="s">
        <v>9578</v>
      </c>
      <c r="C1110" s="61" t="n">
        <v>334</v>
      </c>
      <c r="D1110" s="61" t="s">
        <v>9579</v>
      </c>
      <c r="E1110" s="61" t="s">
        <v>9579</v>
      </c>
      <c r="F1110" s="62" t="s">
        <v>751</v>
      </c>
    </row>
    <row r="1111" customFormat="false" ht="15" hidden="false" customHeight="false" outlineLevel="0" collapsed="false">
      <c r="A1111" s="92" t="str">
        <f aca="false">Gov_Map!$H335&amp;""</f>
        <v>SRC_PERF_014</v>
      </c>
      <c r="B1111" s="74" t="s">
        <v>9578</v>
      </c>
      <c r="C1111" s="61" t="n">
        <v>335</v>
      </c>
      <c r="D1111" s="61" t="s">
        <v>9579</v>
      </c>
      <c r="E1111" s="61" t="s">
        <v>9579</v>
      </c>
      <c r="F1111" s="62" t="s">
        <v>751</v>
      </c>
    </row>
    <row r="1112" customFormat="false" ht="15" hidden="false" customHeight="false" outlineLevel="0" collapsed="false">
      <c r="A1112" s="92" t="str">
        <f aca="false">Gov_Map!$H336&amp;""</f>
        <v>SRC_PERF_014</v>
      </c>
      <c r="B1112" s="74" t="s">
        <v>9578</v>
      </c>
      <c r="C1112" s="61" t="n">
        <v>336</v>
      </c>
      <c r="D1112" s="61" t="s">
        <v>9579</v>
      </c>
      <c r="E1112" s="61" t="s">
        <v>9579</v>
      </c>
      <c r="F1112" s="62" t="s">
        <v>751</v>
      </c>
    </row>
    <row r="1113" customFormat="false" ht="15" hidden="false" customHeight="false" outlineLevel="0" collapsed="false">
      <c r="A1113" s="92" t="str">
        <f aca="false">Gov_Map!$H337&amp;""</f>
        <v>SRC_PERF_014</v>
      </c>
      <c r="B1113" s="74" t="s">
        <v>9578</v>
      </c>
      <c r="C1113" s="61" t="n">
        <v>337</v>
      </c>
      <c r="D1113" s="61" t="s">
        <v>9579</v>
      </c>
      <c r="E1113" s="61" t="s">
        <v>9579</v>
      </c>
      <c r="F1113" s="62" t="s">
        <v>751</v>
      </c>
    </row>
    <row r="1114" customFormat="false" ht="15" hidden="false" customHeight="false" outlineLevel="0" collapsed="false">
      <c r="A1114" s="92" t="str">
        <f aca="false">Gov_Map!$H338&amp;""</f>
        <v>SRC_PERF_014</v>
      </c>
      <c r="B1114" s="74" t="s">
        <v>9578</v>
      </c>
      <c r="C1114" s="61" t="n">
        <v>338</v>
      </c>
      <c r="D1114" s="61" t="s">
        <v>9579</v>
      </c>
      <c r="E1114" s="61" t="s">
        <v>9579</v>
      </c>
      <c r="F1114" s="62" t="s">
        <v>751</v>
      </c>
    </row>
    <row r="1115" customFormat="false" ht="15" hidden="false" customHeight="false" outlineLevel="0" collapsed="false">
      <c r="A1115" s="92" t="str">
        <f aca="false">Gov_Map!$H339&amp;""</f>
        <v>SRC_PERF_014</v>
      </c>
      <c r="B1115" s="74" t="s">
        <v>9578</v>
      </c>
      <c r="C1115" s="61" t="n">
        <v>339</v>
      </c>
      <c r="D1115" s="61" t="s">
        <v>9579</v>
      </c>
      <c r="E1115" s="61" t="s">
        <v>9579</v>
      </c>
      <c r="F1115" s="62" t="s">
        <v>751</v>
      </c>
    </row>
    <row r="1116" customFormat="false" ht="15" hidden="false" customHeight="false" outlineLevel="0" collapsed="false">
      <c r="A1116" s="92" t="str">
        <f aca="false">Gov_Map!$H340&amp;""</f>
        <v>SRC_PERF_015</v>
      </c>
      <c r="B1116" s="74" t="s">
        <v>9578</v>
      </c>
      <c r="C1116" s="61" t="n">
        <v>340</v>
      </c>
      <c r="D1116" s="61" t="s">
        <v>9579</v>
      </c>
      <c r="E1116" s="61" t="s">
        <v>9579</v>
      </c>
      <c r="F1116" s="62" t="s">
        <v>751</v>
      </c>
    </row>
    <row r="1117" customFormat="false" ht="15" hidden="false" customHeight="false" outlineLevel="0" collapsed="false">
      <c r="A1117" s="92" t="str">
        <f aca="false">Gov_Map!$H341&amp;""</f>
        <v>SRC_PERF_015</v>
      </c>
      <c r="B1117" s="74" t="s">
        <v>9578</v>
      </c>
      <c r="C1117" s="61" t="n">
        <v>341</v>
      </c>
      <c r="D1117" s="61" t="s">
        <v>9579</v>
      </c>
      <c r="E1117" s="61" t="s">
        <v>9579</v>
      </c>
      <c r="F1117" s="62" t="s">
        <v>751</v>
      </c>
    </row>
    <row r="1118" customFormat="false" ht="15" hidden="false" customHeight="false" outlineLevel="0" collapsed="false">
      <c r="A1118" s="92" t="str">
        <f aca="false">Gov_Map!$H342&amp;""</f>
        <v>SRC_PERF_015</v>
      </c>
      <c r="B1118" s="74" t="s">
        <v>9578</v>
      </c>
      <c r="C1118" s="61" t="n">
        <v>342</v>
      </c>
      <c r="D1118" s="61" t="s">
        <v>9579</v>
      </c>
      <c r="E1118" s="61" t="s">
        <v>9579</v>
      </c>
      <c r="F1118" s="62" t="s">
        <v>751</v>
      </c>
    </row>
    <row r="1119" customFormat="false" ht="15" hidden="false" customHeight="false" outlineLevel="0" collapsed="false">
      <c r="A1119" s="92" t="str">
        <f aca="false">Gov_Map!$H343&amp;""</f>
        <v>SRC_PERF_015</v>
      </c>
      <c r="B1119" s="74" t="s">
        <v>9578</v>
      </c>
      <c r="C1119" s="61" t="n">
        <v>343</v>
      </c>
      <c r="D1119" s="61" t="s">
        <v>9579</v>
      </c>
      <c r="E1119" s="61" t="s">
        <v>9579</v>
      </c>
      <c r="F1119" s="62" t="s">
        <v>751</v>
      </c>
    </row>
    <row r="1120" customFormat="false" ht="15" hidden="false" customHeight="false" outlineLevel="0" collapsed="false">
      <c r="A1120" s="92" t="str">
        <f aca="false">Gov_Map!$H344&amp;""</f>
        <v>SRC_PERF_015</v>
      </c>
      <c r="B1120" s="74" t="s">
        <v>9578</v>
      </c>
      <c r="C1120" s="61" t="n">
        <v>344</v>
      </c>
      <c r="D1120" s="61" t="s">
        <v>9579</v>
      </c>
      <c r="E1120" s="61" t="s">
        <v>9579</v>
      </c>
      <c r="F1120" s="62" t="s">
        <v>751</v>
      </c>
    </row>
    <row r="1121" customFormat="false" ht="15" hidden="false" customHeight="false" outlineLevel="0" collapsed="false">
      <c r="A1121" s="92" t="str">
        <f aca="false">Gov_Map!$H345&amp;""</f>
        <v>SRC_PERF_042</v>
      </c>
      <c r="B1121" s="74" t="s">
        <v>9578</v>
      </c>
      <c r="C1121" s="61" t="n">
        <v>345</v>
      </c>
      <c r="D1121" s="61" t="s">
        <v>9579</v>
      </c>
      <c r="E1121" s="61" t="s">
        <v>9579</v>
      </c>
      <c r="F1121" s="62" t="s">
        <v>751</v>
      </c>
    </row>
    <row r="1122" customFormat="false" ht="15" hidden="false" customHeight="false" outlineLevel="0" collapsed="false">
      <c r="A1122" s="92" t="str">
        <f aca="false">Gov_Map!$H346&amp;""</f>
        <v>SRC_PERF_009</v>
      </c>
      <c r="B1122" s="74" t="s">
        <v>9578</v>
      </c>
      <c r="C1122" s="61" t="n">
        <v>346</v>
      </c>
      <c r="D1122" s="61" t="s">
        <v>9579</v>
      </c>
      <c r="E1122" s="61" t="s">
        <v>9579</v>
      </c>
      <c r="F1122" s="62" t="s">
        <v>751</v>
      </c>
    </row>
    <row r="1123" customFormat="false" ht="15" hidden="false" customHeight="false" outlineLevel="0" collapsed="false">
      <c r="A1123" s="92" t="str">
        <f aca="false">Gov_Map!$H347&amp;""</f>
        <v>SRC_PERF_009</v>
      </c>
      <c r="B1123" s="74" t="s">
        <v>9578</v>
      </c>
      <c r="C1123" s="61" t="n">
        <v>347</v>
      </c>
      <c r="D1123" s="61" t="s">
        <v>9579</v>
      </c>
      <c r="E1123" s="61" t="s">
        <v>9579</v>
      </c>
      <c r="F1123" s="62" t="s">
        <v>751</v>
      </c>
    </row>
    <row r="1124" customFormat="false" ht="15" hidden="false" customHeight="false" outlineLevel="0" collapsed="false">
      <c r="A1124" s="92" t="str">
        <f aca="false">Gov_Map!$H348&amp;""</f>
        <v>SRC_PERF_009</v>
      </c>
      <c r="B1124" s="74" t="s">
        <v>9578</v>
      </c>
      <c r="C1124" s="61" t="n">
        <v>348</v>
      </c>
      <c r="D1124" s="61" t="s">
        <v>9579</v>
      </c>
      <c r="E1124" s="61" t="s">
        <v>9579</v>
      </c>
      <c r="F1124" s="62" t="s">
        <v>751</v>
      </c>
    </row>
    <row r="1125" customFormat="false" ht="15" hidden="false" customHeight="false" outlineLevel="0" collapsed="false">
      <c r="A1125" s="92" t="str">
        <f aca="false">Gov_Map!$H349&amp;""</f>
        <v>SRC_PERF_009</v>
      </c>
      <c r="B1125" s="74" t="s">
        <v>9578</v>
      </c>
      <c r="C1125" s="61" t="n">
        <v>349</v>
      </c>
      <c r="D1125" s="61" t="s">
        <v>9579</v>
      </c>
      <c r="E1125" s="61" t="s">
        <v>9579</v>
      </c>
      <c r="F1125" s="62" t="s">
        <v>751</v>
      </c>
    </row>
    <row r="1126" customFormat="false" ht="15" hidden="false" customHeight="false" outlineLevel="0" collapsed="false">
      <c r="A1126" s="92" t="str">
        <f aca="false">Gov_Map!$H350&amp;""</f>
        <v>—</v>
      </c>
      <c r="B1126" s="74" t="s">
        <v>9578</v>
      </c>
      <c r="C1126" s="61" t="n">
        <v>350</v>
      </c>
      <c r="D1126" s="61" t="s">
        <v>9579</v>
      </c>
      <c r="E1126" s="61" t="s">
        <v>9579</v>
      </c>
      <c r="F1126" s="62" t="s">
        <v>751</v>
      </c>
    </row>
    <row r="1127" customFormat="false" ht="15" hidden="false" customHeight="false" outlineLevel="0" collapsed="false">
      <c r="A1127" s="92" t="str">
        <f aca="false">Gov_Map!$H351&amp;""</f>
        <v>—</v>
      </c>
      <c r="B1127" s="74" t="s">
        <v>9578</v>
      </c>
      <c r="C1127" s="61" t="n">
        <v>351</v>
      </c>
      <c r="D1127" s="61" t="s">
        <v>9579</v>
      </c>
      <c r="E1127" s="61" t="s">
        <v>9579</v>
      </c>
      <c r="F1127" s="62" t="s">
        <v>751</v>
      </c>
    </row>
    <row r="1128" customFormat="false" ht="15" hidden="false" customHeight="false" outlineLevel="0" collapsed="false">
      <c r="A1128" s="92" t="str">
        <f aca="false">Gov_Map!$H352&amp;""</f>
        <v>—</v>
      </c>
      <c r="B1128" s="74" t="s">
        <v>9578</v>
      </c>
      <c r="C1128" s="61" t="n">
        <v>352</v>
      </c>
      <c r="D1128" s="61" t="s">
        <v>9579</v>
      </c>
      <c r="E1128" s="61" t="s">
        <v>9579</v>
      </c>
      <c r="F1128" s="62" t="s">
        <v>751</v>
      </c>
    </row>
    <row r="1129" customFormat="false" ht="15" hidden="false" customHeight="false" outlineLevel="0" collapsed="false">
      <c r="A1129" s="92" t="str">
        <f aca="false">Gov_Map!$H353&amp;""</f>
        <v>—</v>
      </c>
      <c r="B1129" s="74" t="s">
        <v>9578</v>
      </c>
      <c r="C1129" s="61" t="n">
        <v>353</v>
      </c>
      <c r="D1129" s="61" t="s">
        <v>9579</v>
      </c>
      <c r="E1129" s="61" t="s">
        <v>9579</v>
      </c>
      <c r="F1129" s="62" t="s">
        <v>751</v>
      </c>
    </row>
    <row r="1130" customFormat="false" ht="15" hidden="false" customHeight="false" outlineLevel="0" collapsed="false">
      <c r="A1130" s="92" t="str">
        <f aca="false">Gov_Map!$H354&amp;""</f>
        <v>—</v>
      </c>
      <c r="B1130" s="74" t="s">
        <v>9578</v>
      </c>
      <c r="C1130" s="61" t="n">
        <v>354</v>
      </c>
      <c r="D1130" s="61" t="s">
        <v>9579</v>
      </c>
      <c r="E1130" s="61" t="s">
        <v>9579</v>
      </c>
      <c r="F1130" s="62" t="s">
        <v>751</v>
      </c>
    </row>
    <row r="1131" customFormat="false" ht="15" hidden="false" customHeight="false" outlineLevel="0" collapsed="false">
      <c r="A1131" s="92" t="str">
        <f aca="false">Gov_Map!$H355&amp;""</f>
        <v>—</v>
      </c>
      <c r="B1131" s="74" t="s">
        <v>9578</v>
      </c>
      <c r="C1131" s="61" t="n">
        <v>355</v>
      </c>
      <c r="D1131" s="61" t="s">
        <v>9579</v>
      </c>
      <c r="E1131" s="61" t="s">
        <v>9579</v>
      </c>
      <c r="F1131" s="62" t="s">
        <v>751</v>
      </c>
    </row>
    <row r="1132" customFormat="false" ht="15" hidden="false" customHeight="false" outlineLevel="0" collapsed="false">
      <c r="A1132" s="92" t="str">
        <f aca="false">Gov_Map!$H356&amp;""</f>
        <v>—</v>
      </c>
      <c r="B1132" s="74" t="s">
        <v>9578</v>
      </c>
      <c r="C1132" s="61" t="n">
        <v>356</v>
      </c>
      <c r="D1132" s="61" t="s">
        <v>9579</v>
      </c>
      <c r="E1132" s="61" t="s">
        <v>9579</v>
      </c>
      <c r="F1132" s="62" t="s">
        <v>751</v>
      </c>
    </row>
    <row r="1133" customFormat="false" ht="15" hidden="false" customHeight="false" outlineLevel="0" collapsed="false">
      <c r="A1133" s="92" t="str">
        <f aca="false">Gov_Map!$H357&amp;""</f>
        <v>—</v>
      </c>
      <c r="B1133" s="74" t="s">
        <v>9578</v>
      </c>
      <c r="C1133" s="61" t="n">
        <v>357</v>
      </c>
      <c r="D1133" s="61" t="s">
        <v>9579</v>
      </c>
      <c r="E1133" s="61" t="s">
        <v>9579</v>
      </c>
      <c r="F1133" s="62" t="s">
        <v>751</v>
      </c>
    </row>
    <row r="1134" customFormat="false" ht="15" hidden="false" customHeight="false" outlineLevel="0" collapsed="false">
      <c r="A1134" s="92" t="str">
        <f aca="false">Gov_Map!$H358&amp;""</f>
        <v>—</v>
      </c>
      <c r="B1134" s="74" t="s">
        <v>9578</v>
      </c>
      <c r="C1134" s="61" t="n">
        <v>358</v>
      </c>
      <c r="D1134" s="61" t="s">
        <v>9579</v>
      </c>
      <c r="E1134" s="61" t="s">
        <v>9579</v>
      </c>
      <c r="F1134" s="62" t="s">
        <v>751</v>
      </c>
    </row>
    <row r="1135" customFormat="false" ht="15" hidden="false" customHeight="false" outlineLevel="0" collapsed="false">
      <c r="A1135" s="92" t="str">
        <f aca="false">Gov_Map!$H359&amp;""</f>
        <v>—</v>
      </c>
      <c r="B1135" s="74" t="s">
        <v>9578</v>
      </c>
      <c r="C1135" s="61" t="n">
        <v>359</v>
      </c>
      <c r="D1135" s="61" t="s">
        <v>9579</v>
      </c>
      <c r="E1135" s="61" t="s">
        <v>9579</v>
      </c>
      <c r="F1135" s="62" t="s">
        <v>751</v>
      </c>
    </row>
    <row r="1136" customFormat="false" ht="15" hidden="false" customHeight="false" outlineLevel="0" collapsed="false">
      <c r="A1136" s="92" t="str">
        <f aca="false">Gov_Map!$H360&amp;""</f>
        <v>—</v>
      </c>
      <c r="B1136" s="74" t="s">
        <v>9578</v>
      </c>
      <c r="C1136" s="61" t="n">
        <v>360</v>
      </c>
      <c r="D1136" s="61" t="s">
        <v>9579</v>
      </c>
      <c r="E1136" s="61" t="s">
        <v>9579</v>
      </c>
      <c r="F1136" s="62" t="s">
        <v>751</v>
      </c>
    </row>
    <row r="1137" customFormat="false" ht="15" hidden="false" customHeight="false" outlineLevel="0" collapsed="false">
      <c r="A1137" s="92" t="str">
        <f aca="false">Gov_Map!$H361&amp;""</f>
        <v>SRC_MOD_020</v>
      </c>
      <c r="B1137" s="74" t="s">
        <v>9578</v>
      </c>
      <c r="C1137" s="61" t="n">
        <v>361</v>
      </c>
      <c r="D1137" s="61" t="s">
        <v>9579</v>
      </c>
      <c r="E1137" s="61" t="s">
        <v>9579</v>
      </c>
      <c r="F1137" s="62" t="s">
        <v>751</v>
      </c>
    </row>
    <row r="1138" customFormat="false" ht="15" hidden="false" customHeight="false" outlineLevel="0" collapsed="false">
      <c r="A1138" s="92" t="str">
        <f aca="false">Gov_Map!$H362&amp;""</f>
        <v>SRC_MOD_021</v>
      </c>
      <c r="B1138" s="74" t="s">
        <v>9578</v>
      </c>
      <c r="C1138" s="61" t="n">
        <v>362</v>
      </c>
      <c r="D1138" s="61" t="s">
        <v>9579</v>
      </c>
      <c r="E1138" s="61" t="s">
        <v>9579</v>
      </c>
      <c r="F1138" s="62" t="s">
        <v>751</v>
      </c>
    </row>
    <row r="1139" customFormat="false" ht="15" hidden="false" customHeight="false" outlineLevel="0" collapsed="false">
      <c r="A1139" s="92" t="str">
        <f aca="false">Gov_Map!$H363&amp;""</f>
        <v>SRC_MOD_022</v>
      </c>
      <c r="B1139" s="74" t="s">
        <v>9578</v>
      </c>
      <c r="C1139" s="61" t="n">
        <v>363</v>
      </c>
      <c r="D1139" s="61" t="s">
        <v>9579</v>
      </c>
      <c r="E1139" s="61" t="s">
        <v>9579</v>
      </c>
      <c r="F1139" s="62" t="s">
        <v>751</v>
      </c>
    </row>
    <row r="1140" customFormat="false" ht="15" hidden="false" customHeight="false" outlineLevel="0" collapsed="false">
      <c r="A1140" s="92" t="str">
        <f aca="false">Gov_Map!$H364&amp;""</f>
        <v>SRC_MOD_023</v>
      </c>
      <c r="B1140" s="74" t="s">
        <v>9578</v>
      </c>
      <c r="C1140" s="61" t="n">
        <v>364</v>
      </c>
      <c r="D1140" s="61" t="s">
        <v>9579</v>
      </c>
      <c r="E1140" s="61" t="s">
        <v>9579</v>
      </c>
      <c r="F1140" s="62" t="s">
        <v>751</v>
      </c>
    </row>
    <row r="1141" customFormat="false" ht="15" hidden="false" customHeight="false" outlineLevel="0" collapsed="false">
      <c r="A1141" s="92" t="str">
        <f aca="false">Gov_Map!$H365&amp;""</f>
        <v>SRC_MOD_024</v>
      </c>
      <c r="B1141" s="74" t="s">
        <v>9578</v>
      </c>
      <c r="C1141" s="61" t="n">
        <v>365</v>
      </c>
      <c r="D1141" s="61" t="s">
        <v>9579</v>
      </c>
      <c r="E1141" s="61" t="s">
        <v>9579</v>
      </c>
      <c r="F1141" s="62" t="s">
        <v>751</v>
      </c>
    </row>
    <row r="1142" customFormat="false" ht="15" hidden="false" customHeight="false" outlineLevel="0" collapsed="false">
      <c r="A1142" s="92" t="str">
        <f aca="false">Gov_Map!$H366&amp;""</f>
        <v>SRC_MOD_025</v>
      </c>
      <c r="B1142" s="74" t="s">
        <v>9578</v>
      </c>
      <c r="C1142" s="61" t="n">
        <v>366</v>
      </c>
      <c r="D1142" s="61" t="s">
        <v>9579</v>
      </c>
      <c r="E1142" s="61" t="s">
        <v>9579</v>
      </c>
      <c r="F1142" s="62" t="s">
        <v>751</v>
      </c>
    </row>
    <row r="1143" customFormat="false" ht="15" hidden="false" customHeight="false" outlineLevel="0" collapsed="false">
      <c r="A1143" s="92" t="str">
        <f aca="false">Gov_Map!$H367&amp;""</f>
        <v>SRC_MOD_026</v>
      </c>
      <c r="B1143" s="74" t="s">
        <v>9578</v>
      </c>
      <c r="C1143" s="61" t="n">
        <v>367</v>
      </c>
      <c r="D1143" s="61" t="s">
        <v>9579</v>
      </c>
      <c r="E1143" s="61" t="s">
        <v>9579</v>
      </c>
      <c r="F1143" s="62" t="s">
        <v>751</v>
      </c>
    </row>
    <row r="1144" customFormat="false" ht="15" hidden="false" customHeight="false" outlineLevel="0" collapsed="false">
      <c r="A1144" s="92" t="str">
        <f aca="false">Gov_Map!$H368&amp;""</f>
        <v>SRC_MOD_027</v>
      </c>
      <c r="B1144" s="74" t="s">
        <v>9578</v>
      </c>
      <c r="C1144" s="61" t="n">
        <v>368</v>
      </c>
      <c r="D1144" s="61" t="s">
        <v>9579</v>
      </c>
      <c r="E1144" s="61" t="s">
        <v>9579</v>
      </c>
      <c r="F1144" s="62" t="s">
        <v>751</v>
      </c>
    </row>
    <row r="1145" customFormat="false" ht="15" hidden="false" customHeight="false" outlineLevel="0" collapsed="false">
      <c r="A1145" s="92" t="str">
        <f aca="false">Gov_Map!$H369&amp;""</f>
        <v>SRC_MOD_028</v>
      </c>
      <c r="B1145" s="74" t="s">
        <v>9578</v>
      </c>
      <c r="C1145" s="61" t="n">
        <v>369</v>
      </c>
      <c r="D1145" s="61" t="s">
        <v>9579</v>
      </c>
      <c r="E1145" s="61" t="s">
        <v>9579</v>
      </c>
      <c r="F1145" s="62" t="s">
        <v>751</v>
      </c>
    </row>
    <row r="1146" customFormat="false" ht="15" hidden="false" customHeight="false" outlineLevel="0" collapsed="false">
      <c r="A1146" s="92" t="str">
        <f aca="false">Gov_Map!$H370&amp;""</f>
        <v>SRC_MOD_049</v>
      </c>
      <c r="B1146" s="74" t="s">
        <v>9578</v>
      </c>
      <c r="C1146" s="61" t="n">
        <v>370</v>
      </c>
      <c r="D1146" s="61" t="s">
        <v>9579</v>
      </c>
      <c r="E1146" s="61" t="s">
        <v>9579</v>
      </c>
      <c r="F1146" s="62" t="s">
        <v>751</v>
      </c>
    </row>
    <row r="1147" customFormat="false" ht="15" hidden="false" customHeight="false" outlineLevel="0" collapsed="false">
      <c r="A1147" s="92" t="str">
        <f aca="false">Gov_Map!$H371&amp;""</f>
        <v>SRC_PERF_029</v>
      </c>
      <c r="B1147" s="74" t="s">
        <v>9578</v>
      </c>
      <c r="C1147" s="61" t="n">
        <v>371</v>
      </c>
      <c r="D1147" s="61" t="s">
        <v>9579</v>
      </c>
      <c r="E1147" s="61" t="s">
        <v>9579</v>
      </c>
      <c r="F1147" s="62" t="s">
        <v>751</v>
      </c>
    </row>
    <row r="1148" customFormat="false" ht="15" hidden="false" customHeight="false" outlineLevel="0" collapsed="false">
      <c r="A1148" s="92" t="str">
        <f aca="false">Gov_Map!$H372&amp;""</f>
        <v>SRC_PERF_030</v>
      </c>
      <c r="B1148" s="74" t="s">
        <v>9578</v>
      </c>
      <c r="C1148" s="61" t="n">
        <v>372</v>
      </c>
      <c r="D1148" s="61" t="s">
        <v>9579</v>
      </c>
      <c r="E1148" s="61" t="s">
        <v>9579</v>
      </c>
      <c r="F1148" s="62" t="s">
        <v>751</v>
      </c>
    </row>
    <row r="1149" customFormat="false" ht="15" hidden="false" customHeight="false" outlineLevel="0" collapsed="false">
      <c r="A1149" s="92" t="str">
        <f aca="false">Gov_Map!$H373&amp;""</f>
        <v>—</v>
      </c>
      <c r="B1149" s="74" t="s">
        <v>9578</v>
      </c>
      <c r="C1149" s="61" t="n">
        <v>373</v>
      </c>
      <c r="D1149" s="61" t="s">
        <v>9579</v>
      </c>
      <c r="E1149" s="61" t="s">
        <v>9579</v>
      </c>
      <c r="F1149" s="62" t="s">
        <v>751</v>
      </c>
    </row>
    <row r="1150" customFormat="false" ht="15" hidden="false" customHeight="false" outlineLevel="0" collapsed="false">
      <c r="A1150" s="92" t="str">
        <f aca="false">Gov_Map!$H374&amp;""</f>
        <v>SRC_PERF_031</v>
      </c>
      <c r="B1150" s="74" t="s">
        <v>9578</v>
      </c>
      <c r="C1150" s="61" t="n">
        <v>374</v>
      </c>
      <c r="D1150" s="61" t="s">
        <v>9579</v>
      </c>
      <c r="E1150" s="61" t="s">
        <v>9579</v>
      </c>
      <c r="F1150" s="62" t="s">
        <v>751</v>
      </c>
    </row>
    <row r="1151" customFormat="false" ht="15" hidden="false" customHeight="false" outlineLevel="0" collapsed="false">
      <c r="A1151" s="92" t="str">
        <f aca="false">Gov_Map!$H375&amp;""</f>
        <v>SRC_PERF_031</v>
      </c>
      <c r="B1151" s="74" t="s">
        <v>9578</v>
      </c>
      <c r="C1151" s="61" t="n">
        <v>375</v>
      </c>
      <c r="D1151" s="61" t="s">
        <v>9579</v>
      </c>
      <c r="E1151" s="61" t="s">
        <v>9579</v>
      </c>
      <c r="F1151" s="62" t="s">
        <v>751</v>
      </c>
    </row>
    <row r="1152" customFormat="false" ht="15" hidden="false" customHeight="false" outlineLevel="0" collapsed="false">
      <c r="A1152" s="92" t="str">
        <f aca="false">Gov_Map!$H376&amp;""</f>
        <v>SRC_PERF_031</v>
      </c>
      <c r="B1152" s="74" t="s">
        <v>9578</v>
      </c>
      <c r="C1152" s="61" t="n">
        <v>376</v>
      </c>
      <c r="D1152" s="61" t="s">
        <v>9579</v>
      </c>
      <c r="E1152" s="61" t="s">
        <v>9579</v>
      </c>
      <c r="F1152" s="62" t="s">
        <v>751</v>
      </c>
    </row>
    <row r="1153" customFormat="false" ht="15" hidden="false" customHeight="false" outlineLevel="0" collapsed="false">
      <c r="A1153" s="92" t="str">
        <f aca="false">Gov_Map!$H377&amp;""</f>
        <v>SRC_PERF_032</v>
      </c>
      <c r="B1153" s="74" t="s">
        <v>9578</v>
      </c>
      <c r="C1153" s="61" t="n">
        <v>377</v>
      </c>
      <c r="D1153" s="61" t="s">
        <v>9579</v>
      </c>
      <c r="E1153" s="61" t="s">
        <v>9579</v>
      </c>
      <c r="F1153" s="62" t="s">
        <v>751</v>
      </c>
    </row>
    <row r="1154" customFormat="false" ht="15" hidden="false" customHeight="false" outlineLevel="0" collapsed="false">
      <c r="A1154" s="92" t="str">
        <f aca="false">Gov_Map!$H378&amp;""</f>
        <v>SRC_PERF_035</v>
      </c>
      <c r="B1154" s="74" t="s">
        <v>9578</v>
      </c>
      <c r="C1154" s="61" t="n">
        <v>378</v>
      </c>
      <c r="D1154" s="61" t="s">
        <v>9579</v>
      </c>
      <c r="E1154" s="61" t="s">
        <v>9579</v>
      </c>
      <c r="F1154" s="62" t="s">
        <v>751</v>
      </c>
    </row>
    <row r="1155" customFormat="false" ht="15" hidden="false" customHeight="false" outlineLevel="0" collapsed="false">
      <c r="A1155" s="92" t="str">
        <f aca="false">Gov_Map!$H379&amp;""</f>
        <v>SRC_PERF_035</v>
      </c>
      <c r="B1155" s="74" t="s">
        <v>9578</v>
      </c>
      <c r="C1155" s="61" t="n">
        <v>379</v>
      </c>
      <c r="D1155" s="61" t="s">
        <v>9579</v>
      </c>
      <c r="E1155" s="61" t="s">
        <v>9579</v>
      </c>
      <c r="F1155" s="62" t="s">
        <v>751</v>
      </c>
    </row>
    <row r="1156" customFormat="false" ht="15" hidden="false" customHeight="false" outlineLevel="0" collapsed="false">
      <c r="A1156" s="92" t="str">
        <f aca="false">Gov_Map!$H380&amp;""</f>
        <v>SRC_PERF_035</v>
      </c>
      <c r="B1156" s="74" t="s">
        <v>9578</v>
      </c>
      <c r="C1156" s="61" t="n">
        <v>380</v>
      </c>
      <c r="D1156" s="61" t="s">
        <v>9579</v>
      </c>
      <c r="E1156" s="61" t="s">
        <v>9579</v>
      </c>
      <c r="F1156" s="62" t="s">
        <v>751</v>
      </c>
    </row>
    <row r="1157" customFormat="false" ht="15" hidden="false" customHeight="false" outlineLevel="0" collapsed="false">
      <c r="A1157" s="92" t="str">
        <f aca="false">Gov_Map!$H381&amp;""</f>
        <v>SRC_PERF_035</v>
      </c>
      <c r="B1157" s="74" t="s">
        <v>9578</v>
      </c>
      <c r="C1157" s="61" t="n">
        <v>381</v>
      </c>
      <c r="D1157" s="61" t="s">
        <v>9579</v>
      </c>
      <c r="E1157" s="61" t="s">
        <v>9579</v>
      </c>
      <c r="F1157" s="62" t="s">
        <v>751</v>
      </c>
    </row>
    <row r="1158" customFormat="false" ht="15" hidden="false" customHeight="false" outlineLevel="0" collapsed="false">
      <c r="A1158" s="92" t="str">
        <f aca="false">Gov_Map!$H382&amp;""</f>
        <v>SRC_PERF_028</v>
      </c>
      <c r="B1158" s="74" t="s">
        <v>9578</v>
      </c>
      <c r="C1158" s="61" t="n">
        <v>382</v>
      </c>
      <c r="D1158" s="61" t="s">
        <v>9579</v>
      </c>
      <c r="E1158" s="61" t="s">
        <v>9579</v>
      </c>
      <c r="F1158" s="62" t="s">
        <v>751</v>
      </c>
    </row>
    <row r="1159" customFormat="false" ht="15" hidden="false" customHeight="false" outlineLevel="0" collapsed="false">
      <c r="A1159" s="92" t="str">
        <f aca="false">Gov_Map!$H383&amp;""</f>
        <v>SRC_PERF_025</v>
      </c>
      <c r="B1159" s="74" t="s">
        <v>9578</v>
      </c>
      <c r="C1159" s="61" t="n">
        <v>383</v>
      </c>
      <c r="D1159" s="61" t="s">
        <v>9579</v>
      </c>
      <c r="E1159" s="61" t="s">
        <v>9579</v>
      </c>
      <c r="F1159" s="62" t="s">
        <v>751</v>
      </c>
    </row>
    <row r="1160" customFormat="false" ht="15" hidden="false" customHeight="false" outlineLevel="0" collapsed="false">
      <c r="A1160" s="92" t="str">
        <f aca="false">Gov_Map!$H384&amp;""</f>
        <v>SRC_PERF_027</v>
      </c>
      <c r="B1160" s="74" t="s">
        <v>9578</v>
      </c>
      <c r="C1160" s="61" t="n">
        <v>384</v>
      </c>
      <c r="D1160" s="61" t="s">
        <v>9579</v>
      </c>
      <c r="E1160" s="61" t="s">
        <v>9579</v>
      </c>
      <c r="F1160" s="62" t="s">
        <v>751</v>
      </c>
    </row>
    <row r="1161" customFormat="false" ht="15" hidden="false" customHeight="false" outlineLevel="0" collapsed="false">
      <c r="A1161" s="92" t="str">
        <f aca="false">Gov_Map!$H385&amp;""</f>
        <v>SRC_PERF_076</v>
      </c>
      <c r="B1161" s="74" t="s">
        <v>9578</v>
      </c>
      <c r="C1161" s="61" t="n">
        <v>385</v>
      </c>
      <c r="D1161" s="61" t="s">
        <v>9579</v>
      </c>
      <c r="E1161" s="61" t="s">
        <v>9579</v>
      </c>
      <c r="F1161" s="62" t="s">
        <v>751</v>
      </c>
    </row>
    <row r="1162" customFormat="false" ht="15" hidden="false" customHeight="false" outlineLevel="0" collapsed="false">
      <c r="A1162" s="92" t="str">
        <f aca="false">Gov_Map!$H386&amp;""</f>
        <v>—</v>
      </c>
      <c r="B1162" s="74" t="s">
        <v>9578</v>
      </c>
      <c r="C1162" s="61" t="n">
        <v>386</v>
      </c>
      <c r="D1162" s="61" t="s">
        <v>9579</v>
      </c>
      <c r="E1162" s="61" t="s">
        <v>9579</v>
      </c>
      <c r="F1162" s="62" t="s">
        <v>751</v>
      </c>
    </row>
    <row r="1163" customFormat="false" ht="15" hidden="false" customHeight="false" outlineLevel="0" collapsed="false">
      <c r="A1163" s="92" t="str">
        <f aca="false">Gov_Map!$H387&amp;""</f>
        <v>SRC_HW_035</v>
      </c>
      <c r="B1163" s="74" t="s">
        <v>9578</v>
      </c>
      <c r="C1163" s="61" t="n">
        <v>387</v>
      </c>
      <c r="D1163" s="61" t="s">
        <v>9579</v>
      </c>
      <c r="E1163" s="61" t="s">
        <v>9579</v>
      </c>
      <c r="F1163" s="62" t="s">
        <v>751</v>
      </c>
    </row>
    <row r="1164" customFormat="false" ht="15" hidden="false" customHeight="false" outlineLevel="0" collapsed="false">
      <c r="A1164" s="92" t="str">
        <f aca="false">Gov_Map!$H388&amp;""</f>
        <v>—</v>
      </c>
      <c r="B1164" s="74" t="s">
        <v>9578</v>
      </c>
      <c r="C1164" s="61" t="n">
        <v>388</v>
      </c>
      <c r="D1164" s="61" t="s">
        <v>9579</v>
      </c>
      <c r="E1164" s="61" t="s">
        <v>9579</v>
      </c>
      <c r="F1164" s="62" t="s">
        <v>751</v>
      </c>
    </row>
    <row r="1165" customFormat="false" ht="15" hidden="false" customHeight="false" outlineLevel="0" collapsed="false">
      <c r="A1165" s="92" t="str">
        <f aca="false">Gov_Map!$H389&amp;""</f>
        <v>—</v>
      </c>
      <c r="B1165" s="74" t="s">
        <v>9578</v>
      </c>
      <c r="C1165" s="61" t="n">
        <v>389</v>
      </c>
      <c r="D1165" s="61" t="s">
        <v>9579</v>
      </c>
      <c r="E1165" s="61" t="s">
        <v>9579</v>
      </c>
      <c r="F1165" s="62" t="s">
        <v>751</v>
      </c>
    </row>
    <row r="1166" customFormat="false" ht="15" hidden="false" customHeight="false" outlineLevel="0" collapsed="false">
      <c r="A1166" s="92" t="str">
        <f aca="false">Gov_Map!$H390&amp;""</f>
        <v>—</v>
      </c>
      <c r="B1166" s="74" t="s">
        <v>9578</v>
      </c>
      <c r="C1166" s="61" t="n">
        <v>390</v>
      </c>
      <c r="D1166" s="61" t="s">
        <v>9579</v>
      </c>
      <c r="E1166" s="61" t="s">
        <v>9579</v>
      </c>
      <c r="F1166" s="62" t="s">
        <v>751</v>
      </c>
    </row>
    <row r="1167" customFormat="false" ht="15" hidden="false" customHeight="false" outlineLevel="0" collapsed="false">
      <c r="A1167" s="92" t="str">
        <f aca="false">Gov_Map!$H391&amp;""</f>
        <v>—</v>
      </c>
      <c r="B1167" s="74" t="s">
        <v>9578</v>
      </c>
      <c r="C1167" s="61" t="n">
        <v>391</v>
      </c>
      <c r="D1167" s="61" t="s">
        <v>9579</v>
      </c>
      <c r="E1167" s="61" t="s">
        <v>9579</v>
      </c>
      <c r="F1167" s="62" t="s">
        <v>751</v>
      </c>
    </row>
    <row r="1168" customFormat="false" ht="15" hidden="false" customHeight="false" outlineLevel="0" collapsed="false">
      <c r="A1168" s="92" t="str">
        <f aca="false">Gov_Map!$H392&amp;""</f>
        <v>—</v>
      </c>
      <c r="B1168" s="74" t="s">
        <v>9578</v>
      </c>
      <c r="C1168" s="61" t="n">
        <v>392</v>
      </c>
      <c r="D1168" s="61" t="s">
        <v>9579</v>
      </c>
      <c r="E1168" s="61" t="s">
        <v>9579</v>
      </c>
      <c r="F1168" s="62" t="s">
        <v>751</v>
      </c>
    </row>
    <row r="1169" customFormat="false" ht="15" hidden="false" customHeight="false" outlineLevel="0" collapsed="false">
      <c r="A1169" s="92" t="str">
        <f aca="false">Gov_Map!$H393&amp;""</f>
        <v>—</v>
      </c>
      <c r="B1169" s="74" t="s">
        <v>9578</v>
      </c>
      <c r="C1169" s="61" t="n">
        <v>393</v>
      </c>
      <c r="D1169" s="61" t="s">
        <v>9579</v>
      </c>
      <c r="E1169" s="61" t="s">
        <v>9579</v>
      </c>
      <c r="F1169" s="62" t="s">
        <v>751</v>
      </c>
    </row>
    <row r="1170" customFormat="false" ht="15" hidden="false" customHeight="false" outlineLevel="0" collapsed="false">
      <c r="A1170" s="92" t="str">
        <f aca="false">Gov_Map!$H394&amp;""</f>
        <v>—</v>
      </c>
      <c r="B1170" s="74" t="s">
        <v>9578</v>
      </c>
      <c r="C1170" s="61" t="n">
        <v>394</v>
      </c>
      <c r="D1170" s="61" t="s">
        <v>9579</v>
      </c>
      <c r="E1170" s="61" t="s">
        <v>9579</v>
      </c>
      <c r="F1170" s="62" t="s">
        <v>751</v>
      </c>
    </row>
    <row r="1171" customFormat="false" ht="15" hidden="false" customHeight="false" outlineLevel="0" collapsed="false">
      <c r="A1171" s="92" t="str">
        <f aca="false">Gov_Map!$H395&amp;""</f>
        <v>—</v>
      </c>
      <c r="B1171" s="74" t="s">
        <v>9578</v>
      </c>
      <c r="C1171" s="61" t="n">
        <v>395</v>
      </c>
      <c r="D1171" s="61" t="s">
        <v>9579</v>
      </c>
      <c r="E1171" s="61" t="s">
        <v>9579</v>
      </c>
      <c r="F1171" s="62" t="s">
        <v>751</v>
      </c>
    </row>
    <row r="1172" customFormat="false" ht="15" hidden="false" customHeight="false" outlineLevel="0" collapsed="false">
      <c r="A1172" s="92" t="str">
        <f aca="false">Gov_Map!$H396&amp;""</f>
        <v>—</v>
      </c>
      <c r="B1172" s="74" t="s">
        <v>9578</v>
      </c>
      <c r="C1172" s="61" t="n">
        <v>396</v>
      </c>
      <c r="D1172" s="61" t="s">
        <v>9579</v>
      </c>
      <c r="E1172" s="61" t="s">
        <v>9579</v>
      </c>
      <c r="F1172" s="62" t="s">
        <v>751</v>
      </c>
    </row>
    <row r="1173" customFormat="false" ht="15" hidden="false" customHeight="false" outlineLevel="0" collapsed="false">
      <c r="A1173" s="92" t="str">
        <f aca="false">Gov_Map!$H397&amp;""</f>
        <v>—</v>
      </c>
      <c r="B1173" s="74" t="s">
        <v>9578</v>
      </c>
      <c r="C1173" s="61" t="n">
        <v>397</v>
      </c>
      <c r="D1173" s="61" t="s">
        <v>9579</v>
      </c>
      <c r="E1173" s="61" t="s">
        <v>9579</v>
      </c>
      <c r="F1173" s="62" t="s">
        <v>751</v>
      </c>
    </row>
    <row r="1174" customFormat="false" ht="15" hidden="false" customHeight="false" outlineLevel="0" collapsed="false">
      <c r="A1174" s="92" t="str">
        <f aca="false">Gov_Map!$H398&amp;""</f>
        <v>—</v>
      </c>
      <c r="B1174" s="74" t="s">
        <v>9578</v>
      </c>
      <c r="C1174" s="61" t="n">
        <v>398</v>
      </c>
      <c r="D1174" s="61" t="s">
        <v>9579</v>
      </c>
      <c r="E1174" s="61" t="s">
        <v>9579</v>
      </c>
      <c r="F1174" s="62" t="s">
        <v>751</v>
      </c>
    </row>
    <row r="1175" customFormat="false" ht="15" hidden="false" customHeight="false" outlineLevel="0" collapsed="false">
      <c r="A1175" s="92" t="str">
        <f aca="false">Gov_Map!$H399&amp;""</f>
        <v>—</v>
      </c>
      <c r="B1175" s="74" t="s">
        <v>9578</v>
      </c>
      <c r="C1175" s="61" t="n">
        <v>399</v>
      </c>
      <c r="D1175" s="61" t="s">
        <v>9579</v>
      </c>
      <c r="E1175" s="61" t="s">
        <v>9579</v>
      </c>
      <c r="F1175" s="62" t="s">
        <v>751</v>
      </c>
    </row>
    <row r="1176" customFormat="false" ht="15" hidden="false" customHeight="false" outlineLevel="0" collapsed="false">
      <c r="A1176" s="92" t="str">
        <f aca="false">Gov_Map!$H400&amp;""</f>
        <v>—</v>
      </c>
      <c r="B1176" s="74" t="s">
        <v>9578</v>
      </c>
      <c r="C1176" s="61" t="n">
        <v>400</v>
      </c>
      <c r="D1176" s="61" t="s">
        <v>9579</v>
      </c>
      <c r="E1176" s="61" t="s">
        <v>9579</v>
      </c>
      <c r="F1176" s="62" t="s">
        <v>751</v>
      </c>
    </row>
    <row r="1177" customFormat="false" ht="15" hidden="false" customHeight="false" outlineLevel="0" collapsed="false">
      <c r="A1177" s="92" t="str">
        <f aca="false">Gov_Map!$H401&amp;""</f>
        <v>—</v>
      </c>
      <c r="B1177" s="74" t="s">
        <v>9578</v>
      </c>
      <c r="C1177" s="61" t="n">
        <v>401</v>
      </c>
      <c r="D1177" s="61" t="s">
        <v>9579</v>
      </c>
      <c r="E1177" s="61" t="s">
        <v>9579</v>
      </c>
      <c r="F1177" s="62" t="s">
        <v>751</v>
      </c>
    </row>
    <row r="1178" customFormat="false" ht="15" hidden="false" customHeight="false" outlineLevel="0" collapsed="false">
      <c r="A1178" s="92" t="str">
        <f aca="false">Gov_Map!$H402&amp;""</f>
        <v>—</v>
      </c>
      <c r="B1178" s="74" t="s">
        <v>9578</v>
      </c>
      <c r="C1178" s="61" t="n">
        <v>402</v>
      </c>
      <c r="D1178" s="61" t="s">
        <v>9579</v>
      </c>
      <c r="E1178" s="61" t="s">
        <v>9579</v>
      </c>
      <c r="F1178" s="62" t="s">
        <v>751</v>
      </c>
    </row>
    <row r="1179" customFormat="false" ht="15" hidden="false" customHeight="false" outlineLevel="0" collapsed="false">
      <c r="A1179" s="92" t="str">
        <f aca="false">Gov_Map!$H403&amp;""</f>
        <v>—</v>
      </c>
      <c r="B1179" s="74" t="s">
        <v>9578</v>
      </c>
      <c r="C1179" s="61" t="n">
        <v>403</v>
      </c>
      <c r="D1179" s="61" t="s">
        <v>9579</v>
      </c>
      <c r="E1179" s="61" t="s">
        <v>9579</v>
      </c>
      <c r="F1179" s="62" t="s">
        <v>751</v>
      </c>
    </row>
    <row r="1180" customFormat="false" ht="15" hidden="false" customHeight="false" outlineLevel="0" collapsed="false">
      <c r="A1180" s="92" t="str">
        <f aca="false">Gov_Map!$H404&amp;""</f>
        <v>—</v>
      </c>
      <c r="B1180" s="74" t="s">
        <v>9578</v>
      </c>
      <c r="C1180" s="61" t="n">
        <v>404</v>
      </c>
      <c r="D1180" s="61" t="s">
        <v>9579</v>
      </c>
      <c r="E1180" s="61" t="s">
        <v>9579</v>
      </c>
      <c r="F1180" s="62" t="s">
        <v>751</v>
      </c>
    </row>
    <row r="1181" customFormat="false" ht="15" hidden="false" customHeight="false" outlineLevel="0" collapsed="false">
      <c r="A1181" s="92" t="str">
        <f aca="false">Gov_Map!$H405&amp;""</f>
        <v>—</v>
      </c>
      <c r="B1181" s="74" t="s">
        <v>9578</v>
      </c>
      <c r="C1181" s="61" t="n">
        <v>405</v>
      </c>
      <c r="D1181" s="61" t="s">
        <v>9579</v>
      </c>
      <c r="E1181" s="61" t="s">
        <v>9579</v>
      </c>
      <c r="F1181" s="62" t="s">
        <v>751</v>
      </c>
    </row>
    <row r="1182" customFormat="false" ht="15" hidden="false" customHeight="false" outlineLevel="0" collapsed="false">
      <c r="A1182" s="92" t="str">
        <f aca="false">Gov_Map!$H406&amp;""</f>
        <v>—</v>
      </c>
      <c r="B1182" s="74" t="s">
        <v>9578</v>
      </c>
      <c r="C1182" s="61" t="n">
        <v>406</v>
      </c>
      <c r="D1182" s="61" t="s">
        <v>9579</v>
      </c>
      <c r="E1182" s="61" t="s">
        <v>9579</v>
      </c>
      <c r="F1182" s="62" t="s">
        <v>751</v>
      </c>
    </row>
    <row r="1183" customFormat="false" ht="15" hidden="false" customHeight="false" outlineLevel="0" collapsed="false">
      <c r="A1183" s="92" t="str">
        <f aca="false">Gov_Map!$H407&amp;""</f>
        <v>—</v>
      </c>
      <c r="B1183" s="74" t="s">
        <v>9578</v>
      </c>
      <c r="C1183" s="61" t="n">
        <v>407</v>
      </c>
      <c r="D1183" s="61" t="s">
        <v>9579</v>
      </c>
      <c r="E1183" s="61" t="s">
        <v>9579</v>
      </c>
      <c r="F1183" s="62" t="s">
        <v>751</v>
      </c>
    </row>
    <row r="1184" customFormat="false" ht="15" hidden="false" customHeight="false" outlineLevel="0" collapsed="false">
      <c r="A1184" s="92" t="str">
        <f aca="false">Gov_Map!$H408&amp;""</f>
        <v>—</v>
      </c>
      <c r="B1184" s="74" t="s">
        <v>9578</v>
      </c>
      <c r="C1184" s="61" t="n">
        <v>408</v>
      </c>
      <c r="D1184" s="61" t="s">
        <v>9579</v>
      </c>
      <c r="E1184" s="61" t="s">
        <v>9579</v>
      </c>
      <c r="F1184" s="62" t="s">
        <v>751</v>
      </c>
    </row>
    <row r="1185" customFormat="false" ht="15" hidden="false" customHeight="false" outlineLevel="0" collapsed="false">
      <c r="A1185" s="92" t="str">
        <f aca="false">Gov_Map!$H409&amp;""</f>
        <v>—</v>
      </c>
      <c r="B1185" s="74" t="s">
        <v>9578</v>
      </c>
      <c r="C1185" s="61" t="n">
        <v>409</v>
      </c>
      <c r="D1185" s="61" t="s">
        <v>9579</v>
      </c>
      <c r="E1185" s="61" t="s">
        <v>9579</v>
      </c>
      <c r="F1185" s="62" t="s">
        <v>751</v>
      </c>
    </row>
    <row r="1186" customFormat="false" ht="15" hidden="false" customHeight="false" outlineLevel="0" collapsed="false">
      <c r="A1186" s="92" t="str">
        <f aca="false">Gov_Map!$H410&amp;""</f>
        <v>—</v>
      </c>
      <c r="B1186" s="74" t="s">
        <v>9578</v>
      </c>
      <c r="C1186" s="61" t="n">
        <v>410</v>
      </c>
      <c r="D1186" s="61" t="s">
        <v>9579</v>
      </c>
      <c r="E1186" s="61" t="s">
        <v>9579</v>
      </c>
      <c r="F1186" s="62" t="s">
        <v>751</v>
      </c>
    </row>
    <row r="1187" customFormat="false" ht="15" hidden="false" customHeight="false" outlineLevel="0" collapsed="false">
      <c r="A1187" s="92" t="str">
        <f aca="false">Gov_Map!$H411&amp;""</f>
        <v>—</v>
      </c>
      <c r="B1187" s="74" t="s">
        <v>9578</v>
      </c>
      <c r="C1187" s="61" t="n">
        <v>411</v>
      </c>
      <c r="D1187" s="61" t="s">
        <v>9579</v>
      </c>
      <c r="E1187" s="61" t="s">
        <v>9579</v>
      </c>
      <c r="F1187" s="62" t="s">
        <v>751</v>
      </c>
    </row>
    <row r="1188" customFormat="false" ht="15" hidden="false" customHeight="false" outlineLevel="0" collapsed="false">
      <c r="A1188" s="92" t="str">
        <f aca="false">Gov_Map!$H412&amp;""</f>
        <v>—</v>
      </c>
      <c r="B1188" s="74" t="s">
        <v>9578</v>
      </c>
      <c r="C1188" s="61" t="n">
        <v>412</v>
      </c>
      <c r="D1188" s="61" t="s">
        <v>9579</v>
      </c>
      <c r="E1188" s="61" t="s">
        <v>9579</v>
      </c>
      <c r="F1188" s="62" t="s">
        <v>751</v>
      </c>
    </row>
    <row r="1189" customFormat="false" ht="15" hidden="false" customHeight="false" outlineLevel="0" collapsed="false">
      <c r="A1189" s="92" t="str">
        <f aca="false">Gov_Map!$H413&amp;""</f>
        <v>—</v>
      </c>
      <c r="B1189" s="74" t="s">
        <v>9578</v>
      </c>
      <c r="C1189" s="61" t="n">
        <v>413</v>
      </c>
      <c r="D1189" s="61" t="s">
        <v>9579</v>
      </c>
      <c r="E1189" s="61" t="s">
        <v>9579</v>
      </c>
      <c r="F1189" s="62" t="s">
        <v>751</v>
      </c>
    </row>
    <row r="1190" customFormat="false" ht="15" hidden="false" customHeight="false" outlineLevel="0" collapsed="false">
      <c r="A1190" s="92" t="str">
        <f aca="false">Gov_Map!$H414&amp;""</f>
        <v>—</v>
      </c>
      <c r="B1190" s="74" t="s">
        <v>9578</v>
      </c>
      <c r="C1190" s="61" t="n">
        <v>414</v>
      </c>
      <c r="D1190" s="61" t="s">
        <v>9579</v>
      </c>
      <c r="E1190" s="61" t="s">
        <v>9579</v>
      </c>
      <c r="F1190" s="62" t="s">
        <v>751</v>
      </c>
    </row>
    <row r="1191" customFormat="false" ht="15" hidden="false" customHeight="false" outlineLevel="0" collapsed="false">
      <c r="A1191" s="92" t="str">
        <f aca="false">Gov_Map!$H415&amp;""</f>
        <v>—</v>
      </c>
      <c r="B1191" s="74" t="s">
        <v>9578</v>
      </c>
      <c r="C1191" s="61" t="n">
        <v>415</v>
      </c>
      <c r="D1191" s="61" t="s">
        <v>9579</v>
      </c>
      <c r="E1191" s="61" t="s">
        <v>9579</v>
      </c>
      <c r="F1191" s="62" t="s">
        <v>751</v>
      </c>
    </row>
    <row r="1192" customFormat="false" ht="15" hidden="false" customHeight="false" outlineLevel="0" collapsed="false">
      <c r="A1192" s="92" t="str">
        <f aca="false">Gov_Map!$H416&amp;""</f>
        <v>—</v>
      </c>
      <c r="B1192" s="74" t="s">
        <v>9578</v>
      </c>
      <c r="C1192" s="61" t="n">
        <v>416</v>
      </c>
      <c r="D1192" s="61" t="s">
        <v>9579</v>
      </c>
      <c r="E1192" s="61" t="s">
        <v>9579</v>
      </c>
      <c r="F1192" s="62" t="s">
        <v>751</v>
      </c>
    </row>
    <row r="1193" customFormat="false" ht="15" hidden="false" customHeight="false" outlineLevel="0" collapsed="false">
      <c r="A1193" s="92" t="str">
        <f aca="false">Gov_Map!$H417&amp;""</f>
        <v>—</v>
      </c>
      <c r="B1193" s="74" t="s">
        <v>9578</v>
      </c>
      <c r="C1193" s="61" t="n">
        <v>417</v>
      </c>
      <c r="D1193" s="61" t="s">
        <v>9579</v>
      </c>
      <c r="E1193" s="61" t="s">
        <v>9579</v>
      </c>
      <c r="F1193" s="62" t="s">
        <v>751</v>
      </c>
    </row>
    <row r="1194" customFormat="false" ht="15" hidden="false" customHeight="false" outlineLevel="0" collapsed="false">
      <c r="A1194" s="92" t="str">
        <f aca="false">Gov_Map!$H418&amp;""</f>
        <v>—</v>
      </c>
      <c r="B1194" s="74" t="s">
        <v>9578</v>
      </c>
      <c r="C1194" s="61" t="n">
        <v>418</v>
      </c>
      <c r="D1194" s="61" t="s">
        <v>9579</v>
      </c>
      <c r="E1194" s="61" t="s">
        <v>9579</v>
      </c>
      <c r="F1194" s="62" t="s">
        <v>751</v>
      </c>
    </row>
    <row r="1195" customFormat="false" ht="15" hidden="false" customHeight="false" outlineLevel="0" collapsed="false">
      <c r="A1195" s="92" t="str">
        <f aca="false">Gov_Map!$H419&amp;""</f>
        <v>—</v>
      </c>
      <c r="B1195" s="74" t="s">
        <v>9578</v>
      </c>
      <c r="C1195" s="61" t="n">
        <v>419</v>
      </c>
      <c r="D1195" s="61" t="s">
        <v>9579</v>
      </c>
      <c r="E1195" s="61" t="s">
        <v>9579</v>
      </c>
      <c r="F1195" s="62" t="s">
        <v>751</v>
      </c>
    </row>
    <row r="1196" customFormat="false" ht="15" hidden="false" customHeight="false" outlineLevel="0" collapsed="false">
      <c r="A1196" s="92" t="str">
        <f aca="false">Gov_Map!$H420&amp;""</f>
        <v>—</v>
      </c>
      <c r="B1196" s="74" t="s">
        <v>9578</v>
      </c>
      <c r="C1196" s="61" t="n">
        <v>420</v>
      </c>
      <c r="D1196" s="61" t="s">
        <v>9579</v>
      </c>
      <c r="E1196" s="61" t="s">
        <v>9579</v>
      </c>
      <c r="F1196" s="62" t="s">
        <v>751</v>
      </c>
    </row>
    <row r="1197" customFormat="false" ht="15" hidden="false" customHeight="false" outlineLevel="0" collapsed="false">
      <c r="A1197" s="92" t="str">
        <f aca="false">Gov_Map!$H421&amp;""</f>
        <v>—</v>
      </c>
      <c r="B1197" s="74" t="s">
        <v>9578</v>
      </c>
      <c r="C1197" s="61" t="n">
        <v>421</v>
      </c>
      <c r="D1197" s="61" t="s">
        <v>9579</v>
      </c>
      <c r="E1197" s="61" t="s">
        <v>9579</v>
      </c>
      <c r="F1197" s="62" t="s">
        <v>751</v>
      </c>
    </row>
    <row r="1198" customFormat="false" ht="15" hidden="false" customHeight="false" outlineLevel="0" collapsed="false">
      <c r="A1198" s="92" t="str">
        <f aca="false">Gov_Map!$H422&amp;""</f>
        <v>—</v>
      </c>
      <c r="B1198" s="74" t="s">
        <v>9578</v>
      </c>
      <c r="C1198" s="61" t="n">
        <v>422</v>
      </c>
      <c r="D1198" s="61" t="s">
        <v>9579</v>
      </c>
      <c r="E1198" s="61" t="s">
        <v>9579</v>
      </c>
      <c r="F1198" s="62" t="s">
        <v>751</v>
      </c>
    </row>
    <row r="1199" customFormat="false" ht="15" hidden="false" customHeight="false" outlineLevel="0" collapsed="false">
      <c r="A1199" s="92" t="str">
        <f aca="false">Gov_Map!$H423&amp;""</f>
        <v>—</v>
      </c>
      <c r="B1199" s="74" t="s">
        <v>9578</v>
      </c>
      <c r="C1199" s="61" t="n">
        <v>423</v>
      </c>
      <c r="D1199" s="61" t="s">
        <v>9579</v>
      </c>
      <c r="E1199" s="61" t="s">
        <v>9579</v>
      </c>
      <c r="F1199" s="62" t="s">
        <v>751</v>
      </c>
    </row>
    <row r="1200" customFormat="false" ht="15" hidden="false" customHeight="false" outlineLevel="0" collapsed="false">
      <c r="A1200" s="92" t="str">
        <f aca="false">Gov_Map!$H424&amp;""</f>
        <v>—</v>
      </c>
      <c r="B1200" s="74" t="s">
        <v>9578</v>
      </c>
      <c r="C1200" s="61" t="n">
        <v>424</v>
      </c>
      <c r="D1200" s="61" t="s">
        <v>9579</v>
      </c>
      <c r="E1200" s="61" t="s">
        <v>9579</v>
      </c>
      <c r="F1200" s="62" t="s">
        <v>751</v>
      </c>
    </row>
    <row r="1201" customFormat="false" ht="15" hidden="false" customHeight="false" outlineLevel="0" collapsed="false">
      <c r="A1201" s="92" t="str">
        <f aca="false">Gov_Map!$H425&amp;""</f>
        <v>—</v>
      </c>
      <c r="B1201" s="74" t="s">
        <v>9578</v>
      </c>
      <c r="C1201" s="61" t="n">
        <v>425</v>
      </c>
      <c r="D1201" s="61" t="s">
        <v>9579</v>
      </c>
      <c r="E1201" s="61" t="s">
        <v>9579</v>
      </c>
      <c r="F1201" s="62" t="s">
        <v>751</v>
      </c>
    </row>
    <row r="1202" customFormat="false" ht="15" hidden="false" customHeight="false" outlineLevel="0" collapsed="false">
      <c r="A1202" s="92" t="str">
        <f aca="false">Gov_Map!$H426&amp;""</f>
        <v>—</v>
      </c>
      <c r="B1202" s="74" t="s">
        <v>9578</v>
      </c>
      <c r="C1202" s="61" t="n">
        <v>426</v>
      </c>
      <c r="D1202" s="61" t="s">
        <v>9579</v>
      </c>
      <c r="E1202" s="61" t="s">
        <v>9579</v>
      </c>
      <c r="F1202" s="62" t="s">
        <v>751</v>
      </c>
    </row>
    <row r="1203" customFormat="false" ht="15" hidden="false" customHeight="false" outlineLevel="0" collapsed="false">
      <c r="A1203" s="92" t="str">
        <f aca="false">Gov_Map!$H427&amp;""</f>
        <v>—</v>
      </c>
      <c r="B1203" s="74" t="s">
        <v>9578</v>
      </c>
      <c r="C1203" s="61" t="n">
        <v>427</v>
      </c>
      <c r="D1203" s="61" t="s">
        <v>9579</v>
      </c>
      <c r="E1203" s="61" t="s">
        <v>9579</v>
      </c>
      <c r="F1203" s="62" t="s">
        <v>751</v>
      </c>
    </row>
    <row r="1204" customFormat="false" ht="15" hidden="false" customHeight="false" outlineLevel="0" collapsed="false">
      <c r="A1204" s="92" t="str">
        <f aca="false">Gov_Map!$H428&amp;""</f>
        <v>—</v>
      </c>
      <c r="B1204" s="74" t="s">
        <v>9578</v>
      </c>
      <c r="C1204" s="61" t="n">
        <v>428</v>
      </c>
      <c r="D1204" s="61" t="s">
        <v>9579</v>
      </c>
      <c r="E1204" s="61" t="s">
        <v>9579</v>
      </c>
      <c r="F1204" s="62" t="s">
        <v>751</v>
      </c>
    </row>
    <row r="1205" customFormat="false" ht="15" hidden="false" customHeight="false" outlineLevel="0" collapsed="false">
      <c r="A1205" s="92" t="str">
        <f aca="false">Gov_Map!$H429&amp;""</f>
        <v>—</v>
      </c>
      <c r="B1205" s="74" t="s">
        <v>9578</v>
      </c>
      <c r="C1205" s="61" t="n">
        <v>429</v>
      </c>
      <c r="D1205" s="61" t="s">
        <v>9579</v>
      </c>
      <c r="E1205" s="61" t="s">
        <v>9579</v>
      </c>
      <c r="F1205" s="62" t="s">
        <v>751</v>
      </c>
    </row>
    <row r="1206" customFormat="false" ht="15" hidden="false" customHeight="false" outlineLevel="0" collapsed="false">
      <c r="A1206" s="92" t="str">
        <f aca="false">Gov_Map!$H430&amp;""</f>
        <v>—</v>
      </c>
      <c r="B1206" s="74" t="s">
        <v>9578</v>
      </c>
      <c r="C1206" s="61" t="n">
        <v>430</v>
      </c>
      <c r="D1206" s="61" t="s">
        <v>9579</v>
      </c>
      <c r="E1206" s="61" t="s">
        <v>9579</v>
      </c>
      <c r="F1206" s="62" t="s">
        <v>751</v>
      </c>
    </row>
    <row r="1207" customFormat="false" ht="15" hidden="false" customHeight="false" outlineLevel="0" collapsed="false">
      <c r="A1207" s="92" t="str">
        <f aca="false">Gov_Map!$H431&amp;""</f>
        <v>SRC_MOD_029</v>
      </c>
      <c r="B1207" s="74" t="s">
        <v>9578</v>
      </c>
      <c r="C1207" s="61" t="n">
        <v>431</v>
      </c>
      <c r="D1207" s="61" t="s">
        <v>9579</v>
      </c>
      <c r="E1207" s="61" t="s">
        <v>9579</v>
      </c>
      <c r="F1207" s="62" t="s">
        <v>751</v>
      </c>
    </row>
    <row r="1208" customFormat="false" ht="15" hidden="false" customHeight="false" outlineLevel="0" collapsed="false">
      <c r="A1208" s="92" t="str">
        <f aca="false">Gov_Map!$H432&amp;""</f>
        <v>SRC_MOD_030</v>
      </c>
      <c r="B1208" s="74" t="s">
        <v>9578</v>
      </c>
      <c r="C1208" s="61" t="n">
        <v>432</v>
      </c>
      <c r="D1208" s="61" t="s">
        <v>9579</v>
      </c>
      <c r="E1208" s="61" t="s">
        <v>9579</v>
      </c>
      <c r="F1208" s="62" t="s">
        <v>751</v>
      </c>
    </row>
    <row r="1209" customFormat="false" ht="15" hidden="false" customHeight="false" outlineLevel="0" collapsed="false">
      <c r="A1209" s="92" t="str">
        <f aca="false">Gov_Map!$H433&amp;""</f>
        <v>SRC_MOD_031</v>
      </c>
      <c r="B1209" s="74" t="s">
        <v>9578</v>
      </c>
      <c r="C1209" s="61" t="n">
        <v>433</v>
      </c>
      <c r="D1209" s="61" t="s">
        <v>9579</v>
      </c>
      <c r="E1209" s="61" t="s">
        <v>9579</v>
      </c>
      <c r="F1209" s="62" t="s">
        <v>751</v>
      </c>
    </row>
    <row r="1210" customFormat="false" ht="15" hidden="false" customHeight="false" outlineLevel="0" collapsed="false">
      <c r="A1210" s="92" t="str">
        <f aca="false">Gov_Map!$H434&amp;""</f>
        <v>SRC_MOD_031</v>
      </c>
      <c r="B1210" s="74" t="s">
        <v>9578</v>
      </c>
      <c r="C1210" s="61" t="n">
        <v>434</v>
      </c>
      <c r="D1210" s="61" t="s">
        <v>9579</v>
      </c>
      <c r="E1210" s="61" t="s">
        <v>9579</v>
      </c>
      <c r="F1210" s="62" t="s">
        <v>751</v>
      </c>
    </row>
    <row r="1211" customFormat="false" ht="15" hidden="false" customHeight="false" outlineLevel="0" collapsed="false">
      <c r="A1211" s="92" t="str">
        <f aca="false">Gov_Map!$H435&amp;""</f>
        <v>SRC_MOD_039</v>
      </c>
      <c r="B1211" s="74" t="s">
        <v>9578</v>
      </c>
      <c r="C1211" s="61" t="n">
        <v>435</v>
      </c>
      <c r="D1211" s="61" t="s">
        <v>9579</v>
      </c>
      <c r="E1211" s="61" t="s">
        <v>9579</v>
      </c>
      <c r="F1211" s="62" t="s">
        <v>751</v>
      </c>
    </row>
    <row r="1212" customFormat="false" ht="15" hidden="false" customHeight="false" outlineLevel="0" collapsed="false">
      <c r="A1212" s="92" t="str">
        <f aca="false">Gov_Map!$H436&amp;""</f>
        <v>SRC_MOD_040</v>
      </c>
      <c r="B1212" s="74" t="s">
        <v>9578</v>
      </c>
      <c r="C1212" s="61" t="n">
        <v>436</v>
      </c>
      <c r="D1212" s="61" t="s">
        <v>9579</v>
      </c>
      <c r="E1212" s="61" t="s">
        <v>9579</v>
      </c>
      <c r="F1212" s="62" t="s">
        <v>751</v>
      </c>
    </row>
    <row r="1213" customFormat="false" ht="15" hidden="false" customHeight="false" outlineLevel="0" collapsed="false">
      <c r="A1213" s="92" t="str">
        <f aca="false">Gov_Map!$H437&amp;""</f>
        <v>SRC_MOD_042</v>
      </c>
      <c r="B1213" s="74" t="s">
        <v>9578</v>
      </c>
      <c r="C1213" s="61" t="n">
        <v>437</v>
      </c>
      <c r="D1213" s="61" t="s">
        <v>9579</v>
      </c>
      <c r="E1213" s="61" t="s">
        <v>9579</v>
      </c>
      <c r="F1213" s="62" t="s">
        <v>751</v>
      </c>
    </row>
    <row r="1214" customFormat="false" ht="15" hidden="false" customHeight="false" outlineLevel="0" collapsed="false">
      <c r="A1214" s="92" t="str">
        <f aca="false">Gov_Map!$H438&amp;""</f>
        <v>SRC_MOD_036</v>
      </c>
      <c r="B1214" s="74" t="s">
        <v>9578</v>
      </c>
      <c r="C1214" s="61" t="n">
        <v>438</v>
      </c>
      <c r="D1214" s="61" t="s">
        <v>9579</v>
      </c>
      <c r="E1214" s="61" t="s">
        <v>9579</v>
      </c>
      <c r="F1214" s="62" t="s">
        <v>751</v>
      </c>
    </row>
    <row r="1215" customFormat="false" ht="15" hidden="false" customHeight="false" outlineLevel="0" collapsed="false">
      <c r="A1215" s="92" t="str">
        <f aca="false">Gov_Map!$H439&amp;""</f>
        <v>SRC_MOD_043</v>
      </c>
      <c r="B1215" s="74" t="s">
        <v>9578</v>
      </c>
      <c r="C1215" s="61" t="n">
        <v>439</v>
      </c>
      <c r="D1215" s="61" t="s">
        <v>9579</v>
      </c>
      <c r="E1215" s="61" t="s">
        <v>9579</v>
      </c>
      <c r="F1215" s="62" t="s">
        <v>751</v>
      </c>
    </row>
    <row r="1216" customFormat="false" ht="15" hidden="false" customHeight="false" outlineLevel="0" collapsed="false">
      <c r="A1216" s="92" t="str">
        <f aca="false">Gov_Map!$H440&amp;""</f>
        <v>—</v>
      </c>
      <c r="B1216" s="74" t="s">
        <v>9578</v>
      </c>
      <c r="C1216" s="61" t="n">
        <v>440</v>
      </c>
      <c r="D1216" s="61" t="s">
        <v>9579</v>
      </c>
      <c r="E1216" s="61" t="s">
        <v>9579</v>
      </c>
      <c r="F1216" s="62" t="s">
        <v>751</v>
      </c>
    </row>
    <row r="1217" customFormat="false" ht="15" hidden="false" customHeight="false" outlineLevel="0" collapsed="false">
      <c r="A1217" s="92" t="str">
        <f aca="false">Gov_Map!$H441&amp;""</f>
        <v>—</v>
      </c>
      <c r="B1217" s="74" t="s">
        <v>9578</v>
      </c>
      <c r="C1217" s="61" t="n">
        <v>441</v>
      </c>
      <c r="D1217" s="61" t="s">
        <v>9579</v>
      </c>
      <c r="E1217" s="61" t="s">
        <v>9579</v>
      </c>
      <c r="F1217" s="62" t="s">
        <v>751</v>
      </c>
    </row>
    <row r="1218" customFormat="false" ht="15" hidden="false" customHeight="false" outlineLevel="0" collapsed="false">
      <c r="A1218" s="92" t="str">
        <f aca="false">Gov_Map!$H442&amp;""</f>
        <v>—</v>
      </c>
      <c r="B1218" s="74" t="s">
        <v>9578</v>
      </c>
      <c r="C1218" s="61" t="n">
        <v>442</v>
      </c>
      <c r="D1218" s="61" t="s">
        <v>9579</v>
      </c>
      <c r="E1218" s="61" t="s">
        <v>9579</v>
      </c>
      <c r="F1218" s="62" t="s">
        <v>751</v>
      </c>
    </row>
    <row r="1219" customFormat="false" ht="15" hidden="false" customHeight="false" outlineLevel="0" collapsed="false">
      <c r="A1219" s="92" t="str">
        <f aca="false">Gov_Map!$H443&amp;""</f>
        <v>—</v>
      </c>
      <c r="B1219" s="74" t="s">
        <v>9578</v>
      </c>
      <c r="C1219" s="61" t="n">
        <v>443</v>
      </c>
      <c r="D1219" s="61" t="s">
        <v>9579</v>
      </c>
      <c r="E1219" s="61" t="s">
        <v>9579</v>
      </c>
      <c r="F1219" s="62" t="s">
        <v>751</v>
      </c>
    </row>
    <row r="1220" customFormat="false" ht="15" hidden="false" customHeight="false" outlineLevel="0" collapsed="false">
      <c r="A1220" s="92" t="str">
        <f aca="false">Gov_Map!$H444&amp;""</f>
        <v>—</v>
      </c>
      <c r="B1220" s="74" t="s">
        <v>9578</v>
      </c>
      <c r="C1220" s="61" t="n">
        <v>444</v>
      </c>
      <c r="D1220" s="61" t="s">
        <v>9579</v>
      </c>
      <c r="E1220" s="61" t="s">
        <v>9579</v>
      </c>
      <c r="F1220" s="62" t="s">
        <v>751</v>
      </c>
    </row>
    <row r="1221" customFormat="false" ht="15" hidden="false" customHeight="false" outlineLevel="0" collapsed="false">
      <c r="A1221" s="92" t="str">
        <f aca="false">Gov_Map!$H445&amp;""</f>
        <v>—</v>
      </c>
      <c r="B1221" s="74" t="s">
        <v>9578</v>
      </c>
      <c r="C1221" s="61" t="n">
        <v>445</v>
      </c>
      <c r="D1221" s="61" t="s">
        <v>9579</v>
      </c>
      <c r="E1221" s="61" t="s">
        <v>9579</v>
      </c>
      <c r="F1221" s="62" t="s">
        <v>751</v>
      </c>
    </row>
    <row r="1222" customFormat="false" ht="15" hidden="false" customHeight="false" outlineLevel="0" collapsed="false">
      <c r="A1222" s="92" t="str">
        <f aca="false">Gov_Map!$H446&amp;""</f>
        <v>—</v>
      </c>
      <c r="B1222" s="74" t="s">
        <v>9578</v>
      </c>
      <c r="C1222" s="61" t="n">
        <v>446</v>
      </c>
      <c r="D1222" s="61" t="s">
        <v>9579</v>
      </c>
      <c r="E1222" s="61" t="s">
        <v>9579</v>
      </c>
      <c r="F1222" s="62" t="s">
        <v>751</v>
      </c>
    </row>
    <row r="1223" customFormat="false" ht="15" hidden="false" customHeight="false" outlineLevel="0" collapsed="false">
      <c r="A1223" s="92" t="str">
        <f aca="false">Gov_Map!$H447&amp;""</f>
        <v>—</v>
      </c>
      <c r="B1223" s="74" t="s">
        <v>9578</v>
      </c>
      <c r="C1223" s="61" t="n">
        <v>447</v>
      </c>
      <c r="D1223" s="61" t="s">
        <v>9579</v>
      </c>
      <c r="E1223" s="61" t="s">
        <v>9579</v>
      </c>
      <c r="F1223" s="62" t="s">
        <v>751</v>
      </c>
    </row>
    <row r="1224" customFormat="false" ht="15" hidden="false" customHeight="false" outlineLevel="0" collapsed="false">
      <c r="A1224" s="92" t="str">
        <f aca="false">Gov_Map!$H448&amp;""</f>
        <v>—</v>
      </c>
      <c r="B1224" s="74" t="s">
        <v>9578</v>
      </c>
      <c r="C1224" s="61" t="n">
        <v>448</v>
      </c>
      <c r="D1224" s="61" t="s">
        <v>9579</v>
      </c>
      <c r="E1224" s="61" t="s">
        <v>9579</v>
      </c>
      <c r="F1224" s="62" t="s">
        <v>751</v>
      </c>
    </row>
    <row r="1225" customFormat="false" ht="15" hidden="false" customHeight="false" outlineLevel="0" collapsed="false">
      <c r="A1225" s="92" t="str">
        <f aca="false">Gov_Map!$H449&amp;""</f>
        <v>—</v>
      </c>
      <c r="B1225" s="74" t="s">
        <v>9578</v>
      </c>
      <c r="C1225" s="61" t="n">
        <v>449</v>
      </c>
      <c r="D1225" s="61" t="s">
        <v>9579</v>
      </c>
      <c r="E1225" s="61" t="s">
        <v>9579</v>
      </c>
      <c r="F1225" s="62" t="s">
        <v>751</v>
      </c>
    </row>
    <row r="1226" customFormat="false" ht="15" hidden="false" customHeight="false" outlineLevel="0" collapsed="false">
      <c r="A1226" s="92" t="str">
        <f aca="false">Gov_Map!$H450&amp;""</f>
        <v>—</v>
      </c>
      <c r="B1226" s="74" t="s">
        <v>9578</v>
      </c>
      <c r="C1226" s="61" t="n">
        <v>450</v>
      </c>
      <c r="D1226" s="61" t="s">
        <v>9579</v>
      </c>
      <c r="E1226" s="61" t="s">
        <v>9579</v>
      </c>
      <c r="F1226" s="62" t="s">
        <v>751</v>
      </c>
    </row>
    <row r="1227" customFormat="false" ht="15" hidden="false" customHeight="false" outlineLevel="0" collapsed="false">
      <c r="A1227" s="92" t="str">
        <f aca="false">Gov_Map!$H451&amp;""</f>
        <v>—</v>
      </c>
      <c r="B1227" s="74" t="s">
        <v>9578</v>
      </c>
      <c r="C1227" s="61" t="n">
        <v>451</v>
      </c>
      <c r="D1227" s="61" t="s">
        <v>9579</v>
      </c>
      <c r="E1227" s="61" t="s">
        <v>9579</v>
      </c>
      <c r="F1227" s="62" t="s">
        <v>751</v>
      </c>
    </row>
    <row r="1228" customFormat="false" ht="15" hidden="false" customHeight="false" outlineLevel="0" collapsed="false">
      <c r="A1228" s="92" t="str">
        <f aca="false">Gov_Map!$H452&amp;""</f>
        <v>—</v>
      </c>
      <c r="B1228" s="74" t="s">
        <v>9578</v>
      </c>
      <c r="C1228" s="61" t="n">
        <v>452</v>
      </c>
      <c r="D1228" s="61" t="s">
        <v>9579</v>
      </c>
      <c r="E1228" s="61" t="s">
        <v>9579</v>
      </c>
      <c r="F1228" s="62" t="s">
        <v>751</v>
      </c>
    </row>
    <row r="1229" customFormat="false" ht="15" hidden="false" customHeight="false" outlineLevel="0" collapsed="false">
      <c r="A1229" s="92" t="str">
        <f aca="false">Gov_Map!$H453&amp;""</f>
        <v>—</v>
      </c>
      <c r="B1229" s="74" t="s">
        <v>9578</v>
      </c>
      <c r="C1229" s="61" t="n">
        <v>453</v>
      </c>
      <c r="D1229" s="61" t="s">
        <v>9579</v>
      </c>
      <c r="E1229" s="61" t="s">
        <v>9579</v>
      </c>
      <c r="F1229" s="62" t="s">
        <v>751</v>
      </c>
    </row>
    <row r="1230" customFormat="false" ht="15" hidden="false" customHeight="false" outlineLevel="0" collapsed="false">
      <c r="A1230" s="92" t="str">
        <f aca="false">Gov_Map!$H454&amp;""</f>
        <v>—</v>
      </c>
      <c r="B1230" s="74" t="s">
        <v>9578</v>
      </c>
      <c r="C1230" s="61" t="n">
        <v>454</v>
      </c>
      <c r="D1230" s="61" t="s">
        <v>9579</v>
      </c>
      <c r="E1230" s="61" t="s">
        <v>9579</v>
      </c>
      <c r="F1230" s="62" t="s">
        <v>751</v>
      </c>
    </row>
    <row r="1231" customFormat="false" ht="15" hidden="false" customHeight="false" outlineLevel="0" collapsed="false">
      <c r="A1231" s="92" t="str">
        <f aca="false">Gov_Map!$H455&amp;""</f>
        <v>—</v>
      </c>
      <c r="B1231" s="74" t="s">
        <v>9578</v>
      </c>
      <c r="C1231" s="61" t="n">
        <v>455</v>
      </c>
      <c r="D1231" s="61" t="s">
        <v>9579</v>
      </c>
      <c r="E1231" s="61" t="s">
        <v>9579</v>
      </c>
      <c r="F1231" s="62" t="s">
        <v>751</v>
      </c>
    </row>
    <row r="1232" customFormat="false" ht="15" hidden="false" customHeight="false" outlineLevel="0" collapsed="false">
      <c r="A1232" s="92" t="str">
        <f aca="false">Gov_Map!$H456&amp;""</f>
        <v>—</v>
      </c>
      <c r="B1232" s="74" t="s">
        <v>9578</v>
      </c>
      <c r="C1232" s="61" t="n">
        <v>456</v>
      </c>
      <c r="D1232" s="61" t="s">
        <v>9579</v>
      </c>
      <c r="E1232" s="61" t="s">
        <v>9579</v>
      </c>
      <c r="F1232" s="62" t="s">
        <v>751</v>
      </c>
    </row>
    <row r="1233" customFormat="false" ht="15" hidden="false" customHeight="false" outlineLevel="0" collapsed="false">
      <c r="A1233" s="92" t="str">
        <f aca="false">Gov_Map!$H457&amp;""</f>
        <v>SRC_DEM_004</v>
      </c>
      <c r="B1233" s="74" t="s">
        <v>9578</v>
      </c>
      <c r="C1233" s="61" t="n">
        <v>457</v>
      </c>
      <c r="D1233" s="61" t="s">
        <v>9579</v>
      </c>
      <c r="E1233" s="61" t="s">
        <v>9579</v>
      </c>
      <c r="F1233" s="62" t="s">
        <v>751</v>
      </c>
    </row>
    <row r="1234" customFormat="false" ht="15" hidden="false" customHeight="false" outlineLevel="0" collapsed="false">
      <c r="A1234" s="92" t="str">
        <f aca="false">Gov_Map!$H458&amp;""</f>
        <v>—</v>
      </c>
      <c r="B1234" s="74" t="s">
        <v>9578</v>
      </c>
      <c r="C1234" s="61" t="n">
        <v>458</v>
      </c>
      <c r="D1234" s="61" t="s">
        <v>9579</v>
      </c>
      <c r="E1234" s="61" t="s">
        <v>9579</v>
      </c>
      <c r="F1234" s="62" t="s">
        <v>751</v>
      </c>
    </row>
    <row r="1235" customFormat="false" ht="15" hidden="false" customHeight="false" outlineLevel="0" collapsed="false">
      <c r="A1235" s="92" t="str">
        <f aca="false">Gov_Map!$H459&amp;""</f>
        <v>SRC_DEM_005</v>
      </c>
      <c r="B1235" s="74" t="s">
        <v>9578</v>
      </c>
      <c r="C1235" s="61" t="n">
        <v>459</v>
      </c>
      <c r="D1235" s="61" t="s">
        <v>9579</v>
      </c>
      <c r="E1235" s="61" t="s">
        <v>9579</v>
      </c>
      <c r="F1235" s="62" t="s">
        <v>751</v>
      </c>
    </row>
    <row r="1236" customFormat="false" ht="15" hidden="false" customHeight="false" outlineLevel="0" collapsed="false">
      <c r="A1236" s="92" t="str">
        <f aca="false">Gov_Map!$H460&amp;""</f>
        <v>—</v>
      </c>
      <c r="B1236" s="74" t="s">
        <v>9578</v>
      </c>
      <c r="C1236" s="61" t="n">
        <v>460</v>
      </c>
      <c r="D1236" s="61" t="s">
        <v>9579</v>
      </c>
      <c r="E1236" s="61" t="s">
        <v>9579</v>
      </c>
      <c r="F1236" s="62" t="s">
        <v>751</v>
      </c>
    </row>
    <row r="1237" customFormat="false" ht="15" hidden="false" customHeight="false" outlineLevel="0" collapsed="false">
      <c r="A1237" s="92" t="str">
        <f aca="false">Gov_Map!$H461&amp;""</f>
        <v>—</v>
      </c>
      <c r="B1237" s="74" t="s">
        <v>9578</v>
      </c>
      <c r="C1237" s="61" t="n">
        <v>461</v>
      </c>
      <c r="D1237" s="61" t="s">
        <v>9579</v>
      </c>
      <c r="E1237" s="61" t="s">
        <v>9579</v>
      </c>
      <c r="F1237" s="62" t="s">
        <v>751</v>
      </c>
    </row>
    <row r="1238" customFormat="false" ht="15" hidden="false" customHeight="false" outlineLevel="0" collapsed="false">
      <c r="A1238" s="92" t="str">
        <f aca="false">Gov_Map!$H462&amp;""</f>
        <v>—</v>
      </c>
      <c r="B1238" s="74" t="s">
        <v>9578</v>
      </c>
      <c r="C1238" s="61" t="n">
        <v>462</v>
      </c>
      <c r="D1238" s="61" t="s">
        <v>9579</v>
      </c>
      <c r="E1238" s="61" t="s">
        <v>9579</v>
      </c>
      <c r="F1238" s="62" t="s">
        <v>751</v>
      </c>
    </row>
    <row r="1239" customFormat="false" ht="15" hidden="false" customHeight="false" outlineLevel="0" collapsed="false">
      <c r="A1239" s="92" t="str">
        <f aca="false">Gov_Map!$H463&amp;""</f>
        <v>—</v>
      </c>
      <c r="B1239" s="74" t="s">
        <v>9578</v>
      </c>
      <c r="C1239" s="61" t="n">
        <v>463</v>
      </c>
      <c r="D1239" s="61" t="s">
        <v>9579</v>
      </c>
      <c r="E1239" s="61" t="s">
        <v>9579</v>
      </c>
      <c r="F1239" s="62" t="s">
        <v>751</v>
      </c>
    </row>
    <row r="1240" customFormat="false" ht="15" hidden="false" customHeight="false" outlineLevel="0" collapsed="false">
      <c r="A1240" s="92" t="str">
        <f aca="false">Gov_Map!$H464&amp;""</f>
        <v>—</v>
      </c>
      <c r="B1240" s="74" t="s">
        <v>9578</v>
      </c>
      <c r="C1240" s="61" t="n">
        <v>464</v>
      </c>
      <c r="D1240" s="61" t="s">
        <v>9579</v>
      </c>
      <c r="E1240" s="61" t="s">
        <v>9579</v>
      </c>
      <c r="F1240" s="62" t="s">
        <v>751</v>
      </c>
    </row>
    <row r="1241" customFormat="false" ht="15" hidden="false" customHeight="false" outlineLevel="0" collapsed="false">
      <c r="A1241" s="92" t="str">
        <f aca="false">Gov_Map!$H465&amp;""</f>
        <v>—</v>
      </c>
      <c r="B1241" s="74" t="s">
        <v>9578</v>
      </c>
      <c r="C1241" s="61" t="n">
        <v>465</v>
      </c>
      <c r="D1241" s="61" t="s">
        <v>9579</v>
      </c>
      <c r="E1241" s="61" t="s">
        <v>9579</v>
      </c>
      <c r="F1241" s="62" t="s">
        <v>751</v>
      </c>
    </row>
    <row r="1242" customFormat="false" ht="15" hidden="false" customHeight="false" outlineLevel="0" collapsed="false">
      <c r="A1242" s="92" t="str">
        <f aca="false">Gov_Map!$H466&amp;""</f>
        <v>—</v>
      </c>
      <c r="B1242" s="74" t="s">
        <v>9578</v>
      </c>
      <c r="C1242" s="61" t="n">
        <v>466</v>
      </c>
      <c r="D1242" s="61" t="s">
        <v>9579</v>
      </c>
      <c r="E1242" s="61" t="s">
        <v>9579</v>
      </c>
      <c r="F1242" s="62" t="s">
        <v>751</v>
      </c>
    </row>
    <row r="1243" customFormat="false" ht="15" hidden="false" customHeight="false" outlineLevel="0" collapsed="false">
      <c r="A1243" s="92" t="str">
        <f aca="false">Gov_Map!$H467&amp;""</f>
        <v>—</v>
      </c>
      <c r="B1243" s="74" t="s">
        <v>9578</v>
      </c>
      <c r="C1243" s="61" t="n">
        <v>467</v>
      </c>
      <c r="D1243" s="61" t="s">
        <v>9579</v>
      </c>
      <c r="E1243" s="61" t="s">
        <v>9579</v>
      </c>
      <c r="F1243" s="62" t="s">
        <v>751</v>
      </c>
    </row>
    <row r="1244" customFormat="false" ht="15" hidden="false" customHeight="false" outlineLevel="0" collapsed="false">
      <c r="A1244" s="92" t="str">
        <f aca="false">Gov_Map!$H468&amp;""</f>
        <v>—</v>
      </c>
      <c r="B1244" s="74" t="s">
        <v>9578</v>
      </c>
      <c r="C1244" s="61" t="n">
        <v>468</v>
      </c>
      <c r="D1244" s="61" t="s">
        <v>9579</v>
      </c>
      <c r="E1244" s="61" t="s">
        <v>9579</v>
      </c>
      <c r="F1244" s="62" t="s">
        <v>751</v>
      </c>
    </row>
    <row r="1245" customFormat="false" ht="15" hidden="false" customHeight="false" outlineLevel="0" collapsed="false">
      <c r="A1245" s="92" t="str">
        <f aca="false">Gov_Map!$H469&amp;""</f>
        <v>—</v>
      </c>
      <c r="B1245" s="74" t="s">
        <v>9578</v>
      </c>
      <c r="C1245" s="61" t="n">
        <v>469</v>
      </c>
      <c r="D1245" s="61" t="s">
        <v>9579</v>
      </c>
      <c r="E1245" s="61" t="s">
        <v>9579</v>
      </c>
      <c r="F1245" s="62" t="s">
        <v>751</v>
      </c>
    </row>
    <row r="1246" customFormat="false" ht="15" hidden="false" customHeight="false" outlineLevel="0" collapsed="false">
      <c r="A1246" s="92" t="str">
        <f aca="false">Gov_Map!$H470&amp;""</f>
        <v>—</v>
      </c>
      <c r="B1246" s="74" t="s">
        <v>9578</v>
      </c>
      <c r="C1246" s="61" t="n">
        <v>470</v>
      </c>
      <c r="D1246" s="61" t="s">
        <v>9579</v>
      </c>
      <c r="E1246" s="61" t="s">
        <v>9579</v>
      </c>
      <c r="F1246" s="62" t="s">
        <v>751</v>
      </c>
    </row>
    <row r="1247" customFormat="false" ht="15" hidden="false" customHeight="false" outlineLevel="0" collapsed="false">
      <c r="A1247" s="92" t="str">
        <f aca="false">Gov_Map!$H471&amp;""</f>
        <v>—</v>
      </c>
      <c r="B1247" s="74" t="s">
        <v>9578</v>
      </c>
      <c r="C1247" s="61" t="n">
        <v>471</v>
      </c>
      <c r="D1247" s="61" t="s">
        <v>9579</v>
      </c>
      <c r="E1247" s="61" t="s">
        <v>9579</v>
      </c>
      <c r="F1247" s="62" t="s">
        <v>751</v>
      </c>
    </row>
    <row r="1248" customFormat="false" ht="15" hidden="false" customHeight="false" outlineLevel="0" collapsed="false">
      <c r="A1248" s="92" t="str">
        <f aca="false">Gov_Map!$H472&amp;""</f>
        <v>—</v>
      </c>
      <c r="B1248" s="74" t="s">
        <v>9578</v>
      </c>
      <c r="C1248" s="61" t="n">
        <v>472</v>
      </c>
      <c r="D1248" s="61" t="s">
        <v>9579</v>
      </c>
      <c r="E1248" s="61" t="s">
        <v>9579</v>
      </c>
      <c r="F1248" s="62" t="s">
        <v>751</v>
      </c>
    </row>
    <row r="1249" customFormat="false" ht="15" hidden="false" customHeight="false" outlineLevel="0" collapsed="false">
      <c r="A1249" s="92" t="str">
        <f aca="false">Gov_Map!$H473&amp;""</f>
        <v>—</v>
      </c>
      <c r="B1249" s="74" t="s">
        <v>9578</v>
      </c>
      <c r="C1249" s="61" t="n">
        <v>473</v>
      </c>
      <c r="D1249" s="61" t="s">
        <v>9579</v>
      </c>
      <c r="E1249" s="61" t="s">
        <v>9579</v>
      </c>
      <c r="F1249" s="62" t="s">
        <v>751</v>
      </c>
    </row>
    <row r="1250" customFormat="false" ht="15" hidden="false" customHeight="false" outlineLevel="0" collapsed="false">
      <c r="A1250" s="92" t="str">
        <f aca="false">Gov_Map!$H474&amp;""</f>
        <v>—</v>
      </c>
      <c r="B1250" s="74" t="s">
        <v>9578</v>
      </c>
      <c r="C1250" s="61" t="n">
        <v>474</v>
      </c>
      <c r="D1250" s="61" t="s">
        <v>9579</v>
      </c>
      <c r="E1250" s="61" t="s">
        <v>9579</v>
      </c>
      <c r="F1250" s="62" t="s">
        <v>751</v>
      </c>
    </row>
    <row r="1251" customFormat="false" ht="15" hidden="false" customHeight="false" outlineLevel="0" collapsed="false">
      <c r="A1251" s="92" t="str">
        <f aca="false">Gov_Map!$H475&amp;""</f>
        <v>—</v>
      </c>
      <c r="B1251" s="74" t="s">
        <v>9578</v>
      </c>
      <c r="C1251" s="61" t="n">
        <v>475</v>
      </c>
      <c r="D1251" s="61" t="s">
        <v>9579</v>
      </c>
      <c r="E1251" s="61" t="s">
        <v>9579</v>
      </c>
      <c r="F1251" s="62" t="s">
        <v>751</v>
      </c>
    </row>
    <row r="1252" customFormat="false" ht="15" hidden="false" customHeight="false" outlineLevel="0" collapsed="false">
      <c r="A1252" s="92" t="str">
        <f aca="false">Gov_Map!$H476&amp;""</f>
        <v>—</v>
      </c>
      <c r="B1252" s="74" t="s">
        <v>9578</v>
      </c>
      <c r="C1252" s="61" t="n">
        <v>476</v>
      </c>
      <c r="D1252" s="61" t="s">
        <v>9579</v>
      </c>
      <c r="E1252" s="61" t="s">
        <v>9579</v>
      </c>
      <c r="F1252" s="62" t="s">
        <v>751</v>
      </c>
    </row>
    <row r="1253" customFormat="false" ht="15" hidden="false" customHeight="false" outlineLevel="0" collapsed="false">
      <c r="A1253" s="92" t="str">
        <f aca="false">Gov_Map!$H477&amp;""</f>
        <v>SRC_PRC_027</v>
      </c>
      <c r="B1253" s="74" t="s">
        <v>9578</v>
      </c>
      <c r="C1253" s="61" t="n">
        <v>477</v>
      </c>
      <c r="D1253" s="61" t="s">
        <v>9579</v>
      </c>
      <c r="E1253" s="61" t="s">
        <v>9579</v>
      </c>
      <c r="F1253" s="62" t="s">
        <v>751</v>
      </c>
    </row>
    <row r="1254" customFormat="false" ht="15" hidden="false" customHeight="false" outlineLevel="0" collapsed="false">
      <c r="A1254" s="92" t="str">
        <f aca="false">Gov_Map!$H478&amp;""</f>
        <v>—</v>
      </c>
      <c r="B1254" s="74" t="s">
        <v>9578</v>
      </c>
      <c r="C1254" s="61" t="n">
        <v>478</v>
      </c>
      <c r="D1254" s="61" t="s">
        <v>9579</v>
      </c>
      <c r="E1254" s="61" t="s">
        <v>9579</v>
      </c>
      <c r="F1254" s="62" t="s">
        <v>751</v>
      </c>
    </row>
    <row r="1255" customFormat="false" ht="15" hidden="false" customHeight="false" outlineLevel="0" collapsed="false">
      <c r="A1255" s="92" t="str">
        <f aca="false">Gov_Map!$H479&amp;""</f>
        <v>—</v>
      </c>
      <c r="B1255" s="74" t="s">
        <v>9578</v>
      </c>
      <c r="C1255" s="61" t="n">
        <v>479</v>
      </c>
      <c r="D1255" s="61" t="s">
        <v>9579</v>
      </c>
      <c r="E1255" s="61" t="s">
        <v>9579</v>
      </c>
      <c r="F1255" s="62" t="s">
        <v>751</v>
      </c>
    </row>
    <row r="1256" customFormat="false" ht="15" hidden="false" customHeight="false" outlineLevel="0" collapsed="false">
      <c r="A1256" s="92" t="str">
        <f aca="false">Gov_Map!$H480&amp;""</f>
        <v>—</v>
      </c>
      <c r="B1256" s="74" t="s">
        <v>9578</v>
      </c>
      <c r="C1256" s="61" t="n">
        <v>480</v>
      </c>
      <c r="D1256" s="61" t="s">
        <v>9579</v>
      </c>
      <c r="E1256" s="61" t="s">
        <v>9579</v>
      </c>
      <c r="F1256" s="62" t="s">
        <v>751</v>
      </c>
    </row>
    <row r="1257" customFormat="false" ht="15" hidden="false" customHeight="false" outlineLevel="0" collapsed="false">
      <c r="A1257" s="92" t="str">
        <f aca="false">Gov_Map!$H481&amp;""</f>
        <v>SRC_CAP_007</v>
      </c>
      <c r="B1257" s="74" t="s">
        <v>9578</v>
      </c>
      <c r="C1257" s="61" t="n">
        <v>481</v>
      </c>
      <c r="D1257" s="61" t="s">
        <v>9579</v>
      </c>
      <c r="E1257" s="61" t="s">
        <v>9579</v>
      </c>
      <c r="F1257" s="62" t="s">
        <v>751</v>
      </c>
    </row>
    <row r="1258" customFormat="false" ht="15" hidden="false" customHeight="false" outlineLevel="0" collapsed="false">
      <c r="A1258" s="92" t="str">
        <f aca="false">Gov_Map!$H482&amp;""</f>
        <v>SRC_CAP_006</v>
      </c>
      <c r="B1258" s="74" t="s">
        <v>9578</v>
      </c>
      <c r="C1258" s="61" t="n">
        <v>482</v>
      </c>
      <c r="D1258" s="61" t="s">
        <v>9579</v>
      </c>
      <c r="E1258" s="61" t="s">
        <v>9579</v>
      </c>
      <c r="F1258" s="62" t="s">
        <v>751</v>
      </c>
    </row>
    <row r="1259" customFormat="false" ht="15" hidden="false" customHeight="false" outlineLevel="0" collapsed="false">
      <c r="A1259" s="92" t="str">
        <f aca="false">Gov_Map!$H483&amp;""</f>
        <v>—</v>
      </c>
      <c r="B1259" s="74" t="s">
        <v>9578</v>
      </c>
      <c r="C1259" s="61" t="n">
        <v>483</v>
      </c>
      <c r="D1259" s="61" t="s">
        <v>9579</v>
      </c>
      <c r="E1259" s="61" t="s">
        <v>9579</v>
      </c>
      <c r="F1259" s="62" t="s">
        <v>751</v>
      </c>
    </row>
    <row r="1260" customFormat="false" ht="15" hidden="false" customHeight="false" outlineLevel="0" collapsed="false">
      <c r="A1260" s="92" t="str">
        <f aca="false">Gov_Map!$H484&amp;""</f>
        <v>—</v>
      </c>
      <c r="B1260" s="74" t="s">
        <v>9578</v>
      </c>
      <c r="C1260" s="61" t="n">
        <v>484</v>
      </c>
      <c r="D1260" s="61" t="s">
        <v>9579</v>
      </c>
      <c r="E1260" s="61" t="s">
        <v>9579</v>
      </c>
      <c r="F1260" s="62" t="s">
        <v>751</v>
      </c>
    </row>
    <row r="1261" customFormat="false" ht="15" hidden="false" customHeight="false" outlineLevel="0" collapsed="false">
      <c r="A1261" s="92" t="str">
        <f aca="false">Gov_Map!$H485&amp;""</f>
        <v>—</v>
      </c>
      <c r="B1261" s="74" t="s">
        <v>9578</v>
      </c>
      <c r="C1261" s="61" t="n">
        <v>485</v>
      </c>
      <c r="D1261" s="61" t="s">
        <v>9579</v>
      </c>
      <c r="E1261" s="61" t="s">
        <v>9579</v>
      </c>
      <c r="F1261" s="62" t="s">
        <v>751</v>
      </c>
    </row>
    <row r="1262" customFormat="false" ht="15" hidden="false" customHeight="false" outlineLevel="0" collapsed="false">
      <c r="A1262" s="92" t="str">
        <f aca="false">Gov_Map!$H486&amp;""</f>
        <v>—</v>
      </c>
      <c r="B1262" s="74" t="s">
        <v>9578</v>
      </c>
      <c r="C1262" s="61" t="n">
        <v>486</v>
      </c>
      <c r="D1262" s="61" t="s">
        <v>9579</v>
      </c>
      <c r="E1262" s="61" t="s">
        <v>9579</v>
      </c>
      <c r="F1262" s="62" t="s">
        <v>751</v>
      </c>
    </row>
    <row r="1263" customFormat="false" ht="15" hidden="false" customHeight="false" outlineLevel="0" collapsed="false">
      <c r="A1263" s="92" t="str">
        <f aca="false">Gov_Map!$H487&amp;""</f>
        <v>—</v>
      </c>
      <c r="B1263" s="74" t="s">
        <v>9578</v>
      </c>
      <c r="C1263" s="61" t="n">
        <v>487</v>
      </c>
      <c r="D1263" s="61" t="s">
        <v>9579</v>
      </c>
      <c r="E1263" s="61" t="s">
        <v>9579</v>
      </c>
      <c r="F1263" s="62" t="s">
        <v>751</v>
      </c>
    </row>
    <row r="1264" customFormat="false" ht="15" hidden="false" customHeight="false" outlineLevel="0" collapsed="false">
      <c r="A1264" s="92" t="str">
        <f aca="false">Gov_Map!$H488&amp;""</f>
        <v>—</v>
      </c>
      <c r="B1264" s="74" t="s">
        <v>9578</v>
      </c>
      <c r="C1264" s="61" t="n">
        <v>488</v>
      </c>
      <c r="D1264" s="61" t="s">
        <v>9579</v>
      </c>
      <c r="E1264" s="61" t="s">
        <v>9579</v>
      </c>
      <c r="F1264" s="62" t="s">
        <v>751</v>
      </c>
    </row>
    <row r="1265" customFormat="false" ht="15" hidden="false" customHeight="false" outlineLevel="0" collapsed="false">
      <c r="A1265" s="92" t="str">
        <f aca="false">Gov_Map!$H489&amp;""</f>
        <v>—</v>
      </c>
      <c r="B1265" s="74" t="s">
        <v>9578</v>
      </c>
      <c r="C1265" s="61" t="n">
        <v>489</v>
      </c>
      <c r="D1265" s="61" t="s">
        <v>9579</v>
      </c>
      <c r="E1265" s="61" t="s">
        <v>9579</v>
      </c>
      <c r="F1265" s="62" t="s">
        <v>751</v>
      </c>
    </row>
    <row r="1266" customFormat="false" ht="15" hidden="false" customHeight="false" outlineLevel="0" collapsed="false">
      <c r="A1266" s="92" t="str">
        <f aca="false">Gov_Map!$H490&amp;""</f>
        <v>—</v>
      </c>
      <c r="B1266" s="74" t="s">
        <v>9578</v>
      </c>
      <c r="C1266" s="61" t="n">
        <v>490</v>
      </c>
      <c r="D1266" s="61" t="s">
        <v>9579</v>
      </c>
      <c r="E1266" s="61" t="s">
        <v>9579</v>
      </c>
      <c r="F1266" s="62" t="s">
        <v>751</v>
      </c>
    </row>
    <row r="1267" customFormat="false" ht="15" hidden="false" customHeight="false" outlineLevel="0" collapsed="false">
      <c r="A1267" s="92" t="str">
        <f aca="false">Gov_Map!$H491&amp;""</f>
        <v>—</v>
      </c>
      <c r="B1267" s="74" t="s">
        <v>9578</v>
      </c>
      <c r="C1267" s="61" t="n">
        <v>491</v>
      </c>
      <c r="D1267" s="61" t="s">
        <v>9579</v>
      </c>
      <c r="E1267" s="61" t="s">
        <v>9579</v>
      </c>
      <c r="F1267" s="62" t="s">
        <v>751</v>
      </c>
    </row>
    <row r="1268" customFormat="false" ht="15" hidden="false" customHeight="false" outlineLevel="0" collapsed="false">
      <c r="A1268" s="92" t="str">
        <f aca="false">Gov_Map!$H492&amp;""</f>
        <v>SRC_HAR_003</v>
      </c>
      <c r="B1268" s="74" t="s">
        <v>9578</v>
      </c>
      <c r="C1268" s="61" t="n">
        <v>492</v>
      </c>
      <c r="D1268" s="61" t="s">
        <v>9579</v>
      </c>
      <c r="E1268" s="61" t="s">
        <v>9579</v>
      </c>
      <c r="F1268" s="62" t="s">
        <v>751</v>
      </c>
    </row>
    <row r="1269" customFormat="false" ht="15" hidden="false" customHeight="false" outlineLevel="0" collapsed="false">
      <c r="A1269" s="92" t="str">
        <f aca="false">Gov_Map!$H493&amp;""</f>
        <v>—</v>
      </c>
      <c r="B1269" s="74" t="s">
        <v>9578</v>
      </c>
      <c r="C1269" s="61" t="n">
        <v>493</v>
      </c>
      <c r="D1269" s="61" t="s">
        <v>9579</v>
      </c>
      <c r="E1269" s="61" t="s">
        <v>9579</v>
      </c>
      <c r="F1269" s="62" t="s">
        <v>751</v>
      </c>
    </row>
    <row r="1270" customFormat="false" ht="15" hidden="false" customHeight="false" outlineLevel="0" collapsed="false">
      <c r="A1270" s="92" t="str">
        <f aca="false">Gov_Map!$H494&amp;""</f>
        <v>—</v>
      </c>
      <c r="B1270" s="74" t="s">
        <v>9578</v>
      </c>
      <c r="C1270" s="61" t="n">
        <v>494</v>
      </c>
      <c r="D1270" s="61" t="s">
        <v>9579</v>
      </c>
      <c r="E1270" s="61" t="s">
        <v>9579</v>
      </c>
      <c r="F1270" s="62" t="s">
        <v>751</v>
      </c>
    </row>
    <row r="1271" customFormat="false" ht="15" hidden="false" customHeight="false" outlineLevel="0" collapsed="false">
      <c r="A1271" s="92" t="str">
        <f aca="false">Gov_Map!$H495&amp;""</f>
        <v>—</v>
      </c>
      <c r="B1271" s="74" t="s">
        <v>9578</v>
      </c>
      <c r="C1271" s="61" t="n">
        <v>495</v>
      </c>
      <c r="D1271" s="61" t="s">
        <v>9579</v>
      </c>
      <c r="E1271" s="61" t="s">
        <v>9579</v>
      </c>
      <c r="F1271" s="62" t="s">
        <v>751</v>
      </c>
    </row>
    <row r="1272" customFormat="false" ht="15" hidden="false" customHeight="false" outlineLevel="0" collapsed="false">
      <c r="A1272" s="92" t="str">
        <f aca="false">Gov_Map!$H496&amp;""</f>
        <v>—</v>
      </c>
      <c r="B1272" s="74" t="s">
        <v>9578</v>
      </c>
      <c r="C1272" s="61" t="n">
        <v>496</v>
      </c>
      <c r="D1272" s="61" t="s">
        <v>9579</v>
      </c>
      <c r="E1272" s="61" t="s">
        <v>9579</v>
      </c>
      <c r="F1272" s="62" t="s">
        <v>751</v>
      </c>
    </row>
    <row r="1273" customFormat="false" ht="15" hidden="false" customHeight="false" outlineLevel="0" collapsed="false">
      <c r="A1273" s="92" t="str">
        <f aca="false">Gov_Map!$H497&amp;""</f>
        <v>—</v>
      </c>
      <c r="B1273" s="74" t="s">
        <v>9578</v>
      </c>
      <c r="C1273" s="61" t="n">
        <v>497</v>
      </c>
      <c r="D1273" s="61" t="s">
        <v>9579</v>
      </c>
      <c r="E1273" s="61" t="s">
        <v>9579</v>
      </c>
      <c r="F1273" s="62" t="s">
        <v>751</v>
      </c>
    </row>
    <row r="1274" customFormat="false" ht="15" hidden="false" customHeight="false" outlineLevel="0" collapsed="false">
      <c r="A1274" s="92" t="str">
        <f aca="false">Gov_Map!$H498&amp;""</f>
        <v>—</v>
      </c>
      <c r="B1274" s="74" t="s">
        <v>9578</v>
      </c>
      <c r="C1274" s="61" t="n">
        <v>498</v>
      </c>
      <c r="D1274" s="61" t="s">
        <v>9579</v>
      </c>
      <c r="E1274" s="61" t="s">
        <v>9579</v>
      </c>
      <c r="F1274" s="62" t="s">
        <v>751</v>
      </c>
    </row>
    <row r="1275" customFormat="false" ht="15" hidden="false" customHeight="false" outlineLevel="0" collapsed="false">
      <c r="A1275" s="92" t="str">
        <f aca="false">Gov_Map!$H499&amp;""</f>
        <v>—</v>
      </c>
      <c r="B1275" s="74" t="s">
        <v>9578</v>
      </c>
      <c r="C1275" s="61" t="n">
        <v>499</v>
      </c>
      <c r="D1275" s="61" t="s">
        <v>9579</v>
      </c>
      <c r="E1275" s="61" t="s">
        <v>9579</v>
      </c>
      <c r="F1275" s="62" t="s">
        <v>751</v>
      </c>
    </row>
    <row r="1276" customFormat="false" ht="15" hidden="false" customHeight="false" outlineLevel="0" collapsed="false">
      <c r="A1276" s="92" t="str">
        <f aca="false">Gov_Map!$H500&amp;""</f>
        <v>—</v>
      </c>
      <c r="B1276" s="74" t="s">
        <v>9578</v>
      </c>
      <c r="C1276" s="61" t="n">
        <v>500</v>
      </c>
      <c r="D1276" s="61" t="s">
        <v>9579</v>
      </c>
      <c r="E1276" s="61" t="s">
        <v>9579</v>
      </c>
      <c r="F1276" s="62" t="s">
        <v>751</v>
      </c>
    </row>
    <row r="1277" customFormat="false" ht="15" hidden="false" customHeight="false" outlineLevel="0" collapsed="false">
      <c r="A1277" s="92" t="str">
        <f aca="false">Gov_Map!$H501&amp;""</f>
        <v>—</v>
      </c>
      <c r="B1277" s="74" t="s">
        <v>9578</v>
      </c>
      <c r="C1277" s="61" t="n">
        <v>501</v>
      </c>
      <c r="D1277" s="61" t="s">
        <v>9579</v>
      </c>
      <c r="E1277" s="61" t="s">
        <v>9579</v>
      </c>
      <c r="F1277" s="62" t="s">
        <v>751</v>
      </c>
    </row>
    <row r="1278" customFormat="false" ht="15" hidden="false" customHeight="false" outlineLevel="0" collapsed="false">
      <c r="A1278" s="92" t="str">
        <f aca="false">Gov_Map!$H502&amp;""</f>
        <v>SRC_HAR_002</v>
      </c>
      <c r="B1278" s="74" t="s">
        <v>9578</v>
      </c>
      <c r="C1278" s="61" t="n">
        <v>502</v>
      </c>
      <c r="D1278" s="61" t="s">
        <v>9579</v>
      </c>
      <c r="E1278" s="61" t="s">
        <v>9579</v>
      </c>
      <c r="F1278" s="62" t="s">
        <v>751</v>
      </c>
    </row>
    <row r="1279" customFormat="false" ht="15" hidden="false" customHeight="false" outlineLevel="0" collapsed="false">
      <c r="A1279" s="92" t="str">
        <f aca="false">Gov_Map!$H503&amp;""</f>
        <v>SRC_CAP_020</v>
      </c>
      <c r="B1279" s="74" t="s">
        <v>9578</v>
      </c>
      <c r="C1279" s="61" t="n">
        <v>503</v>
      </c>
      <c r="D1279" s="61" t="s">
        <v>9579</v>
      </c>
      <c r="E1279" s="61" t="s">
        <v>9579</v>
      </c>
      <c r="F1279" s="62" t="s">
        <v>751</v>
      </c>
    </row>
    <row r="1280" customFormat="false" ht="15" hidden="false" customHeight="false" outlineLevel="0" collapsed="false">
      <c r="A1280" s="92" t="str">
        <f aca="false">Gov_Map!$H504&amp;""</f>
        <v>SRC_CAP_020</v>
      </c>
      <c r="B1280" s="74" t="s">
        <v>9578</v>
      </c>
      <c r="C1280" s="61" t="n">
        <v>504</v>
      </c>
      <c r="D1280" s="61" t="s">
        <v>9579</v>
      </c>
      <c r="E1280" s="61" t="s">
        <v>9579</v>
      </c>
      <c r="F1280" s="62" t="s">
        <v>751</v>
      </c>
    </row>
    <row r="1281" customFormat="false" ht="15" hidden="false" customHeight="false" outlineLevel="0" collapsed="false">
      <c r="A1281" s="92" t="str">
        <f aca="false">Gov_Map!$H505&amp;""</f>
        <v>SRC_CAP_021</v>
      </c>
      <c r="B1281" s="74" t="s">
        <v>9578</v>
      </c>
      <c r="C1281" s="61" t="n">
        <v>505</v>
      </c>
      <c r="D1281" s="61" t="s">
        <v>9579</v>
      </c>
      <c r="E1281" s="61" t="s">
        <v>9579</v>
      </c>
      <c r="F1281" s="62" t="s">
        <v>751</v>
      </c>
    </row>
    <row r="1282" customFormat="false" ht="15" hidden="false" customHeight="false" outlineLevel="0" collapsed="false">
      <c r="A1282" s="92" t="str">
        <f aca="false">Gov_Map!$H506&amp;""</f>
        <v>SRC_CAP_012</v>
      </c>
      <c r="B1282" s="74" t="s">
        <v>9578</v>
      </c>
      <c r="C1282" s="61" t="n">
        <v>506</v>
      </c>
      <c r="D1282" s="61" t="s">
        <v>9579</v>
      </c>
      <c r="E1282" s="61" t="s">
        <v>9579</v>
      </c>
      <c r="F1282" s="62" t="s">
        <v>751</v>
      </c>
    </row>
    <row r="1283" customFormat="false" ht="15" hidden="false" customHeight="false" outlineLevel="0" collapsed="false">
      <c r="A1283" s="92" t="str">
        <f aca="false">Gov_Map!$H507&amp;""</f>
        <v>SRC_CAP_012</v>
      </c>
      <c r="B1283" s="74" t="s">
        <v>9578</v>
      </c>
      <c r="C1283" s="61" t="n">
        <v>507</v>
      </c>
      <c r="D1283" s="61" t="s">
        <v>9579</v>
      </c>
      <c r="E1283" s="61" t="s">
        <v>9579</v>
      </c>
      <c r="F1283" s="62" t="s">
        <v>751</v>
      </c>
    </row>
    <row r="1284" customFormat="false" ht="15" hidden="false" customHeight="false" outlineLevel="0" collapsed="false">
      <c r="A1284" s="92" t="str">
        <f aca="false">Gov_Map!$H508&amp;""</f>
        <v>—</v>
      </c>
      <c r="B1284" s="74" t="s">
        <v>9578</v>
      </c>
      <c r="C1284" s="61" t="n">
        <v>508</v>
      </c>
      <c r="D1284" s="61" t="s">
        <v>9579</v>
      </c>
      <c r="E1284" s="61" t="s">
        <v>9579</v>
      </c>
      <c r="F1284" s="62" t="s">
        <v>751</v>
      </c>
    </row>
    <row r="1285" customFormat="false" ht="15" hidden="false" customHeight="false" outlineLevel="0" collapsed="false">
      <c r="A1285" s="92" t="str">
        <f aca="false">Gov_Map!$H509&amp;""</f>
        <v>—</v>
      </c>
      <c r="B1285" s="74" t="s">
        <v>9578</v>
      </c>
      <c r="C1285" s="61" t="n">
        <v>509</v>
      </c>
      <c r="D1285" s="61" t="s">
        <v>9579</v>
      </c>
      <c r="E1285" s="61" t="s">
        <v>9579</v>
      </c>
      <c r="F1285" s="62" t="s">
        <v>751</v>
      </c>
    </row>
    <row r="1286" customFormat="false" ht="15" hidden="false" customHeight="false" outlineLevel="0" collapsed="false">
      <c r="A1286" s="92" t="str">
        <f aca="false">Gov_Map!$H510&amp;""</f>
        <v>—</v>
      </c>
      <c r="B1286" s="74" t="s">
        <v>9578</v>
      </c>
      <c r="C1286" s="61" t="n">
        <v>510</v>
      </c>
      <c r="D1286" s="61" t="s">
        <v>9579</v>
      </c>
      <c r="E1286" s="61" t="s">
        <v>9579</v>
      </c>
      <c r="F1286" s="62" t="s">
        <v>751</v>
      </c>
    </row>
    <row r="1287" customFormat="false" ht="15" hidden="false" customHeight="false" outlineLevel="0" collapsed="false">
      <c r="A1287" s="92" t="str">
        <f aca="false">Gov_Map!$H511&amp;""</f>
        <v>—</v>
      </c>
      <c r="B1287" s="74" t="s">
        <v>9578</v>
      </c>
      <c r="C1287" s="61" t="n">
        <v>511</v>
      </c>
      <c r="D1287" s="61" t="s">
        <v>9579</v>
      </c>
      <c r="E1287" s="61" t="s">
        <v>9579</v>
      </c>
      <c r="F1287" s="62" t="s">
        <v>751</v>
      </c>
    </row>
    <row r="1288" customFormat="false" ht="15" hidden="false" customHeight="false" outlineLevel="0" collapsed="false">
      <c r="A1288" s="92" t="str">
        <f aca="false">Gov_Map!$H512&amp;""</f>
        <v>SRC_HW_037</v>
      </c>
      <c r="B1288" s="74" t="s">
        <v>9578</v>
      </c>
      <c r="C1288" s="61" t="n">
        <v>512</v>
      </c>
      <c r="D1288" s="61" t="s">
        <v>9579</v>
      </c>
      <c r="E1288" s="61" t="s">
        <v>9579</v>
      </c>
      <c r="F1288" s="62" t="s">
        <v>751</v>
      </c>
    </row>
    <row r="1289" customFormat="false" ht="15" hidden="false" customHeight="false" outlineLevel="0" collapsed="false">
      <c r="A1289" s="92" t="str">
        <f aca="false">Gov_Map!$H513&amp;""</f>
        <v>—</v>
      </c>
      <c r="B1289" s="74" t="s">
        <v>9578</v>
      </c>
      <c r="C1289" s="61" t="n">
        <v>513</v>
      </c>
      <c r="D1289" s="61" t="s">
        <v>9579</v>
      </c>
      <c r="E1289" s="61" t="s">
        <v>9579</v>
      </c>
      <c r="F1289" s="62" t="s">
        <v>751</v>
      </c>
    </row>
    <row r="1290" customFormat="false" ht="15" hidden="false" customHeight="false" outlineLevel="0" collapsed="false">
      <c r="A1290" s="92" t="str">
        <f aca="false">Gov_Map!$H514&amp;""</f>
        <v>—</v>
      </c>
      <c r="B1290" s="74" t="s">
        <v>9578</v>
      </c>
      <c r="C1290" s="61" t="n">
        <v>514</v>
      </c>
      <c r="D1290" s="61" t="s">
        <v>9579</v>
      </c>
      <c r="E1290" s="61" t="s">
        <v>9579</v>
      </c>
      <c r="F1290" s="62" t="s">
        <v>751</v>
      </c>
    </row>
    <row r="1291" customFormat="false" ht="15" hidden="false" customHeight="false" outlineLevel="0" collapsed="false">
      <c r="A1291" s="92" t="str">
        <f aca="false">Gov_Map!$H515&amp;""</f>
        <v>SRC_MOD_046</v>
      </c>
      <c r="B1291" s="74" t="s">
        <v>9578</v>
      </c>
      <c r="C1291" s="61" t="n">
        <v>515</v>
      </c>
      <c r="D1291" s="61" t="s">
        <v>9579</v>
      </c>
      <c r="E1291" s="61" t="s">
        <v>9579</v>
      </c>
      <c r="F1291" s="62" t="s">
        <v>751</v>
      </c>
    </row>
    <row r="1292" customFormat="false" ht="15" hidden="false" customHeight="false" outlineLevel="0" collapsed="false">
      <c r="A1292" s="92" t="str">
        <f aca="false">Gov_Map!$H516&amp;""</f>
        <v>—</v>
      </c>
      <c r="B1292" s="74" t="s">
        <v>9578</v>
      </c>
      <c r="C1292" s="61" t="n">
        <v>516</v>
      </c>
      <c r="D1292" s="61" t="s">
        <v>9579</v>
      </c>
      <c r="E1292" s="61" t="s">
        <v>9579</v>
      </c>
      <c r="F1292" s="62" t="s">
        <v>751</v>
      </c>
    </row>
    <row r="1293" customFormat="false" ht="15" hidden="false" customHeight="false" outlineLevel="0" collapsed="false">
      <c r="A1293" s="92" t="str">
        <f aca="false">Gov_Map!$H517&amp;""</f>
        <v>—</v>
      </c>
      <c r="B1293" s="74" t="s">
        <v>9578</v>
      </c>
      <c r="C1293" s="61" t="n">
        <v>517</v>
      </c>
      <c r="D1293" s="61" t="s">
        <v>9579</v>
      </c>
      <c r="E1293" s="61" t="s">
        <v>9579</v>
      </c>
      <c r="F1293" s="62" t="s">
        <v>751</v>
      </c>
    </row>
    <row r="1294" customFormat="false" ht="15" hidden="false" customHeight="false" outlineLevel="0" collapsed="false">
      <c r="A1294" s="92" t="str">
        <f aca="false">Gov_Map!$H518&amp;""</f>
        <v>—</v>
      </c>
      <c r="B1294" s="74" t="s">
        <v>9578</v>
      </c>
      <c r="C1294" s="61" t="n">
        <v>518</v>
      </c>
      <c r="D1294" s="61" t="s">
        <v>9579</v>
      </c>
      <c r="E1294" s="61" t="s">
        <v>9579</v>
      </c>
      <c r="F1294" s="62" t="s">
        <v>751</v>
      </c>
    </row>
    <row r="1295" customFormat="false" ht="15" hidden="false" customHeight="false" outlineLevel="0" collapsed="false">
      <c r="A1295" s="92" t="str">
        <f aca="false">Gov_Map!$H519&amp;""</f>
        <v>—</v>
      </c>
      <c r="B1295" s="74" t="s">
        <v>9578</v>
      </c>
      <c r="C1295" s="61" t="n">
        <v>519</v>
      </c>
      <c r="D1295" s="61" t="s">
        <v>9579</v>
      </c>
      <c r="E1295" s="61" t="s">
        <v>9579</v>
      </c>
      <c r="F1295" s="62" t="s">
        <v>751</v>
      </c>
    </row>
    <row r="1296" customFormat="false" ht="15" hidden="false" customHeight="false" outlineLevel="0" collapsed="false">
      <c r="A1296" s="92" t="str">
        <f aca="false">Gov_Map!$H520&amp;""</f>
        <v>—</v>
      </c>
      <c r="B1296" s="74" t="s">
        <v>9578</v>
      </c>
      <c r="C1296" s="61" t="n">
        <v>520</v>
      </c>
      <c r="D1296" s="61" t="s">
        <v>9579</v>
      </c>
      <c r="E1296" s="61" t="s">
        <v>9579</v>
      </c>
      <c r="F1296" s="62" t="s">
        <v>751</v>
      </c>
    </row>
    <row r="1297" customFormat="false" ht="15" hidden="false" customHeight="false" outlineLevel="0" collapsed="false">
      <c r="A1297" s="92" t="str">
        <f aca="false">Gov_Map!$H521&amp;""</f>
        <v>—</v>
      </c>
      <c r="B1297" s="74" t="s">
        <v>9578</v>
      </c>
      <c r="C1297" s="61" t="n">
        <v>521</v>
      </c>
      <c r="D1297" s="61" t="s">
        <v>9579</v>
      </c>
      <c r="E1297" s="61" t="s">
        <v>9579</v>
      </c>
      <c r="F1297" s="62" t="s">
        <v>751</v>
      </c>
    </row>
    <row r="1298" customFormat="false" ht="15" hidden="false" customHeight="false" outlineLevel="0" collapsed="false">
      <c r="A1298" s="92" t="str">
        <f aca="false">Gov_Map!$H522&amp;""</f>
        <v>—</v>
      </c>
      <c r="B1298" s="74" t="s">
        <v>9578</v>
      </c>
      <c r="C1298" s="61" t="n">
        <v>522</v>
      </c>
      <c r="D1298" s="61" t="s">
        <v>9579</v>
      </c>
      <c r="E1298" s="61" t="s">
        <v>9579</v>
      </c>
      <c r="F1298" s="62" t="s">
        <v>751</v>
      </c>
    </row>
    <row r="1299" customFormat="false" ht="15" hidden="false" customHeight="false" outlineLevel="0" collapsed="false">
      <c r="A1299" s="92" t="str">
        <f aca="false">Gov_Map!$H523&amp;""</f>
        <v>SRC_PERF_036</v>
      </c>
      <c r="B1299" s="74" t="s">
        <v>9578</v>
      </c>
      <c r="C1299" s="61" t="n">
        <v>523</v>
      </c>
      <c r="D1299" s="61" t="s">
        <v>9579</v>
      </c>
      <c r="E1299" s="61" t="s">
        <v>9579</v>
      </c>
      <c r="F1299" s="62" t="s">
        <v>751</v>
      </c>
    </row>
    <row r="1300" customFormat="false" ht="15" hidden="false" customHeight="false" outlineLevel="0" collapsed="false">
      <c r="A1300" s="92" t="str">
        <f aca="false">Gov_Map!$H524&amp;""</f>
        <v>SRC_PERF_037</v>
      </c>
      <c r="B1300" s="74" t="s">
        <v>9578</v>
      </c>
      <c r="C1300" s="61" t="n">
        <v>524</v>
      </c>
      <c r="D1300" s="61" t="s">
        <v>9579</v>
      </c>
      <c r="E1300" s="61" t="s">
        <v>9579</v>
      </c>
      <c r="F1300" s="62" t="s">
        <v>751</v>
      </c>
    </row>
    <row r="1301" customFormat="false" ht="15" hidden="false" customHeight="false" outlineLevel="0" collapsed="false">
      <c r="A1301" s="92" t="str">
        <f aca="false">Gov_Map!$H525&amp;""</f>
        <v>—</v>
      </c>
      <c r="B1301" s="74" t="s">
        <v>9578</v>
      </c>
      <c r="C1301" s="61" t="n">
        <v>525</v>
      </c>
      <c r="D1301" s="61" t="s">
        <v>9579</v>
      </c>
      <c r="E1301" s="61" t="s">
        <v>9579</v>
      </c>
      <c r="F1301" s="62" t="s">
        <v>751</v>
      </c>
    </row>
    <row r="1302" customFormat="false" ht="15" hidden="false" customHeight="false" outlineLevel="0" collapsed="false">
      <c r="A1302" s="92" t="str">
        <f aca="false">Gov_Map!$H526&amp;""</f>
        <v>—</v>
      </c>
      <c r="B1302" s="74" t="s">
        <v>9578</v>
      </c>
      <c r="C1302" s="61" t="n">
        <v>526</v>
      </c>
      <c r="D1302" s="61" t="s">
        <v>9579</v>
      </c>
      <c r="E1302" s="61" t="s">
        <v>9579</v>
      </c>
      <c r="F1302" s="62" t="s">
        <v>751</v>
      </c>
    </row>
    <row r="1303" customFormat="false" ht="15" hidden="false" customHeight="false" outlineLevel="0" collapsed="false">
      <c r="A1303" s="92" t="str">
        <f aca="false">Gov_Map!$H527&amp;""</f>
        <v>—</v>
      </c>
      <c r="B1303" s="74" t="s">
        <v>9578</v>
      </c>
      <c r="C1303" s="61" t="n">
        <v>527</v>
      </c>
      <c r="D1303" s="61" t="s">
        <v>9579</v>
      </c>
      <c r="E1303" s="61" t="s">
        <v>9579</v>
      </c>
      <c r="F1303" s="62" t="s">
        <v>751</v>
      </c>
    </row>
    <row r="1304" customFormat="false" ht="15" hidden="false" customHeight="false" outlineLevel="0" collapsed="false">
      <c r="A1304" s="92" t="str">
        <f aca="false">Gov_Map!$H528&amp;""</f>
        <v>SRC_MOD_046</v>
      </c>
      <c r="B1304" s="74" t="s">
        <v>9578</v>
      </c>
      <c r="C1304" s="61" t="n">
        <v>528</v>
      </c>
      <c r="D1304" s="61" t="s">
        <v>9579</v>
      </c>
      <c r="E1304" s="61" t="s">
        <v>9579</v>
      </c>
      <c r="F1304" s="62" t="s">
        <v>751</v>
      </c>
    </row>
    <row r="1305" customFormat="false" ht="15" hidden="false" customHeight="false" outlineLevel="0" collapsed="false">
      <c r="A1305" s="92" t="str">
        <f aca="false">Gov_Map!$H529&amp;""</f>
        <v>—</v>
      </c>
      <c r="B1305" s="74" t="s">
        <v>9578</v>
      </c>
      <c r="C1305" s="61" t="n">
        <v>529</v>
      </c>
      <c r="D1305" s="61" t="s">
        <v>9579</v>
      </c>
      <c r="E1305" s="61" t="s">
        <v>9579</v>
      </c>
      <c r="F1305" s="62" t="s">
        <v>751</v>
      </c>
    </row>
    <row r="1306" customFormat="false" ht="15" hidden="false" customHeight="false" outlineLevel="0" collapsed="false">
      <c r="A1306" s="92" t="str">
        <f aca="false">Gov_Map!$H530&amp;""</f>
        <v>SRC_DEM_001</v>
      </c>
      <c r="B1306" s="74" t="s">
        <v>9578</v>
      </c>
      <c r="C1306" s="61" t="n">
        <v>530</v>
      </c>
      <c r="D1306" s="61" t="s">
        <v>9579</v>
      </c>
      <c r="E1306" s="61" t="s">
        <v>9579</v>
      </c>
      <c r="F1306" s="62" t="s">
        <v>751</v>
      </c>
    </row>
    <row r="1307" customFormat="false" ht="15" hidden="false" customHeight="false" outlineLevel="0" collapsed="false">
      <c r="A1307" s="92" t="str">
        <f aca="false">Gov_Map!$H531&amp;""</f>
        <v>—</v>
      </c>
      <c r="B1307" s="74" t="s">
        <v>9578</v>
      </c>
      <c r="C1307" s="61" t="n">
        <v>531</v>
      </c>
      <c r="D1307" s="61" t="s">
        <v>9579</v>
      </c>
      <c r="E1307" s="61" t="s">
        <v>9579</v>
      </c>
      <c r="F1307" s="62" t="s">
        <v>751</v>
      </c>
    </row>
    <row r="1308" customFormat="false" ht="15" hidden="false" customHeight="false" outlineLevel="0" collapsed="false">
      <c r="A1308" s="92" t="str">
        <f aca="false">Gov_Map!$H532&amp;""</f>
        <v>—</v>
      </c>
      <c r="B1308" s="74" t="s">
        <v>9578</v>
      </c>
      <c r="C1308" s="61" t="n">
        <v>532</v>
      </c>
      <c r="D1308" s="61" t="s">
        <v>9579</v>
      </c>
      <c r="E1308" s="61" t="s">
        <v>9579</v>
      </c>
      <c r="F1308" s="62" t="s">
        <v>751</v>
      </c>
    </row>
    <row r="1309" customFormat="false" ht="15" hidden="false" customHeight="false" outlineLevel="0" collapsed="false">
      <c r="A1309" s="92" t="str">
        <f aca="false">Gov_Map!$H533&amp;""</f>
        <v>—</v>
      </c>
      <c r="B1309" s="74" t="s">
        <v>9578</v>
      </c>
      <c r="C1309" s="61" t="n">
        <v>533</v>
      </c>
      <c r="D1309" s="61" t="s">
        <v>9579</v>
      </c>
      <c r="E1309" s="61" t="s">
        <v>9579</v>
      </c>
      <c r="F1309" s="62" t="s">
        <v>751</v>
      </c>
    </row>
    <row r="1310" customFormat="false" ht="15" hidden="false" customHeight="false" outlineLevel="0" collapsed="false">
      <c r="A1310" s="92" t="str">
        <f aca="false">Gov_Map!$H534&amp;""</f>
        <v>—</v>
      </c>
      <c r="B1310" s="74" t="s">
        <v>9578</v>
      </c>
      <c r="C1310" s="61" t="n">
        <v>534</v>
      </c>
      <c r="D1310" s="61" t="s">
        <v>9579</v>
      </c>
      <c r="E1310" s="61" t="s">
        <v>9579</v>
      </c>
      <c r="F1310" s="62" t="s">
        <v>751</v>
      </c>
    </row>
    <row r="1311" customFormat="false" ht="15" hidden="false" customHeight="false" outlineLevel="0" collapsed="false">
      <c r="A1311" s="92" t="str">
        <f aca="false">Gov_Map!$H535&amp;""</f>
        <v>—</v>
      </c>
      <c r="B1311" s="74" t="s">
        <v>9578</v>
      </c>
      <c r="C1311" s="61" t="n">
        <v>535</v>
      </c>
      <c r="D1311" s="61" t="s">
        <v>9579</v>
      </c>
      <c r="E1311" s="61" t="s">
        <v>9579</v>
      </c>
      <c r="F1311" s="62" t="s">
        <v>751</v>
      </c>
    </row>
    <row r="1312" customFormat="false" ht="15" hidden="false" customHeight="false" outlineLevel="0" collapsed="false">
      <c r="A1312" s="92" t="str">
        <f aca="false">Gov_Map!$H536&amp;""</f>
        <v>SRC_MOD_031</v>
      </c>
      <c r="B1312" s="74" t="s">
        <v>9578</v>
      </c>
      <c r="C1312" s="61" t="n">
        <v>536</v>
      </c>
      <c r="D1312" s="61" t="s">
        <v>9579</v>
      </c>
      <c r="E1312" s="61" t="s">
        <v>9579</v>
      </c>
      <c r="F1312" s="62" t="s">
        <v>751</v>
      </c>
    </row>
    <row r="1313" customFormat="false" ht="15" hidden="false" customHeight="false" outlineLevel="0" collapsed="false">
      <c r="A1313" s="92" t="str">
        <f aca="false">Gov_Map!$H537&amp;""</f>
        <v>—</v>
      </c>
      <c r="B1313" s="74" t="s">
        <v>9578</v>
      </c>
      <c r="C1313" s="61" t="n">
        <v>537</v>
      </c>
      <c r="D1313" s="61" t="s">
        <v>9579</v>
      </c>
      <c r="E1313" s="61" t="s">
        <v>9579</v>
      </c>
      <c r="F1313" s="62" t="s">
        <v>751</v>
      </c>
    </row>
    <row r="1314" customFormat="false" ht="15" hidden="false" customHeight="false" outlineLevel="0" collapsed="false">
      <c r="A1314" s="92" t="str">
        <f aca="false">Gov_Map!$H538&amp;""</f>
        <v>—</v>
      </c>
      <c r="B1314" s="74" t="s">
        <v>9578</v>
      </c>
      <c r="C1314" s="61" t="n">
        <v>538</v>
      </c>
      <c r="D1314" s="61" t="s">
        <v>9579</v>
      </c>
      <c r="E1314" s="61" t="s">
        <v>9579</v>
      </c>
      <c r="F1314" s="62" t="s">
        <v>751</v>
      </c>
    </row>
    <row r="1315" customFormat="false" ht="15" hidden="false" customHeight="false" outlineLevel="0" collapsed="false">
      <c r="A1315" s="92" t="str">
        <f aca="false">Gov_Map!$H539&amp;""</f>
        <v>—</v>
      </c>
      <c r="B1315" s="74" t="s">
        <v>9578</v>
      </c>
      <c r="C1315" s="61" t="n">
        <v>539</v>
      </c>
      <c r="D1315" s="61" t="s">
        <v>9579</v>
      </c>
      <c r="E1315" s="61" t="s">
        <v>9579</v>
      </c>
      <c r="F1315" s="62" t="s">
        <v>751</v>
      </c>
    </row>
    <row r="1316" customFormat="false" ht="15" hidden="false" customHeight="false" outlineLevel="0" collapsed="false">
      <c r="A1316" s="92" t="str">
        <f aca="false">Gov_Map!$H540&amp;""</f>
        <v>—</v>
      </c>
      <c r="B1316" s="74" t="s">
        <v>9578</v>
      </c>
      <c r="C1316" s="61" t="n">
        <v>540</v>
      </c>
      <c r="D1316" s="61" t="s">
        <v>9579</v>
      </c>
      <c r="E1316" s="61" t="s">
        <v>9579</v>
      </c>
      <c r="F1316" s="62" t="s">
        <v>751</v>
      </c>
    </row>
    <row r="1317" customFormat="false" ht="15" hidden="false" customHeight="false" outlineLevel="0" collapsed="false">
      <c r="A1317" s="92" t="str">
        <f aca="false">Gov_Map!$H541&amp;""</f>
        <v>—</v>
      </c>
      <c r="B1317" s="74" t="s">
        <v>9578</v>
      </c>
      <c r="C1317" s="61" t="n">
        <v>541</v>
      </c>
      <c r="D1317" s="61" t="s">
        <v>9579</v>
      </c>
      <c r="E1317" s="61" t="s">
        <v>9579</v>
      </c>
      <c r="F1317" s="62" t="s">
        <v>751</v>
      </c>
    </row>
    <row r="1318" customFormat="false" ht="15" hidden="false" customHeight="false" outlineLevel="0" collapsed="false">
      <c r="A1318" s="92" t="str">
        <f aca="false">Gov_Map!$H542&amp;""</f>
        <v>—</v>
      </c>
      <c r="B1318" s="74" t="s">
        <v>9578</v>
      </c>
      <c r="C1318" s="61" t="n">
        <v>542</v>
      </c>
      <c r="D1318" s="61" t="s">
        <v>9579</v>
      </c>
      <c r="E1318" s="61" t="s">
        <v>9579</v>
      </c>
      <c r="F1318" s="62" t="s">
        <v>751</v>
      </c>
    </row>
    <row r="1319" customFormat="false" ht="15" hidden="false" customHeight="false" outlineLevel="0" collapsed="false">
      <c r="A1319" s="92" t="str">
        <f aca="false">Gov_Map!$H543&amp;""</f>
        <v>—</v>
      </c>
      <c r="B1319" s="74" t="s">
        <v>9578</v>
      </c>
      <c r="C1319" s="61" t="n">
        <v>543</v>
      </c>
      <c r="D1319" s="61" t="s">
        <v>9579</v>
      </c>
      <c r="E1319" s="61" t="s">
        <v>9579</v>
      </c>
      <c r="F1319" s="62" t="s">
        <v>751</v>
      </c>
    </row>
    <row r="1320" customFormat="false" ht="15" hidden="false" customHeight="false" outlineLevel="0" collapsed="false">
      <c r="A1320" s="92" t="str">
        <f aca="false">Gov_Map!$H544&amp;""</f>
        <v>—</v>
      </c>
      <c r="B1320" s="74" t="s">
        <v>9578</v>
      </c>
      <c r="C1320" s="61" t="n">
        <v>544</v>
      </c>
      <c r="D1320" s="61" t="s">
        <v>9579</v>
      </c>
      <c r="E1320" s="61" t="s">
        <v>9579</v>
      </c>
      <c r="F1320" s="62" t="s">
        <v>751</v>
      </c>
    </row>
    <row r="1321" customFormat="false" ht="15" hidden="false" customHeight="false" outlineLevel="0" collapsed="false">
      <c r="A1321" s="92" t="str">
        <f aca="false">Gov_Map!$H545&amp;""</f>
        <v>—</v>
      </c>
      <c r="B1321" s="74" t="s">
        <v>9578</v>
      </c>
      <c r="C1321" s="61" t="n">
        <v>545</v>
      </c>
      <c r="D1321" s="61" t="s">
        <v>9579</v>
      </c>
      <c r="E1321" s="61" t="s">
        <v>9579</v>
      </c>
      <c r="F1321" s="62" t="s">
        <v>751</v>
      </c>
    </row>
    <row r="1322" customFormat="false" ht="15" hidden="false" customHeight="false" outlineLevel="0" collapsed="false">
      <c r="A1322" s="92" t="str">
        <f aca="false">Gov_Map!$H546&amp;""</f>
        <v>—</v>
      </c>
      <c r="B1322" s="74" t="s">
        <v>9578</v>
      </c>
      <c r="C1322" s="61" t="n">
        <v>546</v>
      </c>
      <c r="D1322" s="61" t="s">
        <v>9579</v>
      </c>
      <c r="E1322" s="61" t="s">
        <v>9579</v>
      </c>
      <c r="F1322" s="62" t="s">
        <v>751</v>
      </c>
    </row>
    <row r="1323" customFormat="false" ht="15" hidden="false" customHeight="false" outlineLevel="0" collapsed="false">
      <c r="A1323" s="92" t="str">
        <f aca="false">Gov_Map!$H547&amp;""</f>
        <v>—</v>
      </c>
      <c r="B1323" s="74" t="s">
        <v>9578</v>
      </c>
      <c r="C1323" s="61" t="n">
        <v>547</v>
      </c>
      <c r="D1323" s="61" t="s">
        <v>9579</v>
      </c>
      <c r="E1323" s="61" t="s">
        <v>9579</v>
      </c>
      <c r="F1323" s="62" t="s">
        <v>751</v>
      </c>
    </row>
    <row r="1324" customFormat="false" ht="15" hidden="false" customHeight="false" outlineLevel="0" collapsed="false">
      <c r="A1324" s="92" t="str">
        <f aca="false">Gov_Map!$H548&amp;""</f>
        <v>—</v>
      </c>
      <c r="B1324" s="74" t="s">
        <v>9578</v>
      </c>
      <c r="C1324" s="61" t="n">
        <v>548</v>
      </c>
      <c r="D1324" s="61" t="s">
        <v>9579</v>
      </c>
      <c r="E1324" s="61" t="s">
        <v>9579</v>
      </c>
      <c r="F1324" s="62" t="s">
        <v>751</v>
      </c>
    </row>
    <row r="1325" customFormat="false" ht="15" hidden="false" customHeight="false" outlineLevel="0" collapsed="false">
      <c r="A1325" s="92" t="str">
        <f aca="false">Gov_Map!$H549&amp;""</f>
        <v>SRC_MOD_034</v>
      </c>
      <c r="B1325" s="74" t="s">
        <v>9578</v>
      </c>
      <c r="C1325" s="61" t="n">
        <v>549</v>
      </c>
      <c r="D1325" s="61" t="s">
        <v>9579</v>
      </c>
      <c r="E1325" s="61" t="s">
        <v>9579</v>
      </c>
      <c r="F1325" s="62" t="s">
        <v>751</v>
      </c>
    </row>
    <row r="1326" customFormat="false" ht="15" hidden="false" customHeight="false" outlineLevel="0" collapsed="false">
      <c r="A1326" s="92" t="str">
        <f aca="false">Gov_Map!$H550&amp;""</f>
        <v>SRC_MOD_033</v>
      </c>
      <c r="B1326" s="74" t="s">
        <v>9578</v>
      </c>
      <c r="C1326" s="61" t="n">
        <v>550</v>
      </c>
      <c r="D1326" s="61" t="s">
        <v>9579</v>
      </c>
      <c r="E1326" s="61" t="s">
        <v>9579</v>
      </c>
      <c r="F1326" s="62" t="s">
        <v>751</v>
      </c>
    </row>
    <row r="1327" customFormat="false" ht="15" hidden="false" customHeight="false" outlineLevel="0" collapsed="false">
      <c r="A1327" s="92" t="str">
        <f aca="false">Gov_Map!$H551&amp;""</f>
        <v>SRC_MOD_033</v>
      </c>
      <c r="B1327" s="74" t="s">
        <v>9578</v>
      </c>
      <c r="C1327" s="61" t="n">
        <v>551</v>
      </c>
      <c r="D1327" s="61" t="s">
        <v>9579</v>
      </c>
      <c r="E1327" s="61" t="s">
        <v>9579</v>
      </c>
      <c r="F1327" s="62" t="s">
        <v>751</v>
      </c>
    </row>
    <row r="1328" customFormat="false" ht="15" hidden="false" customHeight="false" outlineLevel="0" collapsed="false">
      <c r="A1328" s="92" t="str">
        <f aca="false">Gov_Map!$H552&amp;""</f>
        <v>SRC_MOD_033</v>
      </c>
      <c r="B1328" s="74" t="s">
        <v>9578</v>
      </c>
      <c r="C1328" s="61" t="n">
        <v>552</v>
      </c>
      <c r="D1328" s="61" t="s">
        <v>9579</v>
      </c>
      <c r="E1328" s="61" t="s">
        <v>9579</v>
      </c>
      <c r="F1328" s="62" t="s">
        <v>751</v>
      </c>
    </row>
    <row r="1329" customFormat="false" ht="15" hidden="false" customHeight="false" outlineLevel="0" collapsed="false">
      <c r="A1329" s="92" t="str">
        <f aca="false">Gov_Map!$H553&amp;""</f>
        <v>—</v>
      </c>
      <c r="B1329" s="74" t="s">
        <v>9578</v>
      </c>
      <c r="C1329" s="61" t="n">
        <v>553</v>
      </c>
      <c r="D1329" s="61" t="s">
        <v>9579</v>
      </c>
      <c r="E1329" s="61" t="s">
        <v>9579</v>
      </c>
      <c r="F1329" s="62" t="s">
        <v>751</v>
      </c>
    </row>
    <row r="1330" customFormat="false" ht="15" hidden="false" customHeight="false" outlineLevel="0" collapsed="false">
      <c r="A1330" s="92" t="str">
        <f aca="false">Gov_Map!$H554&amp;""</f>
        <v>—</v>
      </c>
      <c r="B1330" s="74" t="s">
        <v>9578</v>
      </c>
      <c r="C1330" s="61" t="n">
        <v>554</v>
      </c>
      <c r="D1330" s="61" t="s">
        <v>9579</v>
      </c>
      <c r="E1330" s="61" t="s">
        <v>9579</v>
      </c>
      <c r="F1330" s="62" t="s">
        <v>751</v>
      </c>
    </row>
    <row r="1331" customFormat="false" ht="15" hidden="false" customHeight="false" outlineLevel="0" collapsed="false">
      <c r="A1331" s="92" t="str">
        <f aca="false">Gov_Map!$H555&amp;""</f>
        <v>—</v>
      </c>
      <c r="B1331" s="74" t="s">
        <v>9578</v>
      </c>
      <c r="C1331" s="61" t="n">
        <v>555</v>
      </c>
      <c r="D1331" s="61" t="s">
        <v>9579</v>
      </c>
      <c r="E1331" s="61" t="s">
        <v>9579</v>
      </c>
      <c r="F1331" s="62" t="s">
        <v>751</v>
      </c>
    </row>
    <row r="1332" customFormat="false" ht="15" hidden="false" customHeight="false" outlineLevel="0" collapsed="false">
      <c r="A1332" s="92" t="str">
        <f aca="false">Gov_Map!$H556&amp;""</f>
        <v>—</v>
      </c>
      <c r="B1332" s="74" t="s">
        <v>9578</v>
      </c>
      <c r="C1332" s="61" t="n">
        <v>556</v>
      </c>
      <c r="D1332" s="61" t="s">
        <v>9579</v>
      </c>
      <c r="E1332" s="61" t="s">
        <v>9579</v>
      </c>
      <c r="F1332" s="62" t="s">
        <v>751</v>
      </c>
    </row>
    <row r="1333" customFormat="false" ht="15" hidden="false" customHeight="false" outlineLevel="0" collapsed="false">
      <c r="A1333" s="92" t="str">
        <f aca="false">Gov_Map!$H557&amp;""</f>
        <v>—</v>
      </c>
      <c r="B1333" s="74" t="s">
        <v>9578</v>
      </c>
      <c r="C1333" s="61" t="n">
        <v>557</v>
      </c>
      <c r="D1333" s="61" t="s">
        <v>9579</v>
      </c>
      <c r="E1333" s="61" t="s">
        <v>9579</v>
      </c>
      <c r="F1333" s="62" t="s">
        <v>751</v>
      </c>
    </row>
    <row r="1334" customFormat="false" ht="15" hidden="false" customHeight="false" outlineLevel="0" collapsed="false">
      <c r="A1334" s="92" t="str">
        <f aca="false">Gov_Map!$H558&amp;""</f>
        <v>—</v>
      </c>
      <c r="B1334" s="74" t="s">
        <v>9578</v>
      </c>
      <c r="C1334" s="61" t="n">
        <v>558</v>
      </c>
      <c r="D1334" s="61" t="s">
        <v>9579</v>
      </c>
      <c r="E1334" s="61" t="s">
        <v>9579</v>
      </c>
      <c r="F1334" s="62" t="s">
        <v>751</v>
      </c>
    </row>
    <row r="1335" customFormat="false" ht="15" hidden="false" customHeight="false" outlineLevel="0" collapsed="false">
      <c r="A1335" s="92" t="str">
        <f aca="false">Gov_Map!$H559&amp;""</f>
        <v>—</v>
      </c>
      <c r="B1335" s="74" t="s">
        <v>9578</v>
      </c>
      <c r="C1335" s="61" t="n">
        <v>559</v>
      </c>
      <c r="D1335" s="61" t="s">
        <v>9579</v>
      </c>
      <c r="E1335" s="61" t="s">
        <v>9579</v>
      </c>
      <c r="F1335" s="62" t="s">
        <v>751</v>
      </c>
    </row>
    <row r="1336" customFormat="false" ht="15" hidden="false" customHeight="false" outlineLevel="0" collapsed="false">
      <c r="A1336" s="92" t="str">
        <f aca="false">Gov_Map!$H560&amp;""</f>
        <v>—</v>
      </c>
      <c r="B1336" s="74" t="s">
        <v>9578</v>
      </c>
      <c r="C1336" s="61" t="n">
        <v>560</v>
      </c>
      <c r="D1336" s="61" t="s">
        <v>9579</v>
      </c>
      <c r="E1336" s="61" t="s">
        <v>9579</v>
      </c>
      <c r="F1336" s="62" t="s">
        <v>751</v>
      </c>
    </row>
    <row r="1337" customFormat="false" ht="15" hidden="false" customHeight="false" outlineLevel="0" collapsed="false">
      <c r="A1337" s="92" t="str">
        <f aca="false">Gov_Map!$H561&amp;""</f>
        <v>—</v>
      </c>
      <c r="B1337" s="74" t="s">
        <v>9578</v>
      </c>
      <c r="C1337" s="61" t="n">
        <v>561</v>
      </c>
      <c r="D1337" s="61" t="s">
        <v>9579</v>
      </c>
      <c r="E1337" s="61" t="s">
        <v>9579</v>
      </c>
      <c r="F1337" s="62" t="s">
        <v>751</v>
      </c>
    </row>
    <row r="1338" customFormat="false" ht="15" hidden="false" customHeight="false" outlineLevel="0" collapsed="false">
      <c r="A1338" s="92" t="str">
        <f aca="false">Gov_Map!$H562&amp;""</f>
        <v>—</v>
      </c>
      <c r="B1338" s="74" t="s">
        <v>9578</v>
      </c>
      <c r="C1338" s="61" t="n">
        <v>562</v>
      </c>
      <c r="D1338" s="61" t="s">
        <v>9579</v>
      </c>
      <c r="E1338" s="61" t="s">
        <v>9579</v>
      </c>
      <c r="F1338" s="62" t="s">
        <v>751</v>
      </c>
    </row>
    <row r="1339" customFormat="false" ht="15" hidden="false" customHeight="false" outlineLevel="0" collapsed="false">
      <c r="A1339" s="92" t="str">
        <f aca="false">Gov_Map!$H563&amp;""</f>
        <v>—</v>
      </c>
      <c r="B1339" s="74" t="s">
        <v>9578</v>
      </c>
      <c r="C1339" s="61" t="n">
        <v>563</v>
      </c>
      <c r="D1339" s="61" t="s">
        <v>9579</v>
      </c>
      <c r="E1339" s="61" t="s">
        <v>9579</v>
      </c>
      <c r="F1339" s="62" t="s">
        <v>751</v>
      </c>
    </row>
    <row r="1340" customFormat="false" ht="15" hidden="false" customHeight="false" outlineLevel="0" collapsed="false">
      <c r="A1340" s="92" t="str">
        <f aca="false">Gov_Map!$H564&amp;""</f>
        <v>—</v>
      </c>
      <c r="B1340" s="74" t="s">
        <v>9578</v>
      </c>
      <c r="C1340" s="61" t="n">
        <v>564</v>
      </c>
      <c r="D1340" s="61" t="s">
        <v>9579</v>
      </c>
      <c r="E1340" s="61" t="s">
        <v>9579</v>
      </c>
      <c r="F1340" s="62" t="s">
        <v>751</v>
      </c>
    </row>
    <row r="1341" customFormat="false" ht="15" hidden="false" customHeight="false" outlineLevel="0" collapsed="false">
      <c r="A1341" s="92" t="str">
        <f aca="false">Gov_Map!$H565&amp;""</f>
        <v>—</v>
      </c>
      <c r="B1341" s="74" t="s">
        <v>9578</v>
      </c>
      <c r="C1341" s="61" t="n">
        <v>565</v>
      </c>
      <c r="D1341" s="61" t="s">
        <v>9579</v>
      </c>
      <c r="E1341" s="61" t="s">
        <v>9579</v>
      </c>
      <c r="F1341" s="62" t="s">
        <v>751</v>
      </c>
    </row>
    <row r="1342" customFormat="false" ht="15" hidden="false" customHeight="false" outlineLevel="0" collapsed="false">
      <c r="A1342" s="92" t="str">
        <f aca="false">Gov_Map!$H566&amp;""</f>
        <v>—</v>
      </c>
      <c r="B1342" s="74" t="s">
        <v>9578</v>
      </c>
      <c r="C1342" s="61" t="n">
        <v>566</v>
      </c>
      <c r="D1342" s="61" t="s">
        <v>9579</v>
      </c>
      <c r="E1342" s="61" t="s">
        <v>9579</v>
      </c>
      <c r="F1342" s="62" t="s">
        <v>751</v>
      </c>
    </row>
    <row r="1343" customFormat="false" ht="15" hidden="false" customHeight="false" outlineLevel="0" collapsed="false">
      <c r="A1343" s="92" t="str">
        <f aca="false">Gov_Map!$H567&amp;""</f>
        <v>—</v>
      </c>
      <c r="B1343" s="74" t="s">
        <v>9578</v>
      </c>
      <c r="C1343" s="61" t="n">
        <v>567</v>
      </c>
      <c r="D1343" s="61" t="s">
        <v>9579</v>
      </c>
      <c r="E1343" s="61" t="s">
        <v>9579</v>
      </c>
      <c r="F1343" s="62" t="s">
        <v>751</v>
      </c>
    </row>
    <row r="1344" customFormat="false" ht="15" hidden="false" customHeight="false" outlineLevel="0" collapsed="false">
      <c r="A1344" s="92" t="str">
        <f aca="false">Gov_Map!$H568&amp;""</f>
        <v>—</v>
      </c>
      <c r="B1344" s="74" t="s">
        <v>9578</v>
      </c>
      <c r="C1344" s="61" t="n">
        <v>568</v>
      </c>
      <c r="D1344" s="61" t="s">
        <v>9579</v>
      </c>
      <c r="E1344" s="61" t="s">
        <v>9579</v>
      </c>
      <c r="F1344" s="62" t="s">
        <v>751</v>
      </c>
    </row>
    <row r="1345" customFormat="false" ht="15" hidden="false" customHeight="false" outlineLevel="0" collapsed="false">
      <c r="A1345" s="92" t="str">
        <f aca="false">Gov_Map!$H569&amp;""</f>
        <v>—</v>
      </c>
      <c r="B1345" s="74" t="s">
        <v>9578</v>
      </c>
      <c r="C1345" s="61" t="n">
        <v>569</v>
      </c>
      <c r="D1345" s="61" t="s">
        <v>9579</v>
      </c>
      <c r="E1345" s="61" t="s">
        <v>9579</v>
      </c>
      <c r="F1345" s="62" t="s">
        <v>751</v>
      </c>
    </row>
    <row r="1346" customFormat="false" ht="15" hidden="false" customHeight="false" outlineLevel="0" collapsed="false">
      <c r="A1346" s="92" t="str">
        <f aca="false">Gov_Map!$H570&amp;""</f>
        <v>—</v>
      </c>
      <c r="B1346" s="74" t="s">
        <v>9578</v>
      </c>
      <c r="C1346" s="61" t="n">
        <v>570</v>
      </c>
      <c r="D1346" s="61" t="s">
        <v>9579</v>
      </c>
      <c r="E1346" s="61" t="s">
        <v>9579</v>
      </c>
      <c r="F1346" s="62" t="s">
        <v>751</v>
      </c>
    </row>
    <row r="1347" customFormat="false" ht="15" hidden="false" customHeight="false" outlineLevel="0" collapsed="false">
      <c r="A1347" s="92" t="str">
        <f aca="false">Gov_Map!$H571&amp;""</f>
        <v>—</v>
      </c>
      <c r="B1347" s="74" t="s">
        <v>9578</v>
      </c>
      <c r="C1347" s="61" t="n">
        <v>571</v>
      </c>
      <c r="D1347" s="61" t="s">
        <v>9579</v>
      </c>
      <c r="E1347" s="61" t="s">
        <v>9579</v>
      </c>
      <c r="F1347" s="62" t="s">
        <v>751</v>
      </c>
    </row>
    <row r="1348" customFormat="false" ht="15" hidden="false" customHeight="false" outlineLevel="0" collapsed="false">
      <c r="A1348" s="92" t="str">
        <f aca="false">Gov_Map!$H572&amp;""</f>
        <v>—</v>
      </c>
      <c r="B1348" s="74" t="s">
        <v>9578</v>
      </c>
      <c r="C1348" s="61" t="n">
        <v>572</v>
      </c>
      <c r="D1348" s="61" t="s">
        <v>9579</v>
      </c>
      <c r="E1348" s="61" t="s">
        <v>9579</v>
      </c>
      <c r="F1348" s="62" t="s">
        <v>751</v>
      </c>
    </row>
    <row r="1349" customFormat="false" ht="15" hidden="false" customHeight="false" outlineLevel="0" collapsed="false">
      <c r="A1349" s="92" t="str">
        <f aca="false">Gov_Map!$H573&amp;""</f>
        <v>—</v>
      </c>
      <c r="B1349" s="74" t="s">
        <v>9578</v>
      </c>
      <c r="C1349" s="61" t="n">
        <v>573</v>
      </c>
      <c r="D1349" s="61" t="s">
        <v>9579</v>
      </c>
      <c r="E1349" s="61" t="s">
        <v>9579</v>
      </c>
      <c r="F1349" s="62" t="s">
        <v>751</v>
      </c>
    </row>
    <row r="1350" customFormat="false" ht="15" hidden="false" customHeight="false" outlineLevel="0" collapsed="false">
      <c r="A1350" s="92" t="str">
        <f aca="false">Gov_Map!$H574&amp;""</f>
        <v>—</v>
      </c>
      <c r="B1350" s="74" t="s">
        <v>9578</v>
      </c>
      <c r="C1350" s="61" t="n">
        <v>574</v>
      </c>
      <c r="D1350" s="61" t="s">
        <v>9579</v>
      </c>
      <c r="E1350" s="61" t="s">
        <v>9579</v>
      </c>
      <c r="F1350" s="62" t="s">
        <v>751</v>
      </c>
    </row>
    <row r="1351" customFormat="false" ht="15" hidden="false" customHeight="false" outlineLevel="0" collapsed="false">
      <c r="A1351" s="92" t="str">
        <f aca="false">Gov_Map!$H575&amp;""</f>
        <v>SRC_MOD_028</v>
      </c>
      <c r="B1351" s="74" t="s">
        <v>9578</v>
      </c>
      <c r="C1351" s="61" t="n">
        <v>575</v>
      </c>
      <c r="D1351" s="61" t="s">
        <v>9579</v>
      </c>
      <c r="E1351" s="61" t="s">
        <v>9579</v>
      </c>
      <c r="F1351" s="62" t="s">
        <v>751</v>
      </c>
    </row>
    <row r="1352" customFormat="false" ht="15" hidden="false" customHeight="false" outlineLevel="0" collapsed="false">
      <c r="A1352" s="92" t="str">
        <f aca="false">Gov_Map!$H576&amp;""</f>
        <v>—</v>
      </c>
      <c r="B1352" s="74" t="s">
        <v>9578</v>
      </c>
      <c r="C1352" s="61" t="n">
        <v>576</v>
      </c>
      <c r="D1352" s="61" t="s">
        <v>9579</v>
      </c>
      <c r="E1352" s="61" t="s">
        <v>9579</v>
      </c>
      <c r="F1352" s="62" t="s">
        <v>751</v>
      </c>
    </row>
    <row r="1353" customFormat="false" ht="15" hidden="false" customHeight="false" outlineLevel="0" collapsed="false">
      <c r="A1353" s="92" t="str">
        <f aca="false">Gov_Map!$H577&amp;""</f>
        <v>—</v>
      </c>
      <c r="B1353" s="74" t="s">
        <v>9578</v>
      </c>
      <c r="C1353" s="61" t="n">
        <v>577</v>
      </c>
      <c r="D1353" s="61" t="s">
        <v>9579</v>
      </c>
      <c r="E1353" s="61" t="s">
        <v>9579</v>
      </c>
      <c r="F1353" s="62" t="s">
        <v>751</v>
      </c>
    </row>
    <row r="1354" customFormat="false" ht="15" hidden="false" customHeight="false" outlineLevel="0" collapsed="false">
      <c r="A1354" s="92" t="str">
        <f aca="false">Gov_Map!$H578&amp;""</f>
        <v>SRC_HW_055</v>
      </c>
      <c r="B1354" s="74" t="s">
        <v>9578</v>
      </c>
      <c r="C1354" s="61" t="n">
        <v>578</v>
      </c>
      <c r="D1354" s="61" t="s">
        <v>9579</v>
      </c>
      <c r="E1354" s="61" t="s">
        <v>9579</v>
      </c>
      <c r="F1354" s="62" t="s">
        <v>751</v>
      </c>
    </row>
    <row r="1355" customFormat="false" ht="15" hidden="false" customHeight="false" outlineLevel="0" collapsed="false">
      <c r="A1355" s="92" t="str">
        <f aca="false">Gov_Map!$H579&amp;""</f>
        <v>—</v>
      </c>
      <c r="B1355" s="74" t="s">
        <v>9578</v>
      </c>
      <c r="C1355" s="61" t="n">
        <v>579</v>
      </c>
      <c r="D1355" s="61" t="s">
        <v>9579</v>
      </c>
      <c r="E1355" s="61" t="s">
        <v>9579</v>
      </c>
      <c r="F1355" s="62" t="s">
        <v>751</v>
      </c>
    </row>
    <row r="1356" customFormat="false" ht="15" hidden="false" customHeight="false" outlineLevel="0" collapsed="false">
      <c r="A1356" s="92" t="str">
        <f aca="false">Gov_Map!$H580&amp;""</f>
        <v>—</v>
      </c>
      <c r="B1356" s="74" t="s">
        <v>9578</v>
      </c>
      <c r="C1356" s="61" t="n">
        <v>580</v>
      </c>
      <c r="D1356" s="61" t="s">
        <v>9579</v>
      </c>
      <c r="E1356" s="61" t="s">
        <v>9579</v>
      </c>
      <c r="F1356" s="62" t="s">
        <v>751</v>
      </c>
    </row>
    <row r="1357" customFormat="false" ht="15" hidden="false" customHeight="false" outlineLevel="0" collapsed="false">
      <c r="A1357" s="92" t="str">
        <f aca="false">Gov_Map!$H581&amp;""</f>
        <v>—</v>
      </c>
      <c r="B1357" s="74" t="s">
        <v>9578</v>
      </c>
      <c r="C1357" s="61" t="n">
        <v>581</v>
      </c>
      <c r="D1357" s="61" t="s">
        <v>9579</v>
      </c>
      <c r="E1357" s="61" t="s">
        <v>9579</v>
      </c>
      <c r="F1357" s="62" t="s">
        <v>751</v>
      </c>
    </row>
    <row r="1358" customFormat="false" ht="15" hidden="false" customHeight="false" outlineLevel="0" collapsed="false">
      <c r="A1358" s="92" t="str">
        <f aca="false">Gov_Map!$H582&amp;""</f>
        <v>—</v>
      </c>
      <c r="B1358" s="74" t="s">
        <v>9578</v>
      </c>
      <c r="C1358" s="61" t="n">
        <v>582</v>
      </c>
      <c r="D1358" s="61" t="s">
        <v>9579</v>
      </c>
      <c r="E1358" s="61" t="s">
        <v>9579</v>
      </c>
      <c r="F1358" s="62" t="s">
        <v>751</v>
      </c>
    </row>
    <row r="1359" customFormat="false" ht="15" hidden="false" customHeight="false" outlineLevel="0" collapsed="false">
      <c r="A1359" s="92" t="str">
        <f aca="false">Gov_Map!$H583&amp;""</f>
        <v>—</v>
      </c>
      <c r="B1359" s="74" t="s">
        <v>9578</v>
      </c>
      <c r="C1359" s="61" t="n">
        <v>583</v>
      </c>
      <c r="D1359" s="61" t="s">
        <v>9579</v>
      </c>
      <c r="E1359" s="61" t="s">
        <v>9579</v>
      </c>
      <c r="F1359" s="62" t="s">
        <v>751</v>
      </c>
    </row>
    <row r="1360" customFormat="false" ht="15" hidden="false" customHeight="false" outlineLevel="0" collapsed="false">
      <c r="A1360" s="92" t="str">
        <f aca="false">Gov_Map!$H584&amp;""</f>
        <v>—</v>
      </c>
      <c r="B1360" s="74" t="s">
        <v>9578</v>
      </c>
      <c r="C1360" s="61" t="n">
        <v>584</v>
      </c>
      <c r="D1360" s="61" t="s">
        <v>9579</v>
      </c>
      <c r="E1360" s="61" t="s">
        <v>9579</v>
      </c>
      <c r="F1360" s="62" t="s">
        <v>751</v>
      </c>
    </row>
    <row r="1361" customFormat="false" ht="15" hidden="false" customHeight="false" outlineLevel="0" collapsed="false">
      <c r="A1361" s="92" t="str">
        <f aca="false">Gov_Map!$H585&amp;""</f>
        <v>—</v>
      </c>
      <c r="B1361" s="74" t="s">
        <v>9578</v>
      </c>
      <c r="C1361" s="61" t="n">
        <v>585</v>
      </c>
      <c r="D1361" s="61" t="s">
        <v>9579</v>
      </c>
      <c r="E1361" s="61" t="s">
        <v>9579</v>
      </c>
      <c r="F1361" s="62" t="s">
        <v>751</v>
      </c>
    </row>
    <row r="1362" customFormat="false" ht="15" hidden="false" customHeight="false" outlineLevel="0" collapsed="false">
      <c r="A1362" s="92" t="str">
        <f aca="false">Gov_Map!$H586&amp;""</f>
        <v>—</v>
      </c>
      <c r="B1362" s="74" t="s">
        <v>9578</v>
      </c>
      <c r="C1362" s="61" t="n">
        <v>586</v>
      </c>
      <c r="D1362" s="61" t="s">
        <v>9579</v>
      </c>
      <c r="E1362" s="61" t="s">
        <v>9579</v>
      </c>
      <c r="F1362" s="62" t="s">
        <v>751</v>
      </c>
    </row>
    <row r="1363" customFormat="false" ht="15" hidden="false" customHeight="false" outlineLevel="0" collapsed="false">
      <c r="A1363" s="92" t="str">
        <f aca="false">Gov_Map!$H587&amp;""</f>
        <v>—</v>
      </c>
      <c r="B1363" s="74" t="s">
        <v>9578</v>
      </c>
      <c r="C1363" s="61" t="n">
        <v>587</v>
      </c>
      <c r="D1363" s="61" t="s">
        <v>9579</v>
      </c>
      <c r="E1363" s="61" t="s">
        <v>9579</v>
      </c>
      <c r="F1363" s="62" t="s">
        <v>751</v>
      </c>
    </row>
    <row r="1364" customFormat="false" ht="15" hidden="false" customHeight="false" outlineLevel="0" collapsed="false">
      <c r="A1364" s="92" t="str">
        <f aca="false">Gov_Map!$H588&amp;""</f>
        <v>SRC_DEM_010</v>
      </c>
      <c r="B1364" s="74" t="s">
        <v>9578</v>
      </c>
      <c r="C1364" s="61" t="n">
        <v>588</v>
      </c>
      <c r="D1364" s="61" t="s">
        <v>9579</v>
      </c>
      <c r="E1364" s="61" t="s">
        <v>9579</v>
      </c>
      <c r="F1364" s="62" t="s">
        <v>751</v>
      </c>
    </row>
    <row r="1365" customFormat="false" ht="15" hidden="false" customHeight="false" outlineLevel="0" collapsed="false">
      <c r="A1365" s="92" t="str">
        <f aca="false">Gov_Map!$H589&amp;""</f>
        <v>—</v>
      </c>
      <c r="B1365" s="74" t="s">
        <v>9578</v>
      </c>
      <c r="C1365" s="61" t="n">
        <v>589</v>
      </c>
      <c r="D1365" s="61" t="s">
        <v>9579</v>
      </c>
      <c r="E1365" s="61" t="s">
        <v>9579</v>
      </c>
      <c r="F1365" s="62" t="s">
        <v>751</v>
      </c>
    </row>
    <row r="1366" customFormat="false" ht="15" hidden="false" customHeight="false" outlineLevel="0" collapsed="false">
      <c r="A1366" s="92" t="str">
        <f aca="false">Gov_Map!$H590&amp;""</f>
        <v>SRC_DEM_012</v>
      </c>
      <c r="B1366" s="74" t="s">
        <v>9578</v>
      </c>
      <c r="C1366" s="61" t="n">
        <v>590</v>
      </c>
      <c r="D1366" s="61" t="s">
        <v>9579</v>
      </c>
      <c r="E1366" s="61" t="s">
        <v>9579</v>
      </c>
      <c r="F1366" s="62" t="s">
        <v>751</v>
      </c>
    </row>
    <row r="1367" customFormat="false" ht="15" hidden="false" customHeight="false" outlineLevel="0" collapsed="false">
      <c r="A1367" s="92" t="str">
        <f aca="false">Gov_Map!$H591&amp;""</f>
        <v>—</v>
      </c>
      <c r="B1367" s="74" t="s">
        <v>9578</v>
      </c>
      <c r="C1367" s="61" t="n">
        <v>591</v>
      </c>
      <c r="D1367" s="61" t="s">
        <v>9579</v>
      </c>
      <c r="E1367" s="61" t="s">
        <v>9579</v>
      </c>
      <c r="F1367" s="62" t="s">
        <v>751</v>
      </c>
    </row>
    <row r="1368" customFormat="false" ht="15" hidden="false" customHeight="false" outlineLevel="0" collapsed="false">
      <c r="A1368" s="92" t="str">
        <f aca="false">Gov_Map!$H592&amp;""</f>
        <v>SRC_DEM_005</v>
      </c>
      <c r="B1368" s="74" t="s">
        <v>9578</v>
      </c>
      <c r="C1368" s="61" t="n">
        <v>592</v>
      </c>
      <c r="D1368" s="61" t="s">
        <v>9579</v>
      </c>
      <c r="E1368" s="61" t="s">
        <v>9579</v>
      </c>
      <c r="F1368" s="62" t="s">
        <v>751</v>
      </c>
    </row>
    <row r="1369" customFormat="false" ht="15" hidden="false" customHeight="false" outlineLevel="0" collapsed="false">
      <c r="A1369" s="92" t="str">
        <f aca="false">Gov_Map!$H593&amp;""</f>
        <v>—</v>
      </c>
      <c r="B1369" s="74" t="s">
        <v>9578</v>
      </c>
      <c r="C1369" s="61" t="n">
        <v>593</v>
      </c>
      <c r="D1369" s="61" t="s">
        <v>9579</v>
      </c>
      <c r="E1369" s="61" t="s">
        <v>9579</v>
      </c>
      <c r="F1369" s="62" t="s">
        <v>751</v>
      </c>
    </row>
    <row r="1370" customFormat="false" ht="15" hidden="false" customHeight="false" outlineLevel="0" collapsed="false">
      <c r="A1370" s="92" t="str">
        <f aca="false">Gov_Map!$H594&amp;""</f>
        <v>—</v>
      </c>
      <c r="B1370" s="74" t="s">
        <v>9578</v>
      </c>
      <c r="C1370" s="61" t="n">
        <v>594</v>
      </c>
      <c r="D1370" s="61" t="s">
        <v>9579</v>
      </c>
      <c r="E1370" s="61" t="s">
        <v>9579</v>
      </c>
      <c r="F1370" s="62" t="s">
        <v>751</v>
      </c>
    </row>
    <row r="1371" customFormat="false" ht="15" hidden="false" customHeight="false" outlineLevel="0" collapsed="false">
      <c r="A1371" s="92" t="str">
        <f aca="false">Gov_Map!$H595&amp;""</f>
        <v>—</v>
      </c>
      <c r="B1371" s="74" t="s">
        <v>9578</v>
      </c>
      <c r="C1371" s="61" t="n">
        <v>595</v>
      </c>
      <c r="D1371" s="61" t="s">
        <v>9579</v>
      </c>
      <c r="E1371" s="61" t="s">
        <v>9579</v>
      </c>
      <c r="F1371" s="62" t="s">
        <v>751</v>
      </c>
    </row>
    <row r="1372" customFormat="false" ht="15" hidden="false" customHeight="false" outlineLevel="0" collapsed="false">
      <c r="A1372" s="92" t="str">
        <f aca="false">Gov_Map!$H596&amp;""</f>
        <v>—</v>
      </c>
      <c r="B1372" s="74" t="s">
        <v>9578</v>
      </c>
      <c r="C1372" s="61" t="n">
        <v>596</v>
      </c>
      <c r="D1372" s="61" t="s">
        <v>9579</v>
      </c>
      <c r="E1372" s="61" t="s">
        <v>9579</v>
      </c>
      <c r="F1372" s="62" t="s">
        <v>751</v>
      </c>
    </row>
    <row r="1373" customFormat="false" ht="15" hidden="false" customHeight="false" outlineLevel="0" collapsed="false">
      <c r="A1373" s="92" t="str">
        <f aca="false">Gov_Map!$H597&amp;""</f>
        <v>—</v>
      </c>
      <c r="B1373" s="74" t="s">
        <v>9578</v>
      </c>
      <c r="C1373" s="61" t="n">
        <v>597</v>
      </c>
      <c r="D1373" s="61" t="s">
        <v>9579</v>
      </c>
      <c r="E1373" s="61" t="s">
        <v>9579</v>
      </c>
      <c r="F1373" s="62" t="s">
        <v>751</v>
      </c>
    </row>
    <row r="1374" customFormat="false" ht="15" hidden="false" customHeight="false" outlineLevel="0" collapsed="false">
      <c r="A1374" s="92" t="str">
        <f aca="false">Gov_Map!$H598&amp;""</f>
        <v>—</v>
      </c>
      <c r="B1374" s="74" t="s">
        <v>9578</v>
      </c>
      <c r="C1374" s="61" t="n">
        <v>598</v>
      </c>
      <c r="D1374" s="61" t="s">
        <v>9579</v>
      </c>
      <c r="E1374" s="61" t="s">
        <v>9579</v>
      </c>
      <c r="F1374" s="62" t="s">
        <v>751</v>
      </c>
    </row>
    <row r="1375" customFormat="false" ht="15" hidden="false" customHeight="false" outlineLevel="0" collapsed="false">
      <c r="A1375" s="92" t="str">
        <f aca="false">Gov_Map!$H599&amp;""</f>
        <v>SRC_PERF_056</v>
      </c>
      <c r="B1375" s="74" t="s">
        <v>9578</v>
      </c>
      <c r="C1375" s="61" t="n">
        <v>599</v>
      </c>
      <c r="D1375" s="61" t="s">
        <v>9579</v>
      </c>
      <c r="E1375" s="61" t="s">
        <v>9579</v>
      </c>
      <c r="F1375" s="62" t="s">
        <v>751</v>
      </c>
    </row>
    <row r="1376" customFormat="false" ht="15" hidden="false" customHeight="false" outlineLevel="0" collapsed="false">
      <c r="A1376" s="92" t="str">
        <f aca="false">Gov_Map!$H600&amp;""</f>
        <v>—</v>
      </c>
      <c r="B1376" s="74" t="s">
        <v>9578</v>
      </c>
      <c r="C1376" s="61" t="n">
        <v>600</v>
      </c>
      <c r="D1376" s="61" t="s">
        <v>9579</v>
      </c>
      <c r="E1376" s="61" t="s">
        <v>9579</v>
      </c>
      <c r="F1376" s="62" t="s">
        <v>751</v>
      </c>
    </row>
    <row r="1377" customFormat="false" ht="15" hidden="false" customHeight="false" outlineLevel="0" collapsed="false">
      <c r="A1377" s="92" t="str">
        <f aca="false">Gov_Map!$H601&amp;""</f>
        <v>—</v>
      </c>
      <c r="B1377" s="74" t="s">
        <v>9578</v>
      </c>
      <c r="C1377" s="61" t="n">
        <v>601</v>
      </c>
      <c r="D1377" s="61" t="s">
        <v>9579</v>
      </c>
      <c r="E1377" s="61" t="s">
        <v>9579</v>
      </c>
      <c r="F1377" s="62" t="s">
        <v>751</v>
      </c>
    </row>
    <row r="1378" customFormat="false" ht="15" hidden="false" customHeight="false" outlineLevel="0" collapsed="false">
      <c r="A1378" s="92" t="str">
        <f aca="false">Gov_Map!$H602&amp;""</f>
        <v>—</v>
      </c>
      <c r="B1378" s="74" t="s">
        <v>9578</v>
      </c>
      <c r="C1378" s="61" t="n">
        <v>602</v>
      </c>
      <c r="D1378" s="61" t="s">
        <v>9579</v>
      </c>
      <c r="E1378" s="61" t="s">
        <v>9579</v>
      </c>
      <c r="F1378" s="62" t="s">
        <v>751</v>
      </c>
    </row>
    <row r="1379" customFormat="false" ht="15" hidden="false" customHeight="false" outlineLevel="0" collapsed="false">
      <c r="A1379" s="92" t="str">
        <f aca="false">Gov_Map!$H603&amp;""</f>
        <v>—</v>
      </c>
      <c r="B1379" s="74" t="s">
        <v>9578</v>
      </c>
      <c r="C1379" s="61" t="n">
        <v>603</v>
      </c>
      <c r="D1379" s="61" t="s">
        <v>9579</v>
      </c>
      <c r="E1379" s="61" t="s">
        <v>9579</v>
      </c>
      <c r="F1379" s="62" t="s">
        <v>751</v>
      </c>
    </row>
    <row r="1380" customFormat="false" ht="15" hidden="false" customHeight="false" outlineLevel="0" collapsed="false">
      <c r="A1380" s="92" t="str">
        <f aca="false">Gov_Map!$H604&amp;""</f>
        <v>—</v>
      </c>
      <c r="B1380" s="74" t="s">
        <v>9578</v>
      </c>
      <c r="C1380" s="61" t="n">
        <v>604</v>
      </c>
      <c r="D1380" s="61" t="s">
        <v>9579</v>
      </c>
      <c r="E1380" s="61" t="s">
        <v>9579</v>
      </c>
      <c r="F1380" s="62" t="s">
        <v>751</v>
      </c>
    </row>
    <row r="1381" customFormat="false" ht="15" hidden="false" customHeight="false" outlineLevel="0" collapsed="false">
      <c r="A1381" s="92" t="str">
        <f aca="false">Gov_Map!$H605&amp;""</f>
        <v>SRC_DC_015</v>
      </c>
      <c r="B1381" s="74" t="s">
        <v>9578</v>
      </c>
      <c r="C1381" s="61" t="n">
        <v>605</v>
      </c>
      <c r="D1381" s="61" t="s">
        <v>9579</v>
      </c>
      <c r="E1381" s="61" t="s">
        <v>9579</v>
      </c>
      <c r="F1381" s="62" t="s">
        <v>751</v>
      </c>
    </row>
    <row r="1382" customFormat="false" ht="15" hidden="false" customHeight="false" outlineLevel="0" collapsed="false">
      <c r="A1382" s="92" t="str">
        <f aca="false">Gov_Map!$H606&amp;""</f>
        <v>SRC_DC_015</v>
      </c>
      <c r="B1382" s="74" t="s">
        <v>9578</v>
      </c>
      <c r="C1382" s="61" t="n">
        <v>606</v>
      </c>
      <c r="D1382" s="61" t="s">
        <v>9579</v>
      </c>
      <c r="E1382" s="61" t="s">
        <v>9579</v>
      </c>
      <c r="F1382" s="62" t="s">
        <v>751</v>
      </c>
    </row>
    <row r="1383" customFormat="false" ht="15" hidden="false" customHeight="false" outlineLevel="0" collapsed="false">
      <c r="A1383" s="92" t="str">
        <f aca="false">Gov_Map!$H607&amp;""</f>
        <v>SRC_DC_015</v>
      </c>
      <c r="B1383" s="74" t="s">
        <v>9578</v>
      </c>
      <c r="C1383" s="61" t="n">
        <v>607</v>
      </c>
      <c r="D1383" s="61" t="s">
        <v>9579</v>
      </c>
      <c r="E1383" s="61" t="s">
        <v>9579</v>
      </c>
      <c r="F1383" s="62" t="s">
        <v>751</v>
      </c>
    </row>
    <row r="1384" customFormat="false" ht="15" hidden="false" customHeight="false" outlineLevel="0" collapsed="false">
      <c r="A1384" s="92" t="str">
        <f aca="false">Gov_Map!$H608&amp;""</f>
        <v>SRC_DC_015</v>
      </c>
      <c r="B1384" s="74" t="s">
        <v>9578</v>
      </c>
      <c r="C1384" s="61" t="n">
        <v>608</v>
      </c>
      <c r="D1384" s="61" t="s">
        <v>9579</v>
      </c>
      <c r="E1384" s="61" t="s">
        <v>9579</v>
      </c>
      <c r="F1384" s="62" t="s">
        <v>751</v>
      </c>
    </row>
    <row r="1385" customFormat="false" ht="15" hidden="false" customHeight="false" outlineLevel="0" collapsed="false">
      <c r="A1385" s="92" t="str">
        <f aca="false">Gov_Map!$H609&amp;""</f>
        <v>SRC_DC_017</v>
      </c>
      <c r="B1385" s="74" t="s">
        <v>9578</v>
      </c>
      <c r="C1385" s="61" t="n">
        <v>609</v>
      </c>
      <c r="D1385" s="61" t="s">
        <v>9579</v>
      </c>
      <c r="E1385" s="61" t="s">
        <v>9579</v>
      </c>
      <c r="F1385" s="62" t="s">
        <v>751</v>
      </c>
    </row>
    <row r="1386" customFormat="false" ht="15" hidden="false" customHeight="false" outlineLevel="0" collapsed="false">
      <c r="A1386" s="92" t="str">
        <f aca="false">Gov_Map!$H610&amp;""</f>
        <v>SRC_DC_017</v>
      </c>
      <c r="B1386" s="74" t="s">
        <v>9578</v>
      </c>
      <c r="C1386" s="61" t="n">
        <v>610</v>
      </c>
      <c r="D1386" s="61" t="s">
        <v>9579</v>
      </c>
      <c r="E1386" s="61" t="s">
        <v>9579</v>
      </c>
      <c r="F1386" s="62" t="s">
        <v>751</v>
      </c>
    </row>
    <row r="1387" customFormat="false" ht="15" hidden="false" customHeight="false" outlineLevel="0" collapsed="false">
      <c r="A1387" s="92" t="str">
        <f aca="false">Gov_Map!$H611&amp;""</f>
        <v>SRC_DC_017</v>
      </c>
      <c r="B1387" s="74" t="s">
        <v>9578</v>
      </c>
      <c r="C1387" s="61" t="n">
        <v>611</v>
      </c>
      <c r="D1387" s="61" t="s">
        <v>9579</v>
      </c>
      <c r="E1387" s="61" t="s">
        <v>9579</v>
      </c>
      <c r="F1387" s="62" t="s">
        <v>751</v>
      </c>
    </row>
    <row r="1388" customFormat="false" ht="15" hidden="false" customHeight="false" outlineLevel="0" collapsed="false">
      <c r="A1388" s="92" t="str">
        <f aca="false">Gov_Map!$H612&amp;""</f>
        <v>SRC_DEM_039</v>
      </c>
      <c r="B1388" s="74" t="s">
        <v>9578</v>
      </c>
      <c r="C1388" s="61" t="n">
        <v>612</v>
      </c>
      <c r="D1388" s="61" t="s">
        <v>9579</v>
      </c>
      <c r="E1388" s="61" t="s">
        <v>9579</v>
      </c>
      <c r="F1388" s="62" t="s">
        <v>751</v>
      </c>
    </row>
    <row r="1389" customFormat="false" ht="15" hidden="false" customHeight="false" outlineLevel="0" collapsed="false">
      <c r="A1389" s="92" t="str">
        <f aca="false">Gov_Map!$H613&amp;""</f>
        <v>—</v>
      </c>
      <c r="B1389" s="74" t="s">
        <v>9578</v>
      </c>
      <c r="C1389" s="61" t="n">
        <v>613</v>
      </c>
      <c r="D1389" s="61" t="s">
        <v>9579</v>
      </c>
      <c r="E1389" s="61" t="s">
        <v>9579</v>
      </c>
      <c r="F1389" s="62" t="s">
        <v>751</v>
      </c>
    </row>
    <row r="1390" customFormat="false" ht="15" hidden="false" customHeight="false" outlineLevel="0" collapsed="false">
      <c r="A1390" s="92" t="str">
        <f aca="false">Gov_Map!$H614&amp;""</f>
        <v>—</v>
      </c>
      <c r="B1390" s="74" t="s">
        <v>9578</v>
      </c>
      <c r="C1390" s="61" t="n">
        <v>614</v>
      </c>
      <c r="D1390" s="61" t="s">
        <v>9579</v>
      </c>
      <c r="E1390" s="61" t="s">
        <v>9579</v>
      </c>
      <c r="F1390" s="62" t="s">
        <v>751</v>
      </c>
    </row>
    <row r="1391" customFormat="false" ht="15" hidden="false" customHeight="false" outlineLevel="0" collapsed="false">
      <c r="A1391" s="92" t="str">
        <f aca="false">Gov_Map!$H615&amp;""</f>
        <v>—</v>
      </c>
      <c r="B1391" s="74" t="s">
        <v>9578</v>
      </c>
      <c r="C1391" s="61" t="n">
        <v>615</v>
      </c>
      <c r="D1391" s="61" t="s">
        <v>9579</v>
      </c>
      <c r="E1391" s="61" t="s">
        <v>9579</v>
      </c>
      <c r="F1391" s="62" t="s">
        <v>751</v>
      </c>
    </row>
    <row r="1392" customFormat="false" ht="15" hidden="false" customHeight="false" outlineLevel="0" collapsed="false">
      <c r="A1392" s="92" t="str">
        <f aca="false">Gov_Map!$H616&amp;""</f>
        <v>SRC_DEM_051</v>
      </c>
      <c r="B1392" s="74" t="s">
        <v>9578</v>
      </c>
      <c r="C1392" s="61" t="n">
        <v>616</v>
      </c>
      <c r="D1392" s="61" t="s">
        <v>9579</v>
      </c>
      <c r="E1392" s="61" t="s">
        <v>9579</v>
      </c>
      <c r="F1392" s="62" t="s">
        <v>751</v>
      </c>
    </row>
    <row r="1393" customFormat="false" ht="15" hidden="false" customHeight="false" outlineLevel="0" collapsed="false">
      <c r="A1393" s="92" t="str">
        <f aca="false">Gov_Map!$H617&amp;""</f>
        <v>—</v>
      </c>
      <c r="B1393" s="74" t="s">
        <v>9578</v>
      </c>
      <c r="C1393" s="61" t="n">
        <v>617</v>
      </c>
      <c r="D1393" s="61" t="s">
        <v>9579</v>
      </c>
      <c r="E1393" s="61" t="s">
        <v>9579</v>
      </c>
      <c r="F1393" s="62" t="s">
        <v>751</v>
      </c>
    </row>
    <row r="1394" customFormat="false" ht="15" hidden="false" customHeight="false" outlineLevel="0" collapsed="false">
      <c r="A1394" s="92" t="str">
        <f aca="false">Gov_Map!$H618&amp;""</f>
        <v>SRC_DEM_071</v>
      </c>
      <c r="B1394" s="74" t="s">
        <v>9578</v>
      </c>
      <c r="C1394" s="61" t="n">
        <v>618</v>
      </c>
      <c r="D1394" s="61" t="s">
        <v>9579</v>
      </c>
      <c r="E1394" s="61" t="s">
        <v>9579</v>
      </c>
      <c r="F1394" s="62" t="s">
        <v>751</v>
      </c>
    </row>
    <row r="1395" customFormat="false" ht="15" hidden="false" customHeight="false" outlineLevel="0" collapsed="false">
      <c r="A1395" s="92" t="str">
        <f aca="false">Gov_Map!$H619&amp;""</f>
        <v>—</v>
      </c>
      <c r="B1395" s="74" t="s">
        <v>9578</v>
      </c>
      <c r="C1395" s="61" t="n">
        <v>619</v>
      </c>
      <c r="D1395" s="61" t="s">
        <v>9579</v>
      </c>
      <c r="E1395" s="61" t="s">
        <v>9579</v>
      </c>
      <c r="F1395" s="62" t="s">
        <v>751</v>
      </c>
    </row>
    <row r="1396" customFormat="false" ht="15" hidden="false" customHeight="false" outlineLevel="0" collapsed="false">
      <c r="A1396" s="92" t="str">
        <f aca="false">Gov_Map!$H620&amp;""</f>
        <v>—</v>
      </c>
      <c r="B1396" s="74" t="s">
        <v>9578</v>
      </c>
      <c r="C1396" s="61" t="n">
        <v>620</v>
      </c>
      <c r="D1396" s="61" t="s">
        <v>9579</v>
      </c>
      <c r="E1396" s="61" t="s">
        <v>9579</v>
      </c>
      <c r="F1396" s="62" t="s">
        <v>751</v>
      </c>
    </row>
    <row r="1397" customFormat="false" ht="15" hidden="false" customHeight="false" outlineLevel="0" collapsed="false">
      <c r="A1397" s="92" t="str">
        <f aca="false">Gov_Map!$H621&amp;""</f>
        <v>—</v>
      </c>
      <c r="B1397" s="74" t="s">
        <v>9578</v>
      </c>
      <c r="C1397" s="61" t="n">
        <v>621</v>
      </c>
      <c r="D1397" s="61" t="s">
        <v>9579</v>
      </c>
      <c r="E1397" s="61" t="s">
        <v>9579</v>
      </c>
      <c r="F1397" s="62" t="s">
        <v>751</v>
      </c>
    </row>
    <row r="1398" customFormat="false" ht="15" hidden="false" customHeight="false" outlineLevel="0" collapsed="false">
      <c r="A1398" s="92" t="str">
        <f aca="false">Gov_Map!$H622&amp;""</f>
        <v>—</v>
      </c>
      <c r="B1398" s="74" t="s">
        <v>9578</v>
      </c>
      <c r="C1398" s="61" t="n">
        <v>622</v>
      </c>
      <c r="D1398" s="61" t="s">
        <v>9579</v>
      </c>
      <c r="E1398" s="61" t="s">
        <v>9579</v>
      </c>
      <c r="F1398" s="62" t="s">
        <v>751</v>
      </c>
    </row>
    <row r="1399" customFormat="false" ht="15" hidden="false" customHeight="false" outlineLevel="0" collapsed="false">
      <c r="A1399" s="92" t="str">
        <f aca="false">Gov_Map!$H623&amp;""</f>
        <v>—</v>
      </c>
      <c r="B1399" s="74" t="s">
        <v>9578</v>
      </c>
      <c r="C1399" s="61" t="n">
        <v>623</v>
      </c>
      <c r="D1399" s="61" t="s">
        <v>9579</v>
      </c>
      <c r="E1399" s="61" t="s">
        <v>9579</v>
      </c>
      <c r="F1399" s="62" t="s">
        <v>751</v>
      </c>
    </row>
    <row r="1400" customFormat="false" ht="15" hidden="false" customHeight="false" outlineLevel="0" collapsed="false">
      <c r="A1400" s="92" t="str">
        <f aca="false">Gov_Map!$H624&amp;""</f>
        <v>—</v>
      </c>
      <c r="B1400" s="74" t="s">
        <v>9578</v>
      </c>
      <c r="C1400" s="61" t="n">
        <v>624</v>
      </c>
      <c r="D1400" s="61" t="s">
        <v>9579</v>
      </c>
      <c r="E1400" s="61" t="s">
        <v>9579</v>
      </c>
      <c r="F1400" s="62" t="s">
        <v>751</v>
      </c>
    </row>
    <row r="1401" customFormat="false" ht="15" hidden="false" customHeight="false" outlineLevel="0" collapsed="false">
      <c r="A1401" s="92" t="str">
        <f aca="false">Gov_Map!$H625&amp;""</f>
        <v>—</v>
      </c>
      <c r="B1401" s="74" t="s">
        <v>9578</v>
      </c>
      <c r="C1401" s="61" t="n">
        <v>625</v>
      </c>
      <c r="D1401" s="61" t="s">
        <v>9579</v>
      </c>
      <c r="E1401" s="61" t="s">
        <v>9579</v>
      </c>
      <c r="F1401" s="62" t="s">
        <v>751</v>
      </c>
    </row>
    <row r="1402" customFormat="false" ht="15" hidden="false" customHeight="false" outlineLevel="0" collapsed="false">
      <c r="A1402" s="92" t="str">
        <f aca="false">Gov_Map!$H626&amp;""</f>
        <v>—</v>
      </c>
      <c r="B1402" s="74" t="s">
        <v>9578</v>
      </c>
      <c r="C1402" s="61" t="n">
        <v>626</v>
      </c>
      <c r="D1402" s="61" t="s">
        <v>9579</v>
      </c>
      <c r="E1402" s="61" t="s">
        <v>9579</v>
      </c>
      <c r="F1402" s="62" t="s">
        <v>751</v>
      </c>
    </row>
    <row r="1403" customFormat="false" ht="15" hidden="false" customHeight="false" outlineLevel="0" collapsed="false">
      <c r="A1403" s="92" t="str">
        <f aca="false">Gov_Map!$H627&amp;""</f>
        <v>—</v>
      </c>
      <c r="B1403" s="74" t="s">
        <v>9578</v>
      </c>
      <c r="C1403" s="61" t="n">
        <v>627</v>
      </c>
      <c r="D1403" s="61" t="s">
        <v>9579</v>
      </c>
      <c r="E1403" s="61" t="s">
        <v>9579</v>
      </c>
      <c r="F1403" s="62" t="s">
        <v>751</v>
      </c>
    </row>
    <row r="1404" customFormat="false" ht="15" hidden="false" customHeight="false" outlineLevel="0" collapsed="false">
      <c r="A1404" s="92" t="str">
        <f aca="false">Gov_Map!$H628&amp;""</f>
        <v>SRC_DEM_042</v>
      </c>
      <c r="B1404" s="74" t="s">
        <v>9578</v>
      </c>
      <c r="C1404" s="61" t="n">
        <v>628</v>
      </c>
      <c r="D1404" s="61" t="s">
        <v>9579</v>
      </c>
      <c r="E1404" s="61" t="s">
        <v>9579</v>
      </c>
      <c r="F1404" s="62" t="s">
        <v>751</v>
      </c>
    </row>
    <row r="1405" customFormat="false" ht="15" hidden="false" customHeight="false" outlineLevel="0" collapsed="false">
      <c r="A1405" s="92" t="str">
        <f aca="false">Gov_Map!$H629&amp;""</f>
        <v>SRC_DEM_023</v>
      </c>
      <c r="B1405" s="74" t="s">
        <v>9578</v>
      </c>
      <c r="C1405" s="61" t="n">
        <v>629</v>
      </c>
      <c r="D1405" s="61" t="s">
        <v>9579</v>
      </c>
      <c r="E1405" s="61" t="s">
        <v>9579</v>
      </c>
      <c r="F1405" s="62" t="s">
        <v>751</v>
      </c>
    </row>
    <row r="1406" customFormat="false" ht="15" hidden="false" customHeight="false" outlineLevel="0" collapsed="false">
      <c r="A1406" s="92" t="str">
        <f aca="false">Gov_Map!$H630&amp;""</f>
        <v>SRC_DEM_071</v>
      </c>
      <c r="B1406" s="74" t="s">
        <v>9578</v>
      </c>
      <c r="C1406" s="61" t="n">
        <v>630</v>
      </c>
      <c r="D1406" s="61" t="s">
        <v>9579</v>
      </c>
      <c r="E1406" s="61" t="s">
        <v>9579</v>
      </c>
      <c r="F1406" s="62" t="s">
        <v>751</v>
      </c>
    </row>
    <row r="1407" customFormat="false" ht="15" hidden="false" customHeight="false" outlineLevel="0" collapsed="false">
      <c r="A1407" s="92" t="str">
        <f aca="false">Gov_Map!$H631&amp;""</f>
        <v>SRC_DEM_011</v>
      </c>
      <c r="B1407" s="74" t="s">
        <v>9578</v>
      </c>
      <c r="C1407" s="61" t="n">
        <v>631</v>
      </c>
      <c r="D1407" s="61" t="s">
        <v>9579</v>
      </c>
      <c r="E1407" s="61" t="s">
        <v>9579</v>
      </c>
      <c r="F1407" s="62" t="s">
        <v>751</v>
      </c>
    </row>
    <row r="1408" customFormat="false" ht="15" hidden="false" customHeight="false" outlineLevel="0" collapsed="false">
      <c r="A1408" s="92" t="str">
        <f aca="false">Gov_Map!$H632&amp;""</f>
        <v>SRC_DEM_012</v>
      </c>
      <c r="B1408" s="74" t="s">
        <v>9578</v>
      </c>
      <c r="C1408" s="61" t="n">
        <v>632</v>
      </c>
      <c r="D1408" s="61" t="s">
        <v>9579</v>
      </c>
      <c r="E1408" s="61" t="s">
        <v>9579</v>
      </c>
      <c r="F1408" s="62" t="s">
        <v>751</v>
      </c>
    </row>
    <row r="1409" customFormat="false" ht="15" hidden="false" customHeight="false" outlineLevel="0" collapsed="false">
      <c r="A1409" s="92" t="str">
        <f aca="false">Gov_Map!$H633&amp;""</f>
        <v>—</v>
      </c>
      <c r="B1409" s="74" t="s">
        <v>9578</v>
      </c>
      <c r="C1409" s="61" t="n">
        <v>633</v>
      </c>
      <c r="D1409" s="61" t="s">
        <v>9579</v>
      </c>
      <c r="E1409" s="61" t="s">
        <v>9579</v>
      </c>
      <c r="F1409" s="62" t="s">
        <v>751</v>
      </c>
    </row>
    <row r="1410" customFormat="false" ht="15" hidden="false" customHeight="false" outlineLevel="0" collapsed="false">
      <c r="A1410" s="92" t="str">
        <f aca="false">Gov_Map!$H634&amp;""</f>
        <v>—</v>
      </c>
      <c r="B1410" s="74" t="s">
        <v>9578</v>
      </c>
      <c r="C1410" s="61" t="n">
        <v>634</v>
      </c>
      <c r="D1410" s="61" t="s">
        <v>9579</v>
      </c>
      <c r="E1410" s="61" t="s">
        <v>9579</v>
      </c>
      <c r="F1410" s="62" t="s">
        <v>751</v>
      </c>
    </row>
    <row r="1411" customFormat="false" ht="15" hidden="false" customHeight="false" outlineLevel="0" collapsed="false">
      <c r="A1411" s="92" t="str">
        <f aca="false">Gov_Map!$H635&amp;""</f>
        <v>—</v>
      </c>
      <c r="B1411" s="74" t="s">
        <v>9578</v>
      </c>
      <c r="C1411" s="61" t="n">
        <v>635</v>
      </c>
      <c r="D1411" s="61" t="s">
        <v>9579</v>
      </c>
      <c r="E1411" s="61" t="s">
        <v>9579</v>
      </c>
      <c r="F1411" s="62" t="s">
        <v>751</v>
      </c>
    </row>
    <row r="1412" customFormat="false" ht="15" hidden="false" customHeight="false" outlineLevel="0" collapsed="false">
      <c r="A1412" s="92" t="str">
        <f aca="false">Gov_Map!$H636&amp;""</f>
        <v>—</v>
      </c>
      <c r="B1412" s="74" t="s">
        <v>9578</v>
      </c>
      <c r="C1412" s="61" t="n">
        <v>636</v>
      </c>
      <c r="D1412" s="61" t="s">
        <v>9579</v>
      </c>
      <c r="E1412" s="61" t="s">
        <v>9579</v>
      </c>
      <c r="F1412" s="62" t="s">
        <v>751</v>
      </c>
    </row>
    <row r="1413" customFormat="false" ht="15" hidden="false" customHeight="false" outlineLevel="0" collapsed="false">
      <c r="A1413" s="92" t="str">
        <f aca="false">Gov_Map!$H637&amp;""</f>
        <v>—</v>
      </c>
      <c r="B1413" s="74" t="s">
        <v>9578</v>
      </c>
      <c r="C1413" s="61" t="n">
        <v>637</v>
      </c>
      <c r="D1413" s="61" t="s">
        <v>9579</v>
      </c>
      <c r="E1413" s="61" t="s">
        <v>9579</v>
      </c>
      <c r="F1413" s="62" t="s">
        <v>751</v>
      </c>
    </row>
    <row r="1414" customFormat="false" ht="15" hidden="false" customHeight="false" outlineLevel="0" collapsed="false">
      <c r="A1414" s="92" t="str">
        <f aca="false">Gov_Map!$H638&amp;""</f>
        <v>—</v>
      </c>
      <c r="B1414" s="74" t="s">
        <v>9578</v>
      </c>
      <c r="C1414" s="61" t="n">
        <v>638</v>
      </c>
      <c r="D1414" s="61" t="s">
        <v>9579</v>
      </c>
      <c r="E1414" s="61" t="s">
        <v>9579</v>
      </c>
      <c r="F1414" s="62" t="s">
        <v>751</v>
      </c>
    </row>
    <row r="1415" customFormat="false" ht="15" hidden="false" customHeight="false" outlineLevel="0" collapsed="false">
      <c r="A1415" s="92" t="str">
        <f aca="false">Gov_Map!$H639&amp;""</f>
        <v>—</v>
      </c>
      <c r="B1415" s="74" t="s">
        <v>9578</v>
      </c>
      <c r="C1415" s="61" t="n">
        <v>639</v>
      </c>
      <c r="D1415" s="61" t="s">
        <v>9579</v>
      </c>
      <c r="E1415" s="61" t="s">
        <v>9579</v>
      </c>
      <c r="F1415" s="62" t="s">
        <v>751</v>
      </c>
    </row>
    <row r="1416" customFormat="false" ht="15" hidden="false" customHeight="false" outlineLevel="0" collapsed="false">
      <c r="A1416" s="92" t="str">
        <f aca="false">Gov_Map!$H640&amp;""</f>
        <v>—</v>
      </c>
      <c r="B1416" s="74" t="s">
        <v>9578</v>
      </c>
      <c r="C1416" s="61" t="n">
        <v>640</v>
      </c>
      <c r="D1416" s="61" t="s">
        <v>9579</v>
      </c>
      <c r="E1416" s="61" t="s">
        <v>9579</v>
      </c>
      <c r="F1416" s="62" t="s">
        <v>751</v>
      </c>
    </row>
    <row r="1417" customFormat="false" ht="15" hidden="false" customHeight="false" outlineLevel="0" collapsed="false">
      <c r="A1417" s="92" t="str">
        <f aca="false">Gov_Map!$H641&amp;""</f>
        <v>—</v>
      </c>
      <c r="B1417" s="74" t="s">
        <v>9578</v>
      </c>
      <c r="C1417" s="61" t="n">
        <v>641</v>
      </c>
      <c r="D1417" s="61" t="s">
        <v>9579</v>
      </c>
      <c r="E1417" s="61" t="s">
        <v>9579</v>
      </c>
      <c r="F1417" s="62" t="s">
        <v>751</v>
      </c>
    </row>
    <row r="1418" customFormat="false" ht="15" hidden="false" customHeight="false" outlineLevel="0" collapsed="false">
      <c r="A1418" s="92" t="str">
        <f aca="false">Gov_Map!$H642&amp;""</f>
        <v>—</v>
      </c>
      <c r="B1418" s="74" t="s">
        <v>9578</v>
      </c>
      <c r="C1418" s="61" t="n">
        <v>642</v>
      </c>
      <c r="D1418" s="61" t="s">
        <v>9579</v>
      </c>
      <c r="E1418" s="61" t="s">
        <v>9579</v>
      </c>
      <c r="F1418" s="62" t="s">
        <v>751</v>
      </c>
    </row>
    <row r="1419" customFormat="false" ht="15" hidden="false" customHeight="false" outlineLevel="0" collapsed="false">
      <c r="A1419" s="92" t="str">
        <f aca="false">Gov_Map!$H643&amp;""</f>
        <v>—</v>
      </c>
      <c r="B1419" s="74" t="s">
        <v>9578</v>
      </c>
      <c r="C1419" s="61" t="n">
        <v>643</v>
      </c>
      <c r="D1419" s="61" t="s">
        <v>9579</v>
      </c>
      <c r="E1419" s="61" t="s">
        <v>9579</v>
      </c>
      <c r="F1419" s="62" t="s">
        <v>751</v>
      </c>
    </row>
    <row r="1420" customFormat="false" ht="15" hidden="false" customHeight="false" outlineLevel="0" collapsed="false">
      <c r="A1420" s="92" t="str">
        <f aca="false">Gov_Map!$H644&amp;""</f>
        <v>SRC_DEM_072</v>
      </c>
      <c r="B1420" s="74" t="s">
        <v>9578</v>
      </c>
      <c r="C1420" s="61" t="n">
        <v>644</v>
      </c>
      <c r="D1420" s="61" t="s">
        <v>9579</v>
      </c>
      <c r="E1420" s="61" t="s">
        <v>9579</v>
      </c>
      <c r="F1420" s="62" t="s">
        <v>751</v>
      </c>
    </row>
    <row r="1421" customFormat="false" ht="15" hidden="false" customHeight="false" outlineLevel="0" collapsed="false">
      <c r="A1421" s="92" t="str">
        <f aca="false">Gov_Map!$H645&amp;""</f>
        <v>SRC_DEM_072</v>
      </c>
      <c r="B1421" s="74" t="s">
        <v>9578</v>
      </c>
      <c r="C1421" s="61" t="n">
        <v>645</v>
      </c>
      <c r="D1421" s="61" t="s">
        <v>9579</v>
      </c>
      <c r="E1421" s="61" t="s">
        <v>9579</v>
      </c>
      <c r="F1421" s="62" t="s">
        <v>751</v>
      </c>
    </row>
    <row r="1422" customFormat="false" ht="15" hidden="false" customHeight="false" outlineLevel="0" collapsed="false">
      <c r="A1422" s="92" t="str">
        <f aca="false">Gov_Map!$H646&amp;""</f>
        <v>SRC_DEM_072</v>
      </c>
      <c r="B1422" s="74" t="s">
        <v>9578</v>
      </c>
      <c r="C1422" s="61" t="n">
        <v>646</v>
      </c>
      <c r="D1422" s="61" t="s">
        <v>9579</v>
      </c>
      <c r="E1422" s="61" t="s">
        <v>9579</v>
      </c>
      <c r="F1422" s="62" t="s">
        <v>751</v>
      </c>
    </row>
    <row r="1423" customFormat="false" ht="15" hidden="false" customHeight="false" outlineLevel="0" collapsed="false">
      <c r="A1423" s="92" t="str">
        <f aca="false">Gov_Map!$H647&amp;""</f>
        <v>—</v>
      </c>
      <c r="B1423" s="74" t="s">
        <v>9578</v>
      </c>
      <c r="C1423" s="61" t="n">
        <v>647</v>
      </c>
      <c r="D1423" s="61" t="s">
        <v>9579</v>
      </c>
      <c r="E1423" s="61" t="s">
        <v>9579</v>
      </c>
      <c r="F1423" s="62" t="s">
        <v>751</v>
      </c>
    </row>
    <row r="1424" customFormat="false" ht="15" hidden="false" customHeight="false" outlineLevel="0" collapsed="false">
      <c r="A1424" s="92" t="str">
        <f aca="false">Gov_Map!$H648&amp;""</f>
        <v>—</v>
      </c>
      <c r="B1424" s="74" t="s">
        <v>9578</v>
      </c>
      <c r="C1424" s="61" t="n">
        <v>648</v>
      </c>
      <c r="D1424" s="61" t="s">
        <v>9579</v>
      </c>
      <c r="E1424" s="61" t="s">
        <v>9579</v>
      </c>
      <c r="F1424" s="62" t="s">
        <v>751</v>
      </c>
    </row>
    <row r="1425" customFormat="false" ht="15" hidden="false" customHeight="false" outlineLevel="0" collapsed="false">
      <c r="A1425" s="92" t="str">
        <f aca="false">Gov_Map!$H649&amp;""</f>
        <v>—</v>
      </c>
      <c r="B1425" s="74" t="s">
        <v>9578</v>
      </c>
      <c r="C1425" s="61" t="n">
        <v>649</v>
      </c>
      <c r="D1425" s="61" t="s">
        <v>9579</v>
      </c>
      <c r="E1425" s="61" t="s">
        <v>9579</v>
      </c>
      <c r="F1425" s="62" t="s">
        <v>751</v>
      </c>
    </row>
    <row r="1426" customFormat="false" ht="15" hidden="false" customHeight="false" outlineLevel="0" collapsed="false">
      <c r="A1426" s="92" t="str">
        <f aca="false">Gov_Map!$H650&amp;""</f>
        <v>—</v>
      </c>
      <c r="B1426" s="74" t="s">
        <v>9578</v>
      </c>
      <c r="C1426" s="61" t="n">
        <v>650</v>
      </c>
      <c r="D1426" s="61" t="s">
        <v>9579</v>
      </c>
      <c r="E1426" s="61" t="s">
        <v>9579</v>
      </c>
      <c r="F1426" s="62" t="s">
        <v>751</v>
      </c>
    </row>
    <row r="1427" customFormat="false" ht="15" hidden="false" customHeight="false" outlineLevel="0" collapsed="false">
      <c r="A1427" s="92" t="str">
        <f aca="false">Gov_Map!$H651&amp;""</f>
        <v>—</v>
      </c>
      <c r="B1427" s="74" t="s">
        <v>9578</v>
      </c>
      <c r="C1427" s="61" t="n">
        <v>651</v>
      </c>
      <c r="D1427" s="61" t="s">
        <v>9579</v>
      </c>
      <c r="E1427" s="61" t="s">
        <v>9579</v>
      </c>
      <c r="F1427" s="62" t="s">
        <v>751</v>
      </c>
    </row>
    <row r="1428" customFormat="false" ht="15" hidden="false" customHeight="false" outlineLevel="0" collapsed="false">
      <c r="A1428" s="92" t="str">
        <f aca="false">Gov_Map!$H652&amp;""</f>
        <v>—</v>
      </c>
      <c r="B1428" s="74" t="s">
        <v>9578</v>
      </c>
      <c r="C1428" s="61" t="n">
        <v>652</v>
      </c>
      <c r="D1428" s="61" t="s">
        <v>9579</v>
      </c>
      <c r="E1428" s="61" t="s">
        <v>9579</v>
      </c>
      <c r="F1428" s="62" t="s">
        <v>751</v>
      </c>
    </row>
    <row r="1429" customFormat="false" ht="15" hidden="false" customHeight="false" outlineLevel="0" collapsed="false">
      <c r="A1429" s="92" t="str">
        <f aca="false">Gov_Map!$H653&amp;""</f>
        <v>—</v>
      </c>
      <c r="B1429" s="74" t="s">
        <v>9578</v>
      </c>
      <c r="C1429" s="61" t="n">
        <v>653</v>
      </c>
      <c r="D1429" s="61" t="s">
        <v>9579</v>
      </c>
      <c r="E1429" s="61" t="s">
        <v>9579</v>
      </c>
      <c r="F1429" s="62" t="s">
        <v>751</v>
      </c>
    </row>
    <row r="1430" customFormat="false" ht="15" hidden="false" customHeight="false" outlineLevel="0" collapsed="false">
      <c r="A1430" s="92" t="str">
        <f aca="false">Gov_Map!$H654&amp;""</f>
        <v>—</v>
      </c>
      <c r="B1430" s="74" t="s">
        <v>9578</v>
      </c>
      <c r="C1430" s="61" t="n">
        <v>654</v>
      </c>
      <c r="D1430" s="61" t="s">
        <v>9579</v>
      </c>
      <c r="E1430" s="61" t="s">
        <v>9579</v>
      </c>
      <c r="F1430" s="62" t="s">
        <v>751</v>
      </c>
    </row>
    <row r="1431" customFormat="false" ht="15" hidden="false" customHeight="false" outlineLevel="0" collapsed="false">
      <c r="A1431" s="92" t="str">
        <f aca="false">Gov_Map!$H655&amp;""</f>
        <v>—</v>
      </c>
      <c r="B1431" s="74" t="s">
        <v>9578</v>
      </c>
      <c r="C1431" s="61" t="n">
        <v>655</v>
      </c>
      <c r="D1431" s="61" t="s">
        <v>9579</v>
      </c>
      <c r="E1431" s="61" t="s">
        <v>9579</v>
      </c>
      <c r="F1431" s="62" t="s">
        <v>751</v>
      </c>
    </row>
    <row r="1432" customFormat="false" ht="15" hidden="false" customHeight="false" outlineLevel="0" collapsed="false">
      <c r="A1432" s="92" t="str">
        <f aca="false">Gov_Map!$H656&amp;""</f>
        <v>—</v>
      </c>
      <c r="B1432" s="74" t="s">
        <v>9578</v>
      </c>
      <c r="C1432" s="61" t="n">
        <v>656</v>
      </c>
      <c r="D1432" s="61" t="s">
        <v>9579</v>
      </c>
      <c r="E1432" s="61" t="s">
        <v>9579</v>
      </c>
      <c r="F1432" s="62" t="s">
        <v>751</v>
      </c>
    </row>
    <row r="1433" customFormat="false" ht="15" hidden="false" customHeight="false" outlineLevel="0" collapsed="false">
      <c r="A1433" s="92" t="str">
        <f aca="false">Gov_Map!$H657&amp;""</f>
        <v>—</v>
      </c>
      <c r="B1433" s="74" t="s">
        <v>9578</v>
      </c>
      <c r="C1433" s="61" t="n">
        <v>657</v>
      </c>
      <c r="D1433" s="61" t="s">
        <v>9579</v>
      </c>
      <c r="E1433" s="61" t="s">
        <v>9579</v>
      </c>
      <c r="F1433" s="62" t="s">
        <v>751</v>
      </c>
    </row>
    <row r="1434" customFormat="false" ht="15" hidden="false" customHeight="false" outlineLevel="0" collapsed="false">
      <c r="A1434" s="92" t="str">
        <f aca="false">Gov_Map!$H658&amp;""</f>
        <v>—</v>
      </c>
      <c r="B1434" s="74" t="s">
        <v>9578</v>
      </c>
      <c r="C1434" s="61" t="n">
        <v>658</v>
      </c>
      <c r="D1434" s="61" t="s">
        <v>9579</v>
      </c>
      <c r="E1434" s="61" t="s">
        <v>9579</v>
      </c>
      <c r="F1434" s="62" t="s">
        <v>751</v>
      </c>
    </row>
    <row r="1435" customFormat="false" ht="15" hidden="false" customHeight="false" outlineLevel="0" collapsed="false">
      <c r="A1435" s="92" t="str">
        <f aca="false">Gov_Map!$H659&amp;""</f>
        <v>—</v>
      </c>
      <c r="B1435" s="74" t="s">
        <v>9578</v>
      </c>
      <c r="C1435" s="61" t="n">
        <v>659</v>
      </c>
      <c r="D1435" s="61" t="s">
        <v>9579</v>
      </c>
      <c r="E1435" s="61" t="s">
        <v>9579</v>
      </c>
      <c r="F1435" s="62" t="s">
        <v>751</v>
      </c>
    </row>
    <row r="1436" customFormat="false" ht="15" hidden="false" customHeight="false" outlineLevel="0" collapsed="false">
      <c r="A1436" s="92" t="str">
        <f aca="false">Gov_Map!$H660&amp;""</f>
        <v>—</v>
      </c>
      <c r="B1436" s="74" t="s">
        <v>9578</v>
      </c>
      <c r="C1436" s="61" t="n">
        <v>660</v>
      </c>
      <c r="D1436" s="61" t="s">
        <v>9579</v>
      </c>
      <c r="E1436" s="61" t="s">
        <v>9579</v>
      </c>
      <c r="F1436" s="62" t="s">
        <v>751</v>
      </c>
    </row>
    <row r="1437" customFormat="false" ht="15" hidden="false" customHeight="false" outlineLevel="0" collapsed="false">
      <c r="A1437" s="92" t="str">
        <f aca="false">Gov_Map!$H661&amp;""</f>
        <v>—</v>
      </c>
      <c r="B1437" s="74" t="s">
        <v>9578</v>
      </c>
      <c r="C1437" s="61" t="n">
        <v>661</v>
      </c>
      <c r="D1437" s="61" t="s">
        <v>9579</v>
      </c>
      <c r="E1437" s="61" t="s">
        <v>9579</v>
      </c>
      <c r="F1437" s="62" t="s">
        <v>751</v>
      </c>
    </row>
    <row r="1438" customFormat="false" ht="15" hidden="false" customHeight="false" outlineLevel="0" collapsed="false">
      <c r="A1438" s="92" t="str">
        <f aca="false">Gov_Map!$H662&amp;""</f>
        <v>—</v>
      </c>
      <c r="B1438" s="74" t="s">
        <v>9578</v>
      </c>
      <c r="C1438" s="61" t="n">
        <v>662</v>
      </c>
      <c r="D1438" s="61" t="s">
        <v>9579</v>
      </c>
      <c r="E1438" s="61" t="s">
        <v>9579</v>
      </c>
      <c r="F1438" s="62" t="s">
        <v>751</v>
      </c>
    </row>
    <row r="1439" customFormat="false" ht="15" hidden="false" customHeight="false" outlineLevel="0" collapsed="false">
      <c r="A1439" s="92" t="str">
        <f aca="false">Gov_Map!$H663&amp;""</f>
        <v>—</v>
      </c>
      <c r="B1439" s="74" t="s">
        <v>9578</v>
      </c>
      <c r="C1439" s="61" t="n">
        <v>663</v>
      </c>
      <c r="D1439" s="61" t="s">
        <v>9579</v>
      </c>
      <c r="E1439" s="61" t="s">
        <v>9579</v>
      </c>
      <c r="F1439" s="62" t="s">
        <v>751</v>
      </c>
    </row>
    <row r="1440" customFormat="false" ht="15" hidden="false" customHeight="false" outlineLevel="0" collapsed="false">
      <c r="A1440" s="92" t="str">
        <f aca="false">Gov_Map!$H664&amp;""</f>
        <v>—</v>
      </c>
      <c r="B1440" s="74" t="s">
        <v>9578</v>
      </c>
      <c r="C1440" s="61" t="n">
        <v>664</v>
      </c>
      <c r="D1440" s="61" t="s">
        <v>9579</v>
      </c>
      <c r="E1440" s="61" t="s">
        <v>9579</v>
      </c>
      <c r="F1440" s="62" t="s">
        <v>751</v>
      </c>
    </row>
    <row r="1441" customFormat="false" ht="15" hidden="false" customHeight="false" outlineLevel="0" collapsed="false">
      <c r="A1441" s="92" t="str">
        <f aca="false">Gov_Map!$H665&amp;""</f>
        <v>—</v>
      </c>
      <c r="B1441" s="74" t="s">
        <v>9578</v>
      </c>
      <c r="C1441" s="61" t="n">
        <v>665</v>
      </c>
      <c r="D1441" s="61" t="s">
        <v>9579</v>
      </c>
      <c r="E1441" s="61" t="s">
        <v>9579</v>
      </c>
      <c r="F1441" s="62" t="s">
        <v>751</v>
      </c>
    </row>
    <row r="1442" customFormat="false" ht="15" hidden="false" customHeight="false" outlineLevel="0" collapsed="false">
      <c r="A1442" s="92" t="str">
        <f aca="false">Gov_Map!$H666&amp;""</f>
        <v>—</v>
      </c>
      <c r="B1442" s="74" t="s">
        <v>9578</v>
      </c>
      <c r="C1442" s="61" t="n">
        <v>666</v>
      </c>
      <c r="D1442" s="61" t="s">
        <v>9579</v>
      </c>
      <c r="E1442" s="61" t="s">
        <v>9579</v>
      </c>
      <c r="F1442" s="62" t="s">
        <v>751</v>
      </c>
    </row>
    <row r="1443" customFormat="false" ht="15" hidden="false" customHeight="false" outlineLevel="0" collapsed="false">
      <c r="A1443" s="92" t="str">
        <f aca="false">Gov_Map!$H667&amp;""</f>
        <v>—</v>
      </c>
      <c r="B1443" s="74" t="s">
        <v>9578</v>
      </c>
      <c r="C1443" s="61" t="n">
        <v>667</v>
      </c>
      <c r="D1443" s="61" t="s">
        <v>9579</v>
      </c>
      <c r="E1443" s="61" t="s">
        <v>9579</v>
      </c>
      <c r="F1443" s="62" t="s">
        <v>751</v>
      </c>
    </row>
    <row r="1444" customFormat="false" ht="15" hidden="false" customHeight="false" outlineLevel="0" collapsed="false">
      <c r="A1444" s="92" t="str">
        <f aca="false">Gov_Map!$H668&amp;""</f>
        <v>—</v>
      </c>
      <c r="B1444" s="74" t="s">
        <v>9578</v>
      </c>
      <c r="C1444" s="61" t="n">
        <v>668</v>
      </c>
      <c r="D1444" s="61" t="s">
        <v>9579</v>
      </c>
      <c r="E1444" s="61" t="s">
        <v>9579</v>
      </c>
      <c r="F1444" s="62" t="s">
        <v>751</v>
      </c>
    </row>
    <row r="1445" customFormat="false" ht="15" hidden="false" customHeight="false" outlineLevel="0" collapsed="false">
      <c r="A1445" s="92" t="str">
        <f aca="false">Gov_Map!$H669&amp;""</f>
        <v>—</v>
      </c>
      <c r="B1445" s="74" t="s">
        <v>9578</v>
      </c>
      <c r="C1445" s="61" t="n">
        <v>669</v>
      </c>
      <c r="D1445" s="61" t="s">
        <v>9579</v>
      </c>
      <c r="E1445" s="61" t="s">
        <v>9579</v>
      </c>
      <c r="F1445" s="62" t="s">
        <v>751</v>
      </c>
    </row>
    <row r="1446" customFormat="false" ht="15" hidden="false" customHeight="false" outlineLevel="0" collapsed="false">
      <c r="A1446" s="92" t="str">
        <f aca="false">Gov_Map!$H670&amp;""</f>
        <v>—</v>
      </c>
      <c r="B1446" s="74" t="s">
        <v>9578</v>
      </c>
      <c r="C1446" s="61" t="n">
        <v>670</v>
      </c>
      <c r="D1446" s="61" t="s">
        <v>9579</v>
      </c>
      <c r="E1446" s="61" t="s">
        <v>9579</v>
      </c>
      <c r="F1446" s="62" t="s">
        <v>751</v>
      </c>
    </row>
    <row r="1447" customFormat="false" ht="15" hidden="false" customHeight="false" outlineLevel="0" collapsed="false">
      <c r="A1447" s="92" t="str">
        <f aca="false">Gov_Map!$H671&amp;""</f>
        <v>—</v>
      </c>
      <c r="B1447" s="74" t="s">
        <v>9578</v>
      </c>
      <c r="C1447" s="61" t="n">
        <v>671</v>
      </c>
      <c r="D1447" s="61" t="s">
        <v>9579</v>
      </c>
      <c r="E1447" s="61" t="s">
        <v>9579</v>
      </c>
      <c r="F1447" s="62" t="s">
        <v>751</v>
      </c>
    </row>
    <row r="1448" customFormat="false" ht="15" hidden="false" customHeight="false" outlineLevel="0" collapsed="false">
      <c r="A1448" s="92" t="str">
        <f aca="false">Gov_Map!$H672&amp;""</f>
        <v>—</v>
      </c>
      <c r="B1448" s="74" t="s">
        <v>9578</v>
      </c>
      <c r="C1448" s="61" t="n">
        <v>672</v>
      </c>
      <c r="D1448" s="61" t="s">
        <v>9579</v>
      </c>
      <c r="E1448" s="61" t="s">
        <v>9579</v>
      </c>
      <c r="F1448" s="62" t="s">
        <v>751</v>
      </c>
    </row>
    <row r="1449" customFormat="false" ht="15" hidden="false" customHeight="false" outlineLevel="0" collapsed="false">
      <c r="A1449" s="92" t="str">
        <f aca="false">Gov_Map!$H673&amp;""</f>
        <v>—</v>
      </c>
      <c r="B1449" s="74" t="s">
        <v>9578</v>
      </c>
      <c r="C1449" s="61" t="n">
        <v>673</v>
      </c>
      <c r="D1449" s="61" t="s">
        <v>9579</v>
      </c>
      <c r="E1449" s="61" t="s">
        <v>9579</v>
      </c>
      <c r="F1449" s="62" t="s">
        <v>751</v>
      </c>
    </row>
    <row r="1450" customFormat="false" ht="15" hidden="false" customHeight="false" outlineLevel="0" collapsed="false">
      <c r="A1450" s="92" t="str">
        <f aca="false">Gov_Map!$H674&amp;""</f>
        <v>—</v>
      </c>
      <c r="B1450" s="74" t="s">
        <v>9578</v>
      </c>
      <c r="C1450" s="61" t="n">
        <v>674</v>
      </c>
      <c r="D1450" s="61" t="s">
        <v>9579</v>
      </c>
      <c r="E1450" s="61" t="s">
        <v>9579</v>
      </c>
      <c r="F1450" s="62" t="s">
        <v>751</v>
      </c>
    </row>
    <row r="1451" customFormat="false" ht="15" hidden="false" customHeight="false" outlineLevel="0" collapsed="false">
      <c r="A1451" s="92" t="str">
        <f aca="false">Gov_Map!$H675&amp;""</f>
        <v>—</v>
      </c>
      <c r="B1451" s="74" t="s">
        <v>9578</v>
      </c>
      <c r="C1451" s="61" t="n">
        <v>675</v>
      </c>
      <c r="D1451" s="61" t="s">
        <v>9579</v>
      </c>
      <c r="E1451" s="61" t="s">
        <v>9579</v>
      </c>
      <c r="F1451" s="62" t="s">
        <v>751</v>
      </c>
    </row>
    <row r="1452" customFormat="false" ht="15" hidden="false" customHeight="false" outlineLevel="0" collapsed="false">
      <c r="A1452" s="92" t="str">
        <f aca="false">Gov_Map!$H676&amp;""</f>
        <v>—</v>
      </c>
      <c r="B1452" s="74" t="s">
        <v>9578</v>
      </c>
      <c r="C1452" s="61" t="n">
        <v>676</v>
      </c>
      <c r="D1452" s="61" t="s">
        <v>9579</v>
      </c>
      <c r="E1452" s="61" t="s">
        <v>9579</v>
      </c>
      <c r="F1452" s="62" t="s">
        <v>751</v>
      </c>
    </row>
    <row r="1453" customFormat="false" ht="15" hidden="false" customHeight="false" outlineLevel="0" collapsed="false">
      <c r="A1453" s="92" t="str">
        <f aca="false">Gov_Map!$H677&amp;""</f>
        <v>—</v>
      </c>
      <c r="B1453" s="74" t="s">
        <v>9578</v>
      </c>
      <c r="C1453" s="61" t="n">
        <v>677</v>
      </c>
      <c r="D1453" s="61" t="s">
        <v>9579</v>
      </c>
      <c r="E1453" s="61" t="s">
        <v>9579</v>
      </c>
      <c r="F1453" s="62" t="s">
        <v>751</v>
      </c>
    </row>
    <row r="1454" customFormat="false" ht="15" hidden="false" customHeight="false" outlineLevel="0" collapsed="false">
      <c r="A1454" s="92" t="str">
        <f aca="false">Gov_Map!$H678&amp;""</f>
        <v>—</v>
      </c>
      <c r="B1454" s="74" t="s">
        <v>9578</v>
      </c>
      <c r="C1454" s="61" t="n">
        <v>678</v>
      </c>
      <c r="D1454" s="61" t="s">
        <v>9579</v>
      </c>
      <c r="E1454" s="61" t="s">
        <v>9579</v>
      </c>
      <c r="F1454" s="62" t="s">
        <v>751</v>
      </c>
    </row>
    <row r="1455" customFormat="false" ht="15" hidden="false" customHeight="false" outlineLevel="0" collapsed="false">
      <c r="A1455" s="92" t="str">
        <f aca="false">Gov_Map!$H679&amp;""</f>
        <v>—</v>
      </c>
      <c r="B1455" s="74" t="s">
        <v>9578</v>
      </c>
      <c r="C1455" s="61" t="n">
        <v>679</v>
      </c>
      <c r="D1455" s="61" t="s">
        <v>9579</v>
      </c>
      <c r="E1455" s="61" t="s">
        <v>9579</v>
      </c>
      <c r="F1455" s="62" t="s">
        <v>751</v>
      </c>
    </row>
    <row r="1456" customFormat="false" ht="15" hidden="false" customHeight="false" outlineLevel="0" collapsed="false">
      <c r="A1456" s="92" t="str">
        <f aca="false">Gov_Map!$H680&amp;""</f>
        <v>—</v>
      </c>
      <c r="B1456" s="74" t="s">
        <v>9578</v>
      </c>
      <c r="C1456" s="61" t="n">
        <v>680</v>
      </c>
      <c r="D1456" s="61" t="s">
        <v>9579</v>
      </c>
      <c r="E1456" s="61" t="s">
        <v>9579</v>
      </c>
      <c r="F1456" s="62" t="s">
        <v>751</v>
      </c>
    </row>
    <row r="1457" customFormat="false" ht="15" hidden="false" customHeight="false" outlineLevel="0" collapsed="false">
      <c r="A1457" s="92" t="str">
        <f aca="false">Gov_Map!$H681&amp;""</f>
        <v>—</v>
      </c>
      <c r="B1457" s="74" t="s">
        <v>9578</v>
      </c>
      <c r="C1457" s="61" t="n">
        <v>681</v>
      </c>
      <c r="D1457" s="61" t="s">
        <v>9579</v>
      </c>
      <c r="E1457" s="61" t="s">
        <v>9579</v>
      </c>
      <c r="F1457" s="62" t="s">
        <v>751</v>
      </c>
    </row>
    <row r="1458" customFormat="false" ht="15" hidden="false" customHeight="false" outlineLevel="0" collapsed="false">
      <c r="A1458" s="92" t="str">
        <f aca="false">Gov_Map!$H682&amp;""</f>
        <v>—</v>
      </c>
      <c r="B1458" s="74" t="s">
        <v>9578</v>
      </c>
      <c r="C1458" s="61" t="n">
        <v>682</v>
      </c>
      <c r="D1458" s="61" t="s">
        <v>9579</v>
      </c>
      <c r="E1458" s="61" t="s">
        <v>9579</v>
      </c>
      <c r="F1458" s="62" t="s">
        <v>751</v>
      </c>
    </row>
    <row r="1459" customFormat="false" ht="15" hidden="false" customHeight="false" outlineLevel="0" collapsed="false">
      <c r="A1459" s="92" t="str">
        <f aca="false">Gov_Map!$H683&amp;""</f>
        <v>—</v>
      </c>
      <c r="B1459" s="74" t="s">
        <v>9578</v>
      </c>
      <c r="C1459" s="61" t="n">
        <v>683</v>
      </c>
      <c r="D1459" s="61" t="s">
        <v>9579</v>
      </c>
      <c r="E1459" s="61" t="s">
        <v>9579</v>
      </c>
      <c r="F1459" s="62" t="s">
        <v>751</v>
      </c>
    </row>
    <row r="1460" customFormat="false" ht="15" hidden="false" customHeight="false" outlineLevel="0" collapsed="false">
      <c r="A1460" s="92" t="str">
        <f aca="false">Gov_Map!$H684&amp;""</f>
        <v>—</v>
      </c>
      <c r="B1460" s="74" t="s">
        <v>9578</v>
      </c>
      <c r="C1460" s="61" t="n">
        <v>684</v>
      </c>
      <c r="D1460" s="61" t="s">
        <v>9579</v>
      </c>
      <c r="E1460" s="61" t="s">
        <v>9579</v>
      </c>
      <c r="F1460" s="62" t="s">
        <v>751</v>
      </c>
    </row>
    <row r="1461" customFormat="false" ht="15" hidden="false" customHeight="false" outlineLevel="0" collapsed="false">
      <c r="A1461" s="92" t="str">
        <f aca="false">Gov_Map!$H685&amp;""</f>
        <v/>
      </c>
      <c r="B1461" s="74" t="s">
        <v>9578</v>
      </c>
      <c r="C1461" s="61" t="n">
        <v>685</v>
      </c>
      <c r="D1461" s="61" t="s">
        <v>9579</v>
      </c>
      <c r="E1461" s="61" t="s">
        <v>9579</v>
      </c>
      <c r="F1461" s="62" t="s">
        <v>751</v>
      </c>
    </row>
    <row r="1462" customFormat="false" ht="15" hidden="false" customHeight="false" outlineLevel="0" collapsed="false">
      <c r="A1462" s="92" t="str">
        <f aca="false">Gov_Map!$H686&amp;""</f>
        <v/>
      </c>
      <c r="B1462" s="74" t="s">
        <v>9578</v>
      </c>
      <c r="C1462" s="61" t="n">
        <v>686</v>
      </c>
      <c r="D1462" s="61" t="s">
        <v>9579</v>
      </c>
      <c r="E1462" s="61" t="s">
        <v>9579</v>
      </c>
      <c r="F1462" s="62" t="s">
        <v>751</v>
      </c>
    </row>
    <row r="1463" customFormat="false" ht="15" hidden="false" customHeight="false" outlineLevel="0" collapsed="false">
      <c r="A1463" s="92" t="str">
        <f aca="false">Gov_Map!$H687&amp;""</f>
        <v/>
      </c>
      <c r="B1463" s="74" t="s">
        <v>9578</v>
      </c>
      <c r="C1463" s="61" t="n">
        <v>687</v>
      </c>
      <c r="D1463" s="61" t="s">
        <v>9579</v>
      </c>
      <c r="E1463" s="61" t="s">
        <v>9579</v>
      </c>
      <c r="F1463" s="62" t="s">
        <v>751</v>
      </c>
    </row>
    <row r="1464" customFormat="false" ht="15" hidden="false" customHeight="false" outlineLevel="0" collapsed="false">
      <c r="A1464" s="92" t="str">
        <f aca="false">Gov_Map!$H688&amp;""</f>
        <v/>
      </c>
      <c r="B1464" s="74" t="s">
        <v>9578</v>
      </c>
      <c r="C1464" s="61" t="n">
        <v>688</v>
      </c>
      <c r="D1464" s="61" t="s">
        <v>9579</v>
      </c>
      <c r="E1464" s="61" t="s">
        <v>9579</v>
      </c>
      <c r="F1464" s="62" t="s">
        <v>751</v>
      </c>
    </row>
    <row r="1465" customFormat="false" ht="15" hidden="false" customHeight="false" outlineLevel="0" collapsed="false">
      <c r="A1465" s="92" t="str">
        <f aca="false">Gov_Map!$H689&amp;""</f>
        <v/>
      </c>
      <c r="B1465" s="74" t="s">
        <v>9578</v>
      </c>
      <c r="C1465" s="61" t="n">
        <v>689</v>
      </c>
      <c r="D1465" s="61" t="s">
        <v>9579</v>
      </c>
      <c r="E1465" s="61" t="s">
        <v>9579</v>
      </c>
      <c r="F1465" s="62" t="s">
        <v>751</v>
      </c>
    </row>
    <row r="1466" customFormat="false" ht="15" hidden="false" customHeight="false" outlineLevel="0" collapsed="false">
      <c r="A1466" s="92" t="str">
        <f aca="false">Gov_Map!$H690&amp;""</f>
        <v/>
      </c>
      <c r="B1466" s="74" t="s">
        <v>9578</v>
      </c>
      <c r="C1466" s="61" t="n">
        <v>690</v>
      </c>
      <c r="D1466" s="61" t="s">
        <v>9579</v>
      </c>
      <c r="E1466" s="61" t="s">
        <v>9579</v>
      </c>
      <c r="F1466" s="62" t="s">
        <v>751</v>
      </c>
    </row>
    <row r="1467" customFormat="false" ht="15" hidden="false" customHeight="false" outlineLevel="0" collapsed="false">
      <c r="A1467" s="92" t="str">
        <f aca="false">Gov_Map!$H691&amp;""</f>
        <v/>
      </c>
      <c r="B1467" s="74" t="s">
        <v>9578</v>
      </c>
      <c r="C1467" s="61" t="n">
        <v>691</v>
      </c>
      <c r="D1467" s="61" t="s">
        <v>9579</v>
      </c>
      <c r="E1467" s="61" t="s">
        <v>9579</v>
      </c>
      <c r="F1467" s="62" t="s">
        <v>751</v>
      </c>
    </row>
    <row r="1468" customFormat="false" ht="15" hidden="false" customHeight="false" outlineLevel="0" collapsed="false">
      <c r="A1468" s="92" t="str">
        <f aca="false">Gov_Map!$H692&amp;""</f>
        <v/>
      </c>
      <c r="B1468" s="74" t="s">
        <v>9578</v>
      </c>
      <c r="C1468" s="61" t="n">
        <v>692</v>
      </c>
      <c r="D1468" s="61" t="s">
        <v>9579</v>
      </c>
      <c r="E1468" s="61" t="s">
        <v>9579</v>
      </c>
      <c r="F1468" s="62" t="s">
        <v>751</v>
      </c>
    </row>
    <row r="1469" customFormat="false" ht="15" hidden="false" customHeight="false" outlineLevel="0" collapsed="false">
      <c r="A1469" s="92" t="str">
        <f aca="false">Gov_Map!$H693&amp;""</f>
        <v/>
      </c>
      <c r="B1469" s="74" t="s">
        <v>9578</v>
      </c>
      <c r="C1469" s="61" t="n">
        <v>693</v>
      </c>
      <c r="D1469" s="61" t="s">
        <v>9579</v>
      </c>
      <c r="E1469" s="61" t="s">
        <v>9579</v>
      </c>
      <c r="F1469" s="62" t="s">
        <v>751</v>
      </c>
    </row>
    <row r="1470" customFormat="false" ht="15" hidden="false" customHeight="false" outlineLevel="0" collapsed="false">
      <c r="A1470" s="92" t="str">
        <f aca="false">Gov_Map!$H694&amp;""</f>
        <v/>
      </c>
      <c r="B1470" s="74" t="s">
        <v>9578</v>
      </c>
      <c r="C1470" s="61" t="n">
        <v>694</v>
      </c>
      <c r="D1470" s="61" t="s">
        <v>9579</v>
      </c>
      <c r="E1470" s="61" t="s">
        <v>9579</v>
      </c>
      <c r="F1470" s="62" t="s">
        <v>751</v>
      </c>
    </row>
    <row r="1471" customFormat="false" ht="15" hidden="false" customHeight="false" outlineLevel="0" collapsed="false">
      <c r="A1471" s="92" t="str">
        <f aca="false">Gov_Map!$H695&amp;""</f>
        <v/>
      </c>
      <c r="B1471" s="74" t="s">
        <v>9578</v>
      </c>
      <c r="C1471" s="61" t="n">
        <v>695</v>
      </c>
      <c r="D1471" s="61" t="s">
        <v>9579</v>
      </c>
      <c r="E1471" s="61" t="s">
        <v>9579</v>
      </c>
      <c r="F1471" s="62" t="s">
        <v>751</v>
      </c>
    </row>
    <row r="1472" customFormat="false" ht="15" hidden="false" customHeight="false" outlineLevel="0" collapsed="false">
      <c r="A1472" s="92" t="str">
        <f aca="false">Gov_Map!$H696&amp;""</f>
        <v/>
      </c>
      <c r="B1472" s="74" t="s">
        <v>9578</v>
      </c>
      <c r="C1472" s="61" t="n">
        <v>696</v>
      </c>
      <c r="D1472" s="61" t="s">
        <v>9579</v>
      </c>
      <c r="E1472" s="61" t="s">
        <v>9579</v>
      </c>
      <c r="F1472" s="62" t="s">
        <v>751</v>
      </c>
    </row>
    <row r="1473" customFormat="false" ht="15" hidden="false" customHeight="false" outlineLevel="0" collapsed="false">
      <c r="A1473" s="92" t="str">
        <f aca="false">Gov_Map!$H697&amp;""</f>
        <v/>
      </c>
      <c r="B1473" s="74" t="s">
        <v>9578</v>
      </c>
      <c r="C1473" s="61" t="n">
        <v>697</v>
      </c>
      <c r="D1473" s="61" t="s">
        <v>9579</v>
      </c>
      <c r="E1473" s="61" t="s">
        <v>9579</v>
      </c>
      <c r="F1473" s="62" t="s">
        <v>751</v>
      </c>
    </row>
    <row r="1474" customFormat="false" ht="15" hidden="false" customHeight="false" outlineLevel="0" collapsed="false">
      <c r="A1474" s="92" t="str">
        <f aca="false">Gov_Map!$H698&amp;""</f>
        <v/>
      </c>
      <c r="B1474" s="74" t="s">
        <v>9578</v>
      </c>
      <c r="C1474" s="61" t="n">
        <v>698</v>
      </c>
      <c r="D1474" s="61" t="s">
        <v>9579</v>
      </c>
      <c r="E1474" s="61" t="s">
        <v>9579</v>
      </c>
      <c r="F1474" s="62" t="s">
        <v>751</v>
      </c>
    </row>
    <row r="1475" customFormat="false" ht="15" hidden="false" customHeight="false" outlineLevel="0" collapsed="false">
      <c r="A1475" s="92" t="str">
        <f aca="false">Gov_Map!$H699&amp;""</f>
        <v/>
      </c>
      <c r="B1475" s="74" t="s">
        <v>9578</v>
      </c>
      <c r="C1475" s="61" t="n">
        <v>699</v>
      </c>
      <c r="D1475" s="61" t="s">
        <v>9579</v>
      </c>
      <c r="E1475" s="61" t="s">
        <v>9579</v>
      </c>
      <c r="F1475" s="62" t="s">
        <v>751</v>
      </c>
    </row>
    <row r="1476" customFormat="false" ht="15" hidden="false" customHeight="false" outlineLevel="0" collapsed="false">
      <c r="A1476" s="92" t="str">
        <f aca="false">Gov_Map!$H700&amp;""</f>
        <v/>
      </c>
      <c r="B1476" s="74" t="s">
        <v>9578</v>
      </c>
      <c r="C1476" s="61" t="n">
        <v>700</v>
      </c>
      <c r="D1476" s="61" t="s">
        <v>9579</v>
      </c>
      <c r="E1476" s="61" t="s">
        <v>9579</v>
      </c>
      <c r="F1476" s="62" t="s">
        <v>751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4"/>
    <col collapsed="false" customWidth="true" hidden="false" outlineLevel="0" max="3" min="3" style="1" width="60"/>
    <col collapsed="false" customWidth="true" hidden="false" outlineLevel="0" max="4" min="4" style="1" width="16"/>
    <col collapsed="false" customWidth="true" hidden="false" outlineLevel="0" max="5" min="5" style="1" width="10"/>
    <col collapsed="false" customWidth="true" hidden="false" outlineLevel="0" max="6" min="6" style="1" width="52"/>
    <col collapsed="false" customWidth="true" hidden="false" outlineLevel="0" max="7" min="7" style="1" width="18"/>
  </cols>
  <sheetData>
    <row r="1" customFormat="false" ht="19.5" hidden="false" customHeight="true" outlineLevel="0" collapsed="false">
      <c r="A1" s="2" t="s">
        <v>9580</v>
      </c>
    </row>
    <row r="2" customFormat="false" ht="15" hidden="false" customHeight="true" outlineLevel="0" collapsed="false">
      <c r="A2" s="11"/>
    </row>
    <row r="3" customFormat="false" ht="15" hidden="false" customHeight="true" outlineLevel="0" collapsed="false">
      <c r="A3" s="249" t="s">
        <v>730</v>
      </c>
      <c r="B3" s="12" t="s">
        <v>386</v>
      </c>
      <c r="C3" s="12" t="s">
        <v>9581</v>
      </c>
      <c r="D3" s="12" t="s">
        <v>99</v>
      </c>
      <c r="E3" s="12" t="s">
        <v>6566</v>
      </c>
      <c r="F3" s="12" t="s">
        <v>487</v>
      </c>
      <c r="G3" s="12" t="s">
        <v>9582</v>
      </c>
    </row>
    <row r="4" customFormat="false" ht="29.25" hidden="false" customHeight="true" outlineLevel="0" collapsed="false">
      <c r="A4" s="16" t="s">
        <v>6864</v>
      </c>
      <c r="B4" s="16" t="s">
        <v>9583</v>
      </c>
      <c r="C4" s="20" t="s">
        <v>9584</v>
      </c>
      <c r="D4" s="16" t="s">
        <v>150</v>
      </c>
      <c r="E4" s="16" t="s">
        <v>7549</v>
      </c>
      <c r="F4" s="6" t="s">
        <v>7550</v>
      </c>
      <c r="G4" s="22" t="s">
        <v>9585</v>
      </c>
    </row>
    <row r="5" customFormat="false" ht="15" hidden="false" customHeight="true" outlineLevel="0" collapsed="false">
      <c r="A5" s="16" t="s">
        <v>6873</v>
      </c>
      <c r="B5" s="16" t="s">
        <v>9586</v>
      </c>
      <c r="C5" s="20" t="s">
        <v>9587</v>
      </c>
      <c r="D5" s="16" t="s">
        <v>119</v>
      </c>
      <c r="E5" s="16" t="s">
        <v>7561</v>
      </c>
      <c r="F5" s="6" t="s">
        <v>7562</v>
      </c>
      <c r="G5" s="22" t="s">
        <v>9585</v>
      </c>
    </row>
    <row r="6" customFormat="false" ht="15" hidden="false" customHeight="true" outlineLevel="0" collapsed="false">
      <c r="A6" s="16" t="s">
        <v>7579</v>
      </c>
      <c r="B6" s="16" t="s">
        <v>9588</v>
      </c>
      <c r="C6" s="6" t="s">
        <v>9589</v>
      </c>
      <c r="D6" s="16" t="s">
        <v>227</v>
      </c>
      <c r="E6" s="16" t="s">
        <v>7575</v>
      </c>
      <c r="F6" s="6" t="s">
        <v>7584</v>
      </c>
      <c r="G6" s="22" t="s">
        <v>9585</v>
      </c>
    </row>
    <row r="7" customFormat="false" ht="15" hidden="false" customHeight="true" outlineLevel="0" collapsed="false">
      <c r="A7" s="16" t="s">
        <v>7595</v>
      </c>
      <c r="B7" s="16" t="s">
        <v>9590</v>
      </c>
      <c r="C7" s="6" t="s">
        <v>9591</v>
      </c>
      <c r="D7" s="16" t="s">
        <v>227</v>
      </c>
      <c r="E7" s="16" t="s">
        <v>7591</v>
      </c>
      <c r="F7" s="6" t="s">
        <v>7592</v>
      </c>
      <c r="G7" s="22" t="s">
        <v>9585</v>
      </c>
    </row>
    <row r="8" customFormat="false" ht="15" hidden="false" customHeight="true" outlineLevel="0" collapsed="false">
      <c r="A8" s="16" t="s">
        <v>7614</v>
      </c>
      <c r="B8" s="16" t="s">
        <v>9592</v>
      </c>
      <c r="C8" s="6" t="s">
        <v>9593</v>
      </c>
      <c r="D8" s="16" t="s">
        <v>227</v>
      </c>
      <c r="E8" s="16" t="s">
        <v>1385</v>
      </c>
      <c r="F8" s="6" t="s">
        <v>7611</v>
      </c>
      <c r="G8" s="22" t="s">
        <v>9585</v>
      </c>
    </row>
    <row r="9" customFormat="false" ht="15" hidden="false" customHeight="true" outlineLevel="0" collapsed="false">
      <c r="A9" s="16" t="s">
        <v>7621</v>
      </c>
      <c r="B9" s="16" t="s">
        <v>9594</v>
      </c>
      <c r="C9" s="6" t="s">
        <v>9595</v>
      </c>
      <c r="D9" s="16" t="s">
        <v>227</v>
      </c>
      <c r="E9" s="16" t="s">
        <v>1385</v>
      </c>
      <c r="F9" s="6" t="s">
        <v>9596</v>
      </c>
      <c r="G9" s="22" t="s">
        <v>9585</v>
      </c>
    </row>
    <row r="10" customFormat="false" ht="29.25" hidden="false" customHeight="true" outlineLevel="0" collapsed="false">
      <c r="A10" s="16" t="s">
        <v>7629</v>
      </c>
      <c r="B10" s="16" t="s">
        <v>9597</v>
      </c>
      <c r="C10" s="6" t="s">
        <v>9598</v>
      </c>
      <c r="D10" s="16" t="s">
        <v>227</v>
      </c>
      <c r="E10" s="16" t="s">
        <v>7561</v>
      </c>
      <c r="F10" s="6" t="s">
        <v>7634</v>
      </c>
      <c r="G10" s="22" t="s">
        <v>9585</v>
      </c>
    </row>
    <row r="11" customFormat="false" ht="15" hidden="false" customHeight="true" outlineLevel="0" collapsed="false">
      <c r="A11" s="16" t="s">
        <v>7651</v>
      </c>
      <c r="B11" s="16" t="s">
        <v>7645</v>
      </c>
      <c r="C11" s="6" t="s">
        <v>9599</v>
      </c>
      <c r="D11" s="16" t="s">
        <v>227</v>
      </c>
      <c r="E11" s="16" t="s">
        <v>1382</v>
      </c>
      <c r="F11" s="6" t="s">
        <v>9600</v>
      </c>
      <c r="G11" s="22" t="s">
        <v>9585</v>
      </c>
    </row>
    <row r="12" customFormat="false" ht="15" hidden="false" customHeight="true" outlineLevel="0" collapsed="false">
      <c r="A12" s="16" t="s">
        <v>7661</v>
      </c>
      <c r="B12" s="16" t="s">
        <v>9601</v>
      </c>
      <c r="C12" s="6" t="s">
        <v>9602</v>
      </c>
      <c r="D12" s="16" t="s">
        <v>227</v>
      </c>
      <c r="E12" s="16" t="s">
        <v>9603</v>
      </c>
      <c r="F12" s="6" t="s">
        <v>7657</v>
      </c>
      <c r="G12" s="22" t="s">
        <v>9585</v>
      </c>
    </row>
    <row r="13" customFormat="false" ht="15" hidden="false" customHeight="true" outlineLevel="0" collapsed="false">
      <c r="A13" s="16" t="s">
        <v>7920</v>
      </c>
      <c r="B13" s="22" t="s">
        <v>9604</v>
      </c>
      <c r="C13" s="6" t="s">
        <v>9605</v>
      </c>
      <c r="D13" s="16" t="s">
        <v>119</v>
      </c>
      <c r="E13" s="16" t="s">
        <v>7561</v>
      </c>
      <c r="F13" s="6" t="s">
        <v>7917</v>
      </c>
      <c r="G13" s="22" t="s">
        <v>9585</v>
      </c>
    </row>
    <row r="14" customFormat="false" ht="15" hidden="false" customHeight="true" outlineLevel="0" collapsed="false">
      <c r="A14" s="16" t="s">
        <v>7682</v>
      </c>
      <c r="B14" s="16" t="s">
        <v>9606</v>
      </c>
      <c r="C14" s="20" t="s">
        <v>9607</v>
      </c>
      <c r="D14" s="16" t="s">
        <v>227</v>
      </c>
      <c r="E14" s="16" t="s">
        <v>7561</v>
      </c>
      <c r="F14" s="6" t="s">
        <v>7679</v>
      </c>
      <c r="G14" s="22" t="s">
        <v>9608</v>
      </c>
    </row>
    <row r="15" customFormat="false" ht="29.25" hidden="false" customHeight="true" outlineLevel="0" collapsed="false">
      <c r="A15" s="16" t="s">
        <v>7932</v>
      </c>
      <c r="B15" s="22" t="s">
        <v>9609</v>
      </c>
      <c r="C15" s="6" t="s">
        <v>9610</v>
      </c>
      <c r="D15" s="16" t="s">
        <v>119</v>
      </c>
      <c r="E15" s="16" t="s">
        <v>7561</v>
      </c>
      <c r="F15" s="6" t="s">
        <v>7930</v>
      </c>
      <c r="G15" s="22" t="s">
        <v>9585</v>
      </c>
    </row>
    <row r="16" customFormat="false" ht="26.25" hidden="false" customHeight="true" outlineLevel="0" collapsed="false">
      <c r="A16" s="16" t="s">
        <v>7945</v>
      </c>
      <c r="B16" s="22" t="s">
        <v>9611</v>
      </c>
      <c r="C16" s="6" t="s">
        <v>9612</v>
      </c>
      <c r="D16" s="16" t="s">
        <v>150</v>
      </c>
      <c r="E16" s="16" t="s">
        <v>7656</v>
      </c>
      <c r="F16" s="6" t="s">
        <v>7942</v>
      </c>
      <c r="G16" s="22" t="s">
        <v>9613</v>
      </c>
    </row>
    <row r="17" customFormat="false" ht="15" hidden="false" customHeight="true" outlineLevel="0" collapsed="false">
      <c r="A17" s="16" t="s">
        <v>9614</v>
      </c>
      <c r="B17" s="16" t="s">
        <v>117</v>
      </c>
      <c r="C17" s="20" t="s">
        <v>9615</v>
      </c>
      <c r="D17" s="16" t="s">
        <v>119</v>
      </c>
      <c r="E17" s="16" t="s">
        <v>751</v>
      </c>
      <c r="F17" s="6" t="s">
        <v>9616</v>
      </c>
      <c r="G17" s="22" t="s">
        <v>9585</v>
      </c>
    </row>
    <row r="18" customFormat="false" ht="29.25" hidden="false" customHeight="true" outlineLevel="0" collapsed="false">
      <c r="A18" s="16" t="s">
        <v>7954</v>
      </c>
      <c r="B18" s="16" t="s">
        <v>9617</v>
      </c>
      <c r="C18" s="6" t="s">
        <v>9618</v>
      </c>
      <c r="D18" s="16" t="s">
        <v>150</v>
      </c>
      <c r="E18" s="16" t="s">
        <v>7686</v>
      </c>
      <c r="F18" s="6" t="s">
        <v>7952</v>
      </c>
      <c r="G18" s="22" t="s">
        <v>9619</v>
      </c>
    </row>
    <row r="19" customFormat="false" ht="15" hidden="false" customHeight="true" outlineLevel="0" collapsed="false">
      <c r="A19" s="16" t="s">
        <v>7969</v>
      </c>
      <c r="B19" s="22" t="s">
        <v>9620</v>
      </c>
      <c r="C19" s="20" t="s">
        <v>9621</v>
      </c>
      <c r="D19" s="16" t="s">
        <v>227</v>
      </c>
      <c r="E19" s="16" t="s">
        <v>7965</v>
      </c>
      <c r="F19" s="6" t="s">
        <v>7966</v>
      </c>
      <c r="G19" s="22" t="s">
        <v>9622</v>
      </c>
    </row>
    <row r="20" customFormat="false" ht="15" hidden="false" customHeight="true" outlineLevel="0" collapsed="false">
      <c r="A20" s="16" t="s">
        <v>7979</v>
      </c>
      <c r="B20" s="16" t="s">
        <v>9623</v>
      </c>
      <c r="C20" s="6" t="s">
        <v>9624</v>
      </c>
      <c r="D20" s="16" t="s">
        <v>227</v>
      </c>
      <c r="E20" s="16" t="s">
        <v>7656</v>
      </c>
      <c r="F20" s="6" t="s">
        <v>7975</v>
      </c>
      <c r="G20" s="22" t="s">
        <v>7974</v>
      </c>
    </row>
    <row r="21" customFormat="false" ht="15" hidden="false" customHeight="true" outlineLevel="0" collapsed="false">
      <c r="A21" s="16" t="s">
        <v>8747</v>
      </c>
      <c r="B21" s="16" t="s">
        <v>9625</v>
      </c>
      <c r="C21" s="6" t="s">
        <v>9626</v>
      </c>
      <c r="D21" s="16" t="s">
        <v>150</v>
      </c>
      <c r="E21" s="16" t="s">
        <v>7656</v>
      </c>
      <c r="F21" s="6" t="s">
        <v>8744</v>
      </c>
      <c r="G21" s="22" t="s">
        <v>9585</v>
      </c>
    </row>
    <row r="22" customFormat="false" ht="15" hidden="false" customHeight="true" outlineLevel="0" collapsed="false">
      <c r="A22" s="16" t="s">
        <v>8757</v>
      </c>
      <c r="B22" s="22" t="s">
        <v>9627</v>
      </c>
      <c r="C22" s="6" t="s">
        <v>9628</v>
      </c>
      <c r="D22" s="16" t="s">
        <v>162</v>
      </c>
      <c r="E22" s="16" t="s">
        <v>1382</v>
      </c>
      <c r="F22" s="6" t="s">
        <v>8753</v>
      </c>
      <c r="G22" s="22" t="s">
        <v>8752</v>
      </c>
    </row>
    <row r="23" customFormat="false" ht="54.75" hidden="false" customHeight="true" outlineLevel="0" collapsed="false">
      <c r="A23" s="6" t="s">
        <v>490</v>
      </c>
      <c r="B23" s="6" t="s">
        <v>9629</v>
      </c>
      <c r="C23" s="6" t="s">
        <v>9630</v>
      </c>
      <c r="D23" s="6" t="s">
        <v>9631</v>
      </c>
      <c r="E23" s="6" t="s">
        <v>7656</v>
      </c>
      <c r="F23" s="6" t="s">
        <v>8309</v>
      </c>
      <c r="G23" s="5" t="s">
        <v>9632</v>
      </c>
    </row>
    <row r="24" customFormat="false" ht="43.5" hidden="false" customHeight="true" outlineLevel="0" collapsed="false">
      <c r="A24" s="6" t="s">
        <v>489</v>
      </c>
      <c r="B24" s="6" t="s">
        <v>9633</v>
      </c>
      <c r="C24" s="6" t="s">
        <v>9634</v>
      </c>
      <c r="D24" s="6" t="s">
        <v>9635</v>
      </c>
      <c r="E24" s="6" t="s">
        <v>8323</v>
      </c>
      <c r="F24" s="6" t="s">
        <v>8324</v>
      </c>
      <c r="G24" s="5" t="s">
        <v>9636</v>
      </c>
    </row>
    <row r="25" customFormat="false" ht="29.25" hidden="false" customHeight="true" outlineLevel="0" collapsed="false">
      <c r="A25" s="6" t="s">
        <v>488</v>
      </c>
      <c r="B25" s="6" t="s">
        <v>9637</v>
      </c>
      <c r="C25" s="6" t="s">
        <v>9638</v>
      </c>
      <c r="D25" s="6" t="s">
        <v>9639</v>
      </c>
      <c r="E25" s="5" t="s">
        <v>9640</v>
      </c>
      <c r="F25" s="6" t="s">
        <v>8347</v>
      </c>
      <c r="G25" s="5" t="s">
        <v>9641</v>
      </c>
    </row>
    <row r="26" customFormat="false" ht="29.25" hidden="false" customHeight="true" outlineLevel="0" collapsed="false">
      <c r="A26" s="6" t="s">
        <v>491</v>
      </c>
      <c r="B26" s="6" t="s">
        <v>9642</v>
      </c>
      <c r="C26" s="6" t="s">
        <v>9643</v>
      </c>
      <c r="D26" s="6" t="s">
        <v>9644</v>
      </c>
      <c r="E26" s="6" t="s">
        <v>8369</v>
      </c>
      <c r="F26" s="6" t="s">
        <v>8370</v>
      </c>
      <c r="G26" s="5" t="s">
        <v>9645</v>
      </c>
    </row>
    <row r="27" customFormat="false" ht="29.25" hidden="false" customHeight="true" outlineLevel="0" collapsed="false">
      <c r="A27" s="6" t="s">
        <v>8383</v>
      </c>
      <c r="B27" s="6" t="s">
        <v>9646</v>
      </c>
      <c r="C27" s="6" t="s">
        <v>9647</v>
      </c>
      <c r="D27" s="6" t="s">
        <v>9644</v>
      </c>
      <c r="E27" s="6" t="s">
        <v>1385</v>
      </c>
      <c r="F27" s="6" t="s">
        <v>8380</v>
      </c>
      <c r="G27" s="5" t="s">
        <v>9648</v>
      </c>
    </row>
    <row r="28" customFormat="false" ht="29.25" hidden="false" customHeight="true" outlineLevel="0" collapsed="false">
      <c r="A28" s="6" t="s">
        <v>9008</v>
      </c>
      <c r="B28" s="6" t="s">
        <v>9649</v>
      </c>
      <c r="C28" s="6" t="s">
        <v>9650</v>
      </c>
      <c r="D28" s="6" t="s">
        <v>9651</v>
      </c>
      <c r="E28" s="6" t="s">
        <v>8143</v>
      </c>
      <c r="F28" s="6" t="s">
        <v>9005</v>
      </c>
      <c r="G28" s="5" t="s">
        <v>9652</v>
      </c>
    </row>
    <row r="29" customFormat="false" ht="54.75" hidden="false" customHeight="true" outlineLevel="0" collapsed="false">
      <c r="A29" s="6" t="s">
        <v>8395</v>
      </c>
      <c r="B29" s="6" t="s">
        <v>9653</v>
      </c>
      <c r="C29" s="6" t="s">
        <v>9654</v>
      </c>
      <c r="D29" s="6" t="s">
        <v>9655</v>
      </c>
      <c r="E29" s="6" t="s">
        <v>1382</v>
      </c>
      <c r="F29" s="6" t="s">
        <v>8392</v>
      </c>
      <c r="G29" s="5" t="s">
        <v>9656</v>
      </c>
    </row>
    <row r="30" customFormat="false" ht="29.25" hidden="false" customHeight="true" outlineLevel="0" collapsed="false">
      <c r="A30" s="6" t="s">
        <v>4183</v>
      </c>
      <c r="B30" s="6" t="s">
        <v>9657</v>
      </c>
      <c r="C30" s="6" t="s">
        <v>9658</v>
      </c>
      <c r="D30" s="6" t="s">
        <v>150</v>
      </c>
      <c r="E30" s="6" t="s">
        <v>7561</v>
      </c>
      <c r="F30" s="6" t="s">
        <v>8023</v>
      </c>
      <c r="G30" s="5" t="s">
        <v>9659</v>
      </c>
    </row>
    <row r="31" customFormat="false" ht="43.5" hidden="false" customHeight="true" outlineLevel="0" collapsed="false">
      <c r="A31" s="6" t="s">
        <v>7691</v>
      </c>
      <c r="B31" s="6" t="s">
        <v>9660</v>
      </c>
      <c r="C31" s="6" t="s">
        <v>9661</v>
      </c>
      <c r="D31" s="6" t="s">
        <v>9662</v>
      </c>
      <c r="E31" s="6" t="s">
        <v>7686</v>
      </c>
      <c r="F31" s="5" t="s">
        <v>7687</v>
      </c>
      <c r="G31" s="5" t="s">
        <v>9663</v>
      </c>
    </row>
    <row r="32" customFormat="false" ht="15" hidden="false" customHeight="true" outlineLevel="0" collapsed="false">
      <c r="A32" s="6" t="s">
        <v>7740</v>
      </c>
      <c r="B32" s="5" t="s">
        <v>9664</v>
      </c>
      <c r="C32" s="6" t="s">
        <v>9665</v>
      </c>
      <c r="D32" s="6" t="s">
        <v>119</v>
      </c>
      <c r="E32" s="6" t="s">
        <v>751</v>
      </c>
      <c r="F32" s="5" t="s">
        <v>7737</v>
      </c>
      <c r="G32" s="5" t="s">
        <v>9585</v>
      </c>
    </row>
    <row r="33" customFormat="false" ht="29.25" hidden="false" customHeight="true" outlineLevel="0" collapsed="false">
      <c r="A33" s="6" t="s">
        <v>8431</v>
      </c>
      <c r="B33" s="6" t="s">
        <v>9666</v>
      </c>
      <c r="C33" s="6" t="s">
        <v>9667</v>
      </c>
      <c r="D33" s="6" t="s">
        <v>9668</v>
      </c>
      <c r="E33" s="6" t="s">
        <v>8426</v>
      </c>
      <c r="F33" s="6" t="s">
        <v>8427</v>
      </c>
      <c r="G33" s="5" t="s">
        <v>9652</v>
      </c>
    </row>
    <row r="34" customFormat="false" ht="69" hidden="false" customHeight="true" outlineLevel="0" collapsed="false">
      <c r="A34" s="6" t="s">
        <v>4169</v>
      </c>
      <c r="B34" s="6" t="s">
        <v>9669</v>
      </c>
      <c r="C34" s="6" t="s">
        <v>9670</v>
      </c>
      <c r="D34" s="6" t="s">
        <v>9671</v>
      </c>
      <c r="E34" s="6" t="s">
        <v>8443</v>
      </c>
      <c r="F34" s="6" t="s">
        <v>9672</v>
      </c>
      <c r="G34" s="5" t="s">
        <v>9673</v>
      </c>
    </row>
    <row r="35" customFormat="false" ht="29.25" hidden="false" customHeight="true" outlineLevel="0" collapsed="false">
      <c r="A35" s="6" t="s">
        <v>8459</v>
      </c>
      <c r="B35" s="6" t="s">
        <v>9674</v>
      </c>
      <c r="C35" s="5" t="s">
        <v>9675</v>
      </c>
      <c r="D35" s="6" t="s">
        <v>150</v>
      </c>
      <c r="E35" s="6" t="s">
        <v>9676</v>
      </c>
      <c r="F35" s="6" t="s">
        <v>8456</v>
      </c>
      <c r="G35" s="5" t="s">
        <v>9656</v>
      </c>
    </row>
    <row r="36" customFormat="false" ht="29.25" hidden="false" customHeight="true" outlineLevel="0" collapsed="false">
      <c r="A36" s="6" t="s">
        <v>9677</v>
      </c>
      <c r="B36" s="6" t="s">
        <v>9678</v>
      </c>
      <c r="C36" s="6" t="s">
        <v>9679</v>
      </c>
      <c r="D36" s="6" t="s">
        <v>9680</v>
      </c>
      <c r="E36" s="6" t="s">
        <v>7591</v>
      </c>
      <c r="F36" s="6" t="s">
        <v>9681</v>
      </c>
      <c r="G36" s="5" t="s">
        <v>9682</v>
      </c>
    </row>
    <row r="37" customFormat="false" ht="29.25" hidden="false" customHeight="true" outlineLevel="0" collapsed="false">
      <c r="A37" s="6" t="s">
        <v>8130</v>
      </c>
      <c r="B37" s="6" t="s">
        <v>9683</v>
      </c>
      <c r="C37" s="6" t="s">
        <v>9684</v>
      </c>
      <c r="D37" s="6" t="s">
        <v>9685</v>
      </c>
      <c r="E37" s="6" t="s">
        <v>7575</v>
      </c>
      <c r="F37" s="6" t="s">
        <v>8126</v>
      </c>
      <c r="G37" s="5" t="s">
        <v>9686</v>
      </c>
    </row>
    <row r="38" customFormat="false" ht="29.25" hidden="false" customHeight="true" outlineLevel="0" collapsed="false">
      <c r="A38" s="6" t="s">
        <v>7759</v>
      </c>
      <c r="B38" s="6" t="s">
        <v>9687</v>
      </c>
      <c r="C38" s="6" t="s">
        <v>9688</v>
      </c>
      <c r="D38" s="6" t="s">
        <v>9662</v>
      </c>
      <c r="E38" s="6" t="s">
        <v>7561</v>
      </c>
      <c r="F38" s="6" t="s">
        <v>7755</v>
      </c>
      <c r="G38" s="5" t="s">
        <v>9689</v>
      </c>
    </row>
    <row r="39" customFormat="false" ht="29.25" hidden="false" customHeight="true" outlineLevel="0" collapsed="false">
      <c r="A39" s="6" t="s">
        <v>8485</v>
      </c>
      <c r="B39" s="6" t="s">
        <v>9690</v>
      </c>
      <c r="C39" s="6" t="s">
        <v>9691</v>
      </c>
      <c r="D39" s="6" t="s">
        <v>9692</v>
      </c>
      <c r="E39" s="6" t="s">
        <v>8481</v>
      </c>
      <c r="F39" s="6" t="s">
        <v>8482</v>
      </c>
      <c r="G39" s="5" t="s">
        <v>9585</v>
      </c>
    </row>
    <row r="40" customFormat="false" ht="57.75" hidden="false" customHeight="true" outlineLevel="0" collapsed="false">
      <c r="A40" s="6" t="s">
        <v>9082</v>
      </c>
      <c r="B40" s="6" t="s">
        <v>9693</v>
      </c>
      <c r="C40" s="5" t="s">
        <v>9694</v>
      </c>
      <c r="D40" s="6" t="s">
        <v>9695</v>
      </c>
      <c r="E40" s="6" t="s">
        <v>7591</v>
      </c>
      <c r="F40" s="6" t="s">
        <v>9079</v>
      </c>
      <c r="G40" s="5" t="s">
        <v>9656</v>
      </c>
    </row>
    <row r="41" customFormat="false" ht="29.25" hidden="false" customHeight="true" outlineLevel="0" collapsed="false">
      <c r="A41" s="6" t="s">
        <v>8148</v>
      </c>
      <c r="B41" s="6" t="s">
        <v>9696</v>
      </c>
      <c r="C41" s="6" t="s">
        <v>9697</v>
      </c>
      <c r="D41" s="6" t="s">
        <v>9698</v>
      </c>
      <c r="E41" s="6" t="s">
        <v>8143</v>
      </c>
      <c r="F41" s="6" t="s">
        <v>8144</v>
      </c>
      <c r="G41" s="5" t="s">
        <v>9656</v>
      </c>
    </row>
    <row r="42" customFormat="false" ht="43.5" hidden="false" customHeight="true" outlineLevel="0" collapsed="false">
      <c r="A42" s="6" t="s">
        <v>8159</v>
      </c>
      <c r="B42" s="6" t="s">
        <v>9699</v>
      </c>
      <c r="C42" s="6" t="s">
        <v>9700</v>
      </c>
      <c r="D42" s="6" t="s">
        <v>9701</v>
      </c>
      <c r="E42" s="6" t="s">
        <v>9702</v>
      </c>
      <c r="F42" s="6" t="s">
        <v>8156</v>
      </c>
      <c r="G42" s="5" t="s">
        <v>9703</v>
      </c>
    </row>
    <row r="43" customFormat="false" ht="29.25" hidden="false" customHeight="true" outlineLevel="0" collapsed="false">
      <c r="A43" s="6" t="s">
        <v>8171</v>
      </c>
      <c r="B43" s="6" t="s">
        <v>9704</v>
      </c>
      <c r="C43" s="6" t="s">
        <v>9705</v>
      </c>
      <c r="D43" s="6" t="s">
        <v>9706</v>
      </c>
      <c r="E43" s="6" t="s">
        <v>8167</v>
      </c>
      <c r="F43" s="6" t="s">
        <v>8168</v>
      </c>
      <c r="G43" s="5" t="s">
        <v>9656</v>
      </c>
    </row>
    <row r="44" customFormat="false" ht="40.5" hidden="false" customHeight="true" outlineLevel="0" collapsed="false">
      <c r="A44" s="6" t="s">
        <v>8179</v>
      </c>
      <c r="B44" s="6" t="s">
        <v>9707</v>
      </c>
      <c r="C44" s="5" t="s">
        <v>9708</v>
      </c>
      <c r="D44" s="6" t="s">
        <v>9709</v>
      </c>
      <c r="E44" s="6" t="s">
        <v>8175</v>
      </c>
      <c r="F44" s="6" t="s">
        <v>8176</v>
      </c>
      <c r="G44" s="5" t="s">
        <v>9710</v>
      </c>
    </row>
    <row r="45" customFormat="false" ht="29.25" hidden="false" customHeight="true" outlineLevel="0" collapsed="false">
      <c r="A45" s="6" t="s">
        <v>9711</v>
      </c>
      <c r="B45" s="6" t="s">
        <v>9712</v>
      </c>
      <c r="C45" s="6" t="s">
        <v>9713</v>
      </c>
      <c r="D45" s="6" t="s">
        <v>9714</v>
      </c>
      <c r="E45" s="6" t="s">
        <v>7561</v>
      </c>
      <c r="F45" s="6" t="s">
        <v>9715</v>
      </c>
      <c r="G45" s="5" t="s">
        <v>9716</v>
      </c>
    </row>
    <row r="46" customFormat="false" ht="29.25" hidden="false" customHeight="true" outlineLevel="0" collapsed="false">
      <c r="A46" s="6" t="s">
        <v>1134</v>
      </c>
      <c r="B46" s="6" t="s">
        <v>9717</v>
      </c>
      <c r="C46" s="5" t="s">
        <v>9718</v>
      </c>
      <c r="D46" s="6" t="s">
        <v>9685</v>
      </c>
      <c r="E46" s="6" t="s">
        <v>8189</v>
      </c>
      <c r="F46" s="6" t="s">
        <v>8190</v>
      </c>
      <c r="G46" s="6" t="s">
        <v>9719</v>
      </c>
    </row>
    <row r="47" customFormat="false" ht="29.25" hidden="false" customHeight="true" outlineLevel="0" collapsed="false">
      <c r="A47" s="6" t="s">
        <v>8208</v>
      </c>
      <c r="B47" s="6" t="s">
        <v>9720</v>
      </c>
      <c r="C47" s="5" t="s">
        <v>9721</v>
      </c>
      <c r="D47" s="6" t="s">
        <v>9685</v>
      </c>
      <c r="E47" s="6" t="s">
        <v>1382</v>
      </c>
      <c r="F47" s="6" t="s">
        <v>8206</v>
      </c>
      <c r="G47" s="5" t="s">
        <v>9686</v>
      </c>
    </row>
    <row r="48" customFormat="false" ht="29.25" hidden="false" customHeight="true" outlineLevel="0" collapsed="false">
      <c r="A48" s="6" t="s">
        <v>8218</v>
      </c>
      <c r="B48" s="6" t="s">
        <v>9722</v>
      </c>
      <c r="C48" s="5" t="s">
        <v>9723</v>
      </c>
      <c r="D48" s="6" t="s">
        <v>9724</v>
      </c>
      <c r="E48" s="6" t="s">
        <v>8214</v>
      </c>
      <c r="F48" s="6" t="s">
        <v>8215</v>
      </c>
      <c r="G48" s="5" t="s">
        <v>9686</v>
      </c>
    </row>
    <row r="49" customFormat="false" ht="29.25" hidden="false" customHeight="true" outlineLevel="0" collapsed="false">
      <c r="A49" s="6" t="s">
        <v>8223</v>
      </c>
      <c r="B49" s="6" t="s">
        <v>9725</v>
      </c>
      <c r="C49" s="5" t="s">
        <v>9726</v>
      </c>
      <c r="D49" s="6" t="s">
        <v>9727</v>
      </c>
      <c r="E49" s="6" t="s">
        <v>8155</v>
      </c>
      <c r="F49" s="6" t="s">
        <v>8221</v>
      </c>
      <c r="G49" s="5" t="s">
        <v>9703</v>
      </c>
    </row>
    <row r="50" customFormat="false" ht="29.25" hidden="false" customHeight="true" outlineLevel="0" collapsed="false">
      <c r="A50" s="6" t="s">
        <v>8232</v>
      </c>
      <c r="B50" s="6" t="s">
        <v>9728</v>
      </c>
      <c r="C50" s="6" t="s">
        <v>9729</v>
      </c>
      <c r="D50" s="6" t="s">
        <v>9692</v>
      </c>
      <c r="E50" s="6" t="s">
        <v>8175</v>
      </c>
      <c r="F50" s="6" t="s">
        <v>8229</v>
      </c>
      <c r="G50" s="5" t="s">
        <v>9656</v>
      </c>
    </row>
    <row r="51" customFormat="false" ht="29.25" hidden="false" customHeight="true" outlineLevel="0" collapsed="false">
      <c r="A51" s="6" t="s">
        <v>8499</v>
      </c>
      <c r="B51" s="6" t="s">
        <v>9730</v>
      </c>
      <c r="C51" s="6" t="s">
        <v>9731</v>
      </c>
      <c r="D51" s="6" t="s">
        <v>9732</v>
      </c>
      <c r="E51" s="6" t="s">
        <v>9733</v>
      </c>
      <c r="F51" s="6" t="s">
        <v>8496</v>
      </c>
      <c r="G51" s="5" t="s">
        <v>9734</v>
      </c>
    </row>
    <row r="52" customFormat="false" ht="29.25" hidden="false" customHeight="true" outlineLevel="0" collapsed="false">
      <c r="A52" s="6" t="s">
        <v>8420</v>
      </c>
      <c r="B52" s="6" t="s">
        <v>9735</v>
      </c>
      <c r="C52" s="6" t="s">
        <v>9736</v>
      </c>
      <c r="D52" s="6" t="s">
        <v>9685</v>
      </c>
      <c r="E52" s="6" t="s">
        <v>8416</v>
      </c>
      <c r="F52" s="6" t="s">
        <v>8417</v>
      </c>
      <c r="G52" s="5" t="s">
        <v>9585</v>
      </c>
    </row>
    <row r="53" customFormat="false" ht="29.25" hidden="false" customHeight="true" outlineLevel="0" collapsed="false">
      <c r="A53" s="6" t="s">
        <v>8766</v>
      </c>
      <c r="B53" s="6" t="s">
        <v>9737</v>
      </c>
      <c r="C53" s="6" t="s">
        <v>9738</v>
      </c>
      <c r="D53" s="6" t="s">
        <v>150</v>
      </c>
      <c r="E53" s="6" t="s">
        <v>1373</v>
      </c>
      <c r="F53" s="6" t="s">
        <v>8763</v>
      </c>
      <c r="G53" s="5" t="s">
        <v>9656</v>
      </c>
    </row>
    <row r="54" customFormat="false" ht="72" hidden="false" customHeight="true" outlineLevel="0" collapsed="false">
      <c r="A54" s="6" t="s">
        <v>8797</v>
      </c>
      <c r="B54" s="6" t="s">
        <v>9739</v>
      </c>
      <c r="C54" s="6" t="s">
        <v>9740</v>
      </c>
      <c r="D54" s="6" t="s">
        <v>9741</v>
      </c>
      <c r="E54" s="6" t="s">
        <v>9742</v>
      </c>
      <c r="F54" s="6" t="s">
        <v>8794</v>
      </c>
      <c r="G54" s="5" t="s">
        <v>9743</v>
      </c>
    </row>
    <row r="55" customFormat="false" ht="29.25" hidden="false" customHeight="true" outlineLevel="0" collapsed="false">
      <c r="A55" s="6" t="s">
        <v>4221</v>
      </c>
      <c r="B55" s="6" t="s">
        <v>9744</v>
      </c>
      <c r="C55" s="6" t="s">
        <v>9745</v>
      </c>
      <c r="D55" s="6" t="s">
        <v>150</v>
      </c>
      <c r="E55" s="6" t="s">
        <v>1394</v>
      </c>
      <c r="F55" s="6" t="s">
        <v>8829</v>
      </c>
      <c r="G55" s="5" t="s">
        <v>9746</v>
      </c>
    </row>
    <row r="56" customFormat="false" ht="29.25" hidden="false" customHeight="true" outlineLevel="0" collapsed="false">
      <c r="A56" s="6" t="s">
        <v>8862</v>
      </c>
      <c r="B56" s="6" t="s">
        <v>9747</v>
      </c>
      <c r="C56" s="6" t="s">
        <v>9748</v>
      </c>
      <c r="D56" s="6" t="s">
        <v>150</v>
      </c>
      <c r="E56" s="6" t="s">
        <v>1394</v>
      </c>
      <c r="F56" s="6" t="s">
        <v>8859</v>
      </c>
      <c r="G56" s="5" t="s">
        <v>9636</v>
      </c>
    </row>
    <row r="57" customFormat="false" ht="43.5" hidden="false" customHeight="true" outlineLevel="0" collapsed="false">
      <c r="A57" s="6" t="s">
        <v>8884</v>
      </c>
      <c r="B57" s="6" t="s">
        <v>9749</v>
      </c>
      <c r="C57" s="6" t="s">
        <v>9750</v>
      </c>
      <c r="D57" s="6" t="s">
        <v>9751</v>
      </c>
      <c r="E57" s="6" t="s">
        <v>9742</v>
      </c>
      <c r="F57" s="6" t="s">
        <v>8881</v>
      </c>
      <c r="G57" s="5" t="s">
        <v>9752</v>
      </c>
    </row>
    <row r="58" customFormat="false" ht="54.75" hidden="false" customHeight="true" outlineLevel="0" collapsed="false">
      <c r="A58" s="6" t="s">
        <v>8921</v>
      </c>
      <c r="B58" s="6" t="s">
        <v>9753</v>
      </c>
      <c r="C58" s="6" t="s">
        <v>9754</v>
      </c>
      <c r="D58" s="6" t="s">
        <v>9755</v>
      </c>
      <c r="E58" s="6" t="s">
        <v>1382</v>
      </c>
      <c r="F58" s="6" t="s">
        <v>8918</v>
      </c>
      <c r="G58" s="5" t="s">
        <v>9756</v>
      </c>
    </row>
    <row r="59" customFormat="false" ht="29.25" hidden="false" customHeight="true" outlineLevel="0" collapsed="false">
      <c r="A59" s="6" t="s">
        <v>8947</v>
      </c>
      <c r="B59" s="6" t="s">
        <v>9757</v>
      </c>
      <c r="C59" s="6" t="s">
        <v>9758</v>
      </c>
      <c r="D59" s="6" t="s">
        <v>361</v>
      </c>
      <c r="E59" s="6" t="s">
        <v>1382</v>
      </c>
      <c r="F59" s="6" t="s">
        <v>8944</v>
      </c>
      <c r="G59" s="5" t="s">
        <v>9759</v>
      </c>
    </row>
    <row r="60" customFormat="false" ht="72" hidden="false" customHeight="true" outlineLevel="0" collapsed="false">
      <c r="A60" s="6" t="s">
        <v>9094</v>
      </c>
      <c r="B60" s="6" t="s">
        <v>9760</v>
      </c>
      <c r="C60" s="5" t="s">
        <v>9761</v>
      </c>
      <c r="D60" s="6" t="s">
        <v>9762</v>
      </c>
      <c r="E60" s="6" t="s">
        <v>7561</v>
      </c>
      <c r="F60" s="6" t="s">
        <v>9091</v>
      </c>
      <c r="G60" s="5" t="s">
        <v>9763</v>
      </c>
    </row>
    <row r="61" customFormat="false" ht="83.25" hidden="false" customHeight="true" outlineLevel="0" collapsed="false">
      <c r="A61" s="6" t="s">
        <v>2221</v>
      </c>
      <c r="B61" s="6" t="s">
        <v>9764</v>
      </c>
      <c r="C61" s="6" t="s">
        <v>9765</v>
      </c>
      <c r="D61" s="6" t="s">
        <v>9766</v>
      </c>
      <c r="E61" s="6" t="s">
        <v>1382</v>
      </c>
      <c r="F61" s="6" t="s">
        <v>9015</v>
      </c>
      <c r="G61" s="6" t="s">
        <v>9767</v>
      </c>
    </row>
    <row r="62" customFormat="false" ht="57.75" hidden="false" customHeight="true" outlineLevel="0" collapsed="false">
      <c r="A62" s="6" t="s">
        <v>2241</v>
      </c>
      <c r="B62" s="6" t="s">
        <v>9768</v>
      </c>
      <c r="C62" s="6" t="s">
        <v>9769</v>
      </c>
      <c r="D62" s="6" t="s">
        <v>9770</v>
      </c>
      <c r="E62" s="6" t="s">
        <v>9771</v>
      </c>
      <c r="F62" s="6" t="s">
        <v>8966</v>
      </c>
      <c r="G62" s="6" t="s">
        <v>9772</v>
      </c>
    </row>
    <row r="63" customFormat="false" ht="40.5" hidden="false" customHeight="true" outlineLevel="0" collapsed="false">
      <c r="A63" s="6" t="s">
        <v>9056</v>
      </c>
      <c r="B63" s="6" t="s">
        <v>9773</v>
      </c>
      <c r="C63" s="6" t="s">
        <v>9774</v>
      </c>
      <c r="D63" s="6" t="s">
        <v>9775</v>
      </c>
      <c r="E63" s="6" t="s">
        <v>1382</v>
      </c>
      <c r="F63" s="6" t="s">
        <v>9053</v>
      </c>
      <c r="G63" s="5" t="s">
        <v>9776</v>
      </c>
    </row>
    <row r="64" customFormat="false" ht="29.25" hidden="false" customHeight="true" outlineLevel="0" collapsed="false">
      <c r="A64" s="6" t="s">
        <v>9066</v>
      </c>
      <c r="B64" s="6" t="s">
        <v>9777</v>
      </c>
      <c r="C64" s="6" t="s">
        <v>9778</v>
      </c>
      <c r="D64" s="6" t="s">
        <v>9779</v>
      </c>
      <c r="E64" s="6" t="s">
        <v>1382</v>
      </c>
      <c r="F64" s="6" t="s">
        <v>9063</v>
      </c>
      <c r="G64" s="5" t="s">
        <v>9780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26"/>
    <col collapsed="false" customWidth="true" hidden="false" outlineLevel="0" max="5" min="5" style="1" width="15"/>
    <col collapsed="false" customWidth="true" hidden="false" outlineLevel="0" max="6" min="6" style="1" width="30"/>
    <col collapsed="false" customWidth="true" hidden="false" outlineLevel="0" max="8" min="7" style="1" width="18"/>
    <col collapsed="false" customWidth="true" hidden="false" outlineLevel="0" max="9" min="9" style="1" width="14"/>
    <col collapsed="false" customWidth="true" hidden="false" outlineLevel="0" max="10" min="10" style="1" width="9"/>
    <col collapsed="false" customWidth="true" hidden="false" outlineLevel="0" max="11" min="11" style="1" width="44"/>
    <col collapsed="false" customWidth="true" hidden="false" outlineLevel="0" max="12" min="12" style="1" width="14"/>
    <col collapsed="false" customWidth="true" hidden="false" outlineLevel="0" max="13" min="13" style="1" width="30"/>
    <col collapsed="false" customWidth="true" hidden="false" outlineLevel="0" max="14" min="14" style="1" width="12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2"/>
  </cols>
  <sheetData>
    <row r="1" customFormat="false" ht="19.5" hidden="false" customHeight="true" outlineLevel="0" collapsed="false">
      <c r="A1" s="236" t="s">
        <v>9781</v>
      </c>
    </row>
    <row r="2" customFormat="false" ht="15" hidden="false" customHeight="true" outlineLevel="0" collapsed="false">
      <c r="A2" s="248" t="s">
        <v>9782</v>
      </c>
    </row>
    <row r="3" customFormat="false" ht="15" hidden="false" customHeight="true" outlineLevel="0" collapsed="false">
      <c r="A3" s="45" t="s">
        <v>9783</v>
      </c>
    </row>
    <row r="4" customFormat="false" ht="15" hidden="false" customHeight="true" outlineLevel="0" collapsed="false">
      <c r="A4" s="84" t="s">
        <v>730</v>
      </c>
      <c r="B4" s="237" t="s">
        <v>6566</v>
      </c>
      <c r="C4" s="237" t="s">
        <v>9784</v>
      </c>
      <c r="D4" s="237" t="s">
        <v>9785</v>
      </c>
      <c r="E4" s="237" t="s">
        <v>99</v>
      </c>
      <c r="F4" s="237" t="s">
        <v>9786</v>
      </c>
      <c r="G4" s="84" t="s">
        <v>9787</v>
      </c>
      <c r="H4" s="237" t="s">
        <v>9788</v>
      </c>
      <c r="I4" s="237" t="s">
        <v>9789</v>
      </c>
      <c r="J4" s="237" t="s">
        <v>9790</v>
      </c>
      <c r="K4" s="237" t="s">
        <v>7540</v>
      </c>
      <c r="L4" s="237" t="s">
        <v>9791</v>
      </c>
      <c r="M4" s="237" t="s">
        <v>9792</v>
      </c>
      <c r="N4" s="237" t="s">
        <v>7533</v>
      </c>
      <c r="O4" s="237" t="s">
        <v>9793</v>
      </c>
      <c r="P4" s="237" t="s">
        <v>6741</v>
      </c>
      <c r="Q4" s="237" t="s">
        <v>7530</v>
      </c>
    </row>
    <row r="5" customFormat="false" ht="30" hidden="false" customHeight="true" outlineLevel="0" collapsed="false">
      <c r="A5" s="241" t="s">
        <v>7775</v>
      </c>
      <c r="B5" s="241" t="s">
        <v>6628</v>
      </c>
      <c r="C5" s="250" t="s">
        <v>9794</v>
      </c>
      <c r="D5" s="241" t="s">
        <v>9795</v>
      </c>
      <c r="E5" s="241" t="s">
        <v>227</v>
      </c>
      <c r="F5" s="250" t="s">
        <v>9796</v>
      </c>
      <c r="G5" s="241" t="s">
        <v>9797</v>
      </c>
      <c r="H5" s="241" t="s">
        <v>9798</v>
      </c>
      <c r="I5" s="251" t="s">
        <v>9799</v>
      </c>
      <c r="J5" s="241" t="s">
        <v>9800</v>
      </c>
      <c r="K5" s="250" t="s">
        <v>9801</v>
      </c>
      <c r="L5" s="239" t="s">
        <v>9802</v>
      </c>
      <c r="M5" s="6" t="s">
        <v>9803</v>
      </c>
      <c r="N5" s="30" t="s">
        <v>751</v>
      </c>
      <c r="O5" s="30" t="s">
        <v>751</v>
      </c>
      <c r="P5" s="30" t="s">
        <v>751</v>
      </c>
      <c r="Q5" s="6" t="s">
        <v>751</v>
      </c>
    </row>
    <row r="6" customFormat="false" ht="30" hidden="false" customHeight="true" outlineLevel="0" collapsed="false">
      <c r="A6" s="241" t="s">
        <v>9804</v>
      </c>
      <c r="B6" s="241" t="s">
        <v>6628</v>
      </c>
      <c r="C6" s="250" t="s">
        <v>9805</v>
      </c>
      <c r="D6" s="241" t="s">
        <v>8130</v>
      </c>
      <c r="E6" s="241" t="s">
        <v>150</v>
      </c>
      <c r="F6" s="250" t="s">
        <v>9806</v>
      </c>
      <c r="G6" s="251" t="s">
        <v>9807</v>
      </c>
      <c r="H6" s="241" t="s">
        <v>9808</v>
      </c>
      <c r="I6" s="251" t="s">
        <v>9799</v>
      </c>
      <c r="J6" s="241" t="s">
        <v>9800</v>
      </c>
      <c r="K6" s="250"/>
      <c r="L6" s="239" t="s">
        <v>9802</v>
      </c>
      <c r="M6" s="6" t="s">
        <v>9809</v>
      </c>
      <c r="N6" s="30" t="s">
        <v>751</v>
      </c>
      <c r="O6" s="30" t="s">
        <v>751</v>
      </c>
      <c r="P6" s="30" t="s">
        <v>751</v>
      </c>
      <c r="Q6" s="6" t="s">
        <v>751</v>
      </c>
    </row>
    <row r="7" customFormat="false" ht="30" hidden="false" customHeight="true" outlineLevel="0" collapsed="false">
      <c r="A7" s="241" t="s">
        <v>9810</v>
      </c>
      <c r="B7" s="241" t="s">
        <v>6628</v>
      </c>
      <c r="C7" s="250" t="s">
        <v>9811</v>
      </c>
      <c r="D7" s="241" t="s">
        <v>7759</v>
      </c>
      <c r="E7" s="241" t="s">
        <v>227</v>
      </c>
      <c r="F7" s="250" t="s">
        <v>9812</v>
      </c>
      <c r="G7" s="251" t="s">
        <v>9807</v>
      </c>
      <c r="H7" s="241" t="s">
        <v>9813</v>
      </c>
      <c r="I7" s="251" t="s">
        <v>9799</v>
      </c>
      <c r="J7" s="241" t="s">
        <v>9800</v>
      </c>
      <c r="K7" s="250"/>
      <c r="L7" s="239" t="s">
        <v>9802</v>
      </c>
      <c r="M7" s="6" t="s">
        <v>9814</v>
      </c>
      <c r="N7" s="30" t="s">
        <v>751</v>
      </c>
      <c r="O7" s="30" t="s">
        <v>751</v>
      </c>
      <c r="P7" s="30" t="s">
        <v>751</v>
      </c>
      <c r="Q7" s="6" t="s">
        <v>751</v>
      </c>
    </row>
    <row r="8" customFormat="false" ht="30" hidden="false" customHeight="true" outlineLevel="0" collapsed="false">
      <c r="A8" s="241" t="s">
        <v>9815</v>
      </c>
      <c r="B8" s="241" t="s">
        <v>6628</v>
      </c>
      <c r="C8" s="252" t="s">
        <v>9816</v>
      </c>
      <c r="D8" s="241" t="s">
        <v>9082</v>
      </c>
      <c r="E8" s="241" t="s">
        <v>119</v>
      </c>
      <c r="F8" s="250" t="s">
        <v>9817</v>
      </c>
      <c r="G8" s="251" t="s">
        <v>9807</v>
      </c>
      <c r="H8" s="241" t="s">
        <v>9818</v>
      </c>
      <c r="I8" s="251" t="s">
        <v>9819</v>
      </c>
      <c r="J8" s="241" t="s">
        <v>9800</v>
      </c>
      <c r="K8" s="252" t="s">
        <v>9820</v>
      </c>
      <c r="L8" s="239" t="s">
        <v>9802</v>
      </c>
      <c r="M8" s="6" t="s">
        <v>9821</v>
      </c>
      <c r="N8" s="30" t="s">
        <v>751</v>
      </c>
      <c r="O8" s="30" t="s">
        <v>751</v>
      </c>
      <c r="P8" s="30" t="s">
        <v>751</v>
      </c>
      <c r="Q8" s="6" t="s">
        <v>751</v>
      </c>
    </row>
    <row r="9" customFormat="false" ht="30" hidden="false" customHeight="true" outlineLevel="0" collapsed="false">
      <c r="A9" s="241" t="s">
        <v>9822</v>
      </c>
      <c r="B9" s="241" t="s">
        <v>6628</v>
      </c>
      <c r="C9" s="250" t="s">
        <v>9823</v>
      </c>
      <c r="D9" s="241" t="s">
        <v>8179</v>
      </c>
      <c r="E9" s="241" t="s">
        <v>227</v>
      </c>
      <c r="F9" s="250" t="s">
        <v>9824</v>
      </c>
      <c r="G9" s="241" t="s">
        <v>751</v>
      </c>
      <c r="H9" s="241" t="s">
        <v>9825</v>
      </c>
      <c r="I9" s="251" t="s">
        <v>9826</v>
      </c>
      <c r="J9" s="241" t="s">
        <v>9800</v>
      </c>
      <c r="K9" s="252" t="s">
        <v>9827</v>
      </c>
      <c r="L9" s="239" t="s">
        <v>9802</v>
      </c>
      <c r="M9" s="6" t="s">
        <v>9828</v>
      </c>
      <c r="N9" s="30" t="s">
        <v>751</v>
      </c>
      <c r="O9" s="30" t="s">
        <v>751</v>
      </c>
      <c r="P9" s="30" t="s">
        <v>751</v>
      </c>
      <c r="Q9" s="6" t="s">
        <v>751</v>
      </c>
    </row>
    <row r="10" customFormat="false" ht="30" hidden="false" customHeight="true" outlineLevel="0" collapsed="false">
      <c r="A10" s="241" t="s">
        <v>9829</v>
      </c>
      <c r="B10" s="241" t="s">
        <v>6628</v>
      </c>
      <c r="C10" s="252" t="s">
        <v>9830</v>
      </c>
      <c r="D10" s="241" t="s">
        <v>8148</v>
      </c>
      <c r="E10" s="241" t="s">
        <v>119</v>
      </c>
      <c r="F10" s="250" t="s">
        <v>9831</v>
      </c>
      <c r="G10" s="241" t="s">
        <v>9832</v>
      </c>
      <c r="H10" s="251" t="s">
        <v>9833</v>
      </c>
      <c r="I10" s="251" t="s">
        <v>1388</v>
      </c>
      <c r="J10" s="241" t="s">
        <v>751</v>
      </c>
      <c r="K10" s="250" t="s">
        <v>9834</v>
      </c>
      <c r="L10" s="239" t="s">
        <v>9835</v>
      </c>
      <c r="M10" s="6" t="s">
        <v>6016</v>
      </c>
      <c r="N10" s="30" t="s">
        <v>751</v>
      </c>
      <c r="O10" s="30" t="s">
        <v>751</v>
      </c>
      <c r="P10" s="30" t="s">
        <v>751</v>
      </c>
      <c r="Q10" s="6" t="s">
        <v>751</v>
      </c>
    </row>
    <row r="11" customFormat="false" ht="30" hidden="false" customHeight="true" outlineLevel="0" collapsed="false">
      <c r="A11" s="241" t="s">
        <v>9836</v>
      </c>
      <c r="B11" s="241" t="s">
        <v>1394</v>
      </c>
      <c r="C11" s="252" t="s">
        <v>9837</v>
      </c>
      <c r="D11" s="241" t="s">
        <v>9838</v>
      </c>
      <c r="E11" s="241" t="s">
        <v>227</v>
      </c>
      <c r="F11" s="250" t="s">
        <v>9839</v>
      </c>
      <c r="G11" s="241" t="s">
        <v>9840</v>
      </c>
      <c r="H11" s="241" t="s">
        <v>9841</v>
      </c>
      <c r="I11" s="251" t="s">
        <v>9799</v>
      </c>
      <c r="J11" s="241" t="s">
        <v>9842</v>
      </c>
      <c r="K11" s="250" t="s">
        <v>9843</v>
      </c>
      <c r="L11" s="239" t="s">
        <v>9802</v>
      </c>
      <c r="M11" s="6" t="s">
        <v>9844</v>
      </c>
      <c r="N11" s="30" t="s">
        <v>751</v>
      </c>
      <c r="O11" s="30" t="s">
        <v>751</v>
      </c>
      <c r="P11" s="30" t="s">
        <v>751</v>
      </c>
      <c r="Q11" s="6" t="s">
        <v>751</v>
      </c>
    </row>
    <row r="12" customFormat="false" ht="30" hidden="false" customHeight="true" outlineLevel="0" collapsed="false">
      <c r="A12" s="241" t="s">
        <v>9845</v>
      </c>
      <c r="B12" s="241" t="s">
        <v>1394</v>
      </c>
      <c r="C12" s="252" t="s">
        <v>9846</v>
      </c>
      <c r="D12" s="241" t="s">
        <v>9711</v>
      </c>
      <c r="E12" s="241" t="s">
        <v>150</v>
      </c>
      <c r="F12" s="250" t="s">
        <v>9847</v>
      </c>
      <c r="G12" s="241" t="s">
        <v>9848</v>
      </c>
      <c r="H12" s="241" t="s">
        <v>233</v>
      </c>
      <c r="I12" s="251" t="s">
        <v>9849</v>
      </c>
      <c r="J12" s="241" t="s">
        <v>9800</v>
      </c>
      <c r="K12" s="252" t="s">
        <v>9850</v>
      </c>
      <c r="L12" s="239" t="s">
        <v>9802</v>
      </c>
      <c r="M12" s="6" t="s">
        <v>751</v>
      </c>
      <c r="N12" s="30" t="s">
        <v>751</v>
      </c>
      <c r="O12" s="30" t="s">
        <v>751</v>
      </c>
      <c r="P12" s="30" t="s">
        <v>751</v>
      </c>
      <c r="Q12" s="20" t="s">
        <v>9851</v>
      </c>
    </row>
    <row r="13" customFormat="false" ht="30" hidden="false" customHeight="true" outlineLevel="0" collapsed="false">
      <c r="A13" s="241" t="s">
        <v>9852</v>
      </c>
      <c r="B13" s="241" t="s">
        <v>1394</v>
      </c>
      <c r="C13" s="250" t="s">
        <v>9853</v>
      </c>
      <c r="D13" s="241" t="s">
        <v>8499</v>
      </c>
      <c r="E13" s="241" t="s">
        <v>119</v>
      </c>
      <c r="F13" s="250" t="s">
        <v>9854</v>
      </c>
      <c r="G13" s="241" t="s">
        <v>751</v>
      </c>
      <c r="H13" s="251" t="s">
        <v>9855</v>
      </c>
      <c r="I13" s="251" t="s">
        <v>9826</v>
      </c>
      <c r="J13" s="241" t="s">
        <v>9842</v>
      </c>
      <c r="K13" s="252" t="s">
        <v>9856</v>
      </c>
      <c r="L13" s="239" t="s">
        <v>9802</v>
      </c>
      <c r="M13" s="6" t="s">
        <v>9857</v>
      </c>
      <c r="N13" s="30" t="s">
        <v>751</v>
      </c>
      <c r="O13" s="30" t="s">
        <v>751</v>
      </c>
      <c r="P13" s="30" t="s">
        <v>751</v>
      </c>
      <c r="Q13" s="6" t="s">
        <v>751</v>
      </c>
    </row>
    <row r="14" customFormat="false" ht="30" hidden="false" customHeight="true" outlineLevel="0" collapsed="false">
      <c r="A14" s="241" t="s">
        <v>9858</v>
      </c>
      <c r="B14" s="241" t="s">
        <v>1394</v>
      </c>
      <c r="C14" s="250" t="s">
        <v>9859</v>
      </c>
      <c r="D14" s="241" t="s">
        <v>9094</v>
      </c>
      <c r="E14" s="241" t="s">
        <v>227</v>
      </c>
      <c r="F14" s="250" t="s">
        <v>9860</v>
      </c>
      <c r="G14" s="251" t="s">
        <v>9807</v>
      </c>
      <c r="H14" s="241" t="s">
        <v>9861</v>
      </c>
      <c r="I14" s="251" t="s">
        <v>9799</v>
      </c>
      <c r="J14" s="241" t="s">
        <v>9862</v>
      </c>
      <c r="K14" s="252" t="s">
        <v>9863</v>
      </c>
      <c r="L14" s="239" t="s">
        <v>9802</v>
      </c>
      <c r="M14" s="6" t="s">
        <v>9864</v>
      </c>
      <c r="N14" s="30" t="s">
        <v>751</v>
      </c>
      <c r="O14" s="30" t="s">
        <v>751</v>
      </c>
      <c r="P14" s="30" t="s">
        <v>751</v>
      </c>
      <c r="Q14" s="6" t="s">
        <v>751</v>
      </c>
    </row>
    <row r="15" customFormat="false" ht="30" hidden="false" customHeight="true" outlineLevel="0" collapsed="false">
      <c r="A15" s="241" t="s">
        <v>9865</v>
      </c>
      <c r="B15" s="241" t="s">
        <v>1394</v>
      </c>
      <c r="C15" s="250" t="s">
        <v>9866</v>
      </c>
      <c r="D15" s="241" t="s">
        <v>4221</v>
      </c>
      <c r="E15" s="241" t="s">
        <v>150</v>
      </c>
      <c r="F15" s="250" t="s">
        <v>9867</v>
      </c>
      <c r="G15" s="251" t="s">
        <v>9868</v>
      </c>
      <c r="H15" s="251" t="s">
        <v>9869</v>
      </c>
      <c r="I15" s="251" t="s">
        <v>9799</v>
      </c>
      <c r="J15" s="241" t="s">
        <v>9862</v>
      </c>
      <c r="K15" s="252" t="s">
        <v>9870</v>
      </c>
      <c r="L15" s="239" t="s">
        <v>9802</v>
      </c>
      <c r="M15" s="6" t="s">
        <v>9871</v>
      </c>
      <c r="N15" s="30" t="s">
        <v>751</v>
      </c>
      <c r="O15" s="30" t="s">
        <v>751</v>
      </c>
      <c r="P15" s="30" t="s">
        <v>751</v>
      </c>
      <c r="Q15" s="6" t="s">
        <v>751</v>
      </c>
    </row>
    <row r="16" customFormat="false" ht="30" hidden="false" customHeight="true" outlineLevel="0" collapsed="false">
      <c r="A16" s="241" t="s">
        <v>9872</v>
      </c>
      <c r="B16" s="241" t="s">
        <v>1394</v>
      </c>
      <c r="C16" s="252" t="s">
        <v>9873</v>
      </c>
      <c r="D16" s="241" t="s">
        <v>9874</v>
      </c>
      <c r="E16" s="241" t="s">
        <v>227</v>
      </c>
      <c r="F16" s="250" t="s">
        <v>9875</v>
      </c>
      <c r="G16" s="241" t="s">
        <v>751</v>
      </c>
      <c r="H16" s="251" t="s">
        <v>9876</v>
      </c>
      <c r="I16" s="251" t="s">
        <v>9826</v>
      </c>
      <c r="J16" s="241" t="s">
        <v>9862</v>
      </c>
      <c r="K16" s="252" t="s">
        <v>9877</v>
      </c>
      <c r="L16" s="239" t="s">
        <v>9802</v>
      </c>
      <c r="M16" s="6" t="s">
        <v>9878</v>
      </c>
      <c r="N16" s="30" t="s">
        <v>751</v>
      </c>
      <c r="O16" s="30" t="s">
        <v>751</v>
      </c>
      <c r="P16" s="30" t="s">
        <v>751</v>
      </c>
      <c r="Q16" s="6" t="s">
        <v>751</v>
      </c>
    </row>
    <row r="17" customFormat="false" ht="30" hidden="false" customHeight="true" outlineLevel="0" collapsed="false">
      <c r="A17" s="241" t="s">
        <v>9879</v>
      </c>
      <c r="B17" s="241" t="s">
        <v>1394</v>
      </c>
      <c r="C17" s="250" t="s">
        <v>9880</v>
      </c>
      <c r="D17" s="241" t="s">
        <v>8921</v>
      </c>
      <c r="E17" s="241" t="s">
        <v>361</v>
      </c>
      <c r="F17" s="250" t="s">
        <v>9881</v>
      </c>
      <c r="G17" s="241" t="s">
        <v>751</v>
      </c>
      <c r="H17" s="241" t="s">
        <v>9882</v>
      </c>
      <c r="I17" s="251" t="s">
        <v>9826</v>
      </c>
      <c r="J17" s="241" t="s">
        <v>9862</v>
      </c>
      <c r="K17" s="252" t="s">
        <v>9883</v>
      </c>
      <c r="L17" s="239" t="s">
        <v>9802</v>
      </c>
      <c r="M17" s="6" t="s">
        <v>9884</v>
      </c>
      <c r="N17" s="30" t="s">
        <v>751</v>
      </c>
      <c r="O17" s="30" t="s">
        <v>751</v>
      </c>
      <c r="P17" s="30" t="s">
        <v>751</v>
      </c>
      <c r="Q17" s="6" t="s">
        <v>751</v>
      </c>
    </row>
    <row r="18" customFormat="false" ht="30" hidden="false" customHeight="true" outlineLevel="0" collapsed="false">
      <c r="A18" s="241" t="s">
        <v>9885</v>
      </c>
      <c r="B18" s="241" t="s">
        <v>1394</v>
      </c>
      <c r="C18" s="250" t="s">
        <v>9886</v>
      </c>
      <c r="D18" s="241" t="s">
        <v>8797</v>
      </c>
      <c r="E18" s="241" t="s">
        <v>227</v>
      </c>
      <c r="F18" s="250" t="s">
        <v>9887</v>
      </c>
      <c r="G18" s="241" t="s">
        <v>751</v>
      </c>
      <c r="H18" s="251" t="s">
        <v>9888</v>
      </c>
      <c r="I18" s="251" t="s">
        <v>1388</v>
      </c>
      <c r="J18" s="241" t="s">
        <v>751</v>
      </c>
      <c r="K18" s="252" t="s">
        <v>9889</v>
      </c>
      <c r="L18" s="239" t="s">
        <v>9835</v>
      </c>
      <c r="M18" s="6" t="s">
        <v>9890</v>
      </c>
      <c r="N18" s="30" t="s">
        <v>751</v>
      </c>
      <c r="O18" s="30" t="s">
        <v>751</v>
      </c>
      <c r="P18" s="30" t="s">
        <v>751</v>
      </c>
      <c r="Q18" s="6" t="s">
        <v>751</v>
      </c>
    </row>
    <row r="19" customFormat="false" ht="30" hidden="false" customHeight="true" outlineLevel="0" collapsed="false">
      <c r="A19" s="241" t="s">
        <v>9891</v>
      </c>
      <c r="B19" s="241" t="s">
        <v>1394</v>
      </c>
      <c r="C19" s="250" t="s">
        <v>9892</v>
      </c>
      <c r="D19" s="241" t="s">
        <v>8884</v>
      </c>
      <c r="E19" s="241" t="s">
        <v>227</v>
      </c>
      <c r="F19" s="250" t="s">
        <v>9893</v>
      </c>
      <c r="G19" s="241" t="s">
        <v>751</v>
      </c>
      <c r="H19" s="251" t="s">
        <v>1410</v>
      </c>
      <c r="I19" s="251" t="s">
        <v>1388</v>
      </c>
      <c r="J19" s="241" t="s">
        <v>751</v>
      </c>
      <c r="K19" s="250"/>
      <c r="L19" s="239" t="s">
        <v>9835</v>
      </c>
      <c r="M19" s="6" t="s">
        <v>9894</v>
      </c>
      <c r="N19" s="30" t="s">
        <v>751</v>
      </c>
      <c r="O19" s="30" t="s">
        <v>751</v>
      </c>
      <c r="P19" s="30" t="s">
        <v>751</v>
      </c>
      <c r="Q19" s="6" t="s">
        <v>751</v>
      </c>
    </row>
    <row r="20" customFormat="false" ht="30" hidden="false" customHeight="true" outlineLevel="0" collapsed="false">
      <c r="A20" s="241" t="s">
        <v>9895</v>
      </c>
      <c r="B20" s="241" t="s">
        <v>1394</v>
      </c>
      <c r="C20" s="250" t="s">
        <v>9896</v>
      </c>
      <c r="D20" s="241" t="s">
        <v>2221</v>
      </c>
      <c r="E20" s="241" t="s">
        <v>9897</v>
      </c>
      <c r="F20" s="250" t="s">
        <v>9898</v>
      </c>
      <c r="G20" s="251" t="s">
        <v>9807</v>
      </c>
      <c r="H20" s="241" t="s">
        <v>9899</v>
      </c>
      <c r="I20" s="251" t="s">
        <v>9826</v>
      </c>
      <c r="J20" s="241" t="s">
        <v>9900</v>
      </c>
      <c r="K20" s="252" t="s">
        <v>9901</v>
      </c>
      <c r="L20" s="239" t="s">
        <v>9802</v>
      </c>
      <c r="M20" s="6" t="s">
        <v>9902</v>
      </c>
      <c r="N20" s="30" t="s">
        <v>751</v>
      </c>
      <c r="O20" s="30" t="s">
        <v>751</v>
      </c>
      <c r="P20" s="30" t="s">
        <v>751</v>
      </c>
      <c r="Q20" s="6" t="s">
        <v>751</v>
      </c>
    </row>
    <row r="21" customFormat="false" ht="30" hidden="false" customHeight="true" outlineLevel="0" collapsed="false">
      <c r="A21" s="241" t="s">
        <v>9903</v>
      </c>
      <c r="B21" s="241" t="s">
        <v>1394</v>
      </c>
      <c r="C21" s="250" t="s">
        <v>9904</v>
      </c>
      <c r="D21" s="241" t="s">
        <v>9008</v>
      </c>
      <c r="E21" s="241" t="s">
        <v>227</v>
      </c>
      <c r="F21" s="250" t="s">
        <v>9905</v>
      </c>
      <c r="G21" s="241" t="s">
        <v>751</v>
      </c>
      <c r="H21" s="241" t="s">
        <v>9906</v>
      </c>
      <c r="I21" s="251" t="s">
        <v>9826</v>
      </c>
      <c r="J21" s="241" t="s">
        <v>9900</v>
      </c>
      <c r="K21" s="250" t="s">
        <v>9907</v>
      </c>
      <c r="L21" s="239" t="s">
        <v>9802</v>
      </c>
      <c r="M21" s="6" t="s">
        <v>9908</v>
      </c>
      <c r="N21" s="30" t="s">
        <v>751</v>
      </c>
      <c r="O21" s="30" t="s">
        <v>751</v>
      </c>
      <c r="P21" s="30" t="s">
        <v>751</v>
      </c>
      <c r="Q21" s="6" t="s">
        <v>751</v>
      </c>
    </row>
    <row r="22" customFormat="false" ht="30" hidden="false" customHeight="true" outlineLevel="0" collapsed="false">
      <c r="A22" s="241" t="s">
        <v>9909</v>
      </c>
      <c r="B22" s="241" t="s">
        <v>1394</v>
      </c>
      <c r="C22" s="250" t="s">
        <v>9910</v>
      </c>
      <c r="D22" s="241" t="s">
        <v>2241</v>
      </c>
      <c r="E22" s="241" t="s">
        <v>361</v>
      </c>
      <c r="F22" s="250" t="s">
        <v>9911</v>
      </c>
      <c r="G22" s="241" t="s">
        <v>751</v>
      </c>
      <c r="H22" s="241" t="s">
        <v>9912</v>
      </c>
      <c r="I22" s="251" t="s">
        <v>9826</v>
      </c>
      <c r="J22" s="241" t="s">
        <v>9900</v>
      </c>
      <c r="K22" s="250" t="s">
        <v>9913</v>
      </c>
      <c r="L22" s="239" t="s">
        <v>9802</v>
      </c>
      <c r="M22" s="6" t="s">
        <v>9914</v>
      </c>
      <c r="N22" s="30" t="s">
        <v>751</v>
      </c>
      <c r="O22" s="30" t="s">
        <v>751</v>
      </c>
      <c r="P22" s="30" t="s">
        <v>751</v>
      </c>
      <c r="Q22" s="6" t="s">
        <v>751</v>
      </c>
    </row>
    <row r="23" customFormat="false" ht="30" hidden="false" customHeight="true" outlineLevel="0" collapsed="false">
      <c r="A23" s="241" t="s">
        <v>9915</v>
      </c>
      <c r="B23" s="241" t="s">
        <v>1394</v>
      </c>
      <c r="C23" s="250" t="s">
        <v>9916</v>
      </c>
      <c r="D23" s="241" t="s">
        <v>2241</v>
      </c>
      <c r="E23" s="241" t="s">
        <v>361</v>
      </c>
      <c r="F23" s="250" t="s">
        <v>9917</v>
      </c>
      <c r="G23" s="241" t="s">
        <v>751</v>
      </c>
      <c r="H23" s="241" t="s">
        <v>9918</v>
      </c>
      <c r="I23" s="251" t="s">
        <v>9799</v>
      </c>
      <c r="J23" s="241" t="s">
        <v>9900</v>
      </c>
      <c r="K23" s="250"/>
      <c r="L23" s="239" t="s">
        <v>9802</v>
      </c>
      <c r="M23" s="6" t="s">
        <v>9914</v>
      </c>
      <c r="N23" s="30" t="s">
        <v>751</v>
      </c>
      <c r="O23" s="30" t="s">
        <v>751</v>
      </c>
      <c r="P23" s="30" t="s">
        <v>751</v>
      </c>
      <c r="Q23" s="6" t="s">
        <v>751</v>
      </c>
    </row>
    <row r="24" customFormat="false" ht="30" hidden="false" customHeight="true" outlineLevel="0" collapsed="false">
      <c r="A24" s="241" t="s">
        <v>9919</v>
      </c>
      <c r="B24" s="241" t="s">
        <v>1394</v>
      </c>
      <c r="C24" s="250" t="s">
        <v>9920</v>
      </c>
      <c r="D24" s="241" t="s">
        <v>9066</v>
      </c>
      <c r="E24" s="241" t="s">
        <v>227</v>
      </c>
      <c r="F24" s="250" t="s">
        <v>9921</v>
      </c>
      <c r="G24" s="241" t="s">
        <v>9922</v>
      </c>
      <c r="H24" s="241" t="s">
        <v>9923</v>
      </c>
      <c r="I24" s="251" t="s">
        <v>1388</v>
      </c>
      <c r="J24" s="241" t="s">
        <v>751</v>
      </c>
      <c r="K24" s="252" t="s">
        <v>9924</v>
      </c>
      <c r="L24" s="239" t="s">
        <v>9835</v>
      </c>
      <c r="M24" s="6" t="s">
        <v>9060</v>
      </c>
      <c r="N24" s="30" t="s">
        <v>751</v>
      </c>
      <c r="O24" s="30" t="s">
        <v>751</v>
      </c>
      <c r="P24" s="30" t="s">
        <v>751</v>
      </c>
      <c r="Q24" s="6" t="s">
        <v>751</v>
      </c>
    </row>
    <row r="25" customFormat="false" ht="29.25" hidden="false" customHeight="true" outlineLevel="0" collapsed="false">
      <c r="A25" s="241" t="s">
        <v>9925</v>
      </c>
      <c r="B25" s="241" t="s">
        <v>6691</v>
      </c>
      <c r="C25" s="250" t="s">
        <v>9926</v>
      </c>
      <c r="D25" s="241" t="s">
        <v>6864</v>
      </c>
      <c r="E25" s="251" t="s">
        <v>9927</v>
      </c>
      <c r="F25" s="251" t="s">
        <v>9928</v>
      </c>
      <c r="G25" s="241" t="s">
        <v>751</v>
      </c>
      <c r="H25" s="241" t="s">
        <v>751</v>
      </c>
      <c r="I25" s="251" t="s">
        <v>9929</v>
      </c>
      <c r="J25" s="241" t="s">
        <v>9930</v>
      </c>
      <c r="K25" s="250" t="s">
        <v>9931</v>
      </c>
      <c r="L25" s="239" t="s">
        <v>9802</v>
      </c>
      <c r="M25" s="6" t="s">
        <v>4719</v>
      </c>
      <c r="N25" s="30" t="s">
        <v>751</v>
      </c>
      <c r="O25" s="30" t="s">
        <v>751</v>
      </c>
      <c r="P25" s="30" t="s">
        <v>9932</v>
      </c>
      <c r="Q25" s="239" t="s">
        <v>7551</v>
      </c>
    </row>
    <row r="26" customFormat="false" ht="29.25" hidden="false" customHeight="true" outlineLevel="0" collapsed="false">
      <c r="A26" s="241" t="s">
        <v>7565</v>
      </c>
      <c r="B26" s="241" t="s">
        <v>6691</v>
      </c>
      <c r="C26" s="250" t="s">
        <v>9933</v>
      </c>
      <c r="D26" s="241" t="s">
        <v>6873</v>
      </c>
      <c r="E26" s="251" t="s">
        <v>9927</v>
      </c>
      <c r="F26" s="251" t="s">
        <v>9928</v>
      </c>
      <c r="G26" s="241" t="s">
        <v>751</v>
      </c>
      <c r="H26" s="241" t="s">
        <v>751</v>
      </c>
      <c r="I26" s="251" t="s">
        <v>9929</v>
      </c>
      <c r="J26" s="241" t="s">
        <v>9930</v>
      </c>
      <c r="K26" s="250" t="s">
        <v>9931</v>
      </c>
      <c r="L26" s="239" t="s">
        <v>9802</v>
      </c>
      <c r="M26" s="6" t="s">
        <v>9934</v>
      </c>
      <c r="N26" s="30" t="s">
        <v>751</v>
      </c>
      <c r="O26" s="30" t="s">
        <v>751</v>
      </c>
      <c r="P26" s="30" t="s">
        <v>9932</v>
      </c>
      <c r="Q26" s="239" t="s">
        <v>7551</v>
      </c>
    </row>
    <row r="27" customFormat="false" ht="29.25" hidden="false" customHeight="true" outlineLevel="0" collapsed="false">
      <c r="A27" s="241" t="s">
        <v>9935</v>
      </c>
      <c r="B27" s="241" t="s">
        <v>6691</v>
      </c>
      <c r="C27" s="250" t="s">
        <v>9936</v>
      </c>
      <c r="D27" s="241" t="s">
        <v>7579</v>
      </c>
      <c r="E27" s="251" t="s">
        <v>9927</v>
      </c>
      <c r="F27" s="251" t="s">
        <v>9928</v>
      </c>
      <c r="G27" s="241" t="s">
        <v>751</v>
      </c>
      <c r="H27" s="241" t="s">
        <v>751</v>
      </c>
      <c r="I27" s="251" t="s">
        <v>9929</v>
      </c>
      <c r="J27" s="241" t="s">
        <v>9930</v>
      </c>
      <c r="K27" s="250" t="s">
        <v>9931</v>
      </c>
      <c r="L27" s="239" t="s">
        <v>9802</v>
      </c>
      <c r="M27" s="6" t="s">
        <v>9937</v>
      </c>
      <c r="N27" s="30" t="s">
        <v>751</v>
      </c>
      <c r="O27" s="30" t="s">
        <v>751</v>
      </c>
      <c r="P27" s="30" t="s">
        <v>9932</v>
      </c>
      <c r="Q27" s="239" t="s">
        <v>7551</v>
      </c>
    </row>
    <row r="28" customFormat="false" ht="29.25" hidden="false" customHeight="true" outlineLevel="0" collapsed="false">
      <c r="A28" s="241" t="s">
        <v>7606</v>
      </c>
      <c r="B28" s="241" t="s">
        <v>6691</v>
      </c>
      <c r="C28" s="250" t="s">
        <v>9938</v>
      </c>
      <c r="D28" s="241" t="s">
        <v>7595</v>
      </c>
      <c r="E28" s="251" t="s">
        <v>9927</v>
      </c>
      <c r="F28" s="251" t="s">
        <v>9928</v>
      </c>
      <c r="G28" s="241" t="s">
        <v>751</v>
      </c>
      <c r="H28" s="241" t="s">
        <v>751</v>
      </c>
      <c r="I28" s="251" t="s">
        <v>9929</v>
      </c>
      <c r="J28" s="241" t="s">
        <v>9930</v>
      </c>
      <c r="K28" s="250" t="s">
        <v>9931</v>
      </c>
      <c r="L28" s="239" t="s">
        <v>9802</v>
      </c>
      <c r="M28" s="6" t="s">
        <v>9939</v>
      </c>
      <c r="N28" s="30" t="s">
        <v>751</v>
      </c>
      <c r="O28" s="30" t="s">
        <v>751</v>
      </c>
      <c r="P28" s="30" t="s">
        <v>9932</v>
      </c>
      <c r="Q28" s="239" t="s">
        <v>7551</v>
      </c>
    </row>
    <row r="29" customFormat="false" ht="29.25" hidden="false" customHeight="true" outlineLevel="0" collapsed="false">
      <c r="A29" s="241" t="s">
        <v>7613</v>
      </c>
      <c r="B29" s="241" t="s">
        <v>6691</v>
      </c>
      <c r="C29" s="250" t="s">
        <v>9940</v>
      </c>
      <c r="D29" s="241" t="s">
        <v>7614</v>
      </c>
      <c r="E29" s="251" t="s">
        <v>9927</v>
      </c>
      <c r="F29" s="251" t="s">
        <v>9928</v>
      </c>
      <c r="G29" s="241" t="s">
        <v>751</v>
      </c>
      <c r="H29" s="241" t="s">
        <v>751</v>
      </c>
      <c r="I29" s="251" t="s">
        <v>9929</v>
      </c>
      <c r="J29" s="241" t="s">
        <v>9930</v>
      </c>
      <c r="K29" s="250" t="s">
        <v>9931</v>
      </c>
      <c r="L29" s="239" t="s">
        <v>9802</v>
      </c>
      <c r="M29" s="6" t="s">
        <v>7608</v>
      </c>
      <c r="N29" s="30" t="s">
        <v>751</v>
      </c>
      <c r="O29" s="30" t="s">
        <v>751</v>
      </c>
      <c r="P29" s="30" t="s">
        <v>9932</v>
      </c>
      <c r="Q29" s="239" t="s">
        <v>7551</v>
      </c>
    </row>
    <row r="30" customFormat="false" ht="29.25" hidden="false" customHeight="true" outlineLevel="0" collapsed="false">
      <c r="A30" s="241" t="s">
        <v>9941</v>
      </c>
      <c r="B30" s="241" t="s">
        <v>6691</v>
      </c>
      <c r="C30" s="250" t="s">
        <v>9942</v>
      </c>
      <c r="D30" s="241" t="s">
        <v>7621</v>
      </c>
      <c r="E30" s="251" t="s">
        <v>9927</v>
      </c>
      <c r="F30" s="251" t="s">
        <v>9928</v>
      </c>
      <c r="G30" s="241" t="s">
        <v>751</v>
      </c>
      <c r="H30" s="241" t="s">
        <v>751</v>
      </c>
      <c r="I30" s="251" t="s">
        <v>9929</v>
      </c>
      <c r="J30" s="241" t="s">
        <v>9930</v>
      </c>
      <c r="K30" s="250" t="s">
        <v>9931</v>
      </c>
      <c r="L30" s="239" t="s">
        <v>9802</v>
      </c>
      <c r="M30" s="6" t="s">
        <v>4794</v>
      </c>
      <c r="N30" s="30" t="s">
        <v>751</v>
      </c>
      <c r="O30" s="30" t="s">
        <v>751</v>
      </c>
      <c r="P30" s="30" t="s">
        <v>9932</v>
      </c>
      <c r="Q30" s="239" t="s">
        <v>7551</v>
      </c>
    </row>
    <row r="31" customFormat="false" ht="29.25" hidden="false" customHeight="true" outlineLevel="0" collapsed="false">
      <c r="A31" s="241" t="s">
        <v>7635</v>
      </c>
      <c r="B31" s="241" t="s">
        <v>6691</v>
      </c>
      <c r="C31" s="250" t="s">
        <v>9943</v>
      </c>
      <c r="D31" s="241" t="s">
        <v>7629</v>
      </c>
      <c r="E31" s="251" t="s">
        <v>9927</v>
      </c>
      <c r="F31" s="251" t="s">
        <v>9928</v>
      </c>
      <c r="G31" s="241" t="s">
        <v>751</v>
      </c>
      <c r="H31" s="241" t="s">
        <v>751</v>
      </c>
      <c r="I31" s="251" t="s">
        <v>9929</v>
      </c>
      <c r="J31" s="241" t="s">
        <v>9930</v>
      </c>
      <c r="K31" s="250" t="s">
        <v>9931</v>
      </c>
      <c r="L31" s="239" t="s">
        <v>9802</v>
      </c>
      <c r="M31" s="6" t="s">
        <v>9944</v>
      </c>
      <c r="N31" s="30" t="s">
        <v>751</v>
      </c>
      <c r="O31" s="30" t="s">
        <v>751</v>
      </c>
      <c r="P31" s="30" t="s">
        <v>9932</v>
      </c>
      <c r="Q31" s="239" t="s">
        <v>7551</v>
      </c>
    </row>
    <row r="32" customFormat="false" ht="29.25" hidden="false" customHeight="true" outlineLevel="0" collapsed="false">
      <c r="A32" s="241" t="s">
        <v>9945</v>
      </c>
      <c r="B32" s="241" t="s">
        <v>6691</v>
      </c>
      <c r="C32" s="250" t="s">
        <v>9946</v>
      </c>
      <c r="D32" s="241" t="s">
        <v>7651</v>
      </c>
      <c r="E32" s="251" t="s">
        <v>9927</v>
      </c>
      <c r="F32" s="251" t="s">
        <v>9928</v>
      </c>
      <c r="G32" s="241" t="s">
        <v>751</v>
      </c>
      <c r="H32" s="241" t="s">
        <v>751</v>
      </c>
      <c r="I32" s="251" t="s">
        <v>9929</v>
      </c>
      <c r="J32" s="241" t="s">
        <v>9930</v>
      </c>
      <c r="K32" s="250" t="s">
        <v>9931</v>
      </c>
      <c r="L32" s="239" t="s">
        <v>9802</v>
      </c>
      <c r="M32" s="6" t="s">
        <v>4730</v>
      </c>
      <c r="N32" s="30" t="s">
        <v>751</v>
      </c>
      <c r="O32" s="30" t="s">
        <v>751</v>
      </c>
      <c r="P32" s="30" t="s">
        <v>9932</v>
      </c>
      <c r="Q32" s="239" t="s">
        <v>7551</v>
      </c>
    </row>
    <row r="33" customFormat="false" ht="29.25" hidden="false" customHeight="true" outlineLevel="0" collapsed="false">
      <c r="A33" s="241" t="s">
        <v>7668</v>
      </c>
      <c r="B33" s="241" t="s">
        <v>6691</v>
      </c>
      <c r="C33" s="250" t="s">
        <v>9947</v>
      </c>
      <c r="D33" s="241" t="s">
        <v>7661</v>
      </c>
      <c r="E33" s="251" t="s">
        <v>9927</v>
      </c>
      <c r="F33" s="251" t="s">
        <v>9928</v>
      </c>
      <c r="G33" s="241" t="s">
        <v>751</v>
      </c>
      <c r="H33" s="241" t="s">
        <v>751</v>
      </c>
      <c r="I33" s="251" t="s">
        <v>9929</v>
      </c>
      <c r="J33" s="241" t="s">
        <v>9930</v>
      </c>
      <c r="K33" s="250" t="s">
        <v>9931</v>
      </c>
      <c r="L33" s="239" t="s">
        <v>9802</v>
      </c>
      <c r="M33" s="6" t="s">
        <v>9948</v>
      </c>
      <c r="N33" s="30" t="s">
        <v>751</v>
      </c>
      <c r="O33" s="30" t="s">
        <v>751</v>
      </c>
      <c r="P33" s="30" t="s">
        <v>9932</v>
      </c>
      <c r="Q33" s="239" t="s">
        <v>7658</v>
      </c>
    </row>
    <row r="34" customFormat="false" ht="29.25" hidden="false" customHeight="true" outlineLevel="0" collapsed="false">
      <c r="A34" s="241" t="s">
        <v>7681</v>
      </c>
      <c r="B34" s="241" t="s">
        <v>6691</v>
      </c>
      <c r="C34" s="250" t="s">
        <v>9949</v>
      </c>
      <c r="D34" s="241" t="s">
        <v>7682</v>
      </c>
      <c r="E34" s="251" t="s">
        <v>9927</v>
      </c>
      <c r="F34" s="251" t="s">
        <v>9928</v>
      </c>
      <c r="G34" s="241" t="s">
        <v>751</v>
      </c>
      <c r="H34" s="241" t="s">
        <v>751</v>
      </c>
      <c r="I34" s="251" t="s">
        <v>9929</v>
      </c>
      <c r="J34" s="241" t="s">
        <v>9930</v>
      </c>
      <c r="K34" s="250" t="s">
        <v>9931</v>
      </c>
      <c r="L34" s="239" t="s">
        <v>9802</v>
      </c>
      <c r="M34" s="6" t="s">
        <v>7677</v>
      </c>
      <c r="N34" s="30" t="s">
        <v>751</v>
      </c>
      <c r="O34" s="30" t="s">
        <v>751</v>
      </c>
      <c r="P34" s="30" t="s">
        <v>9932</v>
      </c>
      <c r="Q34" s="239" t="s">
        <v>7551</v>
      </c>
    </row>
    <row r="35" customFormat="false" ht="97.5" hidden="false" customHeight="true" outlineLevel="0" collapsed="false">
      <c r="A35" s="241" t="s">
        <v>7690</v>
      </c>
      <c r="B35" s="241" t="s">
        <v>6691</v>
      </c>
      <c r="C35" s="250" t="s">
        <v>9950</v>
      </c>
      <c r="D35" s="241" t="s">
        <v>7691</v>
      </c>
      <c r="E35" s="251" t="s">
        <v>9927</v>
      </c>
      <c r="F35" s="251" t="s">
        <v>9928</v>
      </c>
      <c r="G35" s="241" t="s">
        <v>751</v>
      </c>
      <c r="H35" s="241" t="s">
        <v>751</v>
      </c>
      <c r="I35" s="251" t="s">
        <v>9929</v>
      </c>
      <c r="J35" s="241" t="s">
        <v>9930</v>
      </c>
      <c r="K35" s="250" t="s">
        <v>9931</v>
      </c>
      <c r="L35" s="239" t="s">
        <v>9802</v>
      </c>
      <c r="M35" s="6" t="s">
        <v>9951</v>
      </c>
      <c r="N35" s="30" t="s">
        <v>751</v>
      </c>
      <c r="O35" s="30" t="s">
        <v>751</v>
      </c>
      <c r="P35" s="30" t="s">
        <v>9932</v>
      </c>
      <c r="Q35" s="239" t="s">
        <v>7551</v>
      </c>
    </row>
    <row r="36" customFormat="false" ht="29.25" hidden="false" customHeight="true" outlineLevel="0" collapsed="false">
      <c r="A36" s="241" t="s">
        <v>7739</v>
      </c>
      <c r="B36" s="241" t="s">
        <v>6691</v>
      </c>
      <c r="C36" s="250" t="s">
        <v>9952</v>
      </c>
      <c r="D36" s="241" t="s">
        <v>7740</v>
      </c>
      <c r="E36" s="251" t="s">
        <v>9927</v>
      </c>
      <c r="F36" s="251" t="s">
        <v>9928</v>
      </c>
      <c r="G36" s="241" t="s">
        <v>751</v>
      </c>
      <c r="H36" s="241" t="s">
        <v>751</v>
      </c>
      <c r="I36" s="251" t="s">
        <v>9929</v>
      </c>
      <c r="J36" s="241" t="s">
        <v>9930</v>
      </c>
      <c r="K36" s="250" t="s">
        <v>9931</v>
      </c>
      <c r="L36" s="239" t="s">
        <v>9802</v>
      </c>
      <c r="M36" s="6" t="s">
        <v>9953</v>
      </c>
      <c r="N36" s="30" t="s">
        <v>751</v>
      </c>
      <c r="O36" s="30" t="s">
        <v>751</v>
      </c>
      <c r="P36" s="30" t="s">
        <v>9932</v>
      </c>
      <c r="Q36" s="239" t="s">
        <v>7658</v>
      </c>
    </row>
    <row r="37" customFormat="false" ht="29.25" hidden="false" customHeight="true" outlineLevel="0" collapsed="false">
      <c r="A37" s="241" t="s">
        <v>9954</v>
      </c>
      <c r="B37" s="241" t="s">
        <v>6691</v>
      </c>
      <c r="C37" s="250" t="s">
        <v>9955</v>
      </c>
      <c r="D37" s="241" t="s">
        <v>7759</v>
      </c>
      <c r="E37" s="251" t="s">
        <v>9927</v>
      </c>
      <c r="F37" s="251" t="s">
        <v>9928</v>
      </c>
      <c r="G37" s="241" t="s">
        <v>751</v>
      </c>
      <c r="H37" s="241" t="s">
        <v>751</v>
      </c>
      <c r="I37" s="251" t="s">
        <v>9929</v>
      </c>
      <c r="J37" s="241" t="s">
        <v>9930</v>
      </c>
      <c r="K37" s="250" t="s">
        <v>9931</v>
      </c>
      <c r="L37" s="239" t="s">
        <v>9802</v>
      </c>
      <c r="M37" s="6" t="s">
        <v>9814</v>
      </c>
      <c r="N37" s="30" t="s">
        <v>751</v>
      </c>
      <c r="O37" s="30" t="s">
        <v>751</v>
      </c>
      <c r="P37" s="30" t="s">
        <v>9956</v>
      </c>
      <c r="Q37" s="239" t="s">
        <v>7551</v>
      </c>
    </row>
    <row r="38" customFormat="false" ht="29.25" hidden="false" customHeight="true" outlineLevel="0" collapsed="false">
      <c r="A38" s="241" t="s">
        <v>9957</v>
      </c>
      <c r="B38" s="241" t="s">
        <v>6691</v>
      </c>
      <c r="C38" s="250" t="s">
        <v>9958</v>
      </c>
      <c r="D38" s="241" t="s">
        <v>7775</v>
      </c>
      <c r="E38" s="251" t="s">
        <v>9927</v>
      </c>
      <c r="F38" s="251" t="s">
        <v>9928</v>
      </c>
      <c r="G38" s="241" t="s">
        <v>751</v>
      </c>
      <c r="H38" s="241" t="s">
        <v>751</v>
      </c>
      <c r="I38" s="251" t="s">
        <v>9929</v>
      </c>
      <c r="J38" s="241" t="s">
        <v>9930</v>
      </c>
      <c r="K38" s="250" t="s">
        <v>9931</v>
      </c>
      <c r="L38" s="239" t="s">
        <v>9802</v>
      </c>
      <c r="M38" s="6" t="s">
        <v>4806</v>
      </c>
      <c r="N38" s="30" t="s">
        <v>751</v>
      </c>
      <c r="O38" s="30" t="s">
        <v>751</v>
      </c>
      <c r="P38" s="30" t="s">
        <v>9932</v>
      </c>
      <c r="Q38" s="239" t="s">
        <v>7551</v>
      </c>
    </row>
    <row r="39" customFormat="false" ht="72" hidden="false" customHeight="true" outlineLevel="0" collapsed="false">
      <c r="A39" s="241" t="s">
        <v>7782</v>
      </c>
      <c r="B39" s="241" t="s">
        <v>6691</v>
      </c>
      <c r="C39" s="250" t="s">
        <v>9959</v>
      </c>
      <c r="D39" s="241" t="s">
        <v>7783</v>
      </c>
      <c r="E39" s="251" t="s">
        <v>9927</v>
      </c>
      <c r="F39" s="251" t="s">
        <v>9928</v>
      </c>
      <c r="G39" s="241" t="s">
        <v>751</v>
      </c>
      <c r="H39" s="241" t="s">
        <v>751</v>
      </c>
      <c r="I39" s="251" t="s">
        <v>9929</v>
      </c>
      <c r="J39" s="241" t="s">
        <v>9930</v>
      </c>
      <c r="K39" s="250" t="s">
        <v>9931</v>
      </c>
      <c r="L39" s="239" t="s">
        <v>9802</v>
      </c>
      <c r="M39" s="6" t="s">
        <v>9960</v>
      </c>
      <c r="N39" s="30" t="s">
        <v>751</v>
      </c>
      <c r="O39" s="30" t="s">
        <v>751</v>
      </c>
      <c r="P39" s="30" t="s">
        <v>9932</v>
      </c>
      <c r="Q39" s="239" t="s">
        <v>7551</v>
      </c>
    </row>
    <row r="40" customFormat="false" ht="29.25" hidden="false" customHeight="true" outlineLevel="0" collapsed="false">
      <c r="A40" s="241" t="s">
        <v>7827</v>
      </c>
      <c r="B40" s="241" t="s">
        <v>6691</v>
      </c>
      <c r="C40" s="250" t="s">
        <v>9961</v>
      </c>
      <c r="D40" s="241" t="s">
        <v>7828</v>
      </c>
      <c r="E40" s="251" t="s">
        <v>9927</v>
      </c>
      <c r="F40" s="251" t="s">
        <v>9928</v>
      </c>
      <c r="G40" s="241" t="s">
        <v>751</v>
      </c>
      <c r="H40" s="241" t="s">
        <v>751</v>
      </c>
      <c r="I40" s="251" t="s">
        <v>9929</v>
      </c>
      <c r="J40" s="241" t="s">
        <v>9930</v>
      </c>
      <c r="K40" s="250" t="s">
        <v>9931</v>
      </c>
      <c r="L40" s="239" t="s">
        <v>9802</v>
      </c>
      <c r="M40" s="6" t="s">
        <v>9962</v>
      </c>
      <c r="N40" s="30" t="s">
        <v>751</v>
      </c>
      <c r="O40" s="30" t="s">
        <v>751</v>
      </c>
      <c r="P40" s="30" t="s">
        <v>9932</v>
      </c>
      <c r="Q40" s="239" t="s">
        <v>7658</v>
      </c>
    </row>
    <row r="41" customFormat="false" ht="29.25" hidden="false" customHeight="true" outlineLevel="0" collapsed="false">
      <c r="A41" s="241" t="s">
        <v>7919</v>
      </c>
      <c r="B41" s="241" t="s">
        <v>6691</v>
      </c>
      <c r="C41" s="250" t="s">
        <v>9963</v>
      </c>
      <c r="D41" s="241" t="s">
        <v>7920</v>
      </c>
      <c r="E41" s="251" t="s">
        <v>9927</v>
      </c>
      <c r="F41" s="251" t="s">
        <v>9928</v>
      </c>
      <c r="G41" s="241" t="s">
        <v>751</v>
      </c>
      <c r="H41" s="241" t="s">
        <v>751</v>
      </c>
      <c r="I41" s="251" t="s">
        <v>9929</v>
      </c>
      <c r="J41" s="241" t="s">
        <v>9930</v>
      </c>
      <c r="K41" s="250" t="s">
        <v>9931</v>
      </c>
      <c r="L41" s="239" t="s">
        <v>9802</v>
      </c>
      <c r="M41" s="6" t="s">
        <v>9964</v>
      </c>
      <c r="N41" s="30" t="s">
        <v>751</v>
      </c>
      <c r="O41" s="30" t="s">
        <v>751</v>
      </c>
      <c r="P41" s="30" t="s">
        <v>9932</v>
      </c>
      <c r="Q41" s="239" t="s">
        <v>7551</v>
      </c>
    </row>
    <row r="42" customFormat="false" ht="29.25" hidden="false" customHeight="true" outlineLevel="0" collapsed="false">
      <c r="A42" s="241" t="s">
        <v>5450</v>
      </c>
      <c r="B42" s="241" t="s">
        <v>6691</v>
      </c>
      <c r="C42" s="250" t="s">
        <v>9965</v>
      </c>
      <c r="D42" s="241" t="s">
        <v>7932</v>
      </c>
      <c r="E42" s="251" t="s">
        <v>9927</v>
      </c>
      <c r="F42" s="251" t="s">
        <v>9928</v>
      </c>
      <c r="G42" s="241" t="s">
        <v>751</v>
      </c>
      <c r="H42" s="241" t="s">
        <v>751</v>
      </c>
      <c r="I42" s="251" t="s">
        <v>9929</v>
      </c>
      <c r="J42" s="241" t="s">
        <v>9930</v>
      </c>
      <c r="K42" s="250" t="s">
        <v>9931</v>
      </c>
      <c r="L42" s="239" t="s">
        <v>9802</v>
      </c>
      <c r="M42" s="6" t="s">
        <v>9966</v>
      </c>
      <c r="N42" s="30" t="s">
        <v>751</v>
      </c>
      <c r="O42" s="30" t="s">
        <v>751</v>
      </c>
      <c r="P42" s="30" t="s">
        <v>9932</v>
      </c>
      <c r="Q42" s="239" t="s">
        <v>7658</v>
      </c>
    </row>
    <row r="43" customFormat="false" ht="29.25" hidden="false" customHeight="true" outlineLevel="0" collapsed="false">
      <c r="A43" s="241" t="s">
        <v>5462</v>
      </c>
      <c r="B43" s="241" t="s">
        <v>6691</v>
      </c>
      <c r="C43" s="250" t="s">
        <v>9967</v>
      </c>
      <c r="D43" s="241" t="s">
        <v>7945</v>
      </c>
      <c r="E43" s="251" t="s">
        <v>9927</v>
      </c>
      <c r="F43" s="251" t="s">
        <v>9928</v>
      </c>
      <c r="G43" s="241" t="s">
        <v>751</v>
      </c>
      <c r="H43" s="241" t="s">
        <v>751</v>
      </c>
      <c r="I43" s="251" t="s">
        <v>9929</v>
      </c>
      <c r="J43" s="241" t="s">
        <v>9930</v>
      </c>
      <c r="K43" s="250" t="s">
        <v>9931</v>
      </c>
      <c r="L43" s="239" t="s">
        <v>9802</v>
      </c>
      <c r="M43" s="6" t="s">
        <v>9968</v>
      </c>
      <c r="N43" s="30" t="s">
        <v>751</v>
      </c>
      <c r="O43" s="30" t="s">
        <v>751</v>
      </c>
      <c r="P43" s="30" t="s">
        <v>9956</v>
      </c>
      <c r="Q43" s="239" t="s">
        <v>7658</v>
      </c>
    </row>
    <row r="44" customFormat="false" ht="29.25" hidden="false" customHeight="true" outlineLevel="0" collapsed="false">
      <c r="A44" s="241" t="s">
        <v>5474</v>
      </c>
      <c r="B44" s="241" t="s">
        <v>6691</v>
      </c>
      <c r="C44" s="250" t="s">
        <v>9969</v>
      </c>
      <c r="D44" s="241" t="s">
        <v>7954</v>
      </c>
      <c r="E44" s="251" t="s">
        <v>9927</v>
      </c>
      <c r="F44" s="251" t="s">
        <v>9928</v>
      </c>
      <c r="G44" s="241" t="s">
        <v>751</v>
      </c>
      <c r="H44" s="241" t="s">
        <v>751</v>
      </c>
      <c r="I44" s="251" t="s">
        <v>9929</v>
      </c>
      <c r="J44" s="241" t="s">
        <v>9930</v>
      </c>
      <c r="K44" s="250" t="s">
        <v>9931</v>
      </c>
      <c r="L44" s="239" t="s">
        <v>9802</v>
      </c>
      <c r="M44" s="6" t="s">
        <v>9970</v>
      </c>
      <c r="N44" s="30" t="s">
        <v>751</v>
      </c>
      <c r="O44" s="30" t="s">
        <v>751</v>
      </c>
      <c r="P44" s="30" t="s">
        <v>9956</v>
      </c>
      <c r="Q44" s="239" t="s">
        <v>7551</v>
      </c>
    </row>
    <row r="45" customFormat="false" ht="29.25" hidden="false" customHeight="true" outlineLevel="0" collapsed="false">
      <c r="A45" s="241" t="s">
        <v>7968</v>
      </c>
      <c r="B45" s="241" t="s">
        <v>6691</v>
      </c>
      <c r="C45" s="250" t="s">
        <v>9971</v>
      </c>
      <c r="D45" s="241" t="s">
        <v>7969</v>
      </c>
      <c r="E45" s="251" t="s">
        <v>9927</v>
      </c>
      <c r="F45" s="251" t="s">
        <v>9928</v>
      </c>
      <c r="G45" s="241" t="s">
        <v>751</v>
      </c>
      <c r="H45" s="241" t="s">
        <v>751</v>
      </c>
      <c r="I45" s="251" t="s">
        <v>9929</v>
      </c>
      <c r="J45" s="241" t="s">
        <v>9930</v>
      </c>
      <c r="K45" s="250" t="s">
        <v>9931</v>
      </c>
      <c r="L45" s="239" t="s">
        <v>9802</v>
      </c>
      <c r="M45" s="6" t="s">
        <v>9972</v>
      </c>
      <c r="N45" s="30" t="s">
        <v>751</v>
      </c>
      <c r="O45" s="30" t="s">
        <v>751</v>
      </c>
      <c r="P45" s="30" t="s">
        <v>9932</v>
      </c>
      <c r="Q45" s="239" t="s">
        <v>7551</v>
      </c>
    </row>
    <row r="46" customFormat="false" ht="29.25" hidden="false" customHeight="true" outlineLevel="0" collapsed="false">
      <c r="A46" s="241" t="s">
        <v>7978</v>
      </c>
      <c r="B46" s="241" t="s">
        <v>6691</v>
      </c>
      <c r="C46" s="250" t="s">
        <v>9973</v>
      </c>
      <c r="D46" s="241" t="s">
        <v>7979</v>
      </c>
      <c r="E46" s="251" t="s">
        <v>9927</v>
      </c>
      <c r="F46" s="251" t="s">
        <v>9928</v>
      </c>
      <c r="G46" s="241" t="s">
        <v>751</v>
      </c>
      <c r="H46" s="241" t="s">
        <v>751</v>
      </c>
      <c r="I46" s="251" t="s">
        <v>9929</v>
      </c>
      <c r="J46" s="241" t="s">
        <v>9930</v>
      </c>
      <c r="K46" s="250" t="s">
        <v>9931</v>
      </c>
      <c r="L46" s="239" t="s">
        <v>9802</v>
      </c>
      <c r="M46" s="6" t="s">
        <v>9974</v>
      </c>
      <c r="N46" s="30" t="s">
        <v>751</v>
      </c>
      <c r="O46" s="30" t="s">
        <v>751</v>
      </c>
      <c r="P46" s="30" t="s">
        <v>9956</v>
      </c>
      <c r="Q46" s="239" t="s">
        <v>7551</v>
      </c>
    </row>
    <row r="47" customFormat="false" ht="54.75" hidden="false" customHeight="true" outlineLevel="0" collapsed="false">
      <c r="A47" s="241" t="s">
        <v>8025</v>
      </c>
      <c r="B47" s="241" t="s">
        <v>6691</v>
      </c>
      <c r="C47" s="250" t="s">
        <v>9975</v>
      </c>
      <c r="D47" s="241" t="s">
        <v>4183</v>
      </c>
      <c r="E47" s="251" t="s">
        <v>9927</v>
      </c>
      <c r="F47" s="251" t="s">
        <v>9928</v>
      </c>
      <c r="G47" s="241" t="s">
        <v>751</v>
      </c>
      <c r="H47" s="241" t="s">
        <v>751</v>
      </c>
      <c r="I47" s="251" t="s">
        <v>9929</v>
      </c>
      <c r="J47" s="241" t="s">
        <v>9930</v>
      </c>
      <c r="K47" s="250" t="s">
        <v>9931</v>
      </c>
      <c r="L47" s="239" t="s">
        <v>9802</v>
      </c>
      <c r="M47" s="6" t="s">
        <v>9976</v>
      </c>
      <c r="N47" s="30" t="s">
        <v>751</v>
      </c>
      <c r="O47" s="30" t="s">
        <v>751</v>
      </c>
      <c r="P47" s="30" t="s">
        <v>9932</v>
      </c>
      <c r="Q47" s="239" t="s">
        <v>7551</v>
      </c>
    </row>
    <row r="48" customFormat="false" ht="168" hidden="false" customHeight="true" outlineLevel="0" collapsed="false">
      <c r="A48" s="241" t="s">
        <v>8054</v>
      </c>
      <c r="B48" s="241" t="s">
        <v>6691</v>
      </c>
      <c r="C48" s="250" t="s">
        <v>9977</v>
      </c>
      <c r="D48" s="241" t="s">
        <v>8049</v>
      </c>
      <c r="E48" s="251" t="s">
        <v>9927</v>
      </c>
      <c r="F48" s="251" t="s">
        <v>9928</v>
      </c>
      <c r="G48" s="241" t="s">
        <v>751</v>
      </c>
      <c r="H48" s="241" t="s">
        <v>751</v>
      </c>
      <c r="I48" s="251" t="s">
        <v>9929</v>
      </c>
      <c r="J48" s="241" t="s">
        <v>9930</v>
      </c>
      <c r="K48" s="250" t="s">
        <v>9931</v>
      </c>
      <c r="L48" s="239" t="s">
        <v>9802</v>
      </c>
      <c r="M48" s="6" t="s">
        <v>9978</v>
      </c>
      <c r="N48" s="30" t="s">
        <v>751</v>
      </c>
      <c r="O48" s="30" t="s">
        <v>751</v>
      </c>
      <c r="P48" s="30" t="s">
        <v>9932</v>
      </c>
      <c r="Q48" s="239" t="s">
        <v>7551</v>
      </c>
    </row>
    <row r="49" customFormat="false" ht="40.5" hidden="false" customHeight="true" outlineLevel="0" collapsed="false">
      <c r="A49" s="241" t="s">
        <v>9979</v>
      </c>
      <c r="B49" s="241" t="s">
        <v>6691</v>
      </c>
      <c r="C49" s="250" t="s">
        <v>9980</v>
      </c>
      <c r="D49" s="241" t="s">
        <v>8130</v>
      </c>
      <c r="E49" s="251" t="s">
        <v>9927</v>
      </c>
      <c r="F49" s="251" t="s">
        <v>9928</v>
      </c>
      <c r="G49" s="241" t="s">
        <v>751</v>
      </c>
      <c r="H49" s="241" t="s">
        <v>751</v>
      </c>
      <c r="I49" s="251" t="s">
        <v>9929</v>
      </c>
      <c r="J49" s="241" t="s">
        <v>9930</v>
      </c>
      <c r="K49" s="250" t="s">
        <v>9931</v>
      </c>
      <c r="L49" s="239" t="s">
        <v>9802</v>
      </c>
      <c r="M49" s="6" t="s">
        <v>9809</v>
      </c>
      <c r="N49" s="30" t="s">
        <v>751</v>
      </c>
      <c r="O49" s="30" t="s">
        <v>751</v>
      </c>
      <c r="P49" s="30" t="s">
        <v>9981</v>
      </c>
      <c r="Q49" s="239" t="s">
        <v>7551</v>
      </c>
    </row>
    <row r="50" customFormat="false" ht="29.25" hidden="false" customHeight="true" outlineLevel="0" collapsed="false">
      <c r="A50" s="241" t="s">
        <v>9982</v>
      </c>
      <c r="B50" s="241" t="s">
        <v>6691</v>
      </c>
      <c r="C50" s="250" t="s">
        <v>9983</v>
      </c>
      <c r="D50" s="241" t="s">
        <v>8148</v>
      </c>
      <c r="E50" s="251" t="s">
        <v>9927</v>
      </c>
      <c r="F50" s="251" t="s">
        <v>9928</v>
      </c>
      <c r="G50" s="241" t="s">
        <v>751</v>
      </c>
      <c r="H50" s="241" t="s">
        <v>751</v>
      </c>
      <c r="I50" s="251" t="s">
        <v>9929</v>
      </c>
      <c r="J50" s="241" t="s">
        <v>9930</v>
      </c>
      <c r="K50" s="250" t="s">
        <v>9931</v>
      </c>
      <c r="L50" s="239" t="s">
        <v>9802</v>
      </c>
      <c r="M50" s="6" t="s">
        <v>6016</v>
      </c>
      <c r="N50" s="30" t="s">
        <v>751</v>
      </c>
      <c r="O50" s="30" t="s">
        <v>751</v>
      </c>
      <c r="P50" s="30" t="s">
        <v>9981</v>
      </c>
      <c r="Q50" s="239" t="s">
        <v>7658</v>
      </c>
    </row>
    <row r="51" customFormat="false" ht="29.25" hidden="false" customHeight="true" outlineLevel="0" collapsed="false">
      <c r="A51" s="241" t="s">
        <v>8158</v>
      </c>
      <c r="B51" s="241" t="s">
        <v>6691</v>
      </c>
      <c r="C51" s="250" t="s">
        <v>9984</v>
      </c>
      <c r="D51" s="241" t="s">
        <v>8159</v>
      </c>
      <c r="E51" s="251" t="s">
        <v>9927</v>
      </c>
      <c r="F51" s="251" t="s">
        <v>9928</v>
      </c>
      <c r="G51" s="241" t="s">
        <v>751</v>
      </c>
      <c r="H51" s="241" t="s">
        <v>751</v>
      </c>
      <c r="I51" s="251" t="s">
        <v>9929</v>
      </c>
      <c r="J51" s="241" t="s">
        <v>9930</v>
      </c>
      <c r="K51" s="250" t="s">
        <v>9931</v>
      </c>
      <c r="L51" s="239" t="s">
        <v>9802</v>
      </c>
      <c r="M51" s="6" t="s">
        <v>3299</v>
      </c>
      <c r="N51" s="30" t="s">
        <v>751</v>
      </c>
      <c r="O51" s="30" t="s">
        <v>751</v>
      </c>
      <c r="P51" s="30" t="s">
        <v>9956</v>
      </c>
      <c r="Q51" s="239" t="s">
        <v>7551</v>
      </c>
    </row>
    <row r="52" customFormat="false" ht="29.25" hidden="false" customHeight="true" outlineLevel="0" collapsed="false">
      <c r="A52" s="241" t="s">
        <v>8170</v>
      </c>
      <c r="B52" s="241" t="s">
        <v>6691</v>
      </c>
      <c r="C52" s="250" t="s">
        <v>9985</v>
      </c>
      <c r="D52" s="241" t="s">
        <v>8171</v>
      </c>
      <c r="E52" s="251" t="s">
        <v>9927</v>
      </c>
      <c r="F52" s="251" t="s">
        <v>9928</v>
      </c>
      <c r="G52" s="241" t="s">
        <v>751</v>
      </c>
      <c r="H52" s="241" t="s">
        <v>751</v>
      </c>
      <c r="I52" s="251" t="s">
        <v>9929</v>
      </c>
      <c r="J52" s="241" t="s">
        <v>9930</v>
      </c>
      <c r="K52" s="250" t="s">
        <v>9931</v>
      </c>
      <c r="L52" s="239" t="s">
        <v>9802</v>
      </c>
      <c r="M52" s="6" t="s">
        <v>8162</v>
      </c>
      <c r="N52" s="30" t="s">
        <v>751</v>
      </c>
      <c r="O52" s="30" t="s">
        <v>751</v>
      </c>
      <c r="P52" s="30" t="s">
        <v>9956</v>
      </c>
      <c r="Q52" s="239" t="s">
        <v>7551</v>
      </c>
    </row>
    <row r="53" customFormat="false" ht="29.25" hidden="false" customHeight="true" outlineLevel="0" collapsed="false">
      <c r="A53" s="241" t="s">
        <v>9986</v>
      </c>
      <c r="B53" s="241" t="s">
        <v>6691</v>
      </c>
      <c r="C53" s="250" t="s">
        <v>9987</v>
      </c>
      <c r="D53" s="241" t="s">
        <v>8179</v>
      </c>
      <c r="E53" s="251" t="s">
        <v>9927</v>
      </c>
      <c r="F53" s="251" t="s">
        <v>9928</v>
      </c>
      <c r="G53" s="241" t="s">
        <v>751</v>
      </c>
      <c r="H53" s="241" t="s">
        <v>751</v>
      </c>
      <c r="I53" s="251" t="s">
        <v>9929</v>
      </c>
      <c r="J53" s="241" t="s">
        <v>9930</v>
      </c>
      <c r="K53" s="250" t="s">
        <v>9931</v>
      </c>
      <c r="L53" s="239" t="s">
        <v>9802</v>
      </c>
      <c r="M53" s="6" t="s">
        <v>9828</v>
      </c>
      <c r="N53" s="30" t="s">
        <v>751</v>
      </c>
      <c r="O53" s="30" t="s">
        <v>751</v>
      </c>
      <c r="P53" s="30" t="s">
        <v>9981</v>
      </c>
      <c r="Q53" s="239" t="s">
        <v>7551</v>
      </c>
    </row>
    <row r="54" customFormat="false" ht="40.5" hidden="false" customHeight="true" outlineLevel="0" collapsed="false">
      <c r="A54" s="241" t="s">
        <v>8192</v>
      </c>
      <c r="B54" s="241" t="s">
        <v>6691</v>
      </c>
      <c r="C54" s="250" t="s">
        <v>9988</v>
      </c>
      <c r="D54" s="241" t="s">
        <v>1134</v>
      </c>
      <c r="E54" s="251" t="s">
        <v>9927</v>
      </c>
      <c r="F54" s="251" t="s">
        <v>9928</v>
      </c>
      <c r="G54" s="241" t="s">
        <v>751</v>
      </c>
      <c r="H54" s="241" t="s">
        <v>751</v>
      </c>
      <c r="I54" s="251" t="s">
        <v>9929</v>
      </c>
      <c r="J54" s="241" t="s">
        <v>9930</v>
      </c>
      <c r="K54" s="250" t="s">
        <v>9931</v>
      </c>
      <c r="L54" s="239" t="s">
        <v>9802</v>
      </c>
      <c r="M54" s="6" t="s">
        <v>9989</v>
      </c>
      <c r="N54" s="30" t="s">
        <v>751</v>
      </c>
      <c r="O54" s="30" t="s">
        <v>751</v>
      </c>
      <c r="P54" s="30" t="s">
        <v>9932</v>
      </c>
      <c r="Q54" s="239" t="s">
        <v>7551</v>
      </c>
    </row>
    <row r="55" customFormat="false" ht="29.25" hidden="false" customHeight="true" outlineLevel="0" collapsed="false">
      <c r="A55" s="241" t="s">
        <v>9990</v>
      </c>
      <c r="B55" s="241" t="s">
        <v>6691</v>
      </c>
      <c r="C55" s="250" t="s">
        <v>9991</v>
      </c>
      <c r="D55" s="241" t="s">
        <v>8208</v>
      </c>
      <c r="E55" s="251" t="s">
        <v>9927</v>
      </c>
      <c r="F55" s="251" t="s">
        <v>9928</v>
      </c>
      <c r="G55" s="241" t="s">
        <v>751</v>
      </c>
      <c r="H55" s="241" t="s">
        <v>751</v>
      </c>
      <c r="I55" s="251" t="s">
        <v>9929</v>
      </c>
      <c r="J55" s="241" t="s">
        <v>9930</v>
      </c>
      <c r="K55" s="250" t="s">
        <v>9931</v>
      </c>
      <c r="L55" s="239" t="s">
        <v>9802</v>
      </c>
      <c r="M55" s="6" t="s">
        <v>5581</v>
      </c>
      <c r="N55" s="30" t="s">
        <v>751</v>
      </c>
      <c r="O55" s="30" t="s">
        <v>751</v>
      </c>
      <c r="P55" s="30" t="s">
        <v>9981</v>
      </c>
      <c r="Q55" s="239" t="s">
        <v>7551</v>
      </c>
    </row>
    <row r="56" customFormat="false" ht="29.25" hidden="false" customHeight="true" outlineLevel="0" collapsed="false">
      <c r="A56" s="241" t="s">
        <v>9992</v>
      </c>
      <c r="B56" s="241" t="s">
        <v>6691</v>
      </c>
      <c r="C56" s="250" t="s">
        <v>9993</v>
      </c>
      <c r="D56" s="241" t="s">
        <v>8218</v>
      </c>
      <c r="E56" s="251" t="s">
        <v>9927</v>
      </c>
      <c r="F56" s="251" t="s">
        <v>9928</v>
      </c>
      <c r="G56" s="241" t="s">
        <v>751</v>
      </c>
      <c r="H56" s="241" t="s">
        <v>751</v>
      </c>
      <c r="I56" s="251" t="s">
        <v>9929</v>
      </c>
      <c r="J56" s="241" t="s">
        <v>9930</v>
      </c>
      <c r="K56" s="250" t="s">
        <v>9931</v>
      </c>
      <c r="L56" s="239" t="s">
        <v>9802</v>
      </c>
      <c r="M56" s="6" t="s">
        <v>8211</v>
      </c>
      <c r="N56" s="30" t="s">
        <v>751</v>
      </c>
      <c r="O56" s="30" t="s">
        <v>751</v>
      </c>
      <c r="P56" s="30" t="s">
        <v>9981</v>
      </c>
      <c r="Q56" s="239" t="s">
        <v>7551</v>
      </c>
    </row>
    <row r="57" customFormat="false" ht="29.25" hidden="false" customHeight="true" outlineLevel="0" collapsed="false">
      <c r="A57" s="241" t="s">
        <v>9994</v>
      </c>
      <c r="B57" s="241" t="s">
        <v>6691</v>
      </c>
      <c r="C57" s="250" t="s">
        <v>9995</v>
      </c>
      <c r="D57" s="241" t="s">
        <v>8223</v>
      </c>
      <c r="E57" s="251" t="s">
        <v>9927</v>
      </c>
      <c r="F57" s="251" t="s">
        <v>9928</v>
      </c>
      <c r="G57" s="241" t="s">
        <v>751</v>
      </c>
      <c r="H57" s="241" t="s">
        <v>751</v>
      </c>
      <c r="I57" s="251" t="s">
        <v>9929</v>
      </c>
      <c r="J57" s="241" t="s">
        <v>9930</v>
      </c>
      <c r="K57" s="250" t="s">
        <v>9931</v>
      </c>
      <c r="L57" s="239" t="s">
        <v>9802</v>
      </c>
      <c r="M57" s="6" t="s">
        <v>9996</v>
      </c>
      <c r="N57" s="30" t="s">
        <v>751</v>
      </c>
      <c r="O57" s="30" t="s">
        <v>751</v>
      </c>
      <c r="P57" s="30" t="s">
        <v>9956</v>
      </c>
      <c r="Q57" s="239" t="s">
        <v>7551</v>
      </c>
    </row>
    <row r="58" customFormat="false" ht="29.25" hidden="false" customHeight="true" outlineLevel="0" collapsed="false">
      <c r="A58" s="241" t="s">
        <v>9997</v>
      </c>
      <c r="B58" s="241" t="s">
        <v>6691</v>
      </c>
      <c r="C58" s="250" t="s">
        <v>9998</v>
      </c>
      <c r="D58" s="241" t="s">
        <v>8232</v>
      </c>
      <c r="E58" s="251" t="s">
        <v>9927</v>
      </c>
      <c r="F58" s="251" t="s">
        <v>9928</v>
      </c>
      <c r="G58" s="241" t="s">
        <v>751</v>
      </c>
      <c r="H58" s="241" t="s">
        <v>751</v>
      </c>
      <c r="I58" s="251" t="s">
        <v>9929</v>
      </c>
      <c r="J58" s="241" t="s">
        <v>9930</v>
      </c>
      <c r="K58" s="250" t="s">
        <v>9931</v>
      </c>
      <c r="L58" s="239" t="s">
        <v>9802</v>
      </c>
      <c r="M58" s="6" t="s">
        <v>9999</v>
      </c>
      <c r="N58" s="30" t="s">
        <v>751</v>
      </c>
      <c r="O58" s="30" t="s">
        <v>751</v>
      </c>
      <c r="P58" s="30" t="s">
        <v>9981</v>
      </c>
      <c r="Q58" s="239" t="s">
        <v>7551</v>
      </c>
    </row>
    <row r="59" customFormat="false" ht="29.25" hidden="false" customHeight="true" outlineLevel="0" collapsed="false">
      <c r="A59" s="241" t="s">
        <v>8311</v>
      </c>
      <c r="B59" s="241" t="s">
        <v>6691</v>
      </c>
      <c r="C59" s="250" t="s">
        <v>10000</v>
      </c>
      <c r="D59" s="241" t="s">
        <v>490</v>
      </c>
      <c r="E59" s="251" t="s">
        <v>9927</v>
      </c>
      <c r="F59" s="251" t="s">
        <v>9928</v>
      </c>
      <c r="G59" s="241" t="s">
        <v>751</v>
      </c>
      <c r="H59" s="241" t="s">
        <v>751</v>
      </c>
      <c r="I59" s="251" t="s">
        <v>9929</v>
      </c>
      <c r="J59" s="241" t="s">
        <v>9930</v>
      </c>
      <c r="K59" s="250" t="s">
        <v>9931</v>
      </c>
      <c r="L59" s="239" t="s">
        <v>9802</v>
      </c>
      <c r="M59" s="6" t="s">
        <v>10001</v>
      </c>
      <c r="N59" s="30" t="s">
        <v>751</v>
      </c>
      <c r="O59" s="30" t="s">
        <v>751</v>
      </c>
      <c r="P59" s="30" t="s">
        <v>9981</v>
      </c>
      <c r="Q59" s="239" t="s">
        <v>7551</v>
      </c>
    </row>
    <row r="60" customFormat="false" ht="43.5" hidden="false" customHeight="true" outlineLevel="0" collapsed="false">
      <c r="A60" s="241" t="s">
        <v>8326</v>
      </c>
      <c r="B60" s="241" t="s">
        <v>6691</v>
      </c>
      <c r="C60" s="250" t="s">
        <v>10002</v>
      </c>
      <c r="D60" s="241" t="s">
        <v>489</v>
      </c>
      <c r="E60" s="251" t="s">
        <v>9927</v>
      </c>
      <c r="F60" s="251" t="s">
        <v>9928</v>
      </c>
      <c r="G60" s="241" t="s">
        <v>751</v>
      </c>
      <c r="H60" s="241" t="s">
        <v>751</v>
      </c>
      <c r="I60" s="251" t="s">
        <v>9929</v>
      </c>
      <c r="J60" s="241" t="s">
        <v>9930</v>
      </c>
      <c r="K60" s="250" t="s">
        <v>9931</v>
      </c>
      <c r="L60" s="239" t="s">
        <v>9802</v>
      </c>
      <c r="M60" s="6" t="s">
        <v>10003</v>
      </c>
      <c r="N60" s="30" t="s">
        <v>751</v>
      </c>
      <c r="O60" s="30" t="s">
        <v>751</v>
      </c>
      <c r="P60" s="30" t="s">
        <v>9981</v>
      </c>
      <c r="Q60" s="239" t="s">
        <v>7551</v>
      </c>
    </row>
    <row r="61" customFormat="false" ht="43.5" hidden="false" customHeight="true" outlineLevel="0" collapsed="false">
      <c r="A61" s="241" t="s">
        <v>8361</v>
      </c>
      <c r="B61" s="241" t="s">
        <v>6691</v>
      </c>
      <c r="C61" s="250" t="s">
        <v>10004</v>
      </c>
      <c r="D61" s="241" t="s">
        <v>488</v>
      </c>
      <c r="E61" s="251" t="s">
        <v>9927</v>
      </c>
      <c r="F61" s="251" t="s">
        <v>9928</v>
      </c>
      <c r="G61" s="241" t="s">
        <v>751</v>
      </c>
      <c r="H61" s="241" t="s">
        <v>751</v>
      </c>
      <c r="I61" s="251" t="s">
        <v>9929</v>
      </c>
      <c r="J61" s="241" t="s">
        <v>9930</v>
      </c>
      <c r="K61" s="250" t="s">
        <v>9931</v>
      </c>
      <c r="L61" s="239" t="s">
        <v>9802</v>
      </c>
      <c r="M61" s="6" t="s">
        <v>10005</v>
      </c>
      <c r="N61" s="30" t="s">
        <v>751</v>
      </c>
      <c r="O61" s="30" t="s">
        <v>751</v>
      </c>
      <c r="P61" s="30" t="s">
        <v>9932</v>
      </c>
      <c r="Q61" s="239" t="s">
        <v>7551</v>
      </c>
    </row>
    <row r="62" customFormat="false" ht="29.25" hidden="false" customHeight="true" outlineLevel="0" collapsed="false">
      <c r="A62" s="241" t="s">
        <v>8372</v>
      </c>
      <c r="B62" s="241" t="s">
        <v>6691</v>
      </c>
      <c r="C62" s="250" t="s">
        <v>10006</v>
      </c>
      <c r="D62" s="241" t="s">
        <v>491</v>
      </c>
      <c r="E62" s="251" t="s">
        <v>9927</v>
      </c>
      <c r="F62" s="251" t="s">
        <v>9928</v>
      </c>
      <c r="G62" s="241" t="s">
        <v>751</v>
      </c>
      <c r="H62" s="241" t="s">
        <v>751</v>
      </c>
      <c r="I62" s="251" t="s">
        <v>9929</v>
      </c>
      <c r="J62" s="241" t="s">
        <v>9930</v>
      </c>
      <c r="K62" s="250" t="s">
        <v>9931</v>
      </c>
      <c r="L62" s="239" t="s">
        <v>9802</v>
      </c>
      <c r="M62" s="6" t="s">
        <v>10007</v>
      </c>
      <c r="N62" s="30" t="s">
        <v>751</v>
      </c>
      <c r="O62" s="30" t="s">
        <v>751</v>
      </c>
      <c r="P62" s="30" t="s">
        <v>9981</v>
      </c>
      <c r="Q62" s="239" t="s">
        <v>7551</v>
      </c>
    </row>
    <row r="63" customFormat="false" ht="29.25" hidden="false" customHeight="true" outlineLevel="0" collapsed="false">
      <c r="A63" s="241" t="s">
        <v>8382</v>
      </c>
      <c r="B63" s="241" t="s">
        <v>6691</v>
      </c>
      <c r="C63" s="250" t="s">
        <v>10008</v>
      </c>
      <c r="D63" s="241" t="s">
        <v>8383</v>
      </c>
      <c r="E63" s="251" t="s">
        <v>9927</v>
      </c>
      <c r="F63" s="251" t="s">
        <v>9928</v>
      </c>
      <c r="G63" s="241" t="s">
        <v>751</v>
      </c>
      <c r="H63" s="241" t="s">
        <v>751</v>
      </c>
      <c r="I63" s="251" t="s">
        <v>9929</v>
      </c>
      <c r="J63" s="241" t="s">
        <v>9930</v>
      </c>
      <c r="K63" s="250" t="s">
        <v>9931</v>
      </c>
      <c r="L63" s="239" t="s">
        <v>9802</v>
      </c>
      <c r="M63" s="6" t="s">
        <v>10009</v>
      </c>
      <c r="N63" s="30" t="s">
        <v>751</v>
      </c>
      <c r="O63" s="30" t="s">
        <v>751</v>
      </c>
      <c r="P63" s="30" t="s">
        <v>9981</v>
      </c>
      <c r="Q63" s="239" t="s">
        <v>7551</v>
      </c>
    </row>
    <row r="64" customFormat="false" ht="43.5" hidden="false" customHeight="true" outlineLevel="0" collapsed="false">
      <c r="A64" s="241" t="s">
        <v>8394</v>
      </c>
      <c r="B64" s="241" t="s">
        <v>6691</v>
      </c>
      <c r="C64" s="250" t="s">
        <v>10010</v>
      </c>
      <c r="D64" s="241" t="s">
        <v>8395</v>
      </c>
      <c r="E64" s="251" t="s">
        <v>9927</v>
      </c>
      <c r="F64" s="251" t="s">
        <v>9928</v>
      </c>
      <c r="G64" s="241" t="s">
        <v>751</v>
      </c>
      <c r="H64" s="241" t="s">
        <v>751</v>
      </c>
      <c r="I64" s="251" t="s">
        <v>9929</v>
      </c>
      <c r="J64" s="241" t="s">
        <v>9930</v>
      </c>
      <c r="K64" s="250" t="s">
        <v>9931</v>
      </c>
      <c r="L64" s="239" t="s">
        <v>9802</v>
      </c>
      <c r="M64" s="6" t="s">
        <v>10011</v>
      </c>
      <c r="N64" s="30" t="s">
        <v>751</v>
      </c>
      <c r="O64" s="30" t="s">
        <v>751</v>
      </c>
      <c r="P64" s="30" t="s">
        <v>9981</v>
      </c>
      <c r="Q64" s="239" t="s">
        <v>7658</v>
      </c>
    </row>
    <row r="65" customFormat="false" ht="29.25" hidden="false" customHeight="true" outlineLevel="0" collapsed="false">
      <c r="A65" s="241" t="s">
        <v>8419</v>
      </c>
      <c r="B65" s="241" t="s">
        <v>6691</v>
      </c>
      <c r="C65" s="250" t="s">
        <v>10012</v>
      </c>
      <c r="D65" s="241" t="s">
        <v>8420</v>
      </c>
      <c r="E65" s="251" t="s">
        <v>9927</v>
      </c>
      <c r="F65" s="251" t="s">
        <v>9928</v>
      </c>
      <c r="G65" s="241" t="s">
        <v>751</v>
      </c>
      <c r="H65" s="241" t="s">
        <v>751</v>
      </c>
      <c r="I65" s="251" t="s">
        <v>9929</v>
      </c>
      <c r="J65" s="241" t="s">
        <v>9930</v>
      </c>
      <c r="K65" s="250" t="s">
        <v>9931</v>
      </c>
      <c r="L65" s="239" t="s">
        <v>9802</v>
      </c>
      <c r="M65" s="6" t="s">
        <v>8412</v>
      </c>
      <c r="N65" s="30" t="s">
        <v>751</v>
      </c>
      <c r="O65" s="30" t="s">
        <v>751</v>
      </c>
      <c r="P65" s="30" t="s">
        <v>9932</v>
      </c>
      <c r="Q65" s="239" t="s">
        <v>7551</v>
      </c>
    </row>
    <row r="66" customFormat="false" ht="29.25" hidden="false" customHeight="true" outlineLevel="0" collapsed="false">
      <c r="A66" s="241" t="s">
        <v>8430</v>
      </c>
      <c r="B66" s="241" t="s">
        <v>6691</v>
      </c>
      <c r="C66" s="250" t="s">
        <v>10013</v>
      </c>
      <c r="D66" s="241" t="s">
        <v>8431</v>
      </c>
      <c r="E66" s="251" t="s">
        <v>9927</v>
      </c>
      <c r="F66" s="251" t="s">
        <v>9928</v>
      </c>
      <c r="G66" s="241" t="s">
        <v>751</v>
      </c>
      <c r="H66" s="241" t="s">
        <v>751</v>
      </c>
      <c r="I66" s="251" t="s">
        <v>9929</v>
      </c>
      <c r="J66" s="241" t="s">
        <v>9930</v>
      </c>
      <c r="K66" s="250" t="s">
        <v>9931</v>
      </c>
      <c r="L66" s="239" t="s">
        <v>9802</v>
      </c>
      <c r="M66" s="6" t="s">
        <v>10014</v>
      </c>
      <c r="N66" s="30" t="s">
        <v>751</v>
      </c>
      <c r="O66" s="30" t="s">
        <v>751</v>
      </c>
      <c r="P66" s="30" t="s">
        <v>9956</v>
      </c>
      <c r="Q66" s="239" t="s">
        <v>7551</v>
      </c>
    </row>
    <row r="67" customFormat="false" ht="29.25" hidden="false" customHeight="true" outlineLevel="0" collapsed="false">
      <c r="A67" s="241" t="s">
        <v>10015</v>
      </c>
      <c r="B67" s="241" t="s">
        <v>6691</v>
      </c>
      <c r="C67" s="250" t="s">
        <v>10016</v>
      </c>
      <c r="D67" s="241" t="s">
        <v>4169</v>
      </c>
      <c r="E67" s="251" t="s">
        <v>9927</v>
      </c>
      <c r="F67" s="251" t="s">
        <v>9928</v>
      </c>
      <c r="G67" s="241" t="s">
        <v>751</v>
      </c>
      <c r="H67" s="241" t="s">
        <v>751</v>
      </c>
      <c r="I67" s="251" t="s">
        <v>9929</v>
      </c>
      <c r="J67" s="241" t="s">
        <v>9930</v>
      </c>
      <c r="K67" s="250" t="s">
        <v>9931</v>
      </c>
      <c r="L67" s="239" t="s">
        <v>9802</v>
      </c>
      <c r="M67" s="6" t="s">
        <v>10017</v>
      </c>
      <c r="N67" s="30" t="s">
        <v>751</v>
      </c>
      <c r="O67" s="30" t="s">
        <v>751</v>
      </c>
      <c r="P67" s="30" t="s">
        <v>9956</v>
      </c>
      <c r="Q67" s="239" t="s">
        <v>7551</v>
      </c>
    </row>
    <row r="68" customFormat="false" ht="57.75" hidden="false" customHeight="true" outlineLevel="0" collapsed="false">
      <c r="A68" s="241" t="s">
        <v>8458</v>
      </c>
      <c r="B68" s="241" t="s">
        <v>6691</v>
      </c>
      <c r="C68" s="250" t="s">
        <v>10018</v>
      </c>
      <c r="D68" s="241" t="s">
        <v>8459</v>
      </c>
      <c r="E68" s="251" t="s">
        <v>9927</v>
      </c>
      <c r="F68" s="251" t="s">
        <v>9928</v>
      </c>
      <c r="G68" s="241" t="s">
        <v>751</v>
      </c>
      <c r="H68" s="241" t="s">
        <v>751</v>
      </c>
      <c r="I68" s="251" t="s">
        <v>9929</v>
      </c>
      <c r="J68" s="241" t="s">
        <v>9930</v>
      </c>
      <c r="K68" s="250" t="s">
        <v>9931</v>
      </c>
      <c r="L68" s="239" t="s">
        <v>9802</v>
      </c>
      <c r="M68" s="6" t="s">
        <v>10019</v>
      </c>
      <c r="N68" s="30" t="s">
        <v>751</v>
      </c>
      <c r="O68" s="30" t="s">
        <v>751</v>
      </c>
      <c r="P68" s="30" t="s">
        <v>9981</v>
      </c>
      <c r="Q68" s="239" t="s">
        <v>7658</v>
      </c>
    </row>
    <row r="69" customFormat="false" ht="29.25" hidden="false" customHeight="true" outlineLevel="0" collapsed="false">
      <c r="A69" s="241" t="s">
        <v>10020</v>
      </c>
      <c r="B69" s="241" t="s">
        <v>6691</v>
      </c>
      <c r="C69" s="250" t="s">
        <v>10021</v>
      </c>
      <c r="D69" s="241" t="s">
        <v>8485</v>
      </c>
      <c r="E69" s="251" t="s">
        <v>9927</v>
      </c>
      <c r="F69" s="251" t="s">
        <v>9928</v>
      </c>
      <c r="G69" s="241" t="s">
        <v>751</v>
      </c>
      <c r="H69" s="241" t="s">
        <v>751</v>
      </c>
      <c r="I69" s="251" t="s">
        <v>9929</v>
      </c>
      <c r="J69" s="241" t="s">
        <v>9930</v>
      </c>
      <c r="K69" s="250" t="s">
        <v>9931</v>
      </c>
      <c r="L69" s="239" t="s">
        <v>9802</v>
      </c>
      <c r="M69" s="6" t="s">
        <v>10022</v>
      </c>
      <c r="N69" s="30" t="s">
        <v>751</v>
      </c>
      <c r="O69" s="30" t="s">
        <v>751</v>
      </c>
      <c r="P69" s="30" t="s">
        <v>9932</v>
      </c>
      <c r="Q69" s="239" t="s">
        <v>7551</v>
      </c>
    </row>
    <row r="70" customFormat="false" ht="29.25" hidden="false" customHeight="true" outlineLevel="0" collapsed="false">
      <c r="A70" s="241" t="s">
        <v>10023</v>
      </c>
      <c r="B70" s="241" t="s">
        <v>6691</v>
      </c>
      <c r="C70" s="250" t="s">
        <v>10024</v>
      </c>
      <c r="D70" s="241" t="s">
        <v>8499</v>
      </c>
      <c r="E70" s="251" t="s">
        <v>9927</v>
      </c>
      <c r="F70" s="251" t="s">
        <v>9928</v>
      </c>
      <c r="G70" s="241" t="s">
        <v>751</v>
      </c>
      <c r="H70" s="241" t="s">
        <v>751</v>
      </c>
      <c r="I70" s="251" t="s">
        <v>9929</v>
      </c>
      <c r="J70" s="241" t="s">
        <v>9930</v>
      </c>
      <c r="K70" s="250" t="s">
        <v>9931</v>
      </c>
      <c r="L70" s="239" t="s">
        <v>9802</v>
      </c>
      <c r="M70" s="6" t="s">
        <v>9857</v>
      </c>
      <c r="N70" s="30" t="s">
        <v>751</v>
      </c>
      <c r="O70" s="30" t="s">
        <v>751</v>
      </c>
      <c r="P70" s="30" t="s">
        <v>9981</v>
      </c>
      <c r="Q70" s="239" t="s">
        <v>7551</v>
      </c>
    </row>
    <row r="71" customFormat="false" ht="83.25" hidden="false" customHeight="true" outlineLevel="0" collapsed="false">
      <c r="A71" s="241" t="s">
        <v>7849</v>
      </c>
      <c r="B71" s="241" t="s">
        <v>6691</v>
      </c>
      <c r="C71" s="250" t="s">
        <v>10025</v>
      </c>
      <c r="D71" s="241" t="s">
        <v>7842</v>
      </c>
      <c r="E71" s="251" t="s">
        <v>10026</v>
      </c>
      <c r="F71" s="251" t="s">
        <v>9928</v>
      </c>
      <c r="G71" s="241" t="s">
        <v>751</v>
      </c>
      <c r="H71" s="241" t="s">
        <v>751</v>
      </c>
      <c r="I71" s="251" t="s">
        <v>10027</v>
      </c>
      <c r="J71" s="241" t="s">
        <v>9930</v>
      </c>
      <c r="K71" s="250" t="s">
        <v>10028</v>
      </c>
      <c r="L71" s="239" t="s">
        <v>9802</v>
      </c>
      <c r="M71" s="6" t="s">
        <v>10029</v>
      </c>
      <c r="N71" s="30" t="s">
        <v>751</v>
      </c>
      <c r="O71" s="30" t="s">
        <v>751</v>
      </c>
      <c r="P71" s="30" t="s">
        <v>9932</v>
      </c>
      <c r="Q71" s="239" t="s">
        <v>10030</v>
      </c>
    </row>
    <row r="72" customFormat="false" ht="29.25" hidden="false" customHeight="true" outlineLevel="0" collapsed="false">
      <c r="A72" s="241" t="s">
        <v>8746</v>
      </c>
      <c r="B72" s="241" t="s">
        <v>10031</v>
      </c>
      <c r="C72" s="250" t="s">
        <v>10032</v>
      </c>
      <c r="D72" s="241" t="s">
        <v>8747</v>
      </c>
      <c r="E72" s="251" t="s">
        <v>9927</v>
      </c>
      <c r="F72" s="251" t="s">
        <v>9928</v>
      </c>
      <c r="G72" s="241" t="s">
        <v>751</v>
      </c>
      <c r="H72" s="241" t="s">
        <v>751</v>
      </c>
      <c r="I72" s="251" t="s">
        <v>9929</v>
      </c>
      <c r="J72" s="241" t="s">
        <v>10033</v>
      </c>
      <c r="K72" s="250" t="s">
        <v>9931</v>
      </c>
      <c r="L72" s="239" t="s">
        <v>9802</v>
      </c>
      <c r="M72" s="6" t="s">
        <v>3279</v>
      </c>
      <c r="N72" s="30" t="s">
        <v>751</v>
      </c>
      <c r="O72" s="30" t="s">
        <v>751</v>
      </c>
      <c r="P72" s="30" t="s">
        <v>9932</v>
      </c>
      <c r="Q72" s="239" t="s">
        <v>7551</v>
      </c>
    </row>
    <row r="73" customFormat="false" ht="29.25" hidden="false" customHeight="true" outlineLevel="0" collapsed="false">
      <c r="A73" s="241" t="s">
        <v>8756</v>
      </c>
      <c r="B73" s="241" t="s">
        <v>10031</v>
      </c>
      <c r="C73" s="250" t="s">
        <v>10034</v>
      </c>
      <c r="D73" s="241" t="s">
        <v>8757</v>
      </c>
      <c r="E73" s="251" t="s">
        <v>9927</v>
      </c>
      <c r="F73" s="251" t="s">
        <v>9928</v>
      </c>
      <c r="G73" s="241" t="s">
        <v>751</v>
      </c>
      <c r="H73" s="241" t="s">
        <v>751</v>
      </c>
      <c r="I73" s="251" t="s">
        <v>9929</v>
      </c>
      <c r="J73" s="241" t="s">
        <v>10033</v>
      </c>
      <c r="K73" s="250" t="s">
        <v>9931</v>
      </c>
      <c r="L73" s="239" t="s">
        <v>9802</v>
      </c>
      <c r="M73" s="6" t="s">
        <v>3288</v>
      </c>
      <c r="N73" s="30" t="s">
        <v>751</v>
      </c>
      <c r="O73" s="30" t="s">
        <v>751</v>
      </c>
      <c r="P73" s="30" t="s">
        <v>9956</v>
      </c>
      <c r="Q73" s="239" t="s">
        <v>7658</v>
      </c>
    </row>
    <row r="74" customFormat="false" ht="29.25" hidden="false" customHeight="true" outlineLevel="0" collapsed="false">
      <c r="A74" s="241" t="s">
        <v>9007</v>
      </c>
      <c r="B74" s="241" t="s">
        <v>10031</v>
      </c>
      <c r="C74" s="250" t="s">
        <v>10035</v>
      </c>
      <c r="D74" s="241" t="s">
        <v>9008</v>
      </c>
      <c r="E74" s="251" t="s">
        <v>9927</v>
      </c>
      <c r="F74" s="251" t="s">
        <v>9928</v>
      </c>
      <c r="G74" s="241" t="s">
        <v>751</v>
      </c>
      <c r="H74" s="241" t="s">
        <v>751</v>
      </c>
      <c r="I74" s="251" t="s">
        <v>9929</v>
      </c>
      <c r="J74" s="241" t="s">
        <v>10033</v>
      </c>
      <c r="K74" s="250" t="s">
        <v>9931</v>
      </c>
      <c r="L74" s="239" t="s">
        <v>9802</v>
      </c>
      <c r="M74" s="6" t="s">
        <v>9908</v>
      </c>
      <c r="N74" s="30" t="s">
        <v>751</v>
      </c>
      <c r="O74" s="30" t="s">
        <v>751</v>
      </c>
      <c r="P74" s="30" t="s">
        <v>9956</v>
      </c>
      <c r="Q74" s="239" t="s">
        <v>7551</v>
      </c>
    </row>
    <row r="75" customFormat="false" ht="29.25" hidden="false" customHeight="true" outlineLevel="0" collapsed="false">
      <c r="A75" s="241" t="s">
        <v>9081</v>
      </c>
      <c r="B75" s="241" t="s">
        <v>10031</v>
      </c>
      <c r="C75" s="250" t="s">
        <v>10036</v>
      </c>
      <c r="D75" s="241" t="s">
        <v>9082</v>
      </c>
      <c r="E75" s="251" t="s">
        <v>9927</v>
      </c>
      <c r="F75" s="251" t="s">
        <v>9928</v>
      </c>
      <c r="G75" s="241" t="s">
        <v>751</v>
      </c>
      <c r="H75" s="241" t="s">
        <v>751</v>
      </c>
      <c r="I75" s="251" t="s">
        <v>9929</v>
      </c>
      <c r="J75" s="241" t="s">
        <v>10033</v>
      </c>
      <c r="K75" s="250" t="s">
        <v>9931</v>
      </c>
      <c r="L75" s="239" t="s">
        <v>9802</v>
      </c>
      <c r="M75" s="6" t="s">
        <v>9821</v>
      </c>
      <c r="N75" s="30" t="s">
        <v>751</v>
      </c>
      <c r="O75" s="30" t="s">
        <v>751</v>
      </c>
      <c r="P75" s="30" t="s">
        <v>9981</v>
      </c>
      <c r="Q75" s="239" t="s">
        <v>7658</v>
      </c>
    </row>
    <row r="76" customFormat="false" ht="69" hidden="false" customHeight="true" outlineLevel="0" collapsed="false">
      <c r="A76" s="241" t="s">
        <v>8765</v>
      </c>
      <c r="B76" s="241" t="s">
        <v>10031</v>
      </c>
      <c r="C76" s="250" t="s">
        <v>10037</v>
      </c>
      <c r="D76" s="241" t="s">
        <v>8766</v>
      </c>
      <c r="E76" s="251" t="s">
        <v>9927</v>
      </c>
      <c r="F76" s="251" t="s">
        <v>9928</v>
      </c>
      <c r="G76" s="241" t="s">
        <v>751</v>
      </c>
      <c r="H76" s="241" t="s">
        <v>751</v>
      </c>
      <c r="I76" s="251" t="s">
        <v>9929</v>
      </c>
      <c r="J76" s="241" t="s">
        <v>10033</v>
      </c>
      <c r="K76" s="250" t="s">
        <v>9931</v>
      </c>
      <c r="L76" s="239" t="s">
        <v>9802</v>
      </c>
      <c r="M76" s="6" t="s">
        <v>10038</v>
      </c>
      <c r="N76" s="30" t="s">
        <v>751</v>
      </c>
      <c r="O76" s="30" t="s">
        <v>751</v>
      </c>
      <c r="P76" s="30" t="s">
        <v>9981</v>
      </c>
      <c r="Q76" s="239" t="s">
        <v>7551</v>
      </c>
    </row>
    <row r="77" customFormat="false" ht="69" hidden="false" customHeight="true" outlineLevel="0" collapsed="false">
      <c r="A77" s="241" t="s">
        <v>8796</v>
      </c>
      <c r="B77" s="241" t="s">
        <v>10031</v>
      </c>
      <c r="C77" s="250" t="s">
        <v>10039</v>
      </c>
      <c r="D77" s="241" t="s">
        <v>8797</v>
      </c>
      <c r="E77" s="251" t="s">
        <v>9927</v>
      </c>
      <c r="F77" s="251" t="s">
        <v>9928</v>
      </c>
      <c r="G77" s="241" t="s">
        <v>751</v>
      </c>
      <c r="H77" s="241" t="s">
        <v>751</v>
      </c>
      <c r="I77" s="251" t="s">
        <v>9929</v>
      </c>
      <c r="J77" s="241" t="s">
        <v>10033</v>
      </c>
      <c r="K77" s="250" t="s">
        <v>9931</v>
      </c>
      <c r="L77" s="239" t="s">
        <v>9802</v>
      </c>
      <c r="M77" s="6" t="s">
        <v>9890</v>
      </c>
      <c r="N77" s="30" t="s">
        <v>751</v>
      </c>
      <c r="O77" s="30" t="s">
        <v>751</v>
      </c>
      <c r="P77" s="30" t="s">
        <v>9956</v>
      </c>
      <c r="Q77" s="239" t="s">
        <v>7551</v>
      </c>
    </row>
    <row r="78" customFormat="false" ht="57.75" hidden="false" customHeight="true" outlineLevel="0" collapsed="false">
      <c r="A78" s="241" t="s">
        <v>8831</v>
      </c>
      <c r="B78" s="241" t="s">
        <v>10031</v>
      </c>
      <c r="C78" s="250" t="s">
        <v>10040</v>
      </c>
      <c r="D78" s="241" t="s">
        <v>4221</v>
      </c>
      <c r="E78" s="251" t="s">
        <v>9927</v>
      </c>
      <c r="F78" s="251" t="s">
        <v>9928</v>
      </c>
      <c r="G78" s="241" t="s">
        <v>751</v>
      </c>
      <c r="H78" s="241" t="s">
        <v>751</v>
      </c>
      <c r="I78" s="251" t="s">
        <v>9929</v>
      </c>
      <c r="J78" s="241" t="s">
        <v>10033</v>
      </c>
      <c r="K78" s="250" t="s">
        <v>9931</v>
      </c>
      <c r="L78" s="239" t="s">
        <v>9802</v>
      </c>
      <c r="M78" s="6" t="s">
        <v>9871</v>
      </c>
      <c r="N78" s="30" t="s">
        <v>751</v>
      </c>
      <c r="O78" s="30" t="s">
        <v>751</v>
      </c>
      <c r="P78" s="30" t="s">
        <v>9981</v>
      </c>
      <c r="Q78" s="239" t="s">
        <v>7551</v>
      </c>
    </row>
    <row r="79" customFormat="false" ht="43.5" hidden="false" customHeight="true" outlineLevel="0" collapsed="false">
      <c r="A79" s="241" t="s">
        <v>8861</v>
      </c>
      <c r="B79" s="241" t="s">
        <v>10031</v>
      </c>
      <c r="C79" s="250" t="s">
        <v>10041</v>
      </c>
      <c r="D79" s="241" t="s">
        <v>8862</v>
      </c>
      <c r="E79" s="251" t="s">
        <v>9927</v>
      </c>
      <c r="F79" s="251" t="s">
        <v>9928</v>
      </c>
      <c r="G79" s="241" t="s">
        <v>751</v>
      </c>
      <c r="H79" s="241" t="s">
        <v>751</v>
      </c>
      <c r="I79" s="251" t="s">
        <v>9929</v>
      </c>
      <c r="J79" s="241" t="s">
        <v>10033</v>
      </c>
      <c r="K79" s="250" t="s">
        <v>9931</v>
      </c>
      <c r="L79" s="239" t="s">
        <v>9802</v>
      </c>
      <c r="M79" s="6" t="s">
        <v>10042</v>
      </c>
      <c r="N79" s="30" t="s">
        <v>751</v>
      </c>
      <c r="O79" s="30" t="s">
        <v>751</v>
      </c>
      <c r="P79" s="30" t="s">
        <v>9981</v>
      </c>
      <c r="Q79" s="239" t="s">
        <v>7551</v>
      </c>
    </row>
    <row r="80" customFormat="false" ht="72" hidden="false" customHeight="true" outlineLevel="0" collapsed="false">
      <c r="A80" s="241" t="s">
        <v>8883</v>
      </c>
      <c r="B80" s="241" t="s">
        <v>10031</v>
      </c>
      <c r="C80" s="250" t="s">
        <v>10043</v>
      </c>
      <c r="D80" s="241" t="s">
        <v>8884</v>
      </c>
      <c r="E80" s="251" t="s">
        <v>9927</v>
      </c>
      <c r="F80" s="251" t="s">
        <v>9928</v>
      </c>
      <c r="G80" s="241" t="s">
        <v>751</v>
      </c>
      <c r="H80" s="241" t="s">
        <v>751</v>
      </c>
      <c r="I80" s="251" t="s">
        <v>9929</v>
      </c>
      <c r="J80" s="241" t="s">
        <v>10033</v>
      </c>
      <c r="K80" s="250" t="s">
        <v>9931</v>
      </c>
      <c r="L80" s="239" t="s">
        <v>9802</v>
      </c>
      <c r="M80" s="6" t="s">
        <v>9894</v>
      </c>
      <c r="N80" s="30" t="s">
        <v>751</v>
      </c>
      <c r="O80" s="30" t="s">
        <v>751</v>
      </c>
      <c r="P80" s="30" t="s">
        <v>9956</v>
      </c>
      <c r="Q80" s="239" t="s">
        <v>7551</v>
      </c>
    </row>
    <row r="81" customFormat="false" ht="54.75" hidden="false" customHeight="true" outlineLevel="0" collapsed="false">
      <c r="A81" s="241" t="s">
        <v>8920</v>
      </c>
      <c r="B81" s="241" t="s">
        <v>10031</v>
      </c>
      <c r="C81" s="250" t="s">
        <v>10044</v>
      </c>
      <c r="D81" s="241" t="s">
        <v>8921</v>
      </c>
      <c r="E81" s="251" t="s">
        <v>9927</v>
      </c>
      <c r="F81" s="251" t="s">
        <v>9928</v>
      </c>
      <c r="G81" s="241" t="s">
        <v>751</v>
      </c>
      <c r="H81" s="241" t="s">
        <v>751</v>
      </c>
      <c r="I81" s="251" t="s">
        <v>9929</v>
      </c>
      <c r="J81" s="241" t="s">
        <v>10033</v>
      </c>
      <c r="K81" s="250" t="s">
        <v>9931</v>
      </c>
      <c r="L81" s="239" t="s">
        <v>9802</v>
      </c>
      <c r="M81" s="6" t="s">
        <v>9884</v>
      </c>
      <c r="N81" s="30" t="s">
        <v>751</v>
      </c>
      <c r="O81" s="30" t="s">
        <v>751</v>
      </c>
      <c r="P81" s="30" t="s">
        <v>9956</v>
      </c>
      <c r="Q81" s="239" t="s">
        <v>7658</v>
      </c>
    </row>
    <row r="82" customFormat="false" ht="29.25" hidden="false" customHeight="true" outlineLevel="0" collapsed="false">
      <c r="A82" s="241" t="s">
        <v>8952</v>
      </c>
      <c r="B82" s="241" t="s">
        <v>10031</v>
      </c>
      <c r="C82" s="250" t="s">
        <v>10045</v>
      </c>
      <c r="D82" s="241" t="s">
        <v>8947</v>
      </c>
      <c r="E82" s="251" t="s">
        <v>9927</v>
      </c>
      <c r="F82" s="251" t="s">
        <v>9928</v>
      </c>
      <c r="G82" s="241" t="s">
        <v>751</v>
      </c>
      <c r="H82" s="241" t="s">
        <v>751</v>
      </c>
      <c r="I82" s="251" t="s">
        <v>9929</v>
      </c>
      <c r="J82" s="241" t="s">
        <v>10033</v>
      </c>
      <c r="K82" s="250" t="s">
        <v>9931</v>
      </c>
      <c r="L82" s="239" t="s">
        <v>9802</v>
      </c>
      <c r="M82" s="6" t="s">
        <v>10046</v>
      </c>
      <c r="N82" s="30" t="s">
        <v>751</v>
      </c>
      <c r="O82" s="30" t="s">
        <v>751</v>
      </c>
      <c r="P82" s="30" t="s">
        <v>9932</v>
      </c>
      <c r="Q82" s="239" t="s">
        <v>7658</v>
      </c>
    </row>
    <row r="83" customFormat="false" ht="43.5" hidden="false" customHeight="true" outlineLevel="0" collapsed="false">
      <c r="A83" s="241" t="s">
        <v>9093</v>
      </c>
      <c r="B83" s="241" t="s">
        <v>10031</v>
      </c>
      <c r="C83" s="250" t="s">
        <v>10047</v>
      </c>
      <c r="D83" s="241" t="s">
        <v>9094</v>
      </c>
      <c r="E83" s="251" t="s">
        <v>9927</v>
      </c>
      <c r="F83" s="251" t="s">
        <v>9928</v>
      </c>
      <c r="G83" s="241" t="s">
        <v>751</v>
      </c>
      <c r="H83" s="241" t="s">
        <v>751</v>
      </c>
      <c r="I83" s="251" t="s">
        <v>9929</v>
      </c>
      <c r="J83" s="241" t="s">
        <v>10033</v>
      </c>
      <c r="K83" s="250" t="s">
        <v>9931</v>
      </c>
      <c r="L83" s="239" t="s">
        <v>9802</v>
      </c>
      <c r="M83" s="6" t="s">
        <v>9864</v>
      </c>
      <c r="N83" s="30" t="s">
        <v>751</v>
      </c>
      <c r="O83" s="30" t="s">
        <v>751</v>
      </c>
      <c r="P83" s="30" t="s">
        <v>9956</v>
      </c>
      <c r="Q83" s="239" t="s">
        <v>7551</v>
      </c>
    </row>
    <row r="84" customFormat="false" ht="72" hidden="false" customHeight="true" outlineLevel="0" collapsed="false">
      <c r="A84" s="241" t="s">
        <v>9017</v>
      </c>
      <c r="B84" s="241" t="s">
        <v>10031</v>
      </c>
      <c r="C84" s="250" t="s">
        <v>10048</v>
      </c>
      <c r="D84" s="241" t="s">
        <v>2221</v>
      </c>
      <c r="E84" s="251" t="s">
        <v>9927</v>
      </c>
      <c r="F84" s="251" t="s">
        <v>9928</v>
      </c>
      <c r="G84" s="241" t="s">
        <v>751</v>
      </c>
      <c r="H84" s="241" t="s">
        <v>751</v>
      </c>
      <c r="I84" s="251" t="s">
        <v>9929</v>
      </c>
      <c r="J84" s="241" t="s">
        <v>10033</v>
      </c>
      <c r="K84" s="250" t="s">
        <v>9931</v>
      </c>
      <c r="L84" s="239" t="s">
        <v>9802</v>
      </c>
      <c r="M84" s="6" t="s">
        <v>9902</v>
      </c>
      <c r="N84" s="30" t="s">
        <v>751</v>
      </c>
      <c r="O84" s="30" t="s">
        <v>751</v>
      </c>
      <c r="P84" s="30" t="s">
        <v>9956</v>
      </c>
      <c r="Q84" s="239" t="s">
        <v>7551</v>
      </c>
    </row>
    <row r="85" customFormat="false" ht="72" hidden="false" customHeight="true" outlineLevel="0" collapsed="false">
      <c r="A85" s="241" t="s">
        <v>8968</v>
      </c>
      <c r="B85" s="241" t="s">
        <v>10031</v>
      </c>
      <c r="C85" s="250" t="s">
        <v>10049</v>
      </c>
      <c r="D85" s="241" t="s">
        <v>2241</v>
      </c>
      <c r="E85" s="251" t="s">
        <v>9927</v>
      </c>
      <c r="F85" s="251" t="s">
        <v>9928</v>
      </c>
      <c r="G85" s="241" t="s">
        <v>751</v>
      </c>
      <c r="H85" s="241" t="s">
        <v>751</v>
      </c>
      <c r="I85" s="251" t="s">
        <v>9929</v>
      </c>
      <c r="J85" s="241" t="s">
        <v>10033</v>
      </c>
      <c r="K85" s="250" t="s">
        <v>9931</v>
      </c>
      <c r="L85" s="239" t="s">
        <v>9802</v>
      </c>
      <c r="M85" s="6" t="s">
        <v>9914</v>
      </c>
      <c r="N85" s="30" t="s">
        <v>751</v>
      </c>
      <c r="O85" s="30" t="s">
        <v>751</v>
      </c>
      <c r="P85" s="30" t="s">
        <v>9956</v>
      </c>
      <c r="Q85" s="239" t="s">
        <v>7658</v>
      </c>
    </row>
    <row r="86" customFormat="false" ht="29.25" hidden="false" customHeight="true" outlineLevel="0" collapsed="false">
      <c r="A86" s="241" t="s">
        <v>9055</v>
      </c>
      <c r="B86" s="241" t="s">
        <v>10031</v>
      </c>
      <c r="C86" s="250" t="s">
        <v>10050</v>
      </c>
      <c r="D86" s="241" t="s">
        <v>9056</v>
      </c>
      <c r="E86" s="251" t="s">
        <v>9927</v>
      </c>
      <c r="F86" s="251" t="s">
        <v>9928</v>
      </c>
      <c r="G86" s="241" t="s">
        <v>751</v>
      </c>
      <c r="H86" s="241" t="s">
        <v>751</v>
      </c>
      <c r="I86" s="251" t="s">
        <v>9929</v>
      </c>
      <c r="J86" s="241" t="s">
        <v>10033</v>
      </c>
      <c r="K86" s="250" t="s">
        <v>9931</v>
      </c>
      <c r="L86" s="239" t="s">
        <v>9802</v>
      </c>
      <c r="M86" s="6" t="s">
        <v>10051</v>
      </c>
      <c r="N86" s="30" t="s">
        <v>751</v>
      </c>
      <c r="O86" s="30" t="s">
        <v>751</v>
      </c>
      <c r="P86" s="30" t="s">
        <v>9956</v>
      </c>
      <c r="Q86" s="239" t="s">
        <v>7658</v>
      </c>
    </row>
    <row r="87" customFormat="false" ht="29.25" hidden="false" customHeight="true" outlineLevel="0" collapsed="false">
      <c r="A87" s="241" t="s">
        <v>9065</v>
      </c>
      <c r="B87" s="241" t="s">
        <v>10031</v>
      </c>
      <c r="C87" s="250" t="s">
        <v>10052</v>
      </c>
      <c r="D87" s="241" t="s">
        <v>9066</v>
      </c>
      <c r="E87" s="251" t="s">
        <v>9927</v>
      </c>
      <c r="F87" s="251" t="s">
        <v>9928</v>
      </c>
      <c r="G87" s="241" t="s">
        <v>751</v>
      </c>
      <c r="H87" s="241" t="s">
        <v>751</v>
      </c>
      <c r="I87" s="251" t="s">
        <v>9929</v>
      </c>
      <c r="J87" s="241" t="s">
        <v>10033</v>
      </c>
      <c r="K87" s="250" t="s">
        <v>9931</v>
      </c>
      <c r="L87" s="239" t="s">
        <v>9802</v>
      </c>
      <c r="M87" s="6" t="s">
        <v>9060</v>
      </c>
      <c r="N87" s="30" t="s">
        <v>751</v>
      </c>
      <c r="O87" s="30" t="s">
        <v>751</v>
      </c>
      <c r="P87" s="30" t="s">
        <v>9956</v>
      </c>
      <c r="Q87" s="239" t="s">
        <v>7551</v>
      </c>
    </row>
    <row r="88" customFormat="false" ht="86.25" hidden="false" customHeight="true" outlineLevel="0" collapsed="false">
      <c r="A88" s="241" t="s">
        <v>8513</v>
      </c>
      <c r="B88" s="241" t="s">
        <v>10031</v>
      </c>
      <c r="C88" s="250" t="s">
        <v>10053</v>
      </c>
      <c r="D88" s="241" t="s">
        <v>8420</v>
      </c>
      <c r="E88" s="251" t="s">
        <v>10054</v>
      </c>
      <c r="F88" s="241" t="s">
        <v>10055</v>
      </c>
      <c r="G88" s="241" t="s">
        <v>751</v>
      </c>
      <c r="H88" s="241" t="s">
        <v>10056</v>
      </c>
      <c r="I88" s="251" t="s">
        <v>10057</v>
      </c>
      <c r="J88" s="241" t="s">
        <v>10033</v>
      </c>
      <c r="K88" s="250" t="s">
        <v>10058</v>
      </c>
      <c r="L88" s="239" t="s">
        <v>9802</v>
      </c>
      <c r="M88" s="6" t="s">
        <v>10059</v>
      </c>
      <c r="N88" s="30" t="s">
        <v>751</v>
      </c>
      <c r="O88" s="30" t="s">
        <v>751</v>
      </c>
      <c r="P88" s="30" t="s">
        <v>9981</v>
      </c>
      <c r="Q88" s="239" t="s">
        <v>7551</v>
      </c>
    </row>
    <row r="89" customFormat="false" ht="100.5" hidden="false" customHeight="true" outlineLevel="0" collapsed="false">
      <c r="A89" s="241" t="s">
        <v>8247</v>
      </c>
      <c r="B89" s="241" t="s">
        <v>10031</v>
      </c>
      <c r="C89" s="250" t="s">
        <v>10060</v>
      </c>
      <c r="D89" s="241" t="s">
        <v>8248</v>
      </c>
      <c r="E89" s="251" t="s">
        <v>10054</v>
      </c>
      <c r="F89" s="241" t="s">
        <v>10061</v>
      </c>
      <c r="G89" s="241" t="s">
        <v>10062</v>
      </c>
      <c r="H89" s="241" t="s">
        <v>10063</v>
      </c>
      <c r="I89" s="251" t="s">
        <v>10057</v>
      </c>
      <c r="J89" s="241" t="s">
        <v>10033</v>
      </c>
      <c r="K89" s="252" t="s">
        <v>10064</v>
      </c>
      <c r="L89" s="239" t="s">
        <v>9802</v>
      </c>
      <c r="M89" s="6" t="s">
        <v>10065</v>
      </c>
      <c r="N89" s="30" t="s">
        <v>751</v>
      </c>
      <c r="O89" s="30" t="s">
        <v>751</v>
      </c>
      <c r="P89" s="30" t="s">
        <v>9981</v>
      </c>
      <c r="Q89" s="239" t="s">
        <v>7551</v>
      </c>
    </row>
    <row r="90" customFormat="false" ht="15" hidden="false" customHeight="true" outlineLevel="0" collapsed="false">
      <c r="A90" s="241" t="s">
        <v>9121</v>
      </c>
      <c r="B90" s="241" t="s">
        <v>6855</v>
      </c>
      <c r="C90" s="250" t="s">
        <v>10066</v>
      </c>
      <c r="D90" s="241" t="s">
        <v>10067</v>
      </c>
      <c r="E90" s="251" t="s">
        <v>10068</v>
      </c>
      <c r="F90" s="241" t="s">
        <v>10069</v>
      </c>
      <c r="G90" s="241" t="s">
        <v>751</v>
      </c>
      <c r="H90" s="241" t="s">
        <v>10070</v>
      </c>
      <c r="I90" s="251" t="s">
        <v>10071</v>
      </c>
      <c r="J90" s="241" t="s">
        <v>10072</v>
      </c>
      <c r="K90" s="250" t="s">
        <v>10073</v>
      </c>
      <c r="L90" s="239" t="s">
        <v>9802</v>
      </c>
      <c r="M90" s="6" t="s">
        <v>6140</v>
      </c>
      <c r="N90" s="30" t="s">
        <v>751</v>
      </c>
      <c r="O90" s="30" t="s">
        <v>10074</v>
      </c>
      <c r="P90" s="30" t="s">
        <v>9956</v>
      </c>
      <c r="Q90" s="239" t="s">
        <v>7551</v>
      </c>
    </row>
    <row r="91" customFormat="false" ht="39" hidden="false" customHeight="true" outlineLevel="0" collapsed="false">
      <c r="A91" s="241" t="s">
        <v>10075</v>
      </c>
      <c r="B91" s="241" t="s">
        <v>6855</v>
      </c>
      <c r="C91" s="250" t="s">
        <v>10076</v>
      </c>
      <c r="D91" s="241" t="s">
        <v>10077</v>
      </c>
      <c r="E91" s="251" t="s">
        <v>10068</v>
      </c>
      <c r="F91" s="251" t="s">
        <v>10078</v>
      </c>
      <c r="G91" s="241" t="s">
        <v>751</v>
      </c>
      <c r="H91" s="241" t="s">
        <v>10079</v>
      </c>
      <c r="I91" s="251" t="s">
        <v>10071</v>
      </c>
      <c r="J91" s="241" t="s">
        <v>10072</v>
      </c>
      <c r="K91" s="252" t="s">
        <v>10080</v>
      </c>
      <c r="L91" s="239" t="s">
        <v>9802</v>
      </c>
      <c r="M91" s="6" t="s">
        <v>6339</v>
      </c>
      <c r="N91" s="30" t="s">
        <v>751</v>
      </c>
      <c r="O91" s="30" t="s">
        <v>10074</v>
      </c>
      <c r="P91" s="30" t="s">
        <v>9956</v>
      </c>
      <c r="Q91" s="239" t="s">
        <v>7551</v>
      </c>
    </row>
    <row r="92" customFormat="false" ht="15" hidden="false" customHeight="true" outlineLevel="0" collapsed="false">
      <c r="A92" s="241" t="s">
        <v>9136</v>
      </c>
      <c r="B92" s="241" t="s">
        <v>6855</v>
      </c>
      <c r="C92" s="250" t="s">
        <v>10081</v>
      </c>
      <c r="D92" s="241" t="s">
        <v>10082</v>
      </c>
      <c r="E92" s="251" t="s">
        <v>10068</v>
      </c>
      <c r="F92" s="241" t="s">
        <v>10069</v>
      </c>
      <c r="G92" s="241" t="s">
        <v>751</v>
      </c>
      <c r="H92" s="241" t="s">
        <v>10083</v>
      </c>
      <c r="I92" s="251" t="s">
        <v>10071</v>
      </c>
      <c r="J92" s="241" t="s">
        <v>10072</v>
      </c>
      <c r="K92" s="252" t="s">
        <v>10084</v>
      </c>
      <c r="L92" s="239" t="s">
        <v>9802</v>
      </c>
      <c r="M92" s="6" t="s">
        <v>6147</v>
      </c>
      <c r="N92" s="30" t="s">
        <v>751</v>
      </c>
      <c r="O92" s="30" t="s">
        <v>10074</v>
      </c>
      <c r="P92" s="30" t="s">
        <v>9956</v>
      </c>
      <c r="Q92" s="239" t="s">
        <v>7551</v>
      </c>
    </row>
    <row r="93" customFormat="false" ht="26.25" hidden="false" customHeight="true" outlineLevel="0" collapsed="false">
      <c r="A93" s="241" t="s">
        <v>10085</v>
      </c>
      <c r="B93" s="241" t="s">
        <v>6855</v>
      </c>
      <c r="C93" s="252" t="s">
        <v>10086</v>
      </c>
      <c r="D93" s="241" t="s">
        <v>10087</v>
      </c>
      <c r="E93" s="251" t="s">
        <v>10068</v>
      </c>
      <c r="F93" s="241" t="s">
        <v>10088</v>
      </c>
      <c r="G93" s="241" t="s">
        <v>751</v>
      </c>
      <c r="H93" s="241" t="s">
        <v>10089</v>
      </c>
      <c r="I93" s="251" t="s">
        <v>10071</v>
      </c>
      <c r="J93" s="241" t="s">
        <v>10072</v>
      </c>
      <c r="K93" s="252" t="s">
        <v>10090</v>
      </c>
      <c r="L93" s="239" t="s">
        <v>9802</v>
      </c>
      <c r="M93" s="6" t="s">
        <v>3444</v>
      </c>
      <c r="N93" s="30" t="s">
        <v>751</v>
      </c>
      <c r="O93" s="30" t="s">
        <v>10074</v>
      </c>
      <c r="P93" s="30" t="s">
        <v>9956</v>
      </c>
      <c r="Q93" s="239" t="s">
        <v>7658</v>
      </c>
    </row>
    <row r="94" customFormat="false" ht="51.75" hidden="false" customHeight="true" outlineLevel="0" collapsed="false">
      <c r="A94" s="241" t="s">
        <v>10091</v>
      </c>
      <c r="B94" s="241" t="s">
        <v>6868</v>
      </c>
      <c r="C94" s="250" t="s">
        <v>10092</v>
      </c>
      <c r="D94" s="241" t="s">
        <v>10093</v>
      </c>
      <c r="E94" s="251" t="s">
        <v>10094</v>
      </c>
      <c r="F94" s="241" t="s">
        <v>10095</v>
      </c>
      <c r="G94" s="241" t="s">
        <v>10096</v>
      </c>
      <c r="H94" s="241" t="s">
        <v>10097</v>
      </c>
      <c r="I94" s="251" t="s">
        <v>10098</v>
      </c>
      <c r="J94" s="241" t="s">
        <v>10099</v>
      </c>
      <c r="K94" s="252" t="s">
        <v>10100</v>
      </c>
      <c r="L94" s="239" t="s">
        <v>9802</v>
      </c>
      <c r="M94" s="6" t="s">
        <v>5021</v>
      </c>
      <c r="N94" s="30" t="s">
        <v>751</v>
      </c>
      <c r="O94" s="30" t="s">
        <v>10101</v>
      </c>
      <c r="P94" s="30" t="s">
        <v>9981</v>
      </c>
      <c r="Q94" s="239" t="s">
        <v>7551</v>
      </c>
    </row>
    <row r="95" customFormat="false" ht="51.75" hidden="false" customHeight="true" outlineLevel="0" collapsed="false">
      <c r="A95" s="241" t="s">
        <v>10102</v>
      </c>
      <c r="B95" s="241" t="s">
        <v>6868</v>
      </c>
      <c r="C95" s="250" t="s">
        <v>10103</v>
      </c>
      <c r="D95" s="241" t="s">
        <v>10093</v>
      </c>
      <c r="E95" s="251" t="s">
        <v>10094</v>
      </c>
      <c r="F95" s="241" t="s">
        <v>10104</v>
      </c>
      <c r="G95" s="241" t="s">
        <v>10105</v>
      </c>
      <c r="H95" s="241" t="s">
        <v>10106</v>
      </c>
      <c r="I95" s="251" t="s">
        <v>10098</v>
      </c>
      <c r="J95" s="241" t="s">
        <v>10099</v>
      </c>
      <c r="K95" s="252" t="s">
        <v>10100</v>
      </c>
      <c r="L95" s="239" t="s">
        <v>9802</v>
      </c>
      <c r="M95" s="6" t="s">
        <v>5018</v>
      </c>
      <c r="N95" s="30" t="s">
        <v>751</v>
      </c>
      <c r="O95" s="30" t="s">
        <v>10101</v>
      </c>
      <c r="P95" s="30" t="s">
        <v>9981</v>
      </c>
      <c r="Q95" s="239" t="s">
        <v>7551</v>
      </c>
    </row>
    <row r="96" customFormat="false" ht="51.75" hidden="false" customHeight="true" outlineLevel="0" collapsed="false">
      <c r="A96" s="241" t="s">
        <v>10107</v>
      </c>
      <c r="B96" s="241" t="s">
        <v>6868</v>
      </c>
      <c r="C96" s="250" t="s">
        <v>10108</v>
      </c>
      <c r="D96" s="241" t="s">
        <v>10109</v>
      </c>
      <c r="E96" s="251" t="s">
        <v>10094</v>
      </c>
      <c r="F96" s="241" t="s">
        <v>10110</v>
      </c>
      <c r="G96" s="241" t="s">
        <v>10111</v>
      </c>
      <c r="H96" s="241" t="s">
        <v>10112</v>
      </c>
      <c r="I96" s="251" t="s">
        <v>10098</v>
      </c>
      <c r="J96" s="241" t="s">
        <v>10099</v>
      </c>
      <c r="K96" s="252" t="s">
        <v>10113</v>
      </c>
      <c r="L96" s="239" t="s">
        <v>9802</v>
      </c>
      <c r="M96" s="6" t="s">
        <v>5023</v>
      </c>
      <c r="N96" s="30" t="s">
        <v>751</v>
      </c>
      <c r="O96" s="30" t="s">
        <v>10101</v>
      </c>
      <c r="P96" s="30" t="s">
        <v>9981</v>
      </c>
      <c r="Q96" s="239" t="s">
        <v>7551</v>
      </c>
    </row>
    <row r="97" customFormat="false" ht="51.75" hidden="false" customHeight="true" outlineLevel="0" collapsed="false">
      <c r="A97" s="241" t="s">
        <v>10114</v>
      </c>
      <c r="B97" s="241" t="s">
        <v>6868</v>
      </c>
      <c r="C97" s="250" t="s">
        <v>10115</v>
      </c>
      <c r="D97" s="241" t="s">
        <v>10109</v>
      </c>
      <c r="E97" s="251" t="s">
        <v>10094</v>
      </c>
      <c r="F97" s="241" t="s">
        <v>10116</v>
      </c>
      <c r="G97" s="241" t="s">
        <v>10117</v>
      </c>
      <c r="H97" s="241" t="s">
        <v>10118</v>
      </c>
      <c r="I97" s="251" t="s">
        <v>10098</v>
      </c>
      <c r="J97" s="241" t="s">
        <v>10099</v>
      </c>
      <c r="K97" s="252" t="s">
        <v>10119</v>
      </c>
      <c r="L97" s="239" t="s">
        <v>9802</v>
      </c>
      <c r="M97" s="6" t="s">
        <v>5027</v>
      </c>
      <c r="N97" s="30" t="s">
        <v>751</v>
      </c>
      <c r="O97" s="30" t="s">
        <v>10101</v>
      </c>
      <c r="P97" s="30" t="s">
        <v>9981</v>
      </c>
      <c r="Q97" s="239" t="s">
        <v>7551</v>
      </c>
    </row>
    <row r="98" customFormat="false" ht="51.75" hidden="false" customHeight="true" outlineLevel="0" collapsed="false">
      <c r="A98" s="241" t="s">
        <v>10120</v>
      </c>
      <c r="B98" s="241" t="s">
        <v>6868</v>
      </c>
      <c r="C98" s="250" t="s">
        <v>10121</v>
      </c>
      <c r="D98" s="241" t="s">
        <v>10109</v>
      </c>
      <c r="E98" s="251" t="s">
        <v>10094</v>
      </c>
      <c r="F98" s="241" t="s">
        <v>10122</v>
      </c>
      <c r="G98" s="241" t="s">
        <v>10123</v>
      </c>
      <c r="H98" s="241" t="s">
        <v>10124</v>
      </c>
      <c r="I98" s="251" t="s">
        <v>10098</v>
      </c>
      <c r="J98" s="241" t="s">
        <v>10099</v>
      </c>
      <c r="K98" s="252" t="s">
        <v>10125</v>
      </c>
      <c r="L98" s="239" t="s">
        <v>9802</v>
      </c>
      <c r="M98" s="6" t="s">
        <v>5030</v>
      </c>
      <c r="N98" s="30" t="s">
        <v>751</v>
      </c>
      <c r="O98" s="30" t="s">
        <v>10101</v>
      </c>
      <c r="P98" s="30" t="s">
        <v>9981</v>
      </c>
      <c r="Q98" s="239" t="s">
        <v>7551</v>
      </c>
    </row>
    <row r="99" customFormat="false" ht="39" hidden="false" customHeight="true" outlineLevel="0" collapsed="false">
      <c r="A99" s="241" t="s">
        <v>10126</v>
      </c>
      <c r="B99" s="241" t="s">
        <v>6868</v>
      </c>
      <c r="C99" s="250" t="s">
        <v>10127</v>
      </c>
      <c r="D99" s="241" t="s">
        <v>8258</v>
      </c>
      <c r="E99" s="251" t="s">
        <v>10094</v>
      </c>
      <c r="F99" s="241" t="s">
        <v>10128</v>
      </c>
      <c r="G99" s="241" t="s">
        <v>10129</v>
      </c>
      <c r="H99" s="241" t="s">
        <v>10130</v>
      </c>
      <c r="I99" s="251" t="s">
        <v>10098</v>
      </c>
      <c r="J99" s="241" t="s">
        <v>10099</v>
      </c>
      <c r="K99" s="252" t="s">
        <v>10131</v>
      </c>
      <c r="L99" s="239" t="s">
        <v>9802</v>
      </c>
      <c r="M99" s="6" t="s">
        <v>5032</v>
      </c>
      <c r="N99" s="30" t="s">
        <v>751</v>
      </c>
      <c r="O99" s="30" t="s">
        <v>10101</v>
      </c>
      <c r="P99" s="30" t="s">
        <v>9981</v>
      </c>
      <c r="Q99" s="239" t="s">
        <v>7551</v>
      </c>
    </row>
    <row r="100" customFormat="false" ht="51.75" hidden="false" customHeight="true" outlineLevel="0" collapsed="false">
      <c r="A100" s="241" t="s">
        <v>10132</v>
      </c>
      <c r="B100" s="241" t="s">
        <v>6868</v>
      </c>
      <c r="C100" s="250" t="s">
        <v>10133</v>
      </c>
      <c r="D100" s="241" t="s">
        <v>10109</v>
      </c>
      <c r="E100" s="251" t="s">
        <v>10094</v>
      </c>
      <c r="F100" s="241" t="s">
        <v>10134</v>
      </c>
      <c r="G100" s="241" t="s">
        <v>10135</v>
      </c>
      <c r="H100" s="241" t="s">
        <v>10136</v>
      </c>
      <c r="I100" s="251" t="s">
        <v>10098</v>
      </c>
      <c r="J100" s="241" t="s">
        <v>10099</v>
      </c>
      <c r="K100" s="252" t="s">
        <v>10137</v>
      </c>
      <c r="L100" s="239" t="s">
        <v>9802</v>
      </c>
      <c r="M100" s="6" t="s">
        <v>5035</v>
      </c>
      <c r="N100" s="30" t="s">
        <v>751</v>
      </c>
      <c r="O100" s="30" t="s">
        <v>10101</v>
      </c>
      <c r="P100" s="30" t="s">
        <v>9981</v>
      </c>
      <c r="Q100" s="239" t="s">
        <v>7551</v>
      </c>
    </row>
    <row r="101" customFormat="false" ht="51.75" hidden="false" customHeight="true" outlineLevel="0" collapsed="false">
      <c r="A101" s="241" t="s">
        <v>10138</v>
      </c>
      <c r="B101" s="241" t="s">
        <v>6868</v>
      </c>
      <c r="C101" s="250" t="s">
        <v>10139</v>
      </c>
      <c r="D101" s="241" t="s">
        <v>10109</v>
      </c>
      <c r="E101" s="251" t="s">
        <v>10094</v>
      </c>
      <c r="F101" s="241" t="s">
        <v>10140</v>
      </c>
      <c r="G101" s="241" t="s">
        <v>10141</v>
      </c>
      <c r="H101" s="241" t="s">
        <v>10142</v>
      </c>
      <c r="I101" s="251" t="s">
        <v>10098</v>
      </c>
      <c r="J101" s="241" t="s">
        <v>10099</v>
      </c>
      <c r="K101" s="252" t="s">
        <v>10143</v>
      </c>
      <c r="L101" s="239" t="s">
        <v>9802</v>
      </c>
      <c r="M101" s="6" t="s">
        <v>5039</v>
      </c>
      <c r="N101" s="30" t="s">
        <v>751</v>
      </c>
      <c r="O101" s="30" t="s">
        <v>10101</v>
      </c>
      <c r="P101" s="30" t="s">
        <v>9981</v>
      </c>
      <c r="Q101" s="239" t="s">
        <v>7551</v>
      </c>
    </row>
    <row r="102" customFormat="false" ht="51.75" hidden="false" customHeight="true" outlineLevel="0" collapsed="false">
      <c r="A102" s="241" t="s">
        <v>10144</v>
      </c>
      <c r="B102" s="241" t="s">
        <v>6868</v>
      </c>
      <c r="C102" s="250" t="s">
        <v>10145</v>
      </c>
      <c r="D102" s="241" t="s">
        <v>10109</v>
      </c>
      <c r="E102" s="251" t="s">
        <v>10094</v>
      </c>
      <c r="F102" s="241" t="s">
        <v>10146</v>
      </c>
      <c r="G102" s="241" t="s">
        <v>10147</v>
      </c>
      <c r="H102" s="241" t="s">
        <v>10148</v>
      </c>
      <c r="I102" s="251" t="s">
        <v>10098</v>
      </c>
      <c r="J102" s="241" t="s">
        <v>10099</v>
      </c>
      <c r="K102" s="252" t="s">
        <v>10149</v>
      </c>
      <c r="L102" s="239" t="s">
        <v>9802</v>
      </c>
      <c r="M102" s="6" t="s">
        <v>5043</v>
      </c>
      <c r="N102" s="30" t="s">
        <v>751</v>
      </c>
      <c r="O102" s="30" t="s">
        <v>10101</v>
      </c>
      <c r="P102" s="30" t="s">
        <v>9981</v>
      </c>
      <c r="Q102" s="239" t="s">
        <v>7551</v>
      </c>
    </row>
    <row r="103" customFormat="false" ht="39" hidden="false" customHeight="true" outlineLevel="0" collapsed="false">
      <c r="A103" s="241" t="s">
        <v>10150</v>
      </c>
      <c r="B103" s="241" t="s">
        <v>6868</v>
      </c>
      <c r="C103" s="250" t="s">
        <v>10151</v>
      </c>
      <c r="D103" s="241" t="s">
        <v>10109</v>
      </c>
      <c r="E103" s="251" t="s">
        <v>10094</v>
      </c>
      <c r="F103" s="241" t="s">
        <v>10152</v>
      </c>
      <c r="G103" s="241" t="s">
        <v>10153</v>
      </c>
      <c r="H103" s="241" t="s">
        <v>10154</v>
      </c>
      <c r="I103" s="251" t="s">
        <v>10098</v>
      </c>
      <c r="J103" s="241" t="s">
        <v>10099</v>
      </c>
      <c r="K103" s="252" t="s">
        <v>10155</v>
      </c>
      <c r="L103" s="239" t="s">
        <v>9802</v>
      </c>
      <c r="M103" s="6" t="s">
        <v>5052</v>
      </c>
      <c r="N103" s="30" t="s">
        <v>751</v>
      </c>
      <c r="O103" s="30" t="s">
        <v>10101</v>
      </c>
      <c r="P103" s="30" t="s">
        <v>9981</v>
      </c>
      <c r="Q103" s="239" t="s">
        <v>7551</v>
      </c>
    </row>
    <row r="104" customFormat="false" ht="51.75" hidden="false" customHeight="true" outlineLevel="0" collapsed="false">
      <c r="A104" s="241" t="s">
        <v>10156</v>
      </c>
      <c r="B104" s="241" t="s">
        <v>6868</v>
      </c>
      <c r="C104" s="250" t="s">
        <v>10157</v>
      </c>
      <c r="D104" s="241" t="s">
        <v>10109</v>
      </c>
      <c r="E104" s="251" t="s">
        <v>10094</v>
      </c>
      <c r="F104" s="241" t="s">
        <v>10158</v>
      </c>
      <c r="G104" s="241" t="s">
        <v>10159</v>
      </c>
      <c r="H104" s="241" t="s">
        <v>10160</v>
      </c>
      <c r="I104" s="251" t="s">
        <v>10098</v>
      </c>
      <c r="J104" s="241" t="s">
        <v>10099</v>
      </c>
      <c r="K104" s="252" t="s">
        <v>10161</v>
      </c>
      <c r="L104" s="239" t="s">
        <v>9802</v>
      </c>
      <c r="M104" s="6" t="s">
        <v>5056</v>
      </c>
      <c r="N104" s="30" t="s">
        <v>751</v>
      </c>
      <c r="O104" s="30" t="s">
        <v>10101</v>
      </c>
      <c r="P104" s="30" t="s">
        <v>9981</v>
      </c>
      <c r="Q104" s="239" t="s">
        <v>7551</v>
      </c>
    </row>
    <row r="105" customFormat="false" ht="64.5" hidden="false" customHeight="true" outlineLevel="0" collapsed="false">
      <c r="A105" s="241" t="s">
        <v>10162</v>
      </c>
      <c r="B105" s="241" t="s">
        <v>6868</v>
      </c>
      <c r="C105" s="250" t="s">
        <v>10163</v>
      </c>
      <c r="D105" s="241" t="s">
        <v>10164</v>
      </c>
      <c r="E105" s="251" t="s">
        <v>10094</v>
      </c>
      <c r="F105" s="241" t="s">
        <v>10165</v>
      </c>
      <c r="G105" s="241" t="s">
        <v>10166</v>
      </c>
      <c r="H105" s="251" t="s">
        <v>10167</v>
      </c>
      <c r="I105" s="251" t="s">
        <v>10098</v>
      </c>
      <c r="J105" s="241" t="s">
        <v>10099</v>
      </c>
      <c r="K105" s="252" t="s">
        <v>10168</v>
      </c>
      <c r="L105" s="239" t="s">
        <v>9802</v>
      </c>
      <c r="M105" s="6" t="s">
        <v>4719</v>
      </c>
      <c r="N105" s="30" t="s">
        <v>751</v>
      </c>
      <c r="O105" s="30" t="s">
        <v>10101</v>
      </c>
      <c r="P105" s="30" t="s">
        <v>9981</v>
      </c>
      <c r="Q105" s="239" t="s">
        <v>7551</v>
      </c>
    </row>
    <row r="106" customFormat="false" ht="50.25" hidden="false" customHeight="true" outlineLevel="0" collapsed="false">
      <c r="A106" s="241" t="s">
        <v>10169</v>
      </c>
      <c r="B106" s="241" t="s">
        <v>6868</v>
      </c>
      <c r="C106" s="250" t="s">
        <v>10170</v>
      </c>
      <c r="D106" s="241" t="s">
        <v>10171</v>
      </c>
      <c r="E106" s="251" t="s">
        <v>10094</v>
      </c>
      <c r="F106" s="241" t="s">
        <v>10172</v>
      </c>
      <c r="G106" s="241" t="s">
        <v>10173</v>
      </c>
      <c r="H106" s="241" t="s">
        <v>10174</v>
      </c>
      <c r="I106" s="251" t="s">
        <v>10098</v>
      </c>
      <c r="J106" s="241" t="s">
        <v>10099</v>
      </c>
      <c r="K106" s="252" t="s">
        <v>10175</v>
      </c>
      <c r="L106" s="239" t="s">
        <v>9802</v>
      </c>
      <c r="M106" s="6" t="s">
        <v>4810</v>
      </c>
      <c r="N106" s="30" t="s">
        <v>751</v>
      </c>
      <c r="O106" s="30" t="s">
        <v>10101</v>
      </c>
      <c r="P106" s="30" t="s">
        <v>9981</v>
      </c>
      <c r="Q106" s="239" t="s">
        <v>7551</v>
      </c>
    </row>
    <row r="107" customFormat="false" ht="51.75" hidden="false" customHeight="true" outlineLevel="0" collapsed="false">
      <c r="A107" s="241" t="s">
        <v>10176</v>
      </c>
      <c r="B107" s="241" t="s">
        <v>6868</v>
      </c>
      <c r="C107" s="250" t="s">
        <v>10177</v>
      </c>
      <c r="D107" s="241" t="s">
        <v>10178</v>
      </c>
      <c r="E107" s="251" t="s">
        <v>10094</v>
      </c>
      <c r="F107" s="241" t="s">
        <v>10179</v>
      </c>
      <c r="G107" s="241" t="s">
        <v>10180</v>
      </c>
      <c r="H107" s="241" t="s">
        <v>10181</v>
      </c>
      <c r="I107" s="251" t="s">
        <v>10098</v>
      </c>
      <c r="J107" s="241" t="s">
        <v>10099</v>
      </c>
      <c r="K107" s="252" t="s">
        <v>10182</v>
      </c>
      <c r="L107" s="239" t="s">
        <v>9802</v>
      </c>
      <c r="M107" s="6" t="s">
        <v>4812</v>
      </c>
      <c r="N107" s="30" t="s">
        <v>751</v>
      </c>
      <c r="O107" s="30" t="s">
        <v>10101</v>
      </c>
      <c r="P107" s="30" t="s">
        <v>9981</v>
      </c>
      <c r="Q107" s="239" t="s">
        <v>7551</v>
      </c>
    </row>
    <row r="108" customFormat="false" ht="77.25" hidden="false" customHeight="true" outlineLevel="0" collapsed="false">
      <c r="A108" s="241" t="s">
        <v>10183</v>
      </c>
      <c r="B108" s="241" t="s">
        <v>6868</v>
      </c>
      <c r="C108" s="250" t="s">
        <v>10184</v>
      </c>
      <c r="D108" s="241" t="s">
        <v>10185</v>
      </c>
      <c r="E108" s="251" t="s">
        <v>10094</v>
      </c>
      <c r="F108" s="241" t="s">
        <v>10186</v>
      </c>
      <c r="G108" s="241" t="s">
        <v>10187</v>
      </c>
      <c r="H108" s="241" t="s">
        <v>10188</v>
      </c>
      <c r="I108" s="251" t="s">
        <v>10098</v>
      </c>
      <c r="J108" s="241" t="s">
        <v>10099</v>
      </c>
      <c r="K108" s="252" t="s">
        <v>10189</v>
      </c>
      <c r="L108" s="239" t="s">
        <v>9802</v>
      </c>
      <c r="M108" s="6" t="s">
        <v>4806</v>
      </c>
      <c r="N108" s="30" t="s">
        <v>751</v>
      </c>
      <c r="O108" s="30" t="s">
        <v>10101</v>
      </c>
      <c r="P108" s="30" t="s">
        <v>9981</v>
      </c>
      <c r="Q108" s="239" t="s">
        <v>7551</v>
      </c>
    </row>
    <row r="109" customFormat="false" ht="50.25" hidden="false" customHeight="true" outlineLevel="0" collapsed="false">
      <c r="A109" s="241" t="s">
        <v>10190</v>
      </c>
      <c r="B109" s="241" t="s">
        <v>6868</v>
      </c>
      <c r="C109" s="250" t="s">
        <v>10191</v>
      </c>
      <c r="D109" s="241" t="s">
        <v>10171</v>
      </c>
      <c r="E109" s="251" t="s">
        <v>10094</v>
      </c>
      <c r="F109" s="241" t="s">
        <v>10192</v>
      </c>
      <c r="G109" s="241" t="s">
        <v>10193</v>
      </c>
      <c r="H109" s="241" t="s">
        <v>10194</v>
      </c>
      <c r="I109" s="251" t="s">
        <v>10098</v>
      </c>
      <c r="J109" s="241" t="s">
        <v>10099</v>
      </c>
      <c r="K109" s="252" t="s">
        <v>10195</v>
      </c>
      <c r="L109" s="239" t="s">
        <v>9802</v>
      </c>
      <c r="M109" s="6" t="s">
        <v>4986</v>
      </c>
      <c r="N109" s="30" t="s">
        <v>751</v>
      </c>
      <c r="O109" s="30" t="s">
        <v>10101</v>
      </c>
      <c r="P109" s="30" t="s">
        <v>9981</v>
      </c>
      <c r="Q109" s="239" t="s">
        <v>7551</v>
      </c>
    </row>
    <row r="110" customFormat="false" ht="64.5" hidden="false" customHeight="true" outlineLevel="0" collapsed="false">
      <c r="A110" s="241" t="s">
        <v>6402</v>
      </c>
      <c r="B110" s="241" t="s">
        <v>6868</v>
      </c>
      <c r="C110" s="250" t="s">
        <v>10196</v>
      </c>
      <c r="D110" s="241" t="s">
        <v>10197</v>
      </c>
      <c r="E110" s="251" t="s">
        <v>10094</v>
      </c>
      <c r="F110" s="241" t="s">
        <v>10198</v>
      </c>
      <c r="G110" s="241" t="s">
        <v>10199</v>
      </c>
      <c r="H110" s="241" t="s">
        <v>10200</v>
      </c>
      <c r="I110" s="251" t="s">
        <v>10098</v>
      </c>
      <c r="J110" s="241" t="s">
        <v>10099</v>
      </c>
      <c r="K110" s="252" t="s">
        <v>10201</v>
      </c>
      <c r="L110" s="239" t="s">
        <v>9802</v>
      </c>
      <c r="M110" s="6" t="s">
        <v>4695</v>
      </c>
      <c r="N110" s="30" t="s">
        <v>751</v>
      </c>
      <c r="O110" s="30" t="s">
        <v>10101</v>
      </c>
      <c r="P110" s="30" t="s">
        <v>9981</v>
      </c>
      <c r="Q110" s="239" t="s">
        <v>7551</v>
      </c>
    </row>
    <row r="111" customFormat="false" ht="77.25" hidden="false" customHeight="true" outlineLevel="0" collapsed="false">
      <c r="A111" s="241" t="s">
        <v>10202</v>
      </c>
      <c r="B111" s="241" t="s">
        <v>6868</v>
      </c>
      <c r="C111" s="250" t="s">
        <v>10203</v>
      </c>
      <c r="D111" s="241" t="s">
        <v>10204</v>
      </c>
      <c r="E111" s="251" t="s">
        <v>10094</v>
      </c>
      <c r="F111" s="251" t="s">
        <v>10205</v>
      </c>
      <c r="G111" s="251" t="s">
        <v>10206</v>
      </c>
      <c r="H111" s="241" t="s">
        <v>10207</v>
      </c>
      <c r="I111" s="251" t="s">
        <v>10098</v>
      </c>
      <c r="J111" s="241" t="s">
        <v>10099</v>
      </c>
      <c r="K111" s="252" t="s">
        <v>10208</v>
      </c>
      <c r="L111" s="239" t="s">
        <v>9802</v>
      </c>
      <c r="M111" s="6" t="s">
        <v>5916</v>
      </c>
      <c r="N111" s="30" t="s">
        <v>751</v>
      </c>
      <c r="O111" s="30" t="s">
        <v>10101</v>
      </c>
      <c r="P111" s="30" t="s">
        <v>9981</v>
      </c>
      <c r="Q111" s="239" t="s">
        <v>7551</v>
      </c>
    </row>
    <row r="112" customFormat="false" ht="39" hidden="false" customHeight="true" outlineLevel="0" collapsed="false">
      <c r="A112" s="241" t="s">
        <v>10209</v>
      </c>
      <c r="B112" s="241" t="s">
        <v>6868</v>
      </c>
      <c r="C112" s="250" t="s">
        <v>10210</v>
      </c>
      <c r="D112" s="241" t="s">
        <v>10204</v>
      </c>
      <c r="E112" s="251" t="s">
        <v>10094</v>
      </c>
      <c r="F112" s="241" t="s">
        <v>10211</v>
      </c>
      <c r="G112" s="241" t="s">
        <v>10212</v>
      </c>
      <c r="H112" s="251" t="s">
        <v>10213</v>
      </c>
      <c r="I112" s="251" t="s">
        <v>10098</v>
      </c>
      <c r="J112" s="241" t="s">
        <v>10099</v>
      </c>
      <c r="K112" s="252" t="s">
        <v>10214</v>
      </c>
      <c r="L112" s="239" t="s">
        <v>9802</v>
      </c>
      <c r="M112" s="6" t="s">
        <v>5921</v>
      </c>
      <c r="N112" s="30" t="s">
        <v>751</v>
      </c>
      <c r="O112" s="30" t="s">
        <v>10101</v>
      </c>
      <c r="P112" s="30" t="s">
        <v>9981</v>
      </c>
      <c r="Q112" s="239" t="s">
        <v>7551</v>
      </c>
    </row>
    <row r="113" customFormat="false" ht="77.25" hidden="false" customHeight="true" outlineLevel="0" collapsed="false">
      <c r="A113" s="241" t="s">
        <v>10215</v>
      </c>
      <c r="B113" s="241" t="s">
        <v>6868</v>
      </c>
      <c r="C113" s="250" t="s">
        <v>10216</v>
      </c>
      <c r="D113" s="241" t="s">
        <v>10217</v>
      </c>
      <c r="E113" s="251" t="s">
        <v>10094</v>
      </c>
      <c r="F113" s="241" t="s">
        <v>10218</v>
      </c>
      <c r="G113" s="241" t="s">
        <v>10219</v>
      </c>
      <c r="H113" s="241" t="s">
        <v>10219</v>
      </c>
      <c r="I113" s="251" t="s">
        <v>10098</v>
      </c>
      <c r="J113" s="241" t="s">
        <v>10099</v>
      </c>
      <c r="K113" s="252" t="s">
        <v>10220</v>
      </c>
      <c r="L113" s="239" t="s">
        <v>9802</v>
      </c>
      <c r="M113" s="6" t="s">
        <v>8942</v>
      </c>
      <c r="N113" s="30" t="s">
        <v>751</v>
      </c>
      <c r="O113" s="30" t="s">
        <v>10101</v>
      </c>
      <c r="P113" s="30" t="s">
        <v>9981</v>
      </c>
      <c r="Q113" s="239" t="s">
        <v>7658</v>
      </c>
    </row>
    <row r="114" customFormat="false" ht="37.5" hidden="false" customHeight="true" outlineLevel="0" collapsed="false">
      <c r="A114" s="241" t="s">
        <v>10221</v>
      </c>
      <c r="B114" s="241" t="s">
        <v>6868</v>
      </c>
      <c r="C114" s="250" t="s">
        <v>10222</v>
      </c>
      <c r="D114" s="241" t="s">
        <v>10217</v>
      </c>
      <c r="E114" s="251" t="s">
        <v>10094</v>
      </c>
      <c r="F114" s="241" t="s">
        <v>10223</v>
      </c>
      <c r="G114" s="241" t="s">
        <v>10224</v>
      </c>
      <c r="H114" s="241" t="s">
        <v>10224</v>
      </c>
      <c r="I114" s="251" t="s">
        <v>10098</v>
      </c>
      <c r="J114" s="241" t="s">
        <v>10099</v>
      </c>
      <c r="K114" s="252" t="s">
        <v>10225</v>
      </c>
      <c r="L114" s="239" t="s">
        <v>9802</v>
      </c>
      <c r="M114" s="6" t="s">
        <v>8957</v>
      </c>
      <c r="N114" s="30" t="s">
        <v>751</v>
      </c>
      <c r="O114" s="30" t="s">
        <v>10101</v>
      </c>
      <c r="P114" s="30" t="s">
        <v>9981</v>
      </c>
      <c r="Q114" s="239" t="s">
        <v>7658</v>
      </c>
    </row>
    <row r="115" customFormat="false" ht="51.75" hidden="false" customHeight="true" outlineLevel="0" collapsed="false">
      <c r="A115" s="241" t="s">
        <v>10226</v>
      </c>
      <c r="B115" s="241" t="s">
        <v>6868</v>
      </c>
      <c r="C115" s="252" t="s">
        <v>10227</v>
      </c>
      <c r="D115" s="241" t="s">
        <v>10228</v>
      </c>
      <c r="E115" s="251" t="s">
        <v>10094</v>
      </c>
      <c r="F115" s="241" t="s">
        <v>10229</v>
      </c>
      <c r="G115" s="251" t="s">
        <v>10230</v>
      </c>
      <c r="H115" s="241" t="s">
        <v>10231</v>
      </c>
      <c r="I115" s="251" t="s">
        <v>10098</v>
      </c>
      <c r="J115" s="241" t="s">
        <v>10099</v>
      </c>
      <c r="K115" s="252" t="s">
        <v>10232</v>
      </c>
      <c r="L115" s="239" t="s">
        <v>9802</v>
      </c>
      <c r="M115" s="6" t="s">
        <v>3444</v>
      </c>
      <c r="N115" s="30" t="s">
        <v>751</v>
      </c>
      <c r="O115" s="30" t="s">
        <v>10101</v>
      </c>
      <c r="P115" s="30" t="s">
        <v>9981</v>
      </c>
      <c r="Q115" s="239" t="s">
        <v>7658</v>
      </c>
    </row>
    <row r="116" customFormat="false" ht="64.5" hidden="false" customHeight="true" outlineLevel="0" collapsed="false">
      <c r="A116" s="241" t="s">
        <v>10233</v>
      </c>
      <c r="B116" s="241" t="s">
        <v>6868</v>
      </c>
      <c r="C116" s="250" t="s">
        <v>10234</v>
      </c>
      <c r="D116" s="241" t="s">
        <v>10235</v>
      </c>
      <c r="E116" s="251" t="s">
        <v>10094</v>
      </c>
      <c r="F116" s="251" t="s">
        <v>10236</v>
      </c>
      <c r="G116" s="241" t="s">
        <v>10237</v>
      </c>
      <c r="H116" s="241" t="s">
        <v>10238</v>
      </c>
      <c r="I116" s="251" t="s">
        <v>10239</v>
      </c>
      <c r="J116" s="241" t="s">
        <v>10099</v>
      </c>
      <c r="K116" s="252" t="s">
        <v>10240</v>
      </c>
      <c r="L116" s="239" t="s">
        <v>9802</v>
      </c>
      <c r="M116" s="6" t="s">
        <v>6339</v>
      </c>
      <c r="N116" s="30" t="s">
        <v>751</v>
      </c>
      <c r="O116" s="30" t="s">
        <v>10101</v>
      </c>
      <c r="P116" s="30" t="s">
        <v>9981</v>
      </c>
      <c r="Q116" s="30" t="s">
        <v>227</v>
      </c>
    </row>
    <row r="117" customFormat="false" ht="77.25" hidden="false" customHeight="true" outlineLevel="0" collapsed="false">
      <c r="A117" s="241" t="s">
        <v>10241</v>
      </c>
      <c r="B117" s="241" t="s">
        <v>6868</v>
      </c>
      <c r="C117" s="250" t="s">
        <v>10242</v>
      </c>
      <c r="D117" s="241" t="s">
        <v>10243</v>
      </c>
      <c r="E117" s="251" t="s">
        <v>10094</v>
      </c>
      <c r="F117" s="241" t="s">
        <v>10244</v>
      </c>
      <c r="G117" s="241" t="s">
        <v>10245</v>
      </c>
      <c r="H117" s="241" t="s">
        <v>10246</v>
      </c>
      <c r="I117" s="251" t="s">
        <v>10247</v>
      </c>
      <c r="J117" s="241" t="s">
        <v>10099</v>
      </c>
      <c r="K117" s="252" t="s">
        <v>10248</v>
      </c>
      <c r="L117" s="239" t="s">
        <v>9802</v>
      </c>
      <c r="M117" s="6" t="s">
        <v>4730</v>
      </c>
      <c r="N117" s="30" t="s">
        <v>751</v>
      </c>
      <c r="O117" s="30" t="s">
        <v>10249</v>
      </c>
      <c r="P117" s="30" t="s">
        <v>9981</v>
      </c>
      <c r="Q117" s="239" t="s">
        <v>7551</v>
      </c>
    </row>
    <row r="118" customFormat="false" ht="64.5" hidden="false" customHeight="true" outlineLevel="0" collapsed="false">
      <c r="A118" s="241" t="s">
        <v>7891</v>
      </c>
      <c r="B118" s="241" t="s">
        <v>6868</v>
      </c>
      <c r="C118" s="250" t="s">
        <v>10250</v>
      </c>
      <c r="D118" s="241" t="s">
        <v>10251</v>
      </c>
      <c r="E118" s="251" t="s">
        <v>10094</v>
      </c>
      <c r="F118" s="251" t="s">
        <v>7892</v>
      </c>
      <c r="G118" s="241" t="s">
        <v>751</v>
      </c>
      <c r="H118" s="241" t="s">
        <v>10252</v>
      </c>
      <c r="I118" s="251" t="s">
        <v>10253</v>
      </c>
      <c r="J118" s="241" t="s">
        <v>10099</v>
      </c>
      <c r="K118" s="252" t="s">
        <v>10254</v>
      </c>
      <c r="L118" s="239" t="s">
        <v>9802</v>
      </c>
      <c r="M118" s="6" t="s">
        <v>7886</v>
      </c>
      <c r="N118" s="30" t="s">
        <v>751</v>
      </c>
      <c r="O118" s="30" t="s">
        <v>751</v>
      </c>
      <c r="P118" s="30" t="s">
        <v>9981</v>
      </c>
      <c r="Q118" s="239" t="s">
        <v>7551</v>
      </c>
    </row>
    <row r="119" customFormat="false" ht="64.5" hidden="false" customHeight="true" outlineLevel="0" collapsed="false">
      <c r="A119" s="241" t="s">
        <v>10255</v>
      </c>
      <c r="B119" s="241" t="s">
        <v>6868</v>
      </c>
      <c r="C119" s="250" t="s">
        <v>10256</v>
      </c>
      <c r="D119" s="241" t="s">
        <v>10257</v>
      </c>
      <c r="E119" s="251" t="s">
        <v>10094</v>
      </c>
      <c r="F119" s="241" t="s">
        <v>10258</v>
      </c>
      <c r="G119" s="241" t="s">
        <v>10259</v>
      </c>
      <c r="H119" s="241" t="s">
        <v>10260</v>
      </c>
      <c r="I119" s="251" t="s">
        <v>10261</v>
      </c>
      <c r="J119" s="241" t="s">
        <v>10099</v>
      </c>
      <c r="K119" s="252" t="s">
        <v>10262</v>
      </c>
      <c r="L119" s="239" t="s">
        <v>9802</v>
      </c>
      <c r="M119" s="6" t="s">
        <v>4707</v>
      </c>
      <c r="N119" s="30" t="s">
        <v>751</v>
      </c>
      <c r="O119" s="30" t="s">
        <v>10263</v>
      </c>
      <c r="P119" s="30" t="s">
        <v>9981</v>
      </c>
      <c r="Q119" s="239" t="s">
        <v>7551</v>
      </c>
    </row>
    <row r="120" customFormat="false" ht="64.5" hidden="false" customHeight="true" outlineLevel="0" collapsed="false">
      <c r="A120" s="241" t="s">
        <v>10264</v>
      </c>
      <c r="B120" s="241" t="s">
        <v>6889</v>
      </c>
      <c r="C120" s="250" t="s">
        <v>10265</v>
      </c>
      <c r="D120" s="241" t="s">
        <v>10266</v>
      </c>
      <c r="E120" s="251" t="s">
        <v>10267</v>
      </c>
      <c r="F120" s="241" t="s">
        <v>10268</v>
      </c>
      <c r="G120" s="241" t="s">
        <v>10269</v>
      </c>
      <c r="H120" s="251" t="s">
        <v>10270</v>
      </c>
      <c r="I120" s="251" t="s">
        <v>10271</v>
      </c>
      <c r="J120" s="241" t="s">
        <v>10099</v>
      </c>
      <c r="K120" s="252" t="s">
        <v>10272</v>
      </c>
      <c r="L120" s="239" t="s">
        <v>9802</v>
      </c>
      <c r="M120" s="6" t="s">
        <v>4749</v>
      </c>
      <c r="N120" s="30" t="s">
        <v>751</v>
      </c>
      <c r="O120" s="30" t="s">
        <v>751</v>
      </c>
      <c r="P120" s="30" t="s">
        <v>9956</v>
      </c>
      <c r="Q120" s="239" t="s">
        <v>7551</v>
      </c>
    </row>
    <row r="121" customFormat="false" ht="64.5" hidden="false" customHeight="true" outlineLevel="0" collapsed="false">
      <c r="A121" s="241" t="s">
        <v>10273</v>
      </c>
      <c r="B121" s="241" t="s">
        <v>6868</v>
      </c>
      <c r="C121" s="250" t="s">
        <v>10274</v>
      </c>
      <c r="D121" s="251" t="s">
        <v>10275</v>
      </c>
      <c r="E121" s="251" t="s">
        <v>10267</v>
      </c>
      <c r="F121" s="241" t="s">
        <v>10276</v>
      </c>
      <c r="G121" s="241" t="s">
        <v>10269</v>
      </c>
      <c r="H121" s="251" t="s">
        <v>10277</v>
      </c>
      <c r="I121" s="251" t="s">
        <v>10278</v>
      </c>
      <c r="J121" s="241" t="s">
        <v>10099</v>
      </c>
      <c r="K121" s="252" t="s">
        <v>10279</v>
      </c>
      <c r="L121" s="239" t="s">
        <v>9802</v>
      </c>
      <c r="M121" s="6" t="s">
        <v>4749</v>
      </c>
      <c r="N121" s="30" t="s">
        <v>751</v>
      </c>
      <c r="O121" s="30" t="s">
        <v>10101</v>
      </c>
      <c r="P121" s="30" t="s">
        <v>9956</v>
      </c>
      <c r="Q121" s="239" t="s">
        <v>10280</v>
      </c>
    </row>
    <row r="122" customFormat="false" ht="90" hidden="false" customHeight="true" outlineLevel="0" collapsed="false">
      <c r="A122" s="241" t="s">
        <v>10281</v>
      </c>
      <c r="B122" s="241" t="s">
        <v>6868</v>
      </c>
      <c r="C122" s="250" t="s">
        <v>10282</v>
      </c>
      <c r="D122" s="241" t="s">
        <v>10283</v>
      </c>
      <c r="E122" s="251" t="s">
        <v>10267</v>
      </c>
      <c r="F122" s="241" t="s">
        <v>10284</v>
      </c>
      <c r="G122" s="241" t="s">
        <v>10285</v>
      </c>
      <c r="H122" s="251" t="s">
        <v>10286</v>
      </c>
      <c r="I122" s="251" t="s">
        <v>10278</v>
      </c>
      <c r="J122" s="241" t="s">
        <v>10099</v>
      </c>
      <c r="K122" s="252" t="s">
        <v>10287</v>
      </c>
      <c r="L122" s="239" t="s">
        <v>9802</v>
      </c>
      <c r="M122" s="6" t="s">
        <v>4709</v>
      </c>
      <c r="N122" s="30" t="s">
        <v>751</v>
      </c>
      <c r="O122" s="30" t="s">
        <v>10101</v>
      </c>
      <c r="P122" s="30" t="s">
        <v>9956</v>
      </c>
      <c r="Q122" s="30" t="s">
        <v>10288</v>
      </c>
    </row>
    <row r="123" customFormat="false" ht="90" hidden="false" customHeight="true" outlineLevel="0" collapsed="false">
      <c r="A123" s="241" t="s">
        <v>10289</v>
      </c>
      <c r="B123" s="241" t="s">
        <v>6868</v>
      </c>
      <c r="C123" s="250" t="s">
        <v>10290</v>
      </c>
      <c r="D123" s="241" t="s">
        <v>10291</v>
      </c>
      <c r="E123" s="251" t="s">
        <v>10267</v>
      </c>
      <c r="F123" s="241" t="s">
        <v>10292</v>
      </c>
      <c r="G123" s="241" t="s">
        <v>10293</v>
      </c>
      <c r="H123" s="251" t="s">
        <v>10294</v>
      </c>
      <c r="I123" s="251" t="s">
        <v>10278</v>
      </c>
      <c r="J123" s="241" t="s">
        <v>10099</v>
      </c>
      <c r="K123" s="252" t="s">
        <v>10295</v>
      </c>
      <c r="L123" s="239" t="s">
        <v>9802</v>
      </c>
      <c r="M123" s="6" t="s">
        <v>4753</v>
      </c>
      <c r="N123" s="30" t="s">
        <v>751</v>
      </c>
      <c r="O123" s="30" t="s">
        <v>10101</v>
      </c>
      <c r="P123" s="30" t="s">
        <v>9956</v>
      </c>
      <c r="Q123" s="30" t="s">
        <v>10296</v>
      </c>
    </row>
    <row r="124" customFormat="false" ht="101.25" hidden="false" customHeight="true" outlineLevel="0" collapsed="false">
      <c r="A124" s="241" t="s">
        <v>10297</v>
      </c>
      <c r="B124" s="241" t="s">
        <v>6868</v>
      </c>
      <c r="C124" s="250" t="s">
        <v>10298</v>
      </c>
      <c r="D124" s="241" t="s">
        <v>10283</v>
      </c>
      <c r="E124" s="251" t="s">
        <v>10267</v>
      </c>
      <c r="F124" s="241" t="s">
        <v>10299</v>
      </c>
      <c r="G124" s="241" t="s">
        <v>10300</v>
      </c>
      <c r="H124" s="251" t="s">
        <v>10301</v>
      </c>
      <c r="I124" s="251" t="s">
        <v>10278</v>
      </c>
      <c r="J124" s="241" t="s">
        <v>10099</v>
      </c>
      <c r="K124" s="252" t="s">
        <v>10302</v>
      </c>
      <c r="L124" s="239" t="s">
        <v>9802</v>
      </c>
      <c r="M124" s="6" t="s">
        <v>4794</v>
      </c>
      <c r="N124" s="30" t="s">
        <v>751</v>
      </c>
      <c r="O124" s="30" t="s">
        <v>10101</v>
      </c>
      <c r="P124" s="30" t="s">
        <v>9956</v>
      </c>
      <c r="Q124" s="30" t="s">
        <v>10303</v>
      </c>
    </row>
    <row r="125" customFormat="false" ht="115.5" hidden="false" customHeight="true" outlineLevel="0" collapsed="false">
      <c r="A125" s="241" t="s">
        <v>10304</v>
      </c>
      <c r="B125" s="241" t="s">
        <v>6868</v>
      </c>
      <c r="C125" s="250" t="s">
        <v>10305</v>
      </c>
      <c r="D125" s="241" t="s">
        <v>10306</v>
      </c>
      <c r="E125" s="251" t="s">
        <v>10267</v>
      </c>
      <c r="F125" s="241" t="s">
        <v>10307</v>
      </c>
      <c r="G125" s="241" t="s">
        <v>10308</v>
      </c>
      <c r="H125" s="251" t="s">
        <v>10309</v>
      </c>
      <c r="I125" s="251" t="s">
        <v>10278</v>
      </c>
      <c r="J125" s="241" t="s">
        <v>10099</v>
      </c>
      <c r="K125" s="252" t="s">
        <v>10310</v>
      </c>
      <c r="L125" s="239" t="s">
        <v>9802</v>
      </c>
      <c r="M125" s="6" t="s">
        <v>4760</v>
      </c>
      <c r="N125" s="30" t="s">
        <v>751</v>
      </c>
      <c r="O125" s="30" t="s">
        <v>10101</v>
      </c>
      <c r="P125" s="30" t="s">
        <v>9956</v>
      </c>
      <c r="Q125" s="30" t="s">
        <v>10311</v>
      </c>
    </row>
    <row r="126" customFormat="false" ht="115.5" hidden="false" customHeight="true" outlineLevel="0" collapsed="false">
      <c r="A126" s="241" t="s">
        <v>10312</v>
      </c>
      <c r="B126" s="241" t="s">
        <v>6868</v>
      </c>
      <c r="C126" s="250" t="s">
        <v>10313</v>
      </c>
      <c r="D126" s="241" t="s">
        <v>10314</v>
      </c>
      <c r="E126" s="251" t="s">
        <v>10267</v>
      </c>
      <c r="F126" s="241" t="s">
        <v>10315</v>
      </c>
      <c r="G126" s="241" t="s">
        <v>10316</v>
      </c>
      <c r="H126" s="251" t="s">
        <v>10317</v>
      </c>
      <c r="I126" s="251" t="s">
        <v>10318</v>
      </c>
      <c r="J126" s="241" t="s">
        <v>10099</v>
      </c>
      <c r="K126" s="252" t="s">
        <v>10319</v>
      </c>
      <c r="L126" s="239" t="s">
        <v>9802</v>
      </c>
      <c r="M126" s="6" t="s">
        <v>5290</v>
      </c>
      <c r="N126" s="30" t="s">
        <v>751</v>
      </c>
      <c r="O126" s="30" t="s">
        <v>10101</v>
      </c>
      <c r="P126" s="30" t="s">
        <v>9956</v>
      </c>
      <c r="Q126" s="239" t="s">
        <v>7551</v>
      </c>
    </row>
    <row r="127" customFormat="false" ht="115.5" hidden="false" customHeight="true" outlineLevel="0" collapsed="false">
      <c r="A127" s="241" t="s">
        <v>10320</v>
      </c>
      <c r="B127" s="241" t="s">
        <v>6868</v>
      </c>
      <c r="C127" s="250" t="s">
        <v>10321</v>
      </c>
      <c r="D127" s="241" t="s">
        <v>10314</v>
      </c>
      <c r="E127" s="251" t="s">
        <v>10267</v>
      </c>
      <c r="F127" s="241" t="s">
        <v>10322</v>
      </c>
      <c r="G127" s="241" t="s">
        <v>10323</v>
      </c>
      <c r="H127" s="251" t="s">
        <v>10324</v>
      </c>
      <c r="I127" s="251" t="s">
        <v>10318</v>
      </c>
      <c r="J127" s="241" t="s">
        <v>10099</v>
      </c>
      <c r="K127" s="252" t="s">
        <v>10325</v>
      </c>
      <c r="L127" s="239" t="s">
        <v>9802</v>
      </c>
      <c r="M127" s="6" t="s">
        <v>5299</v>
      </c>
      <c r="N127" s="30" t="s">
        <v>751</v>
      </c>
      <c r="O127" s="30" t="s">
        <v>10101</v>
      </c>
      <c r="P127" s="30" t="s">
        <v>9956</v>
      </c>
      <c r="Q127" s="239" t="s">
        <v>10326</v>
      </c>
    </row>
    <row r="128" customFormat="false" ht="77.25" hidden="false" customHeight="true" outlineLevel="0" collapsed="false">
      <c r="A128" s="241" t="s">
        <v>10327</v>
      </c>
      <c r="B128" s="241" t="s">
        <v>6868</v>
      </c>
      <c r="C128" s="250" t="s">
        <v>10328</v>
      </c>
      <c r="D128" s="241" t="s">
        <v>10329</v>
      </c>
      <c r="E128" s="251" t="s">
        <v>10267</v>
      </c>
      <c r="F128" s="241" t="s">
        <v>10330</v>
      </c>
      <c r="G128" s="241" t="s">
        <v>751</v>
      </c>
      <c r="H128" s="241" t="s">
        <v>10331</v>
      </c>
      <c r="I128" s="251" t="s">
        <v>10332</v>
      </c>
      <c r="J128" s="241" t="s">
        <v>10099</v>
      </c>
      <c r="K128" s="252" t="s">
        <v>10333</v>
      </c>
      <c r="L128" s="239" t="s">
        <v>9802</v>
      </c>
      <c r="M128" s="6" t="s">
        <v>10334</v>
      </c>
      <c r="N128" s="30" t="s">
        <v>751</v>
      </c>
      <c r="O128" s="30" t="s">
        <v>751</v>
      </c>
      <c r="P128" s="30" t="s">
        <v>9956</v>
      </c>
      <c r="Q128" s="239" t="s">
        <v>7551</v>
      </c>
    </row>
    <row r="129" customFormat="false" ht="64.5" hidden="false" customHeight="true" outlineLevel="0" collapsed="false">
      <c r="A129" s="241" t="s">
        <v>8260</v>
      </c>
      <c r="B129" s="241" t="s">
        <v>6868</v>
      </c>
      <c r="C129" s="250" t="s">
        <v>10335</v>
      </c>
      <c r="D129" s="241" t="s">
        <v>10336</v>
      </c>
      <c r="E129" s="251" t="s">
        <v>10094</v>
      </c>
      <c r="F129" s="241" t="s">
        <v>10337</v>
      </c>
      <c r="G129" s="241" t="s">
        <v>10338</v>
      </c>
      <c r="H129" s="241" t="s">
        <v>10339</v>
      </c>
      <c r="I129" s="251" t="s">
        <v>10340</v>
      </c>
      <c r="J129" s="241" t="s">
        <v>10099</v>
      </c>
      <c r="K129" s="252" t="s">
        <v>10341</v>
      </c>
      <c r="L129" s="239" t="s">
        <v>9802</v>
      </c>
      <c r="M129" s="6" t="s">
        <v>10342</v>
      </c>
      <c r="N129" s="30" t="s">
        <v>751</v>
      </c>
      <c r="O129" s="30" t="s">
        <v>10343</v>
      </c>
      <c r="P129" s="30" t="s">
        <v>9981</v>
      </c>
      <c r="Q129" s="239" t="s">
        <v>7551</v>
      </c>
    </row>
    <row r="130" customFormat="false" ht="112.5" hidden="false" customHeight="true" outlineLevel="0" collapsed="false">
      <c r="A130" s="241" t="s">
        <v>7869</v>
      </c>
      <c r="B130" s="241" t="s">
        <v>6868</v>
      </c>
      <c r="C130" s="250" t="s">
        <v>10344</v>
      </c>
      <c r="D130" s="241" t="s">
        <v>10345</v>
      </c>
      <c r="E130" s="251" t="s">
        <v>10094</v>
      </c>
      <c r="F130" s="241" t="s">
        <v>10346</v>
      </c>
      <c r="G130" s="241" t="s">
        <v>10347</v>
      </c>
      <c r="H130" s="241" t="s">
        <v>10348</v>
      </c>
      <c r="I130" s="251" t="s">
        <v>10349</v>
      </c>
      <c r="J130" s="241" t="s">
        <v>10099</v>
      </c>
      <c r="K130" s="252" t="s">
        <v>10350</v>
      </c>
      <c r="L130" s="239" t="s">
        <v>9802</v>
      </c>
      <c r="M130" s="6" t="s">
        <v>10351</v>
      </c>
      <c r="N130" s="30" t="s">
        <v>10352</v>
      </c>
      <c r="O130" s="30" t="s">
        <v>10353</v>
      </c>
      <c r="P130" s="30" t="s">
        <v>9981</v>
      </c>
      <c r="Q130" s="239" t="s">
        <v>7551</v>
      </c>
    </row>
    <row r="131" customFormat="false" ht="51.75" hidden="false" customHeight="true" outlineLevel="0" collapsed="false">
      <c r="A131" s="241" t="s">
        <v>7883</v>
      </c>
      <c r="B131" s="241" t="s">
        <v>6868</v>
      </c>
      <c r="C131" s="250" t="s">
        <v>10354</v>
      </c>
      <c r="D131" s="241" t="s">
        <v>10355</v>
      </c>
      <c r="E131" s="251" t="s">
        <v>10094</v>
      </c>
      <c r="F131" s="241" t="s">
        <v>10356</v>
      </c>
      <c r="G131" s="241" t="s">
        <v>751</v>
      </c>
      <c r="H131" s="241" t="s">
        <v>10357</v>
      </c>
      <c r="I131" s="251" t="s">
        <v>10358</v>
      </c>
      <c r="J131" s="241" t="s">
        <v>10099</v>
      </c>
      <c r="K131" s="252" t="s">
        <v>10359</v>
      </c>
      <c r="L131" s="239" t="s">
        <v>9802</v>
      </c>
      <c r="M131" s="6" t="s">
        <v>4815</v>
      </c>
      <c r="N131" s="30" t="s">
        <v>751</v>
      </c>
      <c r="O131" s="30" t="s">
        <v>10360</v>
      </c>
      <c r="P131" s="30" t="s">
        <v>9981</v>
      </c>
      <c r="Q131" s="239" t="s">
        <v>7551</v>
      </c>
    </row>
    <row r="132" customFormat="false" ht="64.5" hidden="false" customHeight="true" outlineLevel="0" collapsed="false">
      <c r="A132" s="241" t="s">
        <v>10361</v>
      </c>
      <c r="B132" s="241" t="s">
        <v>6868</v>
      </c>
      <c r="C132" s="250" t="s">
        <v>10362</v>
      </c>
      <c r="D132" s="241" t="s">
        <v>10363</v>
      </c>
      <c r="E132" s="251" t="s">
        <v>10094</v>
      </c>
      <c r="F132" s="241" t="s">
        <v>10364</v>
      </c>
      <c r="G132" s="241" t="s">
        <v>10365</v>
      </c>
      <c r="H132" s="251" t="s">
        <v>10366</v>
      </c>
      <c r="I132" s="251" t="s">
        <v>10367</v>
      </c>
      <c r="J132" s="241" t="s">
        <v>10099</v>
      </c>
      <c r="K132" s="252" t="s">
        <v>10368</v>
      </c>
      <c r="L132" s="239" t="s">
        <v>9802</v>
      </c>
      <c r="M132" s="6" t="s">
        <v>751</v>
      </c>
      <c r="N132" s="30" t="s">
        <v>751</v>
      </c>
      <c r="O132" s="239" t="s">
        <v>10369</v>
      </c>
      <c r="P132" s="30" t="s">
        <v>119</v>
      </c>
      <c r="Q132" s="239" t="s">
        <v>10370</v>
      </c>
    </row>
    <row r="133" customFormat="false" ht="39" hidden="false" customHeight="true" outlineLevel="0" collapsed="false">
      <c r="A133" s="241" t="s">
        <v>10371</v>
      </c>
      <c r="B133" s="241" t="s">
        <v>6868</v>
      </c>
      <c r="C133" s="250" t="s">
        <v>10372</v>
      </c>
      <c r="D133" s="241" t="s">
        <v>10363</v>
      </c>
      <c r="E133" s="251" t="s">
        <v>10094</v>
      </c>
      <c r="F133" s="241" t="s">
        <v>10373</v>
      </c>
      <c r="G133" s="241" t="s">
        <v>10374</v>
      </c>
      <c r="H133" s="251" t="s">
        <v>10366</v>
      </c>
      <c r="I133" s="251" t="s">
        <v>10367</v>
      </c>
      <c r="J133" s="241" t="s">
        <v>10099</v>
      </c>
      <c r="K133" s="252" t="s">
        <v>10375</v>
      </c>
      <c r="L133" s="239" t="s">
        <v>9802</v>
      </c>
      <c r="M133" s="6" t="s">
        <v>751</v>
      </c>
      <c r="N133" s="30" t="s">
        <v>751</v>
      </c>
      <c r="O133" s="239" t="s">
        <v>10369</v>
      </c>
      <c r="P133" s="30" t="s">
        <v>119</v>
      </c>
      <c r="Q133" s="239" t="s">
        <v>10370</v>
      </c>
    </row>
    <row r="134" customFormat="false" ht="51.75" hidden="false" customHeight="true" outlineLevel="0" collapsed="false">
      <c r="A134" s="241" t="s">
        <v>10376</v>
      </c>
      <c r="B134" s="241" t="s">
        <v>6868</v>
      </c>
      <c r="C134" s="250" t="s">
        <v>10377</v>
      </c>
      <c r="D134" s="241" t="s">
        <v>10378</v>
      </c>
      <c r="E134" s="251" t="s">
        <v>10094</v>
      </c>
      <c r="F134" s="241" t="s">
        <v>10379</v>
      </c>
      <c r="G134" s="241" t="s">
        <v>10380</v>
      </c>
      <c r="H134" s="241" t="s">
        <v>10381</v>
      </c>
      <c r="I134" s="251" t="s">
        <v>10382</v>
      </c>
      <c r="J134" s="241" t="s">
        <v>10099</v>
      </c>
      <c r="K134" s="252" t="s">
        <v>10383</v>
      </c>
      <c r="L134" s="239" t="s">
        <v>9802</v>
      </c>
      <c r="M134" s="6" t="s">
        <v>751</v>
      </c>
      <c r="N134" s="30" t="s">
        <v>751</v>
      </c>
      <c r="O134" s="30" t="s">
        <v>751</v>
      </c>
      <c r="P134" s="30" t="s">
        <v>119</v>
      </c>
      <c r="Q134" s="239" t="s">
        <v>7551</v>
      </c>
    </row>
    <row r="135" customFormat="false" ht="39" hidden="false" customHeight="true" outlineLevel="0" collapsed="false">
      <c r="A135" s="241" t="s">
        <v>10384</v>
      </c>
      <c r="B135" s="241" t="s">
        <v>6868</v>
      </c>
      <c r="C135" s="250" t="s">
        <v>10385</v>
      </c>
      <c r="D135" s="241" t="s">
        <v>10363</v>
      </c>
      <c r="E135" s="251" t="s">
        <v>10094</v>
      </c>
      <c r="F135" s="241" t="s">
        <v>10386</v>
      </c>
      <c r="G135" s="241" t="s">
        <v>10387</v>
      </c>
      <c r="H135" s="241" t="s">
        <v>10388</v>
      </c>
      <c r="I135" s="251" t="s">
        <v>10389</v>
      </c>
      <c r="J135" s="241" t="s">
        <v>10099</v>
      </c>
      <c r="K135" s="252" t="s">
        <v>10390</v>
      </c>
      <c r="L135" s="239" t="s">
        <v>9802</v>
      </c>
      <c r="M135" s="6" t="s">
        <v>751</v>
      </c>
      <c r="N135" s="30" t="s">
        <v>751</v>
      </c>
      <c r="O135" s="239" t="s">
        <v>10391</v>
      </c>
      <c r="P135" s="30" t="s">
        <v>119</v>
      </c>
      <c r="Q135" s="239" t="s">
        <v>10370</v>
      </c>
    </row>
    <row r="136" customFormat="false" ht="51.75" hidden="false" customHeight="true" outlineLevel="0" collapsed="false">
      <c r="A136" s="241" t="s">
        <v>10392</v>
      </c>
      <c r="B136" s="241" t="s">
        <v>6868</v>
      </c>
      <c r="C136" s="250" t="s">
        <v>10393</v>
      </c>
      <c r="D136" s="241" t="s">
        <v>10363</v>
      </c>
      <c r="E136" s="251" t="s">
        <v>10094</v>
      </c>
      <c r="F136" s="241" t="s">
        <v>10394</v>
      </c>
      <c r="G136" s="241" t="s">
        <v>10395</v>
      </c>
      <c r="H136" s="251" t="s">
        <v>10396</v>
      </c>
      <c r="I136" s="251" t="s">
        <v>10397</v>
      </c>
      <c r="J136" s="241" t="s">
        <v>10099</v>
      </c>
      <c r="K136" s="252" t="s">
        <v>10398</v>
      </c>
      <c r="L136" s="239" t="s">
        <v>9802</v>
      </c>
      <c r="M136" s="6" t="s">
        <v>751</v>
      </c>
      <c r="N136" s="30" t="s">
        <v>751</v>
      </c>
      <c r="O136" s="30" t="s">
        <v>751</v>
      </c>
      <c r="P136" s="30" t="s">
        <v>751</v>
      </c>
      <c r="Q136" s="239" t="s">
        <v>10370</v>
      </c>
    </row>
    <row r="137" customFormat="false" ht="51.75" hidden="false" customHeight="true" outlineLevel="0" collapsed="false">
      <c r="A137" s="241" t="s">
        <v>10399</v>
      </c>
      <c r="B137" s="241" t="s">
        <v>6868</v>
      </c>
      <c r="C137" s="250" t="s">
        <v>10400</v>
      </c>
      <c r="D137" s="241" t="s">
        <v>10401</v>
      </c>
      <c r="E137" s="251" t="s">
        <v>10094</v>
      </c>
      <c r="F137" s="241" t="s">
        <v>10402</v>
      </c>
      <c r="G137" s="241" t="s">
        <v>10403</v>
      </c>
      <c r="H137" s="241" t="s">
        <v>751</v>
      </c>
      <c r="I137" s="251" t="s">
        <v>10397</v>
      </c>
      <c r="J137" s="241" t="s">
        <v>10099</v>
      </c>
      <c r="K137" s="252" t="s">
        <v>10404</v>
      </c>
      <c r="L137" s="239" t="s">
        <v>9802</v>
      </c>
      <c r="M137" s="6" t="s">
        <v>751</v>
      </c>
      <c r="N137" s="30" t="s">
        <v>751</v>
      </c>
      <c r="O137" s="30" t="s">
        <v>751</v>
      </c>
      <c r="P137" s="30" t="s">
        <v>119</v>
      </c>
      <c r="Q137" s="239" t="s">
        <v>7551</v>
      </c>
    </row>
    <row r="138" customFormat="false" ht="26.25" hidden="false" customHeight="true" outlineLevel="0" collapsed="false">
      <c r="A138" s="241" t="s">
        <v>10405</v>
      </c>
      <c r="B138" s="241" t="s">
        <v>6868</v>
      </c>
      <c r="C138" s="250" t="s">
        <v>10406</v>
      </c>
      <c r="D138" s="241" t="s">
        <v>10407</v>
      </c>
      <c r="E138" s="251" t="s">
        <v>10408</v>
      </c>
      <c r="F138" s="241" t="s">
        <v>10409</v>
      </c>
      <c r="G138" s="241" t="s">
        <v>751</v>
      </c>
      <c r="H138" s="241" t="s">
        <v>751</v>
      </c>
      <c r="I138" s="251" t="s">
        <v>10410</v>
      </c>
      <c r="J138" s="241" t="s">
        <v>10099</v>
      </c>
      <c r="K138" s="252" t="s">
        <v>10411</v>
      </c>
      <c r="L138" s="239" t="s">
        <v>9802</v>
      </c>
      <c r="M138" s="6" t="s">
        <v>751</v>
      </c>
      <c r="N138" s="30" t="s">
        <v>751</v>
      </c>
      <c r="O138" s="30" t="s">
        <v>751</v>
      </c>
      <c r="P138" s="30" t="s">
        <v>9932</v>
      </c>
      <c r="Q138" s="239" t="s">
        <v>7551</v>
      </c>
    </row>
    <row r="139" customFormat="false" ht="51.75" hidden="false" customHeight="true" outlineLevel="0" collapsed="false">
      <c r="A139" s="241" t="s">
        <v>10412</v>
      </c>
      <c r="B139" s="241" t="s">
        <v>6868</v>
      </c>
      <c r="C139" s="250" t="s">
        <v>10413</v>
      </c>
      <c r="D139" s="241" t="s">
        <v>10414</v>
      </c>
      <c r="E139" s="251" t="s">
        <v>10415</v>
      </c>
      <c r="F139" s="241" t="s">
        <v>10416</v>
      </c>
      <c r="G139" s="241" t="s">
        <v>751</v>
      </c>
      <c r="H139" s="241" t="s">
        <v>751</v>
      </c>
      <c r="I139" s="251" t="s">
        <v>10417</v>
      </c>
      <c r="J139" s="241" t="s">
        <v>10099</v>
      </c>
      <c r="K139" s="252" t="s">
        <v>10418</v>
      </c>
      <c r="L139" s="239" t="s">
        <v>9802</v>
      </c>
      <c r="M139" s="6" t="s">
        <v>751</v>
      </c>
      <c r="N139" s="30" t="s">
        <v>751</v>
      </c>
      <c r="O139" s="30" t="s">
        <v>751</v>
      </c>
      <c r="P139" s="30" t="s">
        <v>9932</v>
      </c>
      <c r="Q139" s="239" t="s">
        <v>7551</v>
      </c>
    </row>
    <row r="140" customFormat="false" ht="26.25" hidden="false" customHeight="true" outlineLevel="0" collapsed="false">
      <c r="A140" s="241" t="s">
        <v>10419</v>
      </c>
      <c r="B140" s="241" t="s">
        <v>6868</v>
      </c>
      <c r="C140" s="250" t="s">
        <v>10420</v>
      </c>
      <c r="D140" s="241" t="s">
        <v>10421</v>
      </c>
      <c r="E140" s="251" t="s">
        <v>10267</v>
      </c>
      <c r="F140" s="241" t="s">
        <v>10422</v>
      </c>
      <c r="G140" s="241" t="s">
        <v>10423</v>
      </c>
      <c r="H140" s="241" t="s">
        <v>10424</v>
      </c>
      <c r="I140" s="251" t="s">
        <v>10425</v>
      </c>
      <c r="J140" s="241" t="s">
        <v>10099</v>
      </c>
      <c r="K140" s="252" t="s">
        <v>10426</v>
      </c>
      <c r="L140" s="239" t="s">
        <v>9802</v>
      </c>
      <c r="M140" s="6" t="s">
        <v>751</v>
      </c>
      <c r="N140" s="30" t="s">
        <v>751</v>
      </c>
      <c r="O140" s="30" t="s">
        <v>10427</v>
      </c>
      <c r="P140" s="30" t="s">
        <v>119</v>
      </c>
      <c r="Q140" s="239" t="s">
        <v>7658</v>
      </c>
    </row>
    <row r="141" customFormat="false" ht="51.75" hidden="false" customHeight="true" outlineLevel="0" collapsed="false">
      <c r="A141" s="241" t="s">
        <v>10428</v>
      </c>
      <c r="B141" s="241" t="s">
        <v>6868</v>
      </c>
      <c r="C141" s="250" t="s">
        <v>10429</v>
      </c>
      <c r="D141" s="241" t="s">
        <v>10430</v>
      </c>
      <c r="E141" s="251" t="s">
        <v>10094</v>
      </c>
      <c r="F141" s="241" t="s">
        <v>10431</v>
      </c>
      <c r="G141" s="251" t="s">
        <v>10432</v>
      </c>
      <c r="H141" s="251" t="s">
        <v>10433</v>
      </c>
      <c r="I141" s="251" t="s">
        <v>10434</v>
      </c>
      <c r="J141" s="241" t="s">
        <v>10099</v>
      </c>
      <c r="K141" s="252" t="s">
        <v>10435</v>
      </c>
      <c r="L141" s="239" t="s">
        <v>9802</v>
      </c>
      <c r="M141" s="6" t="s">
        <v>751</v>
      </c>
      <c r="N141" s="30" t="s">
        <v>751</v>
      </c>
      <c r="O141" s="30" t="s">
        <v>10436</v>
      </c>
      <c r="P141" s="30" t="s">
        <v>751</v>
      </c>
      <c r="Q141" s="239" t="s">
        <v>7551</v>
      </c>
    </row>
    <row r="142" customFormat="false" ht="51.75" hidden="false" customHeight="true" outlineLevel="0" collapsed="false">
      <c r="A142" s="241" t="s">
        <v>10437</v>
      </c>
      <c r="B142" s="241" t="s">
        <v>6868</v>
      </c>
      <c r="C142" s="250" t="s">
        <v>10438</v>
      </c>
      <c r="D142" s="241" t="s">
        <v>10439</v>
      </c>
      <c r="E142" s="251" t="s">
        <v>10094</v>
      </c>
      <c r="F142" s="241" t="s">
        <v>10440</v>
      </c>
      <c r="G142" s="241" t="s">
        <v>10441</v>
      </c>
      <c r="H142" s="251" t="s">
        <v>10442</v>
      </c>
      <c r="I142" s="251" t="s">
        <v>10443</v>
      </c>
      <c r="J142" s="241" t="s">
        <v>10099</v>
      </c>
      <c r="K142" s="252" t="s">
        <v>10444</v>
      </c>
      <c r="L142" s="239" t="s">
        <v>9802</v>
      </c>
      <c r="M142" s="6" t="s">
        <v>751</v>
      </c>
      <c r="N142" s="30" t="s">
        <v>751</v>
      </c>
      <c r="O142" s="239" t="s">
        <v>10445</v>
      </c>
      <c r="P142" s="30" t="s">
        <v>162</v>
      </c>
      <c r="Q142" s="239" t="s">
        <v>7551</v>
      </c>
    </row>
    <row r="143" customFormat="false" ht="64.5" hidden="false" customHeight="true" outlineLevel="0" collapsed="false">
      <c r="A143" s="241" t="s">
        <v>10446</v>
      </c>
      <c r="B143" s="241" t="s">
        <v>6868</v>
      </c>
      <c r="C143" s="250" t="s">
        <v>10447</v>
      </c>
      <c r="D143" s="241" t="s">
        <v>10448</v>
      </c>
      <c r="E143" s="251" t="s">
        <v>10267</v>
      </c>
      <c r="F143" s="241" t="s">
        <v>10449</v>
      </c>
      <c r="G143" s="241" t="s">
        <v>10450</v>
      </c>
      <c r="H143" s="241" t="s">
        <v>10451</v>
      </c>
      <c r="I143" s="251" t="s">
        <v>10452</v>
      </c>
      <c r="J143" s="241" t="s">
        <v>10099</v>
      </c>
      <c r="K143" s="252" t="s">
        <v>10453</v>
      </c>
      <c r="L143" s="239" t="s">
        <v>9802</v>
      </c>
      <c r="M143" s="6" t="s">
        <v>4760</v>
      </c>
      <c r="N143" s="30" t="s">
        <v>751</v>
      </c>
      <c r="O143" s="30" t="s">
        <v>10454</v>
      </c>
      <c r="P143" s="30" t="s">
        <v>162</v>
      </c>
      <c r="Q143" s="239" t="s">
        <v>7658</v>
      </c>
    </row>
    <row r="144" customFormat="false" ht="26.25" hidden="false" customHeight="true" outlineLevel="0" collapsed="false">
      <c r="A144" s="241" t="s">
        <v>10455</v>
      </c>
      <c r="B144" s="241" t="s">
        <v>6868</v>
      </c>
      <c r="C144" s="250" t="s">
        <v>10456</v>
      </c>
      <c r="D144" s="241" t="s">
        <v>10457</v>
      </c>
      <c r="E144" s="251" t="s">
        <v>10094</v>
      </c>
      <c r="F144" s="241" t="s">
        <v>10458</v>
      </c>
      <c r="G144" s="241" t="s">
        <v>10459</v>
      </c>
      <c r="H144" s="251" t="s">
        <v>10460</v>
      </c>
      <c r="I144" s="251" t="s">
        <v>10461</v>
      </c>
      <c r="J144" s="241" t="s">
        <v>10099</v>
      </c>
      <c r="K144" s="252" t="s">
        <v>10462</v>
      </c>
      <c r="L144" s="239" t="s">
        <v>9802</v>
      </c>
      <c r="M144" s="6" t="s">
        <v>751</v>
      </c>
      <c r="N144" s="30" t="s">
        <v>751</v>
      </c>
      <c r="O144" s="30" t="s">
        <v>751</v>
      </c>
      <c r="P144" s="30" t="s">
        <v>751</v>
      </c>
      <c r="Q144" s="239" t="s">
        <v>7658</v>
      </c>
    </row>
    <row r="145" customFormat="false" ht="77.25" hidden="false" customHeight="true" outlineLevel="0" collapsed="false">
      <c r="A145" s="241" t="s">
        <v>10463</v>
      </c>
      <c r="B145" s="241" t="s">
        <v>6868</v>
      </c>
      <c r="C145" s="252" t="s">
        <v>10464</v>
      </c>
      <c r="D145" s="251" t="s">
        <v>10465</v>
      </c>
      <c r="E145" s="251" t="s">
        <v>10466</v>
      </c>
      <c r="F145" s="241" t="s">
        <v>10467</v>
      </c>
      <c r="G145" s="241" t="s">
        <v>10468</v>
      </c>
      <c r="H145" s="251" t="s">
        <v>10469</v>
      </c>
      <c r="I145" s="251" t="s">
        <v>10470</v>
      </c>
      <c r="J145" s="241" t="s">
        <v>10099</v>
      </c>
      <c r="K145" s="252" t="s">
        <v>10471</v>
      </c>
      <c r="L145" s="239" t="s">
        <v>9802</v>
      </c>
      <c r="M145" s="6" t="s">
        <v>751</v>
      </c>
      <c r="N145" s="30" t="s">
        <v>751</v>
      </c>
      <c r="O145" s="30" t="s">
        <v>751</v>
      </c>
      <c r="P145" s="30" t="s">
        <v>751</v>
      </c>
      <c r="Q145" s="30" t="s">
        <v>751</v>
      </c>
    </row>
    <row r="146" customFormat="false" ht="26.25" hidden="false" customHeight="true" outlineLevel="0" collapsed="false">
      <c r="A146" s="241" t="s">
        <v>10472</v>
      </c>
      <c r="B146" s="241" t="s">
        <v>6868</v>
      </c>
      <c r="C146" s="250" t="s">
        <v>10473</v>
      </c>
      <c r="D146" s="241" t="s">
        <v>10378</v>
      </c>
      <c r="E146" s="251" t="s">
        <v>10094</v>
      </c>
      <c r="F146" s="241" t="s">
        <v>10474</v>
      </c>
      <c r="G146" s="241" t="s">
        <v>10475</v>
      </c>
      <c r="H146" s="251" t="s">
        <v>10476</v>
      </c>
      <c r="I146" s="251" t="s">
        <v>10477</v>
      </c>
      <c r="J146" s="241" t="s">
        <v>10099</v>
      </c>
      <c r="K146" s="252" t="s">
        <v>10478</v>
      </c>
      <c r="L146" s="239" t="s">
        <v>9802</v>
      </c>
      <c r="M146" s="6" t="s">
        <v>751</v>
      </c>
      <c r="N146" s="30" t="s">
        <v>751</v>
      </c>
      <c r="O146" s="30" t="s">
        <v>751</v>
      </c>
      <c r="P146" s="30" t="s">
        <v>751</v>
      </c>
      <c r="Q146" s="30" t="s">
        <v>751</v>
      </c>
    </row>
    <row r="147" customFormat="false" ht="39" hidden="false" customHeight="true" outlineLevel="0" collapsed="false">
      <c r="A147" s="241" t="s">
        <v>10479</v>
      </c>
      <c r="B147" s="241" t="s">
        <v>6868</v>
      </c>
      <c r="C147" s="250" t="s">
        <v>10480</v>
      </c>
      <c r="D147" s="251" t="s">
        <v>10481</v>
      </c>
      <c r="E147" s="241" t="s">
        <v>751</v>
      </c>
      <c r="F147" s="241" t="s">
        <v>10482</v>
      </c>
      <c r="G147" s="241" t="s">
        <v>751</v>
      </c>
      <c r="H147" s="241" t="s">
        <v>751</v>
      </c>
      <c r="I147" s="251" t="s">
        <v>10483</v>
      </c>
      <c r="J147" s="241" t="s">
        <v>10099</v>
      </c>
      <c r="K147" s="252" t="s">
        <v>10484</v>
      </c>
      <c r="L147" s="239" t="s">
        <v>9802</v>
      </c>
      <c r="M147" s="6" t="s">
        <v>751</v>
      </c>
      <c r="N147" s="30" t="s">
        <v>751</v>
      </c>
      <c r="O147" s="30" t="s">
        <v>751</v>
      </c>
      <c r="P147" s="30" t="s">
        <v>751</v>
      </c>
      <c r="Q147" s="30" t="s">
        <v>751</v>
      </c>
    </row>
    <row r="148" customFormat="false" ht="64.5" hidden="false" customHeight="true" outlineLevel="0" collapsed="false">
      <c r="A148" s="241" t="s">
        <v>10485</v>
      </c>
      <c r="B148" s="241" t="s">
        <v>6868</v>
      </c>
      <c r="C148" s="250" t="s">
        <v>10486</v>
      </c>
      <c r="D148" s="241" t="s">
        <v>10171</v>
      </c>
      <c r="E148" s="251" t="s">
        <v>10094</v>
      </c>
      <c r="F148" s="241" t="s">
        <v>10487</v>
      </c>
      <c r="G148" s="241" t="s">
        <v>10488</v>
      </c>
      <c r="H148" s="241" t="s">
        <v>10489</v>
      </c>
      <c r="I148" s="251" t="s">
        <v>10490</v>
      </c>
      <c r="J148" s="241" t="s">
        <v>10099</v>
      </c>
      <c r="K148" s="252" t="s">
        <v>10491</v>
      </c>
      <c r="L148" s="239" t="s">
        <v>9802</v>
      </c>
      <c r="M148" s="6" t="s">
        <v>4808</v>
      </c>
      <c r="N148" s="30" t="s">
        <v>751</v>
      </c>
      <c r="O148" s="30" t="s">
        <v>751</v>
      </c>
      <c r="P148" s="30" t="s">
        <v>9981</v>
      </c>
      <c r="Q148" s="239" t="s">
        <v>7551</v>
      </c>
    </row>
    <row r="149" customFormat="false" ht="39" hidden="false" customHeight="true" outlineLevel="0" collapsed="false">
      <c r="A149" s="241" t="s">
        <v>10492</v>
      </c>
      <c r="B149" s="241" t="s">
        <v>6868</v>
      </c>
      <c r="C149" s="250" t="s">
        <v>10493</v>
      </c>
      <c r="D149" s="241" t="s">
        <v>10494</v>
      </c>
      <c r="E149" s="251" t="s">
        <v>10094</v>
      </c>
      <c r="F149" s="241" t="s">
        <v>10495</v>
      </c>
      <c r="G149" s="241" t="s">
        <v>10496</v>
      </c>
      <c r="H149" s="241" t="s">
        <v>10497</v>
      </c>
      <c r="I149" s="251" t="s">
        <v>10490</v>
      </c>
      <c r="J149" s="241" t="s">
        <v>10099</v>
      </c>
      <c r="K149" s="252" t="s">
        <v>10498</v>
      </c>
      <c r="L149" s="239" t="s">
        <v>9802</v>
      </c>
      <c r="M149" s="6" t="s">
        <v>4829</v>
      </c>
      <c r="N149" s="30" t="s">
        <v>751</v>
      </c>
      <c r="O149" s="30" t="s">
        <v>751</v>
      </c>
      <c r="P149" s="30" t="s">
        <v>9981</v>
      </c>
      <c r="Q149" s="239" t="s">
        <v>7551</v>
      </c>
    </row>
    <row r="150" customFormat="false" ht="77.25" hidden="false" customHeight="true" outlineLevel="0" collapsed="false">
      <c r="A150" s="241" t="s">
        <v>10499</v>
      </c>
      <c r="B150" s="241" t="s">
        <v>6868</v>
      </c>
      <c r="C150" s="250" t="s">
        <v>10500</v>
      </c>
      <c r="D150" s="241" t="s">
        <v>10164</v>
      </c>
      <c r="E150" s="251" t="s">
        <v>10094</v>
      </c>
      <c r="F150" s="241" t="s">
        <v>10501</v>
      </c>
      <c r="G150" s="241" t="s">
        <v>10502</v>
      </c>
      <c r="H150" s="241" t="s">
        <v>10503</v>
      </c>
      <c r="I150" s="251" t="s">
        <v>10490</v>
      </c>
      <c r="J150" s="241" t="s">
        <v>10099</v>
      </c>
      <c r="K150" s="252" t="s">
        <v>10504</v>
      </c>
      <c r="L150" s="239" t="s">
        <v>9802</v>
      </c>
      <c r="M150" s="6" t="s">
        <v>4884</v>
      </c>
      <c r="N150" s="30" t="s">
        <v>751</v>
      </c>
      <c r="O150" s="30" t="s">
        <v>751</v>
      </c>
      <c r="P150" s="30" t="s">
        <v>9981</v>
      </c>
      <c r="Q150" s="239" t="s">
        <v>7551</v>
      </c>
    </row>
    <row r="151" customFormat="false" ht="64.5" hidden="false" customHeight="true" outlineLevel="0" collapsed="false">
      <c r="A151" s="241" t="s">
        <v>10505</v>
      </c>
      <c r="B151" s="241" t="s">
        <v>6868</v>
      </c>
      <c r="C151" s="250" t="s">
        <v>10506</v>
      </c>
      <c r="D151" s="241" t="s">
        <v>10243</v>
      </c>
      <c r="E151" s="251" t="s">
        <v>10094</v>
      </c>
      <c r="F151" s="241" t="s">
        <v>10507</v>
      </c>
      <c r="G151" s="241" t="s">
        <v>10508</v>
      </c>
      <c r="H151" s="241" t="s">
        <v>10509</v>
      </c>
      <c r="I151" s="251" t="s">
        <v>10510</v>
      </c>
      <c r="J151" s="241" t="s">
        <v>10099</v>
      </c>
      <c r="K151" s="252" t="s">
        <v>10511</v>
      </c>
      <c r="L151" s="239" t="s">
        <v>9802</v>
      </c>
      <c r="M151" s="6" t="s">
        <v>4712</v>
      </c>
      <c r="N151" s="30" t="s">
        <v>751</v>
      </c>
      <c r="O151" s="239" t="s">
        <v>10512</v>
      </c>
      <c r="P151" s="30" t="s">
        <v>9981</v>
      </c>
      <c r="Q151" s="239" t="s">
        <v>7551</v>
      </c>
    </row>
    <row r="152" customFormat="false" ht="64.5" hidden="false" customHeight="true" outlineLevel="0" collapsed="false">
      <c r="A152" s="241" t="s">
        <v>6390</v>
      </c>
      <c r="B152" s="241" t="s">
        <v>6868</v>
      </c>
      <c r="C152" s="250" t="s">
        <v>10513</v>
      </c>
      <c r="D152" s="251" t="s">
        <v>10514</v>
      </c>
      <c r="E152" s="251" t="s">
        <v>10466</v>
      </c>
      <c r="F152" s="241" t="s">
        <v>10515</v>
      </c>
      <c r="G152" s="241" t="s">
        <v>10516</v>
      </c>
      <c r="H152" s="241" t="s">
        <v>10517</v>
      </c>
      <c r="I152" s="251" t="s">
        <v>10518</v>
      </c>
      <c r="J152" s="241" t="s">
        <v>10099</v>
      </c>
      <c r="K152" s="252" t="s">
        <v>10519</v>
      </c>
      <c r="L152" s="239" t="s">
        <v>9802</v>
      </c>
      <c r="M152" s="6" t="s">
        <v>751</v>
      </c>
      <c r="N152" s="30" t="s">
        <v>751</v>
      </c>
      <c r="O152" s="30" t="s">
        <v>10360</v>
      </c>
      <c r="P152" s="30" t="s">
        <v>114</v>
      </c>
      <c r="Q152" s="30" t="s">
        <v>751</v>
      </c>
    </row>
    <row r="153" customFormat="false" ht="126.75" hidden="false" customHeight="true" outlineLevel="0" collapsed="false">
      <c r="A153" s="241" t="s">
        <v>10520</v>
      </c>
      <c r="B153" s="241" t="s">
        <v>6889</v>
      </c>
      <c r="C153" s="250" t="s">
        <v>10521</v>
      </c>
      <c r="D153" s="251" t="s">
        <v>10522</v>
      </c>
      <c r="E153" s="251" t="s">
        <v>10466</v>
      </c>
      <c r="F153" s="241" t="s">
        <v>10523</v>
      </c>
      <c r="G153" s="241" t="s">
        <v>10524</v>
      </c>
      <c r="H153" s="251" t="s">
        <v>10525</v>
      </c>
      <c r="I153" s="251" t="s">
        <v>10526</v>
      </c>
      <c r="J153" s="241" t="s">
        <v>10099</v>
      </c>
      <c r="K153" s="252" t="s">
        <v>10527</v>
      </c>
      <c r="L153" s="239" t="s">
        <v>9802</v>
      </c>
      <c r="M153" s="6" t="s">
        <v>751</v>
      </c>
      <c r="N153" s="30" t="s">
        <v>751</v>
      </c>
      <c r="O153" s="30" t="s">
        <v>751</v>
      </c>
      <c r="P153" s="30" t="s">
        <v>114</v>
      </c>
      <c r="Q153" s="30" t="s">
        <v>751</v>
      </c>
    </row>
    <row r="154" customFormat="false" ht="101.25" hidden="false" customHeight="true" outlineLevel="0" collapsed="false">
      <c r="A154" s="241" t="s">
        <v>10528</v>
      </c>
      <c r="B154" s="241" t="s">
        <v>6889</v>
      </c>
      <c r="C154" s="250" t="s">
        <v>10529</v>
      </c>
      <c r="D154" s="241" t="s">
        <v>10530</v>
      </c>
      <c r="E154" s="251" t="s">
        <v>10094</v>
      </c>
      <c r="F154" s="241" t="s">
        <v>10531</v>
      </c>
      <c r="G154" s="241" t="s">
        <v>10532</v>
      </c>
      <c r="H154" s="241" t="s">
        <v>10533</v>
      </c>
      <c r="I154" s="251" t="s">
        <v>10534</v>
      </c>
      <c r="J154" s="241" t="s">
        <v>10099</v>
      </c>
      <c r="K154" s="252" t="s">
        <v>10535</v>
      </c>
      <c r="L154" s="239" t="s">
        <v>9802</v>
      </c>
      <c r="M154" s="6" t="s">
        <v>751</v>
      </c>
      <c r="N154" s="30" t="s">
        <v>751</v>
      </c>
      <c r="O154" s="30" t="s">
        <v>751</v>
      </c>
      <c r="P154" s="30" t="s">
        <v>119</v>
      </c>
      <c r="Q154" s="239" t="s">
        <v>7658</v>
      </c>
    </row>
    <row r="155" customFormat="false" ht="102.75" hidden="false" customHeight="true" outlineLevel="0" collapsed="false">
      <c r="A155" s="241" t="s">
        <v>10536</v>
      </c>
      <c r="B155" s="241" t="s">
        <v>6889</v>
      </c>
      <c r="C155" s="250" t="s">
        <v>10537</v>
      </c>
      <c r="D155" s="251" t="s">
        <v>10538</v>
      </c>
      <c r="E155" s="251" t="s">
        <v>10466</v>
      </c>
      <c r="F155" s="241" t="s">
        <v>10539</v>
      </c>
      <c r="G155" s="241" t="s">
        <v>10540</v>
      </c>
      <c r="H155" s="251" t="s">
        <v>10541</v>
      </c>
      <c r="I155" s="251" t="s">
        <v>10542</v>
      </c>
      <c r="J155" s="241" t="s">
        <v>10099</v>
      </c>
      <c r="K155" s="252" t="s">
        <v>10543</v>
      </c>
      <c r="L155" s="239" t="s">
        <v>9802</v>
      </c>
      <c r="M155" s="6" t="s">
        <v>751</v>
      </c>
      <c r="N155" s="30" t="s">
        <v>751</v>
      </c>
      <c r="O155" s="30" t="s">
        <v>751</v>
      </c>
      <c r="P155" s="30" t="s">
        <v>114</v>
      </c>
      <c r="Q155" s="239" t="s">
        <v>10544</v>
      </c>
    </row>
    <row r="156" customFormat="false" ht="90" hidden="false" customHeight="true" outlineLevel="0" collapsed="false">
      <c r="A156" s="241" t="s">
        <v>10545</v>
      </c>
      <c r="B156" s="241" t="s">
        <v>6889</v>
      </c>
      <c r="C156" s="250" t="s">
        <v>10546</v>
      </c>
      <c r="D156" s="241" t="s">
        <v>10547</v>
      </c>
      <c r="E156" s="251" t="s">
        <v>10094</v>
      </c>
      <c r="F156" s="241" t="s">
        <v>10548</v>
      </c>
      <c r="G156" s="241" t="s">
        <v>10549</v>
      </c>
      <c r="H156" s="251" t="s">
        <v>10550</v>
      </c>
      <c r="I156" s="251" t="s">
        <v>10551</v>
      </c>
      <c r="J156" s="241" t="s">
        <v>10099</v>
      </c>
      <c r="K156" s="252" t="s">
        <v>10552</v>
      </c>
      <c r="L156" s="239" t="s">
        <v>9802</v>
      </c>
      <c r="M156" s="6" t="s">
        <v>751</v>
      </c>
      <c r="N156" s="30" t="s">
        <v>751</v>
      </c>
      <c r="O156" s="30" t="s">
        <v>751</v>
      </c>
      <c r="P156" s="30" t="s">
        <v>119</v>
      </c>
      <c r="Q156" s="239" t="s">
        <v>7658</v>
      </c>
    </row>
    <row r="157" customFormat="false" ht="64.5" hidden="false" customHeight="true" outlineLevel="0" collapsed="false">
      <c r="A157" s="241" t="s">
        <v>10553</v>
      </c>
      <c r="B157" s="241" t="s">
        <v>6889</v>
      </c>
      <c r="C157" s="250" t="s">
        <v>10554</v>
      </c>
      <c r="D157" s="251" t="s">
        <v>10555</v>
      </c>
      <c r="E157" s="251" t="s">
        <v>10408</v>
      </c>
      <c r="F157" s="241" t="s">
        <v>10556</v>
      </c>
      <c r="G157" s="241" t="s">
        <v>10557</v>
      </c>
      <c r="H157" s="241" t="s">
        <v>10558</v>
      </c>
      <c r="I157" s="251" t="s">
        <v>10551</v>
      </c>
      <c r="J157" s="241" t="s">
        <v>10099</v>
      </c>
      <c r="K157" s="252" t="s">
        <v>10559</v>
      </c>
      <c r="L157" s="239" t="s">
        <v>9802</v>
      </c>
      <c r="M157" s="6" t="s">
        <v>751</v>
      </c>
      <c r="N157" s="30" t="s">
        <v>751</v>
      </c>
      <c r="O157" s="30" t="s">
        <v>751</v>
      </c>
      <c r="P157" s="30" t="s">
        <v>119</v>
      </c>
      <c r="Q157" s="239" t="s">
        <v>10560</v>
      </c>
    </row>
    <row r="158" customFormat="false" ht="125.25" hidden="false" customHeight="true" outlineLevel="0" collapsed="false">
      <c r="A158" s="241" t="s">
        <v>10561</v>
      </c>
      <c r="B158" s="241" t="s">
        <v>6889</v>
      </c>
      <c r="C158" s="250" t="s">
        <v>10562</v>
      </c>
      <c r="D158" s="241" t="s">
        <v>10563</v>
      </c>
      <c r="E158" s="251" t="s">
        <v>10466</v>
      </c>
      <c r="F158" s="241" t="s">
        <v>10564</v>
      </c>
      <c r="G158" s="241" t="s">
        <v>10565</v>
      </c>
      <c r="H158" s="251" t="s">
        <v>10566</v>
      </c>
      <c r="I158" s="251" t="s">
        <v>10567</v>
      </c>
      <c r="J158" s="241" t="s">
        <v>10099</v>
      </c>
      <c r="K158" s="252" t="s">
        <v>10568</v>
      </c>
      <c r="L158" s="239" t="s">
        <v>9802</v>
      </c>
      <c r="M158" s="6" t="s">
        <v>751</v>
      </c>
      <c r="N158" s="30" t="s">
        <v>751</v>
      </c>
      <c r="O158" s="30" t="s">
        <v>751</v>
      </c>
      <c r="P158" s="30" t="s">
        <v>114</v>
      </c>
      <c r="Q158" s="30" t="s">
        <v>751</v>
      </c>
    </row>
    <row r="159" customFormat="false" ht="141" hidden="false" customHeight="true" outlineLevel="0" collapsed="false">
      <c r="A159" s="241" t="s">
        <v>10569</v>
      </c>
      <c r="B159" s="241" t="s">
        <v>6889</v>
      </c>
      <c r="C159" s="250" t="s">
        <v>10570</v>
      </c>
      <c r="D159" s="241" t="s">
        <v>10571</v>
      </c>
      <c r="E159" s="251" t="s">
        <v>10572</v>
      </c>
      <c r="F159" s="241" t="s">
        <v>10573</v>
      </c>
      <c r="G159" s="241" t="s">
        <v>10574</v>
      </c>
      <c r="H159" s="241" t="s">
        <v>10575</v>
      </c>
      <c r="I159" s="251" t="s">
        <v>10576</v>
      </c>
      <c r="J159" s="241" t="s">
        <v>10099</v>
      </c>
      <c r="K159" s="252" t="s">
        <v>10577</v>
      </c>
      <c r="L159" s="239" t="s">
        <v>9802</v>
      </c>
      <c r="M159" s="6" t="s">
        <v>751</v>
      </c>
      <c r="N159" s="30" t="s">
        <v>751</v>
      </c>
      <c r="O159" s="239" t="s">
        <v>10578</v>
      </c>
      <c r="P159" s="30" t="s">
        <v>119</v>
      </c>
      <c r="Q159" s="239" t="s">
        <v>10579</v>
      </c>
    </row>
    <row r="160" customFormat="false" ht="51.75" hidden="false" customHeight="true" outlineLevel="0" collapsed="false">
      <c r="A160" s="241" t="s">
        <v>10580</v>
      </c>
      <c r="B160" s="241" t="s">
        <v>6889</v>
      </c>
      <c r="C160" s="250" t="s">
        <v>10581</v>
      </c>
      <c r="D160" s="241" t="s">
        <v>10582</v>
      </c>
      <c r="E160" s="251" t="s">
        <v>10583</v>
      </c>
      <c r="F160" s="241" t="s">
        <v>10584</v>
      </c>
      <c r="G160" s="241" t="s">
        <v>10585</v>
      </c>
      <c r="H160" s="241" t="s">
        <v>10586</v>
      </c>
      <c r="I160" s="251" t="s">
        <v>10587</v>
      </c>
      <c r="J160" s="241" t="s">
        <v>6925</v>
      </c>
      <c r="K160" s="252" t="s">
        <v>10588</v>
      </c>
      <c r="L160" s="239" t="s">
        <v>9802</v>
      </c>
      <c r="M160" s="6" t="s">
        <v>751</v>
      </c>
      <c r="N160" s="30" t="s">
        <v>751</v>
      </c>
      <c r="O160" s="30" t="s">
        <v>751</v>
      </c>
      <c r="P160" s="30" t="s">
        <v>119</v>
      </c>
      <c r="Q160" s="239" t="s">
        <v>7658</v>
      </c>
    </row>
    <row r="161" customFormat="false" ht="51.75" hidden="false" customHeight="true" outlineLevel="0" collapsed="false">
      <c r="A161" s="241" t="s">
        <v>10589</v>
      </c>
      <c r="B161" s="241" t="s">
        <v>6889</v>
      </c>
      <c r="C161" s="250" t="s">
        <v>10590</v>
      </c>
      <c r="D161" s="241" t="s">
        <v>10582</v>
      </c>
      <c r="E161" s="251" t="s">
        <v>10583</v>
      </c>
      <c r="F161" s="241" t="s">
        <v>10591</v>
      </c>
      <c r="G161" s="251" t="s">
        <v>10592</v>
      </c>
      <c r="H161" s="251" t="s">
        <v>10593</v>
      </c>
      <c r="I161" s="251" t="s">
        <v>10594</v>
      </c>
      <c r="J161" s="241" t="s">
        <v>6925</v>
      </c>
      <c r="K161" s="252" t="s">
        <v>10595</v>
      </c>
      <c r="L161" s="239" t="s">
        <v>9802</v>
      </c>
      <c r="M161" s="6" t="s">
        <v>751</v>
      </c>
      <c r="N161" s="30" t="s">
        <v>751</v>
      </c>
      <c r="O161" s="30" t="s">
        <v>751</v>
      </c>
      <c r="P161" s="30" t="s">
        <v>119</v>
      </c>
      <c r="Q161" s="239" t="s">
        <v>10596</v>
      </c>
    </row>
    <row r="162" customFormat="false" ht="39" hidden="false" customHeight="true" outlineLevel="0" collapsed="false">
      <c r="A162" s="241" t="s">
        <v>10597</v>
      </c>
      <c r="B162" s="241" t="s">
        <v>6889</v>
      </c>
      <c r="C162" s="252" t="s">
        <v>10598</v>
      </c>
      <c r="D162" s="241" t="s">
        <v>10582</v>
      </c>
      <c r="E162" s="251" t="s">
        <v>10583</v>
      </c>
      <c r="F162" s="241" t="s">
        <v>10599</v>
      </c>
      <c r="G162" s="251" t="s">
        <v>10600</v>
      </c>
      <c r="H162" s="251" t="s">
        <v>10601</v>
      </c>
      <c r="I162" s="251" t="s">
        <v>10602</v>
      </c>
      <c r="J162" s="241" t="s">
        <v>6925</v>
      </c>
      <c r="K162" s="252" t="s">
        <v>10603</v>
      </c>
      <c r="L162" s="239" t="s">
        <v>9802</v>
      </c>
      <c r="M162" s="6" t="s">
        <v>751</v>
      </c>
      <c r="N162" s="30" t="s">
        <v>751</v>
      </c>
      <c r="O162" s="30" t="s">
        <v>751</v>
      </c>
      <c r="P162" s="30" t="s">
        <v>119</v>
      </c>
      <c r="Q162" s="239" t="s">
        <v>7658</v>
      </c>
    </row>
    <row r="163" customFormat="false" ht="51.75" hidden="false" customHeight="true" outlineLevel="0" collapsed="false">
      <c r="A163" s="241" t="s">
        <v>10604</v>
      </c>
      <c r="B163" s="241" t="s">
        <v>6889</v>
      </c>
      <c r="C163" s="250" t="s">
        <v>10605</v>
      </c>
      <c r="D163" s="241" t="s">
        <v>10582</v>
      </c>
      <c r="E163" s="251" t="s">
        <v>10583</v>
      </c>
      <c r="F163" s="241" t="s">
        <v>10606</v>
      </c>
      <c r="G163" s="251" t="s">
        <v>10607</v>
      </c>
      <c r="H163" s="251" t="s">
        <v>10608</v>
      </c>
      <c r="I163" s="251" t="s">
        <v>10609</v>
      </c>
      <c r="J163" s="241" t="s">
        <v>6925</v>
      </c>
      <c r="K163" s="252" t="s">
        <v>10610</v>
      </c>
      <c r="L163" s="239" t="s">
        <v>9802</v>
      </c>
      <c r="M163" s="6" t="s">
        <v>751</v>
      </c>
      <c r="N163" s="30" t="s">
        <v>751</v>
      </c>
      <c r="O163" s="30" t="s">
        <v>751</v>
      </c>
      <c r="P163" s="30" t="s">
        <v>119</v>
      </c>
      <c r="Q163" s="239" t="s">
        <v>7658</v>
      </c>
    </row>
    <row r="164" customFormat="false" ht="51.75" hidden="false" customHeight="true" outlineLevel="0" collapsed="false">
      <c r="A164" s="241" t="s">
        <v>10611</v>
      </c>
      <c r="B164" s="241" t="s">
        <v>6889</v>
      </c>
      <c r="C164" s="250" t="s">
        <v>10612</v>
      </c>
      <c r="D164" s="241" t="s">
        <v>10582</v>
      </c>
      <c r="E164" s="251" t="s">
        <v>10583</v>
      </c>
      <c r="F164" s="241" t="s">
        <v>10613</v>
      </c>
      <c r="G164" s="251" t="s">
        <v>10614</v>
      </c>
      <c r="H164" s="251" t="s">
        <v>10615</v>
      </c>
      <c r="I164" s="251" t="s">
        <v>10616</v>
      </c>
      <c r="J164" s="241" t="s">
        <v>6925</v>
      </c>
      <c r="K164" s="252" t="s">
        <v>10617</v>
      </c>
      <c r="L164" s="239" t="s">
        <v>9802</v>
      </c>
      <c r="M164" s="6" t="s">
        <v>751</v>
      </c>
      <c r="N164" s="30" t="s">
        <v>751</v>
      </c>
      <c r="O164" s="30" t="s">
        <v>751</v>
      </c>
      <c r="P164" s="30" t="s">
        <v>119</v>
      </c>
      <c r="Q164" s="239" t="s">
        <v>7658</v>
      </c>
    </row>
    <row r="165" customFormat="false" ht="51.75" hidden="false" customHeight="true" outlineLevel="0" collapsed="false">
      <c r="A165" s="241" t="s">
        <v>10618</v>
      </c>
      <c r="B165" s="241" t="s">
        <v>6889</v>
      </c>
      <c r="C165" s="250" t="s">
        <v>10619</v>
      </c>
      <c r="D165" s="241" t="s">
        <v>10582</v>
      </c>
      <c r="E165" s="251" t="s">
        <v>10583</v>
      </c>
      <c r="F165" s="241" t="s">
        <v>10620</v>
      </c>
      <c r="G165" s="251" t="s">
        <v>10621</v>
      </c>
      <c r="H165" s="251" t="s">
        <v>10622</v>
      </c>
      <c r="I165" s="251" t="s">
        <v>10623</v>
      </c>
      <c r="J165" s="241" t="s">
        <v>6925</v>
      </c>
      <c r="K165" s="252" t="s">
        <v>10624</v>
      </c>
      <c r="L165" s="239" t="s">
        <v>9802</v>
      </c>
      <c r="M165" s="6" t="s">
        <v>751</v>
      </c>
      <c r="N165" s="30" t="s">
        <v>751</v>
      </c>
      <c r="O165" s="30" t="s">
        <v>10625</v>
      </c>
      <c r="P165" s="30" t="s">
        <v>119</v>
      </c>
      <c r="Q165" s="239" t="s">
        <v>7658</v>
      </c>
    </row>
    <row r="166" customFormat="false" ht="51.75" hidden="false" customHeight="true" outlineLevel="0" collapsed="false">
      <c r="A166" s="241" t="s">
        <v>10626</v>
      </c>
      <c r="B166" s="241" t="s">
        <v>6889</v>
      </c>
      <c r="C166" s="252" t="s">
        <v>10627</v>
      </c>
      <c r="D166" s="241" t="s">
        <v>10582</v>
      </c>
      <c r="E166" s="251" t="s">
        <v>10583</v>
      </c>
      <c r="F166" s="241" t="s">
        <v>10628</v>
      </c>
      <c r="G166" s="251" t="s">
        <v>10629</v>
      </c>
      <c r="H166" s="251" t="s">
        <v>10630</v>
      </c>
      <c r="I166" s="251" t="s">
        <v>10631</v>
      </c>
      <c r="J166" s="241" t="s">
        <v>6925</v>
      </c>
      <c r="K166" s="252" t="s">
        <v>10632</v>
      </c>
      <c r="L166" s="239" t="s">
        <v>9802</v>
      </c>
      <c r="M166" s="6" t="s">
        <v>751</v>
      </c>
      <c r="N166" s="30" t="s">
        <v>751</v>
      </c>
      <c r="O166" s="30" t="s">
        <v>751</v>
      </c>
      <c r="P166" s="30" t="s">
        <v>119</v>
      </c>
      <c r="Q166" s="239" t="s">
        <v>7658</v>
      </c>
    </row>
    <row r="167" customFormat="false" ht="51.75" hidden="false" customHeight="true" outlineLevel="0" collapsed="false">
      <c r="A167" s="241" t="s">
        <v>10633</v>
      </c>
      <c r="B167" s="241" t="s">
        <v>6889</v>
      </c>
      <c r="C167" s="252" t="s">
        <v>10634</v>
      </c>
      <c r="D167" s="241" t="s">
        <v>10582</v>
      </c>
      <c r="E167" s="251" t="s">
        <v>10583</v>
      </c>
      <c r="F167" s="241" t="s">
        <v>10635</v>
      </c>
      <c r="G167" s="241" t="s">
        <v>10636</v>
      </c>
      <c r="H167" s="251" t="s">
        <v>10637</v>
      </c>
      <c r="I167" s="251" t="s">
        <v>10638</v>
      </c>
      <c r="J167" s="241" t="s">
        <v>6925</v>
      </c>
      <c r="K167" s="252" t="s">
        <v>10639</v>
      </c>
      <c r="L167" s="239" t="s">
        <v>9802</v>
      </c>
      <c r="M167" s="6" t="s">
        <v>751</v>
      </c>
      <c r="N167" s="30" t="s">
        <v>751</v>
      </c>
      <c r="O167" s="30" t="s">
        <v>751</v>
      </c>
      <c r="P167" s="30" t="s">
        <v>119</v>
      </c>
      <c r="Q167" s="239" t="s">
        <v>7658</v>
      </c>
    </row>
    <row r="168" customFormat="false" ht="77.25" hidden="false" customHeight="true" outlineLevel="0" collapsed="false">
      <c r="A168" s="241" t="s">
        <v>10640</v>
      </c>
      <c r="B168" s="241" t="s">
        <v>6889</v>
      </c>
      <c r="C168" s="250" t="s">
        <v>10641</v>
      </c>
      <c r="D168" s="241" t="s">
        <v>10582</v>
      </c>
      <c r="E168" s="251" t="s">
        <v>10583</v>
      </c>
      <c r="F168" s="241" t="s">
        <v>10642</v>
      </c>
      <c r="G168" s="241" t="s">
        <v>10643</v>
      </c>
      <c r="H168" s="241" t="s">
        <v>10644</v>
      </c>
      <c r="I168" s="251" t="s">
        <v>10645</v>
      </c>
      <c r="J168" s="241" t="s">
        <v>6925</v>
      </c>
      <c r="K168" s="252" t="s">
        <v>10646</v>
      </c>
      <c r="L168" s="239" t="s">
        <v>9802</v>
      </c>
      <c r="M168" s="6" t="s">
        <v>751</v>
      </c>
      <c r="N168" s="30" t="s">
        <v>8564</v>
      </c>
      <c r="O168" s="30" t="s">
        <v>10647</v>
      </c>
      <c r="P168" s="30" t="s">
        <v>119</v>
      </c>
      <c r="Q168" s="239" t="s">
        <v>10648</v>
      </c>
    </row>
    <row r="169" customFormat="false" ht="115.5" hidden="false" customHeight="true" outlineLevel="0" collapsed="false">
      <c r="A169" s="241" t="s">
        <v>8564</v>
      </c>
      <c r="B169" s="241" t="s">
        <v>6889</v>
      </c>
      <c r="C169" s="250" t="s">
        <v>10649</v>
      </c>
      <c r="D169" s="241" t="s">
        <v>10650</v>
      </c>
      <c r="E169" s="251" t="s">
        <v>10094</v>
      </c>
      <c r="F169" s="241" t="s">
        <v>10642</v>
      </c>
      <c r="G169" s="241" t="s">
        <v>10651</v>
      </c>
      <c r="H169" s="241" t="s">
        <v>10652</v>
      </c>
      <c r="I169" s="241" t="s">
        <v>10653</v>
      </c>
      <c r="J169" s="241" t="s">
        <v>6946</v>
      </c>
      <c r="K169" s="252" t="s">
        <v>10654</v>
      </c>
      <c r="L169" s="239" t="s">
        <v>9802</v>
      </c>
      <c r="M169" s="6" t="s">
        <v>10655</v>
      </c>
      <c r="N169" s="30" t="s">
        <v>751</v>
      </c>
      <c r="O169" s="30" t="s">
        <v>10656</v>
      </c>
      <c r="P169" s="30" t="s">
        <v>9981</v>
      </c>
      <c r="Q169" s="239" t="s">
        <v>7551</v>
      </c>
    </row>
    <row r="170" customFormat="false" ht="115.5" hidden="false" customHeight="true" outlineLevel="0" collapsed="false">
      <c r="A170" s="241" t="s">
        <v>10657</v>
      </c>
      <c r="B170" s="241" t="s">
        <v>6889</v>
      </c>
      <c r="C170" s="252" t="s">
        <v>10658</v>
      </c>
      <c r="D170" s="251" t="s">
        <v>10659</v>
      </c>
      <c r="E170" s="251" t="s">
        <v>10583</v>
      </c>
      <c r="F170" s="241" t="s">
        <v>10660</v>
      </c>
      <c r="G170" s="241" t="s">
        <v>10661</v>
      </c>
      <c r="H170" s="251" t="s">
        <v>10662</v>
      </c>
      <c r="I170" s="241" t="s">
        <v>10663</v>
      </c>
      <c r="J170" s="241" t="s">
        <v>6953</v>
      </c>
      <c r="K170" s="252" t="s">
        <v>10664</v>
      </c>
      <c r="L170" s="239" t="s">
        <v>9802</v>
      </c>
      <c r="M170" s="6" t="s">
        <v>751</v>
      </c>
      <c r="N170" s="30" t="s">
        <v>751</v>
      </c>
      <c r="O170" s="30" t="s">
        <v>10665</v>
      </c>
      <c r="P170" s="30" t="s">
        <v>119</v>
      </c>
      <c r="Q170" s="239" t="s">
        <v>10666</v>
      </c>
    </row>
    <row r="171" customFormat="false" ht="153.75" hidden="false" customHeight="true" outlineLevel="0" collapsed="false">
      <c r="A171" s="241" t="s">
        <v>9155</v>
      </c>
      <c r="B171" s="241" t="s">
        <v>6975</v>
      </c>
      <c r="C171" s="250" t="s">
        <v>10667</v>
      </c>
      <c r="D171" s="241" t="s">
        <v>10668</v>
      </c>
      <c r="E171" s="253" t="s">
        <v>10094</v>
      </c>
      <c r="F171" s="241" t="s">
        <v>10669</v>
      </c>
      <c r="G171" s="241" t="s">
        <v>10670</v>
      </c>
      <c r="H171" s="253" t="s">
        <v>10671</v>
      </c>
      <c r="I171" s="253" t="s">
        <v>10672</v>
      </c>
      <c r="J171" s="241" t="s">
        <v>6981</v>
      </c>
      <c r="K171" s="254" t="s">
        <v>10673</v>
      </c>
      <c r="L171" s="205" t="s">
        <v>9802</v>
      </c>
      <c r="M171" s="6" t="s">
        <v>10674</v>
      </c>
      <c r="N171" s="30" t="s">
        <v>751</v>
      </c>
      <c r="O171" s="30" t="s">
        <v>10675</v>
      </c>
      <c r="P171" s="30" t="s">
        <v>9981</v>
      </c>
      <c r="Q171" s="205" t="s">
        <v>7551</v>
      </c>
    </row>
    <row r="172" customFormat="false" ht="264" hidden="false" customHeight="true" outlineLevel="0" collapsed="false">
      <c r="A172" s="241" t="s">
        <v>8268</v>
      </c>
      <c r="B172" s="241" t="s">
        <v>6975</v>
      </c>
      <c r="C172" s="250" t="s">
        <v>10676</v>
      </c>
      <c r="D172" s="241" t="s">
        <v>10677</v>
      </c>
      <c r="E172" s="253" t="s">
        <v>10094</v>
      </c>
      <c r="F172" s="241" t="s">
        <v>10678</v>
      </c>
      <c r="G172" s="241" t="s">
        <v>10679</v>
      </c>
      <c r="H172" s="241" t="s">
        <v>10680</v>
      </c>
      <c r="I172" s="253" t="s">
        <v>10681</v>
      </c>
      <c r="J172" s="241" t="s">
        <v>6981</v>
      </c>
      <c r="K172" s="254" t="s">
        <v>10682</v>
      </c>
      <c r="L172" s="205" t="s">
        <v>9802</v>
      </c>
      <c r="M172" s="6" t="s">
        <v>3343</v>
      </c>
      <c r="N172" s="30" t="s">
        <v>751</v>
      </c>
      <c r="O172" s="30" t="s">
        <v>10683</v>
      </c>
      <c r="P172" s="30" t="s">
        <v>9981</v>
      </c>
      <c r="Q172" s="205" t="s">
        <v>7658</v>
      </c>
    </row>
    <row r="173" customFormat="false" ht="80.25" hidden="false" customHeight="true" outlineLevel="0" collapsed="false">
      <c r="A173" s="241" t="s">
        <v>10684</v>
      </c>
      <c r="B173" s="241" t="s">
        <v>6975</v>
      </c>
      <c r="C173" s="250" t="s">
        <v>10685</v>
      </c>
      <c r="D173" s="241" t="s">
        <v>10686</v>
      </c>
      <c r="E173" s="253" t="s">
        <v>10094</v>
      </c>
      <c r="F173" s="241" t="s">
        <v>10687</v>
      </c>
      <c r="G173" s="241" t="s">
        <v>10688</v>
      </c>
      <c r="H173" s="241" t="s">
        <v>10689</v>
      </c>
      <c r="I173" s="253" t="s">
        <v>10690</v>
      </c>
      <c r="J173" s="241" t="s">
        <v>6981</v>
      </c>
      <c r="K173" s="254" t="s">
        <v>10691</v>
      </c>
      <c r="L173" s="205" t="s">
        <v>9802</v>
      </c>
      <c r="M173" s="6" t="s">
        <v>6016</v>
      </c>
      <c r="N173" s="30" t="s">
        <v>751</v>
      </c>
      <c r="O173" s="205" t="s">
        <v>10692</v>
      </c>
      <c r="P173" s="30" t="s">
        <v>9981</v>
      </c>
      <c r="Q173" s="205" t="s">
        <v>7658</v>
      </c>
    </row>
    <row r="174" customFormat="false" ht="29.25" hidden="false" customHeight="true" outlineLevel="0" collapsed="false">
      <c r="A174" s="241" t="s">
        <v>10693</v>
      </c>
      <c r="B174" s="241" t="s">
        <v>6975</v>
      </c>
      <c r="C174" s="254" t="s">
        <v>10694</v>
      </c>
      <c r="D174" s="241" t="s">
        <v>10695</v>
      </c>
      <c r="E174" s="253" t="s">
        <v>10583</v>
      </c>
      <c r="F174" s="241" t="s">
        <v>10696</v>
      </c>
      <c r="G174" s="241" t="s">
        <v>10697</v>
      </c>
      <c r="H174" s="253" t="s">
        <v>10698</v>
      </c>
      <c r="I174" s="253" t="s">
        <v>10699</v>
      </c>
      <c r="J174" s="241" t="s">
        <v>6981</v>
      </c>
      <c r="K174" s="254" t="s">
        <v>10700</v>
      </c>
      <c r="L174" s="205" t="s">
        <v>9802</v>
      </c>
      <c r="M174" s="6" t="s">
        <v>751</v>
      </c>
      <c r="N174" s="30" t="s">
        <v>751</v>
      </c>
      <c r="O174" s="205" t="s">
        <v>4530</v>
      </c>
      <c r="P174" s="30" t="s">
        <v>9932</v>
      </c>
      <c r="Q174" s="205" t="s">
        <v>10701</v>
      </c>
    </row>
    <row r="175" customFormat="false" ht="100.5" hidden="false" customHeight="true" outlineLevel="0" collapsed="false">
      <c r="A175" s="241" t="s">
        <v>10702</v>
      </c>
      <c r="B175" s="241" t="s">
        <v>3944</v>
      </c>
      <c r="C175" s="250" t="s">
        <v>10703</v>
      </c>
      <c r="D175" s="241" t="s">
        <v>10677</v>
      </c>
      <c r="E175" s="253" t="s">
        <v>10094</v>
      </c>
      <c r="F175" s="241" t="s">
        <v>10704</v>
      </c>
      <c r="G175" s="241" t="s">
        <v>10705</v>
      </c>
      <c r="H175" s="253" t="s">
        <v>10706</v>
      </c>
      <c r="I175" s="253" t="s">
        <v>10707</v>
      </c>
      <c r="J175" s="241" t="s">
        <v>6994</v>
      </c>
      <c r="K175" s="254" t="s">
        <v>10708</v>
      </c>
      <c r="L175" s="205" t="s">
        <v>9802</v>
      </c>
      <c r="M175" s="6" t="s">
        <v>3343</v>
      </c>
      <c r="N175" s="30" t="s">
        <v>751</v>
      </c>
      <c r="O175" s="30" t="s">
        <v>10683</v>
      </c>
      <c r="P175" s="30" t="s">
        <v>9981</v>
      </c>
      <c r="Q175" s="205" t="s">
        <v>7658</v>
      </c>
    </row>
    <row r="176" customFormat="false" ht="137.25" hidden="false" customHeight="true" outlineLevel="0" collapsed="false">
      <c r="A176" s="241" t="s">
        <v>10709</v>
      </c>
      <c r="B176" s="241" t="s">
        <v>3944</v>
      </c>
      <c r="C176" s="250" t="s">
        <v>10710</v>
      </c>
      <c r="D176" s="241" t="s">
        <v>10711</v>
      </c>
      <c r="E176" s="253" t="s">
        <v>10094</v>
      </c>
      <c r="F176" s="241" t="s">
        <v>10712</v>
      </c>
      <c r="G176" s="241" t="s">
        <v>10713</v>
      </c>
      <c r="H176" s="253" t="s">
        <v>10714</v>
      </c>
      <c r="I176" s="253" t="s">
        <v>10715</v>
      </c>
      <c r="J176" s="241" t="s">
        <v>6994</v>
      </c>
      <c r="K176" s="254" t="s">
        <v>10716</v>
      </c>
      <c r="L176" s="205" t="s">
        <v>9802</v>
      </c>
      <c r="M176" s="6" t="s">
        <v>6016</v>
      </c>
      <c r="N176" s="30" t="s">
        <v>751</v>
      </c>
      <c r="O176" s="205" t="s">
        <v>10692</v>
      </c>
      <c r="P176" s="30" t="s">
        <v>9981</v>
      </c>
      <c r="Q176" s="205" t="s">
        <v>7658</v>
      </c>
    </row>
    <row r="177" customFormat="false" ht="242.25" hidden="false" customHeight="true" outlineLevel="0" collapsed="false">
      <c r="A177" s="241" t="s">
        <v>8278</v>
      </c>
      <c r="B177" s="241" t="s">
        <v>3944</v>
      </c>
      <c r="C177" s="250" t="s">
        <v>10717</v>
      </c>
      <c r="D177" s="241" t="s">
        <v>10718</v>
      </c>
      <c r="E177" s="253" t="s">
        <v>10094</v>
      </c>
      <c r="F177" s="241" t="s">
        <v>10719</v>
      </c>
      <c r="G177" s="241" t="s">
        <v>10720</v>
      </c>
      <c r="H177" s="241" t="s">
        <v>10721</v>
      </c>
      <c r="I177" s="253" t="s">
        <v>10722</v>
      </c>
      <c r="J177" s="241" t="s">
        <v>6994</v>
      </c>
      <c r="K177" s="254" t="s">
        <v>10723</v>
      </c>
      <c r="L177" s="205" t="s">
        <v>9802</v>
      </c>
      <c r="M177" s="6" t="s">
        <v>10724</v>
      </c>
      <c r="N177" s="30" t="s">
        <v>751</v>
      </c>
      <c r="O177" s="205" t="s">
        <v>10725</v>
      </c>
      <c r="P177" s="30" t="s">
        <v>9981</v>
      </c>
      <c r="Q177" s="205" t="s">
        <v>7551</v>
      </c>
    </row>
    <row r="178" customFormat="false" ht="156.75" hidden="false" customHeight="true" outlineLevel="0" collapsed="false">
      <c r="A178" s="241" t="s">
        <v>10726</v>
      </c>
      <c r="B178" s="241" t="s">
        <v>3944</v>
      </c>
      <c r="C178" s="254" t="s">
        <v>10727</v>
      </c>
      <c r="D178" s="241" t="s">
        <v>10728</v>
      </c>
      <c r="E178" s="241" t="s">
        <v>10729</v>
      </c>
      <c r="F178" s="241" t="s">
        <v>10730</v>
      </c>
      <c r="G178" s="241" t="s">
        <v>10731</v>
      </c>
      <c r="H178" s="253" t="s">
        <v>10732</v>
      </c>
      <c r="I178" s="253" t="s">
        <v>10733</v>
      </c>
      <c r="J178" s="241" t="s">
        <v>6994</v>
      </c>
      <c r="K178" s="254" t="s">
        <v>10734</v>
      </c>
      <c r="L178" s="205" t="s">
        <v>9802</v>
      </c>
      <c r="M178" s="6" t="s">
        <v>10735</v>
      </c>
      <c r="N178" s="30" t="s">
        <v>751</v>
      </c>
      <c r="O178" s="30" t="s">
        <v>10736</v>
      </c>
      <c r="P178" s="30" t="s">
        <v>751</v>
      </c>
      <c r="Q178" s="30" t="s">
        <v>751</v>
      </c>
    </row>
    <row r="179" customFormat="false" ht="57.75" hidden="false" customHeight="true" outlineLevel="0" collapsed="false">
      <c r="A179" s="241" t="s">
        <v>10737</v>
      </c>
      <c r="B179" s="241" t="s">
        <v>3944</v>
      </c>
      <c r="C179" s="250" t="s">
        <v>10738</v>
      </c>
      <c r="D179" s="241" t="s">
        <v>10739</v>
      </c>
      <c r="E179" s="253" t="s">
        <v>10583</v>
      </c>
      <c r="F179" s="241" t="s">
        <v>10740</v>
      </c>
      <c r="G179" s="241" t="s">
        <v>10741</v>
      </c>
      <c r="H179" s="253" t="s">
        <v>10742</v>
      </c>
      <c r="I179" s="253" t="s">
        <v>10743</v>
      </c>
      <c r="J179" s="241" t="s">
        <v>6994</v>
      </c>
      <c r="K179" s="254" t="s">
        <v>10744</v>
      </c>
      <c r="L179" s="205" t="s">
        <v>9802</v>
      </c>
      <c r="M179" s="6" t="s">
        <v>751</v>
      </c>
      <c r="N179" s="30" t="s">
        <v>751</v>
      </c>
      <c r="O179" s="205" t="s">
        <v>4530</v>
      </c>
      <c r="P179" s="30" t="s">
        <v>9932</v>
      </c>
      <c r="Q179" s="205" t="s">
        <v>10745</v>
      </c>
    </row>
    <row r="180" customFormat="false" ht="86.25" hidden="false" customHeight="true" outlineLevel="0" collapsed="false">
      <c r="A180" s="241" t="s">
        <v>10746</v>
      </c>
      <c r="B180" s="241" t="s">
        <v>3944</v>
      </c>
      <c r="C180" s="250" t="s">
        <v>10747</v>
      </c>
      <c r="D180" s="241" t="s">
        <v>10748</v>
      </c>
      <c r="E180" s="241" t="s">
        <v>10749</v>
      </c>
      <c r="F180" s="241" t="s">
        <v>10750</v>
      </c>
      <c r="G180" s="241" t="s">
        <v>10751</v>
      </c>
      <c r="H180" s="241" t="s">
        <v>10752</v>
      </c>
      <c r="I180" s="253" t="s">
        <v>10753</v>
      </c>
      <c r="J180" s="241" t="s">
        <v>7001</v>
      </c>
      <c r="K180" s="254" t="s">
        <v>10754</v>
      </c>
      <c r="L180" s="205" t="s">
        <v>9802</v>
      </c>
      <c r="M180" s="6" t="s">
        <v>3444</v>
      </c>
      <c r="N180" s="30" t="s">
        <v>751</v>
      </c>
      <c r="O180" s="205" t="s">
        <v>10755</v>
      </c>
      <c r="P180" s="30" t="s">
        <v>9956</v>
      </c>
      <c r="Q180" s="205" t="s">
        <v>7551</v>
      </c>
    </row>
    <row r="181" customFormat="false" ht="57.75" hidden="false" customHeight="true" outlineLevel="0" collapsed="false">
      <c r="A181" s="241" t="s">
        <v>10756</v>
      </c>
      <c r="B181" s="241" t="s">
        <v>3944</v>
      </c>
      <c r="C181" s="250" t="s">
        <v>10757</v>
      </c>
      <c r="D181" s="241" t="s">
        <v>10758</v>
      </c>
      <c r="E181" s="241" t="s">
        <v>10759</v>
      </c>
      <c r="F181" s="241" t="s">
        <v>10760</v>
      </c>
      <c r="G181" s="241" t="s">
        <v>10761</v>
      </c>
      <c r="H181" s="241" t="s">
        <v>10762</v>
      </c>
      <c r="I181" s="253" t="s">
        <v>10753</v>
      </c>
      <c r="J181" s="241" t="s">
        <v>7001</v>
      </c>
      <c r="K181" s="250" t="s">
        <v>10763</v>
      </c>
      <c r="L181" s="205" t="s">
        <v>9802</v>
      </c>
      <c r="M181" s="6" t="s">
        <v>6140</v>
      </c>
      <c r="N181" s="30" t="s">
        <v>751</v>
      </c>
      <c r="O181" s="205" t="s">
        <v>10755</v>
      </c>
      <c r="P181" s="30" t="s">
        <v>9981</v>
      </c>
      <c r="Q181" s="205" t="s">
        <v>7551</v>
      </c>
    </row>
    <row r="182" customFormat="false" ht="72" hidden="false" customHeight="true" outlineLevel="0" collapsed="false">
      <c r="A182" s="241" t="s">
        <v>10764</v>
      </c>
      <c r="B182" s="241" t="s">
        <v>3944</v>
      </c>
      <c r="C182" s="254" t="s">
        <v>10765</v>
      </c>
      <c r="D182" s="241" t="s">
        <v>10766</v>
      </c>
      <c r="E182" s="241" t="s">
        <v>10767</v>
      </c>
      <c r="F182" s="241" t="s">
        <v>10768</v>
      </c>
      <c r="G182" s="241" t="s">
        <v>751</v>
      </c>
      <c r="H182" s="241" t="s">
        <v>751</v>
      </c>
      <c r="I182" s="253" t="s">
        <v>10753</v>
      </c>
      <c r="J182" s="241" t="s">
        <v>7001</v>
      </c>
      <c r="K182" s="254" t="s">
        <v>10769</v>
      </c>
      <c r="L182" s="205" t="s">
        <v>9802</v>
      </c>
      <c r="M182" s="6" t="s">
        <v>3444</v>
      </c>
      <c r="N182" s="30" t="s">
        <v>751</v>
      </c>
      <c r="O182" s="205" t="s">
        <v>10755</v>
      </c>
      <c r="P182" s="30" t="s">
        <v>9956</v>
      </c>
      <c r="Q182" s="205" t="s">
        <v>10770</v>
      </c>
    </row>
    <row r="183" customFormat="false" ht="171" hidden="false" customHeight="true" outlineLevel="0" collapsed="false">
      <c r="A183" s="241" t="s">
        <v>9176</v>
      </c>
      <c r="B183" s="241" t="s">
        <v>3944</v>
      </c>
      <c r="C183" s="250" t="s">
        <v>10771</v>
      </c>
      <c r="D183" s="241" t="s">
        <v>10772</v>
      </c>
      <c r="E183" s="241" t="s">
        <v>10773</v>
      </c>
      <c r="F183" s="241" t="s">
        <v>10774</v>
      </c>
      <c r="G183" s="241" t="s">
        <v>10775</v>
      </c>
      <c r="H183" s="241" t="s">
        <v>10776</v>
      </c>
      <c r="I183" s="253" t="s">
        <v>10777</v>
      </c>
      <c r="J183" s="241" t="s">
        <v>7001</v>
      </c>
      <c r="K183" s="254" t="s">
        <v>10778</v>
      </c>
      <c r="L183" s="205" t="s">
        <v>9802</v>
      </c>
      <c r="M183" s="6" t="s">
        <v>10779</v>
      </c>
      <c r="N183" s="30" t="s">
        <v>9170</v>
      </c>
      <c r="O183" s="30" t="s">
        <v>10780</v>
      </c>
      <c r="P183" s="30" t="s">
        <v>9956</v>
      </c>
      <c r="Q183" s="205" t="s">
        <v>7551</v>
      </c>
    </row>
    <row r="184" customFormat="false" ht="57.75" hidden="false" customHeight="true" outlineLevel="0" collapsed="false">
      <c r="A184" s="241" t="s">
        <v>10781</v>
      </c>
      <c r="B184" s="241" t="s">
        <v>3944</v>
      </c>
      <c r="C184" s="250" t="s">
        <v>10782</v>
      </c>
      <c r="D184" s="241" t="s">
        <v>10783</v>
      </c>
      <c r="E184" s="241" t="s">
        <v>751</v>
      </c>
      <c r="F184" s="241" t="s">
        <v>10784</v>
      </c>
      <c r="G184" s="241" t="s">
        <v>10785</v>
      </c>
      <c r="H184" s="253" t="s">
        <v>10460</v>
      </c>
      <c r="I184" s="253" t="s">
        <v>10786</v>
      </c>
      <c r="J184" s="241" t="s">
        <v>7001</v>
      </c>
      <c r="K184" s="254" t="s">
        <v>10787</v>
      </c>
      <c r="L184" s="205" t="s">
        <v>9802</v>
      </c>
      <c r="M184" s="6" t="s">
        <v>10788</v>
      </c>
      <c r="N184" s="30" t="s">
        <v>751</v>
      </c>
      <c r="O184" s="205" t="s">
        <v>4530</v>
      </c>
      <c r="P184" s="30" t="s">
        <v>751</v>
      </c>
      <c r="Q184" s="30" t="s">
        <v>751</v>
      </c>
    </row>
    <row r="185" customFormat="false" ht="129" hidden="false" customHeight="true" outlineLevel="0" collapsed="false">
      <c r="A185" s="241" t="s">
        <v>10789</v>
      </c>
      <c r="B185" s="241" t="s">
        <v>3944</v>
      </c>
      <c r="C185" s="254" t="s">
        <v>10790</v>
      </c>
      <c r="D185" s="241" t="s">
        <v>10791</v>
      </c>
      <c r="E185" s="241" t="s">
        <v>10792</v>
      </c>
      <c r="F185" s="241" t="s">
        <v>10793</v>
      </c>
      <c r="G185" s="241" t="s">
        <v>10794</v>
      </c>
      <c r="H185" s="253" t="s">
        <v>10795</v>
      </c>
      <c r="I185" s="253" t="s">
        <v>10796</v>
      </c>
      <c r="J185" s="241" t="s">
        <v>7001</v>
      </c>
      <c r="K185" s="250" t="s">
        <v>10797</v>
      </c>
      <c r="L185" s="205" t="s">
        <v>9802</v>
      </c>
      <c r="M185" s="6" t="s">
        <v>10798</v>
      </c>
      <c r="N185" s="30" t="s">
        <v>751</v>
      </c>
      <c r="O185" s="30" t="s">
        <v>10799</v>
      </c>
      <c r="P185" s="30" t="s">
        <v>9981</v>
      </c>
      <c r="Q185" s="205" t="s">
        <v>7551</v>
      </c>
    </row>
    <row r="186" customFormat="false" ht="100.5" hidden="false" customHeight="true" outlineLevel="0" collapsed="false">
      <c r="A186" s="241" t="s">
        <v>10800</v>
      </c>
      <c r="B186" s="241" t="s">
        <v>3944</v>
      </c>
      <c r="C186" s="250" t="s">
        <v>10801</v>
      </c>
      <c r="D186" s="241" t="s">
        <v>10802</v>
      </c>
      <c r="E186" s="241" t="s">
        <v>10803</v>
      </c>
      <c r="F186" s="241" t="s">
        <v>10804</v>
      </c>
      <c r="G186" s="253" t="s">
        <v>10805</v>
      </c>
      <c r="H186" s="241" t="s">
        <v>751</v>
      </c>
      <c r="I186" s="253" t="s">
        <v>10806</v>
      </c>
      <c r="J186" s="241" t="s">
        <v>7001</v>
      </c>
      <c r="K186" s="254" t="s">
        <v>10807</v>
      </c>
      <c r="L186" s="205" t="s">
        <v>9802</v>
      </c>
      <c r="M186" s="6" t="s">
        <v>751</v>
      </c>
      <c r="N186" s="30" t="s">
        <v>751</v>
      </c>
      <c r="O186" s="30" t="s">
        <v>10808</v>
      </c>
      <c r="P186" s="30" t="s">
        <v>751</v>
      </c>
      <c r="Q186" s="30" t="s">
        <v>751</v>
      </c>
    </row>
    <row r="187" customFormat="false" ht="57.75" hidden="false" customHeight="true" outlineLevel="0" collapsed="false">
      <c r="A187" s="241" t="s">
        <v>10809</v>
      </c>
      <c r="B187" s="241" t="s">
        <v>3944</v>
      </c>
      <c r="C187" s="250" t="s">
        <v>10810</v>
      </c>
      <c r="D187" s="241" t="s">
        <v>10811</v>
      </c>
      <c r="E187" s="241" t="s">
        <v>10812</v>
      </c>
      <c r="F187" s="241" t="s">
        <v>10813</v>
      </c>
      <c r="G187" s="241" t="s">
        <v>10814</v>
      </c>
      <c r="H187" s="253" t="s">
        <v>10815</v>
      </c>
      <c r="I187" s="253" t="s">
        <v>10816</v>
      </c>
      <c r="J187" s="241" t="s">
        <v>7079</v>
      </c>
      <c r="K187" s="254" t="s">
        <v>10817</v>
      </c>
      <c r="L187" s="205" t="s">
        <v>9802</v>
      </c>
      <c r="M187" s="6" t="s">
        <v>4794</v>
      </c>
      <c r="N187" s="30" t="s">
        <v>751</v>
      </c>
      <c r="O187" s="30" t="s">
        <v>10818</v>
      </c>
      <c r="P187" s="30" t="s">
        <v>9956</v>
      </c>
      <c r="Q187" s="205" t="s">
        <v>7551</v>
      </c>
    </row>
    <row r="188" customFormat="false" ht="72" hidden="false" customHeight="true" outlineLevel="0" collapsed="false">
      <c r="A188" s="241" t="s">
        <v>7900</v>
      </c>
      <c r="B188" s="241" t="s">
        <v>3944</v>
      </c>
      <c r="C188" s="250" t="s">
        <v>10819</v>
      </c>
      <c r="D188" s="241" t="s">
        <v>10820</v>
      </c>
      <c r="E188" s="241" t="s">
        <v>10812</v>
      </c>
      <c r="F188" s="241" t="s">
        <v>10821</v>
      </c>
      <c r="G188" s="241" t="s">
        <v>10822</v>
      </c>
      <c r="H188" s="241" t="s">
        <v>10823</v>
      </c>
      <c r="I188" s="253" t="s">
        <v>10824</v>
      </c>
      <c r="J188" s="241" t="s">
        <v>7079</v>
      </c>
      <c r="K188" s="254" t="s">
        <v>10825</v>
      </c>
      <c r="L188" s="205" t="s">
        <v>9802</v>
      </c>
      <c r="M188" s="6" t="s">
        <v>7894</v>
      </c>
      <c r="N188" s="30" t="s">
        <v>751</v>
      </c>
      <c r="O188" s="30" t="s">
        <v>10818</v>
      </c>
      <c r="P188" s="30" t="s">
        <v>9956</v>
      </c>
      <c r="Q188" s="205" t="s">
        <v>7551</v>
      </c>
    </row>
    <row r="189" customFormat="false" ht="72" hidden="false" customHeight="true" outlineLevel="0" collapsed="false">
      <c r="A189" s="241" t="s">
        <v>10826</v>
      </c>
      <c r="B189" s="241" t="s">
        <v>3944</v>
      </c>
      <c r="C189" s="250" t="s">
        <v>10827</v>
      </c>
      <c r="D189" s="241" t="s">
        <v>10828</v>
      </c>
      <c r="E189" s="241" t="s">
        <v>10829</v>
      </c>
      <c r="F189" s="241" t="s">
        <v>10830</v>
      </c>
      <c r="G189" s="241" t="s">
        <v>10831</v>
      </c>
      <c r="H189" s="241" t="s">
        <v>10832</v>
      </c>
      <c r="I189" s="253" t="s">
        <v>10833</v>
      </c>
      <c r="J189" s="241" t="s">
        <v>7079</v>
      </c>
      <c r="K189" s="254" t="s">
        <v>10834</v>
      </c>
      <c r="L189" s="205" t="s">
        <v>9802</v>
      </c>
      <c r="M189" s="6" t="s">
        <v>10835</v>
      </c>
      <c r="N189" s="30" t="s">
        <v>751</v>
      </c>
      <c r="O189" s="30" t="s">
        <v>10818</v>
      </c>
      <c r="P189" s="30" t="s">
        <v>9956</v>
      </c>
      <c r="Q189" s="205" t="s">
        <v>7658</v>
      </c>
    </row>
    <row r="190" customFormat="false" ht="72" hidden="false" customHeight="true" outlineLevel="0" collapsed="false">
      <c r="A190" s="241" t="s">
        <v>7990</v>
      </c>
      <c r="B190" s="241" t="s">
        <v>3944</v>
      </c>
      <c r="C190" s="250" t="s">
        <v>10836</v>
      </c>
      <c r="D190" s="241" t="s">
        <v>10837</v>
      </c>
      <c r="E190" s="241" t="s">
        <v>10838</v>
      </c>
      <c r="F190" s="241" t="s">
        <v>10839</v>
      </c>
      <c r="G190" s="241" t="s">
        <v>751</v>
      </c>
      <c r="H190" s="241" t="s">
        <v>10840</v>
      </c>
      <c r="I190" s="253" t="s">
        <v>10841</v>
      </c>
      <c r="J190" s="241" t="s">
        <v>7079</v>
      </c>
      <c r="K190" s="250" t="s">
        <v>10842</v>
      </c>
      <c r="L190" s="205" t="s">
        <v>9802</v>
      </c>
      <c r="M190" s="6" t="s">
        <v>3632</v>
      </c>
      <c r="N190" s="30" t="s">
        <v>751</v>
      </c>
      <c r="O190" s="30" t="s">
        <v>10843</v>
      </c>
      <c r="P190" s="30" t="s">
        <v>9981</v>
      </c>
      <c r="Q190" s="205" t="s">
        <v>7551</v>
      </c>
    </row>
    <row r="191" customFormat="false" ht="72" hidden="false" customHeight="true" outlineLevel="0" collapsed="false">
      <c r="A191" s="241" t="s">
        <v>10844</v>
      </c>
      <c r="B191" s="241" t="s">
        <v>3944</v>
      </c>
      <c r="C191" s="250" t="s">
        <v>10845</v>
      </c>
      <c r="D191" s="241" t="s">
        <v>10846</v>
      </c>
      <c r="E191" s="241" t="s">
        <v>10847</v>
      </c>
      <c r="F191" s="241" t="s">
        <v>10848</v>
      </c>
      <c r="G191" s="241" t="s">
        <v>10849</v>
      </c>
      <c r="H191" s="241" t="s">
        <v>10850</v>
      </c>
      <c r="I191" s="253" t="s">
        <v>10851</v>
      </c>
      <c r="J191" s="241" t="s">
        <v>7079</v>
      </c>
      <c r="K191" s="254" t="s">
        <v>10852</v>
      </c>
      <c r="L191" s="205" t="s">
        <v>9802</v>
      </c>
      <c r="M191" s="6" t="s">
        <v>4797</v>
      </c>
      <c r="N191" s="30" t="s">
        <v>751</v>
      </c>
      <c r="O191" s="30" t="s">
        <v>10853</v>
      </c>
      <c r="P191" s="30" t="s">
        <v>9956</v>
      </c>
      <c r="Q191" s="205" t="s">
        <v>7658</v>
      </c>
    </row>
    <row r="192" customFormat="false" ht="57.75" hidden="false" customHeight="true" outlineLevel="0" collapsed="false">
      <c r="A192" s="241" t="s">
        <v>7911</v>
      </c>
      <c r="B192" s="241" t="s">
        <v>3944</v>
      </c>
      <c r="C192" s="250" t="s">
        <v>10854</v>
      </c>
      <c r="D192" s="241" t="s">
        <v>10855</v>
      </c>
      <c r="E192" s="241" t="s">
        <v>10856</v>
      </c>
      <c r="F192" s="241" t="s">
        <v>10857</v>
      </c>
      <c r="G192" s="241" t="s">
        <v>10858</v>
      </c>
      <c r="H192" s="253" t="s">
        <v>10859</v>
      </c>
      <c r="I192" s="253" t="s">
        <v>10860</v>
      </c>
      <c r="J192" s="241" t="s">
        <v>7079</v>
      </c>
      <c r="K192" s="254" t="s">
        <v>10861</v>
      </c>
      <c r="L192" s="205" t="s">
        <v>9802</v>
      </c>
      <c r="M192" s="6" t="s">
        <v>7904</v>
      </c>
      <c r="N192" s="30" t="s">
        <v>751</v>
      </c>
      <c r="O192" s="30" t="s">
        <v>751</v>
      </c>
      <c r="P192" s="30" t="s">
        <v>9981</v>
      </c>
      <c r="Q192" s="205" t="s">
        <v>7658</v>
      </c>
    </row>
    <row r="193" customFormat="false" ht="57.75" hidden="false" customHeight="true" outlineLevel="0" collapsed="false">
      <c r="A193" s="241" t="s">
        <v>10862</v>
      </c>
      <c r="B193" s="241" t="s">
        <v>3944</v>
      </c>
      <c r="C193" s="250" t="s">
        <v>10863</v>
      </c>
      <c r="D193" s="241" t="s">
        <v>10864</v>
      </c>
      <c r="E193" s="241" t="s">
        <v>10865</v>
      </c>
      <c r="F193" s="241" t="s">
        <v>10866</v>
      </c>
      <c r="G193" s="241" t="s">
        <v>10867</v>
      </c>
      <c r="H193" s="241" t="s">
        <v>10868</v>
      </c>
      <c r="I193" s="253" t="s">
        <v>10869</v>
      </c>
      <c r="J193" s="241" t="s">
        <v>7079</v>
      </c>
      <c r="K193" s="254" t="s">
        <v>10870</v>
      </c>
      <c r="L193" s="205" t="s">
        <v>9802</v>
      </c>
      <c r="M193" s="6" t="s">
        <v>7598</v>
      </c>
      <c r="N193" s="30" t="s">
        <v>751</v>
      </c>
      <c r="O193" s="30" t="s">
        <v>10818</v>
      </c>
      <c r="P193" s="30" t="s">
        <v>9932</v>
      </c>
      <c r="Q193" s="205" t="s">
        <v>7551</v>
      </c>
    </row>
    <row r="194" customFormat="false" ht="57.75" hidden="false" customHeight="true" outlineLevel="0" collapsed="false">
      <c r="A194" s="241" t="s">
        <v>10871</v>
      </c>
      <c r="B194" s="241" t="s">
        <v>3944</v>
      </c>
      <c r="C194" s="250" t="s">
        <v>10872</v>
      </c>
      <c r="D194" s="241" t="s">
        <v>10873</v>
      </c>
      <c r="E194" s="241" t="s">
        <v>10812</v>
      </c>
      <c r="F194" s="241" t="s">
        <v>751</v>
      </c>
      <c r="G194" s="241" t="s">
        <v>751</v>
      </c>
      <c r="H194" s="241" t="s">
        <v>10874</v>
      </c>
      <c r="I194" s="253" t="s">
        <v>10875</v>
      </c>
      <c r="J194" s="241" t="s">
        <v>7079</v>
      </c>
      <c r="K194" s="254" t="s">
        <v>10876</v>
      </c>
      <c r="L194" s="205" t="s">
        <v>9802</v>
      </c>
      <c r="M194" s="6" t="s">
        <v>751</v>
      </c>
      <c r="N194" s="30" t="s">
        <v>751</v>
      </c>
      <c r="O194" s="30" t="s">
        <v>751</v>
      </c>
      <c r="P194" s="30" t="s">
        <v>9956</v>
      </c>
      <c r="Q194" s="205" t="s">
        <v>7551</v>
      </c>
    </row>
    <row r="195" customFormat="false" ht="86.25" hidden="false" customHeight="true" outlineLevel="0" collapsed="false">
      <c r="A195" s="241" t="s">
        <v>10877</v>
      </c>
      <c r="B195" s="241" t="s">
        <v>3944</v>
      </c>
      <c r="C195" s="250" t="s">
        <v>10878</v>
      </c>
      <c r="D195" s="241" t="s">
        <v>10879</v>
      </c>
      <c r="E195" s="241" t="s">
        <v>10880</v>
      </c>
      <c r="F195" s="241" t="s">
        <v>10881</v>
      </c>
      <c r="G195" s="241" t="s">
        <v>10882</v>
      </c>
      <c r="H195" s="241" t="s">
        <v>10883</v>
      </c>
      <c r="I195" s="253" t="s">
        <v>10884</v>
      </c>
      <c r="J195" s="241" t="s">
        <v>7079</v>
      </c>
      <c r="K195" s="250" t="s">
        <v>10885</v>
      </c>
      <c r="L195" s="205" t="s">
        <v>9802</v>
      </c>
      <c r="M195" s="6" t="s">
        <v>751</v>
      </c>
      <c r="N195" s="30" t="s">
        <v>751</v>
      </c>
      <c r="O195" s="30" t="s">
        <v>10886</v>
      </c>
      <c r="P195" s="30" t="s">
        <v>9956</v>
      </c>
      <c r="Q195" s="205" t="s">
        <v>7551</v>
      </c>
    </row>
    <row r="196" customFormat="false" ht="100.5" hidden="false" customHeight="true" outlineLevel="0" collapsed="false">
      <c r="A196" s="241" t="s">
        <v>7999</v>
      </c>
      <c r="B196" s="241" t="s">
        <v>3944</v>
      </c>
      <c r="C196" s="250" t="s">
        <v>10887</v>
      </c>
      <c r="D196" s="241" t="s">
        <v>10888</v>
      </c>
      <c r="E196" s="241" t="s">
        <v>10889</v>
      </c>
      <c r="F196" s="241" t="s">
        <v>10890</v>
      </c>
      <c r="G196" s="241" t="s">
        <v>10891</v>
      </c>
      <c r="H196" s="253" t="s">
        <v>10892</v>
      </c>
      <c r="I196" s="253" t="s">
        <v>10893</v>
      </c>
      <c r="J196" s="241" t="s">
        <v>7079</v>
      </c>
      <c r="K196" s="250" t="s">
        <v>10894</v>
      </c>
      <c r="L196" s="205" t="s">
        <v>9802</v>
      </c>
      <c r="M196" s="6" t="s">
        <v>6216</v>
      </c>
      <c r="N196" s="30" t="s">
        <v>751</v>
      </c>
      <c r="O196" s="30" t="s">
        <v>10895</v>
      </c>
      <c r="P196" s="30" t="s">
        <v>9981</v>
      </c>
      <c r="Q196" s="205" t="s">
        <v>7551</v>
      </c>
    </row>
    <row r="197" customFormat="false" ht="72" hidden="false" customHeight="true" outlineLevel="0" collapsed="false">
      <c r="A197" s="241" t="s">
        <v>8007</v>
      </c>
      <c r="B197" s="241" t="s">
        <v>3944</v>
      </c>
      <c r="C197" s="250" t="s">
        <v>10896</v>
      </c>
      <c r="D197" s="241" t="s">
        <v>10897</v>
      </c>
      <c r="E197" s="241" t="s">
        <v>10889</v>
      </c>
      <c r="F197" s="241" t="s">
        <v>10898</v>
      </c>
      <c r="G197" s="241" t="s">
        <v>10899</v>
      </c>
      <c r="H197" s="253" t="s">
        <v>10900</v>
      </c>
      <c r="I197" s="253" t="s">
        <v>10901</v>
      </c>
      <c r="J197" s="241" t="s">
        <v>7079</v>
      </c>
      <c r="K197" s="254" t="s">
        <v>10902</v>
      </c>
      <c r="L197" s="205" t="s">
        <v>9802</v>
      </c>
      <c r="M197" s="6" t="s">
        <v>8000</v>
      </c>
      <c r="N197" s="30" t="s">
        <v>751</v>
      </c>
      <c r="O197" s="30" t="s">
        <v>10895</v>
      </c>
      <c r="P197" s="30" t="s">
        <v>9981</v>
      </c>
      <c r="Q197" s="205" t="s">
        <v>7551</v>
      </c>
    </row>
    <row r="198" customFormat="false" ht="72" hidden="false" customHeight="true" outlineLevel="0" collapsed="false">
      <c r="A198" s="241" t="s">
        <v>8017</v>
      </c>
      <c r="B198" s="241" t="s">
        <v>3944</v>
      </c>
      <c r="C198" s="250" t="s">
        <v>10903</v>
      </c>
      <c r="D198" s="241" t="s">
        <v>10904</v>
      </c>
      <c r="E198" s="241" t="s">
        <v>10905</v>
      </c>
      <c r="F198" s="241" t="s">
        <v>10906</v>
      </c>
      <c r="G198" s="241" t="s">
        <v>10899</v>
      </c>
      <c r="H198" s="241" t="s">
        <v>10907</v>
      </c>
      <c r="I198" s="253" t="s">
        <v>10908</v>
      </c>
      <c r="J198" s="241" t="s">
        <v>7079</v>
      </c>
      <c r="K198" s="254" t="s">
        <v>10909</v>
      </c>
      <c r="L198" s="205" t="s">
        <v>9802</v>
      </c>
      <c r="M198" s="6" t="s">
        <v>6231</v>
      </c>
      <c r="N198" s="30" t="s">
        <v>751</v>
      </c>
      <c r="O198" s="30" t="s">
        <v>10895</v>
      </c>
      <c r="P198" s="30" t="s">
        <v>9956</v>
      </c>
      <c r="Q198" s="205" t="s">
        <v>7551</v>
      </c>
    </row>
    <row r="199" customFormat="false" ht="57.75" hidden="false" customHeight="true" outlineLevel="0" collapsed="false">
      <c r="A199" s="241" t="s">
        <v>10910</v>
      </c>
      <c r="B199" s="241" t="s">
        <v>3944</v>
      </c>
      <c r="C199" s="250" t="s">
        <v>10911</v>
      </c>
      <c r="D199" s="241" t="s">
        <v>10912</v>
      </c>
      <c r="E199" s="241" t="s">
        <v>10913</v>
      </c>
      <c r="F199" s="241" t="s">
        <v>10914</v>
      </c>
      <c r="G199" s="241" t="s">
        <v>10915</v>
      </c>
      <c r="H199" s="241" t="s">
        <v>10916</v>
      </c>
      <c r="I199" s="253" t="s">
        <v>10917</v>
      </c>
      <c r="J199" s="241" t="s">
        <v>7079</v>
      </c>
      <c r="K199" s="254" t="s">
        <v>10918</v>
      </c>
      <c r="L199" s="205" t="s">
        <v>9802</v>
      </c>
      <c r="M199" s="6" t="s">
        <v>751</v>
      </c>
      <c r="N199" s="30" t="s">
        <v>751</v>
      </c>
      <c r="O199" s="30" t="s">
        <v>10895</v>
      </c>
      <c r="P199" s="30" t="s">
        <v>9956</v>
      </c>
      <c r="Q199" s="205" t="s">
        <v>7551</v>
      </c>
    </row>
    <row r="200" customFormat="false" ht="72" hidden="false" customHeight="true" outlineLevel="0" collapsed="false">
      <c r="A200" s="241" t="s">
        <v>10919</v>
      </c>
      <c r="B200" s="241" t="s">
        <v>3944</v>
      </c>
      <c r="C200" s="250" t="s">
        <v>10920</v>
      </c>
      <c r="D200" s="241" t="s">
        <v>10921</v>
      </c>
      <c r="E200" s="241" t="s">
        <v>10880</v>
      </c>
      <c r="F200" s="241" t="s">
        <v>10922</v>
      </c>
      <c r="G200" s="241" t="s">
        <v>10899</v>
      </c>
      <c r="H200" s="241" t="s">
        <v>10923</v>
      </c>
      <c r="I200" s="253" t="s">
        <v>10924</v>
      </c>
      <c r="J200" s="241" t="s">
        <v>7079</v>
      </c>
      <c r="K200" s="254" t="s">
        <v>10925</v>
      </c>
      <c r="L200" s="205" t="s">
        <v>9802</v>
      </c>
      <c r="M200" s="6" t="s">
        <v>751</v>
      </c>
      <c r="N200" s="30" t="s">
        <v>751</v>
      </c>
      <c r="O200" s="30" t="s">
        <v>10895</v>
      </c>
      <c r="P200" s="30" t="s">
        <v>9956</v>
      </c>
      <c r="Q200" s="205" t="s">
        <v>7551</v>
      </c>
    </row>
    <row r="201" customFormat="false" ht="57.75" hidden="false" customHeight="true" outlineLevel="0" collapsed="false">
      <c r="A201" s="241" t="s">
        <v>10926</v>
      </c>
      <c r="B201" s="241" t="s">
        <v>3944</v>
      </c>
      <c r="C201" s="254" t="s">
        <v>10927</v>
      </c>
      <c r="D201" s="241" t="s">
        <v>10928</v>
      </c>
      <c r="E201" s="241" t="s">
        <v>10929</v>
      </c>
      <c r="F201" s="241" t="s">
        <v>10930</v>
      </c>
      <c r="G201" s="241" t="s">
        <v>10931</v>
      </c>
      <c r="H201" s="241" t="s">
        <v>10932</v>
      </c>
      <c r="I201" s="253" t="s">
        <v>10933</v>
      </c>
      <c r="J201" s="241" t="s">
        <v>7079</v>
      </c>
      <c r="K201" s="254" t="s">
        <v>10934</v>
      </c>
      <c r="L201" s="205" t="s">
        <v>9802</v>
      </c>
      <c r="M201" s="6" t="s">
        <v>751</v>
      </c>
      <c r="N201" s="30" t="s">
        <v>751</v>
      </c>
      <c r="O201" s="30" t="s">
        <v>10935</v>
      </c>
      <c r="P201" s="30" t="s">
        <v>9932</v>
      </c>
      <c r="Q201" s="205" t="s">
        <v>7551</v>
      </c>
    </row>
    <row r="202" customFormat="false" ht="72" hidden="false" customHeight="true" outlineLevel="0" collapsed="false">
      <c r="A202" s="241" t="s">
        <v>10936</v>
      </c>
      <c r="B202" s="241" t="s">
        <v>3944</v>
      </c>
      <c r="C202" s="250" t="s">
        <v>10937</v>
      </c>
      <c r="D202" s="241" t="s">
        <v>10938</v>
      </c>
      <c r="E202" s="241" t="s">
        <v>10939</v>
      </c>
      <c r="F202" s="241" t="s">
        <v>10940</v>
      </c>
      <c r="G202" s="241" t="s">
        <v>10941</v>
      </c>
      <c r="H202" s="241" t="s">
        <v>10942</v>
      </c>
      <c r="I202" s="253" t="s">
        <v>10943</v>
      </c>
      <c r="J202" s="241" t="s">
        <v>7079</v>
      </c>
      <c r="K202" s="250" t="s">
        <v>10944</v>
      </c>
      <c r="L202" s="205" t="s">
        <v>9802</v>
      </c>
      <c r="M202" s="6" t="s">
        <v>751</v>
      </c>
      <c r="N202" s="30" t="s">
        <v>751</v>
      </c>
      <c r="O202" s="30" t="s">
        <v>10935</v>
      </c>
      <c r="P202" s="30" t="s">
        <v>9981</v>
      </c>
      <c r="Q202" s="205" t="s">
        <v>7551</v>
      </c>
    </row>
    <row r="203" customFormat="false" ht="72" hidden="false" customHeight="true" outlineLevel="0" collapsed="false">
      <c r="A203" s="241" t="s">
        <v>9186</v>
      </c>
      <c r="B203" s="241" t="s">
        <v>7106</v>
      </c>
      <c r="C203" s="250" t="s">
        <v>10945</v>
      </c>
      <c r="D203" s="241" t="s">
        <v>10946</v>
      </c>
      <c r="E203" s="241" t="s">
        <v>10947</v>
      </c>
      <c r="F203" s="241" t="s">
        <v>10948</v>
      </c>
      <c r="G203" s="241" t="s">
        <v>751</v>
      </c>
      <c r="H203" s="241" t="s">
        <v>10949</v>
      </c>
      <c r="I203" s="253" t="s">
        <v>10950</v>
      </c>
      <c r="J203" s="241" t="s">
        <v>7103</v>
      </c>
      <c r="K203" s="254" t="s">
        <v>10951</v>
      </c>
      <c r="L203" s="205" t="s">
        <v>9802</v>
      </c>
      <c r="M203" s="6" t="s">
        <v>10952</v>
      </c>
      <c r="N203" s="30" t="s">
        <v>751</v>
      </c>
      <c r="O203" s="30" t="s">
        <v>10953</v>
      </c>
      <c r="P203" s="30" t="s">
        <v>9981</v>
      </c>
      <c r="Q203" s="205" t="s">
        <v>7551</v>
      </c>
    </row>
    <row r="204" customFormat="false" ht="72" hidden="false" customHeight="true" outlineLevel="0" collapsed="false">
      <c r="A204" s="241" t="s">
        <v>9205</v>
      </c>
      <c r="B204" s="241" t="s">
        <v>7106</v>
      </c>
      <c r="C204" s="250" t="s">
        <v>10954</v>
      </c>
      <c r="D204" s="241" t="s">
        <v>10955</v>
      </c>
      <c r="E204" s="241" t="s">
        <v>10947</v>
      </c>
      <c r="F204" s="241" t="s">
        <v>10956</v>
      </c>
      <c r="G204" s="241" t="s">
        <v>751</v>
      </c>
      <c r="H204" s="241" t="s">
        <v>10957</v>
      </c>
      <c r="I204" s="253" t="s">
        <v>10958</v>
      </c>
      <c r="J204" s="241" t="s">
        <v>7103</v>
      </c>
      <c r="K204" s="250" t="s">
        <v>10959</v>
      </c>
      <c r="L204" s="205" t="s">
        <v>9802</v>
      </c>
      <c r="M204" s="6" t="s">
        <v>10960</v>
      </c>
      <c r="N204" s="30" t="s">
        <v>751</v>
      </c>
      <c r="O204" s="30" t="s">
        <v>10953</v>
      </c>
      <c r="P204" s="30" t="s">
        <v>9981</v>
      </c>
      <c r="Q204" s="205" t="s">
        <v>7551</v>
      </c>
    </row>
    <row r="205" customFormat="false" ht="72" hidden="false" customHeight="true" outlineLevel="0" collapsed="false">
      <c r="A205" s="241" t="s">
        <v>9214</v>
      </c>
      <c r="B205" s="241" t="s">
        <v>7106</v>
      </c>
      <c r="C205" s="250" t="s">
        <v>10961</v>
      </c>
      <c r="D205" s="241" t="s">
        <v>10962</v>
      </c>
      <c r="E205" s="241" t="s">
        <v>10812</v>
      </c>
      <c r="F205" s="241" t="s">
        <v>10963</v>
      </c>
      <c r="G205" s="241" t="s">
        <v>751</v>
      </c>
      <c r="H205" s="241" t="s">
        <v>10964</v>
      </c>
      <c r="I205" s="253" t="s">
        <v>10965</v>
      </c>
      <c r="J205" s="241" t="s">
        <v>7103</v>
      </c>
      <c r="K205" s="254" t="s">
        <v>10966</v>
      </c>
      <c r="L205" s="205" t="s">
        <v>9802</v>
      </c>
      <c r="M205" s="6" t="s">
        <v>10967</v>
      </c>
      <c r="N205" s="30" t="s">
        <v>751</v>
      </c>
      <c r="O205" s="30" t="s">
        <v>10953</v>
      </c>
      <c r="P205" s="30" t="s">
        <v>9956</v>
      </c>
      <c r="Q205" s="205" t="s">
        <v>7551</v>
      </c>
    </row>
    <row r="206" customFormat="false" ht="72" hidden="false" customHeight="true" outlineLevel="0" collapsed="false">
      <c r="A206" s="241" t="s">
        <v>9225</v>
      </c>
      <c r="B206" s="241" t="s">
        <v>7106</v>
      </c>
      <c r="C206" s="250" t="s">
        <v>10968</v>
      </c>
      <c r="D206" s="241" t="s">
        <v>10969</v>
      </c>
      <c r="E206" s="241" t="s">
        <v>10812</v>
      </c>
      <c r="F206" s="241" t="s">
        <v>10970</v>
      </c>
      <c r="G206" s="241" t="s">
        <v>751</v>
      </c>
      <c r="H206" s="241" t="s">
        <v>10971</v>
      </c>
      <c r="I206" s="253" t="s">
        <v>10972</v>
      </c>
      <c r="J206" s="241" t="s">
        <v>7103</v>
      </c>
      <c r="K206" s="254" t="s">
        <v>10973</v>
      </c>
      <c r="L206" s="205" t="s">
        <v>9802</v>
      </c>
      <c r="M206" s="6" t="s">
        <v>1446</v>
      </c>
      <c r="N206" s="30" t="s">
        <v>751</v>
      </c>
      <c r="O206" s="30" t="s">
        <v>10953</v>
      </c>
      <c r="P206" s="30" t="s">
        <v>9956</v>
      </c>
      <c r="Q206" s="205" t="s">
        <v>7551</v>
      </c>
    </row>
    <row r="207" customFormat="false" ht="72" hidden="false" customHeight="true" outlineLevel="0" collapsed="false">
      <c r="A207" s="241" t="s">
        <v>10974</v>
      </c>
      <c r="B207" s="241" t="s">
        <v>7106</v>
      </c>
      <c r="C207" s="250" t="s">
        <v>10975</v>
      </c>
      <c r="D207" s="241" t="s">
        <v>10976</v>
      </c>
      <c r="E207" s="241" t="s">
        <v>10812</v>
      </c>
      <c r="F207" s="241" t="s">
        <v>751</v>
      </c>
      <c r="G207" s="241" t="s">
        <v>751</v>
      </c>
      <c r="H207" s="241" t="s">
        <v>10977</v>
      </c>
      <c r="I207" s="253" t="s">
        <v>10978</v>
      </c>
      <c r="J207" s="241" t="s">
        <v>7103</v>
      </c>
      <c r="K207" s="254" t="s">
        <v>10979</v>
      </c>
      <c r="L207" s="205" t="s">
        <v>9802</v>
      </c>
      <c r="M207" s="6" t="s">
        <v>751</v>
      </c>
      <c r="N207" s="30" t="s">
        <v>751</v>
      </c>
      <c r="O207" s="30" t="s">
        <v>751</v>
      </c>
      <c r="P207" s="30" t="s">
        <v>9956</v>
      </c>
      <c r="Q207" s="205" t="s">
        <v>7551</v>
      </c>
    </row>
    <row r="208" customFormat="false" ht="72" hidden="false" customHeight="true" outlineLevel="0" collapsed="false">
      <c r="A208" s="241" t="s">
        <v>9232</v>
      </c>
      <c r="B208" s="241" t="s">
        <v>7106</v>
      </c>
      <c r="C208" s="250" t="s">
        <v>10980</v>
      </c>
      <c r="D208" s="241" t="s">
        <v>10981</v>
      </c>
      <c r="E208" s="241" t="s">
        <v>10982</v>
      </c>
      <c r="F208" s="241" t="s">
        <v>10963</v>
      </c>
      <c r="G208" s="241" t="s">
        <v>751</v>
      </c>
      <c r="H208" s="241" t="s">
        <v>10983</v>
      </c>
      <c r="I208" s="253" t="s">
        <v>10984</v>
      </c>
      <c r="J208" s="241" t="s">
        <v>7103</v>
      </c>
      <c r="K208" s="250" t="s">
        <v>10985</v>
      </c>
      <c r="L208" s="205" t="s">
        <v>9802</v>
      </c>
      <c r="M208" s="6" t="s">
        <v>10986</v>
      </c>
      <c r="N208" s="30" t="s">
        <v>751</v>
      </c>
      <c r="O208" s="30" t="s">
        <v>10953</v>
      </c>
      <c r="P208" s="30" t="s">
        <v>10987</v>
      </c>
      <c r="Q208" s="205" t="s">
        <v>7551</v>
      </c>
    </row>
    <row r="209" customFormat="false" ht="72" hidden="false" customHeight="true" outlineLevel="0" collapsed="false">
      <c r="A209" s="241" t="s">
        <v>9257</v>
      </c>
      <c r="B209" s="241" t="s">
        <v>7106</v>
      </c>
      <c r="C209" s="250" t="s">
        <v>10988</v>
      </c>
      <c r="D209" s="241" t="s">
        <v>10989</v>
      </c>
      <c r="E209" s="241" t="s">
        <v>10812</v>
      </c>
      <c r="F209" s="241" t="s">
        <v>10990</v>
      </c>
      <c r="G209" s="241" t="s">
        <v>751</v>
      </c>
      <c r="H209" s="241" t="s">
        <v>10991</v>
      </c>
      <c r="I209" s="253" t="s">
        <v>10992</v>
      </c>
      <c r="J209" s="241" t="s">
        <v>7103</v>
      </c>
      <c r="K209" s="254" t="s">
        <v>10993</v>
      </c>
      <c r="L209" s="205" t="s">
        <v>9802</v>
      </c>
      <c r="M209" s="6" t="s">
        <v>10994</v>
      </c>
      <c r="N209" s="30" t="s">
        <v>751</v>
      </c>
      <c r="O209" s="30" t="s">
        <v>751</v>
      </c>
      <c r="P209" s="30" t="s">
        <v>9956</v>
      </c>
      <c r="Q209" s="205" t="s">
        <v>7551</v>
      </c>
    </row>
    <row r="210" customFormat="false" ht="72" hidden="false" customHeight="true" outlineLevel="0" collapsed="false">
      <c r="A210" s="241" t="s">
        <v>9267</v>
      </c>
      <c r="B210" s="241" t="s">
        <v>7106</v>
      </c>
      <c r="C210" s="250" t="s">
        <v>10995</v>
      </c>
      <c r="D210" s="241" t="s">
        <v>10996</v>
      </c>
      <c r="E210" s="241" t="s">
        <v>10947</v>
      </c>
      <c r="F210" s="241" t="s">
        <v>10997</v>
      </c>
      <c r="G210" s="241" t="s">
        <v>751</v>
      </c>
      <c r="H210" s="241" t="s">
        <v>10998</v>
      </c>
      <c r="I210" s="253" t="s">
        <v>10999</v>
      </c>
      <c r="J210" s="241" t="s">
        <v>7103</v>
      </c>
      <c r="K210" s="250" t="s">
        <v>11000</v>
      </c>
      <c r="L210" s="205" t="s">
        <v>9802</v>
      </c>
      <c r="M210" s="6" t="s">
        <v>11001</v>
      </c>
      <c r="N210" s="30" t="s">
        <v>751</v>
      </c>
      <c r="O210" s="30" t="s">
        <v>751</v>
      </c>
      <c r="P210" s="30" t="s">
        <v>9981</v>
      </c>
      <c r="Q210" s="205" t="s">
        <v>7551</v>
      </c>
    </row>
    <row r="211" customFormat="false" ht="72" hidden="false" customHeight="true" outlineLevel="0" collapsed="false">
      <c r="A211" s="241" t="s">
        <v>9282</v>
      </c>
      <c r="B211" s="241" t="s">
        <v>7106</v>
      </c>
      <c r="C211" s="250" t="s">
        <v>11002</v>
      </c>
      <c r="D211" s="241" t="s">
        <v>11003</v>
      </c>
      <c r="E211" s="241" t="s">
        <v>10812</v>
      </c>
      <c r="F211" s="241" t="s">
        <v>11004</v>
      </c>
      <c r="G211" s="241" t="s">
        <v>751</v>
      </c>
      <c r="H211" s="253" t="s">
        <v>11005</v>
      </c>
      <c r="I211" s="253" t="s">
        <v>11006</v>
      </c>
      <c r="J211" s="241" t="s">
        <v>7103</v>
      </c>
      <c r="K211" s="254" t="s">
        <v>11007</v>
      </c>
      <c r="L211" s="205" t="s">
        <v>9802</v>
      </c>
      <c r="M211" s="6" t="s">
        <v>11008</v>
      </c>
      <c r="N211" s="30" t="s">
        <v>751</v>
      </c>
      <c r="O211" s="30" t="s">
        <v>751</v>
      </c>
      <c r="P211" s="30" t="s">
        <v>9956</v>
      </c>
      <c r="Q211" s="205" t="s">
        <v>7551</v>
      </c>
    </row>
    <row r="212" customFormat="false" ht="72" hidden="false" customHeight="true" outlineLevel="0" collapsed="false">
      <c r="A212" s="241" t="s">
        <v>9303</v>
      </c>
      <c r="B212" s="241" t="s">
        <v>7106</v>
      </c>
      <c r="C212" s="250" t="s">
        <v>11009</v>
      </c>
      <c r="D212" s="241" t="s">
        <v>11010</v>
      </c>
      <c r="E212" s="241" t="s">
        <v>10812</v>
      </c>
      <c r="F212" s="253" t="s">
        <v>11011</v>
      </c>
      <c r="G212" s="241" t="s">
        <v>11012</v>
      </c>
      <c r="H212" s="253" t="s">
        <v>11013</v>
      </c>
      <c r="I212" s="253" t="s">
        <v>11014</v>
      </c>
      <c r="J212" s="241" t="s">
        <v>7103</v>
      </c>
      <c r="K212" s="250" t="s">
        <v>11015</v>
      </c>
      <c r="L212" s="205" t="s">
        <v>9802</v>
      </c>
      <c r="M212" s="6" t="s">
        <v>11016</v>
      </c>
      <c r="N212" s="30" t="s">
        <v>751</v>
      </c>
      <c r="O212" s="30" t="s">
        <v>10953</v>
      </c>
      <c r="P212" s="30" t="s">
        <v>9956</v>
      </c>
      <c r="Q212" s="205" t="s">
        <v>7551</v>
      </c>
    </row>
    <row r="213" customFormat="false" ht="72" hidden="false" customHeight="true" outlineLevel="0" collapsed="false">
      <c r="A213" s="241" t="s">
        <v>9329</v>
      </c>
      <c r="B213" s="241" t="s">
        <v>7106</v>
      </c>
      <c r="C213" s="250" t="s">
        <v>11017</v>
      </c>
      <c r="D213" s="241" t="s">
        <v>11018</v>
      </c>
      <c r="E213" s="241" t="s">
        <v>10812</v>
      </c>
      <c r="F213" s="253" t="s">
        <v>11019</v>
      </c>
      <c r="G213" s="241" t="s">
        <v>751</v>
      </c>
      <c r="H213" s="241" t="s">
        <v>11020</v>
      </c>
      <c r="I213" s="253" t="s">
        <v>11021</v>
      </c>
      <c r="J213" s="241" t="s">
        <v>7103</v>
      </c>
      <c r="K213" s="254" t="s">
        <v>11022</v>
      </c>
      <c r="L213" s="205" t="s">
        <v>9802</v>
      </c>
      <c r="M213" s="6" t="s">
        <v>6320</v>
      </c>
      <c r="N213" s="30" t="s">
        <v>751</v>
      </c>
      <c r="O213" s="30" t="s">
        <v>751</v>
      </c>
      <c r="P213" s="30" t="s">
        <v>9956</v>
      </c>
      <c r="Q213" s="205" t="s">
        <v>7551</v>
      </c>
    </row>
    <row r="214" customFormat="false" ht="72" hidden="false" customHeight="true" outlineLevel="0" collapsed="false">
      <c r="A214" s="241" t="s">
        <v>9338</v>
      </c>
      <c r="B214" s="241" t="s">
        <v>7106</v>
      </c>
      <c r="C214" s="250" t="s">
        <v>11023</v>
      </c>
      <c r="D214" s="241" t="s">
        <v>11024</v>
      </c>
      <c r="E214" s="241" t="s">
        <v>10812</v>
      </c>
      <c r="F214" s="241" t="s">
        <v>11025</v>
      </c>
      <c r="G214" s="241" t="s">
        <v>751</v>
      </c>
      <c r="H214" s="241" t="s">
        <v>11026</v>
      </c>
      <c r="I214" s="253" t="s">
        <v>11027</v>
      </c>
      <c r="J214" s="241" t="s">
        <v>7103</v>
      </c>
      <c r="K214" s="250" t="s">
        <v>11028</v>
      </c>
      <c r="L214" s="205" t="s">
        <v>9802</v>
      </c>
      <c r="M214" s="6" t="s">
        <v>11029</v>
      </c>
      <c r="N214" s="30" t="s">
        <v>751</v>
      </c>
      <c r="O214" s="30" t="s">
        <v>751</v>
      </c>
      <c r="P214" s="30" t="s">
        <v>9956</v>
      </c>
      <c r="Q214" s="205" t="s">
        <v>7551</v>
      </c>
    </row>
    <row r="215" customFormat="false" ht="72" hidden="false" customHeight="true" outlineLevel="0" collapsed="false">
      <c r="A215" s="241" t="s">
        <v>9347</v>
      </c>
      <c r="B215" s="241" t="s">
        <v>7106</v>
      </c>
      <c r="C215" s="250" t="s">
        <v>11030</v>
      </c>
      <c r="D215" s="241" t="s">
        <v>11031</v>
      </c>
      <c r="E215" s="241" t="s">
        <v>10947</v>
      </c>
      <c r="F215" s="253" t="s">
        <v>11032</v>
      </c>
      <c r="G215" s="241" t="s">
        <v>751</v>
      </c>
      <c r="H215" s="241" t="s">
        <v>11033</v>
      </c>
      <c r="I215" s="253" t="s">
        <v>11034</v>
      </c>
      <c r="J215" s="241" t="s">
        <v>7103</v>
      </c>
      <c r="K215" s="254" t="s">
        <v>11035</v>
      </c>
      <c r="L215" s="205" t="s">
        <v>9802</v>
      </c>
      <c r="M215" s="6" t="s">
        <v>9341</v>
      </c>
      <c r="N215" s="30" t="s">
        <v>751</v>
      </c>
      <c r="O215" s="30" t="s">
        <v>11036</v>
      </c>
      <c r="P215" s="30" t="s">
        <v>9981</v>
      </c>
      <c r="Q215" s="205" t="s">
        <v>7551</v>
      </c>
    </row>
    <row r="216" customFormat="false" ht="72" hidden="false" customHeight="true" outlineLevel="0" collapsed="false">
      <c r="A216" s="241" t="s">
        <v>9356</v>
      </c>
      <c r="B216" s="241" t="s">
        <v>7106</v>
      </c>
      <c r="C216" s="250" t="s">
        <v>11037</v>
      </c>
      <c r="D216" s="241" t="s">
        <v>11038</v>
      </c>
      <c r="E216" s="241" t="s">
        <v>10947</v>
      </c>
      <c r="F216" s="253" t="s">
        <v>11039</v>
      </c>
      <c r="G216" s="241" t="s">
        <v>751</v>
      </c>
      <c r="H216" s="241" t="s">
        <v>11040</v>
      </c>
      <c r="I216" s="253" t="s">
        <v>11041</v>
      </c>
      <c r="J216" s="241" t="s">
        <v>7103</v>
      </c>
      <c r="K216" s="254" t="s">
        <v>11042</v>
      </c>
      <c r="L216" s="205" t="s">
        <v>9802</v>
      </c>
      <c r="M216" s="6" t="s">
        <v>9350</v>
      </c>
      <c r="N216" s="30" t="s">
        <v>751</v>
      </c>
      <c r="O216" s="30" t="s">
        <v>751</v>
      </c>
      <c r="P216" s="30" t="s">
        <v>9981</v>
      </c>
      <c r="Q216" s="205" t="s">
        <v>7551</v>
      </c>
    </row>
    <row r="217" customFormat="false" ht="72" hidden="false" customHeight="true" outlineLevel="0" collapsed="false">
      <c r="A217" s="241" t="s">
        <v>9366</v>
      </c>
      <c r="B217" s="241" t="s">
        <v>7106</v>
      </c>
      <c r="C217" s="250" t="s">
        <v>11043</v>
      </c>
      <c r="D217" s="241" t="s">
        <v>11044</v>
      </c>
      <c r="E217" s="241" t="s">
        <v>11045</v>
      </c>
      <c r="F217" s="241" t="s">
        <v>11046</v>
      </c>
      <c r="G217" s="241" t="s">
        <v>11047</v>
      </c>
      <c r="H217" s="241" t="s">
        <v>11048</v>
      </c>
      <c r="I217" s="253" t="s">
        <v>11049</v>
      </c>
      <c r="J217" s="241" t="s">
        <v>7103</v>
      </c>
      <c r="K217" s="250" t="s">
        <v>11050</v>
      </c>
      <c r="L217" s="205" t="s">
        <v>9802</v>
      </c>
      <c r="M217" s="6" t="s">
        <v>11051</v>
      </c>
      <c r="N217" s="30" t="s">
        <v>751</v>
      </c>
      <c r="O217" s="30" t="s">
        <v>11052</v>
      </c>
      <c r="P217" s="30" t="s">
        <v>9981</v>
      </c>
      <c r="Q217" s="205" t="s">
        <v>7658</v>
      </c>
    </row>
    <row r="218" customFormat="false" ht="72" hidden="false" customHeight="true" outlineLevel="0" collapsed="false">
      <c r="A218" s="241" t="s">
        <v>9381</v>
      </c>
      <c r="B218" s="241" t="s">
        <v>7106</v>
      </c>
      <c r="C218" s="250" t="s">
        <v>11053</v>
      </c>
      <c r="D218" s="241" t="s">
        <v>11054</v>
      </c>
      <c r="E218" s="241" t="s">
        <v>10812</v>
      </c>
      <c r="F218" s="241" t="s">
        <v>11055</v>
      </c>
      <c r="G218" s="241" t="s">
        <v>11047</v>
      </c>
      <c r="H218" s="241" t="s">
        <v>11056</v>
      </c>
      <c r="I218" s="253" t="s">
        <v>11057</v>
      </c>
      <c r="J218" s="241" t="s">
        <v>7103</v>
      </c>
      <c r="K218" s="254" t="s">
        <v>11058</v>
      </c>
      <c r="L218" s="205" t="s">
        <v>9802</v>
      </c>
      <c r="M218" s="6" t="s">
        <v>9374</v>
      </c>
      <c r="N218" s="30" t="s">
        <v>751</v>
      </c>
      <c r="O218" s="30" t="s">
        <v>11052</v>
      </c>
      <c r="P218" s="30" t="s">
        <v>9956</v>
      </c>
      <c r="Q218" s="205" t="s">
        <v>7551</v>
      </c>
    </row>
    <row r="219" customFormat="false" ht="72" hidden="false" customHeight="true" outlineLevel="0" collapsed="false">
      <c r="A219" s="241" t="s">
        <v>11059</v>
      </c>
      <c r="B219" s="241" t="s">
        <v>7106</v>
      </c>
      <c r="C219" s="250" t="s">
        <v>11060</v>
      </c>
      <c r="D219" s="241" t="s">
        <v>11061</v>
      </c>
      <c r="E219" s="241" t="s">
        <v>11062</v>
      </c>
      <c r="F219" s="241" t="s">
        <v>11063</v>
      </c>
      <c r="G219" s="241" t="s">
        <v>751</v>
      </c>
      <c r="H219" s="241" t="s">
        <v>751</v>
      </c>
      <c r="I219" s="253" t="s">
        <v>11064</v>
      </c>
      <c r="J219" s="241" t="s">
        <v>7103</v>
      </c>
      <c r="K219" s="250" t="s">
        <v>11065</v>
      </c>
      <c r="L219" s="205" t="s">
        <v>9802</v>
      </c>
      <c r="M219" s="6" t="s">
        <v>751</v>
      </c>
      <c r="N219" s="30" t="s">
        <v>751</v>
      </c>
      <c r="O219" s="30" t="s">
        <v>751</v>
      </c>
      <c r="P219" s="30" t="s">
        <v>9981</v>
      </c>
      <c r="Q219" s="205" t="s">
        <v>7551</v>
      </c>
    </row>
    <row r="220" customFormat="false" ht="72" hidden="false" customHeight="true" outlineLevel="0" collapsed="false">
      <c r="A220" s="241" t="s">
        <v>11066</v>
      </c>
      <c r="B220" s="241" t="s">
        <v>7106</v>
      </c>
      <c r="C220" s="250" t="s">
        <v>11067</v>
      </c>
      <c r="D220" s="241" t="s">
        <v>11068</v>
      </c>
      <c r="E220" s="241" t="s">
        <v>10812</v>
      </c>
      <c r="F220" s="241" t="s">
        <v>11069</v>
      </c>
      <c r="G220" s="241" t="s">
        <v>751</v>
      </c>
      <c r="H220" s="241" t="s">
        <v>11070</v>
      </c>
      <c r="I220" s="253" t="s">
        <v>11071</v>
      </c>
      <c r="J220" s="241" t="s">
        <v>7103</v>
      </c>
      <c r="K220" s="254" t="s">
        <v>11072</v>
      </c>
      <c r="L220" s="205" t="s">
        <v>9802</v>
      </c>
      <c r="M220" s="6" t="s">
        <v>751</v>
      </c>
      <c r="N220" s="30" t="s">
        <v>751</v>
      </c>
      <c r="O220" s="30" t="s">
        <v>751</v>
      </c>
      <c r="P220" s="30" t="s">
        <v>9956</v>
      </c>
      <c r="Q220" s="205" t="s">
        <v>7551</v>
      </c>
    </row>
    <row r="221" customFormat="false" ht="72" hidden="false" customHeight="true" outlineLevel="0" collapsed="false">
      <c r="A221" s="241" t="s">
        <v>11073</v>
      </c>
      <c r="B221" s="241" t="s">
        <v>7106</v>
      </c>
      <c r="C221" s="250" t="s">
        <v>11074</v>
      </c>
      <c r="D221" s="241" t="s">
        <v>11075</v>
      </c>
      <c r="E221" s="241" t="s">
        <v>11076</v>
      </c>
      <c r="F221" s="241" t="s">
        <v>11077</v>
      </c>
      <c r="G221" s="241" t="s">
        <v>751</v>
      </c>
      <c r="H221" s="241" t="s">
        <v>751</v>
      </c>
      <c r="I221" s="253" t="s">
        <v>11078</v>
      </c>
      <c r="J221" s="241" t="s">
        <v>7103</v>
      </c>
      <c r="K221" s="254" t="s">
        <v>11079</v>
      </c>
      <c r="L221" s="205" t="s">
        <v>9802</v>
      </c>
      <c r="M221" s="6" t="s">
        <v>751</v>
      </c>
      <c r="N221" s="30" t="s">
        <v>751</v>
      </c>
      <c r="O221" s="30" t="s">
        <v>751</v>
      </c>
      <c r="P221" s="30" t="s">
        <v>10987</v>
      </c>
      <c r="Q221" s="205" t="s">
        <v>7551</v>
      </c>
    </row>
    <row r="222" customFormat="false" ht="72" hidden="false" customHeight="true" outlineLevel="0" collapsed="false">
      <c r="A222" s="241" t="s">
        <v>11080</v>
      </c>
      <c r="B222" s="241" t="s">
        <v>7106</v>
      </c>
      <c r="C222" s="250" t="s">
        <v>11081</v>
      </c>
      <c r="D222" s="241" t="s">
        <v>11082</v>
      </c>
      <c r="E222" s="241" t="s">
        <v>10947</v>
      </c>
      <c r="F222" s="241" t="s">
        <v>11083</v>
      </c>
      <c r="G222" s="241" t="s">
        <v>751</v>
      </c>
      <c r="H222" s="241" t="s">
        <v>11084</v>
      </c>
      <c r="I222" s="253" t="s">
        <v>11085</v>
      </c>
      <c r="J222" s="241" t="s">
        <v>7103</v>
      </c>
      <c r="K222" s="254" t="s">
        <v>11086</v>
      </c>
      <c r="L222" s="205" t="s">
        <v>9802</v>
      </c>
      <c r="M222" s="6" t="s">
        <v>751</v>
      </c>
      <c r="N222" s="30" t="s">
        <v>751</v>
      </c>
      <c r="O222" s="30" t="s">
        <v>751</v>
      </c>
      <c r="P222" s="30" t="s">
        <v>9981</v>
      </c>
      <c r="Q222" s="205" t="s">
        <v>7551</v>
      </c>
    </row>
    <row r="223" customFormat="false" ht="72" hidden="false" customHeight="true" outlineLevel="0" collapsed="false">
      <c r="A223" s="241" t="s">
        <v>11087</v>
      </c>
      <c r="B223" s="241" t="s">
        <v>7106</v>
      </c>
      <c r="C223" s="250" t="s">
        <v>11088</v>
      </c>
      <c r="D223" s="241" t="s">
        <v>11089</v>
      </c>
      <c r="E223" s="241" t="s">
        <v>11090</v>
      </c>
      <c r="F223" s="241" t="s">
        <v>11091</v>
      </c>
      <c r="G223" s="241" t="s">
        <v>751</v>
      </c>
      <c r="H223" s="241" t="s">
        <v>751</v>
      </c>
      <c r="I223" s="253" t="s">
        <v>11092</v>
      </c>
      <c r="J223" s="241" t="s">
        <v>7103</v>
      </c>
      <c r="K223" s="254" t="s">
        <v>11093</v>
      </c>
      <c r="L223" s="205" t="s">
        <v>9802</v>
      </c>
      <c r="M223" s="6" t="s">
        <v>751</v>
      </c>
      <c r="N223" s="30" t="s">
        <v>751</v>
      </c>
      <c r="O223" s="30" t="s">
        <v>751</v>
      </c>
      <c r="P223" s="30" t="s">
        <v>9956</v>
      </c>
      <c r="Q223" s="205" t="s">
        <v>7551</v>
      </c>
    </row>
    <row r="224" customFormat="false" ht="72" hidden="false" customHeight="true" outlineLevel="0" collapsed="false">
      <c r="A224" s="241" t="s">
        <v>11094</v>
      </c>
      <c r="B224" s="241" t="s">
        <v>7106</v>
      </c>
      <c r="C224" s="250" t="s">
        <v>11095</v>
      </c>
      <c r="D224" s="241" t="s">
        <v>11096</v>
      </c>
      <c r="E224" s="241" t="s">
        <v>10812</v>
      </c>
      <c r="F224" s="241" t="s">
        <v>751</v>
      </c>
      <c r="G224" s="241" t="s">
        <v>751</v>
      </c>
      <c r="H224" s="241" t="s">
        <v>11097</v>
      </c>
      <c r="I224" s="253" t="s">
        <v>11098</v>
      </c>
      <c r="J224" s="241" t="s">
        <v>7103</v>
      </c>
      <c r="K224" s="254" t="s">
        <v>11099</v>
      </c>
      <c r="L224" s="205" t="s">
        <v>9802</v>
      </c>
      <c r="M224" s="6" t="s">
        <v>751</v>
      </c>
      <c r="N224" s="30" t="s">
        <v>751</v>
      </c>
      <c r="O224" s="30" t="s">
        <v>751</v>
      </c>
      <c r="P224" s="30" t="s">
        <v>9956</v>
      </c>
      <c r="Q224" s="205" t="s">
        <v>7551</v>
      </c>
    </row>
    <row r="225" customFormat="false" ht="72" hidden="false" customHeight="true" outlineLevel="0" collapsed="false">
      <c r="A225" s="241" t="s">
        <v>11100</v>
      </c>
      <c r="B225" s="241" t="s">
        <v>7106</v>
      </c>
      <c r="C225" s="250" t="s">
        <v>11101</v>
      </c>
      <c r="D225" s="241" t="s">
        <v>11102</v>
      </c>
      <c r="E225" s="241" t="s">
        <v>10865</v>
      </c>
      <c r="F225" s="253" t="s">
        <v>11103</v>
      </c>
      <c r="G225" s="241" t="s">
        <v>751</v>
      </c>
      <c r="H225" s="253" t="s">
        <v>11104</v>
      </c>
      <c r="I225" s="253" t="s">
        <v>11105</v>
      </c>
      <c r="J225" s="241" t="s">
        <v>7103</v>
      </c>
      <c r="K225" s="254" t="s">
        <v>11106</v>
      </c>
      <c r="L225" s="205" t="s">
        <v>9802</v>
      </c>
      <c r="M225" s="6" t="s">
        <v>751</v>
      </c>
      <c r="N225" s="30" t="s">
        <v>751</v>
      </c>
      <c r="O225" s="30" t="s">
        <v>751</v>
      </c>
      <c r="P225" s="30" t="s">
        <v>9932</v>
      </c>
      <c r="Q225" s="205" t="s">
        <v>11107</v>
      </c>
    </row>
    <row r="226" customFormat="false" ht="100.5" hidden="false" customHeight="true" outlineLevel="0" collapsed="false">
      <c r="A226" s="241" t="s">
        <v>9389</v>
      </c>
      <c r="B226" s="241" t="s">
        <v>7139</v>
      </c>
      <c r="C226" s="250" t="s">
        <v>11108</v>
      </c>
      <c r="D226" s="241" t="s">
        <v>11109</v>
      </c>
      <c r="E226" s="241" t="s">
        <v>10947</v>
      </c>
      <c r="F226" s="241" t="s">
        <v>11110</v>
      </c>
      <c r="G226" s="241" t="s">
        <v>11111</v>
      </c>
      <c r="H226" s="241" t="s">
        <v>11112</v>
      </c>
      <c r="I226" s="253" t="s">
        <v>11113</v>
      </c>
      <c r="J226" s="241" t="s">
        <v>7136</v>
      </c>
      <c r="K226" s="254" t="s">
        <v>11114</v>
      </c>
      <c r="L226" s="205" t="s">
        <v>9802</v>
      </c>
      <c r="M226" s="6" t="s">
        <v>11115</v>
      </c>
      <c r="N226" s="30" t="s">
        <v>751</v>
      </c>
      <c r="O226" s="30" t="s">
        <v>11116</v>
      </c>
      <c r="P226" s="30" t="s">
        <v>9981</v>
      </c>
      <c r="Q226" s="205" t="s">
        <v>7551</v>
      </c>
    </row>
    <row r="227" customFormat="false" ht="86.25" hidden="false" customHeight="true" outlineLevel="0" collapsed="false">
      <c r="A227" s="241" t="s">
        <v>9398</v>
      </c>
      <c r="B227" s="241" t="s">
        <v>7139</v>
      </c>
      <c r="C227" s="250" t="s">
        <v>11117</v>
      </c>
      <c r="D227" s="241" t="s">
        <v>11118</v>
      </c>
      <c r="E227" s="241" t="s">
        <v>10947</v>
      </c>
      <c r="F227" s="253" t="s">
        <v>11119</v>
      </c>
      <c r="G227" s="241" t="s">
        <v>751</v>
      </c>
      <c r="H227" s="241" t="s">
        <v>11120</v>
      </c>
      <c r="I227" s="253" t="s">
        <v>11121</v>
      </c>
      <c r="J227" s="241" t="s">
        <v>7136</v>
      </c>
      <c r="K227" s="254" t="s">
        <v>11122</v>
      </c>
      <c r="L227" s="205" t="s">
        <v>9802</v>
      </c>
      <c r="M227" s="6" t="s">
        <v>6264</v>
      </c>
      <c r="N227" s="30" t="s">
        <v>751</v>
      </c>
      <c r="O227" s="30" t="s">
        <v>11123</v>
      </c>
      <c r="P227" s="30" t="s">
        <v>9981</v>
      </c>
      <c r="Q227" s="205" t="s">
        <v>7551</v>
      </c>
    </row>
    <row r="228" customFormat="false" ht="100.5" hidden="false" customHeight="true" outlineLevel="0" collapsed="false">
      <c r="A228" s="241" t="s">
        <v>9408</v>
      </c>
      <c r="B228" s="241" t="s">
        <v>7139</v>
      </c>
      <c r="C228" s="250" t="s">
        <v>11124</v>
      </c>
      <c r="D228" s="241" t="s">
        <v>11125</v>
      </c>
      <c r="E228" s="241" t="s">
        <v>11126</v>
      </c>
      <c r="F228" s="241" t="s">
        <v>11127</v>
      </c>
      <c r="G228" s="241" t="s">
        <v>11128</v>
      </c>
      <c r="H228" s="241" t="s">
        <v>11129</v>
      </c>
      <c r="I228" s="253" t="s">
        <v>11130</v>
      </c>
      <c r="J228" s="241" t="s">
        <v>7136</v>
      </c>
      <c r="K228" s="250" t="s">
        <v>11131</v>
      </c>
      <c r="L228" s="205" t="s">
        <v>9802</v>
      </c>
      <c r="M228" s="6" t="s">
        <v>9401</v>
      </c>
      <c r="N228" s="30" t="s">
        <v>751</v>
      </c>
      <c r="O228" s="30" t="s">
        <v>751</v>
      </c>
      <c r="P228" s="30" t="s">
        <v>9981</v>
      </c>
      <c r="Q228" s="205" t="s">
        <v>7658</v>
      </c>
    </row>
    <row r="229" customFormat="false" ht="86.25" hidden="false" customHeight="true" outlineLevel="0" collapsed="false">
      <c r="A229" s="241" t="s">
        <v>9418</v>
      </c>
      <c r="B229" s="241" t="s">
        <v>7139</v>
      </c>
      <c r="C229" s="250" t="s">
        <v>11132</v>
      </c>
      <c r="D229" s="241" t="s">
        <v>11133</v>
      </c>
      <c r="E229" s="241" t="s">
        <v>11126</v>
      </c>
      <c r="F229" s="241" t="s">
        <v>11127</v>
      </c>
      <c r="G229" s="241" t="s">
        <v>11128</v>
      </c>
      <c r="H229" s="241" t="s">
        <v>11134</v>
      </c>
      <c r="I229" s="253" t="s">
        <v>11135</v>
      </c>
      <c r="J229" s="241" t="s">
        <v>7136</v>
      </c>
      <c r="K229" s="254" t="s">
        <v>11136</v>
      </c>
      <c r="L229" s="205" t="s">
        <v>9802</v>
      </c>
      <c r="M229" s="6" t="s">
        <v>9411</v>
      </c>
      <c r="N229" s="30" t="s">
        <v>751</v>
      </c>
      <c r="O229" s="30" t="s">
        <v>751</v>
      </c>
      <c r="P229" s="30" t="s">
        <v>9981</v>
      </c>
      <c r="Q229" s="205" t="s">
        <v>7658</v>
      </c>
    </row>
    <row r="230" customFormat="false" ht="86.25" hidden="false" customHeight="true" outlineLevel="0" collapsed="false">
      <c r="A230" s="241" t="s">
        <v>9428</v>
      </c>
      <c r="B230" s="241" t="s">
        <v>7139</v>
      </c>
      <c r="C230" s="250" t="s">
        <v>11137</v>
      </c>
      <c r="D230" s="241" t="s">
        <v>11138</v>
      </c>
      <c r="E230" s="241" t="s">
        <v>11139</v>
      </c>
      <c r="F230" s="253" t="s">
        <v>11140</v>
      </c>
      <c r="G230" s="241" t="s">
        <v>751</v>
      </c>
      <c r="H230" s="241" t="s">
        <v>11141</v>
      </c>
      <c r="I230" s="253" t="s">
        <v>11142</v>
      </c>
      <c r="J230" s="241" t="s">
        <v>7136</v>
      </c>
      <c r="K230" s="254" t="s">
        <v>11143</v>
      </c>
      <c r="L230" s="205" t="s">
        <v>9802</v>
      </c>
      <c r="M230" s="6" t="s">
        <v>9421</v>
      </c>
      <c r="N230" s="30" t="s">
        <v>751</v>
      </c>
      <c r="O230" s="30" t="s">
        <v>751</v>
      </c>
      <c r="P230" s="30" t="s">
        <v>9956</v>
      </c>
      <c r="Q230" s="205" t="s">
        <v>7551</v>
      </c>
    </row>
    <row r="231" customFormat="false" ht="86.25" hidden="false" customHeight="true" outlineLevel="0" collapsed="false">
      <c r="A231" s="241" t="s">
        <v>9436</v>
      </c>
      <c r="B231" s="241" t="s">
        <v>7139</v>
      </c>
      <c r="C231" s="254" t="s">
        <v>11144</v>
      </c>
      <c r="D231" s="241" t="s">
        <v>11145</v>
      </c>
      <c r="E231" s="241" t="s">
        <v>10947</v>
      </c>
      <c r="F231" s="241" t="s">
        <v>11146</v>
      </c>
      <c r="G231" s="241" t="s">
        <v>751</v>
      </c>
      <c r="H231" s="241" t="s">
        <v>11147</v>
      </c>
      <c r="I231" s="253" t="s">
        <v>11148</v>
      </c>
      <c r="J231" s="241" t="s">
        <v>7136</v>
      </c>
      <c r="K231" s="254" t="s">
        <v>11149</v>
      </c>
      <c r="L231" s="205" t="s">
        <v>9802</v>
      </c>
      <c r="M231" s="6" t="s">
        <v>9431</v>
      </c>
      <c r="N231" s="30" t="s">
        <v>751</v>
      </c>
      <c r="O231" s="30" t="s">
        <v>751</v>
      </c>
      <c r="P231" s="30" t="s">
        <v>9981</v>
      </c>
      <c r="Q231" s="205" t="s">
        <v>7551</v>
      </c>
    </row>
    <row r="232" customFormat="false" ht="100.5" hidden="false" customHeight="true" outlineLevel="0" collapsed="false">
      <c r="A232" s="241" t="s">
        <v>9446</v>
      </c>
      <c r="B232" s="241" t="s">
        <v>7139</v>
      </c>
      <c r="C232" s="250" t="s">
        <v>11150</v>
      </c>
      <c r="D232" s="241" t="s">
        <v>11151</v>
      </c>
      <c r="E232" s="241" t="s">
        <v>10812</v>
      </c>
      <c r="F232" s="241" t="s">
        <v>11152</v>
      </c>
      <c r="G232" s="241" t="s">
        <v>751</v>
      </c>
      <c r="H232" s="241" t="s">
        <v>11153</v>
      </c>
      <c r="I232" s="253" t="s">
        <v>11154</v>
      </c>
      <c r="J232" s="241" t="s">
        <v>7136</v>
      </c>
      <c r="K232" s="254" t="s">
        <v>11155</v>
      </c>
      <c r="L232" s="205" t="s">
        <v>9802</v>
      </c>
      <c r="M232" s="6" t="s">
        <v>9439</v>
      </c>
      <c r="N232" s="30" t="s">
        <v>751</v>
      </c>
      <c r="O232" s="30" t="s">
        <v>751</v>
      </c>
      <c r="P232" s="30" t="s">
        <v>9956</v>
      </c>
      <c r="Q232" s="205" t="s">
        <v>7551</v>
      </c>
    </row>
    <row r="233" customFormat="false" ht="86.25" hidden="false" customHeight="true" outlineLevel="0" collapsed="false">
      <c r="A233" s="241" t="s">
        <v>9455</v>
      </c>
      <c r="B233" s="241" t="s">
        <v>7139</v>
      </c>
      <c r="C233" s="254" t="s">
        <v>11156</v>
      </c>
      <c r="D233" s="241" t="s">
        <v>11157</v>
      </c>
      <c r="E233" s="241" t="s">
        <v>10812</v>
      </c>
      <c r="F233" s="253" t="s">
        <v>11158</v>
      </c>
      <c r="G233" s="241" t="s">
        <v>751</v>
      </c>
      <c r="H233" s="241" t="s">
        <v>11159</v>
      </c>
      <c r="I233" s="253" t="s">
        <v>11160</v>
      </c>
      <c r="J233" s="241" t="s">
        <v>7136</v>
      </c>
      <c r="K233" s="254" t="s">
        <v>11161</v>
      </c>
      <c r="L233" s="205" t="s">
        <v>9802</v>
      </c>
      <c r="M233" s="6" t="s">
        <v>9449</v>
      </c>
      <c r="N233" s="30" t="s">
        <v>751</v>
      </c>
      <c r="O233" s="30" t="s">
        <v>11162</v>
      </c>
      <c r="P233" s="30" t="s">
        <v>9956</v>
      </c>
      <c r="Q233" s="205" t="s">
        <v>7551</v>
      </c>
    </row>
    <row r="234" customFormat="false" ht="86.25" hidden="false" customHeight="true" outlineLevel="0" collapsed="false">
      <c r="A234" s="241" t="s">
        <v>11163</v>
      </c>
      <c r="B234" s="241" t="s">
        <v>7139</v>
      </c>
      <c r="C234" s="250" t="s">
        <v>11164</v>
      </c>
      <c r="D234" s="241" t="s">
        <v>11165</v>
      </c>
      <c r="E234" s="241" t="s">
        <v>10812</v>
      </c>
      <c r="F234" s="253" t="s">
        <v>11166</v>
      </c>
      <c r="G234" s="241" t="s">
        <v>751</v>
      </c>
      <c r="H234" s="241" t="s">
        <v>11167</v>
      </c>
      <c r="I234" s="253" t="s">
        <v>11168</v>
      </c>
      <c r="J234" s="241" t="s">
        <v>7136</v>
      </c>
      <c r="K234" s="250" t="s">
        <v>11169</v>
      </c>
      <c r="L234" s="205" t="s">
        <v>9802</v>
      </c>
      <c r="M234" s="6" t="s">
        <v>751</v>
      </c>
      <c r="N234" s="30" t="s">
        <v>751</v>
      </c>
      <c r="O234" s="30" t="s">
        <v>751</v>
      </c>
      <c r="P234" s="30" t="s">
        <v>9956</v>
      </c>
      <c r="Q234" s="205" t="s">
        <v>11170</v>
      </c>
    </row>
    <row r="235" customFormat="false" ht="86.25" hidden="false" customHeight="true" outlineLevel="0" collapsed="false">
      <c r="A235" s="241" t="s">
        <v>9463</v>
      </c>
      <c r="B235" s="241" t="s">
        <v>7139</v>
      </c>
      <c r="C235" s="250" t="s">
        <v>11171</v>
      </c>
      <c r="D235" s="241" t="s">
        <v>11172</v>
      </c>
      <c r="E235" s="241" t="s">
        <v>10812</v>
      </c>
      <c r="F235" s="241" t="s">
        <v>11173</v>
      </c>
      <c r="G235" s="241" t="s">
        <v>751</v>
      </c>
      <c r="H235" s="241" t="s">
        <v>11174</v>
      </c>
      <c r="I235" s="253" t="s">
        <v>11175</v>
      </c>
      <c r="J235" s="241" t="s">
        <v>7136</v>
      </c>
      <c r="K235" s="254" t="s">
        <v>11176</v>
      </c>
      <c r="L235" s="205" t="s">
        <v>9802</v>
      </c>
      <c r="M235" s="6" t="s">
        <v>9458</v>
      </c>
      <c r="N235" s="30" t="s">
        <v>751</v>
      </c>
      <c r="O235" s="30" t="s">
        <v>751</v>
      </c>
      <c r="P235" s="30" t="s">
        <v>9956</v>
      </c>
      <c r="Q235" s="205" t="s">
        <v>7551</v>
      </c>
    </row>
    <row r="236" customFormat="false" ht="86.25" hidden="false" customHeight="true" outlineLevel="0" collapsed="false">
      <c r="A236" s="241" t="s">
        <v>9473</v>
      </c>
      <c r="B236" s="241" t="s">
        <v>7139</v>
      </c>
      <c r="C236" s="250" t="s">
        <v>11177</v>
      </c>
      <c r="D236" s="241" t="s">
        <v>11178</v>
      </c>
      <c r="E236" s="241" t="s">
        <v>10947</v>
      </c>
      <c r="F236" s="253" t="s">
        <v>11179</v>
      </c>
      <c r="G236" s="241" t="s">
        <v>751</v>
      </c>
      <c r="H236" s="241" t="s">
        <v>11180</v>
      </c>
      <c r="I236" s="253" t="s">
        <v>11181</v>
      </c>
      <c r="J236" s="241" t="s">
        <v>7136</v>
      </c>
      <c r="K236" s="254" t="s">
        <v>11182</v>
      </c>
      <c r="L236" s="205" t="s">
        <v>9802</v>
      </c>
      <c r="M236" s="6" t="s">
        <v>9466</v>
      </c>
      <c r="N236" s="30" t="s">
        <v>751</v>
      </c>
      <c r="O236" s="30" t="s">
        <v>751</v>
      </c>
      <c r="P236" s="30" t="s">
        <v>9981</v>
      </c>
      <c r="Q236" s="205" t="s">
        <v>7658</v>
      </c>
    </row>
    <row r="237" customFormat="false" ht="86.25" hidden="false" customHeight="true" outlineLevel="0" collapsed="false">
      <c r="A237" s="241" t="s">
        <v>11183</v>
      </c>
      <c r="B237" s="241" t="s">
        <v>7139</v>
      </c>
      <c r="C237" s="250" t="s">
        <v>11184</v>
      </c>
      <c r="D237" s="241" t="s">
        <v>11185</v>
      </c>
      <c r="E237" s="241" t="s">
        <v>10947</v>
      </c>
      <c r="F237" s="253" t="s">
        <v>11186</v>
      </c>
      <c r="G237" s="241" t="s">
        <v>11187</v>
      </c>
      <c r="H237" s="241" t="s">
        <v>11188</v>
      </c>
      <c r="I237" s="253" t="s">
        <v>11189</v>
      </c>
      <c r="J237" s="241" t="s">
        <v>7136</v>
      </c>
      <c r="K237" s="250" t="s">
        <v>11190</v>
      </c>
      <c r="L237" s="205" t="s">
        <v>9802</v>
      </c>
      <c r="M237" s="6" t="s">
        <v>9350</v>
      </c>
      <c r="N237" s="30" t="s">
        <v>751</v>
      </c>
      <c r="O237" s="30" t="s">
        <v>751</v>
      </c>
      <c r="P237" s="30" t="s">
        <v>9981</v>
      </c>
      <c r="Q237" s="205" t="s">
        <v>7551</v>
      </c>
    </row>
    <row r="238" customFormat="false" ht="100.5" hidden="false" customHeight="true" outlineLevel="0" collapsed="false">
      <c r="A238" s="241" t="s">
        <v>9480</v>
      </c>
      <c r="B238" s="241" t="s">
        <v>7139</v>
      </c>
      <c r="C238" s="250" t="s">
        <v>11191</v>
      </c>
      <c r="D238" s="241" t="s">
        <v>11192</v>
      </c>
      <c r="E238" s="241" t="s">
        <v>10812</v>
      </c>
      <c r="F238" s="253" t="s">
        <v>11193</v>
      </c>
      <c r="G238" s="241" t="s">
        <v>11194</v>
      </c>
      <c r="H238" s="241" t="s">
        <v>11195</v>
      </c>
      <c r="I238" s="253" t="s">
        <v>11196</v>
      </c>
      <c r="J238" s="241" t="s">
        <v>7136</v>
      </c>
      <c r="K238" s="254" t="s">
        <v>11197</v>
      </c>
      <c r="L238" s="205" t="s">
        <v>9802</v>
      </c>
      <c r="M238" s="6" t="s">
        <v>11198</v>
      </c>
      <c r="N238" s="30" t="s">
        <v>751</v>
      </c>
      <c r="O238" s="30" t="s">
        <v>751</v>
      </c>
      <c r="P238" s="30" t="s">
        <v>9956</v>
      </c>
      <c r="Q238" s="205" t="s">
        <v>7551</v>
      </c>
    </row>
    <row r="239" customFormat="false" ht="86.25" hidden="false" customHeight="true" outlineLevel="0" collapsed="false">
      <c r="A239" s="241" t="s">
        <v>9487</v>
      </c>
      <c r="B239" s="241" t="s">
        <v>7139</v>
      </c>
      <c r="C239" s="250" t="s">
        <v>11199</v>
      </c>
      <c r="D239" s="241" t="s">
        <v>10946</v>
      </c>
      <c r="E239" s="241" t="s">
        <v>10947</v>
      </c>
      <c r="F239" s="241" t="s">
        <v>11200</v>
      </c>
      <c r="G239" s="241" t="s">
        <v>11201</v>
      </c>
      <c r="H239" s="241" t="s">
        <v>11202</v>
      </c>
      <c r="I239" s="253" t="s">
        <v>11203</v>
      </c>
      <c r="J239" s="241" t="s">
        <v>7136</v>
      </c>
      <c r="K239" s="254" t="s">
        <v>11204</v>
      </c>
      <c r="L239" s="205" t="s">
        <v>9802</v>
      </c>
      <c r="M239" s="6" t="s">
        <v>11205</v>
      </c>
      <c r="N239" s="30" t="s">
        <v>751</v>
      </c>
      <c r="O239" s="30" t="s">
        <v>751</v>
      </c>
      <c r="P239" s="30" t="s">
        <v>9981</v>
      </c>
      <c r="Q239" s="205" t="s">
        <v>7551</v>
      </c>
    </row>
    <row r="240" customFormat="false" ht="86.25" hidden="false" customHeight="true" outlineLevel="0" collapsed="false">
      <c r="A240" s="241" t="s">
        <v>11206</v>
      </c>
      <c r="B240" s="241" t="s">
        <v>7139</v>
      </c>
      <c r="C240" s="250" t="s">
        <v>11207</v>
      </c>
      <c r="D240" s="241" t="s">
        <v>11208</v>
      </c>
      <c r="E240" s="241" t="s">
        <v>11209</v>
      </c>
      <c r="F240" s="241" t="s">
        <v>11210</v>
      </c>
      <c r="G240" s="241" t="s">
        <v>11211</v>
      </c>
      <c r="H240" s="241" t="s">
        <v>11212</v>
      </c>
      <c r="I240" s="253" t="s">
        <v>11213</v>
      </c>
      <c r="J240" s="241" t="s">
        <v>7136</v>
      </c>
      <c r="K240" s="254" t="s">
        <v>11214</v>
      </c>
      <c r="L240" s="205" t="s">
        <v>9802</v>
      </c>
      <c r="M240" s="6" t="s">
        <v>9111</v>
      </c>
      <c r="N240" s="30" t="s">
        <v>751</v>
      </c>
      <c r="O240" s="30" t="s">
        <v>751</v>
      </c>
      <c r="P240" s="30" t="s">
        <v>9956</v>
      </c>
      <c r="Q240" s="205" t="s">
        <v>7551</v>
      </c>
    </row>
    <row r="241" customFormat="false" ht="100.5" hidden="false" customHeight="true" outlineLevel="0" collapsed="false">
      <c r="A241" s="241" t="s">
        <v>9495</v>
      </c>
      <c r="B241" s="241" t="s">
        <v>7139</v>
      </c>
      <c r="C241" s="250" t="s">
        <v>11215</v>
      </c>
      <c r="D241" s="241" t="s">
        <v>11216</v>
      </c>
      <c r="E241" s="241" t="s">
        <v>10812</v>
      </c>
      <c r="F241" s="241" t="s">
        <v>11217</v>
      </c>
      <c r="G241" s="241" t="s">
        <v>11218</v>
      </c>
      <c r="H241" s="241" t="s">
        <v>11219</v>
      </c>
      <c r="I241" s="253" t="s">
        <v>11220</v>
      </c>
      <c r="J241" s="241" t="s">
        <v>7136</v>
      </c>
      <c r="K241" s="254" t="s">
        <v>11221</v>
      </c>
      <c r="L241" s="205" t="s">
        <v>9802</v>
      </c>
      <c r="M241" s="6" t="s">
        <v>11222</v>
      </c>
      <c r="N241" s="30" t="s">
        <v>751</v>
      </c>
      <c r="O241" s="30" t="s">
        <v>11223</v>
      </c>
      <c r="P241" s="30" t="s">
        <v>9956</v>
      </c>
      <c r="Q241" s="205" t="s">
        <v>11224</v>
      </c>
    </row>
    <row r="242" customFormat="false" ht="100.5" hidden="false" customHeight="true" outlineLevel="0" collapsed="false">
      <c r="A242" s="241" t="s">
        <v>11225</v>
      </c>
      <c r="B242" s="241" t="s">
        <v>7139</v>
      </c>
      <c r="C242" s="250" t="s">
        <v>11226</v>
      </c>
      <c r="D242" s="241" t="s">
        <v>11227</v>
      </c>
      <c r="E242" s="241" t="s">
        <v>10812</v>
      </c>
      <c r="F242" s="253" t="s">
        <v>11228</v>
      </c>
      <c r="G242" s="241" t="s">
        <v>751</v>
      </c>
      <c r="H242" s="241" t="s">
        <v>11229</v>
      </c>
      <c r="I242" s="253" t="s">
        <v>11230</v>
      </c>
      <c r="J242" s="241" t="s">
        <v>7136</v>
      </c>
      <c r="K242" s="254" t="s">
        <v>11231</v>
      </c>
      <c r="L242" s="205" t="s">
        <v>9802</v>
      </c>
      <c r="M242" s="6" t="s">
        <v>9490</v>
      </c>
      <c r="N242" s="30" t="s">
        <v>751</v>
      </c>
      <c r="O242" s="30" t="s">
        <v>751</v>
      </c>
      <c r="P242" s="30" t="s">
        <v>9956</v>
      </c>
      <c r="Q242" s="205" t="s">
        <v>7551</v>
      </c>
    </row>
    <row r="243" customFormat="false" ht="86.25" hidden="false" customHeight="true" outlineLevel="0" collapsed="false">
      <c r="A243" s="241" t="s">
        <v>11232</v>
      </c>
      <c r="B243" s="241" t="s">
        <v>7139</v>
      </c>
      <c r="C243" s="250" t="s">
        <v>11233</v>
      </c>
      <c r="D243" s="241" t="s">
        <v>11234</v>
      </c>
      <c r="E243" s="241" t="s">
        <v>11235</v>
      </c>
      <c r="F243" s="241" t="s">
        <v>11152</v>
      </c>
      <c r="G243" s="241" t="s">
        <v>751</v>
      </c>
      <c r="H243" s="241" t="s">
        <v>11236</v>
      </c>
      <c r="I243" s="253" t="s">
        <v>11237</v>
      </c>
      <c r="J243" s="241" t="s">
        <v>7136</v>
      </c>
      <c r="K243" s="254" t="s">
        <v>11238</v>
      </c>
      <c r="L243" s="205" t="s">
        <v>9802</v>
      </c>
      <c r="M243" s="6" t="s">
        <v>751</v>
      </c>
      <c r="N243" s="30" t="s">
        <v>751</v>
      </c>
      <c r="O243" s="30" t="s">
        <v>751</v>
      </c>
      <c r="P243" s="30" t="s">
        <v>9932</v>
      </c>
      <c r="Q243" s="205" t="s">
        <v>7658</v>
      </c>
    </row>
    <row r="244" customFormat="false" ht="86.25" hidden="false" customHeight="true" outlineLevel="0" collapsed="false">
      <c r="A244" s="241" t="s">
        <v>11239</v>
      </c>
      <c r="B244" s="241" t="s">
        <v>7139</v>
      </c>
      <c r="C244" s="250" t="s">
        <v>11240</v>
      </c>
      <c r="D244" s="241" t="s">
        <v>11241</v>
      </c>
      <c r="E244" s="241" t="s">
        <v>11235</v>
      </c>
      <c r="F244" s="241" t="s">
        <v>11242</v>
      </c>
      <c r="G244" s="241" t="s">
        <v>751</v>
      </c>
      <c r="H244" s="241" t="s">
        <v>11243</v>
      </c>
      <c r="I244" s="253" t="s">
        <v>11244</v>
      </c>
      <c r="J244" s="241" t="s">
        <v>7136</v>
      </c>
      <c r="K244" s="254" t="s">
        <v>11245</v>
      </c>
      <c r="L244" s="205" t="s">
        <v>9802</v>
      </c>
      <c r="M244" s="6" t="s">
        <v>751</v>
      </c>
      <c r="N244" s="30" t="s">
        <v>751</v>
      </c>
      <c r="O244" s="30" t="s">
        <v>751</v>
      </c>
      <c r="P244" s="30" t="s">
        <v>9932</v>
      </c>
      <c r="Q244" s="205" t="s">
        <v>7658</v>
      </c>
    </row>
    <row r="245" customFormat="false" ht="86.25" hidden="false" customHeight="true" outlineLevel="0" collapsed="false">
      <c r="A245" s="241" t="s">
        <v>9502</v>
      </c>
      <c r="B245" s="241" t="s">
        <v>7139</v>
      </c>
      <c r="C245" s="250" t="s">
        <v>11246</v>
      </c>
      <c r="D245" s="241" t="s">
        <v>11247</v>
      </c>
      <c r="E245" s="241" t="s">
        <v>10982</v>
      </c>
      <c r="F245" s="253" t="s">
        <v>11248</v>
      </c>
      <c r="G245" s="241" t="s">
        <v>751</v>
      </c>
      <c r="H245" s="241" t="s">
        <v>11249</v>
      </c>
      <c r="I245" s="253" t="s">
        <v>11250</v>
      </c>
      <c r="J245" s="241" t="s">
        <v>7136</v>
      </c>
      <c r="K245" s="250" t="s">
        <v>11251</v>
      </c>
      <c r="L245" s="205" t="s">
        <v>9802</v>
      </c>
      <c r="M245" s="6" t="s">
        <v>11252</v>
      </c>
      <c r="N245" s="30" t="s">
        <v>751</v>
      </c>
      <c r="O245" s="30" t="s">
        <v>751</v>
      </c>
      <c r="P245" s="30" t="s">
        <v>10987</v>
      </c>
      <c r="Q245" s="205" t="s">
        <v>7551</v>
      </c>
    </row>
    <row r="246" customFormat="false" ht="86.25" hidden="false" customHeight="true" outlineLevel="0" collapsed="false">
      <c r="A246" s="241" t="s">
        <v>11253</v>
      </c>
      <c r="B246" s="241" t="s">
        <v>7139</v>
      </c>
      <c r="C246" s="250" t="s">
        <v>11254</v>
      </c>
      <c r="D246" s="241" t="s">
        <v>11255</v>
      </c>
      <c r="E246" s="241" t="s">
        <v>11256</v>
      </c>
      <c r="F246" s="253" t="s">
        <v>11257</v>
      </c>
      <c r="G246" s="241" t="s">
        <v>751</v>
      </c>
      <c r="H246" s="241" t="s">
        <v>11258</v>
      </c>
      <c r="I246" s="253" t="s">
        <v>11259</v>
      </c>
      <c r="J246" s="241" t="s">
        <v>7136</v>
      </c>
      <c r="K246" s="250" t="s">
        <v>11260</v>
      </c>
      <c r="L246" s="205" t="s">
        <v>9802</v>
      </c>
      <c r="M246" s="6" t="s">
        <v>751</v>
      </c>
      <c r="N246" s="30" t="s">
        <v>751</v>
      </c>
      <c r="O246" s="30" t="s">
        <v>751</v>
      </c>
      <c r="P246" s="30" t="s">
        <v>9956</v>
      </c>
      <c r="Q246" s="205" t="s">
        <v>11170</v>
      </c>
    </row>
    <row r="247" customFormat="false" ht="86.25" hidden="false" customHeight="true" outlineLevel="0" collapsed="false">
      <c r="A247" s="241" t="s">
        <v>11261</v>
      </c>
      <c r="B247" s="241" t="s">
        <v>7139</v>
      </c>
      <c r="C247" s="250" t="s">
        <v>11262</v>
      </c>
      <c r="D247" s="253" t="s">
        <v>11263</v>
      </c>
      <c r="E247" s="241" t="s">
        <v>751</v>
      </c>
      <c r="F247" s="241" t="s">
        <v>11264</v>
      </c>
      <c r="G247" s="241" t="s">
        <v>11265</v>
      </c>
      <c r="H247" s="253" t="s">
        <v>11266</v>
      </c>
      <c r="I247" s="253" t="s">
        <v>11267</v>
      </c>
      <c r="J247" s="241" t="s">
        <v>7136</v>
      </c>
      <c r="K247" s="254" t="s">
        <v>11268</v>
      </c>
      <c r="L247" s="205" t="s">
        <v>9802</v>
      </c>
      <c r="M247" s="6" t="s">
        <v>751</v>
      </c>
      <c r="N247" s="30" t="s">
        <v>751</v>
      </c>
      <c r="O247" s="30" t="s">
        <v>751</v>
      </c>
      <c r="P247" s="30" t="s">
        <v>751</v>
      </c>
      <c r="Q247" s="30" t="s">
        <v>751</v>
      </c>
    </row>
    <row r="248" customFormat="false" ht="86.25" hidden="false" customHeight="true" outlineLevel="0" collapsed="false">
      <c r="A248" s="241" t="s">
        <v>11269</v>
      </c>
      <c r="B248" s="241" t="s">
        <v>7139</v>
      </c>
      <c r="C248" s="254" t="s">
        <v>11270</v>
      </c>
      <c r="D248" s="241" t="s">
        <v>11271</v>
      </c>
      <c r="E248" s="241" t="s">
        <v>751</v>
      </c>
      <c r="F248" s="241" t="s">
        <v>11272</v>
      </c>
      <c r="G248" s="241" t="s">
        <v>751</v>
      </c>
      <c r="H248" s="241" t="s">
        <v>751</v>
      </c>
      <c r="I248" s="253" t="s">
        <v>11273</v>
      </c>
      <c r="J248" s="241" t="s">
        <v>7136</v>
      </c>
      <c r="K248" s="254" t="s">
        <v>11274</v>
      </c>
      <c r="L248" s="205" t="s">
        <v>9802</v>
      </c>
      <c r="M248" s="6" t="s">
        <v>751</v>
      </c>
      <c r="N248" s="30" t="s">
        <v>751</v>
      </c>
      <c r="O248" s="30" t="s">
        <v>751</v>
      </c>
      <c r="P248" s="30" t="s">
        <v>751</v>
      </c>
      <c r="Q248" s="30" t="s">
        <v>751</v>
      </c>
    </row>
    <row r="249" customFormat="false" ht="114.75" hidden="false" customHeight="true" outlineLevel="0" collapsed="false">
      <c r="A249" s="241" t="s">
        <v>9528</v>
      </c>
      <c r="B249" s="241" t="s">
        <v>7179</v>
      </c>
      <c r="C249" s="250" t="s">
        <v>11275</v>
      </c>
      <c r="D249" s="241" t="s">
        <v>11276</v>
      </c>
      <c r="E249" s="241" t="s">
        <v>11277</v>
      </c>
      <c r="F249" s="241" t="s">
        <v>11278</v>
      </c>
      <c r="G249" s="241" t="s">
        <v>751</v>
      </c>
      <c r="H249" s="241" t="s">
        <v>11279</v>
      </c>
      <c r="I249" s="253" t="s">
        <v>11280</v>
      </c>
      <c r="J249" s="241" t="s">
        <v>7176</v>
      </c>
      <c r="K249" s="254" t="s">
        <v>11281</v>
      </c>
      <c r="L249" s="205" t="s">
        <v>9802</v>
      </c>
      <c r="M249" s="6" t="s">
        <v>9525</v>
      </c>
      <c r="N249" s="30" t="s">
        <v>751</v>
      </c>
      <c r="O249" s="30" t="s">
        <v>751</v>
      </c>
      <c r="P249" s="30" t="s">
        <v>9956</v>
      </c>
      <c r="Q249" s="205" t="s">
        <v>7551</v>
      </c>
    </row>
    <row r="250" customFormat="false" ht="114.75" hidden="false" customHeight="true" outlineLevel="0" collapsed="false">
      <c r="A250" s="241" t="s">
        <v>11282</v>
      </c>
      <c r="B250" s="241" t="s">
        <v>7179</v>
      </c>
      <c r="C250" s="250" t="s">
        <v>11283</v>
      </c>
      <c r="D250" s="241" t="s">
        <v>11284</v>
      </c>
      <c r="E250" s="241" t="s">
        <v>11277</v>
      </c>
      <c r="F250" s="241" t="s">
        <v>11285</v>
      </c>
      <c r="G250" s="241" t="s">
        <v>11286</v>
      </c>
      <c r="H250" s="241" t="s">
        <v>11287</v>
      </c>
      <c r="I250" s="253" t="s">
        <v>11288</v>
      </c>
      <c r="J250" s="241" t="s">
        <v>7176</v>
      </c>
      <c r="K250" s="254" t="s">
        <v>11289</v>
      </c>
      <c r="L250" s="205" t="s">
        <v>9802</v>
      </c>
      <c r="M250" s="6" t="s">
        <v>6320</v>
      </c>
      <c r="N250" s="30" t="s">
        <v>751</v>
      </c>
      <c r="O250" s="30" t="s">
        <v>751</v>
      </c>
      <c r="P250" s="30" t="s">
        <v>9956</v>
      </c>
      <c r="Q250" s="205" t="s">
        <v>7551</v>
      </c>
    </row>
    <row r="251" customFormat="false" ht="114.75" hidden="false" customHeight="true" outlineLevel="0" collapsed="false">
      <c r="A251" s="241" t="s">
        <v>9537</v>
      </c>
      <c r="B251" s="241" t="s">
        <v>7179</v>
      </c>
      <c r="C251" s="250" t="s">
        <v>11290</v>
      </c>
      <c r="D251" s="241" t="s">
        <v>11291</v>
      </c>
      <c r="E251" s="241" t="s">
        <v>11292</v>
      </c>
      <c r="F251" s="241" t="s">
        <v>11293</v>
      </c>
      <c r="G251" s="241" t="s">
        <v>11294</v>
      </c>
      <c r="H251" s="241" t="s">
        <v>11295</v>
      </c>
      <c r="I251" s="253" t="s">
        <v>11296</v>
      </c>
      <c r="J251" s="241" t="s">
        <v>7176</v>
      </c>
      <c r="K251" s="254" t="s">
        <v>11297</v>
      </c>
      <c r="L251" s="205" t="s">
        <v>9802</v>
      </c>
      <c r="M251" s="6" t="s">
        <v>9532</v>
      </c>
      <c r="N251" s="30" t="s">
        <v>751</v>
      </c>
      <c r="O251" s="30" t="s">
        <v>751</v>
      </c>
      <c r="P251" s="30" t="s">
        <v>9932</v>
      </c>
      <c r="Q251" s="205" t="s">
        <v>7551</v>
      </c>
    </row>
    <row r="252" customFormat="false" ht="114.75" hidden="false" customHeight="true" outlineLevel="0" collapsed="false">
      <c r="A252" s="241" t="s">
        <v>9544</v>
      </c>
      <c r="B252" s="241" t="s">
        <v>7179</v>
      </c>
      <c r="C252" s="250" t="s">
        <v>11298</v>
      </c>
      <c r="D252" s="241" t="s">
        <v>11299</v>
      </c>
      <c r="E252" s="253" t="s">
        <v>11300</v>
      </c>
      <c r="F252" s="241" t="s">
        <v>11301</v>
      </c>
      <c r="G252" s="241" t="s">
        <v>11302</v>
      </c>
      <c r="H252" s="241" t="s">
        <v>11303</v>
      </c>
      <c r="I252" s="253" t="s">
        <v>11304</v>
      </c>
      <c r="J252" s="241" t="s">
        <v>7176</v>
      </c>
      <c r="K252" s="254" t="s">
        <v>11305</v>
      </c>
      <c r="L252" s="205" t="s">
        <v>9802</v>
      </c>
      <c r="M252" s="6" t="s">
        <v>6275</v>
      </c>
      <c r="N252" s="30" t="s">
        <v>751</v>
      </c>
      <c r="O252" s="30" t="s">
        <v>11306</v>
      </c>
      <c r="P252" s="30" t="s">
        <v>9932</v>
      </c>
      <c r="Q252" s="205" t="s">
        <v>7551</v>
      </c>
    </row>
    <row r="253" customFormat="false" ht="114.75" hidden="false" customHeight="true" outlineLevel="0" collapsed="false">
      <c r="A253" s="241" t="s">
        <v>11307</v>
      </c>
      <c r="B253" s="241" t="s">
        <v>7179</v>
      </c>
      <c r="C253" s="250" t="s">
        <v>11308</v>
      </c>
      <c r="D253" s="241" t="s">
        <v>11309</v>
      </c>
      <c r="E253" s="241" t="s">
        <v>10812</v>
      </c>
      <c r="F253" s="241" t="s">
        <v>11310</v>
      </c>
      <c r="G253" s="241" t="s">
        <v>751</v>
      </c>
      <c r="H253" s="253" t="s">
        <v>11311</v>
      </c>
      <c r="I253" s="253" t="s">
        <v>11312</v>
      </c>
      <c r="J253" s="241" t="s">
        <v>7176</v>
      </c>
      <c r="K253" s="254" t="s">
        <v>11313</v>
      </c>
      <c r="L253" s="205" t="s">
        <v>9802</v>
      </c>
      <c r="M253" s="6" t="s">
        <v>6327</v>
      </c>
      <c r="N253" s="30" t="s">
        <v>751</v>
      </c>
      <c r="O253" s="30" t="s">
        <v>751</v>
      </c>
      <c r="P253" s="30" t="s">
        <v>9956</v>
      </c>
      <c r="Q253" s="205" t="s">
        <v>7551</v>
      </c>
    </row>
    <row r="254" customFormat="false" ht="129" hidden="false" customHeight="true" outlineLevel="0" collapsed="false">
      <c r="A254" s="241" t="s">
        <v>11314</v>
      </c>
      <c r="B254" s="241" t="s">
        <v>7179</v>
      </c>
      <c r="C254" s="250" t="s">
        <v>11315</v>
      </c>
      <c r="D254" s="241" t="s">
        <v>11316</v>
      </c>
      <c r="E254" s="241" t="s">
        <v>11317</v>
      </c>
      <c r="F254" s="241" t="s">
        <v>11318</v>
      </c>
      <c r="G254" s="241" t="s">
        <v>751</v>
      </c>
      <c r="H254" s="241" t="s">
        <v>11319</v>
      </c>
      <c r="I254" s="253" t="s">
        <v>11320</v>
      </c>
      <c r="J254" s="241" t="s">
        <v>7176</v>
      </c>
      <c r="K254" s="254" t="s">
        <v>11321</v>
      </c>
      <c r="L254" s="205" t="s">
        <v>9802</v>
      </c>
      <c r="M254" s="6" t="s">
        <v>751</v>
      </c>
      <c r="N254" s="30" t="s">
        <v>751</v>
      </c>
      <c r="O254" s="30" t="s">
        <v>751</v>
      </c>
      <c r="P254" s="30" t="s">
        <v>9932</v>
      </c>
      <c r="Q254" s="205" t="s">
        <v>7551</v>
      </c>
    </row>
    <row r="255" customFormat="false" ht="114.75" hidden="false" customHeight="true" outlineLevel="0" collapsed="false">
      <c r="A255" s="241" t="s">
        <v>11322</v>
      </c>
      <c r="B255" s="241" t="s">
        <v>7179</v>
      </c>
      <c r="C255" s="250" t="s">
        <v>11323</v>
      </c>
      <c r="D255" s="253" t="s">
        <v>11324</v>
      </c>
      <c r="E255" s="253" t="s">
        <v>11325</v>
      </c>
      <c r="F255" s="253" t="s">
        <v>11326</v>
      </c>
      <c r="G255" s="241" t="s">
        <v>751</v>
      </c>
      <c r="H255" s="241" t="s">
        <v>11327</v>
      </c>
      <c r="I255" s="253" t="s">
        <v>11328</v>
      </c>
      <c r="J255" s="241" t="s">
        <v>7176</v>
      </c>
      <c r="K255" s="254" t="s">
        <v>11329</v>
      </c>
      <c r="L255" s="205" t="s">
        <v>9802</v>
      </c>
      <c r="M255" s="6" t="s">
        <v>751</v>
      </c>
      <c r="N255" s="30" t="s">
        <v>751</v>
      </c>
      <c r="O255" s="30" t="s">
        <v>751</v>
      </c>
      <c r="P255" s="30" t="s">
        <v>9932</v>
      </c>
      <c r="Q255" s="205" t="s">
        <v>11330</v>
      </c>
    </row>
    <row r="256" customFormat="false" ht="114.75" hidden="false" customHeight="true" outlineLevel="0" collapsed="false">
      <c r="A256" s="241" t="s">
        <v>11331</v>
      </c>
      <c r="B256" s="241" t="s">
        <v>7179</v>
      </c>
      <c r="C256" s="250" t="s">
        <v>11332</v>
      </c>
      <c r="D256" s="241" t="s">
        <v>11333</v>
      </c>
      <c r="E256" s="241" t="s">
        <v>10812</v>
      </c>
      <c r="F256" s="241" t="s">
        <v>11334</v>
      </c>
      <c r="G256" s="241" t="s">
        <v>11335</v>
      </c>
      <c r="H256" s="241" t="s">
        <v>11336</v>
      </c>
      <c r="I256" s="253" t="s">
        <v>11337</v>
      </c>
      <c r="J256" s="241" t="s">
        <v>7176</v>
      </c>
      <c r="K256" s="254" t="s">
        <v>11338</v>
      </c>
      <c r="L256" s="205" t="s">
        <v>9802</v>
      </c>
      <c r="M256" s="6" t="s">
        <v>9476</v>
      </c>
      <c r="N256" s="30" t="s">
        <v>751</v>
      </c>
      <c r="O256" s="30" t="s">
        <v>751</v>
      </c>
      <c r="P256" s="30" t="s">
        <v>9956</v>
      </c>
      <c r="Q256" s="205" t="s">
        <v>7551</v>
      </c>
    </row>
    <row r="257" customFormat="false" ht="114.75" hidden="false" customHeight="true" outlineLevel="0" collapsed="false">
      <c r="A257" s="241" t="s">
        <v>11339</v>
      </c>
      <c r="B257" s="241" t="s">
        <v>7179</v>
      </c>
      <c r="C257" s="254" t="s">
        <v>11340</v>
      </c>
      <c r="D257" s="241" t="s">
        <v>11341</v>
      </c>
      <c r="E257" s="241" t="s">
        <v>11342</v>
      </c>
      <c r="F257" s="241" t="s">
        <v>11343</v>
      </c>
      <c r="G257" s="241" t="s">
        <v>11344</v>
      </c>
      <c r="H257" s="241" t="s">
        <v>11345</v>
      </c>
      <c r="I257" s="253" t="s">
        <v>11346</v>
      </c>
      <c r="J257" s="241" t="s">
        <v>7176</v>
      </c>
      <c r="K257" s="254" t="s">
        <v>11347</v>
      </c>
      <c r="L257" s="205" t="s">
        <v>9802</v>
      </c>
      <c r="M257" s="6" t="s">
        <v>751</v>
      </c>
      <c r="N257" s="30" t="s">
        <v>751</v>
      </c>
      <c r="O257" s="30" t="s">
        <v>11348</v>
      </c>
      <c r="P257" s="30" t="s">
        <v>9932</v>
      </c>
      <c r="Q257" s="205" t="s">
        <v>7551</v>
      </c>
    </row>
    <row r="258" customFormat="false" ht="114.75" hidden="false" customHeight="true" outlineLevel="0" collapsed="false">
      <c r="A258" s="241" t="s">
        <v>11349</v>
      </c>
      <c r="B258" s="241" t="s">
        <v>7179</v>
      </c>
      <c r="C258" s="250" t="s">
        <v>11350</v>
      </c>
      <c r="D258" s="253" t="s">
        <v>11351</v>
      </c>
      <c r="E258" s="241" t="s">
        <v>751</v>
      </c>
      <c r="F258" s="253" t="s">
        <v>11352</v>
      </c>
      <c r="G258" s="241" t="s">
        <v>751</v>
      </c>
      <c r="H258" s="253" t="s">
        <v>11266</v>
      </c>
      <c r="I258" s="253" t="s">
        <v>11353</v>
      </c>
      <c r="J258" s="241" t="s">
        <v>7176</v>
      </c>
      <c r="K258" s="254" t="s">
        <v>11354</v>
      </c>
      <c r="L258" s="205" t="s">
        <v>9802</v>
      </c>
      <c r="M258" s="6" t="s">
        <v>751</v>
      </c>
      <c r="N258" s="30" t="s">
        <v>751</v>
      </c>
      <c r="O258" s="30" t="s">
        <v>751</v>
      </c>
      <c r="P258" s="30" t="s">
        <v>751</v>
      </c>
      <c r="Q258" s="30" t="s">
        <v>751</v>
      </c>
    </row>
    <row r="259" customFormat="false" ht="114.75" hidden="false" customHeight="true" outlineLevel="0" collapsed="false">
      <c r="A259" s="241" t="s">
        <v>11355</v>
      </c>
      <c r="B259" s="241" t="s">
        <v>7179</v>
      </c>
      <c r="C259" s="254" t="s">
        <v>11356</v>
      </c>
      <c r="D259" s="253" t="s">
        <v>11357</v>
      </c>
      <c r="E259" s="241" t="s">
        <v>751</v>
      </c>
      <c r="F259" s="253" t="s">
        <v>11358</v>
      </c>
      <c r="G259" s="241" t="s">
        <v>751</v>
      </c>
      <c r="H259" s="253" t="s">
        <v>11266</v>
      </c>
      <c r="I259" s="253" t="s">
        <v>11359</v>
      </c>
      <c r="J259" s="241" t="s">
        <v>7176</v>
      </c>
      <c r="K259" s="254" t="s">
        <v>11360</v>
      </c>
      <c r="L259" s="205" t="s">
        <v>9802</v>
      </c>
      <c r="M259" s="6" t="s">
        <v>9350</v>
      </c>
      <c r="N259" s="30" t="s">
        <v>751</v>
      </c>
      <c r="O259" s="30" t="s">
        <v>751</v>
      </c>
      <c r="P259" s="30" t="s">
        <v>751</v>
      </c>
      <c r="Q259" s="30" t="s">
        <v>751</v>
      </c>
    </row>
    <row r="260" customFormat="false" ht="114.75" hidden="false" customHeight="true" outlineLevel="0" collapsed="false">
      <c r="A260" s="241" t="s">
        <v>11361</v>
      </c>
      <c r="B260" s="241" t="s">
        <v>7179</v>
      </c>
      <c r="C260" s="250" t="s">
        <v>11362</v>
      </c>
      <c r="D260" s="253" t="s">
        <v>11363</v>
      </c>
      <c r="E260" s="241" t="s">
        <v>11364</v>
      </c>
      <c r="F260" s="241" t="s">
        <v>11365</v>
      </c>
      <c r="G260" s="241" t="s">
        <v>751</v>
      </c>
      <c r="H260" s="253" t="s">
        <v>11366</v>
      </c>
      <c r="I260" s="253" t="s">
        <v>11367</v>
      </c>
      <c r="J260" s="241" t="s">
        <v>7176</v>
      </c>
      <c r="K260" s="254" t="s">
        <v>11368</v>
      </c>
      <c r="L260" s="205" t="s">
        <v>9802</v>
      </c>
      <c r="M260" s="6" t="s">
        <v>751</v>
      </c>
      <c r="N260" s="30" t="s">
        <v>751</v>
      </c>
      <c r="O260" s="30" t="s">
        <v>11369</v>
      </c>
      <c r="P260" s="30" t="s">
        <v>751</v>
      </c>
      <c r="Q260" s="205" t="s">
        <v>7658</v>
      </c>
    </row>
    <row r="261" customFormat="false" ht="114.75" hidden="false" customHeight="true" outlineLevel="0" collapsed="false">
      <c r="A261" s="241" t="s">
        <v>11370</v>
      </c>
      <c r="B261" s="241" t="s">
        <v>7179</v>
      </c>
      <c r="C261" s="250" t="s">
        <v>11371</v>
      </c>
      <c r="D261" s="241" t="s">
        <v>11372</v>
      </c>
      <c r="E261" s="241" t="s">
        <v>11373</v>
      </c>
      <c r="F261" s="241" t="s">
        <v>11374</v>
      </c>
      <c r="G261" s="241" t="s">
        <v>11375</v>
      </c>
      <c r="H261" s="241" t="s">
        <v>11376</v>
      </c>
      <c r="I261" s="253" t="s">
        <v>11377</v>
      </c>
      <c r="J261" s="241" t="s">
        <v>7176</v>
      </c>
      <c r="K261" s="254" t="s">
        <v>11378</v>
      </c>
      <c r="L261" s="205" t="s">
        <v>9802</v>
      </c>
      <c r="M261" s="6" t="s">
        <v>11379</v>
      </c>
      <c r="N261" s="30" t="s">
        <v>751</v>
      </c>
      <c r="O261" s="30" t="s">
        <v>751</v>
      </c>
      <c r="P261" s="30" t="s">
        <v>9956</v>
      </c>
      <c r="Q261" s="205" t="s">
        <v>7551</v>
      </c>
    </row>
    <row r="262" customFormat="false" ht="114.75" hidden="false" customHeight="true" outlineLevel="0" collapsed="false">
      <c r="A262" s="241" t="s">
        <v>11380</v>
      </c>
      <c r="B262" s="241" t="s">
        <v>7179</v>
      </c>
      <c r="C262" s="250" t="s">
        <v>11381</v>
      </c>
      <c r="D262" s="241" t="s">
        <v>11382</v>
      </c>
      <c r="E262" s="253" t="s">
        <v>11383</v>
      </c>
      <c r="F262" s="241" t="s">
        <v>11384</v>
      </c>
      <c r="G262" s="241" t="s">
        <v>751</v>
      </c>
      <c r="H262" s="253" t="s">
        <v>11385</v>
      </c>
      <c r="I262" s="253" t="s">
        <v>11386</v>
      </c>
      <c r="J262" s="241" t="s">
        <v>7210</v>
      </c>
      <c r="K262" s="254" t="s">
        <v>11387</v>
      </c>
      <c r="L262" s="205" t="s">
        <v>9802</v>
      </c>
      <c r="M262" s="6" t="s">
        <v>11388</v>
      </c>
      <c r="N262" s="30" t="s">
        <v>751</v>
      </c>
      <c r="O262" s="30" t="s">
        <v>11389</v>
      </c>
      <c r="P262" s="30" t="s">
        <v>9932</v>
      </c>
      <c r="Q262" s="205" t="s">
        <v>7551</v>
      </c>
    </row>
    <row r="263" customFormat="false" ht="114.75" hidden="false" customHeight="true" outlineLevel="0" collapsed="false">
      <c r="A263" s="241" t="s">
        <v>11390</v>
      </c>
      <c r="B263" s="241" t="s">
        <v>7179</v>
      </c>
      <c r="C263" s="250" t="s">
        <v>11391</v>
      </c>
      <c r="D263" s="241" t="s">
        <v>11392</v>
      </c>
      <c r="E263" s="253" t="s">
        <v>11393</v>
      </c>
      <c r="F263" s="241" t="s">
        <v>11394</v>
      </c>
      <c r="G263" s="241" t="s">
        <v>751</v>
      </c>
      <c r="H263" s="253" t="s">
        <v>11395</v>
      </c>
      <c r="I263" s="253" t="s">
        <v>11396</v>
      </c>
      <c r="J263" s="241" t="s">
        <v>7210</v>
      </c>
      <c r="K263" s="250" t="s">
        <v>11397</v>
      </c>
      <c r="L263" s="205" t="s">
        <v>9802</v>
      </c>
      <c r="M263" s="6" t="s">
        <v>751</v>
      </c>
      <c r="N263" s="30" t="s">
        <v>751</v>
      </c>
      <c r="O263" s="30" t="s">
        <v>11389</v>
      </c>
      <c r="P263" s="30" t="s">
        <v>9932</v>
      </c>
      <c r="Q263" s="205" t="s">
        <v>7551</v>
      </c>
    </row>
    <row r="264" customFormat="false" ht="114.75" hidden="false" customHeight="true" outlineLevel="0" collapsed="false">
      <c r="A264" s="241" t="s">
        <v>11398</v>
      </c>
      <c r="B264" s="241" t="s">
        <v>7179</v>
      </c>
      <c r="C264" s="250" t="s">
        <v>11399</v>
      </c>
      <c r="D264" s="241" t="s">
        <v>11400</v>
      </c>
      <c r="E264" s="253" t="s">
        <v>11401</v>
      </c>
      <c r="F264" s="241" t="s">
        <v>11402</v>
      </c>
      <c r="G264" s="241" t="s">
        <v>751</v>
      </c>
      <c r="H264" s="253" t="s">
        <v>11385</v>
      </c>
      <c r="I264" s="253" t="s">
        <v>11403</v>
      </c>
      <c r="J264" s="241" t="s">
        <v>7210</v>
      </c>
      <c r="K264" s="254" t="s">
        <v>11404</v>
      </c>
      <c r="L264" s="205" t="s">
        <v>9802</v>
      </c>
      <c r="M264" s="6" t="s">
        <v>751</v>
      </c>
      <c r="N264" s="30" t="s">
        <v>751</v>
      </c>
      <c r="O264" s="30" t="s">
        <v>11389</v>
      </c>
      <c r="P264" s="30" t="s">
        <v>9932</v>
      </c>
      <c r="Q264" s="205" t="s">
        <v>11330</v>
      </c>
    </row>
    <row r="265" customFormat="false" ht="114.75" hidden="false" customHeight="true" outlineLevel="0" collapsed="false">
      <c r="A265" s="241" t="s">
        <v>11405</v>
      </c>
      <c r="B265" s="241" t="s">
        <v>7179</v>
      </c>
      <c r="C265" s="250" t="s">
        <v>11406</v>
      </c>
      <c r="D265" s="253" t="s">
        <v>11407</v>
      </c>
      <c r="E265" s="241" t="s">
        <v>11364</v>
      </c>
      <c r="F265" s="241" t="s">
        <v>11408</v>
      </c>
      <c r="G265" s="241" t="s">
        <v>751</v>
      </c>
      <c r="H265" s="241" t="s">
        <v>11409</v>
      </c>
      <c r="I265" s="253" t="s">
        <v>11410</v>
      </c>
      <c r="J265" s="241" t="s">
        <v>7210</v>
      </c>
      <c r="K265" s="254" t="s">
        <v>11411</v>
      </c>
      <c r="L265" s="205" t="s">
        <v>9802</v>
      </c>
      <c r="M265" s="6" t="s">
        <v>751</v>
      </c>
      <c r="N265" s="30" t="s">
        <v>751</v>
      </c>
      <c r="O265" s="30" t="s">
        <v>11389</v>
      </c>
      <c r="P265" s="30" t="s">
        <v>751</v>
      </c>
      <c r="Q265" s="205" t="s">
        <v>7658</v>
      </c>
    </row>
    <row r="266" customFormat="false" ht="114.75" hidden="false" customHeight="true" outlineLevel="0" collapsed="false">
      <c r="A266" s="241" t="s">
        <v>11412</v>
      </c>
      <c r="B266" s="241" t="s">
        <v>7179</v>
      </c>
      <c r="C266" s="250" t="s">
        <v>11413</v>
      </c>
      <c r="D266" s="253" t="s">
        <v>11414</v>
      </c>
      <c r="E266" s="241" t="s">
        <v>11364</v>
      </c>
      <c r="F266" s="241" t="s">
        <v>11415</v>
      </c>
      <c r="G266" s="241" t="s">
        <v>751</v>
      </c>
      <c r="H266" s="253" t="s">
        <v>11416</v>
      </c>
      <c r="I266" s="253" t="s">
        <v>11417</v>
      </c>
      <c r="J266" s="241" t="s">
        <v>7210</v>
      </c>
      <c r="K266" s="254" t="s">
        <v>11418</v>
      </c>
      <c r="L266" s="205" t="s">
        <v>9802</v>
      </c>
      <c r="M266" s="6" t="s">
        <v>751</v>
      </c>
      <c r="N266" s="30" t="s">
        <v>751</v>
      </c>
      <c r="O266" s="30" t="s">
        <v>11389</v>
      </c>
      <c r="P266" s="30" t="s">
        <v>751</v>
      </c>
      <c r="Q266" s="205" t="s">
        <v>7658</v>
      </c>
    </row>
    <row r="267" customFormat="false" ht="114.75" hidden="false" customHeight="true" outlineLevel="0" collapsed="false">
      <c r="A267" s="241" t="s">
        <v>9551</v>
      </c>
      <c r="B267" s="241" t="s">
        <v>7179</v>
      </c>
      <c r="C267" s="250" t="s">
        <v>11419</v>
      </c>
      <c r="D267" s="241" t="s">
        <v>11420</v>
      </c>
      <c r="E267" s="241" t="s">
        <v>11277</v>
      </c>
      <c r="F267" s="241" t="s">
        <v>11421</v>
      </c>
      <c r="G267" s="241" t="s">
        <v>11422</v>
      </c>
      <c r="H267" s="241" t="s">
        <v>11423</v>
      </c>
      <c r="I267" s="253" t="s">
        <v>11424</v>
      </c>
      <c r="J267" s="241" t="s">
        <v>7210</v>
      </c>
      <c r="K267" s="254" t="s">
        <v>11425</v>
      </c>
      <c r="L267" s="205" t="s">
        <v>9802</v>
      </c>
      <c r="M267" s="6" t="s">
        <v>6396</v>
      </c>
      <c r="N267" s="30" t="s">
        <v>751</v>
      </c>
      <c r="O267" s="30" t="s">
        <v>751</v>
      </c>
      <c r="P267" s="30" t="s">
        <v>9956</v>
      </c>
      <c r="Q267" s="205" t="s">
        <v>7551</v>
      </c>
    </row>
    <row r="268" customFormat="false" ht="114.75" hidden="false" customHeight="true" outlineLevel="0" collapsed="false">
      <c r="A268" s="241" t="s">
        <v>11426</v>
      </c>
      <c r="B268" s="241" t="s">
        <v>7230</v>
      </c>
      <c r="C268" s="250" t="s">
        <v>11427</v>
      </c>
      <c r="D268" s="241" t="s">
        <v>11428</v>
      </c>
      <c r="E268" s="253" t="s">
        <v>11429</v>
      </c>
      <c r="F268" s="241" t="s">
        <v>11430</v>
      </c>
      <c r="G268" s="241" t="s">
        <v>751</v>
      </c>
      <c r="H268" s="241" t="s">
        <v>751</v>
      </c>
      <c r="I268" s="253" t="s">
        <v>11431</v>
      </c>
      <c r="J268" s="241" t="s">
        <v>7227</v>
      </c>
      <c r="K268" s="254" t="s">
        <v>11432</v>
      </c>
      <c r="L268" s="205" t="s">
        <v>9802</v>
      </c>
      <c r="M268" s="6" t="s">
        <v>751</v>
      </c>
      <c r="N268" s="30" t="s">
        <v>751</v>
      </c>
      <c r="O268" s="30" t="s">
        <v>751</v>
      </c>
      <c r="P268" s="30" t="s">
        <v>751</v>
      </c>
      <c r="Q268" s="205" t="s">
        <v>7658</v>
      </c>
    </row>
    <row r="269" customFormat="false" ht="100.5" hidden="false" customHeight="true" outlineLevel="0" collapsed="false">
      <c r="A269" s="241" t="s">
        <v>11433</v>
      </c>
      <c r="B269" s="241" t="s">
        <v>7230</v>
      </c>
      <c r="C269" s="250" t="s">
        <v>11434</v>
      </c>
      <c r="D269" s="241" t="s">
        <v>11435</v>
      </c>
      <c r="E269" s="241" t="s">
        <v>11436</v>
      </c>
      <c r="F269" s="241" t="s">
        <v>11437</v>
      </c>
      <c r="G269" s="241" t="s">
        <v>751</v>
      </c>
      <c r="H269" s="241" t="s">
        <v>11438</v>
      </c>
      <c r="I269" s="253" t="s">
        <v>11439</v>
      </c>
      <c r="J269" s="241" t="s">
        <v>7227</v>
      </c>
      <c r="K269" s="250" t="s">
        <v>11440</v>
      </c>
      <c r="L269" s="205" t="s">
        <v>9802</v>
      </c>
      <c r="M269" s="6" t="s">
        <v>751</v>
      </c>
      <c r="N269" s="30" t="s">
        <v>751</v>
      </c>
      <c r="O269" s="30" t="s">
        <v>751</v>
      </c>
      <c r="P269" s="30" t="s">
        <v>9956</v>
      </c>
      <c r="Q269" s="205" t="s">
        <v>7551</v>
      </c>
    </row>
    <row r="270" customFormat="false" ht="100.5" hidden="false" customHeight="true" outlineLevel="0" collapsed="false">
      <c r="A270" s="241" t="s">
        <v>11441</v>
      </c>
      <c r="B270" s="241" t="s">
        <v>7230</v>
      </c>
      <c r="C270" s="250" t="s">
        <v>11442</v>
      </c>
      <c r="D270" s="241" t="s">
        <v>11443</v>
      </c>
      <c r="E270" s="241" t="s">
        <v>11444</v>
      </c>
      <c r="F270" s="241" t="s">
        <v>11445</v>
      </c>
      <c r="G270" s="241" t="s">
        <v>11446</v>
      </c>
      <c r="H270" s="241" t="s">
        <v>11447</v>
      </c>
      <c r="I270" s="253" t="s">
        <v>11448</v>
      </c>
      <c r="J270" s="241" t="s">
        <v>7227</v>
      </c>
      <c r="K270" s="254" t="s">
        <v>11449</v>
      </c>
      <c r="L270" s="205" t="s">
        <v>9802</v>
      </c>
      <c r="M270" s="6" t="s">
        <v>751</v>
      </c>
      <c r="N270" s="30" t="s">
        <v>751</v>
      </c>
      <c r="O270" s="30" t="s">
        <v>11450</v>
      </c>
      <c r="P270" s="30" t="s">
        <v>9932</v>
      </c>
      <c r="Q270" s="205" t="s">
        <v>7551</v>
      </c>
    </row>
    <row r="271" customFormat="false" ht="100.5" hidden="false" customHeight="true" outlineLevel="0" collapsed="false">
      <c r="A271" s="241" t="s">
        <v>11451</v>
      </c>
      <c r="B271" s="241" t="s">
        <v>7230</v>
      </c>
      <c r="C271" s="250" t="s">
        <v>11452</v>
      </c>
      <c r="D271" s="241" t="s">
        <v>11453</v>
      </c>
      <c r="E271" s="241" t="s">
        <v>11454</v>
      </c>
      <c r="F271" s="241" t="s">
        <v>11455</v>
      </c>
      <c r="G271" s="241" t="s">
        <v>751</v>
      </c>
      <c r="H271" s="241" t="s">
        <v>751</v>
      </c>
      <c r="I271" s="253" t="s">
        <v>11456</v>
      </c>
      <c r="J271" s="241" t="s">
        <v>7227</v>
      </c>
      <c r="K271" s="254" t="s">
        <v>11457</v>
      </c>
      <c r="L271" s="205" t="s">
        <v>9802</v>
      </c>
      <c r="M271" s="6" t="s">
        <v>751</v>
      </c>
      <c r="N271" s="30" t="s">
        <v>751</v>
      </c>
      <c r="O271" s="30" t="s">
        <v>751</v>
      </c>
      <c r="P271" s="30" t="s">
        <v>9932</v>
      </c>
      <c r="Q271" s="205" t="s">
        <v>7551</v>
      </c>
    </row>
    <row r="272" customFormat="false" ht="114.75" hidden="false" customHeight="true" outlineLevel="0" collapsed="false">
      <c r="A272" s="241" t="s">
        <v>11458</v>
      </c>
      <c r="B272" s="241" t="s">
        <v>7230</v>
      </c>
      <c r="C272" s="250" t="s">
        <v>11459</v>
      </c>
      <c r="D272" s="241" t="s">
        <v>11460</v>
      </c>
      <c r="E272" s="241" t="s">
        <v>11461</v>
      </c>
      <c r="F272" s="241" t="s">
        <v>11455</v>
      </c>
      <c r="G272" s="241" t="s">
        <v>751</v>
      </c>
      <c r="H272" s="241" t="s">
        <v>11462</v>
      </c>
      <c r="I272" s="253" t="s">
        <v>11463</v>
      </c>
      <c r="J272" s="241" t="s">
        <v>7227</v>
      </c>
      <c r="K272" s="250" t="s">
        <v>11464</v>
      </c>
      <c r="L272" s="205" t="s">
        <v>9802</v>
      </c>
      <c r="M272" s="6" t="s">
        <v>751</v>
      </c>
      <c r="N272" s="30" t="s">
        <v>751</v>
      </c>
      <c r="O272" s="30" t="s">
        <v>751</v>
      </c>
      <c r="P272" s="30" t="s">
        <v>9932</v>
      </c>
      <c r="Q272" s="205" t="s">
        <v>7551</v>
      </c>
    </row>
    <row r="273" customFormat="false" ht="100.5" hidden="false" customHeight="true" outlineLevel="0" collapsed="false">
      <c r="A273" s="241" t="s">
        <v>11465</v>
      </c>
      <c r="B273" s="241" t="s">
        <v>7230</v>
      </c>
      <c r="C273" s="250" t="s">
        <v>11466</v>
      </c>
      <c r="D273" s="241" t="s">
        <v>11467</v>
      </c>
      <c r="E273" s="241" t="s">
        <v>11468</v>
      </c>
      <c r="F273" s="241" t="s">
        <v>11469</v>
      </c>
      <c r="G273" s="241" t="s">
        <v>751</v>
      </c>
      <c r="H273" s="241" t="s">
        <v>751</v>
      </c>
      <c r="I273" s="253" t="s">
        <v>11456</v>
      </c>
      <c r="J273" s="241" t="s">
        <v>7227</v>
      </c>
      <c r="K273" s="254" t="s">
        <v>11470</v>
      </c>
      <c r="L273" s="205" t="s">
        <v>9802</v>
      </c>
      <c r="M273" s="6" t="s">
        <v>751</v>
      </c>
      <c r="N273" s="30" t="s">
        <v>751</v>
      </c>
      <c r="O273" s="30" t="s">
        <v>751</v>
      </c>
      <c r="P273" s="30" t="s">
        <v>9932</v>
      </c>
      <c r="Q273" s="205" t="s">
        <v>7551</v>
      </c>
    </row>
    <row r="274" customFormat="false" ht="114.75" hidden="false" customHeight="true" outlineLevel="0" collapsed="false">
      <c r="A274" s="241" t="s">
        <v>11471</v>
      </c>
      <c r="B274" s="241" t="s">
        <v>7230</v>
      </c>
      <c r="C274" s="250" t="s">
        <v>11472</v>
      </c>
      <c r="D274" s="241" t="s">
        <v>11473</v>
      </c>
      <c r="E274" s="241" t="s">
        <v>11474</v>
      </c>
      <c r="F274" s="241" t="s">
        <v>9170</v>
      </c>
      <c r="G274" s="241" t="s">
        <v>11475</v>
      </c>
      <c r="H274" s="241" t="s">
        <v>11476</v>
      </c>
      <c r="I274" s="253" t="s">
        <v>11477</v>
      </c>
      <c r="J274" s="241" t="s">
        <v>7227</v>
      </c>
      <c r="K274" s="254" t="s">
        <v>11478</v>
      </c>
      <c r="L274" s="205" t="s">
        <v>9802</v>
      </c>
      <c r="M274" s="6" t="s">
        <v>9170</v>
      </c>
      <c r="N274" s="30" t="s">
        <v>751</v>
      </c>
      <c r="O274" s="30" t="s">
        <v>11479</v>
      </c>
      <c r="P274" s="30" t="s">
        <v>9956</v>
      </c>
      <c r="Q274" s="205" t="s">
        <v>7551</v>
      </c>
    </row>
    <row r="275" customFormat="false" ht="114.75" hidden="false" customHeight="true" outlineLevel="0" collapsed="false">
      <c r="A275" s="241" t="s">
        <v>11480</v>
      </c>
      <c r="B275" s="241" t="s">
        <v>7230</v>
      </c>
      <c r="C275" s="250" t="s">
        <v>11481</v>
      </c>
      <c r="D275" s="241" t="s">
        <v>11482</v>
      </c>
      <c r="E275" s="241" t="s">
        <v>11483</v>
      </c>
      <c r="F275" s="241" t="s">
        <v>11484</v>
      </c>
      <c r="G275" s="241" t="s">
        <v>751</v>
      </c>
      <c r="H275" s="241" t="s">
        <v>11485</v>
      </c>
      <c r="I275" s="253" t="s">
        <v>11486</v>
      </c>
      <c r="J275" s="241" t="s">
        <v>7227</v>
      </c>
      <c r="K275" s="250" t="s">
        <v>11487</v>
      </c>
      <c r="L275" s="205" t="s">
        <v>9802</v>
      </c>
      <c r="M275" s="6" t="s">
        <v>751</v>
      </c>
      <c r="N275" s="30" t="s">
        <v>751</v>
      </c>
      <c r="O275" s="30" t="s">
        <v>751</v>
      </c>
      <c r="P275" s="30" t="s">
        <v>9932</v>
      </c>
      <c r="Q275" s="205" t="s">
        <v>7551</v>
      </c>
    </row>
    <row r="276" customFormat="false" ht="114.75" hidden="false" customHeight="true" outlineLevel="0" collapsed="false">
      <c r="A276" s="241" t="s">
        <v>11488</v>
      </c>
      <c r="B276" s="241" t="s">
        <v>7230</v>
      </c>
      <c r="C276" s="250" t="s">
        <v>11489</v>
      </c>
      <c r="D276" s="241" t="s">
        <v>11490</v>
      </c>
      <c r="E276" s="241" t="s">
        <v>11491</v>
      </c>
      <c r="F276" s="241" t="s">
        <v>11492</v>
      </c>
      <c r="G276" s="241" t="s">
        <v>751</v>
      </c>
      <c r="H276" s="241" t="s">
        <v>751</v>
      </c>
      <c r="I276" s="253" t="s">
        <v>11493</v>
      </c>
      <c r="J276" s="241" t="s">
        <v>7227</v>
      </c>
      <c r="K276" s="254" t="s">
        <v>11494</v>
      </c>
      <c r="L276" s="205" t="s">
        <v>9802</v>
      </c>
      <c r="M276" s="6" t="s">
        <v>751</v>
      </c>
      <c r="N276" s="30" t="s">
        <v>751</v>
      </c>
      <c r="O276" s="30" t="s">
        <v>751</v>
      </c>
      <c r="P276" s="30" t="s">
        <v>9981</v>
      </c>
      <c r="Q276" s="205" t="s">
        <v>7658</v>
      </c>
    </row>
    <row r="277" customFormat="false" ht="100.5" hidden="false" customHeight="true" outlineLevel="0" collapsed="false">
      <c r="A277" s="241" t="s">
        <v>11495</v>
      </c>
      <c r="B277" s="241" t="s">
        <v>7230</v>
      </c>
      <c r="C277" s="254" t="s">
        <v>11496</v>
      </c>
      <c r="D277" s="241" t="s">
        <v>11497</v>
      </c>
      <c r="E277" s="241" t="s">
        <v>119</v>
      </c>
      <c r="F277" s="241" t="s">
        <v>11498</v>
      </c>
      <c r="G277" s="241" t="s">
        <v>751</v>
      </c>
      <c r="H277" s="241" t="s">
        <v>11499</v>
      </c>
      <c r="I277" s="253" t="s">
        <v>11493</v>
      </c>
      <c r="J277" s="241" t="s">
        <v>7227</v>
      </c>
      <c r="K277" s="254" t="s">
        <v>11500</v>
      </c>
      <c r="L277" s="205" t="s">
        <v>9802</v>
      </c>
      <c r="M277" s="6" t="s">
        <v>751</v>
      </c>
      <c r="N277" s="30" t="s">
        <v>751</v>
      </c>
      <c r="O277" s="30" t="s">
        <v>751</v>
      </c>
      <c r="P277" s="30" t="s">
        <v>9932</v>
      </c>
      <c r="Q277" s="205" t="s">
        <v>11330</v>
      </c>
    </row>
    <row r="278" customFormat="false" ht="114.75" hidden="false" customHeight="true" outlineLevel="0" collapsed="false">
      <c r="A278" s="241" t="s">
        <v>11501</v>
      </c>
      <c r="B278" s="241" t="s">
        <v>7230</v>
      </c>
      <c r="C278" s="250" t="s">
        <v>11502</v>
      </c>
      <c r="D278" s="241" t="s">
        <v>11503</v>
      </c>
      <c r="E278" s="241" t="s">
        <v>11504</v>
      </c>
      <c r="F278" s="241" t="s">
        <v>11505</v>
      </c>
      <c r="G278" s="241" t="s">
        <v>751</v>
      </c>
      <c r="H278" s="241" t="s">
        <v>11506</v>
      </c>
      <c r="I278" s="253" t="s">
        <v>11507</v>
      </c>
      <c r="J278" s="241" t="s">
        <v>7227</v>
      </c>
      <c r="K278" s="250" t="s">
        <v>11508</v>
      </c>
      <c r="L278" s="205" t="s">
        <v>9802</v>
      </c>
      <c r="M278" s="6" t="s">
        <v>751</v>
      </c>
      <c r="N278" s="30" t="s">
        <v>751</v>
      </c>
      <c r="O278" s="30" t="s">
        <v>751</v>
      </c>
      <c r="P278" s="30" t="s">
        <v>9932</v>
      </c>
      <c r="Q278" s="205" t="s">
        <v>11330</v>
      </c>
    </row>
    <row r="279" customFormat="false" ht="114.75" hidden="false" customHeight="true" outlineLevel="0" collapsed="false">
      <c r="A279" s="241" t="s">
        <v>11509</v>
      </c>
      <c r="B279" s="241" t="s">
        <v>7230</v>
      </c>
      <c r="C279" s="250" t="s">
        <v>11510</v>
      </c>
      <c r="D279" s="241" t="s">
        <v>11511</v>
      </c>
      <c r="E279" s="241" t="s">
        <v>11454</v>
      </c>
      <c r="F279" s="241" t="s">
        <v>11512</v>
      </c>
      <c r="G279" s="241" t="s">
        <v>751</v>
      </c>
      <c r="H279" s="241" t="s">
        <v>11513</v>
      </c>
      <c r="I279" s="253" t="s">
        <v>11507</v>
      </c>
      <c r="J279" s="241" t="s">
        <v>7227</v>
      </c>
      <c r="K279" s="250" t="s">
        <v>11514</v>
      </c>
      <c r="L279" s="205" t="s">
        <v>9802</v>
      </c>
      <c r="M279" s="6" t="s">
        <v>751</v>
      </c>
      <c r="N279" s="30" t="s">
        <v>751</v>
      </c>
      <c r="O279" s="30" t="s">
        <v>751</v>
      </c>
      <c r="P279" s="30" t="s">
        <v>9932</v>
      </c>
      <c r="Q279" s="205" t="s">
        <v>7551</v>
      </c>
    </row>
    <row r="280" customFormat="false" ht="114.75" hidden="false" customHeight="true" outlineLevel="0" collapsed="false">
      <c r="A280" s="241" t="s">
        <v>11515</v>
      </c>
      <c r="B280" s="241" t="s">
        <v>7230</v>
      </c>
      <c r="C280" s="254" t="s">
        <v>11516</v>
      </c>
      <c r="D280" s="241" t="s">
        <v>11517</v>
      </c>
      <c r="E280" s="241" t="s">
        <v>162</v>
      </c>
      <c r="F280" s="241" t="s">
        <v>11518</v>
      </c>
      <c r="G280" s="241" t="s">
        <v>11519</v>
      </c>
      <c r="H280" s="241" t="s">
        <v>11520</v>
      </c>
      <c r="I280" s="253" t="s">
        <v>11521</v>
      </c>
      <c r="J280" s="241" t="s">
        <v>7227</v>
      </c>
      <c r="K280" s="250" t="s">
        <v>11522</v>
      </c>
      <c r="L280" s="205" t="s">
        <v>9802</v>
      </c>
      <c r="M280" s="6" t="s">
        <v>751</v>
      </c>
      <c r="N280" s="30" t="s">
        <v>751</v>
      </c>
      <c r="O280" s="30" t="s">
        <v>11523</v>
      </c>
      <c r="P280" s="30" t="s">
        <v>751</v>
      </c>
      <c r="Q280" s="205" t="s">
        <v>7658</v>
      </c>
    </row>
    <row r="281" customFormat="false" ht="114.75" hidden="false" customHeight="true" outlineLevel="0" collapsed="false">
      <c r="A281" s="241" t="s">
        <v>11524</v>
      </c>
      <c r="B281" s="241" t="s">
        <v>7230</v>
      </c>
      <c r="C281" s="254" t="s">
        <v>11525</v>
      </c>
      <c r="D281" s="241" t="s">
        <v>11526</v>
      </c>
      <c r="E281" s="241" t="s">
        <v>162</v>
      </c>
      <c r="F281" s="253" t="s">
        <v>11527</v>
      </c>
      <c r="G281" s="241" t="s">
        <v>751</v>
      </c>
      <c r="H281" s="241" t="s">
        <v>11528</v>
      </c>
      <c r="I281" s="253" t="s">
        <v>11529</v>
      </c>
      <c r="J281" s="241" t="s">
        <v>7227</v>
      </c>
      <c r="K281" s="254" t="s">
        <v>11530</v>
      </c>
      <c r="L281" s="205" t="s">
        <v>9802</v>
      </c>
      <c r="M281" s="6" t="s">
        <v>751</v>
      </c>
      <c r="N281" s="30" t="s">
        <v>751</v>
      </c>
      <c r="O281" s="30" t="s">
        <v>11531</v>
      </c>
      <c r="P281" s="30" t="s">
        <v>751</v>
      </c>
      <c r="Q281" s="205" t="s">
        <v>7658</v>
      </c>
    </row>
    <row r="282" customFormat="false" ht="100.5" hidden="false" customHeight="true" outlineLevel="0" collapsed="false">
      <c r="A282" s="241" t="s">
        <v>11532</v>
      </c>
      <c r="B282" s="241" t="s">
        <v>7230</v>
      </c>
      <c r="C282" s="250" t="s">
        <v>11533</v>
      </c>
      <c r="D282" s="241" t="s">
        <v>11534</v>
      </c>
      <c r="E282" s="241" t="s">
        <v>11535</v>
      </c>
      <c r="F282" s="253" t="s">
        <v>11536</v>
      </c>
      <c r="G282" s="241" t="s">
        <v>751</v>
      </c>
      <c r="H282" s="253" t="s">
        <v>603</v>
      </c>
      <c r="I282" s="253" t="s">
        <v>11537</v>
      </c>
      <c r="J282" s="241" t="s">
        <v>7227</v>
      </c>
      <c r="K282" s="254" t="s">
        <v>11538</v>
      </c>
      <c r="L282" s="205" t="s">
        <v>9802</v>
      </c>
      <c r="M282" s="6" t="s">
        <v>751</v>
      </c>
      <c r="N282" s="30" t="s">
        <v>751</v>
      </c>
      <c r="O282" s="30" t="s">
        <v>3816</v>
      </c>
      <c r="P282" s="30" t="s">
        <v>9932</v>
      </c>
      <c r="Q282" s="205" t="s">
        <v>11330</v>
      </c>
    </row>
    <row r="283" customFormat="false" ht="114.75" hidden="false" customHeight="true" outlineLevel="0" collapsed="false">
      <c r="A283" s="241" t="s">
        <v>11539</v>
      </c>
      <c r="B283" s="241" t="s">
        <v>7230</v>
      </c>
      <c r="C283" s="250" t="s">
        <v>11540</v>
      </c>
      <c r="D283" s="241" t="s">
        <v>11541</v>
      </c>
      <c r="E283" s="253" t="s">
        <v>11429</v>
      </c>
      <c r="F283" s="241" t="s">
        <v>11542</v>
      </c>
      <c r="G283" s="241" t="s">
        <v>11543</v>
      </c>
      <c r="H283" s="241" t="s">
        <v>751</v>
      </c>
      <c r="I283" s="253" t="s">
        <v>11544</v>
      </c>
      <c r="J283" s="241" t="s">
        <v>7227</v>
      </c>
      <c r="K283" s="254" t="s">
        <v>11545</v>
      </c>
      <c r="L283" s="205" t="s">
        <v>9802</v>
      </c>
      <c r="M283" s="6" t="s">
        <v>751</v>
      </c>
      <c r="N283" s="30" t="s">
        <v>751</v>
      </c>
      <c r="O283" s="30" t="s">
        <v>751</v>
      </c>
      <c r="P283" s="30" t="s">
        <v>751</v>
      </c>
      <c r="Q283" s="205" t="s">
        <v>7658</v>
      </c>
    </row>
    <row r="284" customFormat="false" ht="114.75" hidden="false" customHeight="true" outlineLevel="0" collapsed="false">
      <c r="A284" s="241" t="s">
        <v>11546</v>
      </c>
      <c r="B284" s="241" t="s">
        <v>7230</v>
      </c>
      <c r="C284" s="254" t="s">
        <v>11547</v>
      </c>
      <c r="D284" s="241" t="s">
        <v>11548</v>
      </c>
      <c r="E284" s="241" t="s">
        <v>162</v>
      </c>
      <c r="F284" s="241" t="s">
        <v>11549</v>
      </c>
      <c r="G284" s="241" t="s">
        <v>11550</v>
      </c>
      <c r="H284" s="253" t="s">
        <v>11551</v>
      </c>
      <c r="I284" s="253" t="s">
        <v>11552</v>
      </c>
      <c r="J284" s="241" t="s">
        <v>7227</v>
      </c>
      <c r="K284" s="254" t="s">
        <v>11553</v>
      </c>
      <c r="L284" s="205" t="s">
        <v>9802</v>
      </c>
      <c r="M284" s="6" t="s">
        <v>751</v>
      </c>
      <c r="N284" s="30" t="s">
        <v>751</v>
      </c>
      <c r="O284" s="30" t="s">
        <v>11554</v>
      </c>
      <c r="P284" s="30" t="s">
        <v>751</v>
      </c>
      <c r="Q284" s="205" t="s">
        <v>7658</v>
      </c>
    </row>
    <row r="285" customFormat="false" ht="114.75" hidden="false" customHeight="true" outlineLevel="0" collapsed="false">
      <c r="A285" s="241" t="s">
        <v>11555</v>
      </c>
      <c r="B285" s="241" t="s">
        <v>7230</v>
      </c>
      <c r="C285" s="250" t="s">
        <v>11556</v>
      </c>
      <c r="D285" s="241" t="s">
        <v>11557</v>
      </c>
      <c r="E285" s="241" t="s">
        <v>11558</v>
      </c>
      <c r="F285" s="241" t="s">
        <v>9170</v>
      </c>
      <c r="G285" s="241" t="s">
        <v>11559</v>
      </c>
      <c r="H285" s="241" t="s">
        <v>11476</v>
      </c>
      <c r="I285" s="253" t="s">
        <v>11560</v>
      </c>
      <c r="J285" s="241" t="s">
        <v>7227</v>
      </c>
      <c r="K285" s="254" t="s">
        <v>11561</v>
      </c>
      <c r="L285" s="205" t="s">
        <v>9802</v>
      </c>
      <c r="M285" s="6" t="s">
        <v>9170</v>
      </c>
      <c r="N285" s="30" t="s">
        <v>751</v>
      </c>
      <c r="O285" s="30" t="s">
        <v>11562</v>
      </c>
      <c r="P285" s="30" t="s">
        <v>9956</v>
      </c>
      <c r="Q285" s="205" t="s">
        <v>7551</v>
      </c>
    </row>
    <row r="286" customFormat="false" ht="100.5" hidden="false" customHeight="true" outlineLevel="0" collapsed="false">
      <c r="A286" s="241" t="s">
        <v>11563</v>
      </c>
      <c r="B286" s="241" t="s">
        <v>7230</v>
      </c>
      <c r="C286" s="254" t="s">
        <v>11564</v>
      </c>
      <c r="D286" s="241" t="s">
        <v>11565</v>
      </c>
      <c r="E286" s="241" t="s">
        <v>11566</v>
      </c>
      <c r="F286" s="241" t="s">
        <v>11567</v>
      </c>
      <c r="G286" s="241" t="s">
        <v>11568</v>
      </c>
      <c r="H286" s="241" t="s">
        <v>11569</v>
      </c>
      <c r="I286" s="253" t="s">
        <v>11570</v>
      </c>
      <c r="J286" s="241" t="s">
        <v>7227</v>
      </c>
      <c r="K286" s="254" t="s">
        <v>11571</v>
      </c>
      <c r="L286" s="205" t="s">
        <v>9802</v>
      </c>
      <c r="M286" s="6" t="s">
        <v>3425</v>
      </c>
      <c r="N286" s="30" t="s">
        <v>751</v>
      </c>
      <c r="O286" s="30" t="s">
        <v>11572</v>
      </c>
      <c r="P286" s="30" t="s">
        <v>9956</v>
      </c>
      <c r="Q286" s="205" t="s">
        <v>7551</v>
      </c>
    </row>
    <row r="287" customFormat="false" ht="114.75" hidden="false" customHeight="true" outlineLevel="0" collapsed="false">
      <c r="A287" s="241" t="s">
        <v>9562</v>
      </c>
      <c r="B287" s="241" t="s">
        <v>7230</v>
      </c>
      <c r="C287" s="250" t="s">
        <v>11573</v>
      </c>
      <c r="D287" s="241" t="s">
        <v>11574</v>
      </c>
      <c r="E287" s="253" t="s">
        <v>11575</v>
      </c>
      <c r="F287" s="241" t="s">
        <v>11576</v>
      </c>
      <c r="G287" s="241" t="s">
        <v>11568</v>
      </c>
      <c r="H287" s="241" t="s">
        <v>11577</v>
      </c>
      <c r="I287" s="253" t="s">
        <v>11578</v>
      </c>
      <c r="J287" s="241" t="s">
        <v>7227</v>
      </c>
      <c r="K287" s="254" t="s">
        <v>11579</v>
      </c>
      <c r="L287" s="205" t="s">
        <v>9802</v>
      </c>
      <c r="M287" s="6" t="s">
        <v>11580</v>
      </c>
      <c r="N287" s="30" t="s">
        <v>751</v>
      </c>
      <c r="O287" s="30" t="s">
        <v>11581</v>
      </c>
      <c r="P287" s="30" t="s">
        <v>9956</v>
      </c>
      <c r="Q287" s="205" t="s">
        <v>7658</v>
      </c>
    </row>
    <row r="288" customFormat="false" ht="100.5" hidden="false" customHeight="true" outlineLevel="0" collapsed="false">
      <c r="A288" s="241" t="s">
        <v>11582</v>
      </c>
      <c r="B288" s="241" t="s">
        <v>7230</v>
      </c>
      <c r="C288" s="254" t="s">
        <v>11583</v>
      </c>
      <c r="D288" s="241" t="s">
        <v>11584</v>
      </c>
      <c r="E288" s="241" t="s">
        <v>11585</v>
      </c>
      <c r="F288" s="241" t="s">
        <v>11586</v>
      </c>
      <c r="G288" s="241" t="s">
        <v>751</v>
      </c>
      <c r="H288" s="241" t="s">
        <v>11485</v>
      </c>
      <c r="I288" s="253" t="s">
        <v>11587</v>
      </c>
      <c r="J288" s="241" t="s">
        <v>7227</v>
      </c>
      <c r="K288" s="254" t="s">
        <v>11588</v>
      </c>
      <c r="L288" s="205" t="s">
        <v>9802</v>
      </c>
      <c r="M288" s="6" t="s">
        <v>751</v>
      </c>
      <c r="N288" s="30" t="s">
        <v>751</v>
      </c>
      <c r="O288" s="30" t="s">
        <v>751</v>
      </c>
      <c r="P288" s="30" t="s">
        <v>9932</v>
      </c>
      <c r="Q288" s="205" t="s">
        <v>7551</v>
      </c>
    </row>
    <row r="289" customFormat="false" ht="114.75" hidden="false" customHeight="true" outlineLevel="0" collapsed="false">
      <c r="A289" s="241" t="s">
        <v>11589</v>
      </c>
      <c r="B289" s="241" t="s">
        <v>7230</v>
      </c>
      <c r="C289" s="250" t="s">
        <v>11590</v>
      </c>
      <c r="D289" s="241" t="s">
        <v>11591</v>
      </c>
      <c r="E289" s="241" t="s">
        <v>11444</v>
      </c>
      <c r="F289" s="241" t="s">
        <v>11445</v>
      </c>
      <c r="G289" s="241" t="s">
        <v>11446</v>
      </c>
      <c r="H289" s="241" t="s">
        <v>11592</v>
      </c>
      <c r="I289" s="253" t="s">
        <v>11593</v>
      </c>
      <c r="J289" s="241" t="s">
        <v>7227</v>
      </c>
      <c r="K289" s="254" t="s">
        <v>11594</v>
      </c>
      <c r="L289" s="205" t="s">
        <v>9802</v>
      </c>
      <c r="M289" s="6" t="s">
        <v>751</v>
      </c>
      <c r="N289" s="30" t="s">
        <v>751</v>
      </c>
      <c r="O289" s="30" t="s">
        <v>11450</v>
      </c>
      <c r="P289" s="30" t="s">
        <v>9932</v>
      </c>
      <c r="Q289" s="205" t="s">
        <v>7551</v>
      </c>
    </row>
    <row r="290" customFormat="false" ht="100.5" hidden="false" customHeight="true" outlineLevel="0" collapsed="false">
      <c r="A290" s="241" t="s">
        <v>11595</v>
      </c>
      <c r="B290" s="241" t="s">
        <v>7298</v>
      </c>
      <c r="C290" s="250" t="s">
        <v>11596</v>
      </c>
      <c r="D290" s="241" t="s">
        <v>11597</v>
      </c>
      <c r="E290" s="241" t="s">
        <v>11598</v>
      </c>
      <c r="F290" s="241" t="s">
        <v>11599</v>
      </c>
      <c r="G290" s="241" t="s">
        <v>11600</v>
      </c>
      <c r="H290" s="253" t="s">
        <v>11601</v>
      </c>
      <c r="I290" s="253" t="s">
        <v>11602</v>
      </c>
      <c r="J290" s="241" t="s">
        <v>7331</v>
      </c>
      <c r="K290" s="254" t="s">
        <v>11603</v>
      </c>
      <c r="L290" s="205" t="s">
        <v>9802</v>
      </c>
      <c r="M290" s="6" t="s">
        <v>751</v>
      </c>
      <c r="N290" s="30" t="s">
        <v>751</v>
      </c>
      <c r="O290" s="30" t="s">
        <v>11604</v>
      </c>
      <c r="P290" s="30" t="s">
        <v>9981</v>
      </c>
      <c r="Q290" s="205" t="s">
        <v>7551</v>
      </c>
    </row>
    <row r="291" customFormat="false" ht="72" hidden="false" customHeight="true" outlineLevel="0" collapsed="false">
      <c r="A291" s="241" t="s">
        <v>11605</v>
      </c>
      <c r="B291" s="241" t="s">
        <v>7298</v>
      </c>
      <c r="C291" s="250" t="s">
        <v>11606</v>
      </c>
      <c r="D291" s="241" t="s">
        <v>11607</v>
      </c>
      <c r="E291" s="241" t="s">
        <v>227</v>
      </c>
      <c r="F291" s="241" t="s">
        <v>11608</v>
      </c>
      <c r="G291" s="241" t="s">
        <v>11609</v>
      </c>
      <c r="H291" s="241" t="s">
        <v>11610</v>
      </c>
      <c r="I291" s="253" t="s">
        <v>11611</v>
      </c>
      <c r="J291" s="241" t="s">
        <v>7331</v>
      </c>
      <c r="K291" s="254" t="s">
        <v>11612</v>
      </c>
      <c r="L291" s="205" t="s">
        <v>9802</v>
      </c>
      <c r="M291" s="6" t="s">
        <v>751</v>
      </c>
      <c r="N291" s="30" t="s">
        <v>751</v>
      </c>
      <c r="O291" s="30" t="s">
        <v>11604</v>
      </c>
      <c r="P291" s="30" t="s">
        <v>9981</v>
      </c>
      <c r="Q291" s="205" t="s">
        <v>7551</v>
      </c>
    </row>
    <row r="292" customFormat="false" ht="72" hidden="false" customHeight="true" outlineLevel="0" collapsed="false">
      <c r="A292" s="241" t="s">
        <v>11613</v>
      </c>
      <c r="B292" s="241" t="s">
        <v>7298</v>
      </c>
      <c r="C292" s="250" t="s">
        <v>11614</v>
      </c>
      <c r="D292" s="241" t="s">
        <v>11615</v>
      </c>
      <c r="E292" s="241" t="s">
        <v>227</v>
      </c>
      <c r="F292" s="241" t="s">
        <v>11616</v>
      </c>
      <c r="G292" s="241" t="s">
        <v>751</v>
      </c>
      <c r="H292" s="241" t="s">
        <v>11617</v>
      </c>
      <c r="I292" s="253" t="s">
        <v>9799</v>
      </c>
      <c r="J292" s="241" t="s">
        <v>7331</v>
      </c>
      <c r="K292" s="254" t="s">
        <v>11618</v>
      </c>
      <c r="L292" s="205" t="s">
        <v>9802</v>
      </c>
      <c r="M292" s="6" t="s">
        <v>751</v>
      </c>
      <c r="N292" s="30" t="s">
        <v>751</v>
      </c>
      <c r="O292" s="30" t="s">
        <v>11604</v>
      </c>
      <c r="P292" s="30" t="s">
        <v>11619</v>
      </c>
      <c r="Q292" s="205" t="s">
        <v>7551</v>
      </c>
    </row>
    <row r="293" customFormat="false" ht="72" hidden="false" customHeight="true" outlineLevel="0" collapsed="false">
      <c r="A293" s="241" t="s">
        <v>11620</v>
      </c>
      <c r="B293" s="241" t="s">
        <v>7298</v>
      </c>
      <c r="C293" s="250" t="s">
        <v>11621</v>
      </c>
      <c r="D293" s="241" t="s">
        <v>11622</v>
      </c>
      <c r="E293" s="241" t="s">
        <v>162</v>
      </c>
      <c r="F293" s="241" t="s">
        <v>11623</v>
      </c>
      <c r="G293" s="241" t="s">
        <v>11624</v>
      </c>
      <c r="H293" s="253" t="s">
        <v>11625</v>
      </c>
      <c r="I293" s="253" t="s">
        <v>11626</v>
      </c>
      <c r="J293" s="241" t="s">
        <v>7331</v>
      </c>
      <c r="K293" s="254" t="s">
        <v>11627</v>
      </c>
      <c r="L293" s="205" t="s">
        <v>9802</v>
      </c>
      <c r="M293" s="6" t="s">
        <v>751</v>
      </c>
      <c r="N293" s="30" t="s">
        <v>751</v>
      </c>
      <c r="O293" s="30" t="s">
        <v>11604</v>
      </c>
      <c r="P293" s="30" t="s">
        <v>751</v>
      </c>
      <c r="Q293" s="205" t="s">
        <v>7658</v>
      </c>
    </row>
    <row r="294" customFormat="false" ht="72" hidden="false" customHeight="true" outlineLevel="0" collapsed="false">
      <c r="A294" s="241" t="s">
        <v>11628</v>
      </c>
      <c r="B294" s="241" t="s">
        <v>7298</v>
      </c>
      <c r="C294" s="254" t="s">
        <v>11629</v>
      </c>
      <c r="D294" s="241" t="s">
        <v>11630</v>
      </c>
      <c r="E294" s="241" t="s">
        <v>227</v>
      </c>
      <c r="F294" s="241" t="s">
        <v>11631</v>
      </c>
      <c r="G294" s="241" t="s">
        <v>751</v>
      </c>
      <c r="H294" s="241" t="s">
        <v>11632</v>
      </c>
      <c r="I294" s="253" t="s">
        <v>11633</v>
      </c>
      <c r="J294" s="241" t="s">
        <v>7331</v>
      </c>
      <c r="K294" s="254" t="s">
        <v>11634</v>
      </c>
      <c r="L294" s="205" t="s">
        <v>9802</v>
      </c>
      <c r="M294" s="6" t="s">
        <v>751</v>
      </c>
      <c r="N294" s="30" t="s">
        <v>751</v>
      </c>
      <c r="O294" s="30" t="s">
        <v>11604</v>
      </c>
      <c r="P294" s="30" t="s">
        <v>9981</v>
      </c>
      <c r="Q294" s="205" t="s">
        <v>7551</v>
      </c>
    </row>
    <row r="295" customFormat="false" ht="72" hidden="false" customHeight="true" outlineLevel="0" collapsed="false">
      <c r="A295" s="241" t="s">
        <v>11635</v>
      </c>
      <c r="B295" s="241" t="s">
        <v>7298</v>
      </c>
      <c r="C295" s="250" t="s">
        <v>11636</v>
      </c>
      <c r="D295" s="241" t="s">
        <v>11637</v>
      </c>
      <c r="E295" s="241" t="s">
        <v>162</v>
      </c>
      <c r="F295" s="241" t="s">
        <v>11638</v>
      </c>
      <c r="G295" s="241" t="s">
        <v>751</v>
      </c>
      <c r="H295" s="241" t="s">
        <v>11639</v>
      </c>
      <c r="I295" s="253" t="s">
        <v>11640</v>
      </c>
      <c r="J295" s="241" t="s">
        <v>7331</v>
      </c>
      <c r="K295" s="254" t="s">
        <v>11641</v>
      </c>
      <c r="L295" s="205" t="s">
        <v>9802</v>
      </c>
      <c r="M295" s="6" t="s">
        <v>751</v>
      </c>
      <c r="N295" s="30" t="s">
        <v>751</v>
      </c>
      <c r="O295" s="30" t="s">
        <v>11604</v>
      </c>
      <c r="P295" s="30" t="s">
        <v>11642</v>
      </c>
      <c r="Q295" s="205" t="s">
        <v>7658</v>
      </c>
    </row>
    <row r="296" customFormat="false" ht="100.5" hidden="false" customHeight="true" outlineLevel="0" collapsed="false">
      <c r="A296" s="241" t="s">
        <v>11643</v>
      </c>
      <c r="B296" s="241" t="s">
        <v>7298</v>
      </c>
      <c r="C296" s="250" t="s">
        <v>11644</v>
      </c>
      <c r="D296" s="253" t="s">
        <v>11645</v>
      </c>
      <c r="E296" s="241" t="s">
        <v>227</v>
      </c>
      <c r="F296" s="241" t="s">
        <v>11646</v>
      </c>
      <c r="G296" s="241" t="s">
        <v>751</v>
      </c>
      <c r="H296" s="241" t="s">
        <v>11647</v>
      </c>
      <c r="I296" s="253" t="s">
        <v>11648</v>
      </c>
      <c r="J296" s="241" t="s">
        <v>7331</v>
      </c>
      <c r="K296" s="250" t="s">
        <v>11649</v>
      </c>
      <c r="L296" s="205" t="s">
        <v>9802</v>
      </c>
      <c r="M296" s="6" t="s">
        <v>751</v>
      </c>
      <c r="N296" s="30" t="s">
        <v>751</v>
      </c>
      <c r="O296" s="30" t="s">
        <v>11604</v>
      </c>
      <c r="P296" s="30" t="s">
        <v>10987</v>
      </c>
      <c r="Q296" s="205" t="s">
        <v>7551</v>
      </c>
    </row>
    <row r="297" customFormat="false" ht="72" hidden="false" customHeight="true" outlineLevel="0" collapsed="false">
      <c r="A297" s="241" t="s">
        <v>11650</v>
      </c>
      <c r="B297" s="241" t="s">
        <v>7298</v>
      </c>
      <c r="C297" s="250" t="s">
        <v>11651</v>
      </c>
      <c r="D297" s="241" t="s">
        <v>11652</v>
      </c>
      <c r="E297" s="241" t="s">
        <v>227</v>
      </c>
      <c r="F297" s="253" t="s">
        <v>11653</v>
      </c>
      <c r="G297" s="241" t="s">
        <v>751</v>
      </c>
      <c r="H297" s="241" t="s">
        <v>11654</v>
      </c>
      <c r="I297" s="253" t="s">
        <v>11655</v>
      </c>
      <c r="J297" s="241" t="s">
        <v>7331</v>
      </c>
      <c r="K297" s="254" t="s">
        <v>11656</v>
      </c>
      <c r="L297" s="205" t="s">
        <v>9802</v>
      </c>
      <c r="M297" s="6" t="s">
        <v>751</v>
      </c>
      <c r="N297" s="30" t="s">
        <v>751</v>
      </c>
      <c r="O297" s="30" t="s">
        <v>11604</v>
      </c>
      <c r="P297" s="30" t="s">
        <v>9981</v>
      </c>
      <c r="Q297" s="205" t="s">
        <v>7551</v>
      </c>
    </row>
    <row r="298" customFormat="false" ht="86.25" hidden="false" customHeight="true" outlineLevel="0" collapsed="false">
      <c r="A298" s="241" t="s">
        <v>11657</v>
      </c>
      <c r="B298" s="241" t="s">
        <v>7298</v>
      </c>
      <c r="C298" s="250" t="s">
        <v>11658</v>
      </c>
      <c r="D298" s="241" t="s">
        <v>11659</v>
      </c>
      <c r="E298" s="241" t="s">
        <v>11660</v>
      </c>
      <c r="F298" s="241" t="s">
        <v>11661</v>
      </c>
      <c r="G298" s="241" t="s">
        <v>11662</v>
      </c>
      <c r="H298" s="241" t="s">
        <v>11663</v>
      </c>
      <c r="I298" s="253" t="s">
        <v>11664</v>
      </c>
      <c r="J298" s="241" t="s">
        <v>7386</v>
      </c>
      <c r="K298" s="250" t="s">
        <v>11665</v>
      </c>
      <c r="L298" s="205" t="s">
        <v>9802</v>
      </c>
      <c r="M298" s="6" t="s">
        <v>751</v>
      </c>
      <c r="N298" s="30" t="s">
        <v>751</v>
      </c>
      <c r="O298" s="30" t="s">
        <v>11666</v>
      </c>
      <c r="P298" s="30" t="s">
        <v>11667</v>
      </c>
      <c r="Q298" s="205" t="s">
        <v>7551</v>
      </c>
    </row>
    <row r="299" customFormat="false" ht="72" hidden="false" customHeight="true" outlineLevel="0" collapsed="false">
      <c r="A299" s="241" t="s">
        <v>11668</v>
      </c>
      <c r="B299" s="241" t="s">
        <v>7298</v>
      </c>
      <c r="C299" s="254" t="s">
        <v>11669</v>
      </c>
      <c r="D299" s="241" t="s">
        <v>11670</v>
      </c>
      <c r="E299" s="241" t="s">
        <v>11671</v>
      </c>
      <c r="F299" s="241" t="s">
        <v>11672</v>
      </c>
      <c r="G299" s="253" t="s">
        <v>11673</v>
      </c>
      <c r="H299" s="253" t="s">
        <v>11674</v>
      </c>
      <c r="I299" s="253" t="s">
        <v>11675</v>
      </c>
      <c r="J299" s="241" t="s">
        <v>7386</v>
      </c>
      <c r="K299" s="254" t="s">
        <v>11676</v>
      </c>
      <c r="L299" s="205" t="s">
        <v>9802</v>
      </c>
      <c r="M299" s="6" t="s">
        <v>751</v>
      </c>
      <c r="N299" s="30" t="s">
        <v>751</v>
      </c>
      <c r="O299" s="30" t="s">
        <v>11666</v>
      </c>
      <c r="P299" s="30" t="s">
        <v>9932</v>
      </c>
      <c r="Q299" s="205" t="s">
        <v>7658</v>
      </c>
    </row>
    <row r="300" customFormat="false" ht="72" hidden="false" customHeight="true" outlineLevel="0" collapsed="false">
      <c r="A300" s="241" t="s">
        <v>11677</v>
      </c>
      <c r="B300" s="241" t="s">
        <v>7298</v>
      </c>
      <c r="C300" s="250" t="s">
        <v>11678</v>
      </c>
      <c r="D300" s="241" t="s">
        <v>11679</v>
      </c>
      <c r="E300" s="241" t="s">
        <v>11680</v>
      </c>
      <c r="F300" s="241" t="s">
        <v>11681</v>
      </c>
      <c r="G300" s="241" t="s">
        <v>11682</v>
      </c>
      <c r="H300" s="241" t="s">
        <v>11683</v>
      </c>
      <c r="I300" s="253" t="s">
        <v>11684</v>
      </c>
      <c r="J300" s="241" t="s">
        <v>7386</v>
      </c>
      <c r="K300" s="254" t="s">
        <v>11685</v>
      </c>
      <c r="L300" s="205" t="s">
        <v>9802</v>
      </c>
      <c r="M300" s="6" t="s">
        <v>751</v>
      </c>
      <c r="N300" s="30" t="s">
        <v>751</v>
      </c>
      <c r="O300" s="30" t="s">
        <v>11666</v>
      </c>
      <c r="P300" s="30" t="s">
        <v>9932</v>
      </c>
      <c r="Q300" s="205" t="s">
        <v>7658</v>
      </c>
    </row>
    <row r="301" customFormat="false" ht="72" hidden="false" customHeight="true" outlineLevel="0" collapsed="false">
      <c r="A301" s="241" t="s">
        <v>11686</v>
      </c>
      <c r="B301" s="241" t="s">
        <v>7298</v>
      </c>
      <c r="C301" s="250" t="s">
        <v>11687</v>
      </c>
      <c r="D301" s="241" t="s">
        <v>11688</v>
      </c>
      <c r="E301" s="241" t="s">
        <v>11689</v>
      </c>
      <c r="F301" s="241" t="s">
        <v>11690</v>
      </c>
      <c r="G301" s="253" t="s">
        <v>11691</v>
      </c>
      <c r="H301" s="253" t="s">
        <v>11692</v>
      </c>
      <c r="I301" s="253" t="s">
        <v>11693</v>
      </c>
      <c r="J301" s="241" t="s">
        <v>7386</v>
      </c>
      <c r="K301" s="254" t="s">
        <v>11694</v>
      </c>
      <c r="L301" s="205" t="s">
        <v>9802</v>
      </c>
      <c r="M301" s="6" t="s">
        <v>751</v>
      </c>
      <c r="N301" s="30" t="s">
        <v>751</v>
      </c>
      <c r="O301" s="30" t="s">
        <v>11666</v>
      </c>
      <c r="P301" s="30" t="s">
        <v>11695</v>
      </c>
      <c r="Q301" s="205" t="s">
        <v>7658</v>
      </c>
    </row>
    <row r="302" customFormat="false" ht="86.25" hidden="false" customHeight="true" outlineLevel="0" collapsed="false">
      <c r="A302" s="241" t="s">
        <v>8597</v>
      </c>
      <c r="B302" s="241" t="s">
        <v>7298</v>
      </c>
      <c r="C302" s="250" t="s">
        <v>11696</v>
      </c>
      <c r="D302" s="241" t="s">
        <v>11697</v>
      </c>
      <c r="E302" s="253" t="s">
        <v>11698</v>
      </c>
      <c r="F302" s="241" t="s">
        <v>11699</v>
      </c>
      <c r="G302" s="241" t="s">
        <v>11700</v>
      </c>
      <c r="H302" s="253" t="s">
        <v>11701</v>
      </c>
      <c r="I302" s="253" t="s">
        <v>11702</v>
      </c>
      <c r="J302" s="241" t="s">
        <v>7451</v>
      </c>
      <c r="K302" s="254" t="s">
        <v>11703</v>
      </c>
      <c r="L302" s="205" t="s">
        <v>9802</v>
      </c>
      <c r="M302" s="6" t="s">
        <v>11704</v>
      </c>
      <c r="N302" s="30" t="s">
        <v>751</v>
      </c>
      <c r="O302" s="30" t="s">
        <v>11705</v>
      </c>
      <c r="P302" s="30" t="s">
        <v>11706</v>
      </c>
      <c r="Q302" s="205" t="s">
        <v>7551</v>
      </c>
    </row>
    <row r="303" customFormat="false" ht="171.6" hidden="false" customHeight="false" outlineLevel="0" collapsed="false">
      <c r="A303" s="136" t="s">
        <v>8643</v>
      </c>
      <c r="B303" s="136" t="s">
        <v>7298</v>
      </c>
      <c r="C303" s="255" t="s">
        <v>11707</v>
      </c>
      <c r="D303" s="136" t="s">
        <v>11708</v>
      </c>
      <c r="E303" s="136" t="s">
        <v>11709</v>
      </c>
      <c r="F303" s="136" t="s">
        <v>11710</v>
      </c>
      <c r="G303" s="136" t="s">
        <v>11711</v>
      </c>
      <c r="H303" s="136" t="s">
        <v>11712</v>
      </c>
      <c r="I303" s="109" t="s">
        <v>11713</v>
      </c>
      <c r="J303" s="136" t="s">
        <v>7497</v>
      </c>
      <c r="K303" s="255" t="s">
        <v>11714</v>
      </c>
      <c r="L303" s="61" t="s">
        <v>9802</v>
      </c>
      <c r="M303" s="6" t="s">
        <v>11715</v>
      </c>
      <c r="N303" s="62" t="s">
        <v>751</v>
      </c>
      <c r="O303" s="62" t="s">
        <v>11716</v>
      </c>
      <c r="P303" s="62" t="s">
        <v>10987</v>
      </c>
      <c r="Q303" s="61" t="s">
        <v>11717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2026-09-30T08:28:40Z</dcterms:created>
  <dc:creator>openpyxl</dc:creator>
  <dc:description/>
  <dc:language>en-US</dc:language>
  <cp:lastModifiedBy/>
  <dcterms:modified xsi:type="dcterms:W3CDTF">2026-10-16T10:53:36Z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